
<file path=[Content_Types].xml><?xml version="1.0" encoding="utf-8"?>
<Types xmlns="http://schemas.openxmlformats.org/package/2006/content-types">
  <Default ContentType="application/vnd.openxmlformats-officedocument.spreadsheetml.printerSettings" Extension="bin"/>
  <Default ContentType="image/gif" Extension="gif"/>
  <Default ContentType="image/jpeg" Extension="jpeg"/>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openxmlformats-officedocument.spreadsheetml.calcChain+xml" PartName="/xl/calcChain.xml"/>
  <Override ContentType="application/vnd.openxmlformats-officedocument.drawingml.chart+xml" PartName="/xl/charts/chart1.xml"/>
  <Override ContentType="application/vnd.openxmlformats-officedocument.drawingml.chart+xml" PartName="/xl/charts/chart2.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mments+xml" PartName="/xl/comments6.xml"/>
  <Override ContentType="application/vnd.openxmlformats-officedocument.spreadsheetml.comments+xml" PartName="/xl/comments7.xml"/>
  <Override ContentType="application/vnd.openxmlformats-officedocument.drawing+xml" PartName="/xl/drawings/drawing1.xml"/>
  <Override ContentType="application/vnd.openxmlformats-officedocument.drawing+xml" PartName="/xl/drawings/drawing2.xml"/>
  <Override ContentType="application/vnd.openxmlformats-officedocument.spreadsheetml.externalLink+xml" PartName="/xl/externalLinks/externalLink1.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openxmlformats-officedocument.spreadsheetml.volatileDependencies+xml" PartName="/xl/volatileDependencies.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Types>
</file>

<file path=_rels/.rels><?xml version="1.0" encoding="UTF-8" standalone="yes"?>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 Id="rId4" Target="docProps/custom.xml" Type="http://schemas.openxmlformats.org/officeDocument/2006/relationships/custom-properties"/>
</Relationships>

</file>

<file path=xl/workbook.xml><?xml version="1.0" encoding="utf-8"?>
<workbook xmlns="http://schemas.openxmlformats.org/spreadsheetml/2006/main" xmlns:r="http://schemas.openxmlformats.org/officeDocument/2006/relationships">
  <fileVersion appName="xl" lastEdited="5" lowestEdited="5" rupBuild="9303"/>
  <workbookPr codeName="ThisWorkbook"/>
  <bookViews>
    <workbookView xWindow="-15" yWindow="-15" windowWidth="14400" windowHeight="11760" tabRatio="750"/>
  </bookViews>
  <sheets>
    <sheet name="ImportantDisclosures" sheetId="282" r:id="rId1"/>
    <sheet name="Investor Day Targets" sheetId="276" r:id="rId2"/>
    <sheet name="MS vs. Guidance" sheetId="273" state="hidden" r:id="rId3"/>
    <sheet name="ROTCE" sheetId="277" r:id="rId4"/>
    <sheet name="Model" sheetId="259" r:id="rId5"/>
    <sheet name="MW-Cache" sheetId="269" state="veryHidden" r:id="rId6"/>
    <sheet name="Drivers" sheetId="261" r:id="rId7"/>
    <sheet name="Output" sheetId="275" r:id="rId8"/>
    <sheet name="DL" sheetId="262" r:id="rId9"/>
    <sheet name="New vs Old" sheetId="263" r:id="rId10"/>
    <sheet name="New vs Old Segment" sheetId="264" r:id="rId11"/>
    <sheet name="MS vs. Cons" sheetId="272" r:id="rId12"/>
    <sheet name="Residual Income" sheetId="267" r:id="rId13"/>
    <sheet name="IndexInformation" sheetId="283" r:id="rId14"/>
    <sheet name="ModPubIndex" sheetId="284" r:id="rId15"/>
  </sheets>
  <externalReferences>
    <externalReference r:id="rId16"/>
  </externalReferences>
  <definedNames>
    <definedName name="__FDS_HYPERLINK_TOGGLE_STATE__" hidden="1">"ON"</definedName>
    <definedName name="__FDS_UNIQUE_RANGE_ID_GENERATOR_COUNTER" hidden="1">61</definedName>
    <definedName name="_1__FDSAUDITLINK__" localSheetId="1" hidden="1">{"fdsup://Directions/FactSet Auditing Viewer?action=AUDIT_VALUE&amp;DB=129&amp;ID1=88033G10&amp;VALUEID=01401&amp;SDATE=201003&amp;PERIODTYPE=QTR_STD&amp;window=popup_no_bar&amp;width=385&amp;height=120&amp;START_MAXIMIZED=FALSE&amp;creator=factset&amp;display_string=Audit"}</definedName>
    <definedName name="_1__FDSAUDITLINK__" localSheetId="11" hidden="1">{"fdsup://Directions/FactSet Auditing Viewer?action=AUDIT_VALUE&amp;DB=129&amp;ID1=88033G10&amp;VALUEID=01401&amp;SDATE=201003&amp;PERIODTYPE=QTR_STD&amp;window=popup_no_bar&amp;width=385&amp;height=120&amp;START_MAXIMIZED=FALSE&amp;creator=factset&amp;display_string=Audit"}</definedName>
    <definedName name="_1__FDSAUDITLINK__" hidden="1">{"fdsup://Directions/FactSet Auditing Viewer?action=AUDIT_VALUE&amp;DB=129&amp;ID1=88033G10&amp;VALUEID=01401&amp;SDATE=201003&amp;PERIODTYPE=QTR_STD&amp;window=popup_no_bar&amp;width=385&amp;height=120&amp;START_MAXIMIZED=FALSE&amp;creator=factset&amp;display_string=Audit"}</definedName>
    <definedName name="_10__FDSAUDITLINK__" localSheetId="1" hidden="1">{"fdsup://directions/FAT Viewer?action=UPDATE&amp;creator=factset&amp;DYN_ARGS=TRUE&amp;DOC_NAME=FAT:FQL_AUDITING_CLIENT_TEMPLATE.FAT&amp;display_string=Audit&amp;VAR:KEY=WLADOTQLML&amp;VAR:QUERY=Q1NGX0JQUyhRVFJfUiwyMDExLzJGKQ==&amp;WINDOW=FIRST_POPUP&amp;HEIGHT=450&amp;WIDTH=450&amp;START_MAXIMI","ZED=FALSE&amp;VAR:CALENDAR=US&amp;VAR:SYMBOL=LAZ&amp;VAR:INDEX=0"}</definedName>
    <definedName name="_10__FDSAUDITLINK__" localSheetId="11" hidden="1">{"fdsup://directions/FAT Viewer?action=UPDATE&amp;creator=factset&amp;DYN_ARGS=TRUE&amp;DOC_NAME=FAT:FQL_AUDITING_CLIENT_TEMPLATE.FAT&amp;display_string=Audit&amp;VAR:KEY=WLADOTQLML&amp;VAR:QUERY=Q1NGX0JQUyhRVFJfUiwyMDExLzJGKQ==&amp;WINDOW=FIRST_POPUP&amp;HEIGHT=450&amp;WIDTH=450&amp;START_MAXIMI","ZED=FALSE&amp;VAR:CALENDAR=US&amp;VAR:SYMBOL=LAZ&amp;VAR:INDEX=0"}</definedName>
    <definedName name="_10__FDSAUDITLINK__" hidden="1">{"fdsup://directions/FAT Viewer?action=UPDATE&amp;creator=factset&amp;DYN_ARGS=TRUE&amp;DOC_NAME=FAT:FQL_AUDITING_CLIENT_TEMPLATE.FAT&amp;display_string=Audit&amp;VAR:KEY=WLADOTQLML&amp;VAR:QUERY=Q1NGX0JQUyhRVFJfUiwyMDExLzJGKQ==&amp;WINDOW=FIRST_POPUP&amp;HEIGHT=450&amp;WIDTH=450&amp;START_MAXIMI","ZED=FALSE&amp;VAR:CALENDAR=US&amp;VAR:SYMBOL=LAZ&amp;VAR:INDEX=0"}</definedName>
    <definedName name="_11__FDSAUDITLINK__" localSheetId="1" hidden="1">{"fdsup://directions/FAT Viewer?action=UPDATE&amp;creator=factset&amp;DYN_ARGS=TRUE&amp;DOC_NAME=FAT:FQL_AUDITING_CLIENT_TEMPLATE.FAT&amp;display_string=Audit&amp;VAR:KEY=WLADOTQLML&amp;VAR:QUERY=Q1NGX0JQUyhRVFJfUiwyMDExLzJGKQ==&amp;WINDOW=FIRST_POPUP&amp;HEIGHT=450&amp;WIDTH=450&amp;START_MAXIMI","ZED=FALSE&amp;VAR:CALENDAR=US&amp;VAR:SYMBOL=LAZ&amp;VAR:INDEX=0"}</definedName>
    <definedName name="_11__FDSAUDITLINK__" localSheetId="11" hidden="1">{"fdsup://directions/FAT Viewer?action=UPDATE&amp;creator=factset&amp;DYN_ARGS=TRUE&amp;DOC_NAME=FAT:FQL_AUDITING_CLIENT_TEMPLATE.FAT&amp;display_string=Audit&amp;VAR:KEY=WLADOTQLML&amp;VAR:QUERY=Q1NGX0JQUyhRVFJfUiwyMDExLzJGKQ==&amp;WINDOW=FIRST_POPUP&amp;HEIGHT=450&amp;WIDTH=450&amp;START_MAXIMI","ZED=FALSE&amp;VAR:CALENDAR=US&amp;VAR:SYMBOL=LAZ&amp;VAR:INDEX=0"}</definedName>
    <definedName name="_11__FDSAUDITLINK__" hidden="1">{"fdsup://directions/FAT Viewer?action=UPDATE&amp;creator=factset&amp;DYN_ARGS=TRUE&amp;DOC_NAME=FAT:FQL_AUDITING_CLIENT_TEMPLATE.FAT&amp;display_string=Audit&amp;VAR:KEY=WLADOTQLML&amp;VAR:QUERY=Q1NGX0JQUyhRVFJfUiwyMDExLzJGKQ==&amp;WINDOW=FIRST_POPUP&amp;HEIGHT=450&amp;WIDTH=450&amp;START_MAXIMI","ZED=FALSE&amp;VAR:CALENDAR=US&amp;VAR:SYMBOL=LAZ&amp;VAR:INDEX=0"}</definedName>
    <definedName name="_12__FDSAUDITLINK__" localSheetId="1" hidden="1">{"fdsup://directions/FAT Viewer?action=UPDATE&amp;creator=factset&amp;DYN_ARGS=TRUE&amp;DOC_NAME=FAT:FQL_AUDITING_CLIENT_TEMPLATE.FAT&amp;display_string=Audit&amp;VAR:KEY=SHKHUHQZEH&amp;VAR:QUERY=Q1NGX0JQUyhRVFJfUiwyMDExLzFGKQ==&amp;WINDOW=FIRST_POPUP&amp;HEIGHT=450&amp;WIDTH=450&amp;START_MAXIMI","ZED=FALSE&amp;VAR:CALENDAR=US&amp;VAR:SYMBOL=LAZ&amp;VAR:INDEX=0"}</definedName>
    <definedName name="_12__FDSAUDITLINK__" localSheetId="11" hidden="1">{"fdsup://directions/FAT Viewer?action=UPDATE&amp;creator=factset&amp;DYN_ARGS=TRUE&amp;DOC_NAME=FAT:FQL_AUDITING_CLIENT_TEMPLATE.FAT&amp;display_string=Audit&amp;VAR:KEY=SHKHUHQZEH&amp;VAR:QUERY=Q1NGX0JQUyhRVFJfUiwyMDExLzFGKQ==&amp;WINDOW=FIRST_POPUP&amp;HEIGHT=450&amp;WIDTH=450&amp;START_MAXIMI","ZED=FALSE&amp;VAR:CALENDAR=US&amp;VAR:SYMBOL=LAZ&amp;VAR:INDEX=0"}</definedName>
    <definedName name="_12__FDSAUDITLINK__" hidden="1">{"fdsup://directions/FAT Viewer?action=UPDATE&amp;creator=factset&amp;DYN_ARGS=TRUE&amp;DOC_NAME=FAT:FQL_AUDITING_CLIENT_TEMPLATE.FAT&amp;display_string=Audit&amp;VAR:KEY=SHKHUHQZEH&amp;VAR:QUERY=Q1NGX0JQUyhRVFJfUiwyMDExLzFGKQ==&amp;WINDOW=FIRST_POPUP&amp;HEIGHT=450&amp;WIDTH=450&amp;START_MAXIMI","ZED=FALSE&amp;VAR:CALENDAR=US&amp;VAR:SYMBOL=LAZ&amp;VAR:INDEX=0"}</definedName>
    <definedName name="_13__FDSAUDITLINK__" localSheetId="1" hidden="1">{"fdsup://directions/FAT Viewer?action=UPDATE&amp;creator=factset&amp;DYN_ARGS=TRUE&amp;DOC_NAME=FAT:FQL_AUDITING_CLIENT_TEMPLATE.FAT&amp;display_string=Audit&amp;VAR:KEY=QPKVKNOVSR&amp;VAR:QUERY=Q1NGX0JQUyhRVFJfUiwyMDExLzFGKQ==&amp;WINDOW=FIRST_POPUP&amp;HEIGHT=450&amp;WIDTH=450&amp;START_MAXIMI","ZED=FALSE&amp;VAR:CALENDAR=US&amp;VAR:SYMBOL=GHL&amp;VAR:INDEX=0"}</definedName>
    <definedName name="_13__FDSAUDITLINK__" localSheetId="11" hidden="1">{"fdsup://directions/FAT Viewer?action=UPDATE&amp;creator=factset&amp;DYN_ARGS=TRUE&amp;DOC_NAME=FAT:FQL_AUDITING_CLIENT_TEMPLATE.FAT&amp;display_string=Audit&amp;VAR:KEY=QPKVKNOVSR&amp;VAR:QUERY=Q1NGX0JQUyhRVFJfUiwyMDExLzFGKQ==&amp;WINDOW=FIRST_POPUP&amp;HEIGHT=450&amp;WIDTH=450&amp;START_MAXIMI","ZED=FALSE&amp;VAR:CALENDAR=US&amp;VAR:SYMBOL=GHL&amp;VAR:INDEX=0"}</definedName>
    <definedName name="_13__FDSAUDITLINK__" hidden="1">{"fdsup://directions/FAT Viewer?action=UPDATE&amp;creator=factset&amp;DYN_ARGS=TRUE&amp;DOC_NAME=FAT:FQL_AUDITING_CLIENT_TEMPLATE.FAT&amp;display_string=Audit&amp;VAR:KEY=QPKVKNOVSR&amp;VAR:QUERY=Q1NGX0JQUyhRVFJfUiwyMDExLzFGKQ==&amp;WINDOW=FIRST_POPUP&amp;HEIGHT=450&amp;WIDTH=450&amp;START_MAXIMI","ZED=FALSE&amp;VAR:CALENDAR=US&amp;VAR:SYMBOL=GHL&amp;VAR:INDEX=0"}</definedName>
    <definedName name="_14__FDSAUDITLINK__" localSheetId="1" hidden="1">{"fdsup://directions/FAT Viewer?action=UPDATE&amp;creator=factset&amp;DYN_ARGS=TRUE&amp;DOC_NAME=FAT:FQL_AUDITING_CLIENT_TEMPLATE.FAT&amp;display_string=Audit&amp;VAR:KEY=EJYHOHKNGB&amp;VAR:QUERY=Q1NGX0JQUyhRVFJfUiwyMDExLzJGKQ==&amp;WINDOW=FIRST_POPUP&amp;HEIGHT=450&amp;WIDTH=450&amp;START_MAXIMI","ZED=FALSE&amp;VAR:CALENDAR=US&amp;VAR:SYMBOL=GHL&amp;VAR:INDEX=0"}</definedName>
    <definedName name="_14__FDSAUDITLINK__" localSheetId="11" hidden="1">{"fdsup://directions/FAT Viewer?action=UPDATE&amp;creator=factset&amp;DYN_ARGS=TRUE&amp;DOC_NAME=FAT:FQL_AUDITING_CLIENT_TEMPLATE.FAT&amp;display_string=Audit&amp;VAR:KEY=EJYHOHKNGB&amp;VAR:QUERY=Q1NGX0JQUyhRVFJfUiwyMDExLzJGKQ==&amp;WINDOW=FIRST_POPUP&amp;HEIGHT=450&amp;WIDTH=450&amp;START_MAXIMI","ZED=FALSE&amp;VAR:CALENDAR=US&amp;VAR:SYMBOL=GHL&amp;VAR:INDEX=0"}</definedName>
    <definedName name="_14__FDSAUDITLINK__" hidden="1">{"fdsup://directions/FAT Viewer?action=UPDATE&amp;creator=factset&amp;DYN_ARGS=TRUE&amp;DOC_NAME=FAT:FQL_AUDITING_CLIENT_TEMPLATE.FAT&amp;display_string=Audit&amp;VAR:KEY=EJYHOHKNGB&amp;VAR:QUERY=Q1NGX0JQUyhRVFJfUiwyMDExLzJGKQ==&amp;WINDOW=FIRST_POPUP&amp;HEIGHT=450&amp;WIDTH=450&amp;START_MAXIMI","ZED=FALSE&amp;VAR:CALENDAR=US&amp;VAR:SYMBOL=GHL&amp;VAR:INDEX=0"}</definedName>
    <definedName name="_15__FDSAUDITLINK__" localSheetId="1" hidden="1">{"fdsup://directions/FAT Viewer?action=UPDATE&amp;creator=factset&amp;DYN_ARGS=TRUE&amp;DOC_NAME=FAT:FQL_AUDITING_CLIENT_TEMPLATE.FAT&amp;display_string=Audit&amp;VAR:KEY=CJMNEJWRMP&amp;VAR:QUERY=Q1NGX0JQUyhRVFJfUiwyMDExLzFGKQ==&amp;WINDOW=FIRST_POPUP&amp;HEIGHT=450&amp;WIDTH=450&amp;START_MAXIMI","ZED=FALSE&amp;VAR:CALENDAR=US&amp;VAR:SYMBOL=EVR&amp;VAR:INDEX=0"}</definedName>
    <definedName name="_15__FDSAUDITLINK__" localSheetId="11" hidden="1">{"fdsup://directions/FAT Viewer?action=UPDATE&amp;creator=factset&amp;DYN_ARGS=TRUE&amp;DOC_NAME=FAT:FQL_AUDITING_CLIENT_TEMPLATE.FAT&amp;display_string=Audit&amp;VAR:KEY=CJMNEJWRMP&amp;VAR:QUERY=Q1NGX0JQUyhRVFJfUiwyMDExLzFGKQ==&amp;WINDOW=FIRST_POPUP&amp;HEIGHT=450&amp;WIDTH=450&amp;START_MAXIMI","ZED=FALSE&amp;VAR:CALENDAR=US&amp;VAR:SYMBOL=EVR&amp;VAR:INDEX=0"}</definedName>
    <definedName name="_15__FDSAUDITLINK__" hidden="1">{"fdsup://directions/FAT Viewer?action=UPDATE&amp;creator=factset&amp;DYN_ARGS=TRUE&amp;DOC_NAME=FAT:FQL_AUDITING_CLIENT_TEMPLATE.FAT&amp;display_string=Audit&amp;VAR:KEY=CJMNEJWRMP&amp;VAR:QUERY=Q1NGX0JQUyhRVFJfUiwyMDExLzFGKQ==&amp;WINDOW=FIRST_POPUP&amp;HEIGHT=450&amp;WIDTH=450&amp;START_MAXIMI","ZED=FALSE&amp;VAR:CALENDAR=US&amp;VAR:SYMBOL=EVR&amp;VAR:INDEX=0"}</definedName>
    <definedName name="_16__FDSAUDITLINK__" localSheetId="1" hidden="1">{"fdsup://directions/FAT Viewer?action=UPDATE&amp;creator=factset&amp;DYN_ARGS=TRUE&amp;DOC_NAME=FAT:FQL_AUDITING_CLIENT_TEMPLATE.FAT&amp;display_string=Audit&amp;VAR:KEY=QNAZOVAROP&amp;VAR:QUERY=Q1NGX0JQUyhRVFJfUiwyMDExLzJGKQ==&amp;WINDOW=FIRST_POPUP&amp;HEIGHT=450&amp;WIDTH=450&amp;START_MAXIMI","ZED=FALSE&amp;VAR:CALENDAR=US&amp;VAR:SYMBOL=EVR&amp;VAR:INDEX=0"}</definedName>
    <definedName name="_16__FDSAUDITLINK__" localSheetId="11" hidden="1">{"fdsup://directions/FAT Viewer?action=UPDATE&amp;creator=factset&amp;DYN_ARGS=TRUE&amp;DOC_NAME=FAT:FQL_AUDITING_CLIENT_TEMPLATE.FAT&amp;display_string=Audit&amp;VAR:KEY=QNAZOVAROP&amp;VAR:QUERY=Q1NGX0JQUyhRVFJfUiwyMDExLzJGKQ==&amp;WINDOW=FIRST_POPUP&amp;HEIGHT=450&amp;WIDTH=450&amp;START_MAXIMI","ZED=FALSE&amp;VAR:CALENDAR=US&amp;VAR:SYMBOL=EVR&amp;VAR:INDEX=0"}</definedName>
    <definedName name="_16__FDSAUDITLINK__" hidden="1">{"fdsup://directions/FAT Viewer?action=UPDATE&amp;creator=factset&amp;DYN_ARGS=TRUE&amp;DOC_NAME=FAT:FQL_AUDITING_CLIENT_TEMPLATE.FAT&amp;display_string=Audit&amp;VAR:KEY=QNAZOVAROP&amp;VAR:QUERY=Q1NGX0JQUyhRVFJfUiwyMDExLzJGKQ==&amp;WINDOW=FIRST_POPUP&amp;HEIGHT=450&amp;WIDTH=450&amp;START_MAXIMI","ZED=FALSE&amp;VAR:CALENDAR=US&amp;VAR:SYMBOL=EVR&amp;VAR:INDEX=0"}</definedName>
    <definedName name="_17__FDSAUDITLINK__" localSheetId="1" hidden="1">{"fdsup://directions/FAT Viewer?action=UPDATE&amp;creator=factset&amp;DYN_ARGS=TRUE&amp;DOC_NAME=FAT:FQL_AUDITING_CLIENT_TEMPLATE.FAT&amp;display_string=Audit&amp;VAR:KEY=WLADOTQLML&amp;VAR:QUERY=Q1NGX0JQUyhRVFJfUiwyMDExLzJGKQ==&amp;WINDOW=FIRST_POPUP&amp;HEIGHT=450&amp;WIDTH=450&amp;START_MAXIMI","ZED=FALSE&amp;VAR:CALENDAR=US&amp;VAR:SYMBOL=LAZ&amp;VAR:INDEX=0"}</definedName>
    <definedName name="_17__FDSAUDITLINK__" localSheetId="11" hidden="1">{"fdsup://directions/FAT Viewer?action=UPDATE&amp;creator=factset&amp;DYN_ARGS=TRUE&amp;DOC_NAME=FAT:FQL_AUDITING_CLIENT_TEMPLATE.FAT&amp;display_string=Audit&amp;VAR:KEY=WLADOTQLML&amp;VAR:QUERY=Q1NGX0JQUyhRVFJfUiwyMDExLzJGKQ==&amp;WINDOW=FIRST_POPUP&amp;HEIGHT=450&amp;WIDTH=450&amp;START_MAXIMI","ZED=FALSE&amp;VAR:CALENDAR=US&amp;VAR:SYMBOL=LAZ&amp;VAR:INDEX=0"}</definedName>
    <definedName name="_17__FDSAUDITLINK__" hidden="1">{"fdsup://directions/FAT Viewer?action=UPDATE&amp;creator=factset&amp;DYN_ARGS=TRUE&amp;DOC_NAME=FAT:FQL_AUDITING_CLIENT_TEMPLATE.FAT&amp;display_string=Audit&amp;VAR:KEY=WLADOTQLML&amp;VAR:QUERY=Q1NGX0JQUyhRVFJfUiwyMDExLzJGKQ==&amp;WINDOW=FIRST_POPUP&amp;HEIGHT=450&amp;WIDTH=450&amp;START_MAXIMI","ZED=FALSE&amp;VAR:CALENDAR=US&amp;VAR:SYMBOL=LAZ&amp;VAR:INDEX=0"}</definedName>
    <definedName name="_18__FDSAUDITLINK__" localSheetId="1" hidden="1">{"fdsup://directions/FAT Viewer?action=UPDATE&amp;creator=factset&amp;DYN_ARGS=TRUE&amp;DOC_NAME=FAT:FQL_AUDITING_CLIENT_TEMPLATE.FAT&amp;display_string=Audit&amp;VAR:KEY=WLADOTQLML&amp;VAR:QUERY=Q1NGX0JQUyhRVFJfUiwyMDExLzJGKQ==&amp;WINDOW=FIRST_POPUP&amp;HEIGHT=450&amp;WIDTH=450&amp;START_MAXIMI","ZED=FALSE&amp;VAR:CALENDAR=US&amp;VAR:SYMBOL=LAZ&amp;VAR:INDEX=0"}</definedName>
    <definedName name="_18__FDSAUDITLINK__" localSheetId="11" hidden="1">{"fdsup://directions/FAT Viewer?action=UPDATE&amp;creator=factset&amp;DYN_ARGS=TRUE&amp;DOC_NAME=FAT:FQL_AUDITING_CLIENT_TEMPLATE.FAT&amp;display_string=Audit&amp;VAR:KEY=WLADOTQLML&amp;VAR:QUERY=Q1NGX0JQUyhRVFJfUiwyMDExLzJGKQ==&amp;WINDOW=FIRST_POPUP&amp;HEIGHT=450&amp;WIDTH=450&amp;START_MAXIMI","ZED=FALSE&amp;VAR:CALENDAR=US&amp;VAR:SYMBOL=LAZ&amp;VAR:INDEX=0"}</definedName>
    <definedName name="_18__FDSAUDITLINK__" hidden="1">{"fdsup://directions/FAT Viewer?action=UPDATE&amp;creator=factset&amp;DYN_ARGS=TRUE&amp;DOC_NAME=FAT:FQL_AUDITING_CLIENT_TEMPLATE.FAT&amp;display_string=Audit&amp;VAR:KEY=WLADOTQLML&amp;VAR:QUERY=Q1NGX0JQUyhRVFJfUiwyMDExLzJGKQ==&amp;WINDOW=FIRST_POPUP&amp;HEIGHT=450&amp;WIDTH=450&amp;START_MAXIMI","ZED=FALSE&amp;VAR:CALENDAR=US&amp;VAR:SYMBOL=LAZ&amp;VAR:INDEX=0"}</definedName>
    <definedName name="_19__FDSAUDITLINK__" localSheetId="1" hidden="1">{"fdsup://directions/FAT Viewer?action=UPDATE&amp;creator=factset&amp;DYN_ARGS=TRUE&amp;DOC_NAME=FAT:FQL_AUDITING_CLIENT_TEMPLATE.FAT&amp;display_string=Audit&amp;VAR:KEY=KBITKLSRUB&amp;VAR:QUERY=Q1NGX0JQUyhRVFJfUiwyMDExLzFGKQ==&amp;WINDOW=FIRST_POPUP&amp;HEIGHT=450&amp;WIDTH=450&amp;START_MAXIMI","ZED=FALSE&amp;VAR:CALENDAR=US&amp;VAR:SYMBOL=FBRC&amp;VAR:INDEX=0"}</definedName>
    <definedName name="_19__FDSAUDITLINK__" localSheetId="11" hidden="1">{"fdsup://directions/FAT Viewer?action=UPDATE&amp;creator=factset&amp;DYN_ARGS=TRUE&amp;DOC_NAME=FAT:FQL_AUDITING_CLIENT_TEMPLATE.FAT&amp;display_string=Audit&amp;VAR:KEY=KBITKLSRUB&amp;VAR:QUERY=Q1NGX0JQUyhRVFJfUiwyMDExLzFGKQ==&amp;WINDOW=FIRST_POPUP&amp;HEIGHT=450&amp;WIDTH=450&amp;START_MAXIMI","ZED=FALSE&amp;VAR:CALENDAR=US&amp;VAR:SYMBOL=FBRC&amp;VAR:INDEX=0"}</definedName>
    <definedName name="_19__FDSAUDITLINK__" hidden="1">{"fdsup://directions/FAT Viewer?action=UPDATE&amp;creator=factset&amp;DYN_ARGS=TRUE&amp;DOC_NAME=FAT:FQL_AUDITING_CLIENT_TEMPLATE.FAT&amp;display_string=Audit&amp;VAR:KEY=KBITKLSRUB&amp;VAR:QUERY=Q1NGX0JQUyhRVFJfUiwyMDExLzFGKQ==&amp;WINDOW=FIRST_POPUP&amp;HEIGHT=450&amp;WIDTH=450&amp;START_MAXIMI","ZED=FALSE&amp;VAR:CALENDAR=US&amp;VAR:SYMBOL=FBRC&amp;VAR:INDEX=0"}</definedName>
    <definedName name="_2__FDSAUDITLINK__" localSheetId="1" hidden="1">{"fdsup://Directions/FactSet Auditing Viewer?action=AUDIT_VALUE&amp;DB=129&amp;ID1=88033G10&amp;VALUEID=01401&amp;SDATE=201003&amp;PERIODTYPE=QTR_STD&amp;window=popup_no_bar&amp;width=385&amp;height=120&amp;START_MAXIMIZED=FALSE&amp;creator=factset&amp;display_string=Audit"}</definedName>
    <definedName name="_2__FDSAUDITLINK__" localSheetId="11" hidden="1">{"fdsup://Directions/FactSet Auditing Viewer?action=AUDIT_VALUE&amp;DB=129&amp;ID1=88033G10&amp;VALUEID=01401&amp;SDATE=201003&amp;PERIODTYPE=QTR_STD&amp;window=popup_no_bar&amp;width=385&amp;height=120&amp;START_MAXIMIZED=FALSE&amp;creator=factset&amp;display_string=Audit"}</definedName>
    <definedName name="_2__FDSAUDITLINK__" hidden="1">{"fdsup://Directions/FactSet Auditing Viewer?action=AUDIT_VALUE&amp;DB=129&amp;ID1=88033G10&amp;VALUEID=01401&amp;SDATE=201003&amp;PERIODTYPE=QTR_STD&amp;window=popup_no_bar&amp;width=385&amp;height=120&amp;START_MAXIMIZED=FALSE&amp;creator=factset&amp;display_string=Audit"}</definedName>
    <definedName name="_20__FDSAUDITLINK__" localSheetId="1" hidden="1">{"fdsup://directions/FAT Viewer?action=UPDATE&amp;creator=factset&amp;DYN_ARGS=TRUE&amp;DOC_NAME=FAT:FQL_AUDITING_CLIENT_TEMPLATE.FAT&amp;display_string=Audit&amp;VAR:KEY=WFWJIXYNIT&amp;VAR:QUERY=Q1NGX0JQUyhRVFJfUiwyMDExLzFGKQ==&amp;WINDOW=FIRST_POPUP&amp;HEIGHT=450&amp;WIDTH=450&amp;START_MAXIMI","ZED=FALSE&amp;VAR:CALENDAR=US&amp;VAR:SYMBOL=SF&amp;VAR:INDEX=0"}</definedName>
    <definedName name="_20__FDSAUDITLINK__" localSheetId="11" hidden="1">{"fdsup://directions/FAT Viewer?action=UPDATE&amp;creator=factset&amp;DYN_ARGS=TRUE&amp;DOC_NAME=FAT:FQL_AUDITING_CLIENT_TEMPLATE.FAT&amp;display_string=Audit&amp;VAR:KEY=WFWJIXYNIT&amp;VAR:QUERY=Q1NGX0JQUyhRVFJfUiwyMDExLzFGKQ==&amp;WINDOW=FIRST_POPUP&amp;HEIGHT=450&amp;WIDTH=450&amp;START_MAXIMI","ZED=FALSE&amp;VAR:CALENDAR=US&amp;VAR:SYMBOL=SF&amp;VAR:INDEX=0"}</definedName>
    <definedName name="_20__FDSAUDITLINK__" hidden="1">{"fdsup://directions/FAT Viewer?action=UPDATE&amp;creator=factset&amp;DYN_ARGS=TRUE&amp;DOC_NAME=FAT:FQL_AUDITING_CLIENT_TEMPLATE.FAT&amp;display_string=Audit&amp;VAR:KEY=WFWJIXYNIT&amp;VAR:QUERY=Q1NGX0JQUyhRVFJfUiwyMDExLzFGKQ==&amp;WINDOW=FIRST_POPUP&amp;HEIGHT=450&amp;WIDTH=450&amp;START_MAXIMI","ZED=FALSE&amp;VAR:CALENDAR=US&amp;VAR:SYMBOL=SF&amp;VAR:INDEX=0"}</definedName>
    <definedName name="_21__FDSAUDITLINK__" localSheetId="1" hidden="1">{"fdsup://directions/FAT Viewer?action=UPDATE&amp;creator=factset&amp;DYN_ARGS=TRUE&amp;DOC_NAME=FAT:FQL_AUDITING_CLIENT_TEMPLATE.FAT&amp;display_string=Audit&amp;VAR:KEY=GHMFITWVSN&amp;VAR:QUERY=Q1NGX0JQUyhRVFJfUiwyMDExLzFGKQ==&amp;WINDOW=FIRST_POPUP&amp;HEIGHT=450&amp;WIDTH=450&amp;START_MAXIMI","ZED=FALSE&amp;VAR:CALENDAR=US&amp;VAR:SYMBOL=PJC&amp;VAR:INDEX=0"}</definedName>
    <definedName name="_21__FDSAUDITLINK__" localSheetId="11" hidden="1">{"fdsup://directions/FAT Viewer?action=UPDATE&amp;creator=factset&amp;DYN_ARGS=TRUE&amp;DOC_NAME=FAT:FQL_AUDITING_CLIENT_TEMPLATE.FAT&amp;display_string=Audit&amp;VAR:KEY=GHMFITWVSN&amp;VAR:QUERY=Q1NGX0JQUyhRVFJfUiwyMDExLzFGKQ==&amp;WINDOW=FIRST_POPUP&amp;HEIGHT=450&amp;WIDTH=450&amp;START_MAXIMI","ZED=FALSE&amp;VAR:CALENDAR=US&amp;VAR:SYMBOL=PJC&amp;VAR:INDEX=0"}</definedName>
    <definedName name="_21__FDSAUDITLINK__" hidden="1">{"fdsup://directions/FAT Viewer?action=UPDATE&amp;creator=factset&amp;DYN_ARGS=TRUE&amp;DOC_NAME=FAT:FQL_AUDITING_CLIENT_TEMPLATE.FAT&amp;display_string=Audit&amp;VAR:KEY=GHMFITWVSN&amp;VAR:QUERY=Q1NGX0JQUyhRVFJfUiwyMDExLzFGKQ==&amp;WINDOW=FIRST_POPUP&amp;HEIGHT=450&amp;WIDTH=450&amp;START_MAXIMI","ZED=FALSE&amp;VAR:CALENDAR=US&amp;VAR:SYMBOL=PJC&amp;VAR:INDEX=0"}</definedName>
    <definedName name="_22__FDSAUDITLINK__" localSheetId="1" hidden="1">{"fdsup://directions/FAT Viewer?action=UPDATE&amp;creator=factset&amp;DYN_ARGS=TRUE&amp;DOC_NAME=FAT:FQL_AUDITING_CLIENT_TEMPLATE.FAT&amp;display_string=Audit&amp;VAR:KEY=UZMZIVALML&amp;VAR:QUERY=Q1NGX0JQUyhRVFJfUiwyMDExLzFGKQ==&amp;WINDOW=FIRST_POPUP&amp;HEIGHT=450&amp;WIDTH=450&amp;START_MAXIMI","ZED=FALSE&amp;VAR:CALENDAR=US&amp;VAR:SYMBOL=COWN&amp;VAR:INDEX=0"}</definedName>
    <definedName name="_22__FDSAUDITLINK__" localSheetId="11" hidden="1">{"fdsup://directions/FAT Viewer?action=UPDATE&amp;creator=factset&amp;DYN_ARGS=TRUE&amp;DOC_NAME=FAT:FQL_AUDITING_CLIENT_TEMPLATE.FAT&amp;display_string=Audit&amp;VAR:KEY=UZMZIVALML&amp;VAR:QUERY=Q1NGX0JQUyhRVFJfUiwyMDExLzFGKQ==&amp;WINDOW=FIRST_POPUP&amp;HEIGHT=450&amp;WIDTH=450&amp;START_MAXIMI","ZED=FALSE&amp;VAR:CALENDAR=US&amp;VAR:SYMBOL=COWN&amp;VAR:INDEX=0"}</definedName>
    <definedName name="_22__FDSAUDITLINK__" hidden="1">{"fdsup://directions/FAT Viewer?action=UPDATE&amp;creator=factset&amp;DYN_ARGS=TRUE&amp;DOC_NAME=FAT:FQL_AUDITING_CLIENT_TEMPLATE.FAT&amp;display_string=Audit&amp;VAR:KEY=UZMZIVALML&amp;VAR:QUERY=Q1NGX0JQUyhRVFJfUiwyMDExLzFGKQ==&amp;WINDOW=FIRST_POPUP&amp;HEIGHT=450&amp;WIDTH=450&amp;START_MAXIMI","ZED=FALSE&amp;VAR:CALENDAR=US&amp;VAR:SYMBOL=COWN&amp;VAR:INDEX=0"}</definedName>
    <definedName name="_23__FDSAUDITLINK__" localSheetId="1" hidden="1">{"fdsup://directions/FAT Viewer?action=UPDATE&amp;creator=factset&amp;DYN_ARGS=TRUE&amp;DOC_NAME=FAT:FQL_AUDITING_CLIENT_TEMPLATE.FAT&amp;display_string=Audit&amp;VAR:KEY=UVADUVGFEH&amp;VAR:QUERY=Q1NGX0JQUyhRVFJfUiwyMDExLzJGKQ==&amp;WINDOW=FIRST_POPUP&amp;HEIGHT=450&amp;WIDTH=450&amp;START_MAXIMI","ZED=FALSE&amp;VAR:CALENDAR=US&amp;VAR:SYMBOL=COWN&amp;VAR:INDEX=0"}</definedName>
    <definedName name="_23__FDSAUDITLINK__" localSheetId="11" hidden="1">{"fdsup://directions/FAT Viewer?action=UPDATE&amp;creator=factset&amp;DYN_ARGS=TRUE&amp;DOC_NAME=FAT:FQL_AUDITING_CLIENT_TEMPLATE.FAT&amp;display_string=Audit&amp;VAR:KEY=UVADUVGFEH&amp;VAR:QUERY=Q1NGX0JQUyhRVFJfUiwyMDExLzJGKQ==&amp;WINDOW=FIRST_POPUP&amp;HEIGHT=450&amp;WIDTH=450&amp;START_MAXIMI","ZED=FALSE&amp;VAR:CALENDAR=US&amp;VAR:SYMBOL=COWN&amp;VAR:INDEX=0"}</definedName>
    <definedName name="_23__FDSAUDITLINK__" hidden="1">{"fdsup://directions/FAT Viewer?action=UPDATE&amp;creator=factset&amp;DYN_ARGS=TRUE&amp;DOC_NAME=FAT:FQL_AUDITING_CLIENT_TEMPLATE.FAT&amp;display_string=Audit&amp;VAR:KEY=UVADUVGFEH&amp;VAR:QUERY=Q1NGX0JQUyhRVFJfUiwyMDExLzJGKQ==&amp;WINDOW=FIRST_POPUP&amp;HEIGHT=450&amp;WIDTH=450&amp;START_MAXIMI","ZED=FALSE&amp;VAR:CALENDAR=US&amp;VAR:SYMBOL=COWN&amp;VAR:INDEX=0"}</definedName>
    <definedName name="_24__FDSAUDITLINK__" localSheetId="1" hidden="1">{"fdsup://directions/FAT Viewer?action=UPDATE&amp;creator=factset&amp;DYN_ARGS=TRUE&amp;DOC_NAME=FAT:FQL_AUDITING_CLIENT_TEMPLATE.FAT&amp;display_string=Audit&amp;VAR:KEY=WZADURGBUP&amp;VAR:QUERY=Q1NGX0JQUyhRVFJfUiwyMDExLzJGKQ==&amp;WINDOW=FIRST_POPUP&amp;HEIGHT=450&amp;WIDTH=450&amp;START_MAXIMI","ZED=FALSE&amp;VAR:CALENDAR=US&amp;VAR:SYMBOL=PJC&amp;VAR:INDEX=0"}</definedName>
    <definedName name="_24__FDSAUDITLINK__" localSheetId="11" hidden="1">{"fdsup://directions/FAT Viewer?action=UPDATE&amp;creator=factset&amp;DYN_ARGS=TRUE&amp;DOC_NAME=FAT:FQL_AUDITING_CLIENT_TEMPLATE.FAT&amp;display_string=Audit&amp;VAR:KEY=WZADURGBUP&amp;VAR:QUERY=Q1NGX0JQUyhRVFJfUiwyMDExLzJGKQ==&amp;WINDOW=FIRST_POPUP&amp;HEIGHT=450&amp;WIDTH=450&amp;START_MAXIMI","ZED=FALSE&amp;VAR:CALENDAR=US&amp;VAR:SYMBOL=PJC&amp;VAR:INDEX=0"}</definedName>
    <definedName name="_24__FDSAUDITLINK__" hidden="1">{"fdsup://directions/FAT Viewer?action=UPDATE&amp;creator=factset&amp;DYN_ARGS=TRUE&amp;DOC_NAME=FAT:FQL_AUDITING_CLIENT_TEMPLATE.FAT&amp;display_string=Audit&amp;VAR:KEY=WZADURGBUP&amp;VAR:QUERY=Q1NGX0JQUyhRVFJfUiwyMDExLzJGKQ==&amp;WINDOW=FIRST_POPUP&amp;HEIGHT=450&amp;WIDTH=450&amp;START_MAXIMI","ZED=FALSE&amp;VAR:CALENDAR=US&amp;VAR:SYMBOL=PJC&amp;VAR:INDEX=0"}</definedName>
    <definedName name="_25__FDSAUDITLINK__" localSheetId="1" hidden="1">{"fdsup://directions/FAT Viewer?action=UPDATE&amp;creator=factset&amp;DYN_ARGS=TRUE&amp;DOC_NAME=FAT:FQL_AUDITING_CLIENT_TEMPLATE.FAT&amp;display_string=Audit&amp;VAR:KEY=WVMFWBYVWB&amp;VAR:QUERY=Q1NGX0JQUyhRVFJfUiwyMDExLzJGKQ==&amp;WINDOW=FIRST_POPUP&amp;HEIGHT=450&amp;WIDTH=450&amp;START_MAXIMI","ZED=FALSE&amp;VAR:CALENDAR=US&amp;VAR:SYMBOL=FBRC&amp;VAR:INDEX=0"}</definedName>
    <definedName name="_25__FDSAUDITLINK__" localSheetId="11" hidden="1">{"fdsup://directions/FAT Viewer?action=UPDATE&amp;creator=factset&amp;DYN_ARGS=TRUE&amp;DOC_NAME=FAT:FQL_AUDITING_CLIENT_TEMPLATE.FAT&amp;display_string=Audit&amp;VAR:KEY=WVMFWBYVWB&amp;VAR:QUERY=Q1NGX0JQUyhRVFJfUiwyMDExLzJGKQ==&amp;WINDOW=FIRST_POPUP&amp;HEIGHT=450&amp;WIDTH=450&amp;START_MAXIMI","ZED=FALSE&amp;VAR:CALENDAR=US&amp;VAR:SYMBOL=FBRC&amp;VAR:INDEX=0"}</definedName>
    <definedName name="_25__FDSAUDITLINK__" hidden="1">{"fdsup://directions/FAT Viewer?action=UPDATE&amp;creator=factset&amp;DYN_ARGS=TRUE&amp;DOC_NAME=FAT:FQL_AUDITING_CLIENT_TEMPLATE.FAT&amp;display_string=Audit&amp;VAR:KEY=WVMFWBYVWB&amp;VAR:QUERY=Q1NGX0JQUyhRVFJfUiwyMDExLzJGKQ==&amp;WINDOW=FIRST_POPUP&amp;HEIGHT=450&amp;WIDTH=450&amp;START_MAXIMI","ZED=FALSE&amp;VAR:CALENDAR=US&amp;VAR:SYMBOL=FBRC&amp;VAR:INDEX=0"}</definedName>
    <definedName name="_26__FDSAUDITLINK__" localSheetId="1" hidden="1">{"fdsup://directions/FAT Viewer?action=UPDATE&amp;creator=factset&amp;DYN_ARGS=TRUE&amp;DOC_NAME=FAT:FQL_AUDITING_CLIENT_TEMPLATE.FAT&amp;display_string=Audit&amp;VAR:KEY=WVMFWBYVWB&amp;VAR:QUERY=Q1NGX0JQUyhRVFJfUiwyMDExLzJGKQ==&amp;WINDOW=FIRST_POPUP&amp;HEIGHT=450&amp;WIDTH=450&amp;START_MAXIMI","ZED=FALSE&amp;VAR:CALENDAR=US&amp;VAR:SYMBOL=FBRC&amp;VAR:INDEX=0"}</definedName>
    <definedName name="_26__FDSAUDITLINK__" localSheetId="11" hidden="1">{"fdsup://directions/FAT Viewer?action=UPDATE&amp;creator=factset&amp;DYN_ARGS=TRUE&amp;DOC_NAME=FAT:FQL_AUDITING_CLIENT_TEMPLATE.FAT&amp;display_string=Audit&amp;VAR:KEY=WVMFWBYVWB&amp;VAR:QUERY=Q1NGX0JQUyhRVFJfUiwyMDExLzJGKQ==&amp;WINDOW=FIRST_POPUP&amp;HEIGHT=450&amp;WIDTH=450&amp;START_MAXIMI","ZED=FALSE&amp;VAR:CALENDAR=US&amp;VAR:SYMBOL=FBRC&amp;VAR:INDEX=0"}</definedName>
    <definedName name="_26__FDSAUDITLINK__" hidden="1">{"fdsup://directions/FAT Viewer?action=UPDATE&amp;creator=factset&amp;DYN_ARGS=TRUE&amp;DOC_NAME=FAT:FQL_AUDITING_CLIENT_TEMPLATE.FAT&amp;display_string=Audit&amp;VAR:KEY=WVMFWBYVWB&amp;VAR:QUERY=Q1NGX0JQUyhRVFJfUiwyMDExLzJGKQ==&amp;WINDOW=FIRST_POPUP&amp;HEIGHT=450&amp;WIDTH=450&amp;START_MAXIMI","ZED=FALSE&amp;VAR:CALENDAR=US&amp;VAR:SYMBOL=FBRC&amp;VAR:INDEX=0"}</definedName>
    <definedName name="_27__FDSAUDITLINK__" localSheetId="1" hidden="1">{"fdsup://directions/FAT Viewer?action=UPDATE&amp;creator=factset&amp;DYN_ARGS=TRUE&amp;DOC_NAME=FAT:FQL_AUDITING_CLIENT_TEMPLATE.FAT&amp;display_string=Audit&amp;VAR:KEY=IBINYVOPMX&amp;VAR:QUERY=Q1NGX0JQUyhRVFJfUiwyMDExLzJGKQ==&amp;WINDOW=FIRST_POPUP&amp;HEIGHT=450&amp;WIDTH=450&amp;START_MAXIMI","ZED=FALSE&amp;VAR:CALENDAR=US&amp;VAR:SYMBOL=SF&amp;VAR:INDEX=0"}</definedName>
    <definedName name="_27__FDSAUDITLINK__" localSheetId="11" hidden="1">{"fdsup://directions/FAT Viewer?action=UPDATE&amp;creator=factset&amp;DYN_ARGS=TRUE&amp;DOC_NAME=FAT:FQL_AUDITING_CLIENT_TEMPLATE.FAT&amp;display_string=Audit&amp;VAR:KEY=IBINYVOPMX&amp;VAR:QUERY=Q1NGX0JQUyhRVFJfUiwyMDExLzJGKQ==&amp;WINDOW=FIRST_POPUP&amp;HEIGHT=450&amp;WIDTH=450&amp;START_MAXIMI","ZED=FALSE&amp;VAR:CALENDAR=US&amp;VAR:SYMBOL=SF&amp;VAR:INDEX=0"}</definedName>
    <definedName name="_27__FDSAUDITLINK__" hidden="1">{"fdsup://directions/FAT Viewer?action=UPDATE&amp;creator=factset&amp;DYN_ARGS=TRUE&amp;DOC_NAME=FAT:FQL_AUDITING_CLIENT_TEMPLATE.FAT&amp;display_string=Audit&amp;VAR:KEY=IBINYVOPMX&amp;VAR:QUERY=Q1NGX0JQUyhRVFJfUiwyMDExLzJGKQ==&amp;WINDOW=FIRST_POPUP&amp;HEIGHT=450&amp;WIDTH=450&amp;START_MAXIMI","ZED=FALSE&amp;VAR:CALENDAR=US&amp;VAR:SYMBOL=SF&amp;VAR:INDEX=0"}</definedName>
    <definedName name="_28__FDSAUDITLINK__" localSheetId="1" hidden="1">{"fdsup://directions/FAT Viewer?action=UPDATE&amp;creator=factset&amp;DYN_ARGS=TRUE&amp;DOC_NAME=FAT:FQL_AUDITING_CLIENT_TEMPLATE.FAT&amp;display_string=Audit&amp;VAR:KEY=ETOJSDIXGF&amp;VAR:QUERY=Q1NGX0JQUyhRVFJfUiwyMDExLzFGKQ==&amp;WINDOW=FIRST_POPUP&amp;HEIGHT=450&amp;WIDTH=450&amp;START_MAXIMI","ZED=FALSE&amp;VAR:CALENDAR=US&amp;VAR:SYMBOL=IVZ&amp;VAR:INDEX=0"}</definedName>
    <definedName name="_28__FDSAUDITLINK__" localSheetId="11" hidden="1">{"fdsup://directions/FAT Viewer?action=UPDATE&amp;creator=factset&amp;DYN_ARGS=TRUE&amp;DOC_NAME=FAT:FQL_AUDITING_CLIENT_TEMPLATE.FAT&amp;display_string=Audit&amp;VAR:KEY=ETOJSDIXGF&amp;VAR:QUERY=Q1NGX0JQUyhRVFJfUiwyMDExLzFGKQ==&amp;WINDOW=FIRST_POPUP&amp;HEIGHT=450&amp;WIDTH=450&amp;START_MAXIMI","ZED=FALSE&amp;VAR:CALENDAR=US&amp;VAR:SYMBOL=IVZ&amp;VAR:INDEX=0"}</definedName>
    <definedName name="_28__FDSAUDITLINK__" hidden="1">{"fdsup://directions/FAT Viewer?action=UPDATE&amp;creator=factset&amp;DYN_ARGS=TRUE&amp;DOC_NAME=FAT:FQL_AUDITING_CLIENT_TEMPLATE.FAT&amp;display_string=Audit&amp;VAR:KEY=ETOJSDIXGF&amp;VAR:QUERY=Q1NGX0JQUyhRVFJfUiwyMDExLzFGKQ==&amp;WINDOW=FIRST_POPUP&amp;HEIGHT=450&amp;WIDTH=450&amp;START_MAXIMI","ZED=FALSE&amp;VAR:CALENDAR=US&amp;VAR:SYMBOL=IVZ&amp;VAR:INDEX=0"}</definedName>
    <definedName name="_29__FDSAUDITLINK__" localSheetId="1" hidden="1">{"fdsup://directions/FAT Viewer?action=UPDATE&amp;creator=factset&amp;DYN_ARGS=TRUE&amp;DOC_NAME=FAT:FQL_AUDITING_CLIENT_TEMPLATE.FAT&amp;display_string=Audit&amp;VAR:KEY=AFWXGLOZAJ&amp;VAR:QUERY=Q1NGX0JQUyhRVFJfUiwyMDExLzFGKQ==&amp;WINDOW=FIRST_POPUP&amp;HEIGHT=450&amp;WIDTH=450&amp;START_MAXIMI","ZED=FALSE&amp;VAR:CALENDAR=US&amp;VAR:SYMBOL=JNS&amp;VAR:INDEX=0"}</definedName>
    <definedName name="_29__FDSAUDITLINK__" localSheetId="11" hidden="1">{"fdsup://directions/FAT Viewer?action=UPDATE&amp;creator=factset&amp;DYN_ARGS=TRUE&amp;DOC_NAME=FAT:FQL_AUDITING_CLIENT_TEMPLATE.FAT&amp;display_string=Audit&amp;VAR:KEY=AFWXGLOZAJ&amp;VAR:QUERY=Q1NGX0JQUyhRVFJfUiwyMDExLzFGKQ==&amp;WINDOW=FIRST_POPUP&amp;HEIGHT=450&amp;WIDTH=450&amp;START_MAXIMI","ZED=FALSE&amp;VAR:CALENDAR=US&amp;VAR:SYMBOL=JNS&amp;VAR:INDEX=0"}</definedName>
    <definedName name="_29__FDSAUDITLINK__" hidden="1">{"fdsup://directions/FAT Viewer?action=UPDATE&amp;creator=factset&amp;DYN_ARGS=TRUE&amp;DOC_NAME=FAT:FQL_AUDITING_CLIENT_TEMPLATE.FAT&amp;display_string=Audit&amp;VAR:KEY=AFWXGLOZAJ&amp;VAR:QUERY=Q1NGX0JQUyhRVFJfUiwyMDExLzFGKQ==&amp;WINDOW=FIRST_POPUP&amp;HEIGHT=450&amp;WIDTH=450&amp;START_MAXIMI","ZED=FALSE&amp;VAR:CALENDAR=US&amp;VAR:SYMBOL=JNS&amp;VAR:INDEX=0"}</definedName>
    <definedName name="_3__FDSAUDITLINK__" localSheetId="1" hidden="1">{"fdsup://Directions/FactSet Auditing Viewer?action=AUDIT_VALUE&amp;DB=129&amp;ID1=88033G10&amp;VALUEID=01401&amp;SDATE=201003&amp;PERIODTYPE=QTR_STD&amp;window=popup_no_bar&amp;width=385&amp;height=120&amp;START_MAXIMIZED=FALSE&amp;creator=factset&amp;display_string=Audit"}</definedName>
    <definedName name="_3__FDSAUDITLINK__" localSheetId="11" hidden="1">{"fdsup://Directions/FactSet Auditing Viewer?action=AUDIT_VALUE&amp;DB=129&amp;ID1=88033G10&amp;VALUEID=01401&amp;SDATE=201003&amp;PERIODTYPE=QTR_STD&amp;window=popup_no_bar&amp;width=385&amp;height=120&amp;START_MAXIMIZED=FALSE&amp;creator=factset&amp;display_string=Audit"}</definedName>
    <definedName name="_3__FDSAUDITLINK__" hidden="1">{"fdsup://Directions/FactSet Auditing Viewer?action=AUDIT_VALUE&amp;DB=129&amp;ID1=88033G10&amp;VALUEID=01401&amp;SDATE=201003&amp;PERIODTYPE=QTR_STD&amp;window=popup_no_bar&amp;width=385&amp;height=120&amp;START_MAXIMIZED=FALSE&amp;creator=factset&amp;display_string=Audit"}</definedName>
    <definedName name="_30__FDSAUDITLINK__" localSheetId="1" hidden="1">{"fdsup://directions/FAT Viewer?action=UPDATE&amp;creator=factset&amp;DYN_ARGS=TRUE&amp;DOC_NAME=FAT:FQL_AUDITING_CLIENT_TEMPLATE.FAT&amp;display_string=Audit&amp;VAR:KEY=KLGTCDYRKH&amp;VAR:QUERY=Q1NGX0JQUyhRVFJfUiwyMDExLzFGKQ==&amp;WINDOW=FIRST_POPUP&amp;HEIGHT=450&amp;WIDTH=450&amp;START_MAXIMI","ZED=FALSE&amp;VAR:CALENDAR=US&amp;VAR:SYMBOL=AB&amp;VAR:INDEX=0"}</definedName>
    <definedName name="_30__FDSAUDITLINK__" localSheetId="11" hidden="1">{"fdsup://directions/FAT Viewer?action=UPDATE&amp;creator=factset&amp;DYN_ARGS=TRUE&amp;DOC_NAME=FAT:FQL_AUDITING_CLIENT_TEMPLATE.FAT&amp;display_string=Audit&amp;VAR:KEY=KLGTCDYRKH&amp;VAR:QUERY=Q1NGX0JQUyhRVFJfUiwyMDExLzFGKQ==&amp;WINDOW=FIRST_POPUP&amp;HEIGHT=450&amp;WIDTH=450&amp;START_MAXIMI","ZED=FALSE&amp;VAR:CALENDAR=US&amp;VAR:SYMBOL=AB&amp;VAR:INDEX=0"}</definedName>
    <definedName name="_30__FDSAUDITLINK__" hidden="1">{"fdsup://directions/FAT Viewer?action=UPDATE&amp;creator=factset&amp;DYN_ARGS=TRUE&amp;DOC_NAME=FAT:FQL_AUDITING_CLIENT_TEMPLATE.FAT&amp;display_string=Audit&amp;VAR:KEY=KLGTCDYRKH&amp;VAR:QUERY=Q1NGX0JQUyhRVFJfUiwyMDExLzFGKQ==&amp;WINDOW=FIRST_POPUP&amp;HEIGHT=450&amp;WIDTH=450&amp;START_MAXIMI","ZED=FALSE&amp;VAR:CALENDAR=US&amp;VAR:SYMBOL=AB&amp;VAR:INDEX=0"}</definedName>
    <definedName name="_31__FDSAUDITLINK__" localSheetId="1" hidden="1">{"fdsup://directions/FAT Viewer?action=UPDATE&amp;creator=factset&amp;DYN_ARGS=TRUE&amp;DOC_NAME=FAT:FQL_AUDITING_CLIENT_TEMPLATE.FAT&amp;display_string=Audit&amp;VAR:KEY=MFKXIFQXKZ&amp;VAR:QUERY=Q1NGX0JQUyhRVFJfUiwyMDExLzFGKQ==&amp;WINDOW=FIRST_POPUP&amp;HEIGHT=450&amp;WIDTH=450&amp;START_MAXIMI","ZED=FALSE&amp;VAR:CALENDAR=US&amp;VAR:SYMBOL=BLK&amp;VAR:INDEX=0"}</definedName>
    <definedName name="_31__FDSAUDITLINK__" localSheetId="11" hidden="1">{"fdsup://directions/FAT Viewer?action=UPDATE&amp;creator=factset&amp;DYN_ARGS=TRUE&amp;DOC_NAME=FAT:FQL_AUDITING_CLIENT_TEMPLATE.FAT&amp;display_string=Audit&amp;VAR:KEY=MFKXIFQXKZ&amp;VAR:QUERY=Q1NGX0JQUyhRVFJfUiwyMDExLzFGKQ==&amp;WINDOW=FIRST_POPUP&amp;HEIGHT=450&amp;WIDTH=450&amp;START_MAXIMI","ZED=FALSE&amp;VAR:CALENDAR=US&amp;VAR:SYMBOL=BLK&amp;VAR:INDEX=0"}</definedName>
    <definedName name="_31__FDSAUDITLINK__" hidden="1">{"fdsup://directions/FAT Viewer?action=UPDATE&amp;creator=factset&amp;DYN_ARGS=TRUE&amp;DOC_NAME=FAT:FQL_AUDITING_CLIENT_TEMPLATE.FAT&amp;display_string=Audit&amp;VAR:KEY=MFKXIFQXKZ&amp;VAR:QUERY=Q1NGX0JQUyhRVFJfUiwyMDExLzFGKQ==&amp;WINDOW=FIRST_POPUP&amp;HEIGHT=450&amp;WIDTH=450&amp;START_MAXIMI","ZED=FALSE&amp;VAR:CALENDAR=US&amp;VAR:SYMBOL=BLK&amp;VAR:INDEX=0"}</definedName>
    <definedName name="_32__FDSAUDITLINK__" localSheetId="1" hidden="1">{"fdsup://directions/FAT Viewer?action=UPDATE&amp;creator=factset&amp;DYN_ARGS=TRUE&amp;DOC_NAME=FAT:FQL_AUDITING_CLIENT_TEMPLATE.FAT&amp;display_string=Audit&amp;VAR:KEY=OTMJORCLMP&amp;VAR:QUERY=Q1NGX0JQUyhRVFJfUiwyMDExLzFGKQ==&amp;WINDOW=FIRST_POPUP&amp;HEIGHT=450&amp;WIDTH=450&amp;START_MAXIMI","ZED=FALSE&amp;VAR:CALENDAR=US&amp;VAR:SYMBOL=FII&amp;VAR:INDEX=0"}</definedName>
    <definedName name="_32__FDSAUDITLINK__" localSheetId="11" hidden="1">{"fdsup://directions/FAT Viewer?action=UPDATE&amp;creator=factset&amp;DYN_ARGS=TRUE&amp;DOC_NAME=FAT:FQL_AUDITING_CLIENT_TEMPLATE.FAT&amp;display_string=Audit&amp;VAR:KEY=OTMJORCLMP&amp;VAR:QUERY=Q1NGX0JQUyhRVFJfUiwyMDExLzFGKQ==&amp;WINDOW=FIRST_POPUP&amp;HEIGHT=450&amp;WIDTH=450&amp;START_MAXIMI","ZED=FALSE&amp;VAR:CALENDAR=US&amp;VAR:SYMBOL=FII&amp;VAR:INDEX=0"}</definedName>
    <definedName name="_32__FDSAUDITLINK__" hidden="1">{"fdsup://directions/FAT Viewer?action=UPDATE&amp;creator=factset&amp;DYN_ARGS=TRUE&amp;DOC_NAME=FAT:FQL_AUDITING_CLIENT_TEMPLATE.FAT&amp;display_string=Audit&amp;VAR:KEY=OTMJORCLMP&amp;VAR:QUERY=Q1NGX0JQUyhRVFJfUiwyMDExLzFGKQ==&amp;WINDOW=FIRST_POPUP&amp;HEIGHT=450&amp;WIDTH=450&amp;START_MAXIMI","ZED=FALSE&amp;VAR:CALENDAR=US&amp;VAR:SYMBOL=FII&amp;VAR:INDEX=0"}</definedName>
    <definedName name="_33__FDSAUDITLINK__" localSheetId="1" hidden="1">{"fdsup://directions/FAT Viewer?action=UPDATE&amp;creator=factset&amp;DYN_ARGS=TRUE&amp;DOC_NAME=FAT:FQL_AUDITING_CLIENT_TEMPLATE.FAT&amp;display_string=Audit&amp;VAR:KEY=YTORIHYBKB&amp;VAR:QUERY=Q1NGX0JQUyhRVFJfUiwyMDExLzFGKQ==&amp;WINDOW=FIRST_POPUP&amp;HEIGHT=450&amp;WIDTH=450&amp;START_MAXIMI","ZED=FALSE&amp;VAR:CALENDAR=US&amp;VAR:SYMBOL=TROW&amp;VAR:INDEX=0"}</definedName>
    <definedName name="_33__FDSAUDITLINK__" localSheetId="11" hidden="1">{"fdsup://directions/FAT Viewer?action=UPDATE&amp;creator=factset&amp;DYN_ARGS=TRUE&amp;DOC_NAME=FAT:FQL_AUDITING_CLIENT_TEMPLATE.FAT&amp;display_string=Audit&amp;VAR:KEY=YTORIHYBKB&amp;VAR:QUERY=Q1NGX0JQUyhRVFJfUiwyMDExLzFGKQ==&amp;WINDOW=FIRST_POPUP&amp;HEIGHT=450&amp;WIDTH=450&amp;START_MAXIMI","ZED=FALSE&amp;VAR:CALENDAR=US&amp;VAR:SYMBOL=TROW&amp;VAR:INDEX=0"}</definedName>
    <definedName name="_33__FDSAUDITLINK__" hidden="1">{"fdsup://directions/FAT Viewer?action=UPDATE&amp;creator=factset&amp;DYN_ARGS=TRUE&amp;DOC_NAME=FAT:FQL_AUDITING_CLIENT_TEMPLATE.FAT&amp;display_string=Audit&amp;VAR:KEY=YTORIHYBKB&amp;VAR:QUERY=Q1NGX0JQUyhRVFJfUiwyMDExLzFGKQ==&amp;WINDOW=FIRST_POPUP&amp;HEIGHT=450&amp;WIDTH=450&amp;START_MAXIMI","ZED=FALSE&amp;VAR:CALENDAR=US&amp;VAR:SYMBOL=TROW&amp;VAR:INDEX=0"}</definedName>
    <definedName name="_34__FDSAUDITLINK__" localSheetId="1" hidden="1">{"fdsup://directions/FAT Viewer?action=UPDATE&amp;creator=factset&amp;DYN_ARGS=TRUE&amp;DOC_NAME=FAT:FQL_AUDITING_CLIENT_TEMPLATE.FAT&amp;display_string=Audit&amp;VAR:KEY=QNEFQJGFUP&amp;VAR:QUERY=Q1NGX0JQUyhRVFJfUiwyMDExLzJGKQ==&amp;WINDOW=FIRST_POPUP&amp;HEIGHT=450&amp;WIDTH=450&amp;START_MAXIMI","ZED=FALSE&amp;VAR:CALENDAR=US&amp;VAR:SYMBOL=IVZ&amp;VAR:INDEX=0"}</definedName>
    <definedName name="_34__FDSAUDITLINK__" localSheetId="11" hidden="1">{"fdsup://directions/FAT Viewer?action=UPDATE&amp;creator=factset&amp;DYN_ARGS=TRUE&amp;DOC_NAME=FAT:FQL_AUDITING_CLIENT_TEMPLATE.FAT&amp;display_string=Audit&amp;VAR:KEY=QNEFQJGFUP&amp;VAR:QUERY=Q1NGX0JQUyhRVFJfUiwyMDExLzJGKQ==&amp;WINDOW=FIRST_POPUP&amp;HEIGHT=450&amp;WIDTH=450&amp;START_MAXIMI","ZED=FALSE&amp;VAR:CALENDAR=US&amp;VAR:SYMBOL=IVZ&amp;VAR:INDEX=0"}</definedName>
    <definedName name="_34__FDSAUDITLINK__" hidden="1">{"fdsup://directions/FAT Viewer?action=UPDATE&amp;creator=factset&amp;DYN_ARGS=TRUE&amp;DOC_NAME=FAT:FQL_AUDITING_CLIENT_TEMPLATE.FAT&amp;display_string=Audit&amp;VAR:KEY=QNEFQJGFUP&amp;VAR:QUERY=Q1NGX0JQUyhRVFJfUiwyMDExLzJGKQ==&amp;WINDOW=FIRST_POPUP&amp;HEIGHT=450&amp;WIDTH=450&amp;START_MAXIMI","ZED=FALSE&amp;VAR:CALENDAR=US&amp;VAR:SYMBOL=IVZ&amp;VAR:INDEX=0"}</definedName>
    <definedName name="_35__FDSAUDITLINK__" localSheetId="1" hidden="1">{"fdsup://directions/FAT Viewer?action=UPDATE&amp;creator=factset&amp;DYN_ARGS=TRUE&amp;DOC_NAME=FAT:FQL_AUDITING_CLIENT_TEMPLATE.FAT&amp;display_string=Audit&amp;VAR:KEY=QNEFQJGFUP&amp;VAR:QUERY=Q1NGX0JQUyhRVFJfUiwyMDExLzJGKQ==&amp;WINDOW=FIRST_POPUP&amp;HEIGHT=450&amp;WIDTH=450&amp;START_MAXIMI","ZED=FALSE&amp;VAR:CALENDAR=US&amp;VAR:SYMBOL=IVZ&amp;VAR:INDEX=0"}</definedName>
    <definedName name="_35__FDSAUDITLINK__" localSheetId="11" hidden="1">{"fdsup://directions/FAT Viewer?action=UPDATE&amp;creator=factset&amp;DYN_ARGS=TRUE&amp;DOC_NAME=FAT:FQL_AUDITING_CLIENT_TEMPLATE.FAT&amp;display_string=Audit&amp;VAR:KEY=QNEFQJGFUP&amp;VAR:QUERY=Q1NGX0JQUyhRVFJfUiwyMDExLzJGKQ==&amp;WINDOW=FIRST_POPUP&amp;HEIGHT=450&amp;WIDTH=450&amp;START_MAXIMI","ZED=FALSE&amp;VAR:CALENDAR=US&amp;VAR:SYMBOL=IVZ&amp;VAR:INDEX=0"}</definedName>
    <definedName name="_35__FDSAUDITLINK__" hidden="1">{"fdsup://directions/FAT Viewer?action=UPDATE&amp;creator=factset&amp;DYN_ARGS=TRUE&amp;DOC_NAME=FAT:FQL_AUDITING_CLIENT_TEMPLATE.FAT&amp;display_string=Audit&amp;VAR:KEY=QNEFQJGFUP&amp;VAR:QUERY=Q1NGX0JQUyhRVFJfUiwyMDExLzJGKQ==&amp;WINDOW=FIRST_POPUP&amp;HEIGHT=450&amp;WIDTH=450&amp;START_MAXIMI","ZED=FALSE&amp;VAR:CALENDAR=US&amp;VAR:SYMBOL=IVZ&amp;VAR:INDEX=0"}</definedName>
    <definedName name="_36__FDSAUDITLINK__" localSheetId="1" hidden="1">{"fdsup://directions/FAT Viewer?action=UPDATE&amp;creator=factset&amp;DYN_ARGS=TRUE&amp;DOC_NAME=FAT:FQL_AUDITING_CLIENT_TEMPLATE.FAT&amp;display_string=Audit&amp;VAR:KEY=ILAFWRSTUF&amp;VAR:QUERY=Q1NGX0JQUyhRVFJfUiwyMDExLzFGKQ==&amp;WINDOW=FIRST_POPUP&amp;HEIGHT=450&amp;WIDTH=450&amp;START_MAXIMI","ZED=FALSE&amp;VAR:CALENDAR=US&amp;VAR:SYMBOL=CNS&amp;VAR:INDEX=0"}</definedName>
    <definedName name="_36__FDSAUDITLINK__" localSheetId="11" hidden="1">{"fdsup://directions/FAT Viewer?action=UPDATE&amp;creator=factset&amp;DYN_ARGS=TRUE&amp;DOC_NAME=FAT:FQL_AUDITING_CLIENT_TEMPLATE.FAT&amp;display_string=Audit&amp;VAR:KEY=ILAFWRSTUF&amp;VAR:QUERY=Q1NGX0JQUyhRVFJfUiwyMDExLzFGKQ==&amp;WINDOW=FIRST_POPUP&amp;HEIGHT=450&amp;WIDTH=450&amp;START_MAXIMI","ZED=FALSE&amp;VAR:CALENDAR=US&amp;VAR:SYMBOL=CNS&amp;VAR:INDEX=0"}</definedName>
    <definedName name="_36__FDSAUDITLINK__" hidden="1">{"fdsup://directions/FAT Viewer?action=UPDATE&amp;creator=factset&amp;DYN_ARGS=TRUE&amp;DOC_NAME=FAT:FQL_AUDITING_CLIENT_TEMPLATE.FAT&amp;display_string=Audit&amp;VAR:KEY=ILAFWRSTUF&amp;VAR:QUERY=Q1NGX0JQUyhRVFJfUiwyMDExLzFGKQ==&amp;WINDOW=FIRST_POPUP&amp;HEIGHT=450&amp;WIDTH=450&amp;START_MAXIMI","ZED=FALSE&amp;VAR:CALENDAR=US&amp;VAR:SYMBOL=CNS&amp;VAR:INDEX=0"}</definedName>
    <definedName name="_37__FDSAUDITLINK__" localSheetId="1" hidden="1">{"fdsup://directions/FAT Viewer?action=UPDATE&amp;creator=factset&amp;DYN_ARGS=TRUE&amp;DOC_NAME=FAT:FQL_AUDITING_CLIENT_TEMPLATE.FAT&amp;display_string=Audit&amp;VAR:KEY=CVCTQFCVCX&amp;VAR:QUERY=Q1NGX0JQUyhRVFJfUiwyMDExLzJGKQ==&amp;WINDOW=FIRST_POPUP&amp;HEIGHT=450&amp;WIDTH=450&amp;START_MAXIMI","ZED=FALSE&amp;VAR:CALENDAR=US&amp;VAR:SYMBOL=CNS&amp;VAR:INDEX=0"}</definedName>
    <definedName name="_37__FDSAUDITLINK__" localSheetId="11" hidden="1">{"fdsup://directions/FAT Viewer?action=UPDATE&amp;creator=factset&amp;DYN_ARGS=TRUE&amp;DOC_NAME=FAT:FQL_AUDITING_CLIENT_TEMPLATE.FAT&amp;display_string=Audit&amp;VAR:KEY=CVCTQFCVCX&amp;VAR:QUERY=Q1NGX0JQUyhRVFJfUiwyMDExLzJGKQ==&amp;WINDOW=FIRST_POPUP&amp;HEIGHT=450&amp;WIDTH=450&amp;START_MAXIMI","ZED=FALSE&amp;VAR:CALENDAR=US&amp;VAR:SYMBOL=CNS&amp;VAR:INDEX=0"}</definedName>
    <definedName name="_37__FDSAUDITLINK__" hidden="1">{"fdsup://directions/FAT Viewer?action=UPDATE&amp;creator=factset&amp;DYN_ARGS=TRUE&amp;DOC_NAME=FAT:FQL_AUDITING_CLIENT_TEMPLATE.FAT&amp;display_string=Audit&amp;VAR:KEY=CVCTQFCVCX&amp;VAR:QUERY=Q1NGX0JQUyhRVFJfUiwyMDExLzJGKQ==&amp;WINDOW=FIRST_POPUP&amp;HEIGHT=450&amp;WIDTH=450&amp;START_MAXIMI","ZED=FALSE&amp;VAR:CALENDAR=US&amp;VAR:SYMBOL=CNS&amp;VAR:INDEX=0"}</definedName>
    <definedName name="_38__FDSAUDITLINK__" localSheetId="1" hidden="1">{"fdsup://directions/FAT Viewer?action=UPDATE&amp;creator=factset&amp;DYN_ARGS=TRUE&amp;DOC_NAME=FAT:FQL_AUDITING_CLIENT_TEMPLATE.FAT&amp;display_string=Audit&amp;VAR:KEY=ORMHQTYJKR&amp;VAR:QUERY=Q1NGX0JQUyhRVFJfUiwyMDExLzJGKQ==&amp;WINDOW=FIRST_POPUP&amp;HEIGHT=450&amp;WIDTH=450&amp;START_MAXIMI","ZED=FALSE&amp;VAR:CALENDAR=US&amp;VAR:SYMBOL=JNS&amp;VAR:INDEX=0"}</definedName>
    <definedName name="_38__FDSAUDITLINK__" localSheetId="11" hidden="1">{"fdsup://directions/FAT Viewer?action=UPDATE&amp;creator=factset&amp;DYN_ARGS=TRUE&amp;DOC_NAME=FAT:FQL_AUDITING_CLIENT_TEMPLATE.FAT&amp;display_string=Audit&amp;VAR:KEY=ORMHQTYJKR&amp;VAR:QUERY=Q1NGX0JQUyhRVFJfUiwyMDExLzJGKQ==&amp;WINDOW=FIRST_POPUP&amp;HEIGHT=450&amp;WIDTH=450&amp;START_MAXIMI","ZED=FALSE&amp;VAR:CALENDAR=US&amp;VAR:SYMBOL=JNS&amp;VAR:INDEX=0"}</definedName>
    <definedName name="_38__FDSAUDITLINK__" hidden="1">{"fdsup://directions/FAT Viewer?action=UPDATE&amp;creator=factset&amp;DYN_ARGS=TRUE&amp;DOC_NAME=FAT:FQL_AUDITING_CLIENT_TEMPLATE.FAT&amp;display_string=Audit&amp;VAR:KEY=ORMHQTYJKR&amp;VAR:QUERY=Q1NGX0JQUyhRVFJfUiwyMDExLzJGKQ==&amp;WINDOW=FIRST_POPUP&amp;HEIGHT=450&amp;WIDTH=450&amp;START_MAXIMI","ZED=FALSE&amp;VAR:CALENDAR=US&amp;VAR:SYMBOL=JNS&amp;VAR:INDEX=0"}</definedName>
    <definedName name="_39__FDSAUDITLINK__" localSheetId="1" hidden="1">{"fdsup://directions/FAT Viewer?action=UPDATE&amp;creator=factset&amp;DYN_ARGS=TRUE&amp;DOC_NAME=FAT:FQL_AUDITING_CLIENT_TEMPLATE.FAT&amp;display_string=Audit&amp;VAR:KEY=ORMHQTYJKR&amp;VAR:QUERY=Q1NGX0JQUyhRVFJfUiwyMDExLzJGKQ==&amp;WINDOW=FIRST_POPUP&amp;HEIGHT=450&amp;WIDTH=450&amp;START_MAXIMI","ZED=FALSE&amp;VAR:CALENDAR=US&amp;VAR:SYMBOL=JNS&amp;VAR:INDEX=0"}</definedName>
    <definedName name="_39__FDSAUDITLINK__" localSheetId="11" hidden="1">{"fdsup://directions/FAT Viewer?action=UPDATE&amp;creator=factset&amp;DYN_ARGS=TRUE&amp;DOC_NAME=FAT:FQL_AUDITING_CLIENT_TEMPLATE.FAT&amp;display_string=Audit&amp;VAR:KEY=ORMHQTYJKR&amp;VAR:QUERY=Q1NGX0JQUyhRVFJfUiwyMDExLzJGKQ==&amp;WINDOW=FIRST_POPUP&amp;HEIGHT=450&amp;WIDTH=450&amp;START_MAXIMI","ZED=FALSE&amp;VAR:CALENDAR=US&amp;VAR:SYMBOL=JNS&amp;VAR:INDEX=0"}</definedName>
    <definedName name="_39__FDSAUDITLINK__" hidden="1">{"fdsup://directions/FAT Viewer?action=UPDATE&amp;creator=factset&amp;DYN_ARGS=TRUE&amp;DOC_NAME=FAT:FQL_AUDITING_CLIENT_TEMPLATE.FAT&amp;display_string=Audit&amp;VAR:KEY=ORMHQTYJKR&amp;VAR:QUERY=Q1NGX0JQUyhRVFJfUiwyMDExLzJGKQ==&amp;WINDOW=FIRST_POPUP&amp;HEIGHT=450&amp;WIDTH=450&amp;START_MAXIMI","ZED=FALSE&amp;VAR:CALENDAR=US&amp;VAR:SYMBOL=JNS&amp;VAR:INDEX=0"}</definedName>
    <definedName name="_4__FDSAUDITLINK__" localSheetId="1" hidden="1">{"fdsup://directions/FAT Viewer?action=UPDATE&amp;creator=factset&amp;DYN_ARGS=TRUE&amp;DOC_NAME=FAT:FQL_AUDITING_CLIENT_TEMPLATE.FAT&amp;display_string=Audit&amp;VAR:KEY=SVGVORCPSD&amp;VAR:QUERY=Q1NGX0JQUyhRVFJfUiwyMDExLzJGKQ==&amp;WINDOW=FIRST_POPUP&amp;HEIGHT=450&amp;WIDTH=450&amp;START_MAXIMI","ZED=FALSE&amp;VAR:CALENDAR=US&amp;VAR:SYMBOL=28.7&amp;VAR:INDEX=0"}</definedName>
    <definedName name="_4__FDSAUDITLINK__" localSheetId="11" hidden="1">{"fdsup://directions/FAT Viewer?action=UPDATE&amp;creator=factset&amp;DYN_ARGS=TRUE&amp;DOC_NAME=FAT:FQL_AUDITING_CLIENT_TEMPLATE.FAT&amp;display_string=Audit&amp;VAR:KEY=SVGVORCPSD&amp;VAR:QUERY=Q1NGX0JQUyhRVFJfUiwyMDExLzJGKQ==&amp;WINDOW=FIRST_POPUP&amp;HEIGHT=450&amp;WIDTH=450&amp;START_MAXIMI","ZED=FALSE&amp;VAR:CALENDAR=US&amp;VAR:SYMBOL=28.7&amp;VAR:INDEX=0"}</definedName>
    <definedName name="_4__FDSAUDITLINK__" hidden="1">{"fdsup://directions/FAT Viewer?action=UPDATE&amp;creator=factset&amp;DYN_ARGS=TRUE&amp;DOC_NAME=FAT:FQL_AUDITING_CLIENT_TEMPLATE.FAT&amp;display_string=Audit&amp;VAR:KEY=SVGVORCPSD&amp;VAR:QUERY=Q1NGX0JQUyhRVFJfUiwyMDExLzJGKQ==&amp;WINDOW=FIRST_POPUP&amp;HEIGHT=450&amp;WIDTH=450&amp;START_MAXIMI","ZED=FALSE&amp;VAR:CALENDAR=US&amp;VAR:SYMBOL=28.7&amp;VAR:INDEX=0"}</definedName>
    <definedName name="_40__FDSAUDITLINK__" localSheetId="1" hidden="1">{"fdsup://directions/FAT Viewer?action=UPDATE&amp;creator=factset&amp;DYN_ARGS=TRUE&amp;DOC_NAME=FAT:FQL_AUDITING_CLIENT_TEMPLATE.FAT&amp;display_string=Audit&amp;VAR:KEY=KTIJCTILAL&amp;VAR:QUERY=Q1NGX0JQUyhRVFJfUiwyMDExLzJGKQ==&amp;WINDOW=FIRST_POPUP&amp;HEIGHT=450&amp;WIDTH=450&amp;START_MAXIMI","ZED=FALSE&amp;VAR:CALENDAR=US&amp;VAR:SYMBOL=AB&amp;VAR:INDEX=0"}</definedName>
    <definedName name="_40__FDSAUDITLINK__" localSheetId="11" hidden="1">{"fdsup://directions/FAT Viewer?action=UPDATE&amp;creator=factset&amp;DYN_ARGS=TRUE&amp;DOC_NAME=FAT:FQL_AUDITING_CLIENT_TEMPLATE.FAT&amp;display_string=Audit&amp;VAR:KEY=KTIJCTILAL&amp;VAR:QUERY=Q1NGX0JQUyhRVFJfUiwyMDExLzJGKQ==&amp;WINDOW=FIRST_POPUP&amp;HEIGHT=450&amp;WIDTH=450&amp;START_MAXIMI","ZED=FALSE&amp;VAR:CALENDAR=US&amp;VAR:SYMBOL=AB&amp;VAR:INDEX=0"}</definedName>
    <definedName name="_40__FDSAUDITLINK__" hidden="1">{"fdsup://directions/FAT Viewer?action=UPDATE&amp;creator=factset&amp;DYN_ARGS=TRUE&amp;DOC_NAME=FAT:FQL_AUDITING_CLIENT_TEMPLATE.FAT&amp;display_string=Audit&amp;VAR:KEY=KTIJCTILAL&amp;VAR:QUERY=Q1NGX0JQUyhRVFJfUiwyMDExLzJGKQ==&amp;WINDOW=FIRST_POPUP&amp;HEIGHT=450&amp;WIDTH=450&amp;START_MAXIMI","ZED=FALSE&amp;VAR:CALENDAR=US&amp;VAR:SYMBOL=AB&amp;VAR:INDEX=0"}</definedName>
    <definedName name="_41__FDSAUDITLINK__" localSheetId="1" hidden="1">{"fdsup://directions/FAT Viewer?action=UPDATE&amp;creator=factset&amp;DYN_ARGS=TRUE&amp;DOC_NAME=FAT:FQL_AUDITING_CLIENT_TEMPLATE.FAT&amp;display_string=Audit&amp;VAR:KEY=KTIJCTILAL&amp;VAR:QUERY=Q1NGX0JQUyhRVFJfUiwyMDExLzJGKQ==&amp;WINDOW=FIRST_POPUP&amp;HEIGHT=450&amp;WIDTH=450&amp;START_MAXIMI","ZED=FALSE&amp;VAR:CALENDAR=US&amp;VAR:SYMBOL=AB&amp;VAR:INDEX=0"}</definedName>
    <definedName name="_41__FDSAUDITLINK__" localSheetId="11" hidden="1">{"fdsup://directions/FAT Viewer?action=UPDATE&amp;creator=factset&amp;DYN_ARGS=TRUE&amp;DOC_NAME=FAT:FQL_AUDITING_CLIENT_TEMPLATE.FAT&amp;display_string=Audit&amp;VAR:KEY=KTIJCTILAL&amp;VAR:QUERY=Q1NGX0JQUyhRVFJfUiwyMDExLzJGKQ==&amp;WINDOW=FIRST_POPUP&amp;HEIGHT=450&amp;WIDTH=450&amp;START_MAXIMI","ZED=FALSE&amp;VAR:CALENDAR=US&amp;VAR:SYMBOL=AB&amp;VAR:INDEX=0"}</definedName>
    <definedName name="_41__FDSAUDITLINK__" hidden="1">{"fdsup://directions/FAT Viewer?action=UPDATE&amp;creator=factset&amp;DYN_ARGS=TRUE&amp;DOC_NAME=FAT:FQL_AUDITING_CLIENT_TEMPLATE.FAT&amp;display_string=Audit&amp;VAR:KEY=KTIJCTILAL&amp;VAR:QUERY=Q1NGX0JQUyhRVFJfUiwyMDExLzJGKQ==&amp;WINDOW=FIRST_POPUP&amp;HEIGHT=450&amp;WIDTH=450&amp;START_MAXIMI","ZED=FALSE&amp;VAR:CALENDAR=US&amp;VAR:SYMBOL=AB&amp;VAR:INDEX=0"}</definedName>
    <definedName name="_42__FDSAUDITLINK__" localSheetId="1" hidden="1">{"fdsup://directions/FAT Viewer?action=UPDATE&amp;creator=factset&amp;DYN_ARGS=TRUE&amp;DOC_NAME=FAT:FQL_AUDITING_CLIENT_TEMPLATE.FAT&amp;display_string=Audit&amp;VAR:KEY=IBIJKDKVWT&amp;VAR:QUERY=Q1NGX0JQUyhRVFJfUiwyMDExLzJGKQ==&amp;WINDOW=FIRST_POPUP&amp;HEIGHT=450&amp;WIDTH=450&amp;START_MAXIMI","ZED=FALSE&amp;VAR:CALENDAR=US&amp;VAR:SYMBOL=BLK&amp;VAR:INDEX=0"}</definedName>
    <definedName name="_42__FDSAUDITLINK__" localSheetId="11" hidden="1">{"fdsup://directions/FAT Viewer?action=UPDATE&amp;creator=factset&amp;DYN_ARGS=TRUE&amp;DOC_NAME=FAT:FQL_AUDITING_CLIENT_TEMPLATE.FAT&amp;display_string=Audit&amp;VAR:KEY=IBIJKDKVWT&amp;VAR:QUERY=Q1NGX0JQUyhRVFJfUiwyMDExLzJGKQ==&amp;WINDOW=FIRST_POPUP&amp;HEIGHT=450&amp;WIDTH=450&amp;START_MAXIMI","ZED=FALSE&amp;VAR:CALENDAR=US&amp;VAR:SYMBOL=BLK&amp;VAR:INDEX=0"}</definedName>
    <definedName name="_42__FDSAUDITLINK__" hidden="1">{"fdsup://directions/FAT Viewer?action=UPDATE&amp;creator=factset&amp;DYN_ARGS=TRUE&amp;DOC_NAME=FAT:FQL_AUDITING_CLIENT_TEMPLATE.FAT&amp;display_string=Audit&amp;VAR:KEY=IBIJKDKVWT&amp;VAR:QUERY=Q1NGX0JQUyhRVFJfUiwyMDExLzJGKQ==&amp;WINDOW=FIRST_POPUP&amp;HEIGHT=450&amp;WIDTH=450&amp;START_MAXIMI","ZED=FALSE&amp;VAR:CALENDAR=US&amp;VAR:SYMBOL=BLK&amp;VAR:INDEX=0"}</definedName>
    <definedName name="_43__FDSAUDITLINK__" localSheetId="1" hidden="1">{"fdsup://directions/FAT Viewer?action=UPDATE&amp;creator=factset&amp;DYN_ARGS=TRUE&amp;DOC_NAME=FAT:FQL_AUDITING_CLIENT_TEMPLATE.FAT&amp;display_string=Audit&amp;VAR:KEY=IBIJKDKVWT&amp;VAR:QUERY=Q1NGX0JQUyhRVFJfUiwyMDExLzJGKQ==&amp;WINDOW=FIRST_POPUP&amp;HEIGHT=450&amp;WIDTH=450&amp;START_MAXIMI","ZED=FALSE&amp;VAR:CALENDAR=US&amp;VAR:SYMBOL=BLK&amp;VAR:INDEX=0"}</definedName>
    <definedName name="_43__FDSAUDITLINK__" localSheetId="11" hidden="1">{"fdsup://directions/FAT Viewer?action=UPDATE&amp;creator=factset&amp;DYN_ARGS=TRUE&amp;DOC_NAME=FAT:FQL_AUDITING_CLIENT_TEMPLATE.FAT&amp;display_string=Audit&amp;VAR:KEY=IBIJKDKVWT&amp;VAR:QUERY=Q1NGX0JQUyhRVFJfUiwyMDExLzJGKQ==&amp;WINDOW=FIRST_POPUP&amp;HEIGHT=450&amp;WIDTH=450&amp;START_MAXIMI","ZED=FALSE&amp;VAR:CALENDAR=US&amp;VAR:SYMBOL=BLK&amp;VAR:INDEX=0"}</definedName>
    <definedName name="_43__FDSAUDITLINK__" hidden="1">{"fdsup://directions/FAT Viewer?action=UPDATE&amp;creator=factset&amp;DYN_ARGS=TRUE&amp;DOC_NAME=FAT:FQL_AUDITING_CLIENT_TEMPLATE.FAT&amp;display_string=Audit&amp;VAR:KEY=IBIJKDKVWT&amp;VAR:QUERY=Q1NGX0JQUyhRVFJfUiwyMDExLzJGKQ==&amp;WINDOW=FIRST_POPUP&amp;HEIGHT=450&amp;WIDTH=450&amp;START_MAXIMI","ZED=FALSE&amp;VAR:CALENDAR=US&amp;VAR:SYMBOL=BLK&amp;VAR:INDEX=0"}</definedName>
    <definedName name="_44__FDSAUDITLINK__" localSheetId="1" hidden="1">{"fdsup://directions/FAT Viewer?action=UPDATE&amp;creator=factset&amp;DYN_ARGS=TRUE&amp;DOC_NAME=FAT:FQL_AUDITING_CLIENT_TEMPLATE.FAT&amp;display_string=Audit&amp;VAR:KEY=EDSPQPSLUD&amp;VAR:QUERY=Q1NGX0JQUyhRVFJfUiwyMDExLzFGKQ==&amp;WINDOW=FIRST_POPUP&amp;HEIGHT=450&amp;WIDTH=450&amp;START_MAXIMI","ZED=FALSE&amp;VAR:CALENDAR=US&amp;VAR:SYMBOL=LM&amp;VAR:INDEX=0"}</definedName>
    <definedName name="_44__FDSAUDITLINK__" localSheetId="11" hidden="1">{"fdsup://directions/FAT Viewer?action=UPDATE&amp;creator=factset&amp;DYN_ARGS=TRUE&amp;DOC_NAME=FAT:FQL_AUDITING_CLIENT_TEMPLATE.FAT&amp;display_string=Audit&amp;VAR:KEY=EDSPQPSLUD&amp;VAR:QUERY=Q1NGX0JQUyhRVFJfUiwyMDExLzFGKQ==&amp;WINDOW=FIRST_POPUP&amp;HEIGHT=450&amp;WIDTH=450&amp;START_MAXIMI","ZED=FALSE&amp;VAR:CALENDAR=US&amp;VAR:SYMBOL=LM&amp;VAR:INDEX=0"}</definedName>
    <definedName name="_44__FDSAUDITLINK__" hidden="1">{"fdsup://directions/FAT Viewer?action=UPDATE&amp;creator=factset&amp;DYN_ARGS=TRUE&amp;DOC_NAME=FAT:FQL_AUDITING_CLIENT_TEMPLATE.FAT&amp;display_string=Audit&amp;VAR:KEY=EDSPQPSLUD&amp;VAR:QUERY=Q1NGX0JQUyhRVFJfUiwyMDExLzFGKQ==&amp;WINDOW=FIRST_POPUP&amp;HEIGHT=450&amp;WIDTH=450&amp;START_MAXIMI","ZED=FALSE&amp;VAR:CALENDAR=US&amp;VAR:SYMBOL=LM&amp;VAR:INDEX=0"}</definedName>
    <definedName name="_45__FDSAUDITLINK__" localSheetId="1" hidden="1">{"fdsup://directions/FAT Viewer?action=UPDATE&amp;creator=factset&amp;DYN_ARGS=TRUE&amp;DOC_NAME=FAT:FQL_AUDITING_CLIENT_TEMPLATE.FAT&amp;display_string=Audit&amp;VAR:KEY=EPSRWTQLQP&amp;VAR:QUERY=Q1NGX0JQUyhRVFJfUiwyMDExLzJGKQ==&amp;WINDOW=FIRST_POPUP&amp;HEIGHT=450&amp;WIDTH=450&amp;START_MAXIMI","ZED=FALSE&amp;VAR:CALENDAR=US&amp;VAR:SYMBOL=LM&amp;VAR:INDEX=0"}</definedName>
    <definedName name="_45__FDSAUDITLINK__" localSheetId="11" hidden="1">{"fdsup://directions/FAT Viewer?action=UPDATE&amp;creator=factset&amp;DYN_ARGS=TRUE&amp;DOC_NAME=FAT:FQL_AUDITING_CLIENT_TEMPLATE.FAT&amp;display_string=Audit&amp;VAR:KEY=EPSRWTQLQP&amp;VAR:QUERY=Q1NGX0JQUyhRVFJfUiwyMDExLzJGKQ==&amp;WINDOW=FIRST_POPUP&amp;HEIGHT=450&amp;WIDTH=450&amp;START_MAXIMI","ZED=FALSE&amp;VAR:CALENDAR=US&amp;VAR:SYMBOL=LM&amp;VAR:INDEX=0"}</definedName>
    <definedName name="_45__FDSAUDITLINK__" hidden="1">{"fdsup://directions/FAT Viewer?action=UPDATE&amp;creator=factset&amp;DYN_ARGS=TRUE&amp;DOC_NAME=FAT:FQL_AUDITING_CLIENT_TEMPLATE.FAT&amp;display_string=Audit&amp;VAR:KEY=EPSRWTQLQP&amp;VAR:QUERY=Q1NGX0JQUyhRVFJfUiwyMDExLzJGKQ==&amp;WINDOW=FIRST_POPUP&amp;HEIGHT=450&amp;WIDTH=450&amp;START_MAXIMI","ZED=FALSE&amp;VAR:CALENDAR=US&amp;VAR:SYMBOL=LM&amp;VAR:INDEX=0"}</definedName>
    <definedName name="_46__FDSAUDITLINK__" localSheetId="1" hidden="1">{"fdsup://directions/FAT Viewer?action=UPDATE&amp;creator=factset&amp;DYN_ARGS=TRUE&amp;DOC_NAME=FAT:FQL_AUDITING_CLIENT_TEMPLATE.FAT&amp;display_string=Audit&amp;VAR:KEY=QZGLIXOTOL&amp;VAR:QUERY=Q1NGX0JQUyhRVFJfUiwyMDExLzJGKQ==&amp;WINDOW=FIRST_POPUP&amp;HEIGHT=450&amp;WIDTH=450&amp;START_MAXIMI","ZED=FALSE&amp;VAR:CALENDAR=US&amp;VAR:SYMBOL=FII&amp;VAR:INDEX=0"}</definedName>
    <definedName name="_46__FDSAUDITLINK__" localSheetId="11" hidden="1">{"fdsup://directions/FAT Viewer?action=UPDATE&amp;creator=factset&amp;DYN_ARGS=TRUE&amp;DOC_NAME=FAT:FQL_AUDITING_CLIENT_TEMPLATE.FAT&amp;display_string=Audit&amp;VAR:KEY=QZGLIXOTOL&amp;VAR:QUERY=Q1NGX0JQUyhRVFJfUiwyMDExLzJGKQ==&amp;WINDOW=FIRST_POPUP&amp;HEIGHT=450&amp;WIDTH=450&amp;START_MAXIMI","ZED=FALSE&amp;VAR:CALENDAR=US&amp;VAR:SYMBOL=FII&amp;VAR:INDEX=0"}</definedName>
    <definedName name="_46__FDSAUDITLINK__" hidden="1">{"fdsup://directions/FAT Viewer?action=UPDATE&amp;creator=factset&amp;DYN_ARGS=TRUE&amp;DOC_NAME=FAT:FQL_AUDITING_CLIENT_TEMPLATE.FAT&amp;display_string=Audit&amp;VAR:KEY=QZGLIXOTOL&amp;VAR:QUERY=Q1NGX0JQUyhRVFJfUiwyMDExLzJGKQ==&amp;WINDOW=FIRST_POPUP&amp;HEIGHT=450&amp;WIDTH=450&amp;START_MAXIMI","ZED=FALSE&amp;VAR:CALENDAR=US&amp;VAR:SYMBOL=FII&amp;VAR:INDEX=0"}</definedName>
    <definedName name="_47__FDSAUDITLINK__" localSheetId="1" hidden="1">{"fdsup://directions/FAT Viewer?action=UPDATE&amp;creator=factset&amp;DYN_ARGS=TRUE&amp;DOC_NAME=FAT:FQL_AUDITING_CLIENT_TEMPLATE.FAT&amp;display_string=Audit&amp;VAR:KEY=QZGLIXOTOL&amp;VAR:QUERY=Q1NGX0JQUyhRVFJfUiwyMDExLzJGKQ==&amp;WINDOW=FIRST_POPUP&amp;HEIGHT=450&amp;WIDTH=450&amp;START_MAXIMI","ZED=FALSE&amp;VAR:CALENDAR=US&amp;VAR:SYMBOL=FII&amp;VAR:INDEX=0"}</definedName>
    <definedName name="_47__FDSAUDITLINK__" localSheetId="11" hidden="1">{"fdsup://directions/FAT Viewer?action=UPDATE&amp;creator=factset&amp;DYN_ARGS=TRUE&amp;DOC_NAME=FAT:FQL_AUDITING_CLIENT_TEMPLATE.FAT&amp;display_string=Audit&amp;VAR:KEY=QZGLIXOTOL&amp;VAR:QUERY=Q1NGX0JQUyhRVFJfUiwyMDExLzJGKQ==&amp;WINDOW=FIRST_POPUP&amp;HEIGHT=450&amp;WIDTH=450&amp;START_MAXIMI","ZED=FALSE&amp;VAR:CALENDAR=US&amp;VAR:SYMBOL=FII&amp;VAR:INDEX=0"}</definedName>
    <definedName name="_47__FDSAUDITLINK__" hidden="1">{"fdsup://directions/FAT Viewer?action=UPDATE&amp;creator=factset&amp;DYN_ARGS=TRUE&amp;DOC_NAME=FAT:FQL_AUDITING_CLIENT_TEMPLATE.FAT&amp;display_string=Audit&amp;VAR:KEY=QZGLIXOTOL&amp;VAR:QUERY=Q1NGX0JQUyhRVFJfUiwyMDExLzJGKQ==&amp;WINDOW=FIRST_POPUP&amp;HEIGHT=450&amp;WIDTH=450&amp;START_MAXIMI","ZED=FALSE&amp;VAR:CALENDAR=US&amp;VAR:SYMBOL=FII&amp;VAR:INDEX=0"}</definedName>
    <definedName name="_48__FDSAUDITLINK__" localSheetId="1" hidden="1">{"fdsup://directions/FAT Viewer?action=UPDATE&amp;creator=factset&amp;DYN_ARGS=TRUE&amp;DOC_NAME=FAT:FQL_AUDITING_CLIENT_TEMPLATE.FAT&amp;display_string=Audit&amp;VAR:KEY=CBUFGFEPGH&amp;VAR:QUERY=Q1NGX0JQUyhRVFJfUiwyMDExLzJGKQ==&amp;WINDOW=FIRST_POPUP&amp;HEIGHT=450&amp;WIDTH=450&amp;START_MAXIMI","ZED=FALSE&amp;VAR:CALENDAR=US&amp;VAR:SYMBOL=TROW&amp;VAR:INDEX=0"}</definedName>
    <definedName name="_48__FDSAUDITLINK__" localSheetId="11" hidden="1">{"fdsup://directions/FAT Viewer?action=UPDATE&amp;creator=factset&amp;DYN_ARGS=TRUE&amp;DOC_NAME=FAT:FQL_AUDITING_CLIENT_TEMPLATE.FAT&amp;display_string=Audit&amp;VAR:KEY=CBUFGFEPGH&amp;VAR:QUERY=Q1NGX0JQUyhRVFJfUiwyMDExLzJGKQ==&amp;WINDOW=FIRST_POPUP&amp;HEIGHT=450&amp;WIDTH=450&amp;START_MAXIMI","ZED=FALSE&amp;VAR:CALENDAR=US&amp;VAR:SYMBOL=TROW&amp;VAR:INDEX=0"}</definedName>
    <definedName name="_48__FDSAUDITLINK__" hidden="1">{"fdsup://directions/FAT Viewer?action=UPDATE&amp;creator=factset&amp;DYN_ARGS=TRUE&amp;DOC_NAME=FAT:FQL_AUDITING_CLIENT_TEMPLATE.FAT&amp;display_string=Audit&amp;VAR:KEY=CBUFGFEPGH&amp;VAR:QUERY=Q1NGX0JQUyhRVFJfUiwyMDExLzJGKQ==&amp;WINDOW=FIRST_POPUP&amp;HEIGHT=450&amp;WIDTH=450&amp;START_MAXIMI","ZED=FALSE&amp;VAR:CALENDAR=US&amp;VAR:SYMBOL=TROW&amp;VAR:INDEX=0"}</definedName>
    <definedName name="_49__FDSAUDITLINK__" localSheetId="1" hidden="1">{"fdsup://directions/FAT Viewer?action=UPDATE&amp;creator=factset&amp;DYN_ARGS=TRUE&amp;DOC_NAME=FAT:FQL_AUDITING_CLIENT_TEMPLATE.FAT&amp;display_string=Audit&amp;VAR:KEY=CBUFGFEPGH&amp;VAR:QUERY=Q1NGX0JQUyhRVFJfUiwyMDExLzJGKQ==&amp;WINDOW=FIRST_POPUP&amp;HEIGHT=450&amp;WIDTH=450&amp;START_MAXIMI","ZED=FALSE&amp;VAR:CALENDAR=US&amp;VAR:SYMBOL=TROW&amp;VAR:INDEX=0"}</definedName>
    <definedName name="_49__FDSAUDITLINK__" localSheetId="11" hidden="1">{"fdsup://directions/FAT Viewer?action=UPDATE&amp;creator=factset&amp;DYN_ARGS=TRUE&amp;DOC_NAME=FAT:FQL_AUDITING_CLIENT_TEMPLATE.FAT&amp;display_string=Audit&amp;VAR:KEY=CBUFGFEPGH&amp;VAR:QUERY=Q1NGX0JQUyhRVFJfUiwyMDExLzJGKQ==&amp;WINDOW=FIRST_POPUP&amp;HEIGHT=450&amp;WIDTH=450&amp;START_MAXIMI","ZED=FALSE&amp;VAR:CALENDAR=US&amp;VAR:SYMBOL=TROW&amp;VAR:INDEX=0"}</definedName>
    <definedName name="_49__FDSAUDITLINK__" hidden="1">{"fdsup://directions/FAT Viewer?action=UPDATE&amp;creator=factset&amp;DYN_ARGS=TRUE&amp;DOC_NAME=FAT:FQL_AUDITING_CLIENT_TEMPLATE.FAT&amp;display_string=Audit&amp;VAR:KEY=CBUFGFEPGH&amp;VAR:QUERY=Q1NGX0JQUyhRVFJfUiwyMDExLzJGKQ==&amp;WINDOW=FIRST_POPUP&amp;HEIGHT=450&amp;WIDTH=450&amp;START_MAXIMI","ZED=FALSE&amp;VAR:CALENDAR=US&amp;VAR:SYMBOL=TROW&amp;VAR:INDEX=0"}</definedName>
    <definedName name="_5__FDSAUDITLINK__" localSheetId="1" hidden="1">{"fdsup://directions/FAT Viewer?action=UPDATE&amp;creator=factset&amp;DYN_ARGS=TRUE&amp;DOC_NAME=FAT:FQL_AUDITING_CLIENT_TEMPLATE.FAT&amp;display_string=Audit&amp;VAR:KEY=SHKHUHQZEH&amp;VAR:QUERY=Q1NGX0JQUyhRVFJfUiwyMDExLzFGKQ==&amp;WINDOW=FIRST_POPUP&amp;HEIGHT=450&amp;WIDTH=450&amp;START_MAXIMI","ZED=FALSE&amp;VAR:CALENDAR=US&amp;VAR:SYMBOL=LAZ&amp;VAR:INDEX=0"}</definedName>
    <definedName name="_5__FDSAUDITLINK__" localSheetId="11" hidden="1">{"fdsup://directions/FAT Viewer?action=UPDATE&amp;creator=factset&amp;DYN_ARGS=TRUE&amp;DOC_NAME=FAT:FQL_AUDITING_CLIENT_TEMPLATE.FAT&amp;display_string=Audit&amp;VAR:KEY=SHKHUHQZEH&amp;VAR:QUERY=Q1NGX0JQUyhRVFJfUiwyMDExLzFGKQ==&amp;WINDOW=FIRST_POPUP&amp;HEIGHT=450&amp;WIDTH=450&amp;START_MAXIMI","ZED=FALSE&amp;VAR:CALENDAR=US&amp;VAR:SYMBOL=LAZ&amp;VAR:INDEX=0"}</definedName>
    <definedName name="_5__FDSAUDITLINK__" hidden="1">{"fdsup://directions/FAT Viewer?action=UPDATE&amp;creator=factset&amp;DYN_ARGS=TRUE&amp;DOC_NAME=FAT:FQL_AUDITING_CLIENT_TEMPLATE.FAT&amp;display_string=Audit&amp;VAR:KEY=SHKHUHQZEH&amp;VAR:QUERY=Q1NGX0JQUyhRVFJfUiwyMDExLzFGKQ==&amp;WINDOW=FIRST_POPUP&amp;HEIGHT=450&amp;WIDTH=450&amp;START_MAXIMI","ZED=FALSE&amp;VAR:CALENDAR=US&amp;VAR:SYMBOL=LAZ&amp;VAR:INDEX=0"}</definedName>
    <definedName name="_50__FDSAUDITLINK__" localSheetId="1" hidden="1">{"fdsup://directions/FAT Viewer?action=UPDATE&amp;creator=factset&amp;DYN_ARGS=TRUE&amp;DOC_NAME=FAT:FQL_AUDITING_CLIENT_TEMPLATE.FAT&amp;display_string=Audit&amp;VAR:KEY=UBOVQLWBCB&amp;VAR:QUERY=Q1NGX0JQUyhRVFJfUiwyMDExLzFGKQ==&amp;WINDOW=FIRST_POPUP&amp;HEIGHT=450&amp;WIDTH=450&amp;START_MAXIMI","ZED=FALSE&amp;VAR:CALENDAR=US&amp;VAR:SYMBOL=MS&amp;VAR:INDEX=0"}</definedName>
    <definedName name="_50__FDSAUDITLINK__" localSheetId="11" hidden="1">{"fdsup://directions/FAT Viewer?action=UPDATE&amp;creator=factset&amp;DYN_ARGS=TRUE&amp;DOC_NAME=FAT:FQL_AUDITING_CLIENT_TEMPLATE.FAT&amp;display_string=Audit&amp;VAR:KEY=UBOVQLWBCB&amp;VAR:QUERY=Q1NGX0JQUyhRVFJfUiwyMDExLzFGKQ==&amp;WINDOW=FIRST_POPUP&amp;HEIGHT=450&amp;WIDTH=450&amp;START_MAXIMI","ZED=FALSE&amp;VAR:CALENDAR=US&amp;VAR:SYMBOL=MS&amp;VAR:INDEX=0"}</definedName>
    <definedName name="_50__FDSAUDITLINK__" hidden="1">{"fdsup://directions/FAT Viewer?action=UPDATE&amp;creator=factset&amp;DYN_ARGS=TRUE&amp;DOC_NAME=FAT:FQL_AUDITING_CLIENT_TEMPLATE.FAT&amp;display_string=Audit&amp;VAR:KEY=UBOVQLWBCB&amp;VAR:QUERY=Q1NGX0JQUyhRVFJfUiwyMDExLzFGKQ==&amp;WINDOW=FIRST_POPUP&amp;HEIGHT=450&amp;WIDTH=450&amp;START_MAXIMI","ZED=FALSE&amp;VAR:CALENDAR=US&amp;VAR:SYMBOL=MS&amp;VAR:INDEX=0"}</definedName>
    <definedName name="_51__FDSAUDITLINK__" localSheetId="1" hidden="1">{"fdsup://directions/FAT Viewer?action=UPDATE&amp;creator=factset&amp;DYN_ARGS=TRUE&amp;DOC_NAME=FAT:FQL_AUDITING_CLIENT_TEMPLATE.FAT&amp;display_string=Audit&amp;VAR:KEY=UDGVIRCLIR&amp;VAR:QUERY=Q1NGX0JQUyhRVFJfUiwyMDExLzJGKQ==&amp;WINDOW=FIRST_POPUP&amp;HEIGHT=450&amp;WIDTH=450&amp;START_MAXIMI","ZED=FALSE&amp;VAR:CALENDAR=US&amp;VAR:SYMBOL=MS&amp;VAR:INDEX=0"}</definedName>
    <definedName name="_51__FDSAUDITLINK__" localSheetId="11" hidden="1">{"fdsup://directions/FAT Viewer?action=UPDATE&amp;creator=factset&amp;DYN_ARGS=TRUE&amp;DOC_NAME=FAT:FQL_AUDITING_CLIENT_TEMPLATE.FAT&amp;display_string=Audit&amp;VAR:KEY=UDGVIRCLIR&amp;VAR:QUERY=Q1NGX0JQUyhRVFJfUiwyMDExLzJGKQ==&amp;WINDOW=FIRST_POPUP&amp;HEIGHT=450&amp;WIDTH=450&amp;START_MAXIMI","ZED=FALSE&amp;VAR:CALENDAR=US&amp;VAR:SYMBOL=MS&amp;VAR:INDEX=0"}</definedName>
    <definedName name="_51__FDSAUDITLINK__" hidden="1">{"fdsup://directions/FAT Viewer?action=UPDATE&amp;creator=factset&amp;DYN_ARGS=TRUE&amp;DOC_NAME=FAT:FQL_AUDITING_CLIENT_TEMPLATE.FAT&amp;display_string=Audit&amp;VAR:KEY=UDGVIRCLIR&amp;VAR:QUERY=Q1NGX0JQUyhRVFJfUiwyMDExLzJGKQ==&amp;WINDOW=FIRST_POPUP&amp;HEIGHT=450&amp;WIDTH=450&amp;START_MAXIMI","ZED=FALSE&amp;VAR:CALENDAR=US&amp;VAR:SYMBOL=MS&amp;VAR:INDEX=0"}</definedName>
    <definedName name="_52__FDSAUDITLINK__" localSheetId="1" hidden="1">{"fdsup://directions/FAT Viewer?action=UPDATE&amp;creator=factset&amp;DYN_ARGS=TRUE&amp;DOC_NAME=FAT:FQL_AUDITING_CLIENT_TEMPLATE.FAT&amp;display_string=Audit&amp;VAR:KEY=UDGVIRCLIR&amp;VAR:QUERY=Q1NGX0JQUyhRVFJfUiwyMDExLzJGKQ==&amp;WINDOW=FIRST_POPUP&amp;HEIGHT=450&amp;WIDTH=450&amp;START_MAXIMI","ZED=FALSE&amp;VAR:CALENDAR=US&amp;VAR:SYMBOL=MS&amp;VAR:INDEX=0"}</definedName>
    <definedName name="_52__FDSAUDITLINK__" localSheetId="11" hidden="1">{"fdsup://directions/FAT Viewer?action=UPDATE&amp;creator=factset&amp;DYN_ARGS=TRUE&amp;DOC_NAME=FAT:FQL_AUDITING_CLIENT_TEMPLATE.FAT&amp;display_string=Audit&amp;VAR:KEY=UDGVIRCLIR&amp;VAR:QUERY=Q1NGX0JQUyhRVFJfUiwyMDExLzJGKQ==&amp;WINDOW=FIRST_POPUP&amp;HEIGHT=450&amp;WIDTH=450&amp;START_MAXIMI","ZED=FALSE&amp;VAR:CALENDAR=US&amp;VAR:SYMBOL=MS&amp;VAR:INDEX=0"}</definedName>
    <definedName name="_52__FDSAUDITLINK__" hidden="1">{"fdsup://directions/FAT Viewer?action=UPDATE&amp;creator=factset&amp;DYN_ARGS=TRUE&amp;DOC_NAME=FAT:FQL_AUDITING_CLIENT_TEMPLATE.FAT&amp;display_string=Audit&amp;VAR:KEY=UDGVIRCLIR&amp;VAR:QUERY=Q1NGX0JQUyhRVFJfUiwyMDExLzJGKQ==&amp;WINDOW=FIRST_POPUP&amp;HEIGHT=450&amp;WIDTH=450&amp;START_MAXIMI","ZED=FALSE&amp;VAR:CALENDAR=US&amp;VAR:SYMBOL=MS&amp;VAR:INDEX=0"}</definedName>
    <definedName name="_53__FDSAUDITLINK__" localSheetId="1" hidden="1">{"fdsup://directions/FAT Viewer?action=UPDATE&amp;creator=factset&amp;DYN_ARGS=TRUE&amp;DOC_NAME=FAT:FQL_AUDITING_CLIENT_TEMPLATE.FAT&amp;display_string=Audit&amp;VAR:KEY=GTQTWJAZCD&amp;VAR:QUERY=Q1NGX1BFKFFUUl9SLDQwNzU1KQ==&amp;WINDOW=FIRST_POPUP&amp;HEIGHT=450&amp;WIDTH=450&amp;START_MAXIMIZED=","FALSE&amp;VAR:CALENDAR=US&amp;VAR:SYMBOL=GS&amp;VAR:INDEX=0"}</definedName>
    <definedName name="_53__FDSAUDITLINK__" localSheetId="11" hidden="1">{"fdsup://directions/FAT Viewer?action=UPDATE&amp;creator=factset&amp;DYN_ARGS=TRUE&amp;DOC_NAME=FAT:FQL_AUDITING_CLIENT_TEMPLATE.FAT&amp;display_string=Audit&amp;VAR:KEY=GTQTWJAZCD&amp;VAR:QUERY=Q1NGX1BFKFFUUl9SLDQwNzU1KQ==&amp;WINDOW=FIRST_POPUP&amp;HEIGHT=450&amp;WIDTH=450&amp;START_MAXIMIZED=","FALSE&amp;VAR:CALENDAR=US&amp;VAR:SYMBOL=GS&amp;VAR:INDEX=0"}</definedName>
    <definedName name="_53__FDSAUDITLINK__" hidden="1">{"fdsup://directions/FAT Viewer?action=UPDATE&amp;creator=factset&amp;DYN_ARGS=TRUE&amp;DOC_NAME=FAT:FQL_AUDITING_CLIENT_TEMPLATE.FAT&amp;display_string=Audit&amp;VAR:KEY=GTQTWJAZCD&amp;VAR:QUERY=Q1NGX1BFKFFUUl9SLDQwNzU1KQ==&amp;WINDOW=FIRST_POPUP&amp;HEIGHT=450&amp;WIDTH=450&amp;START_MAXIMIZED=","FALSE&amp;VAR:CALENDAR=US&amp;VAR:SYMBOL=GS&amp;VAR:INDEX=0"}</definedName>
    <definedName name="_54__FDSAUDITLINK__" localSheetId="1" hidden="1">{"fdsup://directions/FAT Viewer?action=UPDATE&amp;creator=factset&amp;DYN_ARGS=TRUE&amp;DOC_NAME=FAT:FQL_AUDITING_CLIENT_TEMPLATE.FAT&amp;display_string=Audit&amp;VAR:KEY=OXQTEPOXMB&amp;VAR:QUERY=Q1NGX1BFKFFUUl9SLDQwNzI0KQ==&amp;WINDOW=FIRST_POPUP&amp;HEIGHT=450&amp;WIDTH=450&amp;START_MAXIMIZED=","FALSE&amp;VAR:CALENDAR=US&amp;VAR:SYMBOL=GS&amp;VAR:INDEX=0"}</definedName>
    <definedName name="_54__FDSAUDITLINK__" localSheetId="11" hidden="1">{"fdsup://directions/FAT Viewer?action=UPDATE&amp;creator=factset&amp;DYN_ARGS=TRUE&amp;DOC_NAME=FAT:FQL_AUDITING_CLIENT_TEMPLATE.FAT&amp;display_string=Audit&amp;VAR:KEY=OXQTEPOXMB&amp;VAR:QUERY=Q1NGX1BFKFFUUl9SLDQwNzI0KQ==&amp;WINDOW=FIRST_POPUP&amp;HEIGHT=450&amp;WIDTH=450&amp;START_MAXIMIZED=","FALSE&amp;VAR:CALENDAR=US&amp;VAR:SYMBOL=GS&amp;VAR:INDEX=0"}</definedName>
    <definedName name="_54__FDSAUDITLINK__" hidden="1">{"fdsup://directions/FAT Viewer?action=UPDATE&amp;creator=factset&amp;DYN_ARGS=TRUE&amp;DOC_NAME=FAT:FQL_AUDITING_CLIENT_TEMPLATE.FAT&amp;display_string=Audit&amp;VAR:KEY=OXQTEPOXMB&amp;VAR:QUERY=Q1NGX1BFKFFUUl9SLDQwNzI0KQ==&amp;WINDOW=FIRST_POPUP&amp;HEIGHT=450&amp;WIDTH=450&amp;START_MAXIMIZED=","FALSE&amp;VAR:CALENDAR=US&amp;VAR:SYMBOL=GS&amp;VAR:INDEX=0"}</definedName>
    <definedName name="_55__FDSAUDITLINK__" localSheetId="1" hidden="1">{"fdsup://directions/FAT Viewer?action=UPDATE&amp;creator=factset&amp;DYN_ARGS=TRUE&amp;DOC_NAME=FAT:FQL_AUDITING_CLIENT_TEMPLATE.FAT&amp;display_string=Audit&amp;VAR:KEY=GDGFIXCDCF&amp;VAR:QUERY=Q1NGX1BFKFFUUl9SLDQwNjgxKQ==&amp;WINDOW=FIRST_POPUP&amp;HEIGHT=450&amp;WIDTH=450&amp;START_MAXIMIZED=","FALSE&amp;VAR:CALENDAR=US&amp;VAR:SYMBOL=GS&amp;VAR:INDEX=0"}</definedName>
    <definedName name="_55__FDSAUDITLINK__" localSheetId="11" hidden="1">{"fdsup://directions/FAT Viewer?action=UPDATE&amp;creator=factset&amp;DYN_ARGS=TRUE&amp;DOC_NAME=FAT:FQL_AUDITING_CLIENT_TEMPLATE.FAT&amp;display_string=Audit&amp;VAR:KEY=GDGFIXCDCF&amp;VAR:QUERY=Q1NGX1BFKFFUUl9SLDQwNjgxKQ==&amp;WINDOW=FIRST_POPUP&amp;HEIGHT=450&amp;WIDTH=450&amp;START_MAXIMIZED=","FALSE&amp;VAR:CALENDAR=US&amp;VAR:SYMBOL=GS&amp;VAR:INDEX=0"}</definedName>
    <definedName name="_55__FDSAUDITLINK__" hidden="1">{"fdsup://directions/FAT Viewer?action=UPDATE&amp;creator=factset&amp;DYN_ARGS=TRUE&amp;DOC_NAME=FAT:FQL_AUDITING_CLIENT_TEMPLATE.FAT&amp;display_string=Audit&amp;VAR:KEY=GDGFIXCDCF&amp;VAR:QUERY=Q1NGX1BFKFFUUl9SLDQwNjgxKQ==&amp;WINDOW=FIRST_POPUP&amp;HEIGHT=450&amp;WIDTH=450&amp;START_MAXIMIZED=","FALSE&amp;VAR:CALENDAR=US&amp;VAR:SYMBOL=GS&amp;VAR:INDEX=0"}</definedName>
    <definedName name="_56__FDSAUDITLINK__" localSheetId="1" hidden="1">{"fdsup://directions/FAT Viewer?action=UPDATE&amp;creator=factset&amp;DYN_ARGS=TRUE&amp;DOC_NAME=FAT:FQL_AUDITING_CLIENT_TEMPLATE.FAT&amp;display_string=Audit&amp;VAR:KEY=OVKHCBITSX&amp;VAR:QUERY=Q1NGX1BFKFFUUl9SLDQwNjYzKQ==&amp;WINDOW=FIRST_POPUP&amp;HEIGHT=450&amp;WIDTH=450&amp;START_MAXIMIZED=","FALSE&amp;VAR:CALENDAR=US&amp;VAR:SYMBOL=GS&amp;VAR:INDEX=0"}</definedName>
    <definedName name="_56__FDSAUDITLINK__" localSheetId="11" hidden="1">{"fdsup://directions/FAT Viewer?action=UPDATE&amp;creator=factset&amp;DYN_ARGS=TRUE&amp;DOC_NAME=FAT:FQL_AUDITING_CLIENT_TEMPLATE.FAT&amp;display_string=Audit&amp;VAR:KEY=OVKHCBITSX&amp;VAR:QUERY=Q1NGX1BFKFFUUl9SLDQwNjYzKQ==&amp;WINDOW=FIRST_POPUP&amp;HEIGHT=450&amp;WIDTH=450&amp;START_MAXIMIZED=","FALSE&amp;VAR:CALENDAR=US&amp;VAR:SYMBOL=GS&amp;VAR:INDEX=0"}</definedName>
    <definedName name="_56__FDSAUDITLINK__" hidden="1">{"fdsup://directions/FAT Viewer?action=UPDATE&amp;creator=factset&amp;DYN_ARGS=TRUE&amp;DOC_NAME=FAT:FQL_AUDITING_CLIENT_TEMPLATE.FAT&amp;display_string=Audit&amp;VAR:KEY=OVKHCBITSX&amp;VAR:QUERY=Q1NGX1BFKFFUUl9SLDQwNjYzKQ==&amp;WINDOW=FIRST_POPUP&amp;HEIGHT=450&amp;WIDTH=450&amp;START_MAXIMIZED=","FALSE&amp;VAR:CALENDAR=US&amp;VAR:SYMBOL=GS&amp;VAR:INDEX=0"}</definedName>
    <definedName name="_57__FDSAUDITLINK__" localSheetId="1" hidden="1">{"fdsup://directions/FAT Viewer?action=UPDATE&amp;creator=factset&amp;DYN_ARGS=TRUE&amp;DOC_NAME=FAT:FQL_AUDITING_CLIENT_TEMPLATE.FAT&amp;display_string=Audit&amp;VAR:KEY=SRGXWRCJWH&amp;VAR:QUERY=Q1NGX1BFKFFUUl9SLDQwNjMzKQ==&amp;WINDOW=FIRST_POPUP&amp;HEIGHT=450&amp;WIDTH=450&amp;START_MAXIMIZED=","FALSE&amp;VAR:CALENDAR=US&amp;VAR:SYMBOL=GS&amp;VAR:INDEX=0"}</definedName>
    <definedName name="_57__FDSAUDITLINK__" localSheetId="11" hidden="1">{"fdsup://directions/FAT Viewer?action=UPDATE&amp;creator=factset&amp;DYN_ARGS=TRUE&amp;DOC_NAME=FAT:FQL_AUDITING_CLIENT_TEMPLATE.FAT&amp;display_string=Audit&amp;VAR:KEY=SRGXWRCJWH&amp;VAR:QUERY=Q1NGX1BFKFFUUl9SLDQwNjMzKQ==&amp;WINDOW=FIRST_POPUP&amp;HEIGHT=450&amp;WIDTH=450&amp;START_MAXIMIZED=","FALSE&amp;VAR:CALENDAR=US&amp;VAR:SYMBOL=GS&amp;VAR:INDEX=0"}</definedName>
    <definedName name="_57__FDSAUDITLINK__" hidden="1">{"fdsup://directions/FAT Viewer?action=UPDATE&amp;creator=factset&amp;DYN_ARGS=TRUE&amp;DOC_NAME=FAT:FQL_AUDITING_CLIENT_TEMPLATE.FAT&amp;display_string=Audit&amp;VAR:KEY=SRGXWRCJWH&amp;VAR:QUERY=Q1NGX1BFKFFUUl9SLDQwNjMzKQ==&amp;WINDOW=FIRST_POPUP&amp;HEIGHT=450&amp;WIDTH=450&amp;START_MAXIMIZED=","FALSE&amp;VAR:CALENDAR=US&amp;VAR:SYMBOL=GS&amp;VAR:INDEX=0"}</definedName>
    <definedName name="_58__FDSAUDITLINK__" localSheetId="1" hidden="1">{"fdsup://directions/FAT Viewer?action=UPDATE&amp;creator=factset&amp;DYN_ARGS=TRUE&amp;DOC_NAME=FAT:FQL_AUDITING_CLIENT_TEMPLATE.FAT&amp;display_string=Audit&amp;VAR:KEY=YZUHOTEDOD&amp;VAR:QUERY=Q1NGX1BFKFFUUl9SLDQwNjAyKQ==&amp;WINDOW=FIRST_POPUP&amp;HEIGHT=450&amp;WIDTH=450&amp;START_MAXIMIZED=","FALSE&amp;VAR:CALENDAR=US&amp;VAR:SYMBOL=GS&amp;VAR:INDEX=0"}</definedName>
    <definedName name="_58__FDSAUDITLINK__" localSheetId="11" hidden="1">{"fdsup://directions/FAT Viewer?action=UPDATE&amp;creator=factset&amp;DYN_ARGS=TRUE&amp;DOC_NAME=FAT:FQL_AUDITING_CLIENT_TEMPLATE.FAT&amp;display_string=Audit&amp;VAR:KEY=YZUHOTEDOD&amp;VAR:QUERY=Q1NGX1BFKFFUUl9SLDQwNjAyKQ==&amp;WINDOW=FIRST_POPUP&amp;HEIGHT=450&amp;WIDTH=450&amp;START_MAXIMIZED=","FALSE&amp;VAR:CALENDAR=US&amp;VAR:SYMBOL=GS&amp;VAR:INDEX=0"}</definedName>
    <definedName name="_58__FDSAUDITLINK__" hidden="1">{"fdsup://directions/FAT Viewer?action=UPDATE&amp;creator=factset&amp;DYN_ARGS=TRUE&amp;DOC_NAME=FAT:FQL_AUDITING_CLIENT_TEMPLATE.FAT&amp;display_string=Audit&amp;VAR:KEY=YZUHOTEDOD&amp;VAR:QUERY=Q1NGX1BFKFFUUl9SLDQwNjAyKQ==&amp;WINDOW=FIRST_POPUP&amp;HEIGHT=450&amp;WIDTH=450&amp;START_MAXIMIZED=","FALSE&amp;VAR:CALENDAR=US&amp;VAR:SYMBOL=GS&amp;VAR:INDEX=0"}</definedName>
    <definedName name="_59__FDSAUDITLINK__" localSheetId="1" hidden="1">{"fdsup://directions/FAT Viewer?action=UPDATE&amp;creator=factset&amp;DYN_ARGS=TRUE&amp;DOC_NAME=FAT:FQL_AUDITING_CLIENT_TEMPLATE.FAT&amp;display_string=Audit&amp;VAR:KEY=UXQXORMNSH&amp;VAR:QUERY=Q1NGX1BFKFFUUl9SLDQwNTc0KQ==&amp;WINDOW=FIRST_POPUP&amp;HEIGHT=450&amp;WIDTH=450&amp;START_MAXIMIZED=","FALSE&amp;VAR:CALENDAR=US&amp;VAR:SYMBOL=GS&amp;VAR:INDEX=0"}</definedName>
    <definedName name="_59__FDSAUDITLINK__" localSheetId="11" hidden="1">{"fdsup://directions/FAT Viewer?action=UPDATE&amp;creator=factset&amp;DYN_ARGS=TRUE&amp;DOC_NAME=FAT:FQL_AUDITING_CLIENT_TEMPLATE.FAT&amp;display_string=Audit&amp;VAR:KEY=UXQXORMNSH&amp;VAR:QUERY=Q1NGX1BFKFFUUl9SLDQwNTc0KQ==&amp;WINDOW=FIRST_POPUP&amp;HEIGHT=450&amp;WIDTH=450&amp;START_MAXIMIZED=","FALSE&amp;VAR:CALENDAR=US&amp;VAR:SYMBOL=GS&amp;VAR:INDEX=0"}</definedName>
    <definedName name="_59__FDSAUDITLINK__" hidden="1">{"fdsup://directions/FAT Viewer?action=UPDATE&amp;creator=factset&amp;DYN_ARGS=TRUE&amp;DOC_NAME=FAT:FQL_AUDITING_CLIENT_TEMPLATE.FAT&amp;display_string=Audit&amp;VAR:KEY=UXQXORMNSH&amp;VAR:QUERY=Q1NGX1BFKFFUUl9SLDQwNTc0KQ==&amp;WINDOW=FIRST_POPUP&amp;HEIGHT=450&amp;WIDTH=450&amp;START_MAXIMIZED=","FALSE&amp;VAR:CALENDAR=US&amp;VAR:SYMBOL=GS&amp;VAR:INDEX=0"}</definedName>
    <definedName name="_6__FDSAUDITLINK__" localSheetId="1" hidden="1">{"fdsup://directions/FAT Viewer?action=UPDATE&amp;creator=factset&amp;DYN_ARGS=TRUE&amp;DOC_NAME=FAT:FQL_AUDITING_CLIENT_TEMPLATE.FAT&amp;display_string=Audit&amp;VAR:KEY=QPKVKNOVSR&amp;VAR:QUERY=Q1NGX0JQUyhRVFJfUiwyMDExLzFGKQ==&amp;WINDOW=FIRST_POPUP&amp;HEIGHT=450&amp;WIDTH=450&amp;START_MAXIMI","ZED=FALSE&amp;VAR:CALENDAR=US&amp;VAR:SYMBOL=GHL&amp;VAR:INDEX=0"}</definedName>
    <definedName name="_6__FDSAUDITLINK__" localSheetId="11" hidden="1">{"fdsup://directions/FAT Viewer?action=UPDATE&amp;creator=factset&amp;DYN_ARGS=TRUE&amp;DOC_NAME=FAT:FQL_AUDITING_CLIENT_TEMPLATE.FAT&amp;display_string=Audit&amp;VAR:KEY=QPKVKNOVSR&amp;VAR:QUERY=Q1NGX0JQUyhRVFJfUiwyMDExLzFGKQ==&amp;WINDOW=FIRST_POPUP&amp;HEIGHT=450&amp;WIDTH=450&amp;START_MAXIMI","ZED=FALSE&amp;VAR:CALENDAR=US&amp;VAR:SYMBOL=GHL&amp;VAR:INDEX=0"}</definedName>
    <definedName name="_6__FDSAUDITLINK__" hidden="1">{"fdsup://directions/FAT Viewer?action=UPDATE&amp;creator=factset&amp;DYN_ARGS=TRUE&amp;DOC_NAME=FAT:FQL_AUDITING_CLIENT_TEMPLATE.FAT&amp;display_string=Audit&amp;VAR:KEY=QPKVKNOVSR&amp;VAR:QUERY=Q1NGX0JQUyhRVFJfUiwyMDExLzFGKQ==&amp;WINDOW=FIRST_POPUP&amp;HEIGHT=450&amp;WIDTH=450&amp;START_MAXIMI","ZED=FALSE&amp;VAR:CALENDAR=US&amp;VAR:SYMBOL=GHL&amp;VAR:INDEX=0"}</definedName>
    <definedName name="_60__FDSAUDITLINK__" localSheetId="1" hidden="1">{"fdsup://directions/FAT Viewer?action=UPDATE&amp;creator=factset&amp;DYN_ARGS=TRUE&amp;DOC_NAME=FAT:FQL_AUDITING_CLIENT_TEMPLATE.FAT&amp;display_string=Audit&amp;VAR:KEY=RIBIZUTANK&amp;VAR:QUERY=Q1NGX1BFKFFUUl9SLDQwNzY3KQ==&amp;WINDOW=FIRST_POPUP&amp;HEIGHT=450&amp;WIDTH=450&amp;START_MAXIMIZED=","FALSE&amp;VAR:CALENDAR=US&amp;VAR:SYMBOL=GS&amp;VAR:INDEX=0"}</definedName>
    <definedName name="_60__FDSAUDITLINK__" localSheetId="11" hidden="1">{"fdsup://directions/FAT Viewer?action=UPDATE&amp;creator=factset&amp;DYN_ARGS=TRUE&amp;DOC_NAME=FAT:FQL_AUDITING_CLIENT_TEMPLATE.FAT&amp;display_string=Audit&amp;VAR:KEY=RIBIZUTANK&amp;VAR:QUERY=Q1NGX1BFKFFUUl9SLDQwNzY3KQ==&amp;WINDOW=FIRST_POPUP&amp;HEIGHT=450&amp;WIDTH=450&amp;START_MAXIMIZED=","FALSE&amp;VAR:CALENDAR=US&amp;VAR:SYMBOL=GS&amp;VAR:INDEX=0"}</definedName>
    <definedName name="_60__FDSAUDITLINK__" hidden="1">{"fdsup://directions/FAT Viewer?action=UPDATE&amp;creator=factset&amp;DYN_ARGS=TRUE&amp;DOC_NAME=FAT:FQL_AUDITING_CLIENT_TEMPLATE.FAT&amp;display_string=Audit&amp;VAR:KEY=RIBIZUTANK&amp;VAR:QUERY=Q1NGX1BFKFFUUl9SLDQwNzY3KQ==&amp;WINDOW=FIRST_POPUP&amp;HEIGHT=450&amp;WIDTH=450&amp;START_MAXIMIZED=","FALSE&amp;VAR:CALENDAR=US&amp;VAR:SYMBOL=GS&amp;VAR:INDEX=0"}</definedName>
    <definedName name="_7__FDSAUDITLINK__" localSheetId="1" hidden="1">{"fdsup://directions/FAT Viewer?action=UPDATE&amp;creator=factset&amp;DYN_ARGS=TRUE&amp;DOC_NAME=FAT:FQL_AUDITING_CLIENT_TEMPLATE.FAT&amp;display_string=Audit&amp;VAR:KEY=EJYHOHKNGB&amp;VAR:QUERY=Q1NGX0JQUyhRVFJfUiwyMDExLzJGKQ==&amp;WINDOW=FIRST_POPUP&amp;HEIGHT=450&amp;WIDTH=450&amp;START_MAXIMI","ZED=FALSE&amp;VAR:CALENDAR=US&amp;VAR:SYMBOL=GHL&amp;VAR:INDEX=0"}</definedName>
    <definedName name="_7__FDSAUDITLINK__" localSheetId="11" hidden="1">{"fdsup://directions/FAT Viewer?action=UPDATE&amp;creator=factset&amp;DYN_ARGS=TRUE&amp;DOC_NAME=FAT:FQL_AUDITING_CLIENT_TEMPLATE.FAT&amp;display_string=Audit&amp;VAR:KEY=EJYHOHKNGB&amp;VAR:QUERY=Q1NGX0JQUyhRVFJfUiwyMDExLzJGKQ==&amp;WINDOW=FIRST_POPUP&amp;HEIGHT=450&amp;WIDTH=450&amp;START_MAXIMI","ZED=FALSE&amp;VAR:CALENDAR=US&amp;VAR:SYMBOL=GHL&amp;VAR:INDEX=0"}</definedName>
    <definedName name="_7__FDSAUDITLINK__" hidden="1">{"fdsup://directions/FAT Viewer?action=UPDATE&amp;creator=factset&amp;DYN_ARGS=TRUE&amp;DOC_NAME=FAT:FQL_AUDITING_CLIENT_TEMPLATE.FAT&amp;display_string=Audit&amp;VAR:KEY=EJYHOHKNGB&amp;VAR:QUERY=Q1NGX0JQUyhRVFJfUiwyMDExLzJGKQ==&amp;WINDOW=FIRST_POPUP&amp;HEIGHT=450&amp;WIDTH=450&amp;START_MAXIMI","ZED=FALSE&amp;VAR:CALENDAR=US&amp;VAR:SYMBOL=GHL&amp;VAR:INDEX=0"}</definedName>
    <definedName name="_8__FDSAUDITLINK__" localSheetId="1" hidden="1">{"fdsup://directions/FAT Viewer?action=UPDATE&amp;creator=factset&amp;DYN_ARGS=TRUE&amp;DOC_NAME=FAT:FQL_AUDITING_CLIENT_TEMPLATE.FAT&amp;display_string=Audit&amp;VAR:KEY=CJMNEJWRMP&amp;VAR:QUERY=Q1NGX0JQUyhRVFJfUiwyMDExLzFGKQ==&amp;WINDOW=FIRST_POPUP&amp;HEIGHT=450&amp;WIDTH=450&amp;START_MAXIMI","ZED=FALSE&amp;VAR:CALENDAR=US&amp;VAR:SYMBOL=EVR&amp;VAR:INDEX=0"}</definedName>
    <definedName name="_8__FDSAUDITLINK__" localSheetId="11" hidden="1">{"fdsup://directions/FAT Viewer?action=UPDATE&amp;creator=factset&amp;DYN_ARGS=TRUE&amp;DOC_NAME=FAT:FQL_AUDITING_CLIENT_TEMPLATE.FAT&amp;display_string=Audit&amp;VAR:KEY=CJMNEJWRMP&amp;VAR:QUERY=Q1NGX0JQUyhRVFJfUiwyMDExLzFGKQ==&amp;WINDOW=FIRST_POPUP&amp;HEIGHT=450&amp;WIDTH=450&amp;START_MAXIMI","ZED=FALSE&amp;VAR:CALENDAR=US&amp;VAR:SYMBOL=EVR&amp;VAR:INDEX=0"}</definedName>
    <definedName name="_8__FDSAUDITLINK__" hidden="1">{"fdsup://directions/FAT Viewer?action=UPDATE&amp;creator=factset&amp;DYN_ARGS=TRUE&amp;DOC_NAME=FAT:FQL_AUDITING_CLIENT_TEMPLATE.FAT&amp;display_string=Audit&amp;VAR:KEY=CJMNEJWRMP&amp;VAR:QUERY=Q1NGX0JQUyhRVFJfUiwyMDExLzFGKQ==&amp;WINDOW=FIRST_POPUP&amp;HEIGHT=450&amp;WIDTH=450&amp;START_MAXIMI","ZED=FALSE&amp;VAR:CALENDAR=US&amp;VAR:SYMBOL=EVR&amp;VAR:INDEX=0"}</definedName>
    <definedName name="_9__FDSAUDITLINK__" localSheetId="1" hidden="1">{"fdsup://directions/FAT Viewer?action=UPDATE&amp;creator=factset&amp;DYN_ARGS=TRUE&amp;DOC_NAME=FAT:FQL_AUDITING_CLIENT_TEMPLATE.FAT&amp;display_string=Audit&amp;VAR:KEY=QNAZOVAROP&amp;VAR:QUERY=Q1NGX0JQUyhRVFJfUiwyMDExLzJGKQ==&amp;WINDOW=FIRST_POPUP&amp;HEIGHT=450&amp;WIDTH=450&amp;START_MAXIMI","ZED=FALSE&amp;VAR:CALENDAR=US&amp;VAR:SYMBOL=EVR&amp;VAR:INDEX=0"}</definedName>
    <definedName name="_9__FDSAUDITLINK__" localSheetId="11" hidden="1">{"fdsup://directions/FAT Viewer?action=UPDATE&amp;creator=factset&amp;DYN_ARGS=TRUE&amp;DOC_NAME=FAT:FQL_AUDITING_CLIENT_TEMPLATE.FAT&amp;display_string=Audit&amp;VAR:KEY=QNAZOVAROP&amp;VAR:QUERY=Q1NGX0JQUyhRVFJfUiwyMDExLzJGKQ==&amp;WINDOW=FIRST_POPUP&amp;HEIGHT=450&amp;WIDTH=450&amp;START_MAXIMI","ZED=FALSE&amp;VAR:CALENDAR=US&amp;VAR:SYMBOL=EVR&amp;VAR:INDEX=0"}</definedName>
    <definedName name="_9__FDSAUDITLINK__" hidden="1">{"fdsup://directions/FAT Viewer?action=UPDATE&amp;creator=factset&amp;DYN_ARGS=TRUE&amp;DOC_NAME=FAT:FQL_AUDITING_CLIENT_TEMPLATE.FAT&amp;display_string=Audit&amp;VAR:KEY=QNAZOVAROP&amp;VAR:QUERY=Q1NGX0JQUyhRVFJfUiwyMDExLzJGKQ==&amp;WINDOW=FIRST_POPUP&amp;HEIGHT=450&amp;WIDTH=450&amp;START_MAXIMI","ZED=FALSE&amp;VAR:CALENDAR=US&amp;VAR:SYMBOL=EVR&amp;VAR:INDEX=0"}</definedName>
    <definedName name="_AverageBalanceSheet">Model!$881:$881</definedName>
    <definedName name="_bdm.1EED08051FD143858A6E686698C1675E.edm" localSheetId="11" hidden="1">'MS vs. Cons'!$C$1:$C$37</definedName>
    <definedName name="_bdm.1EED08051FD143858A6E686698C1675E.edm" localSheetId="9" hidden="1">'New vs Old'!$C$1:$C$35</definedName>
    <definedName name="_bdm.59B6F53CFB83493397C8482991E2437D.edm" localSheetId="10" hidden="1">'New vs Old Segment'!$B$1:$B$24</definedName>
    <definedName name="_bdm.78785C00A51D4E45AB902245EB66622A.edm" localSheetId="11" hidden="1">'MS vs. Cons'!$C$1:$C$37</definedName>
    <definedName name="_bdm.78785C00A51D4E45AB902245EB66622A.edm" localSheetId="9" hidden="1">'New vs Old'!$C$1:$C$36</definedName>
    <definedName name="_bdm.795B559A661746ACAF9197122B4D98A5.edm" localSheetId="11" hidden="1">'MS vs. Cons'!$C$3:$C$37</definedName>
    <definedName name="_bdm.795B559A661746ACAF9197122B4D98A5.edm" localSheetId="9" hidden="1">'New vs Old'!$C$3:$C$36</definedName>
    <definedName name="_bdm.95BD61CE7053462D9045543E863B123D.edm" localSheetId="10" hidden="1">'New vs Old Segment'!$B$1:$B$24</definedName>
    <definedName name="_bdm.963CC69C0AA3456BA0782D54C6296261.edm" localSheetId="10" hidden="1">'New vs Old Segment'!$B$1:$B$24</definedName>
    <definedName name="_bdm.DB2DC781F87E400EB6A90F237823927B.edm" localSheetId="11" hidden="1">'MS vs. Cons'!$1:$1048576</definedName>
    <definedName name="_bdm.DB2DC781F87E400EB6A90F237823927B.edm" hidden="1">'New vs Old'!$1:$1048576</definedName>
    <definedName name="_bdm.E487F0D08F144148A15BA3ADCC027328.edm" hidden="1">'New vs Old Segment'!$1:$1048576</definedName>
    <definedName name="_Capital">Model!$1357:$1357</definedName>
    <definedName name="_CorpOther">Model!$635:$635</definedName>
    <definedName name="_Credit">Model!$1090:$1090</definedName>
    <definedName name="_EOPBalanceSheet">Model!$823:$823</definedName>
    <definedName name="_Equity">Model!$1288:$1288</definedName>
    <definedName name="_xlnm._FilterDatabase" localSheetId="10" hidden="1">'New vs Old Segment'!$AK$1:$AM$154</definedName>
    <definedName name="_GCB">Model!$109:$109</definedName>
    <definedName name="_ICG">Model!$465:$465</definedName>
    <definedName name="_IncomeStatement">Model!$746:$746</definedName>
    <definedName name="_NIM">Model!$1061:$1061</definedName>
    <definedName name="_Order1" hidden="1">255</definedName>
    <definedName name="_PerformanceMetrics">Model!$1477:$1477</definedName>
    <definedName name="AdditionalInstructions">IndexInformation!$B$42</definedName>
    <definedName name="Address" localSheetId="0">ImportantDisclosures!$A$2:$A$2</definedName>
    <definedName name="ANA" localSheetId="14">ModPubIndex!$A$7</definedName>
    <definedName name="anscount" hidden="1">1</definedName>
    <definedName name="Authors" localSheetId="0">ImportantDisclosures!$A$7</definedName>
    <definedName name="Authors" localSheetId="13">IndexInformation!$B$18</definedName>
    <definedName name="BP">10000</definedName>
    <definedName name="BPLimit">1000</definedName>
    <definedName name="BRO" localSheetId="14">ModPubIndex!$A$1</definedName>
    <definedName name="CAP" localSheetId="12">'Residual Income'!$AA$57</definedName>
    <definedName name="CopyrightStamp">ImportantDisclosures!$A$27</definedName>
    <definedName name="cost_of_capital" localSheetId="12">'Residual Income'!$G$17</definedName>
    <definedName name="COU" localSheetId="14">ModPubIndex!$A$5</definedName>
    <definedName name="CPLimit">2</definedName>
    <definedName name="CQEnd" localSheetId="13">IndexInformation!$B$31</definedName>
    <definedName name="Currency" localSheetId="13">IndexInformation!$B$24</definedName>
    <definedName name="CurrentStockPrice" localSheetId="13">IndexInformation!$B$23</definedName>
    <definedName name="CurrQtrEPS" localSheetId="13">IndexInformation!$B$29</definedName>
    <definedName name="CurrYearEPS" localSheetId="13">IndexInformation!$B$11</definedName>
    <definedName name="CurrYearTotalRevenue" localSheetId="13">IndexInformation!$B$10</definedName>
    <definedName name="CurrYearTotalRevenueActual" localSheetId="13">IndexInformation!$B$32</definedName>
    <definedName name="CUSIP" localSheetId="13">IndexInformation!$B$20</definedName>
    <definedName name="CYEnd" localSheetId="13">IndexInformation!$B$30</definedName>
    <definedName name="dataseries4">OFFSET([1]c1!$G$12,0,0,COUNTA([1]c1!$G$12:$G$31),1)</definedName>
    <definedName name="Date" localSheetId="0">ImportantDisclosures!$A$8</definedName>
    <definedName name="DecayFactor" localSheetId="12">'Residual Income'!$G$24</definedName>
    <definedName name="DECLINE" localSheetId="12">'Residual Income'!$L$29</definedName>
    <definedName name="Deleted" localSheetId="13">IndexInformation!$B$27</definedName>
    <definedName name="Description" localSheetId="13">IndexInformation!$B$7</definedName>
    <definedName name="DEVELOPMENT">5</definedName>
    <definedName name="Discipline" localSheetId="13">IndexInformation!$B$3</definedName>
    <definedName name="DISCIPLINE" localSheetId="14">ModPubIndex!$A$12</definedName>
    <definedName name="DisclosuresText">ImportantDisclosures!$A$22</definedName>
    <definedName name="Distribution" localSheetId="13">IndexInformation!$B$26</definedName>
    <definedName name="DistTable" localSheetId="0">ImportantDisclosures!#REF!</definedName>
    <definedName name="DistTablePreamble" localSheetId="0">ImportantDisclosures!#REF!</definedName>
    <definedName name="DOCDAT" localSheetId="14">ModPubIndex!$A$2</definedName>
    <definedName name="DOCTIME" localSheetId="14">ModPubIndex!$A$3</definedName>
    <definedName name="DocType" localSheetId="13">IndexInformation!$B$5</definedName>
    <definedName name="E">1.9558</definedName>
    <definedName name="EMAIL_ALERT" localSheetId="14">ModPubIndex!$A$10</definedName>
    <definedName name="EmailAlert" localSheetId="13">IndexInformation!$B$28</definedName>
    <definedName name="ev.Calculation" hidden="1">-4105</definedName>
    <definedName name="ev.Initialized" hidden="1">FALSE</definedName>
    <definedName name="FiveYearGrowthRate" localSheetId="13">IndexInformation!$B$16</definedName>
    <definedName name="FollowingYearEPS" localSheetId="13">IndexInformation!$B$15</definedName>
    <definedName name="FollowingYearTotalRevenue" localSheetId="13">IndexInformation!$B$14</definedName>
    <definedName name="FollowingYearTotalRevenueActual" localSheetId="13">IndexInformation!$B$34</definedName>
    <definedName name="HL" localSheetId="14">ModPubIndex!$A$8</definedName>
    <definedName name="hn.ExtDb" hidden="1">FALSE</definedName>
    <definedName name="hn.ModelType" hidden="1">"DEAL"</definedName>
    <definedName name="hn.ModelVersion" hidden="1">1</definedName>
    <definedName name="hn.NoUpload" hidden="1">0</definedName>
    <definedName name="IND" localSheetId="14">ModPubIndex!$A$9</definedName>
    <definedName name="Industry" localSheetId="0">ImportantDisclosures!$A$12</definedName>
    <definedName name="IndustryId">IndexInformation!$B$40</definedName>
    <definedName name="IndustryRating" localSheetId="0">ImportantDisclosures!$A$13</definedName>
    <definedName name="IQ_ACCOUNT_CHANGE" hidden="1">"c413"</definedName>
    <definedName name="IQ_ACCOUNTS_PAY" hidden="1">"c32"</definedName>
    <definedName name="IQ_ACCR_INT_PAY" hidden="1">"c1"</definedName>
    <definedName name="IQ_ACCR_INT_PAY_CF" hidden="1">"c2"</definedName>
    <definedName name="IQ_ACCR_INT_RECEIV" hidden="1">"c3"</definedName>
    <definedName name="IQ_ACCR_INT_RECEIV_CF" hidden="1">"c4"</definedName>
    <definedName name="IQ_ACCRUED_EXP" hidden="1">"c8"</definedName>
    <definedName name="IQ_ACCUM_DEP" hidden="1">"c7"</definedName>
    <definedName name="IQ_ACQ_COSTS_CAPITALIZED" hidden="1">"c5"</definedName>
    <definedName name="IQ_ACQUIRE_REAL_ESTATE_CF" hidden="1">"c6"</definedName>
    <definedName name="IQ_ACQUISITION_RE_ASSETS" hidden="1">"c1628"</definedName>
    <definedName name="IQ_AD" hidden="1">"c7"</definedName>
    <definedName name="IQ_ADD_PAID_IN" hidden="1">"c39"</definedName>
    <definedName name="IQ_ADVERTISING_MARKETING" hidden="1">"c1566"</definedName>
    <definedName name="IQ_AE" hidden="1">"c8"</definedName>
    <definedName name="IQ_AE_BNK" hidden="1">"c9"</definedName>
    <definedName name="IQ_AE_BR" hidden="1">"c10"</definedName>
    <definedName name="IQ_AE_FIN" hidden="1">"c11"</definedName>
    <definedName name="IQ_AE_INS" hidden="1">"c12"</definedName>
    <definedName name="IQ_AE_REIT" hidden="1">"c13"</definedName>
    <definedName name="IQ_AE_UTI" hidden="1">"c14"</definedName>
    <definedName name="IQ_ALLOW_BORROW_CONST" hidden="1">"c15"</definedName>
    <definedName name="IQ_ALLOW_CONST" hidden="1">"c16"</definedName>
    <definedName name="IQ_ALLOW_EQUITY_CONST" hidden="1">"c16"</definedName>
    <definedName name="IQ_ALLOW_LL" hidden="1">"c17"</definedName>
    <definedName name="IQ_ALLOWANCE_10YR_ANN_GROWTH" hidden="1">"c18"</definedName>
    <definedName name="IQ_ALLOWANCE_1YR_ANN_GROWTH" hidden="1">"c19"</definedName>
    <definedName name="IQ_ALLOWANCE_2YR_ANN_GROWTH" hidden="1">"c20"</definedName>
    <definedName name="IQ_ALLOWANCE_3YR_ANN_GROWTH" hidden="1">"c21"</definedName>
    <definedName name="IQ_ALLOWANCE_5YR_ANN_GROWTH" hidden="1">"c22"</definedName>
    <definedName name="IQ_ALLOWANCE_7YR_ANN_GROWTH" hidden="1">"c23"</definedName>
    <definedName name="IQ_ALLOWANCE_CHARGE_OFFS" hidden="1">"c24"</definedName>
    <definedName name="IQ_ALLOWANCE_NON_PERF_LOANS" hidden="1">"c25"</definedName>
    <definedName name="IQ_ALLOWANCE_TOTAL_LOANS" hidden="1">"c26"</definedName>
    <definedName name="IQ_AMORTIZATION" hidden="1">"c1471"</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P" hidden="1">"c32"</definedName>
    <definedName name="IQ_AP_BNK" hidden="1">"c33"</definedName>
    <definedName name="IQ_AP_BR" hidden="1">"c34"</definedName>
    <definedName name="IQ_AP_FIN" hidden="1">"c35"</definedName>
    <definedName name="IQ_AP_INS" hidden="1">"c36"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IT" hidden="1">"c43"</definedName>
    <definedName name="IQ_AR_TURNS" hidden="1">"c44"</definedName>
    <definedName name="IQ_AR_UTI" hidden="1">"c45"</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IT" hidden="1">"c60"</definedName>
    <definedName name="IQ_ASSET_WRITEDOWN_UTI" hidden="1">"c61"</definedName>
    <definedName name="IQ_AUDITOR_NAME" hidden="1">"c1539"</definedName>
    <definedName name="IQ_AUDITOR_OPINION" hidden="1">"c1540"</definedName>
    <definedName name="IQ_AUTO_WRITTEN" hidden="1">"c62"</definedName>
    <definedName name="IQ_AVG_BROKER_REC" hidden="1">"c63"</definedName>
    <definedName name="IQ_AVG_BROKER_REC_NO" hidden="1">"c64"</definedName>
    <definedName name="IQ_AVG_DAILY_VOL" hidden="1">"c65"</definedName>
    <definedName name="IQ_AVG_INT_BEAR_LIAB" hidden="1">"c66"</definedName>
    <definedName name="IQ_AVG_INT_BEAR_LIAB_10YR_ANN_GROWTH" hidden="1">"c67"</definedName>
    <definedName name="IQ_AVG_INT_BEAR_LIAB_1YR_ANN_GROWTH" hidden="1">"c68"</definedName>
    <definedName name="IQ_AVG_INT_BEAR_LIAB_2YR_ANN_GROWTH" hidden="1">"c69"</definedName>
    <definedName name="IQ_AVG_INT_BEAR_LIAB_3YR_ANN_GROWTH" hidden="1">"c70"</definedName>
    <definedName name="IQ_AVG_INT_BEAR_LIAB_5YR_ANN_GROWTH" hidden="1">"c71"</definedName>
    <definedName name="IQ_AVG_INT_BEAR_LIAB_7YR_ANN_GROWTH" hidden="1">"c72"</definedName>
    <definedName name="IQ_AVG_INT_EARN_ASSETS" hidden="1">"c73"</definedName>
    <definedName name="IQ_AVG_INT_EARN_ASSETS_10YR_ANN_GROWTH" hidden="1">"c74"</definedName>
    <definedName name="IQ_AVG_INT_EARN_ASSETS_1YR_ANN_GROWTH" hidden="1">"c75"</definedName>
    <definedName name="IQ_AVG_INT_EARN_ASSETS_2YR_ANN_GROWTH" hidden="1">"c76"</definedName>
    <definedName name="IQ_AVG_INT_EARN_ASSETS_3YR_ANN_GROWTH" hidden="1">"c77"</definedName>
    <definedName name="IQ_AVG_INT_EARN_ASSETS_5YR_ANN_GROWTH" hidden="1">"c78"</definedName>
    <definedName name="IQ_AVG_INT_EARN_ASSETS_7YR_ANN_GROWTH" hidden="1">"c79"</definedName>
    <definedName name="IQ_AVG_MKTCAP" hidden="1">"c80"</definedName>
    <definedName name="IQ_AVG_PRICE" hidden="1">"c81"</definedName>
    <definedName name="IQ_AVG_PRICE_TARGET" hidden="1">"c82"</definedName>
    <definedName name="IQ_AVG_SHAREOUTSTANDING" hidden="1">"c83"</definedName>
    <definedName name="IQ_AVG_TEV" hidden="1">"c84"</definedName>
    <definedName name="IQ_AVG_VOLUME" hidden="1">"c65"</definedName>
    <definedName name="IQ_BASIC_EPS_EXCL" hidden="1">"c85"</definedName>
    <definedName name="IQ_BASIC_EPS_INCL" hidden="1">"c86"</definedName>
    <definedName name="IQ_BASIC_NORMAL_EPS" hidden="1">"c1592"</definedName>
    <definedName name="IQ_BASIC_WEIGHT" hidden="1">"c87"</definedName>
    <definedName name="IQ_BETA" hidden="1">"c88"</definedName>
    <definedName name="IQ_BIG_INT_BEAR_CD" hidden="1">"c89"</definedName>
    <definedName name="IQ_BOARD_MEMBER" hidden="1">"c96"</definedName>
    <definedName name="IQ_BOARD_MEMBER_TITLE" hidden="1">"c97"</definedName>
    <definedName name="IQ_BROK_COMISSION" hidden="1">"c98"</definedName>
    <definedName name="IQ_BUILDINGS" hidden="1">"c99"</definedName>
    <definedName name="IQ_BUSINESS_DESCRIPTION" hidden="1">"c322"</definedName>
    <definedName name="IQ_BV_OVER_SHARES" hidden="1">"c100"</definedName>
    <definedName name="IQ_BV_SHARE" hidden="1">"c100"</definedName>
    <definedName name="IQ_CAL_Q" hidden="1">"c101"</definedName>
    <definedName name="IQ_CAL_Y" hidden="1">"c102"</definedName>
    <definedName name="IQ_CAPEX" hidden="1">"c103"</definedName>
    <definedName name="IQ_CAPEX_10YR_ANN_GROWTH" hidden="1">"c104"</definedName>
    <definedName name="IQ_CAPEX_1YR_ANN_GROWTH" hidden="1">"c105"</definedName>
    <definedName name="IQ_CAPEX_2YR_ANN_GROWTH" hidden="1">"c106"</definedName>
    <definedName name="IQ_CAPEX_3YR_ANN_GROWTH" hidden="1">"c107"</definedName>
    <definedName name="IQ_CAPEX_5YR_ANN_GROWTH" hidden="1">"c108"</definedName>
    <definedName name="IQ_CAPEX_7YR_ANN_GROWTH" hidden="1">"c109"</definedName>
    <definedName name="IQ_CAPEX_BNK" hidden="1">"c110"</definedName>
    <definedName name="IQ_CAPEX_BR" hidden="1">"c111"</definedName>
    <definedName name="IQ_CAPEX_FIN" hidden="1">"c112"</definedName>
    <definedName name="IQ_CAPEX_INS" hidden="1">"c113"</definedName>
    <definedName name="IQ_CAPEX_UTI" hidden="1">"c114"</definedName>
    <definedName name="IQ_CAPITAL_LEASE" hidden="1">"c115"</definedName>
    <definedName name="IQ_CAPITAL_LEASES" hidden="1">"c115"</definedName>
    <definedName name="IQ_CASH" hidden="1">"c118"</definedName>
    <definedName name="IQ_CASH_ACQUIRE_CF" hidden="1">"c1630"</definedName>
    <definedName name="IQ_CASH_CONVERSION" hidden="1">"c117"</definedName>
    <definedName name="IQ_CASH_DUE_BANKS" hidden="1">"c118"</definedName>
    <definedName name="IQ_CASH_EQUIV" hidden="1">"c118"</definedName>
    <definedName name="IQ_CASH_FINAN" hidden="1">"c119"</definedName>
    <definedName name="IQ_CASH_INTEREST" hidden="1">"c120"</definedName>
    <definedName name="IQ_CASH_INVEST" hidden="1">"c121"</definedName>
    <definedName name="IQ_CASH_OPER" hidden="1">"c122"</definedName>
    <definedName name="IQ_CASH_SEGREG" hidden="1">"c123"</definedName>
    <definedName name="IQ_CASH_ST" hidden="1">"c124"</definedName>
    <definedName name="IQ_CASH_ST_INVEST" hidden="1">"c124"</definedName>
    <definedName name="IQ_CASH_TAXES" hidden="1">"c125"</definedName>
    <definedName name="IQ_CFO_10YR_ANN_GROWTH" hidden="1">"c126"</definedName>
    <definedName name="IQ_CFO_1YR_ANN_GROWTH" hidden="1">"c127"</definedName>
    <definedName name="IQ_CFO_2YR_ANN_GROWTH" hidden="1">"c128"</definedName>
    <definedName name="IQ_CFO_3YR_ANN_GROWTH" hidden="1">"c129"</definedName>
    <definedName name="IQ_CFO_5YR_ANN_GROWTH" hidden="1">"c130"</definedName>
    <definedName name="IQ_CFO_7YR_ANN_GROWTH" hidden="1">"c131"</definedName>
    <definedName name="IQ_CFO_CURRENT_LIAB" hidden="1">"c132"</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IT" hidden="1">"c145"</definedName>
    <definedName name="IQ_CHANGE_AR_UTI" hidden="1">"c146"</definedName>
    <definedName name="IQ_CHANGE_DEF_TAX" hidden="1">"c147"</definedName>
    <definedName name="IQ_CHANGE_DEPOSIT_ACCT" hidden="1">"c148"</definedName>
    <definedName name="IQ_CHANGE_INC_TAX" hidden="1">"c149"</definedName>
    <definedName name="IQ_CHANGE_INS_RES_LIAB" hidden="1">"c150"</definedName>
    <definedName name="IQ_CHANGE_INVENTORY" hidden="1">"c151"</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TRADING_ASSETS" hidden="1">"c159"</definedName>
    <definedName name="IQ_CHANGE_UNEARN_REV" hidden="1">"c160"</definedName>
    <definedName name="IQ_CHANGE_WORK_CAP" hidden="1">"c161"</definedName>
    <definedName name="IQ_CHANGES_WORK_CAP" hidden="1">"c161"</definedName>
    <definedName name="IQ_CHARGE_OFFS_GROSS" hidden="1">"c162"</definedName>
    <definedName name="IQ_CHARGE_OFFS_NET" hidden="1">"c163"</definedName>
    <definedName name="IQ_CHARGE_OFFS_RECOVERED" hidden="1">"c164"</definedName>
    <definedName name="IQ_CHARGE_OFFS_TOTAL_AVG_LOANS" hidden="1">"c165"</definedName>
    <definedName name="IQ_CITY" hidden="1">"c166"</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OSEPRICE" hidden="1">"c174"</definedName>
    <definedName name="IQ_COGS" hidden="1">"c175"</definedName>
    <definedName name="IQ_COMBINED_RATIO" hidden="1">"c176"</definedName>
    <definedName name="IQ_COMMERCIAL_DOM" hidden="1">"c177"</definedName>
    <definedName name="IQ_COMMERCIAL_FIRE_WRITTEN" hidden="1">"c178"</definedName>
    <definedName name="IQ_COMMERCIAL_MORT" hidden="1">"c179"</definedName>
    <definedName name="IQ_COMMISS_FEES" hidden="1">"c180"</definedName>
    <definedName name="IQ_COMMISSION_DEF" hidden="1">"c181"</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IT" hidden="1">"c188"</definedName>
    <definedName name="IQ_COMMON_APIC_UTI" hidden="1">"c189"</definedName>
    <definedName name="IQ_COMMON_DIV_CF" hidden="1">"c190"</definedName>
    <definedName name="IQ_COMMON_EQUITY_10YR_ANN_GROWTH" hidden="1">"c191"</definedName>
    <definedName name="IQ_COMMON_EQUITY_1YR_ANN_GROWTH" hidden="1">"c192"</definedName>
    <definedName name="IQ_COMMON_EQUITY_2YR_ANN_GROWTH" hidden="1">"c193"</definedName>
    <definedName name="IQ_COMMON_EQUITY_3YR_ANN_GROWTH" hidden="1">"c194"</definedName>
    <definedName name="IQ_COMMON_EQUITY_5YR_ANN_GROWTH" hidden="1">"c195"</definedName>
    <definedName name="IQ_COMMON_EQUITY_7YR_ANN_GROWTH" hidden="1">"c196"</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IT" hidden="1">"c211"</definedName>
    <definedName name="IQ_COMMON_REP_UTI" hidden="1">"c212"</definedName>
    <definedName name="IQ_COMMON_STOCK" hidden="1">"c182"</definedName>
    <definedName name="IQ_COMP_BENEFITS" hidden="1">"c213"</definedName>
    <definedName name="IQ_COMPANY_ADDRESS" hidden="1">"c214"</definedName>
    <definedName name="IQ_COMPANY_NAME" hidden="1">"c215"</definedName>
    <definedName name="IQ_COMPANY_NAME_LONG" hidden="1">"c1585"</definedName>
    <definedName name="IQ_COMPANY_PHONE" hidden="1">"c216"</definedName>
    <definedName name="IQ_COMPANY_STREET1" hidden="1">"c217"</definedName>
    <definedName name="IQ_COMPANY_STREET2" hidden="1">"c218"</definedName>
    <definedName name="IQ_COMPANY_TICKER" hidden="1">"c219"</definedName>
    <definedName name="IQ_COMPANY_WEBSITE" hidden="1">"c220"</definedName>
    <definedName name="IQ_COMPANY_ZIP" hidden="1">"c221"</definedName>
    <definedName name="IQ_CONSTRUCTION_LOANS" hidden="1">"c222"</definedName>
    <definedName name="IQ_CONSUMER_LOANS" hidden="1">"c223"</definedName>
    <definedName name="IQ_COST_BORROWINGS" hidden="1">"c225"</definedName>
    <definedName name="IQ_COST_REV" hidden="1">"c226"</definedName>
    <definedName name="IQ_COST_REVENUE" hidden="1">"c226"</definedName>
    <definedName name="IQ_COST_SAVINGS" hidden="1">"c227"</definedName>
    <definedName name="IQ_COST_SERVICE" hidden="1">"c228"</definedName>
    <definedName name="IQ_COST_TOTAL_BORROWINGS" hidden="1">"c229"</definedName>
    <definedName name="IQ_COUNTRY_NAME" hidden="1">"c230"</definedName>
    <definedName name="IQ_CQ" hidden="1">5000</definedName>
    <definedName name="IQ_CREDIT_CARD_FEE_BNK" hidden="1">"c231"</definedName>
    <definedName name="IQ_CREDIT_CARD_FEE_FIN" hidden="1">"c1583"</definedName>
    <definedName name="IQ_CREDIT_LOSS_CF" hidden="1">"c232"</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IT" hidden="1">"c239"</definedName>
    <definedName name="IQ_CURRENCY_GAIN_UTI" hidden="1">"c240"</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IT" hidden="1">"c1570"</definedName>
    <definedName name="IQ_CURRENT_PORT_DEBT_UTI" hidden="1">"c1571"</definedName>
    <definedName name="IQ_CURRENT_PORT_LEASES" hidden="1">"c245"</definedName>
    <definedName name="IQ_CURRENT_RATIO" hidden="1">"c246"</definedName>
    <definedName name="IQ_CY" hidden="1">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IT" hidden="1">"c254"</definedName>
    <definedName name="IQ_DA_CF_UTI" hidden="1">"c255"</definedName>
    <definedName name="IQ_DA_FIN" hidden="1">"c256"</definedName>
    <definedName name="IQ_DA_INS" hidden="1">"c257"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IT" hidden="1">"c266"</definedName>
    <definedName name="IQ_DA_SUPPL_CF_UTI" hidden="1">"c267"</definedName>
    <definedName name="IQ_DA_SUPPL_FIN" hidden="1">"c268"</definedName>
    <definedName name="IQ_DA_SUPPL_INS" hidden="1">"c269"</definedName>
    <definedName name="IQ_DA_SUPPL_REIT" hidden="1">"c270"</definedName>
    <definedName name="IQ_DA_SUPPL_UTI" hidden="1">"c271"</definedName>
    <definedName name="IQ_DA_UTI" hidden="1">"c272"</definedName>
    <definedName name="IQ_DAYS_COVER_SHORT" hidden="1">"c1578"</definedName>
    <definedName name="IQ_DAYS_INVENTORY_OUT" hidden="1">"c273"</definedName>
    <definedName name="IQ_DAYS_PAY_OUTST" hidden="1">"c274"</definedName>
    <definedName name="IQ_DAYS_PAYABLE_OUT" hidden="1">"c274"</definedName>
    <definedName name="IQ_DAYS_SALES_OUT" hidden="1">"c275"</definedName>
    <definedName name="IQ_DAYS_SALES_OUTST" hidden="1">"c275"</definedName>
    <definedName name="IQ_DEF_ACQ_CST" hidden="1">"c301"</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OTHER_COST" hidden="1">"c284"</definedName>
    <definedName name="IQ_DEF_BENEFIT_ROA" hidden="1">"c285"</definedName>
    <definedName name="IQ_DEF_BENEFIT_SERVICE_COST" hidden="1">"c286"</definedName>
    <definedName name="IQ_DEF_BENEFIT_TOTAL_COST" hidden="1">"c287"</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IT" hidden="1">"c297"</definedName>
    <definedName name="IQ_DEF_CHARGES_LT_UTI" hidden="1">"c298"</definedName>
    <definedName name="IQ_DEF_CHARGES_REIT" hidden="1">"c299"</definedName>
    <definedName name="IQ_DEF_CONTRIBUTION_TOTAL_COST" hidden="1">"c300"</definedName>
    <definedName name="IQ_DEF_INC_TAX" hidden="1">"c313"</definedName>
    <definedName name="IQ_DEF_POLICY_ACQ_COSTS" hidden="1">"c301"</definedName>
    <definedName name="IQ_DEF_POLICY_ACQ_COSTS_CF" hidden="1">"c302"</definedName>
    <definedName name="IQ_DEF_POLICY_AMORT" hidden="1">"c303"</definedName>
    <definedName name="IQ_DEF_TAX_ASSET_LT_BR" hidden="1">"c304"</definedName>
    <definedName name="IQ_DEF_TAX_ASSET_LT_FIN" hidden="1">"c305"</definedName>
    <definedName name="IQ_DEF_TAX_ASSET_LT_INS" hidden="1">"c306"</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IT" hidden="1">"c318"</definedName>
    <definedName name="IQ_DEF_TAX_LIAB_LT_UTI" hidden="1">"c319"</definedName>
    <definedName name="IQ_DEFERRED_INC_TAX" hidden="1">"c315"</definedName>
    <definedName name="IQ_DEFERRED_TAXES" hidden="1">"c147"</definedName>
    <definedName name="IQ_DEMAND_DEP" hidden="1">"c320"</definedName>
    <definedName name="IQ_DEPOSITS_FIN" hidden="1">"c321"</definedName>
    <definedName name="IQ_DEPRE_AMORT" hidden="1">"c247"</definedName>
    <definedName name="IQ_DEPRE_AMORT_SUPPL" hidden="1">"c1593"</definedName>
    <definedName name="IQ_DEPRE_DEPLE" hidden="1">"c261"</definedName>
    <definedName name="IQ_DEPRE_SUPP" hidden="1">"c1443"</definedName>
    <definedName name="IQ_DESCRIPTION_LONG" hidden="1">"c322"</definedName>
    <definedName name="IQ_DEVELOP_LAND" hidden="1">"c323"</definedName>
    <definedName name="IQ_DILUT_ADJUST" hidden="1">"c1621"</definedName>
    <definedName name="IQ_DILUT_EPS_EXCL" hidden="1">"c324"</definedName>
    <definedName name="IQ_DILUT_EPS_INCL" hidden="1">"c325"</definedName>
    <definedName name="IQ_DILUT_NORMAL_EPS" hidden="1">"c1594"</definedName>
    <definedName name="IQ_DILUT_WEIGHT" hidden="1">"c326"</definedName>
    <definedName name="IQ_DISCONT_OPER" hidden="1">"c333"</definedName>
    <definedName name="IQ_DISCOUNT_RATE_PENSION_DOMESTIC" hidden="1">"c327"</definedName>
    <definedName name="IQ_DISCOUNT_RATE_PENSION_FOREIGN" hidden="1">"c328"</definedName>
    <definedName name="IQ_DISTR_EXCESS_EARN" hidden="1">"c329"</definedName>
    <definedName name="IQ_DIV_SHARE" hidden="1">"c330"</definedName>
    <definedName name="IQ_DIVEST_CF" hidden="1">"c331"</definedName>
    <definedName name="IQ_DIVID_SHARE" hidden="1">"c330"</definedName>
    <definedName name="IQ_DIVIDEND_YIELD" hidden="1">"c332"</definedName>
    <definedName name="IQ_DO" hidden="1">"c333"</definedName>
    <definedName name="IQ_DO_ASSETS_CURRENT" hidden="1">"c334"</definedName>
    <definedName name="IQ_DO_ASSETS_LT" hidden="1">"c335"</definedName>
    <definedName name="IQ_DO_CF" hidden="1">"c336"</definedName>
    <definedName name="IQ_DPS_10YR_ANN_GROWTH" hidden="1">"c337"</definedName>
    <definedName name="IQ_DPS_1YR_ANN_GROWTH" hidden="1">"c338"</definedName>
    <definedName name="IQ_DPS_2YR_ANN_GROWTH" hidden="1">"c339"</definedName>
    <definedName name="IQ_DPS_3YR_ANN_GROWTH" hidden="1">"c340"</definedName>
    <definedName name="IQ_DPS_5YR_ANN_GROWTH" hidden="1">"c341"</definedName>
    <definedName name="IQ_DPS_7YR_ANN_GROWTH" hidden="1">"c342"</definedName>
    <definedName name="IQ_EARNING_ASSET_YIELD" hidden="1">"c343"</definedName>
    <definedName name="IQ_EARNING_CO" hidden="1">"c344"</definedName>
    <definedName name="IQ_EARNING_CO_10YR_ANN_GROWTH" hidden="1">"c345"</definedName>
    <definedName name="IQ_EARNING_CO_1YR_ANN_GROWTH" hidden="1">"c346"</definedName>
    <definedName name="IQ_EARNING_CO_2YR_ANN_GROWTH" hidden="1">"c347"</definedName>
    <definedName name="IQ_EARNING_CO_3YR_ANN_GROWTH" hidden="1">"c348"</definedName>
    <definedName name="IQ_EARNING_CO_5YR_ANN_GROWTH" hidden="1">"c349"</definedName>
    <definedName name="IQ_EARNING_CO_7YR_ANN_GROWTH" hidden="1">"c350"</definedName>
    <definedName name="IQ_EARNING_CO_MARGIN" hidden="1">"c351"</definedName>
    <definedName name="IQ_EBIT" hidden="1">"c352"</definedName>
    <definedName name="IQ_EBIT_10YR_ANN_GROWTH" hidden="1">"c353"</definedName>
    <definedName name="IQ_EBIT_1YR_ANN_GROWTH" hidden="1">"c354"</definedName>
    <definedName name="IQ_EBIT_2YR_ANN_GROWTH" hidden="1">"c355"</definedName>
    <definedName name="IQ_EBIT_3YR_ANN_GROWTH" hidden="1">"c356"</definedName>
    <definedName name="IQ_EBIT_5YR_ANN_GROWTH" hidden="1">"c357"</definedName>
    <definedName name="IQ_EBIT_7YR_ANN_GROWTH" hidden="1">"c358"</definedName>
    <definedName name="IQ_EBIT_INT" hidden="1">"c360"</definedName>
    <definedName name="IQ_EBIT_MARGIN" hidden="1">"c359"</definedName>
    <definedName name="IQ_EBIT_OVER_IE" hidden="1">"c360"</definedName>
    <definedName name="IQ_EBITDA" hidden="1">"c361"</definedName>
    <definedName name="IQ_EBITDA_10YR_ANN_GROWTH" hidden="1">"c362"</definedName>
    <definedName name="IQ_EBITDA_1YR_ANN_GROWTH" hidden="1">"c363"</definedName>
    <definedName name="IQ_EBITDA_2YR_ANN_GROWTH" hidden="1">"c364"</definedName>
    <definedName name="IQ_EBITDA_3YR_ANN_GROWTH" hidden="1">"c365"</definedName>
    <definedName name="IQ_EBITDA_5YR_ANN_GROWTH" hidden="1">"c366"</definedName>
    <definedName name="IQ_EBITDA_7YR_ANN_GROWTH" hidden="1">"c367"</definedName>
    <definedName name="IQ_EBITDA_CAPEX_INT" hidden="1">"c368"</definedName>
    <definedName name="IQ_EBITDA_CAPEX_OVER_TOTAL_IE" hidden="1">"c368"</definedName>
    <definedName name="IQ_EBITDA_INT" hidden="1">"c373"</definedName>
    <definedName name="IQ_EBITDA_MARGIN" hidden="1">"c372"</definedName>
    <definedName name="IQ_EBITDA_OVER_TOTAL_IE" hidden="1">"c373"</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IT" hidden="1">"c384"</definedName>
    <definedName name="IQ_EBT_EXCL_UTI" hidden="1">"c385"</definedName>
    <definedName name="IQ_EBT_FIN" hidden="1">"c386"</definedName>
    <definedName name="IQ_EBT_INS" hidden="1">"c388"</definedName>
    <definedName name="IQ_EBT_REIT" hidden="1">"c389"</definedName>
    <definedName name="IQ_EBT_UTI" hidden="1">"c390"</definedName>
    <definedName name="IQ_EFFECT_SPECIAL_CHARGE" hidden="1">"c1595"</definedName>
    <definedName name="IQ_EFFICIENCY_RATIO" hidden="1">"c391"</definedName>
    <definedName name="IQ_EMPLOYEES" hidden="1">"c392"</definedName>
    <definedName name="IQ_ENTERPRISE_VALUE" hidden="1">"c84"</definedName>
    <definedName name="IQ_EPS_10YR_ANN_GROWTH" hidden="1">"c393"</definedName>
    <definedName name="IQ_EPS_1YR_ANN_GROWTH" hidden="1">"c394"</definedName>
    <definedName name="IQ_EPS_2YR_ANN_GROWTH" hidden="1">"c395"</definedName>
    <definedName name="IQ_EPS_3YR_ANN_GROWTH" hidden="1">"c396"</definedName>
    <definedName name="IQ_EPS_5YR_ANN_GROWTH" hidden="1">"c397"</definedName>
    <definedName name="IQ_EPS_7YR_ANN_GROWTH" hidden="1">"c398"</definedName>
    <definedName name="IQ_EPS_EST" hidden="1">"c399"</definedName>
    <definedName name="IQ_EQUITY_AFFIL" hidden="1">"c552"</definedName>
    <definedName name="IQ_EQUITY_METHOD" hidden="1">"c404"</definedName>
    <definedName name="IQ_EQV_OVER_BV" hidden="1">"c1596"</definedName>
    <definedName name="IQ_EQV_OVER_LTM_PRETAX_INC" hidden="1">"c739"</definedName>
    <definedName name="IQ_ESOP_DEBT" hidden="1">"c1597"</definedName>
    <definedName name="IQ_EST_ACT_EPS" hidden="1">"c1648"</definedName>
    <definedName name="IQ_EST_DATE" hidden="1">"c1634"</definedName>
    <definedName name="IQ_EST_EPS_GROWTH_1YR" hidden="1">"c1636"</definedName>
    <definedName name="IQ_EST_EPS_GROWTH_Q_1YR" hidden="1">"c1641"</definedName>
    <definedName name="IQ_EV_OVER_EMPLOYEE" hidden="1">"c1225"</definedName>
    <definedName name="IQ_EV_OVER_LTM_EBIT" hidden="1">"c1221"</definedName>
    <definedName name="IQ_EV_OVER_LTM_EBITDA" hidden="1">"c1223"</definedName>
    <definedName name="IQ_EV_OVER_LTM_REVENUE" hidden="1">"c1227"</definedName>
    <definedName name="IQ_EXCHANGE" hidden="1">"c405"</definedName>
    <definedName name="IQ_EXERCISE_PRICE" hidden="1">"c406"</definedName>
    <definedName name="IQ_EXP_RETURN_PENSION_DOMESTIC" hidden="1">"c407"</definedName>
    <definedName name="IQ_EXP_RETURN_PENSION_FOREIGN" hidden="1">"c408"</definedName>
    <definedName name="IQ_EXPLORE_DRILL" hidden="1">"c409"</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IT" hidden="1">"c415"</definedName>
    <definedName name="IQ_EXTRA_ACC_ITEMS_UTI" hidden="1">"c416"</definedName>
    <definedName name="IQ_EXTRA_ITEMS" hidden="1">"c413"</definedName>
    <definedName name="IQ_FDIC" hidden="1">"c417"</definedName>
    <definedName name="IQ_FFO" hidden="1">"c1574"</definedName>
    <definedName name="IQ_FHLB_DEBT" hidden="1">"c423"</definedName>
    <definedName name="IQ_FILINGDATE_BS" hidden="1">"c424"</definedName>
    <definedName name="IQ_FILINGDATE_CF" hidden="1">"c425"</definedName>
    <definedName name="IQ_FILINGDATE_IS" hidden="1">"c426"</definedName>
    <definedName name="IQ_FIN_DIV_ASSETS_CURRENT" hidden="1">"c427"</definedName>
    <definedName name="IQ_FIN_DIV_ASSETS_LT" hidden="1">"c428"</definedName>
    <definedName name="IQ_FIN_DIV_DEBT_CURRENT" hidden="1">"c429"</definedName>
    <definedName name="IQ_FIN_DIV_DEBT_LT" hidden="1">"c430"</definedName>
    <definedName name="IQ_FIN_DIV_EXP" hidden="1">"c431"</definedName>
    <definedName name="IQ_FIN_DIV_INT_EXP" hidden="1">"c432"</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REV" hidden="1">"c437"</definedName>
    <definedName name="IQ_FINANCING_CASH" hidden="1">"c893"</definedName>
    <definedName name="IQ_FINANCING_CASH_SUPPL" hidden="1">"c899"</definedName>
    <definedName name="IQ_FINISHED_INV" hidden="1">"c438"</definedName>
    <definedName name="IQ_FIRST_YEAR_LIFE" hidden="1">"c439"</definedName>
    <definedName name="IQ_FISCAL_Q" hidden="1">"c440"</definedName>
    <definedName name="IQ_FISCAL_Y" hidden="1">"c441"</definedName>
    <definedName name="IQ_FIVE_PERCENT_OWNER" hidden="1">"c442"</definedName>
    <definedName name="IQ_FIVEPERCENT_PERCENT" hidden="1">"c443"</definedName>
    <definedName name="IQ_FIVEPERCENT_SHARES" hidden="1">"c444"</definedName>
    <definedName name="IQ_FIXED_ASSET_TURNS" hidden="1">"c445"</definedName>
    <definedName name="IQ_FLOAT_PERCENT" hidden="1">"c1575"</definedName>
    <definedName name="IQ_FOREIGN_DEP_IB" hidden="1">"c446"</definedName>
    <definedName name="IQ_FOREIGN_DEP_NON_IB" hidden="1">"c447"</definedName>
    <definedName name="IQ_FOREIGN_EXCHANGE" hidden="1">"c451"</definedName>
    <definedName name="IQ_FOREIGN_LOANS" hidden="1">"c448"</definedName>
    <definedName name="IQ_FQ" hidden="1">500</definedName>
    <definedName name="IQ_FUEL" hidden="1">"c449"</definedName>
    <definedName name="IQ_FULL_TIME" hidden="1">"c450"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X" hidden="1">"c451"</definedName>
    <definedName name="IQ_FY" hidden="1">1000</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IT" hidden="1">"c477"</definedName>
    <definedName name="IQ_GAIN_ASSETS_REV_UTI" hidden="1">"c478"</definedName>
    <definedName name="IQ_GAIN_ASSETS_UTI" hidden="1">"c479"</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"c452"</definedName>
    <definedName name="IQ_GOODWILL_NET" hidden="1">"c530"</definedName>
    <definedName name="IQ_GP" hidden="1">"c511"</definedName>
    <definedName name="IQ_GP_10YR_ANN_GROWTH" hidden="1">"c512"</definedName>
    <definedName name="IQ_GP_1YR_ANN_GROWTH" hidden="1">"c513"</definedName>
    <definedName name="IQ_GP_2YR_ANN_GROWTH" hidden="1">"c514"</definedName>
    <definedName name="IQ_GP_3YR_ANN_GROWTH" hidden="1">"c515"</definedName>
    <definedName name="IQ_GP_5YR_ANN_GROWTH" hidden="1">"c516"</definedName>
    <definedName name="IQ_GP_7YR_ANN_GROWTH" hidden="1">"c517"</definedName>
    <definedName name="IQ_GPPE" hidden="1">"c518"</definedName>
    <definedName name="IQ_GROSS_DIVID" hidden="1">"c192"</definedName>
    <definedName name="IQ_GROSS_LOANS" hidden="1">"c521"</definedName>
    <definedName name="IQ_GROSS_LOANS_10YR_ANN_GROWTH" hidden="1">"c522"</definedName>
    <definedName name="IQ_GROSS_LOANS_1YR_ANN_GROWTH" hidden="1">"c523"</definedName>
    <definedName name="IQ_GROSS_LOANS_2YR_ANN_GROWTH" hidden="1">"c524"</definedName>
    <definedName name="IQ_GROSS_LOANS_3YR_ANN_GROWTH" hidden="1">"c525"</definedName>
    <definedName name="IQ_GROSS_LOANS_5YR_ANN_GROWTH" hidden="1">"c526"</definedName>
    <definedName name="IQ_GROSS_LOANS_7YR_ANN_GROWTH" hidden="1">"c527"</definedName>
    <definedName name="IQ_GROSS_LOANS_TOTAL_DEPOSITS" hidden="1">"c528"</definedName>
    <definedName name="IQ_GROSS_MARGIN" hidden="1">"c529"</definedName>
    <definedName name="IQ_GROSS_PROFIT" hidden="1">"c511"</definedName>
    <definedName name="IQ_GW" hidden="1">"c530"</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IT" hidden="1">"c1480"</definedName>
    <definedName name="IQ_GW_INTAN_AMORT_UTI" hidden="1">"c1481"</definedName>
    <definedName name="IQ_HIGHPRICE" hidden="1">"c545"</definedName>
    <definedName name="IQ_HOMEOWNERS_WRITTEN" hidden="1">"c546"</definedName>
    <definedName name="IQ_IMPAIR_OIL" hidden="1">"c547"</definedName>
    <definedName name="IQ_IMPAIRMENT_GW" hidden="1">"c548"</definedName>
    <definedName name="IQ_INC_AFTER_TAX" hidden="1">"c1598"</definedName>
    <definedName name="IQ_INC_AVAIL_EXCL" hidden="1">"c789"</definedName>
    <definedName name="IQ_INC_AVAIL_INCL" hidden="1">"c791"</definedName>
    <definedName name="IQ_INC_BEFORE_TAX" hidden="1">"c386"</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S_ANNUITY_LIAB" hidden="1">"c563"</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IT" hidden="1">"c575"</definedName>
    <definedName name="IQ_INS_SETTLE_UTI" hidden="1">"c576"</definedName>
    <definedName name="IQ_INSIDER_3MTH_BOUGHT_PCT" hidden="1">"c1534"</definedName>
    <definedName name="IQ_INSIDER_3MTH_NET_PCT" hidden="1">"c1535"</definedName>
    <definedName name="IQ_INSIDER_3MTH_SOLD_PCT" hidden="1">"c1533"</definedName>
    <definedName name="IQ_INSIDER_6MTH_BOUGHT_PCT" hidden="1">"c1537"</definedName>
    <definedName name="IQ_INSIDER_6MTH_NET_PCT" hidden="1">"c1538"</definedName>
    <definedName name="IQ_INSIDER_6MTH_SOLD_PCT" hidden="1">"c1536"</definedName>
    <definedName name="IQ_INSIDER_OVER_TOTAL" hidden="1">"c1581"</definedName>
    <definedName name="IQ_INSIDER_OWNER" hidden="1">"c577"</definedName>
    <definedName name="IQ_INSIDER_PERCENT" hidden="1">"c578"</definedName>
    <definedName name="IQ_INSIDER_SHARES" hidden="1">"c579"</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UR_RECEIV" hidden="1">"c1600"</definedName>
    <definedName name="IQ_INT_BORROW" hidden="1">"c583"</definedName>
    <definedName name="IQ_INT_DEPOSITS" hidden="1">"c584"</definedName>
    <definedName name="IQ_INT_DIV_INC" hidden="1">"c585"</definedName>
    <definedName name="IQ_INT_EXP_BR" hidden="1">"c586"</definedName>
    <definedName name="IQ_INT_EXP_COVERAGE" hidden="1">"c587"</definedName>
    <definedName name="IQ_INT_EXP_FIN" hidden="1">"c588"</definedName>
    <definedName name="IQ_INT_EXP_INS" hidden="1">"c589"</definedName>
    <definedName name="IQ_INT_EXP_REIT" hidden="1">"c590"</definedName>
    <definedName name="IQ_INT_EXP_TOTAL" hidden="1">"c591"</definedName>
    <definedName name="IQ_INT_EXP_UTI" hidden="1">"c592"</definedName>
    <definedName name="IQ_INT_INC_BR" hidden="1">"c593"</definedName>
    <definedName name="IQ_INT_INC_FIN" hidden="1">"c594"</definedName>
    <definedName name="IQ_INT_INC_INVEST" hidden="1">"c595"</definedName>
    <definedName name="IQ_INT_INC_LOANS" hidden="1">"c596"</definedName>
    <definedName name="IQ_INT_INC_REIT" hidden="1">"c597"</definedName>
    <definedName name="IQ_INT_INC_TOTAL" hidden="1">"c598"</definedName>
    <definedName name="IQ_INT_INC_UTI" hidden="1">"c599"</definedName>
    <definedName name="IQ_INT_INV_INC" hidden="1">"c600"</definedName>
    <definedName name="IQ_INT_INV_INC_REIT" hidden="1">"c601"</definedName>
    <definedName name="IQ_INT_INV_INC_UTI" hidden="1">"c602"</definedName>
    <definedName name="IQ_INT_ON_BORROWING_COVERAGE" hidden="1">"c603"</definedName>
    <definedName name="IQ_INT_RATE_SPREAD" hidden="1">"c604"</definedName>
    <definedName name="IQ_INTANGIBLES_NET" hidden="1">"c907"</definedName>
    <definedName name="IQ_INTEREST_EXP" hidden="1">"c618"</definedName>
    <definedName name="IQ_INTEREST_EXP_NET" hidden="1">"c1450"</definedName>
    <definedName name="IQ_INTEREST_EXP_NON" hidden="1">"c618"</definedName>
    <definedName name="IQ_INTEREST_EXP_SUPPL" hidden="1">"c1460"</definedName>
    <definedName name="IQ_INTEREST_INC" hidden="1">"c769"</definedName>
    <definedName name="IQ_INTEREST_INC_NON" hidden="1">"c619"</definedName>
    <definedName name="IQ_INTEREST_INVEST_INC" hidden="1">"c619"</definedName>
    <definedName name="IQ_INV_BANKING_FEE" hidden="1">"c620"</definedName>
    <definedName name="IQ_INV_METHOD" hidden="1">"c621"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IT" hidden="1">"c633"</definedName>
    <definedName name="IQ_INVEST_LOANS_CF_UTI" hidden="1">"c634"</definedName>
    <definedName name="IQ_INVEST_REAL_ESTATE" hidden="1">"c635"</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IT" hidden="1">"c642"</definedName>
    <definedName name="IQ_INVEST_SECURITY_CF_UTI" hidden="1">"c643"</definedName>
    <definedName name="IQ_IPRD" hidden="1">"c644"</definedName>
    <definedName name="IQ_ISS_DEBT_NET" hidden="1">"c751"</definedName>
    <definedName name="IQ_ISS_STOCK_NET" hidden="1">"c1601"</definedName>
    <definedName name="IQ_LAND" hidden="1">"c645"</definedName>
    <definedName name="IQ_LASTSALEPRICE" hidden="1">"c646"</definedName>
    <definedName name="IQ_LATESTK" hidden="1">1000</definedName>
    <definedName name="IQ_LATESTQ" hidden="1">500</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IT" hidden="1">"c652"</definedName>
    <definedName name="IQ_LEGAL_SETTLE_UTI" hidden="1">"c653"</definedName>
    <definedName name="IQ_LEVERAGE_RATIO" hidden="1">"c654"</definedName>
    <definedName name="IQ_LIFOR" hidden="1">"c655"</definedName>
    <definedName name="IQ_LL" hidden="1">"c656"</definedName>
    <definedName name="IQ_LOAN_LEASE_RECEIV" hidden="1">"c657"</definedName>
    <definedName name="IQ_LOAN_LOSS" hidden="1">"c656"</definedName>
    <definedName name="IQ_LOAN_SERVICE_REV" hidden="1">"c658"</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IT" hidden="1">"c664"</definedName>
    <definedName name="IQ_LOANS_CF_UTI" hidden="1">"c665"</definedName>
    <definedName name="IQ_LOANS_FOR_SALE" hidden="1">"c666"</definedName>
    <definedName name="IQ_LOANS_PAST_DUE" hidden="1">"c667"</definedName>
    <definedName name="IQ_LOANS_RECEIV_CURRENT" hidden="1">"c668"</definedName>
    <definedName name="IQ_LOANS_RECEIV_LT" hidden="1">"c669"</definedName>
    <definedName name="IQ_LOANS_RECEIV_LT_UTI" hidden="1">"c670"</definedName>
    <definedName name="IQ_LONG_TERM_DEBT" hidden="1">"c674"</definedName>
    <definedName name="IQ_LONG_TERM_DEBT_OVER_TOTAL_CAP" hidden="1">"c677"</definedName>
    <definedName name="IQ_LONG_TERM_GROWTH" hidden="1">"c671"</definedName>
    <definedName name="IQ_LONG_TERM_INV" hidden="1">"c697"</definedName>
    <definedName name="IQ_LOSS_LOSS_EXP" hidden="1">"c672"</definedName>
    <definedName name="IQ_LOWPRICE" hidden="1">"c673"</definedName>
    <definedName name="IQ_LT_DEBT" hidden="1">"c674"</definedName>
    <definedName name="IQ_LT_DEBT_BNK" hidden="1">"c675"</definedName>
    <definedName name="IQ_LT_DEBT_BR" hidden="1">"c676"</definedName>
    <definedName name="IQ_LT_DEBT_CAPITAL" hidden="1">"c677"</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IT" hidden="1">"c686"</definedName>
    <definedName name="IQ_LT_DEBT_ISSUED_UTI" hidden="1">"c687"</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IT" hidden="1">"c694"</definedName>
    <definedName name="IQ_LT_DEBT_REPAID_UTI" hidden="1">"c695"</definedName>
    <definedName name="IQ_LT_DEBT_UTI" hidden="1">"c696"</definedName>
    <definedName name="IQ_LT_INVEST" hidden="1">"c697"</definedName>
    <definedName name="IQ_LT_INVEST_BR" hidden="1">"c698"</definedName>
    <definedName name="IQ_LT_INVEST_FIN" hidden="1">"c699"</definedName>
    <definedName name="IQ_LT_INVEST_REIT" hidden="1">"c700"</definedName>
    <definedName name="IQ_LT_INVEST_UTI" hidden="1">"c701"</definedName>
    <definedName name="IQ_LT_NOTE_RECEIV" hidden="1">"c1602"</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 hidden="1">2000</definedName>
    <definedName name="IQ_LTM_REVENUE_OVER_EMPLOYEES" hidden="1">"c1304"</definedName>
    <definedName name="IQ_MACHINERY" hidden="1">"c711"</definedName>
    <definedName name="IQ_MARKETCAP" hidden="1">"c712"</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IT" hidden="1">"c724"</definedName>
    <definedName name="IQ_MERGER_RESTRUCTURE_UTI" hidden="1">"c725"</definedName>
    <definedName name="IQ_MERGER_UTI" hidden="1">"c726"</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IT" hidden="1">"c734"</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 hidden="1">"c742"</definedName>
    <definedName name="IQ_MM_ACCOUNT" hidden="1">"c743"</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NET_CHANGE" hidden="1">"c749"</definedName>
    <definedName name="IQ_NET_DEBT" hidden="1">"c1584"</definedName>
    <definedName name="IQ_NET_DEBT_EBITDA" hidden="1">"c750"</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IT" hidden="1">"c756"</definedName>
    <definedName name="IQ_NET_DEBT_ISSUED_UTI" hidden="1">"c757"</definedName>
    <definedName name="IQ_NET_INC" hidden="1">"c781"</definedName>
    <definedName name="IQ_NET_INC_BEFORE" hidden="1">"c344"</definedName>
    <definedName name="IQ_NET_INC_CF" hidden="1">"c793"</definedName>
    <definedName name="IQ_NET_INC_MARGIN" hidden="1">"c794"</definedName>
    <definedName name="IQ_NET_INT_INC_10YR_ANN_GROWTH" hidden="1">"c758"</definedName>
    <definedName name="IQ_NET_INT_INC_1YR_ANN_GROWTH" hidden="1">"c759"</definedName>
    <definedName name="IQ_NET_INT_INC_2YR_ANN_GROWTH" hidden="1">"c760"</definedName>
    <definedName name="IQ_NET_INT_INC_3YR_ANN_GROWTH" hidden="1">"c761"</definedName>
    <definedName name="IQ_NET_INT_INC_5YR_ANN_GROWTH" hidden="1">"c762"</definedName>
    <definedName name="IQ_NET_INT_INC_7YR_ANN_GROWTH" hidden="1">"c763"</definedName>
    <definedName name="IQ_NET_INT_INC_BNK" hidden="1">"c764"</definedName>
    <definedName name="IQ_NET_INT_INC_BR" hidden="1">"c765"</definedName>
    <definedName name="IQ_NET_INT_INC_FIN" hidden="1">"c766"</definedName>
    <definedName name="IQ_NET_INT_INC_TOTAL_REV" hidden="1">"c767"</definedName>
    <definedName name="IQ_NET_INT_MARGIN" hidden="1">"c768"</definedName>
    <definedName name="IQ_NET_INTEREST_EXP" hidden="1">"c769"</definedName>
    <definedName name="IQ_NET_INTEREST_EXP_REIT" hidden="1">"c770"</definedName>
    <definedName name="IQ_NET_INTEREST_EXP_UTI" hidden="1">"c771"</definedName>
    <definedName name="IQ_NET_INTEREST_INC" hidden="1">"c764"</definedName>
    <definedName name="IQ_NET_INTEREST_INC_AFTER_LL" hidden="1">"c1604"</definedName>
    <definedName name="IQ_NET_LOANS" hidden="1">"c772"</definedName>
    <definedName name="IQ_NET_LOANS_10YR_ANN_GROWTH" hidden="1">"c773"</definedName>
    <definedName name="IQ_NET_LOANS_1YR_ANN_GROWTH" hidden="1">"c774"</definedName>
    <definedName name="IQ_NET_LOANS_2YR_ANN_GROWTH" hidden="1">"c775"</definedName>
    <definedName name="IQ_NET_LOANS_3YR_ANN_GROWTH" hidden="1">"c776"</definedName>
    <definedName name="IQ_NET_LOANS_5YR_ANN_GROWTH" hidden="1">"c777"</definedName>
    <definedName name="IQ_NET_LOANS_7YR_ANN_GROWTH" hidden="1">"c778"</definedName>
    <definedName name="IQ_NET_LOANS_TOTAL_DEPOSITS" hidden="1">"c779"</definedName>
    <definedName name="IQ_NET_RENTAL_EXP_FN" hidden="1">"c780"</definedName>
    <definedName name="IQ_NI" hidden="1">"c781"</definedName>
    <definedName name="IQ_NI_10YR_ANN_GROWTH" hidden="1">"c782"</definedName>
    <definedName name="IQ_NI_1YR_ANN_GROWTH" hidden="1">"c783"</definedName>
    <definedName name="IQ_NI_2YR_ANN_GROWTH" hidden="1">"c784"</definedName>
    <definedName name="IQ_NI_3YR_ANN_GROWTH" hidden="1">"c785"</definedName>
    <definedName name="IQ_NI_5YR_ANN_GROWTH" hidden="1">"c786"</definedName>
    <definedName name="IQ_NI_7YR_ANN_GROWTH" hidden="1">"c787"</definedName>
    <definedName name="IQ_NI_AFTER_CAPITALIZED" hidden="1">"c788"</definedName>
    <definedName name="IQ_NI_AVAIL_EXCL" hidden="1">"c789"</definedName>
    <definedName name="IQ_NI_AVAIL_EXCL_MARGIN" hidden="1">"c790"</definedName>
    <definedName name="IQ_NI_AVAIL_INCL" hidden="1">"c791"</definedName>
    <definedName name="IQ_NI_BEFORE_CAPITALIZED" hidden="1">"c792"</definedName>
    <definedName name="IQ_NI_CF" hidden="1">"c793"</definedName>
    <definedName name="IQ_NI_MARGIN" hidden="1">"c794"</definedName>
    <definedName name="IQ_NI_SFAS" hidden="1">"c795"</definedName>
    <definedName name="IQ_NON_ACCRUAL_LOANS" hidden="1">"c796"</definedName>
    <definedName name="IQ_NON_CASH" hidden="1">"c797"</definedName>
    <definedName name="IQ_NON_CASH_ITEMS" hidden="1">"c797"</definedName>
    <definedName name="IQ_NON_INS_EXP" hidden="1">"c798"</definedName>
    <definedName name="IQ_NON_INS_REV" hidden="1">"c799"</definedName>
    <definedName name="IQ_NON_INT_BEAR_CD" hidden="1">"c800"</definedName>
    <definedName name="IQ_NON_INT_EXP" hidden="1">"c801"</definedName>
    <definedName name="IQ_NON_INT_INC" hidden="1">"c802"</definedName>
    <definedName name="IQ_NON_INT_INC_10YR_ANN_GROWTH" hidden="1">"c803"</definedName>
    <definedName name="IQ_NON_INT_INC_1YR_ANN_GROWTH" hidden="1">"c804"</definedName>
    <definedName name="IQ_NON_INT_INC_2YR_ANN_GROWTH" hidden="1">"c805"</definedName>
    <definedName name="IQ_NON_INT_INC_3YR_ANN_GROWTH" hidden="1">"c806"</definedName>
    <definedName name="IQ_NON_INT_INC_5YR_ANN_GROWTH" hidden="1">"c807"</definedName>
    <definedName name="IQ_NON_INT_INC_7YR_ANN_GROWTH" hidden="1">"c808"</definedName>
    <definedName name="IQ_NON_INTEREST_EXP" hidden="1">"c801"</definedName>
    <definedName name="IQ_NON_INTEREST_INC" hidden="1">"c802"</definedName>
    <definedName name="IQ_NON_OPER_EXP" hidden="1">"c809"</definedName>
    <definedName name="IQ_NON_OPER_INC" hidden="1">"c810"</definedName>
    <definedName name="IQ_NON_PERF_ASSETS_10YR_ANN_GROWTH" hidden="1">"c811"</definedName>
    <definedName name="IQ_NON_PERF_ASSETS_1YR_ANN_GROWTH" hidden="1">"c812"</definedName>
    <definedName name="IQ_NON_PERF_ASSETS_2YR_ANN_GROWTH" hidden="1">"c813"</definedName>
    <definedName name="IQ_NON_PERF_ASSETS_3YR_ANN_GROWTH" hidden="1">"c814"</definedName>
    <definedName name="IQ_NON_PERF_ASSETS_5YR_ANN_GROWTH" hidden="1">"c815"</definedName>
    <definedName name="IQ_NON_PERF_ASSETS_7YR_ANN_GROWTH" hidden="1">"c816"</definedName>
    <definedName name="IQ_NON_PERF_ASSETS_TOTAL_ASSETS" hidden="1">"c817"</definedName>
    <definedName name="IQ_NON_PERF_LOANS_10YR_ANN_GROWTH" hidden="1">"c818"</definedName>
    <definedName name="IQ_NON_PERF_LOANS_1YR_ANN_GROWTH" hidden="1">"c819"</definedName>
    <definedName name="IQ_NON_PERF_LOANS_2YR_ANN_GROWTH" hidden="1">"c820"</definedName>
    <definedName name="IQ_NON_PERF_LOANS_3YR_ANN_GROWTH" hidden="1">"c821"</definedName>
    <definedName name="IQ_NON_PERF_LOANS_5YR_ANN_GROWTH" hidden="1">"c822"</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RMAL_INC_AFTER" hidden="1">"c1605"</definedName>
    <definedName name="IQ_NORMAL_INC_AVAIL" hidden="1">"c1606"</definedName>
    <definedName name="IQ_NORMAL_INC_BEFORE" hidden="1">"c1607"</definedName>
    <definedName name="IQ_NOTES_PAY" hidden="1">"c1176"</definedName>
    <definedName name="IQ_NOW_ACCOUNT" hidden="1">"c828"</definedName>
    <definedName name="IQ_NPPE" hidden="1">"c829"</definedName>
    <definedName name="IQ_NPPE_10YR_ANN_GROWTH" hidden="1">"c830"</definedName>
    <definedName name="IQ_NPPE_1YR_ANN_GROWTH" hidden="1">"c831"</definedName>
    <definedName name="IQ_NPPE_2YR_ANN_GROWTH" hidden="1">"c832"</definedName>
    <definedName name="IQ_NPPE_3YR_ANN_GROWTH" hidden="1">"c833"</definedName>
    <definedName name="IQ_NPPE_5YR_ANN_GROWTH" hidden="1">"c834"</definedName>
    <definedName name="IQ_NPPE_7YR_ANN_GROWTH" hidden="1">"c835"</definedName>
    <definedName name="IQ_NTM" hidden="1">6000</definedName>
    <definedName name="IQ_NUKE" hidden="1">"c836"</definedName>
    <definedName name="IQ_NUKE_CF" hidden="1">"c837"</definedName>
    <definedName name="IQ_NUKE_CONTR" hidden="1">"c838"</definedName>
    <definedName name="IQ_OCCUPY_EXP" hidden="1">"c839"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NPRICE" hidden="1">"c848"</definedName>
    <definedName name="IQ_OPER_INC" hidden="1">"c849"</definedName>
    <definedName name="IQ_OPER_INC_BR" hidden="1">"c850"</definedName>
    <definedName name="IQ_OPER_INC_FIN" hidden="1">"c851"</definedName>
    <definedName name="IQ_OPER_INC_INS" hidden="1">"c852"</definedName>
    <definedName name="IQ_OPER_INC_MARGIN" hidden="1">"c362"</definedName>
    <definedName name="IQ_OPER_INC_REIT" hidden="1">"c853"</definedName>
    <definedName name="IQ_OPER_INC_UTI" hidden="1">"c854"</definedName>
    <definedName name="IQ_OPERATIONS_EXP" hidden="1">"c855"</definedName>
    <definedName name="IQ_OPTIONS_BEG_OS" hidden="1">"c1572"</definedName>
    <definedName name="IQ_OPTIONS_CANCELLED" hidden="1">"c856"</definedName>
    <definedName name="IQ_OPTIONS_END_OS" hidden="1">"c1573"</definedName>
    <definedName name="IQ_OPTIONS_ISSUED" hidden="1">"c857"</definedName>
    <definedName name="IQ_OTHER_ADJUST_GROSS_LOANS" hidden="1">"c859"</definedName>
    <definedName name="IQ_OTHER_ASSETS" hidden="1">"c860"</definedName>
    <definedName name="IQ_OTHER_ASSETS_BNK" hidden="1">"c861"</definedName>
    <definedName name="IQ_OTHER_ASSETS_BR" hidden="1">"c862"</definedName>
    <definedName name="IQ_OTHER_ASSETS_FIN" hidden="1">"c863"</definedName>
    <definedName name="IQ_OTHER_ASSETS_INS" hidden="1">"c864"</definedName>
    <definedName name="IQ_OTHER_ASSETS_REIT" hidden="1">"c865"</definedName>
    <definedName name="IQ_OTHER_ASSETS_UTI" hidden="1">"c866"</definedName>
    <definedName name="IQ_OTHER_BEARING_LIAB" hidden="1">"c1608"</definedName>
    <definedName name="IQ_OTHER_BENEFITS_OBLIGATION" hidden="1">"c867"</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REIT" hidden="1">"c882"</definedName>
    <definedName name="IQ_OTHER_CL_SUPPL_UTI" hidden="1">"c883"</definedName>
    <definedName name="IQ_OTHER_CL_UTI" hidden="1">"c884"</definedName>
    <definedName name="IQ_OTHER_CURRENT_ASSETS" hidden="1">"c868"</definedName>
    <definedName name="IQ_OTHER_CURRENT_LIAB" hidden="1">"c877"</definedName>
    <definedName name="IQ_OTHER_DEP" hidden="1">"c885"</definedName>
    <definedName name="IQ_OTHER_EARNING" hidden="1">"c1609"</definedName>
    <definedName name="IQ_OTHER_EQUITY" hidden="1">"c886"</definedName>
    <definedName name="IQ_OTHER_EQUITY_BNK" hidden="1">"c887"</definedName>
    <definedName name="IQ_OTHER_EQUITY_BR" hidden="1">"c888"</definedName>
    <definedName name="IQ_OTHER_EQUITY_FIN" hidden="1">"c889"</definedName>
    <definedName name="IQ_OTHER_EQUITY_INS" hidden="1">"c890"</definedName>
    <definedName name="IQ_OTHER_EQUITY_REIT" hidden="1">"c891"</definedName>
    <definedName name="IQ_OTHER_EQUITY_UTI" hidden="1">"c892"</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IT" hidden="1">"c904"</definedName>
    <definedName name="IQ_OTHER_FINANCE_ACT_SUPPL_UTI" hidden="1">"c905"</definedName>
    <definedName name="IQ_OTHER_FINANCE_ACT_UTI" hidden="1">"c906"</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IT" hidden="1">"c912"</definedName>
    <definedName name="IQ_OTHER_INTAN_UTI" hidden="1">"c913"</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IT" hidden="1">"c927"</definedName>
    <definedName name="IQ_OTHER_INVEST_ACT_SUPPL_UTI" hidden="1">"c928"</definedName>
    <definedName name="IQ_OTHER_INVEST_ACT_UTI" hidden="1">"c929"</definedName>
    <definedName name="IQ_OTHER_INVESTING" hidden="1">"c916"</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IT" hidden="1">"c940"</definedName>
    <definedName name="IQ_OTHER_LIAB_LT_UTI" hidden="1">"c941"</definedName>
    <definedName name="IQ_OTHER_LIAB_REIT" hidden="1">"c942"</definedName>
    <definedName name="IQ_OTHER_LIAB_UTI" hidden="1">"c943"</definedName>
    <definedName name="IQ_OTHER_LIAB_WRITTEN" hidden="1">"c944"</definedName>
    <definedName name="IQ_OTHER_LOANS" hidden="1">"c945"</definedName>
    <definedName name="IQ_OTHER_LONG_TERM" hidden="1">"c946"</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IT" hidden="1">"c951"</definedName>
    <definedName name="IQ_OTHER_LT_ASSETS_UTI" hidden="1">"c952"</definedName>
    <definedName name="IQ_OTHER_NET" hidden="1">"c959"</definedName>
    <definedName name="IQ_OTHER_NON_INT_EXP" hidden="1">"c953"</definedName>
    <definedName name="IQ_OTHER_NON_INT_EXP_TOTAL" hidden="1">"c954"</definedName>
    <definedName name="IQ_OTHER_NON_INT_INC" hidden="1">"c955"</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IT" hidden="1">"c965"</definedName>
    <definedName name="IQ_OTHER_NON_OPER_EXP_SUPPL_UTI" hidden="1">"c966"</definedName>
    <definedName name="IQ_OTHER_NON_OPER_EXP_UTI" hidden="1">"c967"</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IT" hidden="1">"c1003"</definedName>
    <definedName name="IQ_OTHER_OPER_TOT_UTI" hidden="1">"c1004"</definedName>
    <definedName name="IQ_OTHER_OPER_UTI" hidden="1">"c1005"</definedName>
    <definedName name="IQ_OTHER_PC_WRITTEN" hidden="1">"c1006"</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IT" hidden="1">"c1019"</definedName>
    <definedName name="IQ_OTHER_REV_SUPPL_UTI" hidden="1">"c1020"</definedName>
    <definedName name="IQ_OTHER_REV_UTI" hidden="1">"c1021"</definedName>
    <definedName name="IQ_OTHER_REVENUE" hidden="1">"c1010"</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IT" hidden="1">"c1499"</definedName>
    <definedName name="IQ_OTHER_UNUSUAL_SUPPL_UTI" hidden="1">"c1500"</definedName>
    <definedName name="IQ_OTHER_UNUSUAL_UTI" hidden="1">"c1565"</definedName>
    <definedName name="IQ_OUTSTANDING_BS_DATE" hidden="1">"c1022"</definedName>
    <definedName name="IQ_OUTSTANDING_FILING_DATE" hidden="1">"c1023"</definedName>
    <definedName name="IQ_PART_TIME" hidden="1">"c1024"</definedName>
    <definedName name="IQ_PAY_ACCRUED" hidden="1">"c8"</definedName>
    <definedName name="IQ_PBV" hidden="1">"c1025"</definedName>
    <definedName name="IQ_PBV_AVG" hidden="1">"c1026"</definedName>
    <definedName name="IQ_PC_WRITTEN" hidden="1">"c1027"</definedName>
    <definedName name="IQ_PE_EXCL" hidden="1">"c1028"</definedName>
    <definedName name="IQ_PE_EXCL_AVG" hidden="1">"c1029"</definedName>
    <definedName name="IQ_PE_EXCL_FWD" hidden="1">"c1030"</definedName>
    <definedName name="IQ_PE_RATIO" hidden="1">"c1610"</definedName>
    <definedName name="IQ_PENSION" hidden="1">"c1031"</definedName>
    <definedName name="IQ_PERIODDATE" hidden="1">"c1034"</definedName>
    <definedName name="IQ_PERIODDATE_BS" hidden="1">"c1032"</definedName>
    <definedName name="IQ_PERIODDATE_CF" hidden="1">"c1033"</definedName>
    <definedName name="IQ_PERIODDATE_IS" hidden="1">"c1034"</definedName>
    <definedName name="IQ_PERIODLENGTH_CF" hidden="1">"c1502"</definedName>
    <definedName name="IQ_PERIODLENGTH_IS" hidden="1">"c1503"</definedName>
    <definedName name="IQ_PERTYPE" hidden="1">"c1611"</definedName>
    <definedName name="IQ_POLICY_BENEFITS" hidden="1">"c1036"</definedName>
    <definedName name="IQ_POLICY_COST" hidden="1">"c1037"</definedName>
    <definedName name="IQ_POLICY_LIAB" hidden="1">"c1612"</definedName>
    <definedName name="IQ_POLICY_LOANS" hidden="1">"c1038"</definedName>
    <definedName name="IQ_POST_RETIRE_EXP" hidden="1">"c1039"</definedName>
    <definedName name="IQ_PRE_OPEN_COST" hidden="1">"c1040"</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IT" hidden="1">"c1058"</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IT" hidden="1">"c1065"</definedName>
    <definedName name="IQ_PREF_REP_UTI" hidden="1">"c1066"</definedName>
    <definedName name="IQ_PREF_STOCK" hidden="1">"c1052"</definedName>
    <definedName name="IQ_PREF_TOT" hidden="1">"c1044"</definedName>
    <definedName name="IQ_PREMIUMS_ANNUITY_REV" hidden="1">"c1067"</definedName>
    <definedName name="IQ_PREPAID_EXP" hidden="1">"c1068"</definedName>
    <definedName name="IQ_PREPAID_EXPEN" hidden="1">"c1068"</definedName>
    <definedName name="IQ_PRICE_OVER_BVPS" hidden="1">"c1026"</definedName>
    <definedName name="IQ_PRICE_OVER_LTM_EPS" hidden="1">"c1029"</definedName>
    <definedName name="IQ_PRICEDATE" hidden="1">"c1069"</definedName>
    <definedName name="IQ_PRICING_DATE" hidden="1">"c1613"</definedName>
    <definedName name="IQ_PRIMARY_INDUSTRY" hidden="1">"c1070"</definedName>
    <definedName name="IQ_PRO_FORMA_BASIC_EPS" hidden="1">"c1614"</definedName>
    <definedName name="IQ_PRO_FORMA_DILUT_EPS" hidden="1">"c1615"</definedName>
    <definedName name="IQ_PRO_FORMA_NET_INC" hidden="1">"c795"</definedName>
    <definedName name="IQ_PROFESSIONAL" hidden="1">"c1071"</definedName>
    <definedName name="IQ_PROFESSIONAL_TITLE" hidden="1">"c1072"</definedName>
    <definedName name="IQ_PROPERTY_EXP" hidden="1">"c1073"</definedName>
    <definedName name="IQ_PROPERTY_GROSS" hidden="1">"c518"</definedName>
    <definedName name="IQ_PROPERTY_MGMT_FEE" hidden="1">"c1074"</definedName>
    <definedName name="IQ_PROPERTY_NET" hidden="1">"c829"</definedName>
    <definedName name="IQ_PROV_BAD_DEBTS" hidden="1">"c1075"</definedName>
    <definedName name="IQ_PROV_BAD_DEBTS_CF" hidden="1">"c1076"</definedName>
    <definedName name="IQ_PROVISION_10YR_ANN_GROWTH" hidden="1">"c1077"</definedName>
    <definedName name="IQ_PROVISION_1YR_ANN_GROWTH" hidden="1">"c1078"</definedName>
    <definedName name="IQ_PROVISION_2YR_ANN_GROWTH" hidden="1">"c1079"</definedName>
    <definedName name="IQ_PROVISION_3YR_ANN_GROWTH" hidden="1">"c1080"</definedName>
    <definedName name="IQ_PROVISION_5YR_ANN_GROWTH" hidden="1">"c1081"</definedName>
    <definedName name="IQ_PROVISION_7YR_ANN_GROWTH" hidden="1">"c1082"</definedName>
    <definedName name="IQ_PROVISION_CHARGE_OFFS" hidden="1">"c1083"</definedName>
    <definedName name="IQ_PTBV" hidden="1">"c1084"</definedName>
    <definedName name="IQ_PTBV_AVG" hidden="1">"c1085"</definedName>
    <definedName name="IQ_QUICK_RATIO" hidden="1">"c1086"</definedName>
    <definedName name="IQ_RATE_COMP_GROWTH_DOMESTIC" hidden="1">"c1087"</definedName>
    <definedName name="IQ_RATE_COMP_GROWTH_FOREIGN" hidden="1">"c1088"</definedName>
    <definedName name="IQ_RAW_INV" hidden="1">"c1089"</definedName>
    <definedName name="IQ_RD_EXP" hidden="1">"c1090"</definedName>
    <definedName name="IQ_RD_EXP_FN" hidden="1">"c1091"</definedName>
    <definedName name="IQ_RE" hidden="1">"c1092"</definedName>
    <definedName name="IQ_REAL_ESTATE" hidden="1">"c1093"</definedName>
    <definedName name="IQ_REAL_ESTATE_ASSETS" hidden="1">"c1094"</definedName>
    <definedName name="IQ_REDEEM_PREF_STOCK" hidden="1">"c1059"</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NTAL_REV" hidden="1">"c1101"</definedName>
    <definedName name="IQ_RESEARCH_DEV" hidden="1">"c1090"</definedName>
    <definedName name="IQ_RESIDENTIAL_LOANS" hidden="1">"c1102"</definedName>
    <definedName name="IQ_RESTATEMENT_BS" hidden="1">"c1643"</definedName>
    <definedName name="IQ_RESTATEMENT_CF" hidden="1">"c1644"</definedName>
    <definedName name="IQ_RESTATEMENT_IS" hidden="1">"c1642"</definedName>
    <definedName name="IQ_RESTRICTED_CASH" hidden="1">"c1103"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IT" hidden="1">"c1110"</definedName>
    <definedName name="IQ_RESTRUCTURE_UTI" hidden="1">"c1111"</definedName>
    <definedName name="IQ_RESTRUCTURED_LOANS" hidden="1">"c1112"</definedName>
    <definedName name="IQ_RETAINED_EARN" hidden="1">"c1092"</definedName>
    <definedName name="IQ_RETURN_ASSETS" hidden="1">"c1113"</definedName>
    <definedName name="IQ_RETURN_ASSETS_BANK" hidden="1">"c1114"</definedName>
    <definedName name="IQ_RETURN_ASSETS_BROK" hidden="1">"c1115"</definedName>
    <definedName name="IQ_RETURN_ASSETS_FS" hidden="1">"c1116"</definedName>
    <definedName name="IQ_RETURN_CAPITAL" hidden="1">"c1117"</definedName>
    <definedName name="IQ_RETURN_EQUITY" hidden="1">"c1118"</definedName>
    <definedName name="IQ_RETURN_EQUITY_BANK" hidden="1">"c1119"</definedName>
    <definedName name="IQ_RETURN_EQUITY_BROK" hidden="1">"c1120"</definedName>
    <definedName name="IQ_RETURN_EQUITY_FS" hidden="1">"c1121"</definedName>
    <definedName name="IQ_RETURN_INVESTMENT" hidden="1">"c1117"</definedName>
    <definedName name="IQ_REV" hidden="1">"c1122"</definedName>
    <definedName name="IQ_REV_BEFORE_LL" hidden="1">"c1123"</definedName>
    <definedName name="IQ_REV_UTI" hidden="1">"c1125"</definedName>
    <definedName name="IQ_REVENUE" hidden="1">"c1122"</definedName>
    <definedName name="IQ_SALARY" hidden="1">"c1130"</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ME_STORE" hidden="1">"c1149"</definedName>
    <definedName name="IQ_SAVING_DEP" hidden="1">"c1150"</definedName>
    <definedName name="IQ_SECUR_RECEIV" hidden="1">"c1151"</definedName>
    <definedName name="IQ_SECURITY_BORROW" hidden="1">"c1152"</definedName>
    <definedName name="IQ_SECURITY_OWN" hidden="1">"c1153"</definedName>
    <definedName name="IQ_SECURITY_RESELL" hidden="1">"c1154"</definedName>
    <definedName name="IQ_SEPARATE_ACCT_ASSETS" hidden="1">"c1155"</definedName>
    <definedName name="IQ_SEPARATE_ACCT_LIAB" hidden="1">"c1156"</definedName>
    <definedName name="IQ_SERV_CHARGE_DEPOSITS" hidden="1">"c1157"</definedName>
    <definedName name="IQ_SGA" hidden="1">"c1158"</definedName>
    <definedName name="IQ_SGA_BNK" hidden="1">"c1159"</definedName>
    <definedName name="IQ_SGA_INS" hidden="1">"c1160"</definedName>
    <definedName name="IQ_SGA_REIT" hidden="1">"c1161"</definedName>
    <definedName name="IQ_SGA_SUPPL" hidden="1">"c1162"</definedName>
    <definedName name="IQ_SGA_UTI" hidden="1">"c1163"</definedName>
    <definedName name="IQ_SHAREOUTSTANDING" hidden="1">"c83"</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TERM_INVEST" hidden="1">"c1197"</definedName>
    <definedName name="IQ_SMALL_INT_BEAR_CD" hidden="1">"c1166"</definedName>
    <definedName name="IQ_SOFTWARE" hidden="1">"c1167"</definedName>
    <definedName name="IQ_SOURCE" hidden="1">"c1168"</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IT" hidden="1">"c1174"</definedName>
    <definedName name="IQ_SPECIAL_DIV_CF_UTI" hidden="1">"c1175"</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IT" hidden="1">"c1186"</definedName>
    <definedName name="IQ_ST_DEBT_ISSUED_UTI" hidden="1">"c1187"</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IT" hidden="1">"c1194"</definedName>
    <definedName name="IQ_ST_DEBT_REPAID_UTI" hidden="1">"c1195"</definedName>
    <definedName name="IQ_ST_DEBT_UTI" hidden="1">"c1196"</definedName>
    <definedName name="IQ_ST_INVEST" hidden="1">"c1197"</definedName>
    <definedName name="IQ_ST_INVEST_UTI" hidden="1">"c1198"</definedName>
    <definedName name="IQ_ST_NOTE_RECEIV" hidden="1">"c1199"</definedName>
    <definedName name="IQ_STATE" hidden="1">"c1200"</definedName>
    <definedName name="IQ_STATUTORY_SURPLUS" hidden="1">"c1201"</definedName>
    <definedName name="IQ_STOCK_BASED" hidden="1">"c1202"</definedName>
    <definedName name="IQ_STOCK_BASED_CF" hidden="1">"c1203"</definedName>
    <definedName name="IQ_STRIKE_PRICE_ISSUED" hidden="1">"c1645"</definedName>
    <definedName name="IQ_STRIKE_PRICE_OS" hidden="1">"c1646"</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VA" hidden="1">"c1214"</definedName>
    <definedName name="IQ_TAX_BENEFIT_OPTIONS" hidden="1">"c1215"</definedName>
    <definedName name="IQ_TAX_EQUIV_NET_INT_INC" hidden="1">"c1216"</definedName>
    <definedName name="IQ_TBV_SHARE" hidden="1">"c1217"</definedName>
    <definedName name="IQ_TEMPLATE" hidden="1">"c1521"</definedName>
    <definedName name="IQ_TENANT" hidden="1">"c1218"</definedName>
    <definedName name="IQ_TEV" hidden="1">"c1219"</definedName>
    <definedName name="IQ_TEV_EBIT" hidden="1">"c1220"</definedName>
    <definedName name="IQ_TEV_EBIT_AVG" hidden="1">"c1221"</definedName>
    <definedName name="IQ_TEV_EBITDA" hidden="1">"c1222"</definedName>
    <definedName name="IQ_TEV_EBITDA_AVG" hidden="1">"c1223"</definedName>
    <definedName name="IQ_TEV_EBITDA_FWD" hidden="1">"c1224"</definedName>
    <definedName name="IQ_TEV_EMPLOYEE_AVG" hidden="1">"c1225"</definedName>
    <definedName name="IQ_TEV_TOTAL_REV" hidden="1">"c1226"</definedName>
    <definedName name="IQ_TEV_TOTAL_REV_AVG" hidden="1">"c1227"</definedName>
    <definedName name="IQ_TEV_TOTAL_REV_FWD" hidden="1">"c1228"</definedName>
    <definedName name="IQ_TIER_ONE_RATIO" hidden="1">"c1229"</definedName>
    <definedName name="IQ_TIME_DEP" hidden="1">"c1230"</definedName>
    <definedName name="IQ_TODAY" hidden="1">0</definedName>
    <definedName name="IQ_TOT_ADJ_INC" hidden="1">"c1616"</definedName>
    <definedName name="IQ_TOTAL_AR_BR" hidden="1">"c1231"</definedName>
    <definedName name="IQ_TOTAL_AR_REIT" hidden="1">"c1232"</definedName>
    <definedName name="IQ_TOTAL_AR_UTI" hidden="1">"c1233"</definedName>
    <definedName name="IQ_TOTAL_ASSETS" hidden="1">"c1234"</definedName>
    <definedName name="IQ_TOTAL_ASSETS_10YR_ANN_GROWTH" hidden="1">"c1235"</definedName>
    <definedName name="IQ_TOTAL_ASSETS_1YR_ANN_GROWTH" hidden="1">"c1236"</definedName>
    <definedName name="IQ_TOTAL_ASSETS_2YR_ANN_GROWTH" hidden="1">"c1237"</definedName>
    <definedName name="IQ_TOTAL_ASSETS_3YR_ANN_GROWTH" hidden="1">"c1238"</definedName>
    <definedName name="IQ_TOTAL_ASSETS_5YR_ANN_GROWTH" hidden="1">"c1239"</definedName>
    <definedName name="IQ_TOTAL_ASSETS_7YR_ANN_GROWTH" hidden="1">"c1240"</definedName>
    <definedName name="IQ_TOTAL_AVG_CE_TOTAL_AVG_ASSETS" hidden="1">"c1241"</definedName>
    <definedName name="IQ_TOTAL_AVG_EQUITY_TOTAL_AVG_ASSETS" hidden="1">"c1242"</definedName>
    <definedName name="IQ_TOTAL_CA" hidden="1">"c1243"</definedName>
    <definedName name="IQ_TOTAL_CAP" hidden="1">"c1507"</definedName>
    <definedName name="IQ_TOTAL_CAPITAL_RATIO" hidden="1">"c1244"</definedName>
    <definedName name="IQ_TOTAL_CASH_DIVID" hidden="1">"c1266"</definedName>
    <definedName name="IQ_TOTAL_CASH_FINAN" hidden="1">"c119"</definedName>
    <definedName name="IQ_TOTAL_CASH_INVEST" hidden="1">"c121"</definedName>
    <definedName name="IQ_TOTAL_CASH_OPER" hidden="1">"c122"</definedName>
    <definedName name="IQ_TOTAL_CL" hidden="1">"c1245"</definedName>
    <definedName name="IQ_TOTAL_COMMON" hidden="1">"c1022"</definedName>
    <definedName name="IQ_TOTAL_COMMON_EQUITY" hidden="1">"c1246"</definedName>
    <definedName name="IQ_TOTAL_CURRENT_ASSETS" hidden="1">"c1243"</definedName>
    <definedName name="IQ_TOTAL_CURRENT_LIAB" hidden="1">"c1245"</definedName>
    <definedName name="IQ_TOTAL_DEBT" hidden="1">"c1247"</definedName>
    <definedName name="IQ_TOTAL_DEBT_CAPITAL" hidden="1">"c1248"</definedName>
    <definedName name="IQ_TOTAL_DEBT_EBITDA" hidden="1">"c1249"</definedName>
    <definedName name="IQ_TOTAL_DEBT_EQUITY" hidden="1">"c1250"</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IT" hidden="1">"c1255"</definedName>
    <definedName name="IQ_TOTAL_DEBT_ISSUED_UTI" hidden="1">"c1256"</definedName>
    <definedName name="IQ_TOTAL_DEBT_ISSUES_INS" hidden="1">"c1257"</definedName>
    <definedName name="IQ_TOTAL_DEBT_OVER_EBITDA" hidden="1">"c1249"</definedName>
    <definedName name="IQ_TOTAL_DEBT_OVER_TOTAL_BV" hidden="1">"c1250"</definedName>
    <definedName name="IQ_TOTAL_DEBT_OVER_TOTAL_CAP" hidden="1">"c1248"</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IT" hidden="1">"c1263"</definedName>
    <definedName name="IQ_TOTAL_DEBT_REPAID_UTI" hidden="1">"c1264"</definedName>
    <definedName name="IQ_TOTAL_DEPOSITS" hidden="1">"c1265"</definedName>
    <definedName name="IQ_TOTAL_DIV_PAID_CF" hidden="1">"c1266"</definedName>
    <definedName name="IQ_TOTAL_EMPLOYEE" hidden="1">"c1522"</definedName>
    <definedName name="IQ_TOTAL_EQUITY" hidden="1">"c1267"</definedName>
    <definedName name="IQ_TOTAL_EQUITY_10YR_ANN_GROWTH" hidden="1">"c1268"</definedName>
    <definedName name="IQ_TOTAL_EQUITY_1YR_ANN_GROWTH" hidden="1">"c1269"</definedName>
    <definedName name="IQ_TOTAL_EQUITY_2YR_ANN_GROWTH" hidden="1">"c1270"</definedName>
    <definedName name="IQ_TOTAL_EQUITY_3YR_ANN_GROWTH" hidden="1">"c1271"</definedName>
    <definedName name="IQ_TOTAL_EQUITY_5YR_ANN_GROWTH" hidden="1">"c1272"</definedName>
    <definedName name="IQ_TOTAL_EQUITY_7YR_ANN_GROWTH" hidden="1">"c1273"</definedName>
    <definedName name="IQ_TOTAL_EQUITY_ALLOWANCE_TOTAL_LOANS" hidden="1">"c1274"</definedName>
    <definedName name="IQ_TOTAL_INTEREST_EXP" hidden="1">"c591"</definedName>
    <definedName name="IQ_TOTAL_INVENTORY" hidden="1">"c622"</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FIN" hidden="1">"c1280"</definedName>
    <definedName name="IQ_TOTAL_LIAB_INS" hidden="1">"c1281"</definedName>
    <definedName name="IQ_TOTAL_LIAB_REIT" hidden="1">"c1282"</definedName>
    <definedName name="IQ_TOTAL_LIAB_SHAREHOLD" hidden="1">"c1279"</definedName>
    <definedName name="IQ_TOTAL_LIAB_TOTAL_ASSETS" hidden="1">"c1283"</definedName>
    <definedName name="IQ_TOTAL_LONG_DEBT" hidden="1">"c1617"</definedName>
    <definedName name="IQ_TOTAL_OPER_EXP_BR" hidden="1">"c1284"</definedName>
    <definedName name="IQ_TOTAL_OPER_EXP_FIN" hidden="1">"c1285"</definedName>
    <definedName name="IQ_TOTAL_OPER_EXP_INS" hidden="1">"c1286"</definedName>
    <definedName name="IQ_TOTAL_OPER_EXP_REIT" hidden="1">"c1287"</definedName>
    <definedName name="IQ_TOTAL_OPER_EXP_UTI" hidden="1">"c1288"</definedName>
    <definedName name="IQ_TOTAL_OPER_EXPEN" hidden="1">"c1445"</definedName>
    <definedName name="IQ_TOTAL_OTHER_OPER" hidden="1">"c1289"</definedName>
    <definedName name="IQ_TOTAL_PENSION_ASSETS" hidden="1">"c1290"</definedName>
    <definedName name="IQ_TOTAL_PENSION_EXP" hidden="1">"c1291"</definedName>
    <definedName name="IQ_TOTAL_PENSION_OBLIGATION" hidden="1">"c1292"</definedName>
    <definedName name="IQ_TOTAL_RECEIV" hidden="1">"c1293"</definedName>
    <definedName name="IQ_TOTAL_REV" hidden="1">"c1294"</definedName>
    <definedName name="IQ_TOTAL_REV_10YR_ANN_GROWTH" hidden="1">"c1295"</definedName>
    <definedName name="IQ_TOTAL_REV_1YR_ANN_GROWTH" hidden="1">"c1296"</definedName>
    <definedName name="IQ_TOTAL_REV_2YR_ANN_GROWTH" hidden="1">"c1297"</definedName>
    <definedName name="IQ_TOTAL_REV_3YR_ANN_GROWTH" hidden="1">"c1298"</definedName>
    <definedName name="IQ_TOTAL_REV_5YR_ANN_GROWTH" hidden="1">"c1299"</definedName>
    <definedName name="IQ_TOTAL_REV_7YR_ANN_GROWTH" hidden="1">"c1300"</definedName>
    <definedName name="IQ_TOTAL_REV_AS_REPORTED" hidden="1">"c1301"</definedName>
    <definedName name="IQ_TOTAL_REV_BNK" hidden="1">"c1302"</definedName>
    <definedName name="IQ_TOTAL_REV_BR" hidden="1">"c1303"</definedName>
    <definedName name="IQ_TOTAL_REV_EMPLOYEE" hidden="1">"c1304"</definedName>
    <definedName name="IQ_TOTAL_REV_FIN" hidden="1">"c1305"</definedName>
    <definedName name="IQ_TOTAL_REV_INS" hidden="1">"c1306"</definedName>
    <definedName name="IQ_TOTAL_REV_REIT" hidden="1">"c1307"</definedName>
    <definedName name="IQ_TOTAL_REV_UTI" hidden="1">"c1308"</definedName>
    <definedName name="IQ_TOTAL_REVENUE" hidden="1">"c1294"</definedName>
    <definedName name="IQ_TOTAL_SPECIAL" hidden="1">"c1618"</definedName>
    <definedName name="IQ_TOTAL_ST_BORROW" hidden="1">"c1177"</definedName>
    <definedName name="IQ_TOTAL_UNUSUAL" hidden="1">"c1508"</definedName>
    <definedName name="IQ_TRADE_AR" hidden="1">"c40"</definedName>
    <definedName name="IQ_TRADE_PRINCIPAL" hidden="1">"c1309"</definedName>
    <definedName name="IQ_TRADING_ASSETS" hidden="1">"c1310"</definedName>
    <definedName name="IQ_TREASURY" hidden="1">"c1311"</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IT" hidden="1">"c1317"</definedName>
    <definedName name="IQ_TREASURY_OTHER_EQUITY_UTI" hidden="1">"c1318"</definedName>
    <definedName name="IQ_TREASURY_STOCK" hidden="1">"c1311"</definedName>
    <definedName name="IQ_TRUST_INC" hidden="1">"c1319"</definedName>
    <definedName name="IQ_TRUST_PREF" hidden="1">"c1320"</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IT" hidden="1">"c1327"</definedName>
    <definedName name="IQ_UNEARN_REV_CURRENT_UTI" hidden="1">"c1328"</definedName>
    <definedName name="IQ_UNEARN_REV_LT" hidden="1">"c1329"</definedName>
    <definedName name="IQ_UNPAID_CLAIMS" hidden="1">"c1330"</definedName>
    <definedName name="IQ_UNREALIZED_GAIN" hidden="1">"c1619"</definedName>
    <definedName name="IQ_US_GAAP" hidden="1">"c1331"</definedName>
    <definedName name="IQ_UTIL_PPE_NET" hidden="1">"c1620"</definedName>
    <definedName name="IQ_UV_PENSION_LIAB" hidden="1">"c1332"</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UME" hidden="1">"c1333"</definedName>
    <definedName name="IQ_WEIGHTED_AVG_PRICE" hidden="1">"c1334"</definedName>
    <definedName name="IQ_WIP_INV" hidden="1">"c1335"</definedName>
    <definedName name="IQ_WORKMEN_WRITTEN" hidden="1">"c1336"</definedName>
    <definedName name="IQ_YEARHIGH" hidden="1">"c1337"</definedName>
    <definedName name="IQ_YEARLOW" hidden="1">"c1338"</definedName>
    <definedName name="IQ_YTD" hidden="1">3000</definedName>
    <definedName name="IQ_Z_SCORE" hidden="1">"c1339"</definedName>
    <definedName name="IsColHidden" hidden="1">FALSE</definedName>
    <definedName name="IsLTMColHidden" hidden="1">FALSE</definedName>
    <definedName name="KeepVersions" localSheetId="13">IndexInformation!$B$8</definedName>
    <definedName name="L_\LIBRARY\LONG\FMC\Aug98\_fbpd_model1.xls_5_Year_DCF__07_28_98__10_03_AM">"DCF2"</definedName>
    <definedName name="L_\LIBRARY\LONG\FMC\Aug98\_fbpd_model1.xls_Combined__PF_BS__07_28_98__10_01_AM">"DCF1"</definedName>
    <definedName name="LanguageCode">IndexInformation!$B$38</definedName>
    <definedName name="LastCell" localSheetId="0">ImportantDisclosures!$A$22</definedName>
    <definedName name="Leg" localSheetId="1">{"Client Name or Project Name"}</definedName>
    <definedName name="Leg" localSheetId="11">{"Client Name or Project Name"}</definedName>
    <definedName name="Leg">{"Client Name or Project Name"}</definedName>
    <definedName name="Linking_1" localSheetId="11">'MS vs. Cons'!$M$3:$N$37</definedName>
    <definedName name="Linking_1">'New vs Old'!$AD$3:$AE$35</definedName>
    <definedName name="Linking_10">'New vs Old'!$B$3:$T$36</definedName>
    <definedName name="Linking_2" localSheetId="11">'MS vs. Cons'!$M$3:$N$37</definedName>
    <definedName name="Linking_2">'New vs Old'!$AD$3:$AE$35</definedName>
    <definedName name="Linking_3">'New vs Old Segment'!$B$3:$L$24</definedName>
    <definedName name="Linking_4" localSheetId="11">'MS vs. Cons'!$C$3:$D$37</definedName>
    <definedName name="Linking_4">'New vs Old'!$C$3:$L$35</definedName>
    <definedName name="Linking_5">'Investor Day Targets'!$B$3:$K$36</definedName>
    <definedName name="Linking_6">'Investor Day Targets'!$B$39:$K$78</definedName>
    <definedName name="Linking_7">'Investor Day Targets'!$B$38:$K$78</definedName>
    <definedName name="Linking_8">'New vs Old'!$B$2:$T$36</definedName>
    <definedName name="Linking_9" localSheetId="11">'MS vs. Cons'!$C$3:$G$37</definedName>
    <definedName name="Linking_9">'New vs Old'!$C$3:$P$35</definedName>
    <definedName name="Linking_Range_101">'New vs Old Segment'!$B$3:$H$24</definedName>
    <definedName name="Linking_Range_102" localSheetId="11">'MS vs. Cons'!$C$3:$D$37</definedName>
    <definedName name="Linking_Range_102">'New vs Old'!$C$3:$H$35</definedName>
    <definedName name="Linking_Range_105" localSheetId="11">'MS vs. Cons'!$M$3:$N$37</definedName>
    <definedName name="Linking_Range_105">'New vs Old'!$AD$3:$AE$35</definedName>
    <definedName name="Linking_Range_11">'New vs Old Segment'!$AD$1:$AD$24</definedName>
    <definedName name="Linking_Range_12">'New vs Old Segment'!$AD$3:$AD$24</definedName>
    <definedName name="Linking_Range_13" localSheetId="11">'MS vs. Cons'!$M$3:$M$38</definedName>
    <definedName name="Linking_Range_13">'New vs Old'!$AD$3:$AD$37</definedName>
    <definedName name="Linking_Range_14" localSheetId="11">'MS vs. Cons'!$C$1:$C$38</definedName>
    <definedName name="Linking_Range_14">'New vs Old'!$C$1:$C$37</definedName>
    <definedName name="Linking_Range_18">'New vs Old Segment'!$AD$1:$AD$24</definedName>
    <definedName name="Linking_Range_19">'New vs Old Segment'!$AD$3:$AD$24</definedName>
    <definedName name="Linking_Range_2">'New vs Old Segment'!$B$1:$B$24</definedName>
    <definedName name="Linking_Range_20" localSheetId="11">'MS vs. Cons'!$M$3:$M$38</definedName>
    <definedName name="Linking_Range_20">'New vs Old'!$AD$3:$AD$37</definedName>
    <definedName name="Linking_Range_3">'New vs Old Segment'!$B$1:$B$24</definedName>
    <definedName name="Linking_Range_39">'New vs Old Segment'!$AD$3:$AD$24</definedName>
    <definedName name="Linking_Range_40" localSheetId="11">'MS vs. Cons'!$M$3:$M$38</definedName>
    <definedName name="Linking_Range_40">'New vs Old'!$AD$3:$AD$37</definedName>
    <definedName name="Linking_Range_43" localSheetId="11">'MS vs. Cons'!$M$2:$M$38</definedName>
    <definedName name="Linking_Range_43">'New vs Old'!$AD$2:$AD$37</definedName>
    <definedName name="Linking_Range_44">'New vs Old Segment'!$AD$2:$AD$24</definedName>
    <definedName name="Linking_Range_45">'New vs Old Segment'!$B$2:$D$24</definedName>
    <definedName name="Linking_Range_47">'New vs Old Segment'!$B$1:$D$24</definedName>
    <definedName name="Linking_Range_52">'New vs Old Segment'!$AD$3:$AD$24</definedName>
    <definedName name="Linking_Range_53" localSheetId="11">'MS vs. Cons'!$M$3:$M$38</definedName>
    <definedName name="Linking_Range_53">'New vs Old'!$AD$3:$AD$37</definedName>
    <definedName name="Linking_Range_54" localSheetId="11">'MS vs. Cons'!$C$1:$D$37</definedName>
    <definedName name="Linking_Range_54">'New vs Old'!$C$1:$D$36</definedName>
    <definedName name="Linking_Range_57">'New vs Old Segment'!$AD$3:$AD$24</definedName>
    <definedName name="Linking_Range_58" localSheetId="11">'MS vs. Cons'!$M$3:$M$38</definedName>
    <definedName name="Linking_Range_58">'New vs Old'!$AD$3:$AD$37</definedName>
    <definedName name="Linking_Range_59">'New vs Old Segment'!$AD$3:$AD$24</definedName>
    <definedName name="Linking_Range_60" localSheetId="11">'MS vs. Cons'!$M$3:$M$38</definedName>
    <definedName name="Linking_Range_60">'New vs Old'!$AD$3:$AD$37</definedName>
    <definedName name="Linking_Range_76">'New vs Old Segment'!$AD$3:$AD$24</definedName>
    <definedName name="Linking_Range_77" localSheetId="11">'MS vs. Cons'!$M$3:$M$38</definedName>
    <definedName name="Linking_Range_77">'New vs Old'!$AD$3:$AD$37</definedName>
    <definedName name="Linking_Range_78">'New vs Old Segment'!$AD$3:$AE$24</definedName>
    <definedName name="Linking_Range_79" localSheetId="11">'MS vs. Cons'!$M$3:$M$38</definedName>
    <definedName name="Linking_Range_79">'New vs Old'!$AD$3:$AD$37</definedName>
    <definedName name="Linking_Range_80">'New vs Old Segment'!$B$1:$D$24</definedName>
    <definedName name="Linking_Range_81" localSheetId="11">'MS vs. Cons'!$C$1:$D$37</definedName>
    <definedName name="Linking_Range_81">'New vs Old'!$C$1:$D$36</definedName>
    <definedName name="Linking_Range_88" localSheetId="11">'MS vs. Cons'!$C$2:$D$38</definedName>
    <definedName name="Linking_Range_88">'New vs Old'!$C$2:$D$37</definedName>
    <definedName name="Linking_Range_89">'New vs Old Segment'!$AD$3:$AE$24</definedName>
    <definedName name="Linking_Range_90" localSheetId="11">'MS vs. Cons'!$M$3:$M$38</definedName>
    <definedName name="Linking_Range_90">'New vs Old'!$AD$3:$AD$37</definedName>
    <definedName name="Linking_Range_91">'New vs Old Segment'!$AD$3:$AE$24</definedName>
    <definedName name="Linking_Range_92" localSheetId="11">'MS vs. Cons'!$M$3:$M$37</definedName>
    <definedName name="Linking_Range_92">'New vs Old'!$AD$3:$AD$35</definedName>
    <definedName name="Linking_Range_93">'New vs Old Segment'!$B$1:$H$24</definedName>
    <definedName name="Linking_Range_94" localSheetId="11">'MS vs. Cons'!$C$1:$D$37</definedName>
    <definedName name="Linking_Range_94">'New vs Old'!$C$1:$H$35</definedName>
    <definedName name="M">1000000</definedName>
    <definedName name="MacroVersion" localSheetId="13">IndexInformation!$B$1</definedName>
    <definedName name="MATURITY">'Residual Income'!$G$20</definedName>
    <definedName name="Million">1000000</definedName>
    <definedName name="ModelPrice" localSheetId="0">ImportantDisclosures!$A$14</definedName>
    <definedName name="Multiplier" localSheetId="13">IndexInformation!$B$35</definedName>
    <definedName name="NA">"NA"</definedName>
    <definedName name="Negative">"-ve"</definedName>
    <definedName name="NextYearEPS" localSheetId="13">IndexInformation!$B$13</definedName>
    <definedName name="NextYearTotalRevenue" localSheetId="13">IndexInformation!$B$12</definedName>
    <definedName name="NextYearTotalRevenueActual" localSheetId="13">IndexInformation!$B$33</definedName>
    <definedName name="NM">"NM"</definedName>
    <definedName name="NoChange">"No Change"</definedName>
    <definedName name="ObjectType">IndexInformation!$B$37</definedName>
    <definedName name="PANA" localSheetId="14">ModPubIndex!$A$11</definedName>
    <definedName name="PathName" localSheetId="13">IndexInformation!$B$25</definedName>
    <definedName name="Pensionforecast" localSheetId="1">{"Client Name or Project Name"}</definedName>
    <definedName name="Pensionforecast" localSheetId="11">{"Client Name or Project Name"}</definedName>
    <definedName name="Pensionforecast">{"Client Name or Project Name"}</definedName>
    <definedName name="pensionforecast1" localSheetId="1">{"Client Name or Project Name"}</definedName>
    <definedName name="pensionforecast1" localSheetId="11">{"Client Name or Project Name"}</definedName>
    <definedName name="pensionforecast1">{"Client Name or Project Name"}</definedName>
    <definedName name="pensionforecastwl" localSheetId="1">{"Client Name or Project Name"}</definedName>
    <definedName name="pensionforecastwl" localSheetId="11">{"Client Name or Project Name"}</definedName>
    <definedName name="pensionforecastwl">{"Client Name or Project Name"}</definedName>
    <definedName name="Positive">"+ve"</definedName>
    <definedName name="_xlnm.Print_Area">"Formula removed, name can be deleted."</definedName>
    <definedName name="_xlnm.Print_Titles">"Formula removed, name can be deleted."</definedName>
    <definedName name="PRODUCT" localSheetId="14">ModPubIndex!$A$6</definedName>
    <definedName name="Project" localSheetId="1">{"Client Name or Project Name"}</definedName>
    <definedName name="Project" localSheetId="11">{"Client Name or Project Name"}</definedName>
    <definedName name="Project">{"Client Name or Project Name"}</definedName>
    <definedName name="Project1" localSheetId="1">{"Client Name or Project Name"}</definedName>
    <definedName name="Project1" localSheetId="11">{"Client Name or Project Name"}</definedName>
    <definedName name="Project1">{"Client Name or Project Name"}</definedName>
    <definedName name="ProjectName" localSheetId="1">{"Client Name or Project Name"}</definedName>
    <definedName name="ProjectName" localSheetId="11">{"Client Name or Project Name"}</definedName>
    <definedName name="ProjectName">{"Client Name or Project Name"}</definedName>
    <definedName name="projectname1" localSheetId="1">{"Client Name or Project Name"}</definedName>
    <definedName name="projectname1" localSheetId="11">{"Client Name or Project Name"}</definedName>
    <definedName name="projectname1">{"Client Name or Project Name"}</definedName>
    <definedName name="ProjectName2" localSheetId="1">{"Client Name or Project Name"}</definedName>
    <definedName name="ProjectName2" localSheetId="11">{"Client Name or Project Name"}</definedName>
    <definedName name="ProjectName2">{"Client Name or Project Name"}</definedName>
    <definedName name="projectnamewl" localSheetId="1">{"Client Name or Project Name"}</definedName>
    <definedName name="projectnamewl" localSheetId="11">{"Client Name or Project Name"}</definedName>
    <definedName name="projectnamewl">{"Client Name or Project Name"}</definedName>
    <definedName name="projectwl" localSheetId="1">{"Client Name or Project Name"}</definedName>
    <definedName name="projectwl" localSheetId="11">{"Client Name or Project Name"}</definedName>
    <definedName name="projectwl">{"Client Name or Project Name"}</definedName>
    <definedName name="PSYM" localSheetId="14">ModPubIndex!$A$4</definedName>
    <definedName name="PublishDate" localSheetId="13">IndexInformation!$B$2</definedName>
    <definedName name="Rating" localSheetId="13">IndexInformation!$B$9</definedName>
    <definedName name="RatingsDefined" localSheetId="0">ImportantDisclosures!$A$21</definedName>
    <definedName name="RatingsDefs" localSheetId="0">ImportantDisclosures!#REF!</definedName>
    <definedName name="RegACDisclosure" localSheetId="0">ImportantDisclosures!#REF!</definedName>
    <definedName name="RepairedName35486" hidden="1">"iQShowAnnual"</definedName>
    <definedName name="RepairedName9101" hidden="1">"iQShowAnnual"</definedName>
    <definedName name="ResearchTopic" localSheetId="13">IndexInformation!$B$4</definedName>
    <definedName name="RIC" localSheetId="13">IndexInformation!$B$21</definedName>
    <definedName name="SECSettlement" localSheetId="0">ImportantDisclosures!#REF!</definedName>
    <definedName name="SEDOL" localSheetId="13">IndexInformation!$B$22</definedName>
    <definedName name="SourceDefined" localSheetId="0">ImportantDisclosures!$A$19</definedName>
    <definedName name="SPSet">"current"</definedName>
    <definedName name="StockRating" localSheetId="0">ImportantDisclosures!$A$11</definedName>
    <definedName name="SubjectCode" localSheetId="13">IndexInformation!$B$6</definedName>
    <definedName name="SubmitterUserId">IndexInformation!$B$39</definedName>
    <definedName name="SUPPRESSED" localSheetId="14">ModPubIndex!$A$13</definedName>
    <definedName name="TargetPrice" localSheetId="0">ImportantDisclosures!$A$15</definedName>
    <definedName name="TemplateRegion">IndexInformation!$B$36</definedName>
    <definedName name="Ticker" localSheetId="0">ImportantDisclosures!$A$10</definedName>
    <definedName name="TickerRegion">IndexInformation!$B$41</definedName>
    <definedName name="Tickers" localSheetId="13">IndexInformation!$B$19</definedName>
    <definedName name="UpdateReason" localSheetId="13">IndexInformation!$B$17</definedName>
    <definedName name="USRegDisclosures" localSheetId="0">ImportantDisclosures!#REF!</definedName>
    <definedName name="Version">"June 29, 2004"</definedName>
    <definedName name="wrn.cf." localSheetId="1" hidden="1">{"one",#N/A,FALSE,"cf";"two",#N/A,FALSE,"cf"}</definedName>
    <definedName name="wrn.cf." localSheetId="11" hidden="1">{"one",#N/A,FALSE,"cf";"two",#N/A,FALSE,"cf"}</definedName>
    <definedName name="wrn.cf." hidden="1">{"one",#N/A,FALSE,"cf";"two",#N/A,FALSE,"cf"}</definedName>
    <definedName name="x" localSheetId="1">{"Client Name or Project Name"}</definedName>
    <definedName name="x" localSheetId="11">{"Client Name or Project Name"}</definedName>
    <definedName name="x">{"Client Name or Project Name"}</definedName>
  </definedNames>
  <calcPr calcId="145621"/>
</workbook>
</file>

<file path=xl/calcChain.xml><?xml version="1.0" encoding="utf-8"?>
<calcChain xmlns="http://schemas.openxmlformats.org/spreadsheetml/2006/main">
  <c r="AD327" i="261" l="1"/>
  <c r="BI1072" i="259"/>
  <c r="BJ1072" i="259"/>
  <c r="BI1073" i="259"/>
  <c r="BJ1073" i="259"/>
  <c r="BG1072" i="259"/>
  <c r="BH1072" i="259"/>
  <c r="BG1073" i="259"/>
  <c r="BH1073" i="259"/>
  <c r="AC1077" i="259" l="1"/>
  <c r="AD1077" i="259"/>
  <c r="AE1077" i="259"/>
  <c r="AF1077" i="259"/>
  <c r="AG1077" i="259"/>
  <c r="AH1077" i="259"/>
  <c r="AI1077" i="259"/>
  <c r="BC1077" i="259"/>
  <c r="BD1077" i="259"/>
  <c r="BE1077" i="259"/>
  <c r="AG313" i="261"/>
  <c r="AH313" i="261"/>
  <c r="AI313" i="261"/>
  <c r="AD313" i="261"/>
  <c r="AE313" i="261"/>
  <c r="AB262" i="259" l="1"/>
  <c r="AB179" i="259"/>
  <c r="AB180" i="259"/>
  <c r="AA656" i="259"/>
  <c r="AI289" i="261"/>
  <c r="AH289" i="261"/>
  <c r="AG289" i="261"/>
  <c r="AF289" i="261"/>
  <c r="Y1402" i="259"/>
  <c r="Z1402" i="259"/>
  <c r="AA1402" i="259"/>
  <c r="AB113" i="259"/>
  <c r="AB888" i="259" l="1"/>
  <c r="AB8" i="261"/>
  <c r="AB9" i="261"/>
  <c r="AB10" i="261"/>
  <c r="AB11" i="261" s="1"/>
  <c r="AB13" i="261"/>
  <c r="AB14" i="261"/>
  <c r="AB17" i="261"/>
  <c r="AB18" i="261"/>
  <c r="AB28" i="261"/>
  <c r="AB36" i="261"/>
  <c r="AB37" i="261"/>
  <c r="AB39" i="261"/>
  <c r="AB40" i="261"/>
  <c r="AB41" i="261"/>
  <c r="AB43" i="261"/>
  <c r="AB46" i="261"/>
  <c r="AB47" i="261"/>
  <c r="AB49" i="261"/>
  <c r="AB51" i="261"/>
  <c r="AB54" i="261"/>
  <c r="AB55" i="261"/>
  <c r="AB57" i="261"/>
  <c r="AB59" i="261"/>
  <c r="AB63" i="261"/>
  <c r="AB64" i="261"/>
  <c r="AB66" i="261"/>
  <c r="AB67" i="261"/>
  <c r="AB68" i="261"/>
  <c r="AB70" i="261"/>
  <c r="AB73" i="261"/>
  <c r="AB74" i="261"/>
  <c r="AB76" i="261"/>
  <c r="AB78" i="261"/>
  <c r="AB81" i="261"/>
  <c r="AB82" i="261"/>
  <c r="AB84" i="261"/>
  <c r="AB86" i="261"/>
  <c r="AB90" i="261"/>
  <c r="AB91" i="261"/>
  <c r="AB92" i="261"/>
  <c r="AB95" i="261"/>
  <c r="AB98" i="261"/>
  <c r="AB103" i="261"/>
  <c r="AB105" i="261"/>
  <c r="AB113" i="261"/>
  <c r="AB114" i="261"/>
  <c r="AB119" i="261"/>
  <c r="AB120" i="261"/>
  <c r="AB142" i="261"/>
  <c r="AB143" i="261"/>
  <c r="AB144" i="261"/>
  <c r="AB151" i="261"/>
  <c r="AB153" i="261"/>
  <c r="AB154" i="261"/>
  <c r="AB155" i="261"/>
  <c r="AB157" i="261"/>
  <c r="AB160" i="261"/>
  <c r="AB161" i="261"/>
  <c r="AB162" i="261"/>
  <c r="AB167" i="261"/>
  <c r="AB168" i="261"/>
  <c r="AB169" i="261"/>
  <c r="AB173" i="261"/>
  <c r="AB174" i="261"/>
  <c r="AB175" i="261"/>
  <c r="AB176" i="261"/>
  <c r="AB177" i="261"/>
  <c r="AB180" i="261"/>
  <c r="AB181" i="261"/>
  <c r="AB182" i="261"/>
  <c r="AB183" i="261"/>
  <c r="AB184" i="261"/>
  <c r="AB193" i="261"/>
  <c r="AB194" i="261"/>
  <c r="AB195" i="261"/>
  <c r="AB198" i="261"/>
  <c r="AB199" i="261"/>
  <c r="AB200" i="261"/>
  <c r="AB201" i="261"/>
  <c r="AB204" i="261"/>
  <c r="AB205" i="261"/>
  <c r="AB206" i="261"/>
  <c r="AB207" i="261"/>
  <c r="AB233" i="261"/>
  <c r="AB234" i="261"/>
  <c r="AB235" i="261"/>
  <c r="AB237" i="261"/>
  <c r="AB239" i="261"/>
  <c r="AB241" i="261"/>
  <c r="AB244" i="261"/>
  <c r="AB247" i="261"/>
  <c r="AB253" i="261"/>
  <c r="AB262" i="261"/>
  <c r="AB263" i="261"/>
  <c r="AB264" i="261"/>
  <c r="AB265" i="261"/>
  <c r="AB268" i="261"/>
  <c r="AB269" i="261"/>
  <c r="AB289" i="261"/>
  <c r="AB290" i="261"/>
  <c r="AB293" i="261"/>
  <c r="AB296" i="261"/>
  <c r="AB308" i="261"/>
  <c r="AB314" i="261"/>
  <c r="AB324" i="261"/>
  <c r="AB332" i="261"/>
  <c r="AB339" i="261"/>
  <c r="AB344" i="261"/>
  <c r="AB345" i="261"/>
  <c r="AB126" i="275"/>
  <c r="AB133" i="275"/>
  <c r="AB139" i="275"/>
  <c r="AB140" i="275"/>
  <c r="AB149" i="275"/>
  <c r="AB150" i="275"/>
  <c r="AB151" i="275"/>
  <c r="AB153" i="275"/>
  <c r="AB155" i="275"/>
  <c r="AB156" i="275"/>
  <c r="AB157" i="275"/>
  <c r="AB159" i="275"/>
  <c r="AB160" i="275"/>
  <c r="AB162" i="275"/>
  <c r="AB165" i="275"/>
  <c r="AB166" i="275"/>
  <c r="AB167" i="275"/>
  <c r="AB168" i="275"/>
  <c r="AB171" i="275"/>
  <c r="AB172" i="275"/>
  <c r="AB173" i="275"/>
  <c r="AB175" i="275"/>
  <c r="AB184" i="275"/>
  <c r="AB185" i="275"/>
  <c r="AB186" i="275"/>
  <c r="AB187" i="275"/>
  <c r="AB192" i="275"/>
  <c r="AB193" i="275"/>
  <c r="AB202" i="275"/>
  <c r="AB204" i="275"/>
  <c r="AB205" i="275"/>
  <c r="AB207" i="275"/>
  <c r="AB214" i="275"/>
  <c r="AB215" i="275"/>
  <c r="AB217" i="275"/>
  <c r="AB218" i="275"/>
  <c r="AB219" i="275"/>
  <c r="AB221" i="275"/>
  <c r="AB225" i="275"/>
  <c r="AB226" i="275"/>
  <c r="AB227" i="275"/>
  <c r="AB228" i="275"/>
  <c r="AB230" i="275"/>
  <c r="AB231" i="275"/>
  <c r="AB232" i="275"/>
  <c r="AB234" i="275"/>
  <c r="AB238" i="275"/>
  <c r="AB239" i="275"/>
  <c r="AB240" i="275"/>
  <c r="AB243" i="275"/>
  <c r="AB244" i="275"/>
  <c r="AB245" i="275"/>
  <c r="AB266" i="275"/>
  <c r="AB270" i="275"/>
  <c r="AB275" i="275"/>
  <c r="AB276" i="275"/>
  <c r="AB277" i="275"/>
  <c r="AB279" i="275"/>
  <c r="AB281" i="275"/>
  <c r="AB282" i="275"/>
  <c r="AB283" i="275"/>
  <c r="AB285" i="275"/>
  <c r="AB286" i="275"/>
  <c r="AB288" i="275"/>
  <c r="AB291" i="275"/>
  <c r="AB292" i="275"/>
  <c r="AB293" i="275"/>
  <c r="AB296" i="275"/>
  <c r="AB297" i="275"/>
  <c r="AB298" i="275"/>
  <c r="AB301" i="275"/>
  <c r="AB302" i="275"/>
  <c r="AB303" i="275"/>
  <c r="AB306" i="275"/>
  <c r="AB307" i="275"/>
  <c r="AB308" i="275"/>
  <c r="AB324" i="275"/>
  <c r="AB325" i="275"/>
  <c r="AB327" i="275"/>
  <c r="AB329" i="275"/>
  <c r="AB333" i="275"/>
  <c r="AB334" i="275"/>
  <c r="AB335" i="275"/>
  <c r="AB336" i="275"/>
  <c r="AB338" i="275"/>
  <c r="AB340" i="275"/>
  <c r="AB343" i="275"/>
  <c r="AB344" i="275"/>
  <c r="AB347" i="275"/>
  <c r="AB353" i="275"/>
  <c r="AB354" i="275"/>
  <c r="AB357" i="275"/>
  <c r="AB359" i="275"/>
  <c r="AB360" i="275"/>
  <c r="AB361" i="275"/>
  <c r="AB366" i="275"/>
  <c r="AB369" i="275"/>
  <c r="AB370" i="275"/>
  <c r="AB374" i="275"/>
  <c r="AB375" i="275"/>
  <c r="AB384" i="275"/>
  <c r="AB385" i="275"/>
  <c r="AB386" i="275"/>
  <c r="AB402" i="275"/>
  <c r="AB403" i="275"/>
  <c r="AB405" i="275"/>
  <c r="AB407" i="275"/>
  <c r="AB411" i="275"/>
  <c r="AB412" i="275"/>
  <c r="AB413" i="275"/>
  <c r="AB414" i="275"/>
  <c r="AB416" i="275"/>
  <c r="AB418" i="275"/>
  <c r="AB421" i="275"/>
  <c r="AB422" i="275"/>
  <c r="AB425" i="275"/>
  <c r="AB435" i="275"/>
  <c r="AB436" i="275"/>
  <c r="AB438" i="275"/>
  <c r="AB439" i="275"/>
  <c r="AB442" i="275"/>
  <c r="AB443" i="275"/>
  <c r="AB444" i="275"/>
  <c r="AB445" i="275"/>
  <c r="AB455" i="275"/>
  <c r="AB456" i="275"/>
  <c r="AB457" i="275"/>
  <c r="AB458" i="275"/>
  <c r="AB469" i="275"/>
  <c r="AB470" i="275"/>
  <c r="AB471" i="275"/>
  <c r="AB472" i="275"/>
  <c r="AB473" i="275"/>
  <c r="AB474" i="275"/>
  <c r="AB475" i="275"/>
  <c r="AB476" i="275"/>
  <c r="AB478" i="275"/>
  <c r="AB479" i="275"/>
  <c r="AB481" i="275"/>
  <c r="AB482" i="275"/>
  <c r="AB483" i="275"/>
  <c r="AB484" i="275"/>
  <c r="AB485" i="275"/>
  <c r="AB487" i="275"/>
  <c r="AB488" i="275"/>
  <c r="AB489" i="275"/>
  <c r="AB491" i="275"/>
  <c r="AB492" i="275"/>
  <c r="AB494" i="275"/>
  <c r="AB496" i="275"/>
  <c r="AB497" i="275"/>
  <c r="AB504" i="275"/>
  <c r="AB505" i="275"/>
  <c r="AB510" i="275"/>
  <c r="AB511" i="275"/>
  <c r="AB512" i="275"/>
  <c r="AB517" i="275"/>
  <c r="AB518" i="275"/>
  <c r="AB519" i="275"/>
  <c r="AB520" i="275"/>
  <c r="AB521" i="275"/>
  <c r="AB522" i="275"/>
  <c r="AB524" i="275"/>
  <c r="AB525" i="275"/>
  <c r="AB526" i="275"/>
  <c r="AB529" i="275"/>
  <c r="AB530" i="275"/>
  <c r="AB531" i="275"/>
  <c r="AB532" i="275"/>
  <c r="AB533" i="275"/>
  <c r="AB534" i="275"/>
  <c r="AB538" i="275"/>
  <c r="AB541" i="275"/>
  <c r="AB542" i="275"/>
  <c r="AB543" i="275"/>
  <c r="AB544" i="275"/>
  <c r="AB548" i="275"/>
  <c r="AB551" i="275"/>
  <c r="AB558" i="275"/>
  <c r="AB561" i="275"/>
  <c r="AB574" i="275"/>
  <c r="AB575" i="275"/>
  <c r="AB576" i="275"/>
  <c r="AB577" i="275"/>
  <c r="AB578" i="275"/>
  <c r="AB579" i="275"/>
  <c r="AB581" i="275"/>
  <c r="AB582" i="275"/>
  <c r="AB585" i="275"/>
  <c r="AB586" i="275"/>
  <c r="AB587" i="275"/>
  <c r="AB588" i="275"/>
  <c r="AB589" i="275"/>
  <c r="AB590" i="275"/>
  <c r="AB591" i="275"/>
  <c r="AB594" i="275"/>
  <c r="AB595" i="275"/>
  <c r="AB596" i="275"/>
  <c r="AB597" i="275"/>
  <c r="AB598" i="275"/>
  <c r="AB599" i="275"/>
  <c r="AB600" i="275"/>
  <c r="AB603" i="275"/>
  <c r="AB604" i="275"/>
  <c r="AB605" i="275"/>
  <c r="AB606" i="275"/>
  <c r="AB607" i="275"/>
  <c r="AB610" i="275"/>
  <c r="AB611" i="275"/>
  <c r="AB612" i="275"/>
  <c r="AB613" i="275"/>
  <c r="AB614" i="275"/>
  <c r="AB617" i="275"/>
  <c r="AB618" i="275"/>
  <c r="AB619" i="275"/>
  <c r="AB622" i="275"/>
  <c r="AB623" i="275"/>
  <c r="AB624" i="275"/>
  <c r="AB628" i="275"/>
  <c r="AB632" i="275"/>
  <c r="AB638" i="275"/>
  <c r="AB639" i="275"/>
  <c r="AB640" i="275"/>
  <c r="AB641" i="275"/>
  <c r="AB642" i="275"/>
  <c r="AB644" i="275"/>
  <c r="AB646" i="275"/>
  <c r="AB648" i="275"/>
  <c r="AB649" i="275"/>
  <c r="AB650" i="275"/>
  <c r="AB652" i="275"/>
  <c r="AB653" i="275"/>
  <c r="AB654" i="275"/>
  <c r="AB656" i="275"/>
  <c r="AB657" i="275"/>
  <c r="AB658" i="275"/>
  <c r="AB662" i="275"/>
  <c r="AB663" i="275"/>
  <c r="AB664" i="275"/>
  <c r="AB665" i="275"/>
  <c r="AB666" i="275"/>
  <c r="AB667" i="275"/>
  <c r="AB679" i="275"/>
  <c r="AB681" i="275"/>
  <c r="AB688" i="275"/>
  <c r="AB689" i="275"/>
  <c r="AB690" i="275"/>
  <c r="AB691" i="275"/>
  <c r="AB692" i="275"/>
  <c r="AB694" i="275"/>
  <c r="AB696" i="275"/>
  <c r="AB698" i="275"/>
  <c r="AB702" i="275"/>
  <c r="AB703" i="275"/>
  <c r="AB704" i="275"/>
  <c r="AB705" i="275"/>
  <c r="AB706" i="275"/>
  <c r="AB708" i="275"/>
  <c r="AB710" i="275"/>
  <c r="AB712" i="275"/>
  <c r="AB716" i="275"/>
  <c r="AB717" i="275"/>
  <c r="AB718" i="275"/>
  <c r="AB719" i="275"/>
  <c r="AB720" i="275"/>
  <c r="AB722" i="275"/>
  <c r="AB723" i="275"/>
  <c r="AB725" i="275"/>
  <c r="AB740" i="275"/>
  <c r="AB741" i="275"/>
  <c r="AB742" i="275"/>
  <c r="AB749" i="275"/>
  <c r="AB750" i="275"/>
  <c r="AB751" i="275"/>
  <c r="AB758" i="275"/>
  <c r="AB759" i="275"/>
  <c r="AB760" i="275"/>
  <c r="AB761" i="275"/>
  <c r="AB762" i="275"/>
  <c r="AB763" i="275"/>
  <c r="AB764" i="275"/>
  <c r="AB765" i="275"/>
  <c r="AB768" i="275"/>
  <c r="AB772" i="275"/>
  <c r="AB774" i="275"/>
  <c r="AB775" i="275"/>
  <c r="AB776" i="275"/>
  <c r="AB777" i="275"/>
  <c r="AB778" i="275"/>
  <c r="AB780" i="275"/>
  <c r="AB794" i="275"/>
  <c r="AB795" i="275"/>
  <c r="AB799" i="275"/>
  <c r="AB801" i="275"/>
  <c r="AB802" i="275"/>
  <c r="AB816" i="275"/>
  <c r="AB828" i="275"/>
  <c r="AB829" i="275"/>
  <c r="AB831" i="275"/>
  <c r="AB832" i="275"/>
  <c r="AB833" i="275"/>
  <c r="AB835" i="275"/>
  <c r="AB836" i="275"/>
  <c r="AB837" i="275"/>
  <c r="AB838" i="275"/>
  <c r="AB839" i="275"/>
  <c r="AB841" i="275"/>
  <c r="AB842" i="275"/>
  <c r="AB843" i="275"/>
  <c r="AB844" i="275"/>
  <c r="AB845" i="275"/>
  <c r="AB846" i="275"/>
  <c r="AB851" i="275"/>
  <c r="AB852" i="275"/>
  <c r="AB853" i="275"/>
  <c r="AB854" i="275"/>
  <c r="AB855" i="275"/>
  <c r="AB856" i="275"/>
  <c r="AB857" i="275"/>
  <c r="AB858" i="275"/>
  <c r="AB859" i="275"/>
  <c r="AB862" i="275"/>
  <c r="AB863" i="275"/>
  <c r="AB864" i="275"/>
  <c r="AB865" i="275"/>
  <c r="AB866" i="275"/>
  <c r="AB867" i="275"/>
  <c r="AB868" i="275"/>
  <c r="AB870" i="275"/>
  <c r="AB871" i="275"/>
  <c r="AB872" i="275"/>
  <c r="AB873" i="275"/>
  <c r="AB875" i="275"/>
  <c r="AB876" i="275"/>
  <c r="AB877" i="275"/>
  <c r="AB878" i="275"/>
  <c r="AB887" i="275"/>
  <c r="AB891" i="275"/>
  <c r="AB892" i="275"/>
  <c r="AB893" i="275"/>
  <c r="AB894" i="275"/>
  <c r="AB896" i="275"/>
  <c r="AB900" i="275"/>
  <c r="AB901" i="275"/>
  <c r="AB902" i="275"/>
  <c r="AB903" i="275"/>
  <c r="AB904" i="275"/>
  <c r="AB906" i="275"/>
  <c r="AB910" i="275"/>
  <c r="AB911" i="275"/>
  <c r="AB916" i="275"/>
  <c r="AB917" i="275"/>
  <c r="AB918" i="275"/>
  <c r="AB919" i="275"/>
  <c r="AB920" i="275"/>
  <c r="AB921" i="275"/>
  <c r="AB922" i="275"/>
  <c r="AB924" i="275"/>
  <c r="AB925" i="275"/>
  <c r="AB926" i="275"/>
  <c r="AB929" i="275"/>
  <c r="AB934" i="275"/>
  <c r="AB935" i="275"/>
  <c r="AB936" i="275"/>
  <c r="AB937" i="275"/>
  <c r="AB940" i="275"/>
  <c r="AB941" i="275"/>
  <c r="AB942" i="275"/>
  <c r="AB943" i="275"/>
  <c r="AB944" i="275"/>
  <c r="AB946" i="275"/>
  <c r="AB948" i="275"/>
  <c r="AB952" i="275"/>
  <c r="AB953" i="275"/>
  <c r="AB954" i="275"/>
  <c r="AB955" i="275"/>
  <c r="AB956" i="275"/>
  <c r="AB967" i="275"/>
  <c r="AB968" i="275"/>
  <c r="AB969" i="275"/>
  <c r="AB972" i="275"/>
  <c r="AB973" i="275"/>
  <c r="AB974" i="275"/>
  <c r="AB977" i="275"/>
  <c r="AB978" i="275"/>
  <c r="AB979" i="275"/>
  <c r="AB982" i="275"/>
  <c r="AB983" i="275"/>
  <c r="AB984" i="275"/>
  <c r="AB989" i="275"/>
  <c r="AB990" i="275"/>
  <c r="AB991" i="275"/>
  <c r="AB993" i="275"/>
  <c r="AB995" i="275"/>
  <c r="AB997" i="275"/>
  <c r="AB999" i="275"/>
  <c r="AB1002" i="275"/>
  <c r="AB1003" i="275"/>
  <c r="AB1004" i="275"/>
  <c r="AB1005" i="275"/>
  <c r="AB1006" i="275"/>
  <c r="AB1008" i="275"/>
  <c r="AB1016" i="275"/>
  <c r="AB1017" i="275"/>
  <c r="AB1018" i="275"/>
  <c r="AB1021" i="275"/>
  <c r="AB1022" i="275"/>
  <c r="AB1023" i="275"/>
  <c r="AB1026" i="275"/>
  <c r="AB1027" i="275"/>
  <c r="AB1028" i="275"/>
  <c r="AB1031" i="275"/>
  <c r="AB1032" i="275"/>
  <c r="AB1033" i="275"/>
  <c r="AB1038" i="275"/>
  <c r="AB1039" i="275"/>
  <c r="AB1040" i="275"/>
  <c r="AB1042" i="275"/>
  <c r="AB1044" i="275"/>
  <c r="AB1046" i="275"/>
  <c r="AB1048" i="275"/>
  <c r="AB1051" i="275"/>
  <c r="AB1052" i="275"/>
  <c r="AB1053" i="275"/>
  <c r="AB1054" i="275"/>
  <c r="AB1055" i="275"/>
  <c r="AB1057" i="275"/>
  <c r="AB6" i="275"/>
  <c r="AB8" i="275"/>
  <c r="AB11" i="275"/>
  <c r="AB12" i="275"/>
  <c r="AB16" i="275"/>
  <c r="AB18" i="275"/>
  <c r="AB19" i="275"/>
  <c r="AB23" i="275"/>
  <c r="AB31" i="275"/>
  <c r="AB38" i="275"/>
  <c r="AB39" i="275"/>
  <c r="AB44" i="275"/>
  <c r="AB45" i="275"/>
  <c r="AB46" i="275"/>
  <c r="AB47" i="275"/>
  <c r="AB51" i="275"/>
  <c r="AB52" i="275"/>
  <c r="AB56" i="275"/>
  <c r="AB58" i="275"/>
  <c r="AB62" i="275"/>
  <c r="AB64" i="275"/>
  <c r="AB70" i="275"/>
  <c r="AB113" i="275"/>
  <c r="AB114" i="275"/>
  <c r="AB117" i="275"/>
  <c r="AB119" i="275"/>
  <c r="AB120" i="275"/>
  <c r="AB121" i="275"/>
  <c r="G28" i="267"/>
  <c r="G11" i="267"/>
  <c r="G10" i="267"/>
  <c r="AB1607" i="259"/>
  <c r="AB1610" i="259"/>
  <c r="AB1603" i="259" s="1"/>
  <c r="AB1611" i="259"/>
  <c r="AB1613" i="259" s="1"/>
  <c r="AB1612" i="259"/>
  <c r="AB1605" i="259" s="1"/>
  <c r="AB1614" i="259"/>
  <c r="AB1616" i="259"/>
  <c r="AB1617" i="259"/>
  <c r="AB1632" i="259" s="1"/>
  <c r="AB1618" i="259"/>
  <c r="AB1625" i="259"/>
  <c r="AB1629" i="259"/>
  <c r="AB1630" i="259"/>
  <c r="AB1596" i="259"/>
  <c r="AB1579" i="259"/>
  <c r="AB1582" i="259"/>
  <c r="AB297" i="261" s="1"/>
  <c r="AB1585" i="259"/>
  <c r="AB1588" i="259"/>
  <c r="AB298" i="261" s="1"/>
  <c r="AB1590" i="259"/>
  <c r="AB1517" i="259"/>
  <c r="AB1524" i="259"/>
  <c r="AB1537" i="259"/>
  <c r="AB1529" i="259" s="1"/>
  <c r="AB1501" i="259"/>
  <c r="AB1502" i="259"/>
  <c r="AB1503" i="259"/>
  <c r="AB1506" i="259"/>
  <c r="AB1507" i="259"/>
  <c r="AB1510" i="259"/>
  <c r="AB210" i="261" s="1"/>
  <c r="AB1511" i="259"/>
  <c r="AB1494" i="259"/>
  <c r="AB1463" i="259"/>
  <c r="AB1465" i="259"/>
  <c r="AB1468" i="259"/>
  <c r="AB1470" i="259"/>
  <c r="AB1471" i="259"/>
  <c r="AB1473" i="259"/>
  <c r="AB1474" i="259"/>
  <c r="AB1437" i="259"/>
  <c r="AB1438" i="259"/>
  <c r="AB1441" i="259"/>
  <c r="AB1442" i="259" s="1"/>
  <c r="AB1446" i="259"/>
  <c r="AB1449" i="259"/>
  <c r="AB1406" i="259"/>
  <c r="AB1407" i="259"/>
  <c r="AB1414" i="259"/>
  <c r="AB1418" i="259"/>
  <c r="AB1419" i="259"/>
  <c r="AB1420" i="259"/>
  <c r="AB1422" i="259"/>
  <c r="AB1423" i="259"/>
  <c r="AB1426" i="259"/>
  <c r="AB1399" i="259"/>
  <c r="AB1383" i="259"/>
  <c r="AB1371" i="259"/>
  <c r="AB1374" i="259"/>
  <c r="AB1375" i="259" s="1"/>
  <c r="AB1377" i="259"/>
  <c r="AB1379" i="259" s="1"/>
  <c r="AB1378" i="259"/>
  <c r="AB1308" i="259"/>
  <c r="AB1309" i="259"/>
  <c r="AB1312" i="259"/>
  <c r="AB1315" i="259" s="1"/>
  <c r="AB1318" i="259"/>
  <c r="AB1320" i="259" s="1"/>
  <c r="AB1339" i="259" s="1"/>
  <c r="AB1325" i="259"/>
  <c r="AB1329" i="259"/>
  <c r="AB1335" i="259"/>
  <c r="AB317" i="261" s="1"/>
  <c r="AB318" i="261" s="1"/>
  <c r="AB1291" i="259"/>
  <c r="AB1295" i="259"/>
  <c r="AB1297" i="259"/>
  <c r="AB1298" i="259"/>
  <c r="AB1299" i="259" s="1"/>
  <c r="AB1302" i="259"/>
  <c r="AB1303" i="259" s="1"/>
  <c r="AB1306" i="259"/>
  <c r="AB1279" i="259"/>
  <c r="AB1281" i="259" s="1"/>
  <c r="AB1283" i="259"/>
  <c r="AB1235" i="259"/>
  <c r="AB1236" i="259"/>
  <c r="AB1166" i="259"/>
  <c r="AB1170" i="259"/>
  <c r="AB1171" i="259"/>
  <c r="AB1172" i="259"/>
  <c r="AB1183" i="259"/>
  <c r="AB1178" i="259" s="1"/>
  <c r="AB1184" i="259"/>
  <c r="AB1185" i="259"/>
  <c r="AB1200" i="259"/>
  <c r="AB1202" i="259" s="1"/>
  <c r="AB1201" i="259"/>
  <c r="AB1179" i="259" s="1"/>
  <c r="AB1213" i="259"/>
  <c r="AB1215" i="259" s="1"/>
  <c r="AB1214" i="259"/>
  <c r="AB1225" i="259"/>
  <c r="AB1226" i="259"/>
  <c r="AB1230" i="259"/>
  <c r="AB1239" i="259" s="1"/>
  <c r="AB1231" i="259"/>
  <c r="AB1140" i="259"/>
  <c r="AB1143" i="259"/>
  <c r="AB1144" i="259"/>
  <c r="AB1151" i="259"/>
  <c r="AB1155" i="259"/>
  <c r="AB1158" i="259"/>
  <c r="AB1159" i="259"/>
  <c r="AB1123" i="259"/>
  <c r="AB1127" i="259"/>
  <c r="AB1128" i="259"/>
  <c r="AB1129" i="259" s="1"/>
  <c r="AB1130" i="259"/>
  <c r="AB1136" i="259"/>
  <c r="AB1095" i="259"/>
  <c r="AB1097" i="259" s="1"/>
  <c r="AB1100" i="259"/>
  <c r="AB1101" i="259"/>
  <c r="AB1110" i="259"/>
  <c r="AB1112" i="259" s="1"/>
  <c r="AB1115" i="259"/>
  <c r="AB1116" i="259"/>
  <c r="AB1057" i="259"/>
  <c r="AB1058" i="259"/>
  <c r="AB1038" i="259"/>
  <c r="AB1039" i="259"/>
  <c r="AB1040" i="259"/>
  <c r="AB1042" i="259"/>
  <c r="AB1044" i="259"/>
  <c r="AB1046" i="259"/>
  <c r="AB1048" i="259"/>
  <c r="AB1051" i="259"/>
  <c r="AB1052" i="259"/>
  <c r="AB1053" i="259"/>
  <c r="AB1054" i="259"/>
  <c r="AB1055" i="259"/>
  <c r="AB1016" i="259"/>
  <c r="AB1017" i="259"/>
  <c r="AB1018" i="259"/>
  <c r="AB1021" i="259"/>
  <c r="AB1022" i="259"/>
  <c r="AB1023" i="259"/>
  <c r="AB1026" i="259"/>
  <c r="AB1031" i="259" s="1"/>
  <c r="AB1027" i="259"/>
  <c r="AB1032" i="259" s="1"/>
  <c r="AB1028" i="259"/>
  <c r="AB989" i="259"/>
  <c r="AB990" i="259"/>
  <c r="AB991" i="259"/>
  <c r="AB997" i="259" s="1"/>
  <c r="AB999" i="259" s="1"/>
  <c r="AB993" i="259"/>
  <c r="AB1006" i="259"/>
  <c r="AB967" i="259"/>
  <c r="AB968" i="259"/>
  <c r="AB969" i="259"/>
  <c r="AB972" i="259"/>
  <c r="AB974" i="259" s="1"/>
  <c r="AB973" i="259"/>
  <c r="AB977" i="259"/>
  <c r="AB979" i="259" s="1"/>
  <c r="AB978" i="259"/>
  <c r="AB983" i="259" s="1"/>
  <c r="AB937" i="259"/>
  <c r="AB944" i="259"/>
  <c r="AB952" i="259"/>
  <c r="AB953" i="259"/>
  <c r="AB955" i="259" s="1"/>
  <c r="AB954" i="259"/>
  <c r="AB957" i="259"/>
  <c r="AB910" i="259"/>
  <c r="AB916" i="259"/>
  <c r="AB917" i="259"/>
  <c r="AB918" i="259"/>
  <c r="AB919" i="259"/>
  <c r="AB920" i="259"/>
  <c r="AB921" i="259"/>
  <c r="AB922" i="259"/>
  <c r="AB924" i="259" s="1"/>
  <c r="AB926" i="259" s="1"/>
  <c r="AB925" i="259"/>
  <c r="AB927" i="259"/>
  <c r="AB927" i="275" s="1"/>
  <c r="AB929" i="259"/>
  <c r="AB885" i="259"/>
  <c r="AB885" i="275" s="1"/>
  <c r="AB886" i="259"/>
  <c r="AB886" i="275" s="1"/>
  <c r="AB889" i="259"/>
  <c r="AB891" i="259"/>
  <c r="AB892" i="259"/>
  <c r="AB893" i="259"/>
  <c r="AB894" i="259"/>
  <c r="AB900" i="259"/>
  <c r="AB901" i="259"/>
  <c r="AB902" i="259" s="1"/>
  <c r="AB905" i="259" s="1"/>
  <c r="AB273" i="261" s="1"/>
  <c r="AA838" i="259"/>
  <c r="AB870" i="259"/>
  <c r="AB873" i="259"/>
  <c r="AB872" i="259" s="1"/>
  <c r="AB871" i="259" s="1"/>
  <c r="AB875" i="259"/>
  <c r="AB876" i="259"/>
  <c r="AB877" i="259"/>
  <c r="AB878" i="259"/>
  <c r="AB838" i="259"/>
  <c r="AB839" i="259"/>
  <c r="AB845" i="259" s="1"/>
  <c r="AB833" i="259"/>
  <c r="AB837" i="259"/>
  <c r="AB855" i="259"/>
  <c r="AB858" i="259" s="1"/>
  <c r="AB868" i="259"/>
  <c r="AB816" i="259"/>
  <c r="AB794" i="259"/>
  <c r="AB795" i="259"/>
  <c r="AB799" i="259"/>
  <c r="AB801" i="259"/>
  <c r="AB802" i="259"/>
  <c r="AB751" i="259"/>
  <c r="AB764" i="259"/>
  <c r="AB768" i="259"/>
  <c r="AB777" i="259"/>
  <c r="AB778" i="259"/>
  <c r="AB102" i="261" l="1"/>
  <c r="AB1232" i="259"/>
  <c r="AB219" i="261" s="1"/>
  <c r="AB1227" i="259"/>
  <c r="AB270" i="261"/>
  <c r="AB905" i="275"/>
  <c r="AB258" i="261"/>
  <c r="AB889" i="275"/>
  <c r="AB1081" i="259"/>
  <c r="AB888" i="275"/>
  <c r="AB1240" i="259"/>
  <c r="AB1633" i="259"/>
  <c r="AB1619" i="259"/>
  <c r="AB1604" i="259"/>
  <c r="AB1606" i="259" s="1"/>
  <c r="AB1445" i="259"/>
  <c r="AB1447" i="259" s="1"/>
  <c r="AB1451" i="259" s="1"/>
  <c r="AB1443" i="259"/>
  <c r="AB1334" i="259"/>
  <c r="AB1338" i="259"/>
  <c r="AB316" i="261" s="1"/>
  <c r="AB1313" i="259"/>
  <c r="AB1286" i="259"/>
  <c r="AB1237" i="259"/>
  <c r="AB1180" i="259"/>
  <c r="AB1117" i="259"/>
  <c r="AB1102" i="259"/>
  <c r="AB1033" i="259"/>
  <c r="AB1008" i="259"/>
  <c r="AB1009" i="259" s="1"/>
  <c r="AB982" i="259"/>
  <c r="AB984" i="259" s="1"/>
  <c r="AB948" i="259"/>
  <c r="AB913" i="259"/>
  <c r="AB913" i="275" s="1"/>
  <c r="AB895" i="259"/>
  <c r="AB895" i="275" s="1"/>
  <c r="AB718" i="259" l="1"/>
  <c r="AB719" i="259" s="1"/>
  <c r="AB741" i="259"/>
  <c r="AB681" i="259"/>
  <c r="AB680" i="259" s="1"/>
  <c r="AB690" i="259"/>
  <c r="AB691" i="259"/>
  <c r="AB704" i="259"/>
  <c r="AB705" i="259" s="1"/>
  <c r="AB667" i="259"/>
  <c r="AB666" i="259" s="1"/>
  <c r="AB640" i="259"/>
  <c r="AB641" i="259"/>
  <c r="AB642" i="259"/>
  <c r="AB646" i="259" s="1"/>
  <c r="AB652" i="259" s="1"/>
  <c r="AB650" i="259"/>
  <c r="AB657" i="259"/>
  <c r="AB658" i="259"/>
  <c r="AB663" i="259"/>
  <c r="AB633" i="259"/>
  <c r="AB622" i="259"/>
  <c r="AB623" i="259"/>
  <c r="AB624" i="259" s="1"/>
  <c r="AB589" i="259"/>
  <c r="AB579" i="259"/>
  <c r="AB582" i="259" s="1"/>
  <c r="AB591" i="259"/>
  <c r="AB590" i="259"/>
  <c r="AB598" i="259"/>
  <c r="AB600" i="259" s="1"/>
  <c r="AB599" i="259"/>
  <c r="AB607" i="259"/>
  <c r="AB614" i="259"/>
  <c r="AB619" i="259"/>
  <c r="AB541" i="259"/>
  <c r="AB544" i="259" s="1"/>
  <c r="AB542" i="259"/>
  <c r="AB551" i="259"/>
  <c r="AB552" i="259" s="1"/>
  <c r="AB553" i="259"/>
  <c r="AB554" i="259"/>
  <c r="AB561" i="259"/>
  <c r="AB564" i="259" s="1"/>
  <c r="AB562" i="259"/>
  <c r="AB567" i="259"/>
  <c r="AB568" i="259"/>
  <c r="AB570" i="259"/>
  <c r="AB571" i="259"/>
  <c r="AB505" i="259"/>
  <c r="AB506" i="259"/>
  <c r="AB510" i="259"/>
  <c r="AB512" i="259"/>
  <c r="AB520" i="259"/>
  <c r="AB522" i="259" s="1"/>
  <c r="AB526" i="259"/>
  <c r="AB532" i="259"/>
  <c r="AB534" i="259" s="1"/>
  <c r="AB472" i="259"/>
  <c r="AB476" i="259" s="1"/>
  <c r="AB479" i="259" s="1"/>
  <c r="AB485" i="259"/>
  <c r="AB488" i="259"/>
  <c r="AB498" i="259"/>
  <c r="AB498" i="275" s="1"/>
  <c r="AB451" i="259"/>
  <c r="AB455" i="259"/>
  <c r="AB456" i="259"/>
  <c r="AB458" i="259"/>
  <c r="AB442" i="259"/>
  <c r="AB443" i="259"/>
  <c r="AB444" i="259"/>
  <c r="AB445" i="259"/>
  <c r="AB393" i="259"/>
  <c r="AB407" i="259"/>
  <c r="AB414" i="259"/>
  <c r="AB418" i="259"/>
  <c r="AB355" i="259"/>
  <c r="AB363" i="259" s="1"/>
  <c r="AB361" i="259"/>
  <c r="AB371" i="259"/>
  <c r="AB376" i="259"/>
  <c r="AB379" i="259"/>
  <c r="AB380" i="259"/>
  <c r="AB386" i="259"/>
  <c r="AB329" i="259"/>
  <c r="AB336" i="259"/>
  <c r="AB340" i="259"/>
  <c r="AB320" i="259"/>
  <c r="AB277" i="259"/>
  <c r="AB285" i="259" s="1"/>
  <c r="AB286" i="259" s="1"/>
  <c r="AB287" i="259" s="1"/>
  <c r="AB283" i="259"/>
  <c r="AB293" i="259"/>
  <c r="AB298" i="259"/>
  <c r="AB301" i="259"/>
  <c r="AB302" i="259"/>
  <c r="AB308" i="259"/>
  <c r="AB315" i="259"/>
  <c r="AB240" i="259"/>
  <c r="AB245" i="259"/>
  <c r="AB252" i="259"/>
  <c r="AB253" i="259"/>
  <c r="AB228" i="259"/>
  <c r="AB232" i="259"/>
  <c r="AB234" i="259"/>
  <c r="AB219" i="259"/>
  <c r="AB221" i="259" s="1"/>
  <c r="AB208" i="259"/>
  <c r="AB549" i="259" l="1"/>
  <c r="AB189" i="261" s="1"/>
  <c r="AB559" i="259"/>
  <c r="AB190" i="261" s="1"/>
  <c r="AB398" i="259"/>
  <c r="AB32" i="261" s="1"/>
  <c r="AB364" i="259"/>
  <c r="AB363" i="275"/>
  <c r="AB1508" i="259"/>
  <c r="AB115" i="261" s="1"/>
  <c r="AB355" i="275"/>
  <c r="AB506" i="275"/>
  <c r="AB653" i="259"/>
  <c r="AB654" i="259" s="1"/>
  <c r="AB511" i="259"/>
  <c r="AB563" i="259"/>
  <c r="AB543" i="259"/>
  <c r="AB487" i="259"/>
  <c r="AB492" i="259" s="1"/>
  <c r="AB381" i="259"/>
  <c r="AB303" i="259"/>
  <c r="AB365" i="259" l="1"/>
  <c r="AB121" i="261" s="1"/>
  <c r="AB364" i="275"/>
  <c r="AB489" i="259"/>
  <c r="AB500" i="259"/>
  <c r="AB501" i="259" s="1"/>
  <c r="AB502" i="259" l="1"/>
  <c r="AB213" i="261" s="1"/>
  <c r="AB1620" i="259"/>
  <c r="AB151" i="259"/>
  <c r="AB159" i="259" s="1"/>
  <c r="AB160" i="259" s="1"/>
  <c r="AB157" i="259"/>
  <c r="AB168" i="259"/>
  <c r="AB174" i="259"/>
  <c r="AB133" i="259"/>
  <c r="AB84" i="259"/>
  <c r="AB90" i="259"/>
  <c r="AB91" i="259"/>
  <c r="AB92" i="259"/>
  <c r="AB93" i="259"/>
  <c r="AB99" i="259"/>
  <c r="AB18" i="259"/>
  <c r="AB178" i="259" l="1"/>
  <c r="AB181" i="259" s="1"/>
  <c r="AB430" i="259"/>
  <c r="AB196" i="259"/>
  <c r="AB1623" i="259"/>
  <c r="AB1621" i="259"/>
  <c r="AB94" i="259"/>
  <c r="AB139" i="259"/>
  <c r="AB161" i="259"/>
  <c r="AA23" i="259"/>
  <c r="AA262" i="259" l="1"/>
  <c r="J37" i="272" l="1"/>
  <c r="P8" i="272"/>
  <c r="J44" i="272"/>
  <c r="J43" i="272"/>
  <c r="J45" i="272"/>
  <c r="J19" i="272" l="1"/>
  <c r="J25" i="272" s="1"/>
  <c r="J23" i="272"/>
  <c r="J17" i="272"/>
  <c r="X82" i="264" l="1"/>
  <c r="V72" i="264"/>
  <c r="X72" i="264" s="1"/>
  <c r="X65" i="264"/>
  <c r="X58" i="264"/>
  <c r="X51" i="264"/>
  <c r="X37" i="264"/>
  <c r="X30" i="264"/>
  <c r="X10" i="264"/>
  <c r="AZ456" i="259" l="1"/>
  <c r="AY456" i="259"/>
  <c r="AX456" i="259"/>
  <c r="AW456" i="259"/>
  <c r="AV456" i="259"/>
  <c r="AU456" i="259"/>
  <c r="AZ455" i="259"/>
  <c r="AA1406" i="259" l="1"/>
  <c r="AC1449" i="259" l="1"/>
  <c r="AD1449" i="259"/>
  <c r="AE1449" i="259"/>
  <c r="AF1449" i="259"/>
  <c r="AG1449" i="259" s="1"/>
  <c r="AH1449" i="259" s="1"/>
  <c r="AI1449" i="259" s="1"/>
  <c r="AA1449" i="259"/>
  <c r="BE314" i="261"/>
  <c r="BD314" i="261"/>
  <c r="BC314" i="261"/>
  <c r="Z11" i="261" l="1"/>
  <c r="Y11" i="261"/>
  <c r="X11" i="261"/>
  <c r="W11" i="261"/>
  <c r="V11" i="261"/>
  <c r="U11" i="261"/>
  <c r="AC11" i="261"/>
  <c r="AD11" i="261"/>
  <c r="AE11" i="261"/>
  <c r="AF11" i="261"/>
  <c r="AG11" i="261"/>
  <c r="AH11" i="261"/>
  <c r="AI11" i="261"/>
  <c r="AA11" i="261"/>
  <c r="AZ896" i="259" l="1"/>
  <c r="AY896" i="259"/>
  <c r="AX896" i="259"/>
  <c r="AW896" i="259"/>
  <c r="AV896" i="259"/>
  <c r="AY817" i="259"/>
  <c r="AX817" i="259"/>
  <c r="AW817" i="259"/>
  <c r="AV817" i="259"/>
  <c r="AU817" i="259"/>
  <c r="W817" i="259"/>
  <c r="V817" i="259"/>
  <c r="U817" i="259"/>
  <c r="T817" i="259"/>
  <c r="S817" i="259"/>
  <c r="R817" i="259"/>
  <c r="Q817" i="259"/>
  <c r="P817" i="259"/>
  <c r="O817" i="259"/>
  <c r="N817" i="259"/>
  <c r="M817" i="259"/>
  <c r="L817" i="259"/>
  <c r="K817" i="259"/>
  <c r="J817" i="259"/>
  <c r="I817" i="259"/>
  <c r="H817" i="259"/>
  <c r="G817" i="259"/>
  <c r="F817" i="259"/>
  <c r="E817" i="259"/>
  <c r="D817" i="259"/>
  <c r="AY319" i="259" l="1"/>
  <c r="AX319" i="259"/>
  <c r="AA308" i="261" l="1"/>
  <c r="AA314" i="261"/>
  <c r="AA324" i="261"/>
  <c r="AA258" i="261"/>
  <c r="AA262" i="261"/>
  <c r="AA263" i="261"/>
  <c r="AA264" i="261"/>
  <c r="AA265" i="261"/>
  <c r="AA268" i="261"/>
  <c r="AA269" i="261"/>
  <c r="AA270" i="261"/>
  <c r="AA273" i="261"/>
  <c r="AA289" i="261"/>
  <c r="AA290" i="261"/>
  <c r="AA293" i="261"/>
  <c r="AA296" i="261"/>
  <c r="AA253" i="261"/>
  <c r="AA219" i="261"/>
  <c r="AA233" i="261"/>
  <c r="AA234" i="261"/>
  <c r="AA235" i="261"/>
  <c r="AA237" i="261"/>
  <c r="AA239" i="261"/>
  <c r="AA241" i="261"/>
  <c r="AA173" i="261"/>
  <c r="AA174" i="261"/>
  <c r="AA175" i="261"/>
  <c r="AA176" i="261"/>
  <c r="AA177" i="261"/>
  <c r="AA180" i="261"/>
  <c r="AA181" i="261"/>
  <c r="AA182" i="261"/>
  <c r="AA183" i="261"/>
  <c r="AA184" i="261"/>
  <c r="AA195" i="261"/>
  <c r="AA151" i="261"/>
  <c r="AA153" i="261"/>
  <c r="AA154" i="261"/>
  <c r="AA155" i="261"/>
  <c r="AA157" i="261"/>
  <c r="AA160" i="261"/>
  <c r="AA161" i="261"/>
  <c r="AA162" i="261"/>
  <c r="AA167" i="261"/>
  <c r="AA168" i="261"/>
  <c r="AA169" i="261"/>
  <c r="AA142" i="261"/>
  <c r="AA143" i="261"/>
  <c r="AA144" i="261"/>
  <c r="AA90" i="261"/>
  <c r="AA91" i="261"/>
  <c r="AA92" i="261"/>
  <c r="AA95" i="261"/>
  <c r="AA98" i="261"/>
  <c r="AA102" i="261"/>
  <c r="AA103" i="261"/>
  <c r="AA105" i="261"/>
  <c r="AA46" i="261"/>
  <c r="AA47" i="261"/>
  <c r="AA49" i="261"/>
  <c r="AA51" i="261"/>
  <c r="AA54" i="261"/>
  <c r="AA55" i="261"/>
  <c r="AA57" i="261"/>
  <c r="AA59" i="261"/>
  <c r="AA63" i="261"/>
  <c r="AA64" i="261"/>
  <c r="AA66" i="261"/>
  <c r="AA67" i="261"/>
  <c r="AA68" i="261"/>
  <c r="AA70" i="261"/>
  <c r="AA73" i="261"/>
  <c r="AA74" i="261"/>
  <c r="AA76" i="261"/>
  <c r="AA78" i="261"/>
  <c r="AA81" i="261"/>
  <c r="AA82" i="261"/>
  <c r="AA84" i="261"/>
  <c r="AA86" i="261"/>
  <c r="AA8" i="261"/>
  <c r="AA9" i="261"/>
  <c r="AA10" i="261"/>
  <c r="AA13" i="261"/>
  <c r="AA14" i="261"/>
  <c r="AA17" i="261"/>
  <c r="AA18" i="261"/>
  <c r="AA23" i="261"/>
  <c r="AA24" i="261"/>
  <c r="AA36" i="261"/>
  <c r="AA37" i="261"/>
  <c r="AA39" i="261"/>
  <c r="AA40" i="261"/>
  <c r="AA41" i="261"/>
  <c r="AA43" i="261"/>
  <c r="AA885" i="275"/>
  <c r="AA886" i="275"/>
  <c r="AA887" i="275"/>
  <c r="AA888" i="275"/>
  <c r="AA889" i="275"/>
  <c r="AA891" i="275"/>
  <c r="AA892" i="275"/>
  <c r="AA893" i="275"/>
  <c r="AA894" i="275"/>
  <c r="AA895" i="275"/>
  <c r="AA896" i="275"/>
  <c r="AA900" i="275"/>
  <c r="AA901" i="275"/>
  <c r="AA902" i="275"/>
  <c r="AA903" i="275"/>
  <c r="AA904" i="275"/>
  <c r="AA905" i="275"/>
  <c r="AA906" i="275"/>
  <c r="AA910" i="275"/>
  <c r="AA911" i="275"/>
  <c r="AA916" i="275"/>
  <c r="AA917" i="275"/>
  <c r="AA918" i="275"/>
  <c r="AA920" i="275"/>
  <c r="AA927" i="275"/>
  <c r="AA934" i="275"/>
  <c r="AA935" i="275"/>
  <c r="AA936" i="275"/>
  <c r="AA937" i="275"/>
  <c r="AA940" i="275"/>
  <c r="AA941" i="275"/>
  <c r="AA942" i="275"/>
  <c r="AA943" i="275"/>
  <c r="AA944" i="275"/>
  <c r="AA946" i="275"/>
  <c r="AA948" i="275"/>
  <c r="AA952" i="275"/>
  <c r="AA953" i="275"/>
  <c r="AA954" i="275"/>
  <c r="AA955" i="275"/>
  <c r="AA956" i="275"/>
  <c r="AA967" i="275"/>
  <c r="AA968" i="275"/>
  <c r="AA969" i="275"/>
  <c r="AA972" i="275"/>
  <c r="AA973" i="275"/>
  <c r="AA974" i="275"/>
  <c r="AA977" i="275"/>
  <c r="AA978" i="275"/>
  <c r="AA979" i="275"/>
  <c r="AA982" i="275"/>
  <c r="AA983" i="275"/>
  <c r="AA984" i="275"/>
  <c r="AA989" i="275"/>
  <c r="AA990" i="275"/>
  <c r="AA991" i="275"/>
  <c r="AA993" i="275"/>
  <c r="AA995" i="275"/>
  <c r="AA997" i="275"/>
  <c r="AA999" i="275"/>
  <c r="AA1002" i="275"/>
  <c r="AA1003" i="275"/>
  <c r="AA1004" i="275"/>
  <c r="AA1005" i="275"/>
  <c r="AA1006" i="275"/>
  <c r="AA1008" i="275"/>
  <c r="AA1016" i="275"/>
  <c r="AA1017" i="275"/>
  <c r="AA1018" i="275"/>
  <c r="AA1021" i="275"/>
  <c r="AA1022" i="275"/>
  <c r="AA1023" i="275"/>
  <c r="AA1026" i="275"/>
  <c r="AA1027" i="275"/>
  <c r="AA1028" i="275"/>
  <c r="AA1031" i="275"/>
  <c r="AA1032" i="275"/>
  <c r="AA1033" i="275"/>
  <c r="AA1038" i="275"/>
  <c r="AA1039" i="275"/>
  <c r="AA1040" i="275"/>
  <c r="AA1042" i="275"/>
  <c r="AA1044" i="275"/>
  <c r="AA1046" i="275"/>
  <c r="AA1048" i="275"/>
  <c r="AA1051" i="275"/>
  <c r="AA1052" i="275"/>
  <c r="AA1053" i="275"/>
  <c r="AA1054" i="275"/>
  <c r="AA1055" i="275"/>
  <c r="AA1057" i="275"/>
  <c r="AA851" i="275"/>
  <c r="AA852" i="275"/>
  <c r="AA853" i="275"/>
  <c r="AA854" i="275"/>
  <c r="AA855" i="275"/>
  <c r="AA856" i="275"/>
  <c r="AA857" i="275"/>
  <c r="AA858" i="275"/>
  <c r="AA859" i="275"/>
  <c r="AA862" i="275"/>
  <c r="AA863" i="275"/>
  <c r="AA864" i="275"/>
  <c r="AA865" i="275"/>
  <c r="AA866" i="275"/>
  <c r="AA867" i="275"/>
  <c r="AA876" i="275"/>
  <c r="AA877" i="275"/>
  <c r="AA878" i="275"/>
  <c r="AA828" i="275"/>
  <c r="AA829" i="275"/>
  <c r="AA831" i="275"/>
  <c r="AA832" i="275"/>
  <c r="AA833" i="275"/>
  <c r="AA835" i="275"/>
  <c r="AA836" i="275"/>
  <c r="AA837" i="275"/>
  <c r="AA838" i="275"/>
  <c r="AA841" i="275"/>
  <c r="AA842" i="275"/>
  <c r="AA843" i="275"/>
  <c r="AA844" i="275"/>
  <c r="AA846" i="275"/>
  <c r="AA809" i="275"/>
  <c r="AA812" i="275"/>
  <c r="AA794" i="275"/>
  <c r="AA795" i="275"/>
  <c r="AA799" i="275"/>
  <c r="AA801" i="275"/>
  <c r="AA772" i="275"/>
  <c r="AA774" i="275"/>
  <c r="AA775" i="275"/>
  <c r="AA776" i="275"/>
  <c r="AA780" i="275"/>
  <c r="AA784" i="275"/>
  <c r="AA785" i="275"/>
  <c r="AA786" i="275"/>
  <c r="AA749" i="275"/>
  <c r="AA750" i="275"/>
  <c r="AA758" i="275"/>
  <c r="AA759" i="275"/>
  <c r="AA760" i="275"/>
  <c r="AA761" i="275"/>
  <c r="AA762" i="275"/>
  <c r="AA763" i="275"/>
  <c r="AA765" i="275"/>
  <c r="AA768" i="275"/>
  <c r="AA740" i="275"/>
  <c r="AA741" i="275"/>
  <c r="AA742" i="275"/>
  <c r="AA710" i="275"/>
  <c r="AA712" i="275"/>
  <c r="AA716" i="275"/>
  <c r="AA717" i="275"/>
  <c r="AA718" i="275"/>
  <c r="AA719" i="275"/>
  <c r="AA720" i="275"/>
  <c r="AA722" i="275"/>
  <c r="AA723" i="275"/>
  <c r="AA725" i="275"/>
  <c r="AA679" i="275"/>
  <c r="AA688" i="275"/>
  <c r="AA689" i="275"/>
  <c r="AA690" i="275"/>
  <c r="AA691" i="275"/>
  <c r="AA692" i="275"/>
  <c r="AA694" i="275"/>
  <c r="AA696" i="275"/>
  <c r="AA698" i="275"/>
  <c r="AA702" i="275"/>
  <c r="AA703" i="275"/>
  <c r="AA704" i="275"/>
  <c r="AA705" i="275"/>
  <c r="AA706" i="275"/>
  <c r="AA708" i="275"/>
  <c r="AA662" i="275"/>
  <c r="AA663" i="275"/>
  <c r="AA664" i="275"/>
  <c r="AA665" i="275"/>
  <c r="AA632" i="275"/>
  <c r="AA638" i="275"/>
  <c r="AA639" i="275"/>
  <c r="AA641" i="275"/>
  <c r="AA644" i="275"/>
  <c r="AA648" i="275"/>
  <c r="AA649" i="275"/>
  <c r="AA650" i="275"/>
  <c r="AA656" i="275"/>
  <c r="AA657" i="275"/>
  <c r="AA603" i="275"/>
  <c r="AA604" i="275"/>
  <c r="AA605" i="275"/>
  <c r="AA606" i="275"/>
  <c r="AA607" i="275"/>
  <c r="AA610" i="275"/>
  <c r="AA611" i="275"/>
  <c r="AA612" i="275"/>
  <c r="AA613" i="275"/>
  <c r="AA614" i="275"/>
  <c r="AA617" i="275"/>
  <c r="AA618" i="275"/>
  <c r="AA619" i="275"/>
  <c r="AA622" i="275"/>
  <c r="AA623" i="275"/>
  <c r="AA624" i="275"/>
  <c r="AA628" i="275"/>
  <c r="AA574" i="275"/>
  <c r="AA575" i="275"/>
  <c r="AA576" i="275"/>
  <c r="AA577" i="275"/>
  <c r="AA578" i="275"/>
  <c r="AA581" i="275"/>
  <c r="AA585" i="275"/>
  <c r="AA586" i="275"/>
  <c r="AA587" i="275"/>
  <c r="AA588" i="275"/>
  <c r="AA590" i="275"/>
  <c r="AA594" i="275"/>
  <c r="AA595" i="275"/>
  <c r="AA596" i="275"/>
  <c r="AA597" i="275"/>
  <c r="AA599" i="275"/>
  <c r="AA558" i="275"/>
  <c r="AA561" i="275"/>
  <c r="AA529" i="275"/>
  <c r="AA530" i="275"/>
  <c r="AA531" i="275"/>
  <c r="AA533" i="275"/>
  <c r="AA538" i="275"/>
  <c r="AA548" i="275"/>
  <c r="AA504" i="275"/>
  <c r="AA505" i="275"/>
  <c r="AA517" i="275"/>
  <c r="AA518" i="275"/>
  <c r="AA519" i="275"/>
  <c r="AA521" i="275"/>
  <c r="AA524" i="275"/>
  <c r="AA525" i="275"/>
  <c r="AA469" i="275"/>
  <c r="AA470" i="275"/>
  <c r="AA471" i="275"/>
  <c r="AA473" i="275"/>
  <c r="AA474" i="275"/>
  <c r="AA475" i="275"/>
  <c r="AA478" i="275"/>
  <c r="AA481" i="275"/>
  <c r="AA482" i="275"/>
  <c r="AA483" i="275"/>
  <c r="AA484" i="275"/>
  <c r="AA488" i="275"/>
  <c r="AA491" i="275"/>
  <c r="AA494" i="275"/>
  <c r="AA496" i="275"/>
  <c r="AA497" i="275"/>
  <c r="AA498" i="275"/>
  <c r="AA455" i="275"/>
  <c r="AA457" i="275"/>
  <c r="AA458" i="275"/>
  <c r="AA425" i="275"/>
  <c r="AA435" i="275"/>
  <c r="AA436" i="275"/>
  <c r="AA438" i="275"/>
  <c r="AA439" i="275"/>
  <c r="AA442" i="275"/>
  <c r="AA443" i="275"/>
  <c r="AA444" i="275"/>
  <c r="AA445" i="275"/>
  <c r="AA402" i="275"/>
  <c r="AA403" i="275"/>
  <c r="AA405" i="275"/>
  <c r="AA407" i="275"/>
  <c r="AA411" i="275"/>
  <c r="AA412" i="275"/>
  <c r="AA413" i="275"/>
  <c r="AA414" i="275"/>
  <c r="AA416" i="275"/>
  <c r="AA418" i="275"/>
  <c r="AA421" i="275"/>
  <c r="AA422" i="275"/>
  <c r="AA369" i="275"/>
  <c r="AA370" i="275"/>
  <c r="AA374" i="275"/>
  <c r="AA375" i="275"/>
  <c r="AA384" i="275"/>
  <c r="AA385" i="275"/>
  <c r="AA353" i="275"/>
  <c r="AA354" i="275"/>
  <c r="AA357" i="275"/>
  <c r="AA359" i="275"/>
  <c r="AA360" i="275"/>
  <c r="AA361" i="275"/>
  <c r="AA366" i="275"/>
  <c r="AA324" i="275"/>
  <c r="AA325" i="275"/>
  <c r="AA327" i="275"/>
  <c r="AA329" i="275"/>
  <c r="AA333" i="275"/>
  <c r="AA334" i="275"/>
  <c r="AA335" i="275"/>
  <c r="AA336" i="275"/>
  <c r="AA338" i="275"/>
  <c r="AA340" i="275"/>
  <c r="AA343" i="275"/>
  <c r="AA344" i="275"/>
  <c r="AA306" i="275"/>
  <c r="AA307" i="275"/>
  <c r="AA275" i="275"/>
  <c r="AA276" i="275"/>
  <c r="AA279" i="275"/>
  <c r="AA281" i="275"/>
  <c r="AA282" i="275"/>
  <c r="AA283" i="275"/>
  <c r="AA288" i="275"/>
  <c r="AA291" i="275"/>
  <c r="AA292" i="275"/>
  <c r="AA296" i="275"/>
  <c r="AA297" i="275"/>
  <c r="AA266" i="275"/>
  <c r="AA270" i="275"/>
  <c r="AA225" i="275"/>
  <c r="AA226" i="275"/>
  <c r="AA227" i="275"/>
  <c r="AA228" i="275"/>
  <c r="AA230" i="275"/>
  <c r="AA231" i="275"/>
  <c r="AA232" i="275"/>
  <c r="AA234" i="275"/>
  <c r="AA238" i="275"/>
  <c r="AA239" i="275"/>
  <c r="AA240" i="275"/>
  <c r="AA243" i="275"/>
  <c r="AA244" i="275"/>
  <c r="AA245" i="275"/>
  <c r="AA214" i="275"/>
  <c r="AA215" i="275"/>
  <c r="AA217" i="275"/>
  <c r="AA218" i="275"/>
  <c r="AA219" i="275"/>
  <c r="AA221" i="275"/>
  <c r="AA179" i="275"/>
  <c r="AA180" i="275"/>
  <c r="AA184" i="275"/>
  <c r="AA185" i="275"/>
  <c r="AA186" i="275"/>
  <c r="AA192" i="275"/>
  <c r="AA193" i="275"/>
  <c r="AA202" i="275"/>
  <c r="AA204" i="275"/>
  <c r="AA205" i="275"/>
  <c r="AA207" i="275"/>
  <c r="AA149" i="275"/>
  <c r="AA150" i="275"/>
  <c r="AA153" i="275"/>
  <c r="AA155" i="275"/>
  <c r="AA156" i="275"/>
  <c r="AA157" i="275"/>
  <c r="AA162" i="275"/>
  <c r="AA165" i="275"/>
  <c r="AA166" i="275"/>
  <c r="AA167" i="275"/>
  <c r="AA168" i="275"/>
  <c r="AA171" i="275"/>
  <c r="AA172" i="275"/>
  <c r="AA173" i="275"/>
  <c r="AA175" i="275"/>
  <c r="AA119" i="275"/>
  <c r="AA120" i="275"/>
  <c r="AA121" i="275"/>
  <c r="AA133" i="275"/>
  <c r="AA57" i="275"/>
  <c r="AA58" i="275"/>
  <c r="AA62" i="275"/>
  <c r="AA63" i="275"/>
  <c r="AA64" i="275"/>
  <c r="AA65" i="275"/>
  <c r="AA11" i="275"/>
  <c r="AA12" i="275"/>
  <c r="AA16" i="275"/>
  <c r="AA18" i="275"/>
  <c r="AA19" i="275"/>
  <c r="AA23" i="275"/>
  <c r="AA1610" i="259"/>
  <c r="AA1603" i="259" s="1"/>
  <c r="AA1611" i="259"/>
  <c r="AA1604" i="259" s="1"/>
  <c r="AA1617" i="259"/>
  <c r="AA1618" i="259"/>
  <c r="AA1625" i="259"/>
  <c r="AA1630" i="259" s="1"/>
  <c r="AA1629" i="259"/>
  <c r="AA1632" i="259"/>
  <c r="AA1579" i="259"/>
  <c r="AA1585" i="259"/>
  <c r="AA1590" i="259"/>
  <c r="AA1568" i="259"/>
  <c r="AA1573" i="259"/>
  <c r="AA1537" i="259"/>
  <c r="AA1529" i="259" s="1"/>
  <c r="AA1517" i="259"/>
  <c r="AA1524" i="259"/>
  <c r="AA1470" i="259"/>
  <c r="AA344" i="261" s="1"/>
  <c r="AA1471" i="259"/>
  <c r="AA1473" i="259"/>
  <c r="AA1474" i="259"/>
  <c r="AA345" i="261" s="1"/>
  <c r="AA1437" i="259"/>
  <c r="AA1438" i="259"/>
  <c r="AA1441" i="259"/>
  <c r="AA1442" i="259" s="1"/>
  <c r="AA339" i="261" s="1"/>
  <c r="AA1418" i="259"/>
  <c r="AA1399" i="259"/>
  <c r="AA1371" i="259"/>
  <c r="AA1383" i="259" s="1"/>
  <c r="AA1463" i="259" s="1"/>
  <c r="AA1465" i="259" s="1"/>
  <c r="AA1468" i="259" s="1"/>
  <c r="AA1377" i="259"/>
  <c r="AA1335" i="259"/>
  <c r="AA1338" i="259"/>
  <c r="AA316" i="261" s="1"/>
  <c r="AA1339" i="259"/>
  <c r="AA1308" i="259"/>
  <c r="AA1309" i="259"/>
  <c r="AA1318" i="259"/>
  <c r="AA1320" i="259" s="1"/>
  <c r="AA1325" i="259"/>
  <c r="AA1329" i="259"/>
  <c r="AA1293" i="259" s="1"/>
  <c r="AA1291" i="259"/>
  <c r="AA1295" i="259"/>
  <c r="AA1298" i="259"/>
  <c r="AA1279" i="259"/>
  <c r="AA1281" i="259" s="1"/>
  <c r="AA1225" i="259"/>
  <c r="AA1226" i="259"/>
  <c r="AA1227" i="259" s="1"/>
  <c r="AA1230" i="259"/>
  <c r="AA1231" i="259"/>
  <c r="AA1232" i="259"/>
  <c r="AA1235" i="259"/>
  <c r="AA1236" i="259"/>
  <c r="AA1237" i="259" s="1"/>
  <c r="AA1239" i="259"/>
  <c r="AA1213" i="259"/>
  <c r="AA1214" i="259"/>
  <c r="AA1215" i="259" s="1"/>
  <c r="AA1200" i="259"/>
  <c r="AA1201" i="259"/>
  <c r="AA1202" i="259"/>
  <c r="AA1170" i="259"/>
  <c r="AA1171" i="259"/>
  <c r="AA1172" i="259"/>
  <c r="AA1183" i="259"/>
  <c r="AA1184" i="259"/>
  <c r="AA1185" i="259"/>
  <c r="AA1140" i="259"/>
  <c r="AA1143" i="259"/>
  <c r="AA1144" i="259"/>
  <c r="AA1151" i="259"/>
  <c r="AA1155" i="259"/>
  <c r="AA1158" i="259"/>
  <c r="AA1159" i="259" s="1"/>
  <c r="AA1166" i="259"/>
  <c r="AA1123" i="259"/>
  <c r="AA1127" i="259"/>
  <c r="AA1128" i="259" s="1"/>
  <c r="AA1130" i="259"/>
  <c r="AA1095" i="259"/>
  <c r="AA1097" i="259" s="1"/>
  <c r="AA1100" i="259"/>
  <c r="AA1101" i="259"/>
  <c r="AA1110" i="259"/>
  <c r="AA1112" i="259"/>
  <c r="AA1115" i="259"/>
  <c r="AA1116" i="259"/>
  <c r="AA1117" i="259"/>
  <c r="AA1081" i="259"/>
  <c r="AA1038" i="259"/>
  <c r="AA1039" i="259"/>
  <c r="AA1040" i="259"/>
  <c r="AA1042" i="259"/>
  <c r="AA1044" i="259"/>
  <c r="AA1046" i="259"/>
  <c r="AA1048" i="259"/>
  <c r="AA1051" i="259"/>
  <c r="AA1052" i="259"/>
  <c r="AA1053" i="259"/>
  <c r="AA1054" i="259"/>
  <c r="AA1055" i="259"/>
  <c r="AA1057" i="259"/>
  <c r="AA1058" i="259" s="1"/>
  <c r="AA1016" i="259"/>
  <c r="AA1017" i="259"/>
  <c r="AA1018" i="259"/>
  <c r="AA1021" i="259"/>
  <c r="AA1022" i="259"/>
  <c r="AA1023" i="259"/>
  <c r="AA1026" i="259"/>
  <c r="AA1031" i="259" s="1"/>
  <c r="AA1033" i="259" s="1"/>
  <c r="AA1027" i="259"/>
  <c r="AA1028" i="259"/>
  <c r="AA1032" i="259"/>
  <c r="AA1006" i="259"/>
  <c r="AA1008" i="259" s="1"/>
  <c r="AA1009" i="259" s="1"/>
  <c r="AA967" i="259"/>
  <c r="AA968" i="259"/>
  <c r="AA969" i="259"/>
  <c r="AA972" i="259"/>
  <c r="AA973" i="259"/>
  <c r="AA974" i="259" s="1"/>
  <c r="AA977" i="259"/>
  <c r="AA978" i="259"/>
  <c r="AA979" i="259"/>
  <c r="AA982" i="259"/>
  <c r="AA983" i="259"/>
  <c r="AA984" i="259" s="1"/>
  <c r="AA989" i="259"/>
  <c r="AA990" i="259"/>
  <c r="AA991" i="259"/>
  <c r="AA993" i="259"/>
  <c r="AA997" i="259"/>
  <c r="AA999" i="259" s="1"/>
  <c r="AA937" i="259"/>
  <c r="AA944" i="259"/>
  <c r="AA948" i="259"/>
  <c r="AA952" i="259"/>
  <c r="AA953" i="259"/>
  <c r="AA954" i="259"/>
  <c r="AA955" i="259"/>
  <c r="AA957" i="259"/>
  <c r="AA910" i="259"/>
  <c r="AA916" i="259"/>
  <c r="AA917" i="259"/>
  <c r="AA918" i="259"/>
  <c r="AA919" i="259"/>
  <c r="AA919" i="275" s="1"/>
  <c r="AA920" i="259"/>
  <c r="AA921" i="259"/>
  <c r="AA921" i="275" s="1"/>
  <c r="AA927" i="259"/>
  <c r="AA891" i="259"/>
  <c r="AA892" i="259"/>
  <c r="AA893" i="259"/>
  <c r="AA894" i="259"/>
  <c r="AA895" i="259"/>
  <c r="AA888" i="259"/>
  <c r="AA889" i="259" s="1"/>
  <c r="AA885" i="259"/>
  <c r="AA886" i="259"/>
  <c r="AA900" i="259"/>
  <c r="AA901" i="259"/>
  <c r="AA902" i="259"/>
  <c r="AA905" i="259"/>
  <c r="AA873" i="259"/>
  <c r="AA872" i="259" s="1"/>
  <c r="AA875" i="259"/>
  <c r="AA875" i="275" s="1"/>
  <c r="AA876" i="259"/>
  <c r="AA877" i="259"/>
  <c r="AA878" i="259"/>
  <c r="AA833" i="259"/>
  <c r="AA837" i="259"/>
  <c r="AA855" i="259"/>
  <c r="AA858" i="259" s="1"/>
  <c r="AA868" i="259"/>
  <c r="AA1306" i="259" s="1"/>
  <c r="AA1312" i="259" s="1"/>
  <c r="AA794" i="259"/>
  <c r="AA795" i="259"/>
  <c r="AA799" i="259"/>
  <c r="AA801" i="259"/>
  <c r="AA802" i="259"/>
  <c r="AA802" i="275" s="1"/>
  <c r="AA751" i="259"/>
  <c r="AA764" i="259"/>
  <c r="AA768" i="259"/>
  <c r="AA777" i="259"/>
  <c r="AA777" i="275" s="1"/>
  <c r="AA778" i="259"/>
  <c r="AA778" i="275" s="1"/>
  <c r="AA741" i="259"/>
  <c r="AA704" i="259"/>
  <c r="AA705" i="259" s="1"/>
  <c r="AA718" i="259"/>
  <c r="AA719" i="259" s="1"/>
  <c r="AA681" i="259"/>
  <c r="AA680" i="259" s="1"/>
  <c r="AA680" i="275" s="1"/>
  <c r="AA690" i="259"/>
  <c r="AA640" i="259"/>
  <c r="AA640" i="275" s="1"/>
  <c r="AA641" i="259"/>
  <c r="AA650" i="259"/>
  <c r="AA657" i="259"/>
  <c r="AA658" i="259"/>
  <c r="AA658" i="275" s="1"/>
  <c r="AA663" i="259"/>
  <c r="AA667" i="259"/>
  <c r="AA667" i="275" s="1"/>
  <c r="AA607" i="259"/>
  <c r="AA614" i="259"/>
  <c r="AA619" i="259"/>
  <c r="AA622" i="259"/>
  <c r="AA623" i="259"/>
  <c r="AA624" i="259" s="1"/>
  <c r="AA633" i="259"/>
  <c r="AA579" i="259"/>
  <c r="AA582" i="259" s="1"/>
  <c r="AA582" i="275" s="1"/>
  <c r="AA589" i="259"/>
  <c r="AA589" i="275" s="1"/>
  <c r="AA590" i="259"/>
  <c r="AA598" i="259"/>
  <c r="AA598" i="275" s="1"/>
  <c r="AA599" i="259"/>
  <c r="AA561" i="259"/>
  <c r="AA562" i="259" s="1"/>
  <c r="AA568" i="259"/>
  <c r="AA571" i="259"/>
  <c r="AA539" i="259"/>
  <c r="AA541" i="259"/>
  <c r="AA542" i="259" s="1"/>
  <c r="AA193" i="261" s="1"/>
  <c r="AA549" i="259"/>
  <c r="AA189" i="261" s="1"/>
  <c r="AA551" i="259"/>
  <c r="AA552" i="259" s="1"/>
  <c r="AA194" i="261" s="1"/>
  <c r="AA559" i="259"/>
  <c r="AA190" i="261" s="1"/>
  <c r="AA520" i="259"/>
  <c r="AA522" i="259" s="1"/>
  <c r="AA522" i="275" s="1"/>
  <c r="AA526" i="259"/>
  <c r="AA526" i="275" s="1"/>
  <c r="AA532" i="259"/>
  <c r="AA534" i="259" s="1"/>
  <c r="AA534" i="275" s="1"/>
  <c r="AA510" i="259"/>
  <c r="AA510" i="275" s="1"/>
  <c r="AA472" i="259"/>
  <c r="AA476" i="259" s="1"/>
  <c r="AA479" i="259" s="1"/>
  <c r="AA479" i="275" s="1"/>
  <c r="AA485" i="259"/>
  <c r="AA485" i="275" s="1"/>
  <c r="AA488" i="259"/>
  <c r="AA498" i="259"/>
  <c r="AA505" i="259"/>
  <c r="AA506" i="259" s="1"/>
  <c r="AA7" i="259" s="1"/>
  <c r="AA7" i="275" s="1"/>
  <c r="AA442" i="259"/>
  <c r="AA445" i="259" s="1"/>
  <c r="AA443" i="259"/>
  <c r="AA444" i="259"/>
  <c r="AA451" i="259"/>
  <c r="AA451" i="275" s="1"/>
  <c r="AA455" i="259"/>
  <c r="AA456" i="259"/>
  <c r="AA456" i="275" s="1"/>
  <c r="AA458" i="259"/>
  <c r="AA407" i="259"/>
  <c r="AA414" i="259"/>
  <c r="AA418" i="259" s="1"/>
  <c r="AA355" i="259"/>
  <c r="AA141" i="259" s="1"/>
  <c r="AA141" i="275" s="1"/>
  <c r="AA361" i="259"/>
  <c r="AA371" i="259"/>
  <c r="AA371" i="275" s="1"/>
  <c r="AA376" i="259"/>
  <c r="AA376" i="275" s="1"/>
  <c r="AA379" i="259"/>
  <c r="AA379" i="275" s="1"/>
  <c r="AA380" i="259"/>
  <c r="AA380" i="275" s="1"/>
  <c r="AA386" i="259"/>
  <c r="AA386" i="275" s="1"/>
  <c r="AA393" i="259"/>
  <c r="AA329" i="259"/>
  <c r="AA336" i="259"/>
  <c r="AA340" i="259" s="1"/>
  <c r="AA277" i="259"/>
  <c r="AA1507" i="259" s="1"/>
  <c r="AA114" i="261" s="1"/>
  <c r="AA283" i="259"/>
  <c r="AA293" i="259"/>
  <c r="AA293" i="275" s="1"/>
  <c r="AA298" i="259"/>
  <c r="AA298" i="275" s="1"/>
  <c r="AA301" i="259"/>
  <c r="AA301" i="275" s="1"/>
  <c r="AA302" i="259"/>
  <c r="AA302" i="275" s="1"/>
  <c r="AA308" i="259"/>
  <c r="AA308" i="275" s="1"/>
  <c r="AA315" i="259"/>
  <c r="AA263" i="259"/>
  <c r="AA240" i="259"/>
  <c r="AA245" i="259"/>
  <c r="AA252" i="259"/>
  <c r="AA253" i="259"/>
  <c r="AA228" i="259"/>
  <c r="AA234" i="259" s="1"/>
  <c r="AA232" i="259"/>
  <c r="AA200" i="259"/>
  <c r="AA201" i="259" s="1"/>
  <c r="AA208" i="259"/>
  <c r="AA219" i="259"/>
  <c r="AA221" i="259" s="1"/>
  <c r="AA179" i="259"/>
  <c r="AA180" i="259"/>
  <c r="AA187" i="259"/>
  <c r="AA187" i="275" s="1"/>
  <c r="AA151" i="259"/>
  <c r="AA152" i="259" s="1"/>
  <c r="AA157" i="259"/>
  <c r="AA168" i="259"/>
  <c r="AA174" i="259"/>
  <c r="AA430" i="259" s="1"/>
  <c r="AA430" i="275" s="1"/>
  <c r="AA113" i="259"/>
  <c r="AA37" i="259" s="1"/>
  <c r="AA37" i="275" s="1"/>
  <c r="AA114" i="259"/>
  <c r="AA114" i="275" s="1"/>
  <c r="AA117" i="259"/>
  <c r="AA117" i="275" s="1"/>
  <c r="AA119" i="259"/>
  <c r="AA62" i="259" s="1"/>
  <c r="AA120" i="259"/>
  <c r="AA126" i="259"/>
  <c r="AA126" i="275" s="1"/>
  <c r="AA132" i="259"/>
  <c r="AA136" i="259" s="1"/>
  <c r="AA133" i="259"/>
  <c r="AA139" i="259"/>
  <c r="AA139" i="275" s="1"/>
  <c r="AA140" i="259"/>
  <c r="AA140" i="275" s="1"/>
  <c r="AA84" i="259"/>
  <c r="AA86" i="259"/>
  <c r="AA90" i="259"/>
  <c r="AA91" i="259"/>
  <c r="AA92" i="259"/>
  <c r="AA93" i="259"/>
  <c r="AA101" i="259" s="1"/>
  <c r="AA39" i="259"/>
  <c r="AA39" i="275" s="1"/>
  <c r="AA46" i="259"/>
  <c r="AA46" i="275" s="1"/>
  <c r="AA56" i="259"/>
  <c r="AA56" i="275" s="1"/>
  <c r="AA57" i="259"/>
  <c r="AA58" i="259"/>
  <c r="AA63" i="259"/>
  <c r="AA64" i="259"/>
  <c r="AA6" i="259"/>
  <c r="AA6" i="275" s="1"/>
  <c r="AA18" i="259"/>
  <c r="AA506" i="275" l="1"/>
  <c r="AA1443" i="259"/>
  <c r="AA1407" i="259"/>
  <c r="AA1446" i="259"/>
  <c r="AA1353" i="259"/>
  <c r="AA1374" i="259"/>
  <c r="AA1375" i="259" s="1"/>
  <c r="AA868" i="275"/>
  <c r="AA922" i="259"/>
  <c r="AA1297" i="259"/>
  <c r="AA1299" i="259" s="1"/>
  <c r="AA870" i="259"/>
  <c r="AA929" i="259"/>
  <c r="AA929" i="275" s="1"/>
  <c r="AA871" i="259"/>
  <c r="AA872" i="275"/>
  <c r="AA873" i="275"/>
  <c r="AA1501" i="259"/>
  <c r="AA751" i="275"/>
  <c r="AA1502" i="259"/>
  <c r="AA1503" i="259" s="1"/>
  <c r="AA816" i="259"/>
  <c r="AA816" i="275" s="1"/>
  <c r="AA681" i="275"/>
  <c r="AA666" i="259"/>
  <c r="AA666" i="275" s="1"/>
  <c r="AA1423" i="259"/>
  <c r="AA1422" i="259" s="1"/>
  <c r="AA1511" i="259"/>
  <c r="AA244" i="261" s="1"/>
  <c r="AA600" i="259"/>
  <c r="AA600" i="275" s="1"/>
  <c r="AA591" i="259"/>
  <c r="AA591" i="275" s="1"/>
  <c r="AA1419" i="259"/>
  <c r="AA1420" i="259" s="1"/>
  <c r="AA332" i="261" s="1"/>
  <c r="AA579" i="275"/>
  <c r="AA532" i="275"/>
  <c r="AA520" i="275"/>
  <c r="AA551" i="275"/>
  <c r="AA570" i="259"/>
  <c r="AA207" i="261" s="1"/>
  <c r="AA1612" i="259"/>
  <c r="AA1605" i="259" s="1"/>
  <c r="AA476" i="275"/>
  <c r="AA472" i="275"/>
  <c r="AA541" i="275"/>
  <c r="AA398" i="259"/>
  <c r="AA32" i="261" s="1"/>
  <c r="AA381" i="259"/>
  <c r="AA381" i="275" s="1"/>
  <c r="AA363" i="259"/>
  <c r="AA1508" i="259"/>
  <c r="AA115" i="261" s="1"/>
  <c r="AA355" i="275"/>
  <c r="AA132" i="275"/>
  <c r="AA320" i="259"/>
  <c r="AA28" i="261" s="1"/>
  <c r="AA452" i="259"/>
  <c r="AA144" i="259"/>
  <c r="AA277" i="275"/>
  <c r="AA285" i="259"/>
  <c r="AA85" i="259" s="1"/>
  <c r="AA100" i="259" s="1"/>
  <c r="AA174" i="275"/>
  <c r="AA178" i="259"/>
  <c r="AA181" i="259" s="1"/>
  <c r="AA181" i="275" s="1"/>
  <c r="AA196" i="259"/>
  <c r="AA196" i="275" s="1"/>
  <c r="AA1414" i="259"/>
  <c r="AA1506" i="259"/>
  <c r="AA113" i="261" s="1"/>
  <c r="AA113" i="275"/>
  <c r="AA151" i="275"/>
  <c r="AA542" i="275"/>
  <c r="AA188" i="261"/>
  <c r="AA1334" i="259"/>
  <c r="AA1294" i="259" s="1"/>
  <c r="AA317" i="261"/>
  <c r="AA318" i="261" s="1"/>
  <c r="AA1447" i="259"/>
  <c r="AA1451" i="259" s="1"/>
  <c r="AA1445" i="259"/>
  <c r="AA1313" i="259"/>
  <c r="AA1315" i="259"/>
  <c r="AA1302" i="259"/>
  <c r="AA1303" i="259" s="1"/>
  <c r="AA1283" i="259"/>
  <c r="AA1286" i="259"/>
  <c r="AA1240" i="259"/>
  <c r="AA1129" i="259"/>
  <c r="AA1136" i="259"/>
  <c r="AA1102" i="259"/>
  <c r="AA839" i="259"/>
  <c r="AA691" i="259"/>
  <c r="AA642" i="259"/>
  <c r="AA94" i="259"/>
  <c r="AA564" i="259"/>
  <c r="AA206" i="261" s="1"/>
  <c r="AA554" i="259"/>
  <c r="AA205" i="261" s="1"/>
  <c r="AA544" i="259"/>
  <c r="AA38" i="259"/>
  <c r="AA487" i="259"/>
  <c r="AA59" i="259"/>
  <c r="AA65" i="259"/>
  <c r="AA121" i="259"/>
  <c r="AA303" i="259"/>
  <c r="AA303" i="275" s="1"/>
  <c r="AA142" i="259"/>
  <c r="AA142" i="275" s="1"/>
  <c r="AA115" i="259"/>
  <c r="AA44" i="259"/>
  <c r="AA44" i="275" s="1"/>
  <c r="AA99" i="259"/>
  <c r="AA159" i="259"/>
  <c r="AA159" i="275" s="1"/>
  <c r="BE1405" i="259"/>
  <c r="BD1405" i="259"/>
  <c r="BC1405" i="259"/>
  <c r="AC1405" i="259"/>
  <c r="AD1405" i="259"/>
  <c r="AE1405" i="259"/>
  <c r="AF1405" i="259"/>
  <c r="AG1405" i="259"/>
  <c r="AH1405" i="259"/>
  <c r="AI1405" i="259"/>
  <c r="AX239" i="261"/>
  <c r="AY239" i="261"/>
  <c r="AF633" i="259"/>
  <c r="AF1320" i="259"/>
  <c r="AH1320" i="259"/>
  <c r="AI1320" i="259"/>
  <c r="AG1320" i="259"/>
  <c r="BA1003" i="259"/>
  <c r="BB1003" i="259"/>
  <c r="BA1004" i="259"/>
  <c r="BB1004" i="259"/>
  <c r="BA1005" i="259"/>
  <c r="BB1005" i="259"/>
  <c r="BB1002" i="259"/>
  <c r="BA1002" i="259"/>
  <c r="BE590" i="259"/>
  <c r="BD590" i="259"/>
  <c r="BC590" i="259"/>
  <c r="BE599" i="259"/>
  <c r="BD599" i="259"/>
  <c r="BC599" i="259"/>
  <c r="BB599" i="259"/>
  <c r="BA599" i="259"/>
  <c r="AZ599" i="259"/>
  <c r="AY599" i="259"/>
  <c r="AX599" i="259"/>
  <c r="AW599" i="259"/>
  <c r="AV599" i="259"/>
  <c r="AU599" i="259"/>
  <c r="BB590" i="259"/>
  <c r="BA590" i="259"/>
  <c r="AZ590" i="259"/>
  <c r="AY590" i="259"/>
  <c r="AX590" i="259"/>
  <c r="AW590" i="259"/>
  <c r="AV590" i="259"/>
  <c r="AU590" i="259"/>
  <c r="AB557" i="275"/>
  <c r="AA557" i="275"/>
  <c r="AB547" i="275"/>
  <c r="AA547" i="275"/>
  <c r="AA537" i="275"/>
  <c r="AB539" i="259" l="1"/>
  <c r="AB537" i="275"/>
  <c r="AA210" i="259"/>
  <c r="AA210" i="275" s="1"/>
  <c r="AA870" i="275"/>
  <c r="AA1351" i="259"/>
  <c r="AA1352" i="259"/>
  <c r="AA924" i="259"/>
  <c r="AA922" i="275"/>
  <c r="AA845" i="259"/>
  <c r="AA845" i="275" s="1"/>
  <c r="AA839" i="275"/>
  <c r="AA871" i="275"/>
  <c r="AA925" i="259"/>
  <c r="AA1378" i="259"/>
  <c r="AA1379" i="259" s="1"/>
  <c r="AA52" i="259"/>
  <c r="AA52" i="275" s="1"/>
  <c r="AA642" i="275"/>
  <c r="AA40" i="259"/>
  <c r="AA40" i="275" s="1"/>
  <c r="AA38" i="275"/>
  <c r="AA204" i="261"/>
  <c r="AA544" i="275"/>
  <c r="AA492" i="259"/>
  <c r="AA492" i="275" s="1"/>
  <c r="AA512" i="259"/>
  <c r="AA487" i="275"/>
  <c r="AA1510" i="259"/>
  <c r="AA210" i="261" s="1"/>
  <c r="AA1614" i="259"/>
  <c r="AA364" i="259"/>
  <c r="AA363" i="275"/>
  <c r="AA453" i="259"/>
  <c r="AA453" i="275" s="1"/>
  <c r="AA452" i="275"/>
  <c r="AA286" i="259"/>
  <c r="AA285" i="275"/>
  <c r="AA178" i="275"/>
  <c r="AA431" i="259"/>
  <c r="AA431" i="275" s="1"/>
  <c r="AA59" i="275"/>
  <c r="AA820" i="259"/>
  <c r="AA50" i="259"/>
  <c r="AA50" i="275" s="1"/>
  <c r="AA115" i="275"/>
  <c r="AA1505" i="259"/>
  <c r="AA112" i="261" s="1"/>
  <c r="AA1415" i="259"/>
  <c r="AA1427" i="259" s="1"/>
  <c r="AA1426" i="259"/>
  <c r="AA646" i="259"/>
  <c r="AA489" i="259"/>
  <c r="AA500" i="259"/>
  <c r="AA51" i="259"/>
  <c r="AA51" i="275" s="1"/>
  <c r="AA87" i="259"/>
  <c r="AA102" i="259" s="1"/>
  <c r="AA143" i="259"/>
  <c r="AA160" i="259"/>
  <c r="AA160" i="275" s="1"/>
  <c r="AA123" i="259"/>
  <c r="AF2" i="262"/>
  <c r="AG2" i="262"/>
  <c r="AH2" i="262"/>
  <c r="AI2" i="262"/>
  <c r="AF81" i="262"/>
  <c r="AG81" i="262"/>
  <c r="AH81" i="262"/>
  <c r="AI81" i="262"/>
  <c r="AF82" i="262"/>
  <c r="AG82" i="262"/>
  <c r="AH82" i="262"/>
  <c r="AI82" i="262"/>
  <c r="AF270" i="262"/>
  <c r="AG270" i="262"/>
  <c r="AH270" i="262"/>
  <c r="AI270" i="262"/>
  <c r="AF271" i="262"/>
  <c r="AG271" i="262"/>
  <c r="AH271" i="262"/>
  <c r="AI271" i="262"/>
  <c r="AF276" i="262"/>
  <c r="AG276" i="262"/>
  <c r="AH276" i="262"/>
  <c r="AI276" i="262"/>
  <c r="AB188" i="261" l="1"/>
  <c r="AA924" i="275"/>
  <c r="AA1494" i="259"/>
  <c r="AA925" i="275"/>
  <c r="AA926" i="259"/>
  <c r="AA652" i="259"/>
  <c r="AA646" i="275"/>
  <c r="AA69" i="259"/>
  <c r="AA69" i="275" s="1"/>
  <c r="AA500" i="275"/>
  <c r="AA512" i="275"/>
  <c r="AA511" i="259"/>
  <c r="AA511" i="275" s="1"/>
  <c r="AA1607" i="259"/>
  <c r="AA1606" i="259" s="1"/>
  <c r="AA489" i="275"/>
  <c r="AA1613" i="259"/>
  <c r="AA1616" i="259"/>
  <c r="AA501" i="259"/>
  <c r="AA53" i="259"/>
  <c r="AA819" i="259" s="1"/>
  <c r="AA365" i="259"/>
  <c r="AA121" i="261" s="1"/>
  <c r="AA364" i="275"/>
  <c r="AA432" i="259"/>
  <c r="AA432" i="275" s="1"/>
  <c r="AA287" i="259"/>
  <c r="AA120" i="261" s="1"/>
  <c r="AA286" i="275"/>
  <c r="AA68" i="259"/>
  <c r="AA68" i="275" s="1"/>
  <c r="AA123" i="275"/>
  <c r="AA1428" i="259"/>
  <c r="AA1416" i="259"/>
  <c r="AA331" i="261" s="1"/>
  <c r="AA70" i="259"/>
  <c r="AA70" i="275" s="1"/>
  <c r="AA105" i="259"/>
  <c r="AA106" i="259"/>
  <c r="AA104" i="259"/>
  <c r="AA124" i="259"/>
  <c r="AA161" i="259"/>
  <c r="AA119" i="261" s="1"/>
  <c r="BA153" i="264"/>
  <c r="BC153" i="264" s="1"/>
  <c r="BA152" i="264"/>
  <c r="BC152" i="264" s="1"/>
  <c r="BA151" i="264"/>
  <c r="BC151" i="264" s="1"/>
  <c r="BA150" i="264"/>
  <c r="BC150" i="264" s="1"/>
  <c r="BA147" i="264"/>
  <c r="BC147" i="264" s="1"/>
  <c r="BA146" i="264"/>
  <c r="BC146" i="264" s="1"/>
  <c r="BA145" i="264"/>
  <c r="BC145" i="264" s="1"/>
  <c r="BA144" i="264"/>
  <c r="BC144" i="264" s="1"/>
  <c r="BA141" i="264"/>
  <c r="BC141" i="264" s="1"/>
  <c r="BA140" i="264"/>
  <c r="BC140" i="264" s="1"/>
  <c r="BA139" i="264"/>
  <c r="BC139" i="264" s="1"/>
  <c r="BA138" i="264"/>
  <c r="BC138" i="264" s="1"/>
  <c r="BA135" i="264"/>
  <c r="BC135" i="264" s="1"/>
  <c r="BA134" i="264"/>
  <c r="BC134" i="264" s="1"/>
  <c r="BA132" i="264"/>
  <c r="BC132" i="264" s="1"/>
  <c r="BA131" i="264"/>
  <c r="BC131" i="264" s="1"/>
  <c r="BA130" i="264"/>
  <c r="BC130" i="264" s="1"/>
  <c r="BA128" i="264"/>
  <c r="BC128" i="264" s="1"/>
  <c r="BA127" i="264"/>
  <c r="BC127" i="264" s="1"/>
  <c r="BA126" i="264"/>
  <c r="BC126" i="264" s="1"/>
  <c r="BA122" i="264"/>
  <c r="BC122" i="264" s="1"/>
  <c r="BA121" i="264"/>
  <c r="BC121" i="264" s="1"/>
  <c r="BO117" i="264"/>
  <c r="BK117" i="264"/>
  <c r="BG117" i="264"/>
  <c r="BC117" i="264"/>
  <c r="BO116" i="264"/>
  <c r="BK116" i="264"/>
  <c r="BG116" i="264"/>
  <c r="BC116" i="264"/>
  <c r="BA104" i="264"/>
  <c r="BC104" i="264" s="1"/>
  <c r="BA103" i="264"/>
  <c r="BC103" i="264" s="1"/>
  <c r="BA102" i="264"/>
  <c r="BA113" i="264" s="1"/>
  <c r="BC113" i="264" s="1"/>
  <c r="BA101" i="264"/>
  <c r="BA112" i="264" s="1"/>
  <c r="BO99" i="264"/>
  <c r="BK99" i="264"/>
  <c r="BG99" i="264"/>
  <c r="BC99" i="264"/>
  <c r="BO82" i="264"/>
  <c r="BK82" i="264"/>
  <c r="BG82" i="264"/>
  <c r="BC82" i="264"/>
  <c r="BM72" i="264"/>
  <c r="BO72" i="264" s="1"/>
  <c r="BI72" i="264"/>
  <c r="BK72" i="264" s="1"/>
  <c r="BE72" i="264"/>
  <c r="BG72" i="264" s="1"/>
  <c r="BA72" i="264"/>
  <c r="BC72" i="264" s="1"/>
  <c r="BO58" i="264"/>
  <c r="BK58" i="264"/>
  <c r="BG58" i="264"/>
  <c r="BC58" i="264"/>
  <c r="BO37" i="264"/>
  <c r="BK37" i="264"/>
  <c r="BG37" i="264"/>
  <c r="BC37" i="264"/>
  <c r="BO30" i="264"/>
  <c r="BK30" i="264"/>
  <c r="BG30" i="264"/>
  <c r="BC30" i="264"/>
  <c r="BO10" i="264"/>
  <c r="BK10" i="264"/>
  <c r="BG10" i="264"/>
  <c r="BC10" i="264"/>
  <c r="BB1572" i="259"/>
  <c r="BB1567" i="259"/>
  <c r="BB1320" i="259"/>
  <c r="BB1296" i="259"/>
  <c r="BB1295" i="259"/>
  <c r="BB1134" i="259"/>
  <c r="BB1129" i="259"/>
  <c r="BB1126" i="259"/>
  <c r="BB1125" i="259"/>
  <c r="BB742" i="259"/>
  <c r="BB741" i="259"/>
  <c r="BB740" i="259"/>
  <c r="BB19" i="259"/>
  <c r="BB1536" i="259"/>
  <c r="BB1535" i="259"/>
  <c r="BB1534" i="259"/>
  <c r="BB1533" i="259"/>
  <c r="BB1532" i="259"/>
  <c r="BB1527" i="259"/>
  <c r="BB1526" i="259"/>
  <c r="BB1523" i="259"/>
  <c r="BB1522" i="259"/>
  <c r="BB1521" i="259"/>
  <c r="BB1516" i="259"/>
  <c r="BB1515" i="259"/>
  <c r="BB1514" i="259"/>
  <c r="BB1311" i="259"/>
  <c r="BB1310" i="259"/>
  <c r="BB1132" i="259"/>
  <c r="BB995" i="259"/>
  <c r="BB613" i="259"/>
  <c r="BB612" i="259"/>
  <c r="BB611" i="259"/>
  <c r="BB610" i="259"/>
  <c r="BB253" i="259"/>
  <c r="BB252" i="259"/>
  <c r="BB249" i="259"/>
  <c r="BB248" i="259"/>
  <c r="BB240" i="259"/>
  <c r="BB239" i="259"/>
  <c r="BB238" i="259"/>
  <c r="BB205" i="259"/>
  <c r="BB204" i="259"/>
  <c r="BB308" i="259"/>
  <c r="BB1051" i="259"/>
  <c r="BB1052" i="259"/>
  <c r="BB1053" i="259"/>
  <c r="BB1054" i="259"/>
  <c r="BB1424" i="259"/>
  <c r="BB1517" i="259"/>
  <c r="BB1524" i="259"/>
  <c r="BB1600" i="259"/>
  <c r="AF19" i="275"/>
  <c r="AG19" i="275"/>
  <c r="AH19" i="275"/>
  <c r="AI19" i="275"/>
  <c r="AF184" i="275"/>
  <c r="AG184" i="275"/>
  <c r="AH184" i="275"/>
  <c r="AI184" i="275"/>
  <c r="AF185" i="275"/>
  <c r="AG185" i="275"/>
  <c r="AH185" i="275"/>
  <c r="AI185" i="275"/>
  <c r="AF186" i="275"/>
  <c r="AG186" i="275"/>
  <c r="AH186" i="275"/>
  <c r="AI186" i="275"/>
  <c r="AF187" i="275"/>
  <c r="AG187" i="275"/>
  <c r="AH187" i="275"/>
  <c r="AI187" i="275"/>
  <c r="AF192" i="275"/>
  <c r="AG192" i="275"/>
  <c r="AH192" i="275"/>
  <c r="AI192" i="275"/>
  <c r="AF193" i="275"/>
  <c r="AG193" i="275"/>
  <c r="AH193" i="275"/>
  <c r="AI193" i="275"/>
  <c r="AF204" i="275"/>
  <c r="AG204" i="275"/>
  <c r="AH204" i="275"/>
  <c r="AI204" i="275"/>
  <c r="AF205" i="275"/>
  <c r="AG205" i="275"/>
  <c r="AH205" i="275"/>
  <c r="AI205" i="275"/>
  <c r="AF238" i="275"/>
  <c r="AG238" i="275"/>
  <c r="AH238" i="275"/>
  <c r="AI238" i="275"/>
  <c r="AF239" i="275"/>
  <c r="AG239" i="275"/>
  <c r="AH239" i="275"/>
  <c r="AI239" i="275"/>
  <c r="AF240" i="275"/>
  <c r="AG240" i="275"/>
  <c r="AH240" i="275"/>
  <c r="AI240" i="275"/>
  <c r="AF266" i="275"/>
  <c r="AG266" i="275"/>
  <c r="AH266" i="275"/>
  <c r="AI266" i="275"/>
  <c r="AF270" i="275"/>
  <c r="AG270" i="275"/>
  <c r="AH270" i="275"/>
  <c r="AI270" i="275"/>
  <c r="AF306" i="275"/>
  <c r="AG306" i="275"/>
  <c r="AH306" i="275"/>
  <c r="AI306" i="275"/>
  <c r="AF307" i="275"/>
  <c r="AG307" i="275"/>
  <c r="AH307" i="275"/>
  <c r="AI307" i="275"/>
  <c r="AF343" i="275"/>
  <c r="AG343" i="275"/>
  <c r="AH343" i="275"/>
  <c r="AI343" i="275"/>
  <c r="AF347" i="275"/>
  <c r="AG347" i="275"/>
  <c r="AH347" i="275"/>
  <c r="AI347" i="275"/>
  <c r="AF384" i="275"/>
  <c r="AG384" i="275"/>
  <c r="AH384" i="275"/>
  <c r="AI384" i="275"/>
  <c r="AF385" i="275"/>
  <c r="AG385" i="275"/>
  <c r="AH385" i="275"/>
  <c r="AI385" i="275"/>
  <c r="AF421" i="275"/>
  <c r="AG421" i="275"/>
  <c r="AH421" i="275"/>
  <c r="AI421" i="275"/>
  <c r="AF425" i="275"/>
  <c r="AG425" i="275"/>
  <c r="AH425" i="275"/>
  <c r="AI425" i="275"/>
  <c r="AF438" i="275"/>
  <c r="AG438" i="275"/>
  <c r="AH438" i="275"/>
  <c r="AI438" i="275"/>
  <c r="AF439" i="275"/>
  <c r="AG439" i="275"/>
  <c r="AH439" i="275"/>
  <c r="AI439" i="275"/>
  <c r="AF455" i="275"/>
  <c r="AG455" i="275"/>
  <c r="AH455" i="275"/>
  <c r="AI455" i="275"/>
  <c r="AF517" i="275"/>
  <c r="AG517" i="275"/>
  <c r="AH517" i="275"/>
  <c r="AI517" i="275"/>
  <c r="AF518" i="275"/>
  <c r="AG518" i="275"/>
  <c r="AH518" i="275"/>
  <c r="AI518" i="275"/>
  <c r="AF519" i="275"/>
  <c r="AG519" i="275"/>
  <c r="AH519" i="275"/>
  <c r="AI519" i="275"/>
  <c r="AF520" i="275"/>
  <c r="AG520" i="275"/>
  <c r="AH520" i="275"/>
  <c r="AI520" i="275"/>
  <c r="AF521" i="275"/>
  <c r="AG521" i="275"/>
  <c r="AH521" i="275"/>
  <c r="AI521" i="275"/>
  <c r="AF524" i="275"/>
  <c r="AG524" i="275"/>
  <c r="AH524" i="275"/>
  <c r="AI524" i="275"/>
  <c r="AF525" i="275"/>
  <c r="AG525" i="275"/>
  <c r="AH525" i="275"/>
  <c r="AI525" i="275"/>
  <c r="AF529" i="275"/>
  <c r="AG529" i="275"/>
  <c r="AH529" i="275"/>
  <c r="AI529" i="275"/>
  <c r="AF530" i="275"/>
  <c r="AG530" i="275"/>
  <c r="AH530" i="275"/>
  <c r="AI530" i="275"/>
  <c r="AF531" i="275"/>
  <c r="AG531" i="275"/>
  <c r="AH531" i="275"/>
  <c r="AI531" i="275"/>
  <c r="AF532" i="275"/>
  <c r="AG532" i="275"/>
  <c r="AH532" i="275"/>
  <c r="AI532" i="275"/>
  <c r="AF533" i="275"/>
  <c r="AG533" i="275"/>
  <c r="AH533" i="275"/>
  <c r="AI533" i="275"/>
  <c r="AF537" i="275"/>
  <c r="AG537" i="275"/>
  <c r="AH537" i="275"/>
  <c r="AH547" i="275"/>
  <c r="AF557" i="275"/>
  <c r="AH557" i="275"/>
  <c r="AI557" i="275"/>
  <c r="AF574" i="275"/>
  <c r="AG574" i="275"/>
  <c r="AH574" i="275"/>
  <c r="AI574" i="275"/>
  <c r="AF575" i="275"/>
  <c r="AG575" i="275"/>
  <c r="AH575" i="275"/>
  <c r="AI575" i="275"/>
  <c r="AF576" i="275"/>
  <c r="AG576" i="275"/>
  <c r="AH576" i="275"/>
  <c r="AI576" i="275"/>
  <c r="AF577" i="275"/>
  <c r="AG577" i="275"/>
  <c r="AH577" i="275"/>
  <c r="AI577" i="275"/>
  <c r="AF578" i="275"/>
  <c r="AG578" i="275"/>
  <c r="AH578" i="275"/>
  <c r="AI578" i="275"/>
  <c r="AF581" i="275"/>
  <c r="AG581" i="275"/>
  <c r="AH581" i="275"/>
  <c r="AI581" i="275"/>
  <c r="AF585" i="275"/>
  <c r="AG585" i="275"/>
  <c r="AH585" i="275"/>
  <c r="AI585" i="275"/>
  <c r="AF586" i="275"/>
  <c r="AG586" i="275"/>
  <c r="AH586" i="275"/>
  <c r="AI586" i="275"/>
  <c r="AF587" i="275"/>
  <c r="AG587" i="275"/>
  <c r="AH587" i="275"/>
  <c r="AI587" i="275"/>
  <c r="AF588" i="275"/>
  <c r="AG588" i="275"/>
  <c r="AH588" i="275"/>
  <c r="AI588" i="275"/>
  <c r="AF594" i="275"/>
  <c r="AG594" i="275"/>
  <c r="AH594" i="275"/>
  <c r="AI594" i="275"/>
  <c r="AF595" i="275"/>
  <c r="AG595" i="275"/>
  <c r="AH595" i="275"/>
  <c r="AI595" i="275"/>
  <c r="AF596" i="275"/>
  <c r="AG596" i="275"/>
  <c r="AH596" i="275"/>
  <c r="AI596" i="275"/>
  <c r="AF597" i="275"/>
  <c r="AG597" i="275"/>
  <c r="AH597" i="275"/>
  <c r="AI597" i="275"/>
  <c r="AF603" i="275"/>
  <c r="AG603" i="275"/>
  <c r="AH603" i="275"/>
  <c r="AI603" i="275"/>
  <c r="AF604" i="275"/>
  <c r="AG604" i="275"/>
  <c r="AH604" i="275"/>
  <c r="AI604" i="275"/>
  <c r="AF605" i="275"/>
  <c r="AG605" i="275"/>
  <c r="AH605" i="275"/>
  <c r="AI605" i="275"/>
  <c r="AF606" i="275"/>
  <c r="AG606" i="275"/>
  <c r="AH606" i="275"/>
  <c r="AI606" i="275"/>
  <c r="AF610" i="275"/>
  <c r="AG610" i="275"/>
  <c r="AH610" i="275"/>
  <c r="AI610" i="275"/>
  <c r="AF611" i="275"/>
  <c r="AG611" i="275"/>
  <c r="AH611" i="275"/>
  <c r="AI611" i="275"/>
  <c r="AF612" i="275"/>
  <c r="AG612" i="275"/>
  <c r="AH612" i="275"/>
  <c r="AI612" i="275"/>
  <c r="AF613" i="275"/>
  <c r="AG613" i="275"/>
  <c r="AH613" i="275"/>
  <c r="AI613" i="275"/>
  <c r="AF662" i="275"/>
  <c r="AG662" i="275"/>
  <c r="AH662" i="275"/>
  <c r="AI662" i="275"/>
  <c r="AF663" i="275"/>
  <c r="AG663" i="275"/>
  <c r="AH663" i="275"/>
  <c r="AI663" i="275"/>
  <c r="AF664" i="275"/>
  <c r="AG664" i="275"/>
  <c r="AH664" i="275"/>
  <c r="AI664" i="275"/>
  <c r="AF665" i="275"/>
  <c r="AG665" i="275"/>
  <c r="AH665" i="275"/>
  <c r="AI665" i="275"/>
  <c r="AF666" i="275"/>
  <c r="AG666" i="275"/>
  <c r="AH666" i="275"/>
  <c r="AI666" i="275"/>
  <c r="AF679" i="275"/>
  <c r="AG679" i="275"/>
  <c r="AH679" i="275"/>
  <c r="AI679" i="275"/>
  <c r="AF680" i="275"/>
  <c r="AG680" i="275"/>
  <c r="AH680" i="275"/>
  <c r="AI680" i="275"/>
  <c r="AF716" i="275"/>
  <c r="AG716" i="275"/>
  <c r="AH716" i="275"/>
  <c r="AI716" i="275"/>
  <c r="AF717" i="275"/>
  <c r="AG717" i="275"/>
  <c r="AH717" i="275"/>
  <c r="AI717" i="275"/>
  <c r="AF718" i="275"/>
  <c r="AG718" i="275"/>
  <c r="AH718" i="275"/>
  <c r="AI718" i="275"/>
  <c r="AF719" i="275"/>
  <c r="AG719" i="275"/>
  <c r="AH719" i="275"/>
  <c r="AI719" i="275"/>
  <c r="AF720" i="275"/>
  <c r="AG720" i="275"/>
  <c r="AH720" i="275"/>
  <c r="AI720" i="275"/>
  <c r="AF722" i="275"/>
  <c r="AG722" i="275"/>
  <c r="AH722" i="275"/>
  <c r="AI722" i="275"/>
  <c r="AG723" i="275"/>
  <c r="AH723" i="275"/>
  <c r="AI723" i="275"/>
  <c r="AF740" i="275"/>
  <c r="AG740" i="275"/>
  <c r="AH740" i="275"/>
  <c r="AI740" i="275"/>
  <c r="AF741" i="275"/>
  <c r="AG741" i="275"/>
  <c r="AH741" i="275"/>
  <c r="AI741" i="275"/>
  <c r="AF742" i="275"/>
  <c r="AG742" i="275"/>
  <c r="AH742" i="275"/>
  <c r="AI742" i="275"/>
  <c r="AF749" i="275"/>
  <c r="AG749" i="275"/>
  <c r="AH749" i="275"/>
  <c r="AI749" i="275"/>
  <c r="AF750" i="275"/>
  <c r="AG750" i="275"/>
  <c r="AH750" i="275"/>
  <c r="AI750" i="275"/>
  <c r="AF758" i="275"/>
  <c r="AG758" i="275"/>
  <c r="AH758" i="275"/>
  <c r="AI758" i="275"/>
  <c r="AF759" i="275"/>
  <c r="AG759" i="275"/>
  <c r="AH759" i="275"/>
  <c r="AI759" i="275"/>
  <c r="AF760" i="275"/>
  <c r="AG760" i="275"/>
  <c r="AH760" i="275"/>
  <c r="AI760" i="275"/>
  <c r="AF761" i="275"/>
  <c r="AG761" i="275"/>
  <c r="AH761" i="275"/>
  <c r="AI761" i="275"/>
  <c r="AF762" i="275"/>
  <c r="AG762" i="275"/>
  <c r="AH762" i="275"/>
  <c r="AI762" i="275"/>
  <c r="AF763" i="275"/>
  <c r="AG763" i="275"/>
  <c r="AH763" i="275"/>
  <c r="AI763" i="275"/>
  <c r="AF764" i="275"/>
  <c r="AG764" i="275"/>
  <c r="AH764" i="275"/>
  <c r="AI764" i="275"/>
  <c r="AF774" i="275"/>
  <c r="AG774" i="275"/>
  <c r="AH774" i="275"/>
  <c r="AI774" i="275"/>
  <c r="AF775" i="275"/>
  <c r="AG775" i="275"/>
  <c r="AH775" i="275"/>
  <c r="AI775" i="275"/>
  <c r="AF776" i="275"/>
  <c r="AG776" i="275"/>
  <c r="AH776" i="275"/>
  <c r="AI776" i="275"/>
  <c r="AF777" i="275"/>
  <c r="AG777" i="275"/>
  <c r="AH777" i="275"/>
  <c r="AI777" i="275"/>
  <c r="AF934" i="275"/>
  <c r="AG934" i="275"/>
  <c r="AH934" i="275"/>
  <c r="AI934" i="275"/>
  <c r="AF935" i="275"/>
  <c r="AG935" i="275"/>
  <c r="AH935" i="275"/>
  <c r="AI935" i="275"/>
  <c r="AF936" i="275"/>
  <c r="AG936" i="275"/>
  <c r="AH936" i="275"/>
  <c r="AI936" i="275"/>
  <c r="AF940" i="275"/>
  <c r="AG940" i="275"/>
  <c r="AH940" i="275"/>
  <c r="AI940" i="275"/>
  <c r="AF941" i="275"/>
  <c r="AG941" i="275"/>
  <c r="AH941" i="275"/>
  <c r="AI941" i="275"/>
  <c r="AF942" i="275"/>
  <c r="AG942" i="275"/>
  <c r="AH942" i="275"/>
  <c r="AI942" i="275"/>
  <c r="AF943" i="275"/>
  <c r="AG943" i="275"/>
  <c r="AH943" i="275"/>
  <c r="AI943" i="275"/>
  <c r="AF995" i="275"/>
  <c r="AG995" i="275"/>
  <c r="AH995" i="275"/>
  <c r="AI995" i="275"/>
  <c r="AF1002" i="275"/>
  <c r="AG1002" i="275"/>
  <c r="AH1002" i="275"/>
  <c r="AI1002" i="275"/>
  <c r="AF1003" i="275"/>
  <c r="AG1003" i="275"/>
  <c r="AH1003" i="275"/>
  <c r="AI1003" i="275"/>
  <c r="AF1004" i="275"/>
  <c r="AG1004" i="275"/>
  <c r="AH1004" i="275"/>
  <c r="AI1004" i="275"/>
  <c r="AF1005" i="275"/>
  <c r="AG1005" i="275"/>
  <c r="AH1005" i="275"/>
  <c r="AI1005" i="275"/>
  <c r="AF2" i="261"/>
  <c r="AG2" i="261"/>
  <c r="AH2" i="261"/>
  <c r="AI2" i="261"/>
  <c r="AH200" i="259"/>
  <c r="AI200" i="259"/>
  <c r="AF1" i="262"/>
  <c r="AF4" i="262" s="1"/>
  <c r="AG1" i="262"/>
  <c r="AG4" i="262" s="1"/>
  <c r="AH1" i="262"/>
  <c r="AH4" i="262" s="1"/>
  <c r="AI1" i="262"/>
  <c r="AI4" i="262" s="1"/>
  <c r="AF11" i="259"/>
  <c r="AF794" i="259" s="1"/>
  <c r="AG11" i="259"/>
  <c r="AH11" i="259"/>
  <c r="AH794" i="259" s="1"/>
  <c r="AH103" i="262" s="1"/>
  <c r="AI11" i="259"/>
  <c r="AF16" i="259"/>
  <c r="AF799" i="259" s="1"/>
  <c r="AG16" i="259"/>
  <c r="AG799" i="259" s="1"/>
  <c r="AG107" i="262" s="1"/>
  <c r="AH16" i="259"/>
  <c r="AH799" i="259" s="1"/>
  <c r="AH107" i="262" s="1"/>
  <c r="AI16" i="259"/>
  <c r="AI799" i="259" s="1"/>
  <c r="AF18" i="259"/>
  <c r="AG18" i="259"/>
  <c r="AH18" i="259"/>
  <c r="AI18" i="259"/>
  <c r="AF74" i="259"/>
  <c r="AG74" i="259"/>
  <c r="AH74" i="259"/>
  <c r="AI74" i="259"/>
  <c r="AF75" i="259"/>
  <c r="AG75" i="259"/>
  <c r="AH75" i="259"/>
  <c r="AI75" i="259"/>
  <c r="AF76" i="259"/>
  <c r="AG76" i="259"/>
  <c r="AH76" i="259"/>
  <c r="AI76" i="259"/>
  <c r="AF161" i="259"/>
  <c r="AG161" i="259"/>
  <c r="AH161" i="259"/>
  <c r="AI161" i="259"/>
  <c r="AF197" i="259"/>
  <c r="AG197" i="259"/>
  <c r="AH197" i="259"/>
  <c r="AI197" i="259"/>
  <c r="AG200" i="259"/>
  <c r="AF201" i="259"/>
  <c r="AG201" i="259"/>
  <c r="AH201" i="259"/>
  <c r="AI201" i="259"/>
  <c r="AF208" i="259"/>
  <c r="AF62" i="262" s="1"/>
  <c r="AG208" i="259"/>
  <c r="AH208" i="259"/>
  <c r="AH62" i="262" s="1"/>
  <c r="AI208" i="259"/>
  <c r="AF256" i="259"/>
  <c r="AG256" i="259"/>
  <c r="AH256" i="259"/>
  <c r="AI256" i="259"/>
  <c r="AF257" i="259"/>
  <c r="AG257" i="259"/>
  <c r="AH257" i="259"/>
  <c r="AI257" i="259"/>
  <c r="AF258" i="259"/>
  <c r="AG258" i="259"/>
  <c r="AH258" i="259"/>
  <c r="AI258" i="259"/>
  <c r="AF261" i="259"/>
  <c r="AG261" i="259"/>
  <c r="AH261" i="259"/>
  <c r="AI261" i="259"/>
  <c r="AF262" i="259"/>
  <c r="AG262" i="259"/>
  <c r="AH262" i="259"/>
  <c r="AI262" i="259"/>
  <c r="AF263" i="259"/>
  <c r="AG263" i="259"/>
  <c r="AH263" i="259"/>
  <c r="AI263" i="259"/>
  <c r="AF287" i="259"/>
  <c r="AG287" i="259"/>
  <c r="AH287" i="259"/>
  <c r="AI287" i="259"/>
  <c r="AF311" i="259"/>
  <c r="AG311" i="259"/>
  <c r="AH311" i="259"/>
  <c r="AI311" i="259"/>
  <c r="AF316" i="259"/>
  <c r="AG316" i="259"/>
  <c r="AH316" i="259"/>
  <c r="AI316" i="259"/>
  <c r="AF319" i="259"/>
  <c r="AG319" i="259"/>
  <c r="AH319" i="259"/>
  <c r="AI319" i="259"/>
  <c r="AF320" i="259"/>
  <c r="AG320" i="259"/>
  <c r="AH320" i="259"/>
  <c r="AI320" i="259"/>
  <c r="AF365" i="259"/>
  <c r="AG365" i="259"/>
  <c r="AH365" i="259"/>
  <c r="AI365" i="259"/>
  <c r="AF389" i="259"/>
  <c r="AG389" i="259"/>
  <c r="AH389" i="259"/>
  <c r="AI389" i="259"/>
  <c r="AF394" i="259"/>
  <c r="AG394" i="259"/>
  <c r="AH394" i="259"/>
  <c r="AI394" i="259"/>
  <c r="AF397" i="259"/>
  <c r="AG397" i="259"/>
  <c r="AH397" i="259"/>
  <c r="AI397" i="259"/>
  <c r="AF398" i="259"/>
  <c r="AG398" i="259"/>
  <c r="AH398" i="259"/>
  <c r="AI398" i="259"/>
  <c r="AF478" i="259"/>
  <c r="AG478" i="259"/>
  <c r="AG40" i="262" s="1"/>
  <c r="AH478" i="259"/>
  <c r="AH40" i="262" s="1"/>
  <c r="AI478" i="259"/>
  <c r="AF488" i="259"/>
  <c r="AG488" i="259"/>
  <c r="AH488" i="259"/>
  <c r="AI488" i="259"/>
  <c r="AF502" i="259"/>
  <c r="AG502" i="259"/>
  <c r="AH502" i="259"/>
  <c r="AI502" i="259"/>
  <c r="AF505" i="259"/>
  <c r="AG505" i="259"/>
  <c r="AH505" i="259"/>
  <c r="AI505" i="259"/>
  <c r="AF514" i="259"/>
  <c r="AF1085" i="259" s="1"/>
  <c r="AG514" i="259"/>
  <c r="AG1085" i="259" s="1"/>
  <c r="AH514" i="259"/>
  <c r="AH1085" i="259" s="1"/>
  <c r="AI514" i="259"/>
  <c r="AI1085" i="259" s="1"/>
  <c r="AF539" i="259"/>
  <c r="AG539" i="259"/>
  <c r="AH539" i="259"/>
  <c r="AI539" i="259"/>
  <c r="AF542" i="259"/>
  <c r="AG542" i="259"/>
  <c r="AH542" i="259"/>
  <c r="AI542" i="259"/>
  <c r="AF549" i="259"/>
  <c r="AG549" i="259"/>
  <c r="AG20" i="262" s="1"/>
  <c r="AH549" i="259"/>
  <c r="AI549" i="259"/>
  <c r="AI20" i="262" s="1"/>
  <c r="AF552" i="259"/>
  <c r="AF25" i="262" s="1"/>
  <c r="AG552" i="259"/>
  <c r="AG25" i="262" s="1"/>
  <c r="AH552" i="259"/>
  <c r="AH25" i="262" s="1"/>
  <c r="AI552" i="259"/>
  <c r="AI25" i="262" s="1"/>
  <c r="AF559" i="259"/>
  <c r="AG559" i="259"/>
  <c r="AH559" i="259"/>
  <c r="AI559" i="259"/>
  <c r="AF562" i="259"/>
  <c r="AF26" i="262" s="1"/>
  <c r="AG562" i="259"/>
  <c r="AG26" i="262" s="1"/>
  <c r="AH562" i="259"/>
  <c r="AH26" i="262" s="1"/>
  <c r="AI562" i="259"/>
  <c r="AI26" i="262" s="1"/>
  <c r="AF590" i="259"/>
  <c r="AG590" i="259"/>
  <c r="AH590" i="259"/>
  <c r="AI590" i="259"/>
  <c r="AF599" i="259"/>
  <c r="AG599" i="259"/>
  <c r="AH599" i="259"/>
  <c r="AI599" i="259"/>
  <c r="AF676" i="259"/>
  <c r="AG676" i="259"/>
  <c r="AH676" i="259"/>
  <c r="AI676" i="259"/>
  <c r="AF683" i="259"/>
  <c r="AG683" i="259"/>
  <c r="AH683" i="259"/>
  <c r="AI683" i="259"/>
  <c r="AF768" i="259"/>
  <c r="AG768" i="259"/>
  <c r="AH768" i="259"/>
  <c r="AI768" i="259"/>
  <c r="AG794" i="259"/>
  <c r="AG103" i="262" s="1"/>
  <c r="AI794" i="259"/>
  <c r="AF801" i="259"/>
  <c r="AG801" i="259"/>
  <c r="AH801" i="259"/>
  <c r="AI801" i="259"/>
  <c r="AF802" i="259"/>
  <c r="AF110" i="262" s="1"/>
  <c r="AG802" i="259"/>
  <c r="AG110" i="262" s="1"/>
  <c r="AH802" i="259"/>
  <c r="AH110" i="262" s="1"/>
  <c r="AI802" i="259"/>
  <c r="AI110" i="262" s="1"/>
  <c r="AF1051" i="259"/>
  <c r="AG1051" i="259"/>
  <c r="AH1051" i="259"/>
  <c r="AI1051" i="259"/>
  <c r="AF1052" i="259"/>
  <c r="AG1052" i="259"/>
  <c r="AH1052" i="259"/>
  <c r="AI1052" i="259"/>
  <c r="AF1053" i="259"/>
  <c r="AG1053" i="259"/>
  <c r="AH1053" i="259"/>
  <c r="AI1053" i="259"/>
  <c r="AF1054" i="259"/>
  <c r="AG1054" i="259"/>
  <c r="AH1054" i="259"/>
  <c r="AI1054" i="259"/>
  <c r="AF1078" i="259"/>
  <c r="AG1078" i="259"/>
  <c r="AH1078" i="259"/>
  <c r="AI1078" i="259"/>
  <c r="AF1079" i="259"/>
  <c r="AG1079" i="259"/>
  <c r="AH1079" i="259"/>
  <c r="AI1079" i="259"/>
  <c r="AF1185" i="259"/>
  <c r="AG1185" i="259"/>
  <c r="AH1185" i="259"/>
  <c r="AI1185" i="259"/>
  <c r="AF1202" i="259"/>
  <c r="AG1202" i="259"/>
  <c r="AH1202" i="259"/>
  <c r="AI1202" i="259"/>
  <c r="AF1215" i="259"/>
  <c r="AG1215" i="259"/>
  <c r="AH1215" i="259"/>
  <c r="AI1215" i="259"/>
  <c r="AF1232" i="259"/>
  <c r="AG1232" i="259"/>
  <c r="AH1232" i="259"/>
  <c r="AI1232" i="259"/>
  <c r="AF1237" i="259"/>
  <c r="AG1237" i="259"/>
  <c r="AH1237" i="259"/>
  <c r="AI1237" i="259"/>
  <c r="AF1247" i="259"/>
  <c r="AG1247" i="259"/>
  <c r="AH1247" i="259"/>
  <c r="AI1247" i="259"/>
  <c r="AF1248" i="259"/>
  <c r="AF1683" i="259" s="1"/>
  <c r="AG1248" i="259"/>
  <c r="AG1683" i="259" s="1"/>
  <c r="AH1248" i="259"/>
  <c r="AI1248" i="259"/>
  <c r="AI1683" i="259" s="1"/>
  <c r="AF1249" i="259"/>
  <c r="AG1249" i="259"/>
  <c r="AG1263" i="259" s="1"/>
  <c r="AG155" i="262" s="1"/>
  <c r="AH1249" i="259"/>
  <c r="AH1263" i="259" s="1"/>
  <c r="AH155" i="262" s="1"/>
  <c r="AI1249" i="259"/>
  <c r="AI1263" i="259" s="1"/>
  <c r="AI155" i="262" s="1"/>
  <c r="AF1253" i="259"/>
  <c r="AG1253" i="259"/>
  <c r="AH1253" i="259"/>
  <c r="AI1253" i="259"/>
  <c r="AF1254" i="259"/>
  <c r="AG1254" i="259"/>
  <c r="AH1254" i="259"/>
  <c r="AI1254" i="259"/>
  <c r="AF1258" i="259"/>
  <c r="AG1258" i="259"/>
  <c r="AH1258" i="259"/>
  <c r="AI1258" i="259"/>
  <c r="AF1259" i="259"/>
  <c r="AG1259" i="259"/>
  <c r="AH1259" i="259"/>
  <c r="AI1259" i="259"/>
  <c r="AF1269" i="259"/>
  <c r="AG1269" i="259"/>
  <c r="AH1269" i="259"/>
  <c r="AI1269" i="259"/>
  <c r="AF1271" i="259"/>
  <c r="AF152" i="262" s="1"/>
  <c r="AG1271" i="259"/>
  <c r="AG152" i="262" s="1"/>
  <c r="AH1271" i="259"/>
  <c r="AH152" i="262" s="1"/>
  <c r="AI1271" i="259"/>
  <c r="AI152" i="262" s="1"/>
  <c r="AF1283" i="259"/>
  <c r="AF269" i="262" s="1"/>
  <c r="AG1283" i="259"/>
  <c r="AG269" i="262" s="1"/>
  <c r="AH1283" i="259"/>
  <c r="AH269" i="262" s="1"/>
  <c r="AI1283" i="259"/>
  <c r="AI269" i="262" s="1"/>
  <c r="AF1330" i="259"/>
  <c r="AG1330" i="259"/>
  <c r="AG234" i="262" s="1"/>
  <c r="AH1330" i="259"/>
  <c r="AI1330" i="259"/>
  <c r="AI234" i="262" s="1"/>
  <c r="AF1439" i="259"/>
  <c r="AG1439" i="259"/>
  <c r="AH1439" i="259"/>
  <c r="AI1439" i="259"/>
  <c r="AF1442" i="259"/>
  <c r="AG1442" i="259"/>
  <c r="AH1442" i="259"/>
  <c r="AI1442" i="259"/>
  <c r="AF1498" i="259"/>
  <c r="AF162" i="262" s="1"/>
  <c r="AG1498" i="259"/>
  <c r="AG162" i="262" s="1"/>
  <c r="AH1498" i="259"/>
  <c r="AH162" i="262" s="1"/>
  <c r="AI1498" i="259"/>
  <c r="AI162" i="262" s="1"/>
  <c r="AF1524" i="259"/>
  <c r="AG1524" i="259"/>
  <c r="AH1524" i="259"/>
  <c r="AI1524" i="259"/>
  <c r="AF1568" i="259"/>
  <c r="AF641" i="259" s="1"/>
  <c r="AG1568" i="259"/>
  <c r="AG641" i="259" s="1"/>
  <c r="AH1568" i="259"/>
  <c r="AH641" i="259" s="1"/>
  <c r="AI1568" i="259"/>
  <c r="AI641" i="259" s="1"/>
  <c r="AF1573" i="259"/>
  <c r="AF657" i="259" s="1"/>
  <c r="AG1573" i="259"/>
  <c r="AG657" i="259" s="1"/>
  <c r="AH1573" i="259"/>
  <c r="AH657" i="259" s="1"/>
  <c r="AI1573" i="259"/>
  <c r="AI657" i="259" s="1"/>
  <c r="AF1581" i="259"/>
  <c r="AG1581" i="259"/>
  <c r="AG274" i="262" s="1"/>
  <c r="AH1581" i="259"/>
  <c r="AH274" i="262" s="1"/>
  <c r="AI1581" i="259"/>
  <c r="AI274" i="262" s="1"/>
  <c r="AF1588" i="259"/>
  <c r="AG1588" i="259"/>
  <c r="AH1588" i="259"/>
  <c r="AI1588" i="259"/>
  <c r="AF1600" i="259"/>
  <c r="AG1600" i="259"/>
  <c r="AH1600" i="259"/>
  <c r="AI1600" i="259"/>
  <c r="AH1683" i="259"/>
  <c r="AH1684" i="259"/>
  <c r="AA926" i="275" l="1"/>
  <c r="AA913" i="259"/>
  <c r="AA913" i="275" s="1"/>
  <c r="AA653" i="259"/>
  <c r="AA652" i="275"/>
  <c r="AA53" i="275"/>
  <c r="AA1633" i="259"/>
  <c r="AA1619" i="259"/>
  <c r="AA502" i="259"/>
  <c r="AA501" i="275"/>
  <c r="AA1620" i="259"/>
  <c r="AA71" i="259"/>
  <c r="AA71" i="275" s="1"/>
  <c r="AA1431" i="259"/>
  <c r="AA335" i="261"/>
  <c r="AA125" i="259"/>
  <c r="AA118" i="261" s="1"/>
  <c r="AA124" i="275"/>
  <c r="AF200" i="259"/>
  <c r="AF202" i="259" s="1"/>
  <c r="AF60" i="262" s="1"/>
  <c r="BB101" i="261"/>
  <c r="AI537" i="275"/>
  <c r="AF547" i="275"/>
  <c r="AG557" i="275"/>
  <c r="BB505" i="259"/>
  <c r="AG202" i="259"/>
  <c r="AG60" i="262" s="1"/>
  <c r="BB537" i="259"/>
  <c r="BB547" i="259"/>
  <c r="BB557" i="259"/>
  <c r="BB488" i="259"/>
  <c r="BB18" i="259"/>
  <c r="AI1684" i="259"/>
  <c r="BB641" i="259"/>
  <c r="BB1573" i="259"/>
  <c r="BB1574" i="259" s="1"/>
  <c r="BB801" i="259" s="1"/>
  <c r="BB657" i="259"/>
  <c r="BB768" i="259"/>
  <c r="AG1684" i="259"/>
  <c r="BB802" i="259"/>
  <c r="BB1568" i="259"/>
  <c r="BB1569" i="259" s="1"/>
  <c r="AI547" i="275"/>
  <c r="AH202" i="259"/>
  <c r="AH103" i="261" s="1"/>
  <c r="AI202" i="259"/>
  <c r="AI60" i="262" s="1"/>
  <c r="AF151" i="262"/>
  <c r="AF264" i="262"/>
  <c r="AH264" i="262"/>
  <c r="AH151" i="262"/>
  <c r="AH558" i="259"/>
  <c r="AH10" i="262" s="1"/>
  <c r="AH21" i="262"/>
  <c r="AH548" i="259"/>
  <c r="AH20" i="262"/>
  <c r="AH24" i="262"/>
  <c r="AH538" i="259"/>
  <c r="AH19" i="262"/>
  <c r="BB16" i="259"/>
  <c r="BB293" i="261" s="1"/>
  <c r="AF274" i="262"/>
  <c r="BB1581" i="259"/>
  <c r="BB296" i="261" s="1"/>
  <c r="BB1330" i="259"/>
  <c r="BB314" i="261" s="1"/>
  <c r="AH234" i="262"/>
  <c r="AG151" i="262"/>
  <c r="AG264" i="262"/>
  <c r="AG558" i="259"/>
  <c r="AG10" i="262" s="1"/>
  <c r="AG21" i="262"/>
  <c r="AG24" i="262"/>
  <c r="AG538" i="259"/>
  <c r="AG8" i="262" s="1"/>
  <c r="AG19" i="262"/>
  <c r="AF107" i="262"/>
  <c r="AF103" i="262"/>
  <c r="AF558" i="259"/>
  <c r="AF10" i="262" s="1"/>
  <c r="AF21" i="262"/>
  <c r="AF548" i="259"/>
  <c r="AF20" i="262"/>
  <c r="AF24" i="262"/>
  <c r="AF538" i="259"/>
  <c r="AF8" i="262" s="1"/>
  <c r="AF19" i="262"/>
  <c r="AF40" i="262"/>
  <c r="BB478" i="259"/>
  <c r="BB153" i="261" s="1"/>
  <c r="BB11" i="259"/>
  <c r="BB794" i="259"/>
  <c r="AF234" i="262"/>
  <c r="AI264" i="262"/>
  <c r="AI151" i="262"/>
  <c r="AI107" i="262"/>
  <c r="AI103" i="262"/>
  <c r="AI558" i="259"/>
  <c r="AI10" i="262" s="1"/>
  <c r="AI21" i="262"/>
  <c r="AI24" i="262"/>
  <c r="AI538" i="259"/>
  <c r="AI8" i="262" s="1"/>
  <c r="AI19" i="262"/>
  <c r="AI40" i="262"/>
  <c r="AG62" i="262"/>
  <c r="BB799" i="259"/>
  <c r="AI62" i="262"/>
  <c r="AI548" i="259"/>
  <c r="AI9" i="262" s="1"/>
  <c r="AG548" i="259"/>
  <c r="AG9" i="262" s="1"/>
  <c r="AG547" i="275"/>
  <c r="AF1263" i="259"/>
  <c r="AF155" i="262" s="1"/>
  <c r="AF1684" i="259"/>
  <c r="BA114" i="264"/>
  <c r="BC114" i="264" s="1"/>
  <c r="BC112" i="264"/>
  <c r="BC101" i="264"/>
  <c r="BC102" i="264"/>
  <c r="BA105" i="264"/>
  <c r="BA110" i="264"/>
  <c r="BC110" i="264" s="1"/>
  <c r="AA653" i="275" l="1"/>
  <c r="AA654" i="259"/>
  <c r="AA1621" i="259"/>
  <c r="AA213" i="261"/>
  <c r="AA502" i="275"/>
  <c r="AA1623" i="259"/>
  <c r="BB289" i="261"/>
  <c r="I30" i="272"/>
  <c r="BB200" i="259"/>
  <c r="AG103" i="261"/>
  <c r="AG207" i="259"/>
  <c r="AG61" i="262" s="1"/>
  <c r="AI561" i="259"/>
  <c r="AI15" i="262" s="1"/>
  <c r="AI103" i="261"/>
  <c r="AH207" i="259"/>
  <c r="AH61" i="262" s="1"/>
  <c r="AH60" i="262"/>
  <c r="AI541" i="259"/>
  <c r="AI13" i="262" s="1"/>
  <c r="AG551" i="259"/>
  <c r="AG14" i="262" s="1"/>
  <c r="BB202" i="259"/>
  <c r="AF207" i="259"/>
  <c r="AF61" i="262" s="1"/>
  <c r="AH561" i="259"/>
  <c r="AH471" i="259" s="1"/>
  <c r="AF561" i="259"/>
  <c r="AF15" i="262" s="1"/>
  <c r="AG541" i="259"/>
  <c r="AG13" i="262" s="1"/>
  <c r="AI207" i="259"/>
  <c r="AI61" i="262" s="1"/>
  <c r="AI551" i="259"/>
  <c r="AG561" i="259"/>
  <c r="BB558" i="259"/>
  <c r="BB559" i="259" s="1"/>
  <c r="BB190" i="261" s="1"/>
  <c r="AF103" i="261"/>
  <c r="AH8" i="262"/>
  <c r="AH541" i="259"/>
  <c r="AH13" i="262" s="1"/>
  <c r="AF541" i="259"/>
  <c r="BB538" i="259"/>
  <c r="BB539" i="259" s="1"/>
  <c r="BB188" i="261" s="1"/>
  <c r="AF9" i="262"/>
  <c r="AF551" i="259"/>
  <c r="AG553" i="259" s="1"/>
  <c r="AG199" i="261" s="1"/>
  <c r="AH9" i="262"/>
  <c r="AH551" i="259"/>
  <c r="AH470" i="259" s="1"/>
  <c r="BB548" i="259"/>
  <c r="BB549" i="259" s="1"/>
  <c r="BB189" i="261" s="1"/>
  <c r="BC105" i="264"/>
  <c r="AA654" i="275" l="1"/>
  <c r="AA247" i="261"/>
  <c r="BB201" i="259"/>
  <c r="BB103" i="261"/>
  <c r="AG543" i="259"/>
  <c r="AG198" i="261" s="1"/>
  <c r="AI469" i="259"/>
  <c r="AI471" i="259"/>
  <c r="AG470" i="259"/>
  <c r="AI563" i="259"/>
  <c r="AI200" i="261" s="1"/>
  <c r="AH15" i="262"/>
  <c r="AH563" i="259"/>
  <c r="AH200" i="261" s="1"/>
  <c r="BB561" i="259"/>
  <c r="BB562" i="259" s="1"/>
  <c r="BB195" i="261" s="1"/>
  <c r="AF471" i="259"/>
  <c r="AG469" i="259"/>
  <c r="BB207" i="259"/>
  <c r="BB208" i="259" s="1"/>
  <c r="BB105" i="261" s="1"/>
  <c r="AI14" i="262"/>
  <c r="AI470" i="259"/>
  <c r="BB551" i="259"/>
  <c r="BB552" i="259" s="1"/>
  <c r="BB194" i="261" s="1"/>
  <c r="AG15" i="262"/>
  <c r="AG471" i="259"/>
  <c r="AG563" i="259"/>
  <c r="AG200" i="261" s="1"/>
  <c r="BB541" i="259"/>
  <c r="BB542" i="259" s="1"/>
  <c r="BB193" i="261" s="1"/>
  <c r="AI543" i="259"/>
  <c r="AI198" i="261" s="1"/>
  <c r="AH14" i="262"/>
  <c r="AH553" i="259"/>
  <c r="AH199" i="261" s="1"/>
  <c r="AI553" i="259"/>
  <c r="AI199" i="261" s="1"/>
  <c r="AH469" i="259"/>
  <c r="AH472" i="259" s="1"/>
  <c r="AH543" i="259"/>
  <c r="AH198" i="261" s="1"/>
  <c r="AF14" i="262"/>
  <c r="AF470" i="259"/>
  <c r="AF13" i="262"/>
  <c r="AF469" i="259"/>
  <c r="AI472" i="259" l="1"/>
  <c r="BB471" i="259"/>
  <c r="BB470" i="259"/>
  <c r="AG472" i="259"/>
  <c r="AH567" i="259" s="1"/>
  <c r="AH201" i="261" s="1"/>
  <c r="AH16" i="262"/>
  <c r="AH1612" i="259"/>
  <c r="AH1605" i="259" s="1"/>
  <c r="BB469" i="259"/>
  <c r="AF472" i="259"/>
  <c r="AI16" i="262" l="1"/>
  <c r="AI1612" i="259"/>
  <c r="AI1605" i="259" s="1"/>
  <c r="AI567" i="259"/>
  <c r="AI201" i="261" s="1"/>
  <c r="BB472" i="259"/>
  <c r="BB1612" i="259" s="1"/>
  <c r="AG1612" i="259"/>
  <c r="AG1605" i="259" s="1"/>
  <c r="AG16" i="262"/>
  <c r="AF16" i="262"/>
  <c r="AF1612" i="259"/>
  <c r="AF1605" i="259" s="1"/>
  <c r="AG567" i="259"/>
  <c r="AG201" i="261" s="1"/>
  <c r="BB1605" i="259" l="1"/>
  <c r="BE18" i="259" l="1"/>
  <c r="BD18" i="259"/>
  <c r="BC18" i="259"/>
  <c r="BE1600" i="259"/>
  <c r="BD1600" i="259"/>
  <c r="BC1600" i="259"/>
  <c r="BA1600" i="259"/>
  <c r="AZ1600" i="259"/>
  <c r="AU1600" i="259"/>
  <c r="E1600" i="259"/>
  <c r="F1600" i="259"/>
  <c r="G1600" i="259"/>
  <c r="H1600" i="259"/>
  <c r="I1600" i="259"/>
  <c r="J1600" i="259"/>
  <c r="K1600" i="259"/>
  <c r="L1600" i="259"/>
  <c r="M1600" i="259"/>
  <c r="N1600" i="259"/>
  <c r="O1600" i="259"/>
  <c r="P1600" i="259"/>
  <c r="Q1600" i="259"/>
  <c r="R1600" i="259"/>
  <c r="S1600" i="259"/>
  <c r="T1600" i="259"/>
  <c r="U1600" i="259"/>
  <c r="V1600" i="259"/>
  <c r="W1600" i="259"/>
  <c r="X1600" i="259"/>
  <c r="Y1600" i="259"/>
  <c r="Z1600" i="259"/>
  <c r="AA1600" i="259"/>
  <c r="AB1600" i="259"/>
  <c r="AC1600" i="259"/>
  <c r="AD1600" i="259"/>
  <c r="AE1600" i="259"/>
  <c r="D1600" i="259"/>
  <c r="BE559" i="259"/>
  <c r="BD559" i="259"/>
  <c r="BC559" i="259"/>
  <c r="BE14" i="277" l="1"/>
  <c r="BE1588" i="259"/>
  <c r="BE1581" i="259"/>
  <c r="BE274" i="262" s="1"/>
  <c r="BE1574" i="259"/>
  <c r="BE1569" i="259"/>
  <c r="BE768" i="259" s="1"/>
  <c r="BE1524" i="259"/>
  <c r="BE1498" i="259"/>
  <c r="BE162" i="262" s="1"/>
  <c r="BE1442" i="259"/>
  <c r="BE1439" i="259"/>
  <c r="BE1330" i="259"/>
  <c r="BE234" i="262" s="1"/>
  <c r="BE1283" i="259"/>
  <c r="BE269" i="262" s="1"/>
  <c r="BE1271" i="259"/>
  <c r="BE152" i="262" s="1"/>
  <c r="BE1269" i="259"/>
  <c r="BE151" i="262" s="1"/>
  <c r="BE1259" i="259"/>
  <c r="BE1258" i="259"/>
  <c r="BE1254" i="259"/>
  <c r="BE1253" i="259"/>
  <c r="BE1249" i="259"/>
  <c r="BE1684" i="259" s="1"/>
  <c r="BE1248" i="259"/>
  <c r="BE1683" i="259" s="1"/>
  <c r="BE1247" i="259"/>
  <c r="BE1237" i="259"/>
  <c r="BE1232" i="259"/>
  <c r="BE1215" i="259"/>
  <c r="BE1202" i="259"/>
  <c r="BE1185" i="259"/>
  <c r="BE1079" i="259"/>
  <c r="BE1078" i="259"/>
  <c r="BE1054" i="259"/>
  <c r="BE1053" i="259"/>
  <c r="BE1052" i="259"/>
  <c r="BE1051" i="259"/>
  <c r="BE801" i="259"/>
  <c r="BE742" i="259"/>
  <c r="BE741" i="259"/>
  <c r="BE740" i="259"/>
  <c r="BE683" i="259"/>
  <c r="BE676" i="259"/>
  <c r="BE657" i="259"/>
  <c r="BE641" i="259"/>
  <c r="BE633" i="259"/>
  <c r="BE562" i="259"/>
  <c r="BE26" i="262" s="1"/>
  <c r="BE558" i="259"/>
  <c r="BE552" i="259"/>
  <c r="BE25" i="262" s="1"/>
  <c r="BE549" i="259"/>
  <c r="BE20" i="262" s="1"/>
  <c r="BE542" i="259"/>
  <c r="BE24" i="262" s="1"/>
  <c r="BE539" i="259"/>
  <c r="BE538" i="259" s="1"/>
  <c r="BE514" i="259"/>
  <c r="BE1085" i="259" s="1"/>
  <c r="BE505" i="259"/>
  <c r="BE502" i="259"/>
  <c r="BE488" i="259"/>
  <c r="BE478" i="259"/>
  <c r="BE40" i="262" s="1"/>
  <c r="BE398" i="259"/>
  <c r="BE397" i="259"/>
  <c r="BE394" i="259"/>
  <c r="BE389" i="259"/>
  <c r="BE365" i="259"/>
  <c r="BE320" i="259"/>
  <c r="BE319" i="259"/>
  <c r="BE316" i="259"/>
  <c r="BE311" i="259"/>
  <c r="BE308" i="259"/>
  <c r="BE287" i="259"/>
  <c r="BE263" i="259"/>
  <c r="BE262" i="259"/>
  <c r="BE261" i="259"/>
  <c r="BE258" i="259"/>
  <c r="BE257" i="259"/>
  <c r="BE256" i="259"/>
  <c r="BE208" i="259"/>
  <c r="BE62" i="262" s="1"/>
  <c r="BE201" i="259"/>
  <c r="BE197" i="259"/>
  <c r="BE161" i="259"/>
  <c r="BE200" i="259"/>
  <c r="BE2" i="261"/>
  <c r="BE296" i="262"/>
  <c r="BE276" i="262"/>
  <c r="BE271" i="262"/>
  <c r="BE270" i="262"/>
  <c r="BE82" i="262"/>
  <c r="BE81" i="262"/>
  <c r="BE21" i="262"/>
  <c r="BE4" i="262"/>
  <c r="BE2" i="262"/>
  <c r="BD2" i="262"/>
  <c r="BD4" i="262"/>
  <c r="BD21" i="262"/>
  <c r="BD81" i="262"/>
  <c r="BD82" i="262"/>
  <c r="BD270" i="262"/>
  <c r="BD271" i="262"/>
  <c r="BD276" i="262"/>
  <c r="BD296" i="262"/>
  <c r="BE995" i="275"/>
  <c r="BE943" i="275"/>
  <c r="BE942" i="275"/>
  <c r="BE941" i="275"/>
  <c r="BE940" i="275"/>
  <c r="BE936" i="275"/>
  <c r="BE935" i="275"/>
  <c r="BE934" i="275"/>
  <c r="BE777" i="275"/>
  <c r="BE776" i="275"/>
  <c r="BE775" i="275"/>
  <c r="BE774" i="275"/>
  <c r="BE764" i="275"/>
  <c r="BE763" i="275"/>
  <c r="BE762" i="275"/>
  <c r="BE761" i="275"/>
  <c r="BE760" i="275"/>
  <c r="BE759" i="275"/>
  <c r="BE758" i="275"/>
  <c r="BE750" i="275"/>
  <c r="BE749" i="275"/>
  <c r="BE723" i="275"/>
  <c r="BE722" i="275"/>
  <c r="BE720" i="275"/>
  <c r="BE719" i="275"/>
  <c r="BE718" i="275"/>
  <c r="BE717" i="275"/>
  <c r="BE716" i="275"/>
  <c r="BE680" i="275"/>
  <c r="BE679" i="275"/>
  <c r="BE666" i="275"/>
  <c r="BE665" i="275"/>
  <c r="BE664" i="275"/>
  <c r="BE663" i="275"/>
  <c r="BE662" i="275"/>
  <c r="BE613" i="275"/>
  <c r="BE612" i="275"/>
  <c r="BE611" i="275"/>
  <c r="BE610" i="275"/>
  <c r="BE606" i="275"/>
  <c r="BE605" i="275"/>
  <c r="BE604" i="275"/>
  <c r="BE603" i="275"/>
  <c r="BE597" i="275"/>
  <c r="BE596" i="275"/>
  <c r="BE595" i="275"/>
  <c r="BE594" i="275"/>
  <c r="BE588" i="275"/>
  <c r="BE587" i="275"/>
  <c r="BE586" i="275"/>
  <c r="BE585" i="275"/>
  <c r="BE581" i="275"/>
  <c r="BE578" i="275"/>
  <c r="BE577" i="275"/>
  <c r="BE576" i="275"/>
  <c r="BE575" i="275"/>
  <c r="BE574" i="275"/>
  <c r="BE533" i="275"/>
  <c r="BE532" i="275"/>
  <c r="BE531" i="275"/>
  <c r="BE530" i="275"/>
  <c r="BE529" i="275"/>
  <c r="BE525" i="275"/>
  <c r="BE524" i="275"/>
  <c r="BE521" i="275"/>
  <c r="BE520" i="275"/>
  <c r="BE519" i="275"/>
  <c r="BE518" i="275"/>
  <c r="BE517" i="275"/>
  <c r="BE455" i="275"/>
  <c r="BE439" i="275"/>
  <c r="BE438" i="275"/>
  <c r="BE425" i="275"/>
  <c r="BE421" i="275"/>
  <c r="BE386" i="275"/>
  <c r="BE385" i="275"/>
  <c r="BE384" i="275"/>
  <c r="BE347" i="275"/>
  <c r="BE343" i="275"/>
  <c r="BE307" i="275"/>
  <c r="BE306" i="275"/>
  <c r="BE270" i="275"/>
  <c r="BE266" i="275"/>
  <c r="BE240" i="275"/>
  <c r="BE239" i="275"/>
  <c r="BE238" i="275"/>
  <c r="BE205" i="275"/>
  <c r="BE204" i="275"/>
  <c r="BE193" i="275"/>
  <c r="BE192" i="275"/>
  <c r="BE187" i="275"/>
  <c r="BE186" i="275"/>
  <c r="BE185" i="275"/>
  <c r="BE184" i="275"/>
  <c r="BE76" i="275"/>
  <c r="BE75" i="275"/>
  <c r="BE74" i="275"/>
  <c r="BE264" i="262" l="1"/>
  <c r="BE19" i="262"/>
  <c r="BE541" i="259"/>
  <c r="BE13" i="262" s="1"/>
  <c r="BE8" i="262"/>
  <c r="BE561" i="259"/>
  <c r="BE15" i="262" s="1"/>
  <c r="BE103" i="261"/>
  <c r="BE548" i="259"/>
  <c r="BE551" i="259" s="1"/>
  <c r="BE10" i="262"/>
  <c r="BE202" i="259"/>
  <c r="BE207" i="259" s="1"/>
  <c r="BE1263" i="259"/>
  <c r="BE155" i="262" s="1"/>
  <c r="H1387" i="259"/>
  <c r="G1387" i="259"/>
  <c r="F1387" i="259"/>
  <c r="E1387" i="259"/>
  <c r="D1387" i="259"/>
  <c r="BE471" i="259" l="1"/>
  <c r="BE469" i="259"/>
  <c r="BE9" i="262"/>
  <c r="BE14" i="262"/>
  <c r="BE470" i="259"/>
  <c r="BE60" i="262"/>
  <c r="BE61" i="262"/>
  <c r="BE472" i="259" l="1"/>
  <c r="BE1612" i="259" s="1"/>
  <c r="BE16" i="262" l="1"/>
  <c r="BE1605" i="259"/>
  <c r="Z1405" i="259" l="1"/>
  <c r="Z314" i="261" l="1"/>
  <c r="Z322" i="261"/>
  <c r="Z324" i="261"/>
  <c r="Z289" i="261"/>
  <c r="Z290" i="261"/>
  <c r="Z293" i="261"/>
  <c r="Z296" i="261"/>
  <c r="Z268" i="261"/>
  <c r="Z269" i="261"/>
  <c r="Z235" i="261"/>
  <c r="Z237" i="261"/>
  <c r="Z153" i="261"/>
  <c r="Z154" i="261"/>
  <c r="Z155" i="261"/>
  <c r="Z167" i="261"/>
  <c r="Z168" i="261"/>
  <c r="Z169" i="261"/>
  <c r="Z173" i="261"/>
  <c r="Z174" i="261"/>
  <c r="Z175" i="261"/>
  <c r="Z176" i="261"/>
  <c r="Z177" i="261"/>
  <c r="Z180" i="261"/>
  <c r="Z181" i="261"/>
  <c r="Z182" i="261"/>
  <c r="Z183" i="261"/>
  <c r="Z184" i="261"/>
  <c r="Z90" i="261"/>
  <c r="Z91" i="261"/>
  <c r="Z95" i="261"/>
  <c r="Z98" i="261"/>
  <c r="Z200" i="259"/>
  <c r="Z201" i="259" s="1"/>
  <c r="Z103" i="261"/>
  <c r="Z54" i="261"/>
  <c r="Z55" i="261"/>
  <c r="Z57" i="261"/>
  <c r="Z63" i="261"/>
  <c r="Z64" i="261"/>
  <c r="Z66" i="261"/>
  <c r="Z67" i="261"/>
  <c r="Z73" i="261"/>
  <c r="Z74" i="261"/>
  <c r="Z76" i="261"/>
  <c r="Z81" i="261"/>
  <c r="Z82" i="261"/>
  <c r="Z84" i="261"/>
  <c r="Z8" i="261"/>
  <c r="Z9" i="261"/>
  <c r="Z10" i="261"/>
  <c r="Z13" i="261"/>
  <c r="Z14" i="261"/>
  <c r="Z17" i="261"/>
  <c r="Z18" i="261"/>
  <c r="Z36" i="261"/>
  <c r="Z37" i="261"/>
  <c r="Z39" i="261"/>
  <c r="Z40" i="261"/>
  <c r="Z46" i="261"/>
  <c r="Z47" i="261"/>
  <c r="Z49" i="261"/>
  <c r="Z995" i="275"/>
  <c r="Z1002" i="275"/>
  <c r="Z1003" i="275"/>
  <c r="Z1004" i="275"/>
  <c r="Z1005" i="275"/>
  <c r="Z934" i="275"/>
  <c r="Z935" i="275"/>
  <c r="Z936" i="275"/>
  <c r="Z940" i="275"/>
  <c r="Z941" i="275"/>
  <c r="Z942" i="275"/>
  <c r="Z943" i="275"/>
  <c r="Z946" i="275"/>
  <c r="Z956" i="275"/>
  <c r="Z887" i="275"/>
  <c r="Z896" i="275"/>
  <c r="Z903" i="275"/>
  <c r="Z904" i="275"/>
  <c r="Z906" i="275"/>
  <c r="Z862" i="275"/>
  <c r="Z863" i="275"/>
  <c r="Z864" i="275"/>
  <c r="Z865" i="275"/>
  <c r="Z866" i="275"/>
  <c r="Z867" i="275"/>
  <c r="Z828" i="275"/>
  <c r="Z829" i="275"/>
  <c r="Z831" i="275"/>
  <c r="Z832" i="275"/>
  <c r="Z835" i="275"/>
  <c r="Z836" i="275"/>
  <c r="Z838" i="275"/>
  <c r="Z841" i="275"/>
  <c r="Z842" i="275"/>
  <c r="Z843" i="275"/>
  <c r="Z844" i="275"/>
  <c r="Z846" i="275"/>
  <c r="Z851" i="275"/>
  <c r="Z852" i="275"/>
  <c r="Z853" i="275"/>
  <c r="Z854" i="275"/>
  <c r="Z856" i="275"/>
  <c r="Z857" i="275"/>
  <c r="Z859" i="275"/>
  <c r="Z772" i="275"/>
  <c r="Z774" i="275"/>
  <c r="Z775" i="275"/>
  <c r="Z776" i="275"/>
  <c r="Z780" i="275"/>
  <c r="Z740" i="275"/>
  <c r="Z742" i="275"/>
  <c r="Z749" i="275"/>
  <c r="Z750" i="275"/>
  <c r="Z758" i="275"/>
  <c r="Z759" i="275"/>
  <c r="Z760" i="275"/>
  <c r="Z761" i="275"/>
  <c r="Z762" i="275"/>
  <c r="Z763" i="275"/>
  <c r="Z765" i="275"/>
  <c r="Z702" i="275"/>
  <c r="Z703" i="275"/>
  <c r="Z706" i="275"/>
  <c r="Z708" i="275"/>
  <c r="Z716" i="275"/>
  <c r="Z717" i="275"/>
  <c r="Z720" i="275"/>
  <c r="Z722" i="275"/>
  <c r="Z679" i="275"/>
  <c r="Z688" i="275"/>
  <c r="Z689" i="275"/>
  <c r="Z692" i="275"/>
  <c r="Z694" i="275"/>
  <c r="Z638" i="275"/>
  <c r="Z639" i="275"/>
  <c r="Z644" i="275"/>
  <c r="Z648" i="275"/>
  <c r="Z649" i="275"/>
  <c r="Z656" i="275"/>
  <c r="Z662" i="275"/>
  <c r="Z664" i="275"/>
  <c r="Z665" i="275"/>
  <c r="Z617" i="275"/>
  <c r="Z618" i="275"/>
  <c r="Z628" i="275"/>
  <c r="Z632" i="275"/>
  <c r="Z574" i="275"/>
  <c r="Z575" i="275"/>
  <c r="Z576" i="275"/>
  <c r="Z577" i="275"/>
  <c r="Z578" i="275"/>
  <c r="Z581" i="275"/>
  <c r="Z585" i="275"/>
  <c r="Z586" i="275"/>
  <c r="Z587" i="275"/>
  <c r="Z588" i="275"/>
  <c r="Z594" i="275"/>
  <c r="Z595" i="275"/>
  <c r="Z596" i="275"/>
  <c r="Z597" i="275"/>
  <c r="Z603" i="275"/>
  <c r="Z604" i="275"/>
  <c r="Z605" i="275"/>
  <c r="Z606" i="275"/>
  <c r="Z610" i="275"/>
  <c r="Z611" i="275"/>
  <c r="Z612" i="275"/>
  <c r="Z613" i="275"/>
  <c r="Z558" i="275"/>
  <c r="Z517" i="275"/>
  <c r="Z518" i="275"/>
  <c r="Z519" i="275"/>
  <c r="Z521" i="275"/>
  <c r="Z524" i="275"/>
  <c r="Z525" i="275"/>
  <c r="Z529" i="275"/>
  <c r="Z530" i="275"/>
  <c r="Z531" i="275"/>
  <c r="Z533" i="275"/>
  <c r="Z538" i="275"/>
  <c r="Z548" i="275"/>
  <c r="Z469" i="275"/>
  <c r="Z470" i="275"/>
  <c r="Z471" i="275"/>
  <c r="Z473" i="275"/>
  <c r="Z474" i="275"/>
  <c r="Z475" i="275"/>
  <c r="Z478" i="275"/>
  <c r="Z481" i="275"/>
  <c r="Z482" i="275"/>
  <c r="Z483" i="275"/>
  <c r="Z484" i="275"/>
  <c r="Z491" i="275"/>
  <c r="Z494" i="275"/>
  <c r="Z496" i="275"/>
  <c r="Z497" i="275"/>
  <c r="Z504" i="275"/>
  <c r="Z435" i="275"/>
  <c r="Z436" i="275"/>
  <c r="Z438" i="275"/>
  <c r="Z439" i="275"/>
  <c r="Z457" i="275"/>
  <c r="Z411" i="275"/>
  <c r="Z412" i="275"/>
  <c r="Z413" i="275"/>
  <c r="Z416" i="275"/>
  <c r="Z421" i="275"/>
  <c r="Z422" i="275"/>
  <c r="Z425" i="275"/>
  <c r="Z402" i="275"/>
  <c r="Z403" i="275"/>
  <c r="Z405" i="275"/>
  <c r="Z353" i="275"/>
  <c r="Z354" i="275"/>
  <c r="Z357" i="275"/>
  <c r="Z359" i="275"/>
  <c r="Z360" i="275"/>
  <c r="Z366" i="275"/>
  <c r="Z369" i="275"/>
  <c r="Z370" i="275"/>
  <c r="Z374" i="275"/>
  <c r="Z375" i="275"/>
  <c r="Z384" i="275"/>
  <c r="Z385" i="275"/>
  <c r="Z333" i="275"/>
  <c r="Z334" i="275"/>
  <c r="Z335" i="275"/>
  <c r="Z338" i="275"/>
  <c r="Z343" i="275"/>
  <c r="Z344" i="275"/>
  <c r="Z347" i="275"/>
  <c r="Z324" i="275"/>
  <c r="Z325" i="275"/>
  <c r="Z327" i="275"/>
  <c r="Z275" i="275"/>
  <c r="Z276" i="275"/>
  <c r="Z279" i="275"/>
  <c r="Z281" i="275"/>
  <c r="Z282" i="275"/>
  <c r="Z288" i="275"/>
  <c r="Z291" i="275"/>
  <c r="Z292" i="275"/>
  <c r="Z296" i="275"/>
  <c r="Z297" i="275"/>
  <c r="Z306" i="275"/>
  <c r="Z307" i="275"/>
  <c r="Z270" i="275"/>
  <c r="Z266" i="275"/>
  <c r="Z214" i="275"/>
  <c r="Z215" i="275"/>
  <c r="Z217" i="275"/>
  <c r="Z218" i="275"/>
  <c r="Z225" i="275"/>
  <c r="Z226" i="275"/>
  <c r="Z227" i="275"/>
  <c r="Z230" i="275"/>
  <c r="Z231" i="275"/>
  <c r="Z238" i="275"/>
  <c r="Z239" i="275"/>
  <c r="Z243" i="275"/>
  <c r="Z244" i="275"/>
  <c r="Z202" i="275"/>
  <c r="Z204" i="275"/>
  <c r="Z205" i="275"/>
  <c r="Z207" i="275"/>
  <c r="Z184" i="275"/>
  <c r="Z185" i="275"/>
  <c r="Z186" i="275"/>
  <c r="Z192" i="275"/>
  <c r="Z193" i="275"/>
  <c r="Z149" i="275"/>
  <c r="Z150" i="275"/>
  <c r="Z153" i="275"/>
  <c r="Z155" i="275"/>
  <c r="Z156" i="275"/>
  <c r="Z162" i="275"/>
  <c r="Z165" i="275"/>
  <c r="Z166" i="275"/>
  <c r="Z167" i="275"/>
  <c r="Z171" i="275"/>
  <c r="Z172" i="275"/>
  <c r="Z173" i="275"/>
  <c r="Z175" i="275"/>
  <c r="Z11" i="275"/>
  <c r="Z12" i="275"/>
  <c r="Z16" i="275"/>
  <c r="Z19" i="275"/>
  <c r="Z23" i="275"/>
  <c r="Z1597" i="259"/>
  <c r="Z1579" i="259"/>
  <c r="Z1585" i="259"/>
  <c r="Z1590" i="259"/>
  <c r="Z1517" i="259"/>
  <c r="Z1524" i="259"/>
  <c r="Z1537" i="259"/>
  <c r="Z1529" i="259" s="1"/>
  <c r="Z1470" i="259"/>
  <c r="Z344" i="261" s="1"/>
  <c r="Z1471" i="259"/>
  <c r="Z1473" i="259"/>
  <c r="Z1474" i="259" s="1"/>
  <c r="Z345" i="261" s="1"/>
  <c r="Z1418" i="259"/>
  <c r="Z1441" i="259"/>
  <c r="Z1449" i="259"/>
  <c r="Z1404" i="259"/>
  <c r="Z1399" i="259"/>
  <c r="Z1371" i="259"/>
  <c r="Z1392" i="259" s="1"/>
  <c r="Z1377" i="259"/>
  <c r="Z1389" i="259"/>
  <c r="Z313" i="261" s="1"/>
  <c r="Z1295" i="259"/>
  <c r="Z1298" i="259"/>
  <c r="Z1380" i="259" s="1"/>
  <c r="Z1308" i="259"/>
  <c r="Z1309" i="259"/>
  <c r="Z1318" i="259"/>
  <c r="Z1320" i="259" s="1"/>
  <c r="Z1325" i="259"/>
  <c r="Z1329" i="259"/>
  <c r="Z1293" i="259" s="1"/>
  <c r="Z1335" i="259"/>
  <c r="Z317" i="261" s="1"/>
  <c r="Z1338" i="259"/>
  <c r="Z316" i="261" s="1"/>
  <c r="Z1279" i="259"/>
  <c r="Z1281" i="259" s="1"/>
  <c r="Z1183" i="259"/>
  <c r="Z1184" i="259"/>
  <c r="Z1200" i="259"/>
  <c r="Z1201" i="259"/>
  <c r="Z1213" i="259"/>
  <c r="Z1214" i="259"/>
  <c r="Z1225" i="259"/>
  <c r="Z1226" i="259"/>
  <c r="Z1227" i="259" s="1"/>
  <c r="Z1230" i="259"/>
  <c r="Z1231" i="259"/>
  <c r="Z1235" i="259"/>
  <c r="Z1236" i="259"/>
  <c r="Z1140" i="259"/>
  <c r="Z1143" i="259"/>
  <c r="Z1151" i="259"/>
  <c r="Z1155" i="259"/>
  <c r="Z1158" i="259"/>
  <c r="Z1166" i="259"/>
  <c r="Z1127" i="259"/>
  <c r="Z1128" i="259" s="1"/>
  <c r="Z1130" i="259"/>
  <c r="Z1095" i="259"/>
  <c r="Z1097" i="259" s="1"/>
  <c r="Z1110" i="259"/>
  <c r="Z1112" i="259" s="1"/>
  <c r="Z1017" i="259"/>
  <c r="Z1021" i="259"/>
  <c r="Z1022" i="259"/>
  <c r="Z1026" i="259"/>
  <c r="Z1027" i="259"/>
  <c r="Z1040" i="259"/>
  <c r="Z1042" i="259"/>
  <c r="Z1051" i="259"/>
  <c r="Z1052" i="259"/>
  <c r="Z1053" i="259"/>
  <c r="Z1054" i="259"/>
  <c r="Z1006" i="259"/>
  <c r="Z972" i="259"/>
  <c r="Z977" i="259"/>
  <c r="Z993" i="259"/>
  <c r="Z937" i="259"/>
  <c r="Z944" i="259"/>
  <c r="Z957" i="259"/>
  <c r="Z888" i="259"/>
  <c r="Z889" i="259"/>
  <c r="Z891" i="259"/>
  <c r="Z892" i="259"/>
  <c r="Z893" i="259"/>
  <c r="Z894" i="259"/>
  <c r="Z900" i="259"/>
  <c r="Z952" i="259" s="1"/>
  <c r="Z901" i="259"/>
  <c r="Z910" i="259"/>
  <c r="Z916" i="259"/>
  <c r="Z917" i="259"/>
  <c r="Z918" i="259"/>
  <c r="Z919" i="259"/>
  <c r="Z920" i="259"/>
  <c r="Z921" i="259"/>
  <c r="Z927" i="259"/>
  <c r="Z838" i="259"/>
  <c r="Z833" i="259"/>
  <c r="Z837" i="259"/>
  <c r="Z855" i="259"/>
  <c r="Z868" i="259"/>
  <c r="Z873" i="259"/>
  <c r="Z876" i="259"/>
  <c r="Z877" i="259"/>
  <c r="Z878" i="259"/>
  <c r="Z751" i="259"/>
  <c r="Z764" i="259"/>
  <c r="Z768" i="259"/>
  <c r="Z777" i="259"/>
  <c r="Z778" i="259"/>
  <c r="Z794" i="259"/>
  <c r="Z795" i="259"/>
  <c r="Z799" i="259"/>
  <c r="Z801" i="259"/>
  <c r="Z802" i="259"/>
  <c r="Z667" i="259"/>
  <c r="Z681" i="259"/>
  <c r="Z680" i="259" s="1"/>
  <c r="Z690" i="259"/>
  <c r="Z704" i="259"/>
  <c r="Z718" i="259"/>
  <c r="Z741" i="259"/>
  <c r="Z640" i="259"/>
  <c r="Z1511" i="259" s="1"/>
  <c r="Z244" i="261" s="1"/>
  <c r="Z650" i="259"/>
  <c r="Z663" i="259"/>
  <c r="Z510" i="259"/>
  <c r="Z38" i="259" s="1"/>
  <c r="Z520" i="259"/>
  <c r="Z526" i="259"/>
  <c r="Z532" i="259"/>
  <c r="Z541" i="259"/>
  <c r="Z549" i="259"/>
  <c r="Z189" i="261" s="1"/>
  <c r="Z551" i="259"/>
  <c r="Z561" i="259"/>
  <c r="Z568" i="259"/>
  <c r="Z571" i="259"/>
  <c r="Z579" i="259"/>
  <c r="Z589" i="259"/>
  <c r="Z590" i="259"/>
  <c r="Z598" i="259"/>
  <c r="Z599" i="259"/>
  <c r="Z607" i="259"/>
  <c r="Z1055" i="259" s="1"/>
  <c r="Z614" i="259"/>
  <c r="Z619" i="259"/>
  <c r="Z622" i="259"/>
  <c r="Z623" i="259"/>
  <c r="Z633" i="259"/>
  <c r="Z157" i="261" s="1"/>
  <c r="Z472" i="259"/>
  <c r="AA567" i="259" s="1"/>
  <c r="AA201" i="261" s="1"/>
  <c r="Z485" i="259"/>
  <c r="Z488" i="259"/>
  <c r="Z498" i="259"/>
  <c r="Z505" i="259"/>
  <c r="Z355" i="259"/>
  <c r="Z363" i="259" s="1"/>
  <c r="Z361" i="259"/>
  <c r="Z371" i="259"/>
  <c r="Z376" i="259"/>
  <c r="Z379" i="259"/>
  <c r="Z380" i="259"/>
  <c r="Z386" i="259"/>
  <c r="Z393" i="259"/>
  <c r="Z407" i="259"/>
  <c r="Z414" i="259"/>
  <c r="Z418" i="259" s="1"/>
  <c r="Z442" i="259"/>
  <c r="Z443" i="259"/>
  <c r="Z444" i="259"/>
  <c r="Z451" i="259"/>
  <c r="Z455" i="259"/>
  <c r="Z456" i="259"/>
  <c r="Z458" i="259"/>
  <c r="Z277" i="259"/>
  <c r="Z1507" i="259" s="1"/>
  <c r="Z114" i="261" s="1"/>
  <c r="Z283" i="259"/>
  <c r="Z293" i="259"/>
  <c r="Z298" i="259"/>
  <c r="Z301" i="259"/>
  <c r="Z302" i="259"/>
  <c r="Z320" i="259" s="1"/>
  <c r="Z28" i="261" s="1"/>
  <c r="Z308" i="259"/>
  <c r="Z315" i="259"/>
  <c r="Z329" i="259"/>
  <c r="Z336" i="259"/>
  <c r="Z340" i="259" s="1"/>
  <c r="Z240" i="259"/>
  <c r="Z245" i="259"/>
  <c r="Z252" i="259"/>
  <c r="Z253" i="259"/>
  <c r="Z219" i="259"/>
  <c r="Z221" i="259" s="1"/>
  <c r="Z228" i="259"/>
  <c r="Z232" i="259"/>
  <c r="Z208" i="259"/>
  <c r="Z105" i="261" s="1"/>
  <c r="Z179" i="259"/>
  <c r="Z262" i="259" s="1"/>
  <c r="Z23" i="261" s="1"/>
  <c r="Z180" i="259"/>
  <c r="Z263" i="259" s="1"/>
  <c r="Z24" i="261" s="1"/>
  <c r="Z187" i="259"/>
  <c r="Z151" i="259"/>
  <c r="Z159" i="259" s="1"/>
  <c r="Z157" i="259"/>
  <c r="Z168" i="259"/>
  <c r="Z174" i="259"/>
  <c r="Z430" i="259" s="1"/>
  <c r="Z113" i="259"/>
  <c r="Z37" i="259" s="1"/>
  <c r="Z114" i="259"/>
  <c r="Z44" i="259" s="1"/>
  <c r="Z117" i="259"/>
  <c r="Z56" i="259" s="1"/>
  <c r="Z119" i="259"/>
  <c r="Z62" i="259" s="1"/>
  <c r="Z120" i="259"/>
  <c r="Z126" i="259"/>
  <c r="Z6" i="259" s="1"/>
  <c r="Z132" i="259"/>
  <c r="Z133" i="259"/>
  <c r="Z141" i="259"/>
  <c r="Z84" i="259"/>
  <c r="Z86" i="259"/>
  <c r="Z90" i="259"/>
  <c r="Z91" i="259"/>
  <c r="Z92" i="259"/>
  <c r="Z93" i="259"/>
  <c r="Z39" i="259"/>
  <c r="Z57" i="259"/>
  <c r="Z58" i="259"/>
  <c r="Z63" i="259"/>
  <c r="Z64" i="259"/>
  <c r="Z18" i="259"/>
  <c r="Z31" i="259"/>
  <c r="Z542" i="259" l="1"/>
  <c r="AA543" i="259"/>
  <c r="Z562" i="259"/>
  <c r="Z195" i="261" s="1"/>
  <c r="AA563" i="259"/>
  <c r="AA200" i="261" s="1"/>
  <c r="Z552" i="259"/>
  <c r="Z194" i="261" s="1"/>
  <c r="AA553" i="259"/>
  <c r="AA199" i="261" s="1"/>
  <c r="Z140" i="259"/>
  <c r="Z1032" i="259"/>
  <c r="Z1185" i="259"/>
  <c r="Z142" i="261" s="1"/>
  <c r="Z1383" i="259"/>
  <c r="Z1463" i="259" s="1"/>
  <c r="Z1465" i="259" s="1"/>
  <c r="Z1468" i="259" s="1"/>
  <c r="Z139" i="259"/>
  <c r="Z142" i="259" s="1"/>
  <c r="Z99" i="259"/>
  <c r="Z1144" i="259"/>
  <c r="Z1202" i="259"/>
  <c r="Z143" i="261" s="1"/>
  <c r="Z1159" i="259"/>
  <c r="Z1232" i="259"/>
  <c r="Z219" i="261" s="1"/>
  <c r="Z1215" i="259"/>
  <c r="Z144" i="261" s="1"/>
  <c r="Z1237" i="259"/>
  <c r="Z253" i="261" s="1"/>
  <c r="Z94" i="259"/>
  <c r="Z591" i="259"/>
  <c r="Z193" i="261"/>
  <c r="Z160" i="259"/>
  <c r="Z234" i="259"/>
  <c r="Z506" i="259"/>
  <c r="Z719" i="259"/>
  <c r="Z872" i="259"/>
  <c r="Z895" i="259"/>
  <c r="Z978" i="259"/>
  <c r="Z979" i="259" s="1"/>
  <c r="Z1081" i="259"/>
  <c r="Z1171" i="259"/>
  <c r="Z1179" i="259"/>
  <c r="Z1240" i="259" s="1"/>
  <c r="Z1414" i="259"/>
  <c r="Z1506" i="259"/>
  <c r="Z113" i="261" s="1"/>
  <c r="Z452" i="259"/>
  <c r="Z364" i="259"/>
  <c r="Z476" i="259"/>
  <c r="Z600" i="259"/>
  <c r="Z582" i="259"/>
  <c r="Z534" i="259"/>
  <c r="Z705" i="259"/>
  <c r="Z666" i="259"/>
  <c r="Z870" i="259"/>
  <c r="Z1018" i="259"/>
  <c r="Z1178" i="259"/>
  <c r="Z1239" i="259" s="1"/>
  <c r="Z1297" i="259"/>
  <c r="Z1299" i="259" s="1"/>
  <c r="Z1419" i="259"/>
  <c r="Z1420" i="259" s="1"/>
  <c r="Z332" i="261" s="1"/>
  <c r="Z136" i="259"/>
  <c r="Z398" i="259"/>
  <c r="Z32" i="261" s="1"/>
  <c r="Z858" i="259"/>
  <c r="Z922" i="259"/>
  <c r="Z191" i="262" s="1"/>
  <c r="Z902" i="259"/>
  <c r="Z954" i="259"/>
  <c r="Z968" i="259"/>
  <c r="Z1023" i="259"/>
  <c r="Z1286" i="259"/>
  <c r="Z1306" i="259"/>
  <c r="Z1312" i="259" s="1"/>
  <c r="Z1508" i="259"/>
  <c r="Z115" i="261" s="1"/>
  <c r="Z178" i="259"/>
  <c r="Z196" i="259"/>
  <c r="Z285" i="259"/>
  <c r="Z624" i="259"/>
  <c r="Z522" i="259"/>
  <c r="Z875" i="259"/>
  <c r="Z839" i="259"/>
  <c r="Z953" i="259"/>
  <c r="Z989" i="259"/>
  <c r="Z973" i="259"/>
  <c r="Z974" i="259" s="1"/>
  <c r="Z967" i="259"/>
  <c r="Z1038" i="259"/>
  <c r="Z1028" i="259"/>
  <c r="Z1016" i="259"/>
  <c r="Z1374" i="259"/>
  <c r="Z1375" i="259" s="1"/>
  <c r="Z1423" i="259"/>
  <c r="Z1422" i="259" s="1"/>
  <c r="Z559" i="259"/>
  <c r="Z190" i="261" s="1"/>
  <c r="Z539" i="259"/>
  <c r="Z102" i="261"/>
  <c r="Z1334" i="259"/>
  <c r="Z1294" i="259" s="1"/>
  <c r="Z1339" i="259"/>
  <c r="Z1136" i="259"/>
  <c r="Z948" i="259"/>
  <c r="Z816" i="259"/>
  <c r="Z691" i="259"/>
  <c r="Z65" i="259"/>
  <c r="Z40" i="259"/>
  <c r="Z101" i="259"/>
  <c r="Z59" i="259"/>
  <c r="Z445" i="259"/>
  <c r="Z381" i="259"/>
  <c r="Z121" i="259"/>
  <c r="Z115" i="259"/>
  <c r="Z303" i="259"/>
  <c r="AA543" i="275" l="1"/>
  <c r="AA198" i="261"/>
  <c r="Z143" i="259"/>
  <c r="Z1302" i="259"/>
  <c r="Z1303" i="259" s="1"/>
  <c r="Z1426" i="259"/>
  <c r="Z871" i="259"/>
  <c r="Z1378" i="259" s="1"/>
  <c r="Z1379" i="259" s="1"/>
  <c r="Z1505" i="259"/>
  <c r="Z112" i="261" s="1"/>
  <c r="Z1180" i="259"/>
  <c r="Z982" i="259"/>
  <c r="Z969" i="259"/>
  <c r="Z181" i="259"/>
  <c r="Z210" i="259"/>
  <c r="Z453" i="259"/>
  <c r="Z7" i="259"/>
  <c r="Z50" i="259"/>
  <c r="Z1415" i="259"/>
  <c r="Z820" i="259"/>
  <c r="Z845" i="259"/>
  <c r="Z983" i="259"/>
  <c r="Z924" i="259"/>
  <c r="Z431" i="259"/>
  <c r="Z161" i="259"/>
  <c r="Z119" i="261" s="1"/>
  <c r="Z365" i="259"/>
  <c r="Z121" i="261" s="1"/>
  <c r="Z1039" i="259"/>
  <c r="Z286" i="259"/>
  <c r="Z124" i="259" s="1"/>
  <c r="Z85" i="259"/>
  <c r="Z1446" i="259"/>
  <c r="Z1315" i="259"/>
  <c r="Z1353" i="259"/>
  <c r="Z1354" i="259"/>
  <c r="Z1031" i="259"/>
  <c r="Z905" i="259"/>
  <c r="Z1351" i="259"/>
  <c r="Z1352" i="259"/>
  <c r="Z990" i="259"/>
  <c r="Z479" i="259"/>
  <c r="Z123" i="259"/>
  <c r="Z955" i="259"/>
  <c r="Z188" i="261"/>
  <c r="Z125" i="259" l="1"/>
  <c r="Z118" i="261" s="1"/>
  <c r="Z911" i="259"/>
  <c r="Z991" i="259"/>
  <c r="Z1416" i="259"/>
  <c r="Z331" i="261" s="1"/>
  <c r="Z1427" i="259"/>
  <c r="Z1428" i="259" s="1"/>
  <c r="Z273" i="261"/>
  <c r="Z68" i="259"/>
  <c r="Z487" i="259"/>
  <c r="Z100" i="259"/>
  <c r="Z87" i="259"/>
  <c r="Z102" i="259" s="1"/>
  <c r="Z1100" i="259"/>
  <c r="Z1115" i="259"/>
  <c r="Z1033" i="259"/>
  <c r="Z287" i="259"/>
  <c r="Z120" i="261" s="1"/>
  <c r="Z432" i="259"/>
  <c r="Z1101" i="259"/>
  <c r="Z1116" i="259"/>
  <c r="Z984" i="259"/>
  <c r="Z1102" i="259" l="1"/>
  <c r="Z1117" i="259"/>
  <c r="Z512" i="259"/>
  <c r="Z1510" i="259"/>
  <c r="Z210" i="261" s="1"/>
  <c r="Z489" i="259"/>
  <c r="Z492" i="259"/>
  <c r="Z500" i="259"/>
  <c r="Z51" i="259"/>
  <c r="Z997" i="259"/>
  <c r="Z1431" i="259"/>
  <c r="Z335" i="261"/>
  <c r="Z105" i="259"/>
  <c r="Z106" i="259"/>
  <c r="Z104" i="259"/>
  <c r="L69" i="276"/>
  <c r="AB82" i="264"/>
  <c r="Z72" i="264"/>
  <c r="AB72" i="264" s="1"/>
  <c r="AB65" i="264"/>
  <c r="AB58" i="264"/>
  <c r="AB51" i="264"/>
  <c r="AB37" i="264"/>
  <c r="AB30" i="264"/>
  <c r="AB10" i="264"/>
  <c r="T82" i="264"/>
  <c r="T72" i="264"/>
  <c r="R72" i="264"/>
  <c r="T65" i="264"/>
  <c r="T58" i="264"/>
  <c r="T51" i="264"/>
  <c r="T37" i="264"/>
  <c r="T30" i="264"/>
  <c r="T10" i="264"/>
  <c r="Z999" i="259" l="1"/>
  <c r="Z511" i="259"/>
  <c r="Z69" i="259"/>
  <c r="Z501" i="259"/>
  <c r="H15" i="276"/>
  <c r="H13" i="276"/>
  <c r="H11" i="276"/>
  <c r="AZ29" i="277"/>
  <c r="AZ26" i="277"/>
  <c r="BA14" i="277"/>
  <c r="BB14" i="277" s="1"/>
  <c r="BC14" i="277" s="1"/>
  <c r="BD14" i="277" s="1"/>
  <c r="AZ24" i="277"/>
  <c r="AV3" i="277"/>
  <c r="AW3" i="277" s="1"/>
  <c r="AX3" i="277" s="1"/>
  <c r="AY3" i="277" s="1"/>
  <c r="V127" i="276"/>
  <c r="V128" i="276"/>
  <c r="V129" i="276"/>
  <c r="Z502" i="259" l="1"/>
  <c r="Z1170" i="259"/>
  <c r="Z1008" i="259"/>
  <c r="J13" i="276"/>
  <c r="I13" i="276"/>
  <c r="K13" i="276"/>
  <c r="W480" i="259"/>
  <c r="V480" i="259"/>
  <c r="U480" i="259"/>
  <c r="T480" i="259"/>
  <c r="E38" i="273"/>
  <c r="Z1009" i="259" l="1"/>
  <c r="Z1283" i="259"/>
  <c r="Z308" i="261" s="1"/>
  <c r="Z1172" i="259"/>
  <c r="Z213" i="261"/>
  <c r="AV2" i="275"/>
  <c r="AW2" i="275" s="1"/>
  <c r="AX2" i="275" s="1"/>
  <c r="AY2" i="275" s="1"/>
  <c r="AE1005" i="275"/>
  <c r="AD1005" i="275"/>
  <c r="AC1005" i="275"/>
  <c r="Y1005" i="275"/>
  <c r="X1005" i="275"/>
  <c r="W1005" i="275"/>
  <c r="V1005" i="275"/>
  <c r="U1005" i="275"/>
  <c r="T1005" i="275"/>
  <c r="S1005" i="275"/>
  <c r="R1005" i="275"/>
  <c r="Q1005" i="275"/>
  <c r="P1005" i="275"/>
  <c r="O1005" i="275"/>
  <c r="N1005" i="275"/>
  <c r="M1005" i="275"/>
  <c r="L1005" i="275"/>
  <c r="K1005" i="275"/>
  <c r="J1005" i="275"/>
  <c r="I1005" i="275"/>
  <c r="H1005" i="275"/>
  <c r="AE1004" i="275"/>
  <c r="AD1004" i="275"/>
  <c r="AC1004" i="275"/>
  <c r="Y1004" i="275"/>
  <c r="X1004" i="275"/>
  <c r="W1004" i="275"/>
  <c r="V1004" i="275"/>
  <c r="U1004" i="275"/>
  <c r="T1004" i="275"/>
  <c r="S1004" i="275"/>
  <c r="R1004" i="275"/>
  <c r="Q1004" i="275"/>
  <c r="P1004" i="275"/>
  <c r="O1004" i="275"/>
  <c r="N1004" i="275"/>
  <c r="M1004" i="275"/>
  <c r="L1004" i="275"/>
  <c r="K1004" i="275"/>
  <c r="J1004" i="275"/>
  <c r="I1004" i="275"/>
  <c r="H1004" i="275"/>
  <c r="AE1003" i="275"/>
  <c r="AD1003" i="275"/>
  <c r="AC1003" i="275"/>
  <c r="Y1003" i="275"/>
  <c r="X1003" i="275"/>
  <c r="W1003" i="275"/>
  <c r="V1003" i="275"/>
  <c r="U1003" i="275"/>
  <c r="T1003" i="275"/>
  <c r="S1003" i="275"/>
  <c r="R1003" i="275"/>
  <c r="Q1003" i="275"/>
  <c r="P1003" i="275"/>
  <c r="O1003" i="275"/>
  <c r="N1003" i="275"/>
  <c r="M1003" i="275"/>
  <c r="L1003" i="275"/>
  <c r="K1003" i="275"/>
  <c r="J1003" i="275"/>
  <c r="I1003" i="275"/>
  <c r="H1003" i="275"/>
  <c r="AE1002" i="275"/>
  <c r="AD1002" i="275"/>
  <c r="AC1002" i="275"/>
  <c r="Y1002" i="275"/>
  <c r="X1002" i="275"/>
  <c r="W1002" i="275"/>
  <c r="V1002" i="275"/>
  <c r="U1002" i="275"/>
  <c r="T1002" i="275"/>
  <c r="S1002" i="275"/>
  <c r="R1002" i="275"/>
  <c r="Q1002" i="275"/>
  <c r="P1002" i="275"/>
  <c r="O1002" i="275"/>
  <c r="N1002" i="275"/>
  <c r="M1002" i="275"/>
  <c r="L1002" i="275"/>
  <c r="K1002" i="275"/>
  <c r="J1002" i="275"/>
  <c r="I1002" i="275"/>
  <c r="H1002" i="275"/>
  <c r="BD995" i="275"/>
  <c r="BC995" i="275"/>
  <c r="AE995" i="275"/>
  <c r="AD995" i="275"/>
  <c r="AC995" i="275"/>
  <c r="Y995" i="275"/>
  <c r="X995" i="275"/>
  <c r="W995" i="275"/>
  <c r="V995" i="275"/>
  <c r="U995" i="275"/>
  <c r="T995" i="275"/>
  <c r="S995" i="275"/>
  <c r="R995" i="275"/>
  <c r="Q995" i="275"/>
  <c r="P995" i="275"/>
  <c r="O995" i="275"/>
  <c r="N995" i="275"/>
  <c r="M995" i="275"/>
  <c r="L995" i="275"/>
  <c r="K995" i="275"/>
  <c r="J995" i="275"/>
  <c r="I995" i="275"/>
  <c r="H995" i="275"/>
  <c r="Y956" i="275"/>
  <c r="X956" i="275"/>
  <c r="W956" i="275"/>
  <c r="V956" i="275"/>
  <c r="U956" i="275"/>
  <c r="T956" i="275"/>
  <c r="S956" i="275"/>
  <c r="R956" i="275"/>
  <c r="Q956" i="275"/>
  <c r="P956" i="275"/>
  <c r="O956" i="275"/>
  <c r="N956" i="275"/>
  <c r="M956" i="275"/>
  <c r="L956" i="275"/>
  <c r="K956" i="275"/>
  <c r="J956" i="275"/>
  <c r="I956" i="275"/>
  <c r="H956" i="275"/>
  <c r="Y946" i="275"/>
  <c r="X946" i="275"/>
  <c r="W946" i="275"/>
  <c r="V946" i="275"/>
  <c r="U946" i="275"/>
  <c r="T946" i="275"/>
  <c r="S946" i="275"/>
  <c r="R946" i="275"/>
  <c r="Q946" i="275"/>
  <c r="P946" i="275"/>
  <c r="O946" i="275"/>
  <c r="N946" i="275"/>
  <c r="M946" i="275"/>
  <c r="L946" i="275"/>
  <c r="K946" i="275"/>
  <c r="J946" i="275"/>
  <c r="I946" i="275"/>
  <c r="H946" i="275"/>
  <c r="BD943" i="275"/>
  <c r="BC943" i="275"/>
  <c r="BB943" i="275"/>
  <c r="BA943" i="275"/>
  <c r="AE943" i="275"/>
  <c r="AD943" i="275"/>
  <c r="AC943" i="275"/>
  <c r="Y943" i="275"/>
  <c r="X943" i="275"/>
  <c r="W943" i="275"/>
  <c r="V943" i="275"/>
  <c r="U943" i="275"/>
  <c r="T943" i="275"/>
  <c r="S943" i="275"/>
  <c r="R943" i="275"/>
  <c r="Q943" i="275"/>
  <c r="P943" i="275"/>
  <c r="O943" i="275"/>
  <c r="N943" i="275"/>
  <c r="M943" i="275"/>
  <c r="L943" i="275"/>
  <c r="K943" i="275"/>
  <c r="J943" i="275"/>
  <c r="I943" i="275"/>
  <c r="H943" i="275"/>
  <c r="BD942" i="275"/>
  <c r="BC942" i="275"/>
  <c r="BB942" i="275"/>
  <c r="BA942" i="275"/>
  <c r="AE942" i="275"/>
  <c r="AD942" i="275"/>
  <c r="AC942" i="275"/>
  <c r="Y942" i="275"/>
  <c r="X942" i="275"/>
  <c r="W942" i="275"/>
  <c r="V942" i="275"/>
  <c r="U942" i="275"/>
  <c r="T942" i="275"/>
  <c r="S942" i="275"/>
  <c r="R942" i="275"/>
  <c r="Q942" i="275"/>
  <c r="P942" i="275"/>
  <c r="O942" i="275"/>
  <c r="N942" i="275"/>
  <c r="M942" i="275"/>
  <c r="L942" i="275"/>
  <c r="K942" i="275"/>
  <c r="J942" i="275"/>
  <c r="I942" i="275"/>
  <c r="H942" i="275"/>
  <c r="BD941" i="275"/>
  <c r="BC941" i="275"/>
  <c r="BB941" i="275"/>
  <c r="BA941" i="275"/>
  <c r="AE941" i="275"/>
  <c r="AD941" i="275"/>
  <c r="AC941" i="275"/>
  <c r="Y941" i="275"/>
  <c r="X941" i="275"/>
  <c r="W941" i="275"/>
  <c r="V941" i="275"/>
  <c r="U941" i="275"/>
  <c r="T941" i="275"/>
  <c r="S941" i="275"/>
  <c r="R941" i="275"/>
  <c r="Q941" i="275"/>
  <c r="P941" i="275"/>
  <c r="O941" i="275"/>
  <c r="N941" i="275"/>
  <c r="M941" i="275"/>
  <c r="L941" i="275"/>
  <c r="K941" i="275"/>
  <c r="J941" i="275"/>
  <c r="I941" i="275"/>
  <c r="H941" i="275"/>
  <c r="BD940" i="275"/>
  <c r="BC940" i="275"/>
  <c r="BB940" i="275"/>
  <c r="BA940" i="275"/>
  <c r="AE940" i="275"/>
  <c r="AD940" i="275"/>
  <c r="AC940" i="275"/>
  <c r="Y940" i="275"/>
  <c r="X940" i="275"/>
  <c r="W940" i="275"/>
  <c r="V940" i="275"/>
  <c r="U940" i="275"/>
  <c r="T940" i="275"/>
  <c r="S940" i="275"/>
  <c r="R940" i="275"/>
  <c r="Q940" i="275"/>
  <c r="P940" i="275"/>
  <c r="O940" i="275"/>
  <c r="N940" i="275"/>
  <c r="M940" i="275"/>
  <c r="L940" i="275"/>
  <c r="K940" i="275"/>
  <c r="J940" i="275"/>
  <c r="I940" i="275"/>
  <c r="H940" i="275"/>
  <c r="BD936" i="275"/>
  <c r="BC936" i="275"/>
  <c r="BB936" i="275"/>
  <c r="BA936" i="275"/>
  <c r="AE936" i="275"/>
  <c r="AD936" i="275"/>
  <c r="AC936" i="275"/>
  <c r="Y936" i="275"/>
  <c r="X936" i="275"/>
  <c r="W936" i="275"/>
  <c r="V936" i="275"/>
  <c r="U936" i="275"/>
  <c r="T936" i="275"/>
  <c r="S936" i="275"/>
  <c r="R936" i="275"/>
  <c r="Q936" i="275"/>
  <c r="P936" i="275"/>
  <c r="O936" i="275"/>
  <c r="N936" i="275"/>
  <c r="M936" i="275"/>
  <c r="L936" i="275"/>
  <c r="K936" i="275"/>
  <c r="J936" i="275"/>
  <c r="I936" i="275"/>
  <c r="H936" i="275"/>
  <c r="BD935" i="275"/>
  <c r="BC935" i="275"/>
  <c r="BB935" i="275"/>
  <c r="BA935" i="275"/>
  <c r="AE935" i="275"/>
  <c r="AD935" i="275"/>
  <c r="AC935" i="275"/>
  <c r="Y935" i="275"/>
  <c r="X935" i="275"/>
  <c r="W935" i="275"/>
  <c r="V935" i="275"/>
  <c r="U935" i="275"/>
  <c r="T935" i="275"/>
  <c r="S935" i="275"/>
  <c r="R935" i="275"/>
  <c r="Q935" i="275"/>
  <c r="P935" i="275"/>
  <c r="O935" i="275"/>
  <c r="N935" i="275"/>
  <c r="M935" i="275"/>
  <c r="L935" i="275"/>
  <c r="K935" i="275"/>
  <c r="J935" i="275"/>
  <c r="I935" i="275"/>
  <c r="H935" i="275"/>
  <c r="BD934" i="275"/>
  <c r="BC934" i="275"/>
  <c r="BB934" i="275"/>
  <c r="BA934" i="275"/>
  <c r="AE934" i="275"/>
  <c r="AD934" i="275"/>
  <c r="AC934" i="275"/>
  <c r="Y934" i="275"/>
  <c r="X934" i="275"/>
  <c r="W934" i="275"/>
  <c r="V934" i="275"/>
  <c r="U934" i="275"/>
  <c r="T934" i="275"/>
  <c r="S934" i="275"/>
  <c r="R934" i="275"/>
  <c r="Q934" i="275"/>
  <c r="P934" i="275"/>
  <c r="O934" i="275"/>
  <c r="N934" i="275"/>
  <c r="M934" i="275"/>
  <c r="L934" i="275"/>
  <c r="K934" i="275"/>
  <c r="J934" i="275"/>
  <c r="I934" i="275"/>
  <c r="H934" i="275"/>
  <c r="Y906" i="275"/>
  <c r="X906" i="275"/>
  <c r="W906" i="275"/>
  <c r="V906" i="275"/>
  <c r="U906" i="275"/>
  <c r="T906" i="275"/>
  <c r="S906" i="275"/>
  <c r="R906" i="275"/>
  <c r="Q906" i="275"/>
  <c r="P906" i="275"/>
  <c r="O906" i="275"/>
  <c r="N906" i="275"/>
  <c r="M906" i="275"/>
  <c r="L906" i="275"/>
  <c r="K906" i="275"/>
  <c r="J906" i="275"/>
  <c r="I906" i="275"/>
  <c r="H906" i="275"/>
  <c r="Y904" i="275"/>
  <c r="X904" i="275"/>
  <c r="W904" i="275"/>
  <c r="V904" i="275"/>
  <c r="U904" i="275"/>
  <c r="T904" i="275"/>
  <c r="S904" i="275"/>
  <c r="R904" i="275"/>
  <c r="Q904" i="275"/>
  <c r="P904" i="275"/>
  <c r="O904" i="275"/>
  <c r="N904" i="275"/>
  <c r="M904" i="275"/>
  <c r="L904" i="275"/>
  <c r="K904" i="275"/>
  <c r="J904" i="275"/>
  <c r="I904" i="275"/>
  <c r="H904" i="275"/>
  <c r="Y903" i="275"/>
  <c r="X903" i="275"/>
  <c r="W903" i="275"/>
  <c r="V903" i="275"/>
  <c r="U903" i="275"/>
  <c r="T903" i="275"/>
  <c r="S903" i="275"/>
  <c r="R903" i="275"/>
  <c r="Q903" i="275"/>
  <c r="P903" i="275"/>
  <c r="O903" i="275"/>
  <c r="N903" i="275"/>
  <c r="M903" i="275"/>
  <c r="L903" i="275"/>
  <c r="K903" i="275"/>
  <c r="J903" i="275"/>
  <c r="I903" i="275"/>
  <c r="H903" i="275"/>
  <c r="Y896" i="275"/>
  <c r="X896" i="275"/>
  <c r="W896" i="275"/>
  <c r="V896" i="275"/>
  <c r="U896" i="275"/>
  <c r="T896" i="275"/>
  <c r="S896" i="275"/>
  <c r="R896" i="275"/>
  <c r="Q896" i="275"/>
  <c r="P896" i="275"/>
  <c r="O896" i="275"/>
  <c r="N896" i="275"/>
  <c r="M896" i="275"/>
  <c r="L896" i="275"/>
  <c r="K896" i="275"/>
  <c r="J896" i="275"/>
  <c r="I896" i="275"/>
  <c r="H896" i="275"/>
  <c r="Y887" i="275"/>
  <c r="X887" i="275"/>
  <c r="W887" i="275"/>
  <c r="V887" i="275"/>
  <c r="U887" i="275"/>
  <c r="T887" i="275"/>
  <c r="S887" i="275"/>
  <c r="R887" i="275"/>
  <c r="Q887" i="275"/>
  <c r="P887" i="275"/>
  <c r="O887" i="275"/>
  <c r="N887" i="275"/>
  <c r="M887" i="275"/>
  <c r="L887" i="275"/>
  <c r="K887" i="275"/>
  <c r="J887" i="275"/>
  <c r="I887" i="275"/>
  <c r="H887" i="275"/>
  <c r="Y867" i="275"/>
  <c r="X867" i="275"/>
  <c r="W867" i="275"/>
  <c r="V867" i="275"/>
  <c r="U867" i="275"/>
  <c r="T867" i="275"/>
  <c r="S867" i="275"/>
  <c r="R867" i="275"/>
  <c r="Q867" i="275"/>
  <c r="P867" i="275"/>
  <c r="O867" i="275"/>
  <c r="N867" i="275"/>
  <c r="M867" i="275"/>
  <c r="L867" i="275"/>
  <c r="K867" i="275"/>
  <c r="J867" i="275"/>
  <c r="I867" i="275"/>
  <c r="H867" i="275"/>
  <c r="Y866" i="275"/>
  <c r="X866" i="275"/>
  <c r="W866" i="275"/>
  <c r="V866" i="275"/>
  <c r="U866" i="275"/>
  <c r="T866" i="275"/>
  <c r="S866" i="275"/>
  <c r="R866" i="275"/>
  <c r="Q866" i="275"/>
  <c r="P866" i="275"/>
  <c r="O866" i="275"/>
  <c r="N866" i="275"/>
  <c r="M866" i="275"/>
  <c r="L866" i="275"/>
  <c r="K866" i="275"/>
  <c r="J866" i="275"/>
  <c r="I866" i="275"/>
  <c r="H866" i="275"/>
  <c r="Y865" i="275"/>
  <c r="X865" i="275"/>
  <c r="W865" i="275"/>
  <c r="V865" i="275"/>
  <c r="U865" i="275"/>
  <c r="T865" i="275"/>
  <c r="S865" i="275"/>
  <c r="R865" i="275"/>
  <c r="Q865" i="275"/>
  <c r="P865" i="275"/>
  <c r="O865" i="275"/>
  <c r="N865" i="275"/>
  <c r="M865" i="275"/>
  <c r="L865" i="275"/>
  <c r="K865" i="275"/>
  <c r="J865" i="275"/>
  <c r="I865" i="275"/>
  <c r="H865" i="275"/>
  <c r="Y864" i="275"/>
  <c r="X864" i="275"/>
  <c r="W864" i="275"/>
  <c r="V864" i="275"/>
  <c r="U864" i="275"/>
  <c r="T864" i="275"/>
  <c r="S864" i="275"/>
  <c r="R864" i="275"/>
  <c r="Q864" i="275"/>
  <c r="P864" i="275"/>
  <c r="O864" i="275"/>
  <c r="N864" i="275"/>
  <c r="M864" i="275"/>
  <c r="L864" i="275"/>
  <c r="K864" i="275"/>
  <c r="J864" i="275"/>
  <c r="I864" i="275"/>
  <c r="H864" i="275"/>
  <c r="Y863" i="275"/>
  <c r="X863" i="275"/>
  <c r="W863" i="275"/>
  <c r="V863" i="275"/>
  <c r="U863" i="275"/>
  <c r="T863" i="275"/>
  <c r="S863" i="275"/>
  <c r="R863" i="275"/>
  <c r="Q863" i="275"/>
  <c r="P863" i="275"/>
  <c r="O863" i="275"/>
  <c r="N863" i="275"/>
  <c r="M863" i="275"/>
  <c r="L863" i="275"/>
  <c r="K863" i="275"/>
  <c r="J863" i="275"/>
  <c r="I863" i="275"/>
  <c r="H863" i="275"/>
  <c r="Y862" i="275"/>
  <c r="X862" i="275"/>
  <c r="W862" i="275"/>
  <c r="V862" i="275"/>
  <c r="U862" i="275"/>
  <c r="T862" i="275"/>
  <c r="S862" i="275"/>
  <c r="R862" i="275"/>
  <c r="Q862" i="275"/>
  <c r="P862" i="275"/>
  <c r="O862" i="275"/>
  <c r="N862" i="275"/>
  <c r="M862" i="275"/>
  <c r="L862" i="275"/>
  <c r="K862" i="275"/>
  <c r="J862" i="275"/>
  <c r="I862" i="275"/>
  <c r="H862" i="275"/>
  <c r="Y859" i="275"/>
  <c r="X859" i="275"/>
  <c r="W859" i="275"/>
  <c r="V859" i="275"/>
  <c r="U859" i="275"/>
  <c r="T859" i="275"/>
  <c r="S859" i="275"/>
  <c r="R859" i="275"/>
  <c r="Q859" i="275"/>
  <c r="P859" i="275"/>
  <c r="O859" i="275"/>
  <c r="N859" i="275"/>
  <c r="M859" i="275"/>
  <c r="L859" i="275"/>
  <c r="K859" i="275"/>
  <c r="J859" i="275"/>
  <c r="I859" i="275"/>
  <c r="H859" i="275"/>
  <c r="Y857" i="275"/>
  <c r="X857" i="275"/>
  <c r="W857" i="275"/>
  <c r="V857" i="275"/>
  <c r="U857" i="275"/>
  <c r="T857" i="275"/>
  <c r="S857" i="275"/>
  <c r="R857" i="275"/>
  <c r="Q857" i="275"/>
  <c r="P857" i="275"/>
  <c r="O857" i="275"/>
  <c r="N857" i="275"/>
  <c r="M857" i="275"/>
  <c r="L857" i="275"/>
  <c r="K857" i="275"/>
  <c r="J857" i="275"/>
  <c r="I857" i="275"/>
  <c r="H857" i="275"/>
  <c r="Y856" i="275"/>
  <c r="X856" i="275"/>
  <c r="W856" i="275"/>
  <c r="V856" i="275"/>
  <c r="U856" i="275"/>
  <c r="T856" i="275"/>
  <c r="S856" i="275"/>
  <c r="R856" i="275"/>
  <c r="Q856" i="275"/>
  <c r="P856" i="275"/>
  <c r="O856" i="275"/>
  <c r="N856" i="275"/>
  <c r="M856" i="275"/>
  <c r="L856" i="275"/>
  <c r="K856" i="275"/>
  <c r="J856" i="275"/>
  <c r="I856" i="275"/>
  <c r="H856" i="275"/>
  <c r="Y854" i="275"/>
  <c r="X854" i="275"/>
  <c r="W854" i="275"/>
  <c r="V854" i="275"/>
  <c r="U854" i="275"/>
  <c r="T854" i="275"/>
  <c r="S854" i="275"/>
  <c r="R854" i="275"/>
  <c r="Q854" i="275"/>
  <c r="P854" i="275"/>
  <c r="O854" i="275"/>
  <c r="N854" i="275"/>
  <c r="M854" i="275"/>
  <c r="L854" i="275"/>
  <c r="K854" i="275"/>
  <c r="J854" i="275"/>
  <c r="I854" i="275"/>
  <c r="H854" i="275"/>
  <c r="Y853" i="275"/>
  <c r="X853" i="275"/>
  <c r="W853" i="275"/>
  <c r="V853" i="275"/>
  <c r="U853" i="275"/>
  <c r="T853" i="275"/>
  <c r="S853" i="275"/>
  <c r="R853" i="275"/>
  <c r="Q853" i="275"/>
  <c r="P853" i="275"/>
  <c r="O853" i="275"/>
  <c r="N853" i="275"/>
  <c r="M853" i="275"/>
  <c r="L853" i="275"/>
  <c r="K853" i="275"/>
  <c r="J853" i="275"/>
  <c r="I853" i="275"/>
  <c r="H853" i="275"/>
  <c r="Y852" i="275"/>
  <c r="X852" i="275"/>
  <c r="W852" i="275"/>
  <c r="V852" i="275"/>
  <c r="U852" i="275"/>
  <c r="T852" i="275"/>
  <c r="S852" i="275"/>
  <c r="R852" i="275"/>
  <c r="Q852" i="275"/>
  <c r="P852" i="275"/>
  <c r="O852" i="275"/>
  <c r="N852" i="275"/>
  <c r="M852" i="275"/>
  <c r="L852" i="275"/>
  <c r="K852" i="275"/>
  <c r="J852" i="275"/>
  <c r="I852" i="275"/>
  <c r="H852" i="275"/>
  <c r="Y851" i="275"/>
  <c r="X851" i="275"/>
  <c r="W851" i="275"/>
  <c r="V851" i="275"/>
  <c r="U851" i="275"/>
  <c r="T851" i="275"/>
  <c r="S851" i="275"/>
  <c r="R851" i="275"/>
  <c r="Q851" i="275"/>
  <c r="P851" i="275"/>
  <c r="O851" i="275"/>
  <c r="N851" i="275"/>
  <c r="M851" i="275"/>
  <c r="L851" i="275"/>
  <c r="K851" i="275"/>
  <c r="J851" i="275"/>
  <c r="I851" i="275"/>
  <c r="H851" i="275"/>
  <c r="Y846" i="275"/>
  <c r="X846" i="275"/>
  <c r="W846" i="275"/>
  <c r="V846" i="275"/>
  <c r="U846" i="275"/>
  <c r="T846" i="275"/>
  <c r="S846" i="275"/>
  <c r="R846" i="275"/>
  <c r="Q846" i="275"/>
  <c r="P846" i="275"/>
  <c r="O846" i="275"/>
  <c r="N846" i="275"/>
  <c r="M846" i="275"/>
  <c r="L846" i="275"/>
  <c r="K846" i="275"/>
  <c r="J846" i="275"/>
  <c r="I846" i="275"/>
  <c r="H846" i="275"/>
  <c r="Y844" i="275"/>
  <c r="X844" i="275"/>
  <c r="W844" i="275"/>
  <c r="V844" i="275"/>
  <c r="U844" i="275"/>
  <c r="T844" i="275"/>
  <c r="S844" i="275"/>
  <c r="R844" i="275"/>
  <c r="Q844" i="275"/>
  <c r="P844" i="275"/>
  <c r="O844" i="275"/>
  <c r="N844" i="275"/>
  <c r="M844" i="275"/>
  <c r="L844" i="275"/>
  <c r="K844" i="275"/>
  <c r="J844" i="275"/>
  <c r="I844" i="275"/>
  <c r="H844" i="275"/>
  <c r="Y843" i="275"/>
  <c r="X843" i="275"/>
  <c r="W843" i="275"/>
  <c r="V843" i="275"/>
  <c r="U843" i="275"/>
  <c r="T843" i="275"/>
  <c r="S843" i="275"/>
  <c r="R843" i="275"/>
  <c r="Q843" i="275"/>
  <c r="P843" i="275"/>
  <c r="O843" i="275"/>
  <c r="N843" i="275"/>
  <c r="M843" i="275"/>
  <c r="L843" i="275"/>
  <c r="K843" i="275"/>
  <c r="J843" i="275"/>
  <c r="I843" i="275"/>
  <c r="H843" i="275"/>
  <c r="Y842" i="275"/>
  <c r="X842" i="275"/>
  <c r="W842" i="275"/>
  <c r="V842" i="275"/>
  <c r="U842" i="275"/>
  <c r="T842" i="275"/>
  <c r="S842" i="275"/>
  <c r="R842" i="275"/>
  <c r="Q842" i="275"/>
  <c r="P842" i="275"/>
  <c r="O842" i="275"/>
  <c r="N842" i="275"/>
  <c r="M842" i="275"/>
  <c r="L842" i="275"/>
  <c r="K842" i="275"/>
  <c r="J842" i="275"/>
  <c r="I842" i="275"/>
  <c r="H842" i="275"/>
  <c r="Y841" i="275"/>
  <c r="X841" i="275"/>
  <c r="W841" i="275"/>
  <c r="V841" i="275"/>
  <c r="U841" i="275"/>
  <c r="T841" i="275"/>
  <c r="S841" i="275"/>
  <c r="R841" i="275"/>
  <c r="Q841" i="275"/>
  <c r="P841" i="275"/>
  <c r="O841" i="275"/>
  <c r="N841" i="275"/>
  <c r="M841" i="275"/>
  <c r="L841" i="275"/>
  <c r="K841" i="275"/>
  <c r="J841" i="275"/>
  <c r="I841" i="275"/>
  <c r="H841" i="275"/>
  <c r="Y838" i="275"/>
  <c r="X838" i="275"/>
  <c r="W838" i="275"/>
  <c r="V838" i="275"/>
  <c r="U838" i="275"/>
  <c r="T838" i="275"/>
  <c r="S838" i="275"/>
  <c r="R838" i="275"/>
  <c r="Q838" i="275"/>
  <c r="P838" i="275"/>
  <c r="O838" i="275"/>
  <c r="N838" i="275"/>
  <c r="M838" i="275"/>
  <c r="L838" i="275"/>
  <c r="K838" i="275"/>
  <c r="J838" i="275"/>
  <c r="I838" i="275"/>
  <c r="H838" i="275"/>
  <c r="Y836" i="275"/>
  <c r="X836" i="275"/>
  <c r="W836" i="275"/>
  <c r="V836" i="275"/>
  <c r="U836" i="275"/>
  <c r="T836" i="275"/>
  <c r="S836" i="275"/>
  <c r="R836" i="275"/>
  <c r="Q836" i="275"/>
  <c r="P836" i="275"/>
  <c r="O836" i="275"/>
  <c r="N836" i="275"/>
  <c r="M836" i="275"/>
  <c r="L836" i="275"/>
  <c r="K836" i="275"/>
  <c r="J836" i="275"/>
  <c r="I836" i="275"/>
  <c r="H836" i="275"/>
  <c r="Y835" i="275"/>
  <c r="X835" i="275"/>
  <c r="W835" i="275"/>
  <c r="V835" i="275"/>
  <c r="U835" i="275"/>
  <c r="T835" i="275"/>
  <c r="S835" i="275"/>
  <c r="R835" i="275"/>
  <c r="Q835" i="275"/>
  <c r="P835" i="275"/>
  <c r="O835" i="275"/>
  <c r="N835" i="275"/>
  <c r="M835" i="275"/>
  <c r="L835" i="275"/>
  <c r="K835" i="275"/>
  <c r="J835" i="275"/>
  <c r="I835" i="275"/>
  <c r="H835" i="275"/>
  <c r="Y832" i="275"/>
  <c r="X832" i="275"/>
  <c r="W832" i="275"/>
  <c r="V832" i="275"/>
  <c r="U832" i="275"/>
  <c r="T832" i="275"/>
  <c r="S832" i="275"/>
  <c r="R832" i="275"/>
  <c r="Q832" i="275"/>
  <c r="P832" i="275"/>
  <c r="O832" i="275"/>
  <c r="N832" i="275"/>
  <c r="M832" i="275"/>
  <c r="L832" i="275"/>
  <c r="K832" i="275"/>
  <c r="J832" i="275"/>
  <c r="I832" i="275"/>
  <c r="H832" i="275"/>
  <c r="Y831" i="275"/>
  <c r="X831" i="275"/>
  <c r="W831" i="275"/>
  <c r="V831" i="275"/>
  <c r="U831" i="275"/>
  <c r="T831" i="275"/>
  <c r="S831" i="275"/>
  <c r="R831" i="275"/>
  <c r="Q831" i="275"/>
  <c r="P831" i="275"/>
  <c r="O831" i="275"/>
  <c r="N831" i="275"/>
  <c r="M831" i="275"/>
  <c r="L831" i="275"/>
  <c r="K831" i="275"/>
  <c r="J831" i="275"/>
  <c r="I831" i="275"/>
  <c r="H831" i="275"/>
  <c r="Y829" i="275"/>
  <c r="X829" i="275"/>
  <c r="W829" i="275"/>
  <c r="V829" i="275"/>
  <c r="U829" i="275"/>
  <c r="T829" i="275"/>
  <c r="S829" i="275"/>
  <c r="R829" i="275"/>
  <c r="Q829" i="275"/>
  <c r="P829" i="275"/>
  <c r="O829" i="275"/>
  <c r="N829" i="275"/>
  <c r="M829" i="275"/>
  <c r="L829" i="275"/>
  <c r="K829" i="275"/>
  <c r="J829" i="275"/>
  <c r="I829" i="275"/>
  <c r="H829" i="275"/>
  <c r="Y828" i="275"/>
  <c r="X828" i="275"/>
  <c r="W828" i="275"/>
  <c r="V828" i="275"/>
  <c r="U828" i="275"/>
  <c r="T828" i="275"/>
  <c r="S828" i="275"/>
  <c r="R828" i="275"/>
  <c r="Q828" i="275"/>
  <c r="P828" i="275"/>
  <c r="O828" i="275"/>
  <c r="N828" i="275"/>
  <c r="M828" i="275"/>
  <c r="L828" i="275"/>
  <c r="K828" i="275"/>
  <c r="J828" i="275"/>
  <c r="I828" i="275"/>
  <c r="H828" i="275"/>
  <c r="Y780" i="275"/>
  <c r="X780" i="275"/>
  <c r="W780" i="275"/>
  <c r="V780" i="275"/>
  <c r="U780" i="275"/>
  <c r="T780" i="275"/>
  <c r="S780" i="275"/>
  <c r="R780" i="275"/>
  <c r="Q780" i="275"/>
  <c r="P780" i="275"/>
  <c r="O780" i="275"/>
  <c r="N780" i="275"/>
  <c r="M780" i="275"/>
  <c r="L780" i="275"/>
  <c r="K780" i="275"/>
  <c r="J780" i="275"/>
  <c r="I780" i="275"/>
  <c r="H780" i="275"/>
  <c r="BD777" i="275"/>
  <c r="BC777" i="275"/>
  <c r="BB777" i="275"/>
  <c r="BA777" i="275"/>
  <c r="AE777" i="275"/>
  <c r="AD777" i="275"/>
  <c r="BD776" i="275"/>
  <c r="BC776" i="275"/>
  <c r="BB776" i="275"/>
  <c r="BA776" i="275"/>
  <c r="AE776" i="275"/>
  <c r="AD776" i="275"/>
  <c r="AC776" i="275"/>
  <c r="Y776" i="275"/>
  <c r="X776" i="275"/>
  <c r="W776" i="275"/>
  <c r="V776" i="275"/>
  <c r="U776" i="275"/>
  <c r="T776" i="275"/>
  <c r="S776" i="275"/>
  <c r="R776" i="275"/>
  <c r="Q776" i="275"/>
  <c r="P776" i="275"/>
  <c r="O776" i="275"/>
  <c r="N776" i="275"/>
  <c r="M776" i="275"/>
  <c r="L776" i="275"/>
  <c r="K776" i="275"/>
  <c r="J776" i="275"/>
  <c r="I776" i="275"/>
  <c r="H776" i="275"/>
  <c r="BD775" i="275"/>
  <c r="BC775" i="275"/>
  <c r="BB775" i="275"/>
  <c r="BA775" i="275"/>
  <c r="AE775" i="275"/>
  <c r="AD775" i="275"/>
  <c r="AC775" i="275"/>
  <c r="Y775" i="275"/>
  <c r="X775" i="275"/>
  <c r="W775" i="275"/>
  <c r="V775" i="275"/>
  <c r="U775" i="275"/>
  <c r="T775" i="275"/>
  <c r="S775" i="275"/>
  <c r="R775" i="275"/>
  <c r="Q775" i="275"/>
  <c r="P775" i="275"/>
  <c r="O775" i="275"/>
  <c r="N775" i="275"/>
  <c r="M775" i="275"/>
  <c r="L775" i="275"/>
  <c r="K775" i="275"/>
  <c r="J775" i="275"/>
  <c r="I775" i="275"/>
  <c r="H775" i="275"/>
  <c r="BD774" i="275"/>
  <c r="BC774" i="275"/>
  <c r="BB774" i="275"/>
  <c r="BA774" i="275"/>
  <c r="AE774" i="275"/>
  <c r="AD774" i="275"/>
  <c r="AC774" i="275"/>
  <c r="Y774" i="275"/>
  <c r="X774" i="275"/>
  <c r="W774" i="275"/>
  <c r="V774" i="275"/>
  <c r="U774" i="275"/>
  <c r="T774" i="275"/>
  <c r="S774" i="275"/>
  <c r="R774" i="275"/>
  <c r="Q774" i="275"/>
  <c r="P774" i="275"/>
  <c r="O774" i="275"/>
  <c r="N774" i="275"/>
  <c r="M774" i="275"/>
  <c r="L774" i="275"/>
  <c r="K774" i="275"/>
  <c r="J774" i="275"/>
  <c r="I774" i="275"/>
  <c r="H774" i="275"/>
  <c r="Y772" i="275"/>
  <c r="X772" i="275"/>
  <c r="W772" i="275"/>
  <c r="V772" i="275"/>
  <c r="U772" i="275"/>
  <c r="T772" i="275"/>
  <c r="S772" i="275"/>
  <c r="R772" i="275"/>
  <c r="Q772" i="275"/>
  <c r="P772" i="275"/>
  <c r="O772" i="275"/>
  <c r="N772" i="275"/>
  <c r="M772" i="275"/>
  <c r="L772" i="275"/>
  <c r="K772" i="275"/>
  <c r="J772" i="275"/>
  <c r="I772" i="275"/>
  <c r="H772" i="275"/>
  <c r="Y765" i="275"/>
  <c r="X765" i="275"/>
  <c r="W765" i="275"/>
  <c r="V765" i="275"/>
  <c r="U765" i="275"/>
  <c r="T765" i="275"/>
  <c r="S765" i="275"/>
  <c r="R765" i="275"/>
  <c r="Q765" i="275"/>
  <c r="P765" i="275"/>
  <c r="O765" i="275"/>
  <c r="N765" i="275"/>
  <c r="M765" i="275"/>
  <c r="L765" i="275"/>
  <c r="K765" i="275"/>
  <c r="J765" i="275"/>
  <c r="I765" i="275"/>
  <c r="H765" i="275"/>
  <c r="BD764" i="275"/>
  <c r="BC764" i="275"/>
  <c r="BB764" i="275"/>
  <c r="BA764" i="275"/>
  <c r="AE764" i="275"/>
  <c r="AD764" i="275"/>
  <c r="BD763" i="275"/>
  <c r="BC763" i="275"/>
  <c r="BB763" i="275"/>
  <c r="BA763" i="275"/>
  <c r="AE763" i="275"/>
  <c r="AD763" i="275"/>
  <c r="AC763" i="275"/>
  <c r="Y763" i="275"/>
  <c r="X763" i="275"/>
  <c r="W763" i="275"/>
  <c r="V763" i="275"/>
  <c r="U763" i="275"/>
  <c r="T763" i="275"/>
  <c r="S763" i="275"/>
  <c r="R763" i="275"/>
  <c r="Q763" i="275"/>
  <c r="P763" i="275"/>
  <c r="O763" i="275"/>
  <c r="N763" i="275"/>
  <c r="M763" i="275"/>
  <c r="L763" i="275"/>
  <c r="K763" i="275"/>
  <c r="J763" i="275"/>
  <c r="I763" i="275"/>
  <c r="H763" i="275"/>
  <c r="BD762" i="275"/>
  <c r="BC762" i="275"/>
  <c r="BB762" i="275"/>
  <c r="BA762" i="275"/>
  <c r="AE762" i="275"/>
  <c r="AD762" i="275"/>
  <c r="AC762" i="275"/>
  <c r="Y762" i="275"/>
  <c r="X762" i="275"/>
  <c r="W762" i="275"/>
  <c r="V762" i="275"/>
  <c r="U762" i="275"/>
  <c r="T762" i="275"/>
  <c r="S762" i="275"/>
  <c r="R762" i="275"/>
  <c r="Q762" i="275"/>
  <c r="P762" i="275"/>
  <c r="O762" i="275"/>
  <c r="N762" i="275"/>
  <c r="M762" i="275"/>
  <c r="L762" i="275"/>
  <c r="K762" i="275"/>
  <c r="J762" i="275"/>
  <c r="I762" i="275"/>
  <c r="H762" i="275"/>
  <c r="BD761" i="275"/>
  <c r="BC761" i="275"/>
  <c r="BB761" i="275"/>
  <c r="BA761" i="275"/>
  <c r="AE761" i="275"/>
  <c r="AD761" i="275"/>
  <c r="AC761" i="275"/>
  <c r="Y761" i="275"/>
  <c r="X761" i="275"/>
  <c r="W761" i="275"/>
  <c r="V761" i="275"/>
  <c r="U761" i="275"/>
  <c r="T761" i="275"/>
  <c r="S761" i="275"/>
  <c r="R761" i="275"/>
  <c r="Q761" i="275"/>
  <c r="P761" i="275"/>
  <c r="O761" i="275"/>
  <c r="N761" i="275"/>
  <c r="M761" i="275"/>
  <c r="L761" i="275"/>
  <c r="K761" i="275"/>
  <c r="J761" i="275"/>
  <c r="I761" i="275"/>
  <c r="H761" i="275"/>
  <c r="BD760" i="275"/>
  <c r="BC760" i="275"/>
  <c r="BB760" i="275"/>
  <c r="BA760" i="275"/>
  <c r="AE760" i="275"/>
  <c r="AD760" i="275"/>
  <c r="AC760" i="275"/>
  <c r="Y760" i="275"/>
  <c r="X760" i="275"/>
  <c r="W760" i="275"/>
  <c r="V760" i="275"/>
  <c r="U760" i="275"/>
  <c r="T760" i="275"/>
  <c r="S760" i="275"/>
  <c r="R760" i="275"/>
  <c r="Q760" i="275"/>
  <c r="P760" i="275"/>
  <c r="O760" i="275"/>
  <c r="N760" i="275"/>
  <c r="M760" i="275"/>
  <c r="L760" i="275"/>
  <c r="K760" i="275"/>
  <c r="J760" i="275"/>
  <c r="I760" i="275"/>
  <c r="H760" i="275"/>
  <c r="BD759" i="275"/>
  <c r="BC759" i="275"/>
  <c r="BB759" i="275"/>
  <c r="BA759" i="275"/>
  <c r="AE759" i="275"/>
  <c r="AD759" i="275"/>
  <c r="AC759" i="275"/>
  <c r="Y759" i="275"/>
  <c r="X759" i="275"/>
  <c r="W759" i="275"/>
  <c r="V759" i="275"/>
  <c r="U759" i="275"/>
  <c r="T759" i="275"/>
  <c r="S759" i="275"/>
  <c r="R759" i="275"/>
  <c r="Q759" i="275"/>
  <c r="P759" i="275"/>
  <c r="O759" i="275"/>
  <c r="N759" i="275"/>
  <c r="M759" i="275"/>
  <c r="L759" i="275"/>
  <c r="K759" i="275"/>
  <c r="J759" i="275"/>
  <c r="I759" i="275"/>
  <c r="H759" i="275"/>
  <c r="BD758" i="275"/>
  <c r="BC758" i="275"/>
  <c r="BB758" i="275"/>
  <c r="BA758" i="275"/>
  <c r="AE758" i="275"/>
  <c r="AD758" i="275"/>
  <c r="AC758" i="275"/>
  <c r="Y758" i="275"/>
  <c r="X758" i="275"/>
  <c r="W758" i="275"/>
  <c r="V758" i="275"/>
  <c r="U758" i="275"/>
  <c r="T758" i="275"/>
  <c r="S758" i="275"/>
  <c r="R758" i="275"/>
  <c r="Q758" i="275"/>
  <c r="P758" i="275"/>
  <c r="O758" i="275"/>
  <c r="N758" i="275"/>
  <c r="M758" i="275"/>
  <c r="L758" i="275"/>
  <c r="K758" i="275"/>
  <c r="J758" i="275"/>
  <c r="I758" i="275"/>
  <c r="H758" i="275"/>
  <c r="W755" i="275"/>
  <c r="V755" i="275"/>
  <c r="U755" i="275"/>
  <c r="T755" i="275"/>
  <c r="S755" i="275"/>
  <c r="R755" i="275"/>
  <c r="Q755" i="275"/>
  <c r="P755" i="275"/>
  <c r="O755" i="275"/>
  <c r="N755" i="275"/>
  <c r="M755" i="275"/>
  <c r="L755" i="275"/>
  <c r="K755" i="275"/>
  <c r="J755" i="275"/>
  <c r="I755" i="275"/>
  <c r="H755" i="275"/>
  <c r="BD750" i="275"/>
  <c r="BC750" i="275"/>
  <c r="BB750" i="275"/>
  <c r="BA750" i="275"/>
  <c r="AE750" i="275"/>
  <c r="AD750" i="275"/>
  <c r="AC750" i="275"/>
  <c r="Y750" i="275"/>
  <c r="X750" i="275"/>
  <c r="W750" i="275"/>
  <c r="V750" i="275"/>
  <c r="U750" i="275"/>
  <c r="T750" i="275"/>
  <c r="S750" i="275"/>
  <c r="R750" i="275"/>
  <c r="Q750" i="275"/>
  <c r="P750" i="275"/>
  <c r="O750" i="275"/>
  <c r="N750" i="275"/>
  <c r="M750" i="275"/>
  <c r="L750" i="275"/>
  <c r="K750" i="275"/>
  <c r="J750" i="275"/>
  <c r="I750" i="275"/>
  <c r="H750" i="275"/>
  <c r="BD749" i="275"/>
  <c r="BC749" i="275"/>
  <c r="BB749" i="275"/>
  <c r="BA749" i="275"/>
  <c r="AE749" i="275"/>
  <c r="AD749" i="275"/>
  <c r="AC749" i="275"/>
  <c r="Y749" i="275"/>
  <c r="X749" i="275"/>
  <c r="W749" i="275"/>
  <c r="V749" i="275"/>
  <c r="U749" i="275"/>
  <c r="T749" i="275"/>
  <c r="S749" i="275"/>
  <c r="R749" i="275"/>
  <c r="Q749" i="275"/>
  <c r="P749" i="275"/>
  <c r="O749" i="275"/>
  <c r="N749" i="275"/>
  <c r="M749" i="275"/>
  <c r="L749" i="275"/>
  <c r="K749" i="275"/>
  <c r="J749" i="275"/>
  <c r="I749" i="275"/>
  <c r="H749" i="275"/>
  <c r="AE742" i="275"/>
  <c r="AD742" i="275"/>
  <c r="AC742" i="275"/>
  <c r="Y742" i="275"/>
  <c r="X742" i="275"/>
  <c r="W742" i="275"/>
  <c r="V742" i="275"/>
  <c r="U742" i="275"/>
  <c r="T742" i="275"/>
  <c r="S742" i="275"/>
  <c r="R742" i="275"/>
  <c r="Q742" i="275"/>
  <c r="P742" i="275"/>
  <c r="O742" i="275"/>
  <c r="N742" i="275"/>
  <c r="M742" i="275"/>
  <c r="L742" i="275"/>
  <c r="K742" i="275"/>
  <c r="J742" i="275"/>
  <c r="I742" i="275"/>
  <c r="H742" i="275"/>
  <c r="AE741" i="275"/>
  <c r="AD741" i="275"/>
  <c r="AE740" i="275"/>
  <c r="AD740" i="275"/>
  <c r="AC740" i="275"/>
  <c r="Y740" i="275"/>
  <c r="X740" i="275"/>
  <c r="W740" i="275"/>
  <c r="V740" i="275"/>
  <c r="U740" i="275"/>
  <c r="T740" i="275"/>
  <c r="S740" i="275"/>
  <c r="R740" i="275"/>
  <c r="Q740" i="275"/>
  <c r="P740" i="275"/>
  <c r="O740" i="275"/>
  <c r="N740" i="275"/>
  <c r="M740" i="275"/>
  <c r="L740" i="275"/>
  <c r="K740" i="275"/>
  <c r="J740" i="275"/>
  <c r="I740" i="275"/>
  <c r="H740" i="275"/>
  <c r="BD723" i="275"/>
  <c r="BC723" i="275"/>
  <c r="BB723" i="275"/>
  <c r="BA723" i="275"/>
  <c r="BD722" i="275"/>
  <c r="BC722" i="275"/>
  <c r="BB722" i="275"/>
  <c r="BA722" i="275"/>
  <c r="AE722" i="275"/>
  <c r="AD722" i="275"/>
  <c r="AC722" i="275"/>
  <c r="Y722" i="275"/>
  <c r="X722" i="275"/>
  <c r="W722" i="275"/>
  <c r="V722" i="275"/>
  <c r="U722" i="275"/>
  <c r="T722" i="275"/>
  <c r="S722" i="275"/>
  <c r="R722" i="275"/>
  <c r="Q722" i="275"/>
  <c r="P722" i="275"/>
  <c r="O722" i="275"/>
  <c r="N722" i="275"/>
  <c r="M722" i="275"/>
  <c r="L722" i="275"/>
  <c r="K722" i="275"/>
  <c r="J722" i="275"/>
  <c r="I722" i="275"/>
  <c r="H722" i="275"/>
  <c r="BD720" i="275"/>
  <c r="BC720" i="275"/>
  <c r="BB720" i="275"/>
  <c r="BA720" i="275"/>
  <c r="AE720" i="275"/>
  <c r="AD720" i="275"/>
  <c r="AC720" i="275"/>
  <c r="Y720" i="275"/>
  <c r="X720" i="275"/>
  <c r="W720" i="275"/>
  <c r="V720" i="275"/>
  <c r="U720" i="275"/>
  <c r="T720" i="275"/>
  <c r="S720" i="275"/>
  <c r="R720" i="275"/>
  <c r="Q720" i="275"/>
  <c r="P720" i="275"/>
  <c r="O720" i="275"/>
  <c r="N720" i="275"/>
  <c r="M720" i="275"/>
  <c r="L720" i="275"/>
  <c r="K720" i="275"/>
  <c r="J720" i="275"/>
  <c r="I720" i="275"/>
  <c r="H720" i="275"/>
  <c r="BD719" i="275"/>
  <c r="BC719" i="275"/>
  <c r="BB719" i="275"/>
  <c r="BA719" i="275"/>
  <c r="AE719" i="275"/>
  <c r="AD719" i="275"/>
  <c r="BD718" i="275"/>
  <c r="BC718" i="275"/>
  <c r="BB718" i="275"/>
  <c r="BA718" i="275"/>
  <c r="AE718" i="275"/>
  <c r="AD718" i="275"/>
  <c r="BD717" i="275"/>
  <c r="BC717" i="275"/>
  <c r="BB717" i="275"/>
  <c r="BA717" i="275"/>
  <c r="AE717" i="275"/>
  <c r="AD717" i="275"/>
  <c r="AC717" i="275"/>
  <c r="Y717" i="275"/>
  <c r="X717" i="275"/>
  <c r="W717" i="275"/>
  <c r="V717" i="275"/>
  <c r="U717" i="275"/>
  <c r="T717" i="275"/>
  <c r="S717" i="275"/>
  <c r="R717" i="275"/>
  <c r="Q717" i="275"/>
  <c r="P717" i="275"/>
  <c r="O717" i="275"/>
  <c r="N717" i="275"/>
  <c r="M717" i="275"/>
  <c r="L717" i="275"/>
  <c r="K717" i="275"/>
  <c r="J717" i="275"/>
  <c r="I717" i="275"/>
  <c r="H717" i="275"/>
  <c r="BD716" i="275"/>
  <c r="BC716" i="275"/>
  <c r="BB716" i="275"/>
  <c r="BA716" i="275"/>
  <c r="AE716" i="275"/>
  <c r="AD716" i="275"/>
  <c r="AC716" i="275"/>
  <c r="Y716" i="275"/>
  <c r="X716" i="275"/>
  <c r="W716" i="275"/>
  <c r="V716" i="275"/>
  <c r="U716" i="275"/>
  <c r="T716" i="275"/>
  <c r="S716" i="275"/>
  <c r="R716" i="275"/>
  <c r="Q716" i="275"/>
  <c r="P716" i="275"/>
  <c r="O716" i="275"/>
  <c r="N716" i="275"/>
  <c r="M716" i="275"/>
  <c r="L716" i="275"/>
  <c r="K716" i="275"/>
  <c r="J716" i="275"/>
  <c r="I716" i="275"/>
  <c r="H716" i="275"/>
  <c r="Y708" i="275"/>
  <c r="X708" i="275"/>
  <c r="W708" i="275"/>
  <c r="V708" i="275"/>
  <c r="U708" i="275"/>
  <c r="T708" i="275"/>
  <c r="S708" i="275"/>
  <c r="R708" i="275"/>
  <c r="Q708" i="275"/>
  <c r="P708" i="275"/>
  <c r="O708" i="275"/>
  <c r="N708" i="275"/>
  <c r="M708" i="275"/>
  <c r="L708" i="275"/>
  <c r="K708" i="275"/>
  <c r="J708" i="275"/>
  <c r="I708" i="275"/>
  <c r="H708" i="275"/>
  <c r="Y706" i="275"/>
  <c r="X706" i="275"/>
  <c r="W706" i="275"/>
  <c r="V706" i="275"/>
  <c r="U706" i="275"/>
  <c r="T706" i="275"/>
  <c r="S706" i="275"/>
  <c r="R706" i="275"/>
  <c r="Q706" i="275"/>
  <c r="P706" i="275"/>
  <c r="O706" i="275"/>
  <c r="N706" i="275"/>
  <c r="M706" i="275"/>
  <c r="L706" i="275"/>
  <c r="K706" i="275"/>
  <c r="J706" i="275"/>
  <c r="I706" i="275"/>
  <c r="H706" i="275"/>
  <c r="Y703" i="275"/>
  <c r="X703" i="275"/>
  <c r="W703" i="275"/>
  <c r="V703" i="275"/>
  <c r="U703" i="275"/>
  <c r="T703" i="275"/>
  <c r="S703" i="275"/>
  <c r="R703" i="275"/>
  <c r="Q703" i="275"/>
  <c r="P703" i="275"/>
  <c r="O703" i="275"/>
  <c r="N703" i="275"/>
  <c r="M703" i="275"/>
  <c r="L703" i="275"/>
  <c r="K703" i="275"/>
  <c r="J703" i="275"/>
  <c r="I703" i="275"/>
  <c r="H703" i="275"/>
  <c r="Y702" i="275"/>
  <c r="X702" i="275"/>
  <c r="W702" i="275"/>
  <c r="V702" i="275"/>
  <c r="U702" i="275"/>
  <c r="T702" i="275"/>
  <c r="S702" i="275"/>
  <c r="R702" i="275"/>
  <c r="Q702" i="275"/>
  <c r="P702" i="275"/>
  <c r="O702" i="275"/>
  <c r="N702" i="275"/>
  <c r="M702" i="275"/>
  <c r="L702" i="275"/>
  <c r="K702" i="275"/>
  <c r="J702" i="275"/>
  <c r="I702" i="275"/>
  <c r="H702" i="275"/>
  <c r="Y694" i="275"/>
  <c r="X694" i="275"/>
  <c r="W694" i="275"/>
  <c r="V694" i="275"/>
  <c r="U694" i="275"/>
  <c r="T694" i="275"/>
  <c r="S694" i="275"/>
  <c r="R694" i="275"/>
  <c r="Q694" i="275"/>
  <c r="P694" i="275"/>
  <c r="O694" i="275"/>
  <c r="N694" i="275"/>
  <c r="M694" i="275"/>
  <c r="L694" i="275"/>
  <c r="K694" i="275"/>
  <c r="J694" i="275"/>
  <c r="I694" i="275"/>
  <c r="H694" i="275"/>
  <c r="Y692" i="275"/>
  <c r="X692" i="275"/>
  <c r="W692" i="275"/>
  <c r="V692" i="275"/>
  <c r="U692" i="275"/>
  <c r="T692" i="275"/>
  <c r="S692" i="275"/>
  <c r="R692" i="275"/>
  <c r="Q692" i="275"/>
  <c r="P692" i="275"/>
  <c r="O692" i="275"/>
  <c r="N692" i="275"/>
  <c r="M692" i="275"/>
  <c r="L692" i="275"/>
  <c r="K692" i="275"/>
  <c r="J692" i="275"/>
  <c r="I692" i="275"/>
  <c r="H692" i="275"/>
  <c r="Y689" i="275"/>
  <c r="X689" i="275"/>
  <c r="W689" i="275"/>
  <c r="V689" i="275"/>
  <c r="U689" i="275"/>
  <c r="T689" i="275"/>
  <c r="S689" i="275"/>
  <c r="R689" i="275"/>
  <c r="Q689" i="275"/>
  <c r="P689" i="275"/>
  <c r="O689" i="275"/>
  <c r="N689" i="275"/>
  <c r="M689" i="275"/>
  <c r="L689" i="275"/>
  <c r="K689" i="275"/>
  <c r="J689" i="275"/>
  <c r="I689" i="275"/>
  <c r="H689" i="275"/>
  <c r="Y688" i="275"/>
  <c r="X688" i="275"/>
  <c r="W688" i="275"/>
  <c r="V688" i="275"/>
  <c r="U688" i="275"/>
  <c r="T688" i="275"/>
  <c r="S688" i="275"/>
  <c r="R688" i="275"/>
  <c r="Q688" i="275"/>
  <c r="P688" i="275"/>
  <c r="O688" i="275"/>
  <c r="N688" i="275"/>
  <c r="M688" i="275"/>
  <c r="L688" i="275"/>
  <c r="K688" i="275"/>
  <c r="J688" i="275"/>
  <c r="I688" i="275"/>
  <c r="H688" i="275"/>
  <c r="BD680" i="275"/>
  <c r="BC680" i="275"/>
  <c r="BB680" i="275"/>
  <c r="BA680" i="275"/>
  <c r="AE680" i="275"/>
  <c r="AD680" i="275"/>
  <c r="BD679" i="275"/>
  <c r="BC679" i="275"/>
  <c r="BB679" i="275"/>
  <c r="BA679" i="275"/>
  <c r="AE679" i="275"/>
  <c r="AD679" i="275"/>
  <c r="AC679" i="275"/>
  <c r="Y679" i="275"/>
  <c r="X679" i="275"/>
  <c r="W679" i="275"/>
  <c r="V679" i="275"/>
  <c r="U679" i="275"/>
  <c r="T679" i="275"/>
  <c r="S679" i="275"/>
  <c r="R679" i="275"/>
  <c r="Q679" i="275"/>
  <c r="P679" i="275"/>
  <c r="O679" i="275"/>
  <c r="N679" i="275"/>
  <c r="M679" i="275"/>
  <c r="L679" i="275"/>
  <c r="K679" i="275"/>
  <c r="J679" i="275"/>
  <c r="I679" i="275"/>
  <c r="H679" i="275"/>
  <c r="BD666" i="275"/>
  <c r="BC666" i="275"/>
  <c r="BB666" i="275"/>
  <c r="BA666" i="275"/>
  <c r="AE666" i="275"/>
  <c r="AD666" i="275"/>
  <c r="BD665" i="275"/>
  <c r="BC665" i="275"/>
  <c r="BB665" i="275"/>
  <c r="BA665" i="275"/>
  <c r="AE665" i="275"/>
  <c r="AD665" i="275"/>
  <c r="AC665" i="275"/>
  <c r="Y665" i="275"/>
  <c r="X665" i="275"/>
  <c r="W665" i="275"/>
  <c r="V665" i="275"/>
  <c r="U665" i="275"/>
  <c r="T665" i="275"/>
  <c r="S665" i="275"/>
  <c r="R665" i="275"/>
  <c r="Q665" i="275"/>
  <c r="P665" i="275"/>
  <c r="O665" i="275"/>
  <c r="N665" i="275"/>
  <c r="M665" i="275"/>
  <c r="L665" i="275"/>
  <c r="K665" i="275"/>
  <c r="J665" i="275"/>
  <c r="I665" i="275"/>
  <c r="H665" i="275"/>
  <c r="BD664" i="275"/>
  <c r="BC664" i="275"/>
  <c r="BB664" i="275"/>
  <c r="BA664" i="275"/>
  <c r="AE664" i="275"/>
  <c r="AD664" i="275"/>
  <c r="AC664" i="275"/>
  <c r="Y664" i="275"/>
  <c r="X664" i="275"/>
  <c r="W664" i="275"/>
  <c r="V664" i="275"/>
  <c r="U664" i="275"/>
  <c r="T664" i="275"/>
  <c r="S664" i="275"/>
  <c r="R664" i="275"/>
  <c r="Q664" i="275"/>
  <c r="P664" i="275"/>
  <c r="O664" i="275"/>
  <c r="N664" i="275"/>
  <c r="M664" i="275"/>
  <c r="L664" i="275"/>
  <c r="K664" i="275"/>
  <c r="J664" i="275"/>
  <c r="I664" i="275"/>
  <c r="H664" i="275"/>
  <c r="BD663" i="275"/>
  <c r="BC663" i="275"/>
  <c r="BB663" i="275"/>
  <c r="BA663" i="275"/>
  <c r="AE663" i="275"/>
  <c r="AD663" i="275"/>
  <c r="BD662" i="275"/>
  <c r="BC662" i="275"/>
  <c r="BB662" i="275"/>
  <c r="BA662" i="275"/>
  <c r="AE662" i="275"/>
  <c r="AD662" i="275"/>
  <c r="AC662" i="275"/>
  <c r="Y662" i="275"/>
  <c r="X662" i="275"/>
  <c r="W662" i="275"/>
  <c r="V662" i="275"/>
  <c r="U662" i="275"/>
  <c r="T662" i="275"/>
  <c r="S662" i="275"/>
  <c r="R662" i="275"/>
  <c r="Q662" i="275"/>
  <c r="P662" i="275"/>
  <c r="O662" i="275"/>
  <c r="N662" i="275"/>
  <c r="M662" i="275"/>
  <c r="L662" i="275"/>
  <c r="K662" i="275"/>
  <c r="J662" i="275"/>
  <c r="I662" i="275"/>
  <c r="H662" i="275"/>
  <c r="Y656" i="275"/>
  <c r="X656" i="275"/>
  <c r="W656" i="275"/>
  <c r="V656" i="275"/>
  <c r="U656" i="275"/>
  <c r="T656" i="275"/>
  <c r="S656" i="275"/>
  <c r="R656" i="275"/>
  <c r="Q656" i="275"/>
  <c r="P656" i="275"/>
  <c r="O656" i="275"/>
  <c r="N656" i="275"/>
  <c r="M656" i="275"/>
  <c r="L656" i="275"/>
  <c r="K656" i="275"/>
  <c r="J656" i="275"/>
  <c r="I656" i="275"/>
  <c r="H656" i="275"/>
  <c r="Y649" i="275"/>
  <c r="X649" i="275"/>
  <c r="W649" i="275"/>
  <c r="V649" i="275"/>
  <c r="U649" i="275"/>
  <c r="T649" i="275"/>
  <c r="S649" i="275"/>
  <c r="R649" i="275"/>
  <c r="Q649" i="275"/>
  <c r="P649" i="275"/>
  <c r="O649" i="275"/>
  <c r="N649" i="275"/>
  <c r="M649" i="275"/>
  <c r="L649" i="275"/>
  <c r="K649" i="275"/>
  <c r="J649" i="275"/>
  <c r="I649" i="275"/>
  <c r="H649" i="275"/>
  <c r="Y648" i="275"/>
  <c r="X648" i="275"/>
  <c r="W648" i="275"/>
  <c r="V648" i="275"/>
  <c r="U648" i="275"/>
  <c r="T648" i="275"/>
  <c r="S648" i="275"/>
  <c r="R648" i="275"/>
  <c r="Q648" i="275"/>
  <c r="P648" i="275"/>
  <c r="O648" i="275"/>
  <c r="N648" i="275"/>
  <c r="M648" i="275"/>
  <c r="L648" i="275"/>
  <c r="K648" i="275"/>
  <c r="J648" i="275"/>
  <c r="I648" i="275"/>
  <c r="H648" i="275"/>
  <c r="Y644" i="275"/>
  <c r="X644" i="275"/>
  <c r="W644" i="275"/>
  <c r="V644" i="275"/>
  <c r="U644" i="275"/>
  <c r="T644" i="275"/>
  <c r="S644" i="275"/>
  <c r="R644" i="275"/>
  <c r="Q644" i="275"/>
  <c r="P644" i="275"/>
  <c r="O644" i="275"/>
  <c r="N644" i="275"/>
  <c r="M644" i="275"/>
  <c r="L644" i="275"/>
  <c r="K644" i="275"/>
  <c r="J644" i="275"/>
  <c r="I644" i="275"/>
  <c r="H644" i="275"/>
  <c r="Y639" i="275"/>
  <c r="X639" i="275"/>
  <c r="W639" i="275"/>
  <c r="V639" i="275"/>
  <c r="U639" i="275"/>
  <c r="T639" i="275"/>
  <c r="S639" i="275"/>
  <c r="R639" i="275"/>
  <c r="Q639" i="275"/>
  <c r="P639" i="275"/>
  <c r="O639" i="275"/>
  <c r="N639" i="275"/>
  <c r="M639" i="275"/>
  <c r="L639" i="275"/>
  <c r="K639" i="275"/>
  <c r="J639" i="275"/>
  <c r="I639" i="275"/>
  <c r="H639" i="275"/>
  <c r="Y638" i="275"/>
  <c r="X638" i="275"/>
  <c r="W638" i="275"/>
  <c r="V638" i="275"/>
  <c r="U638" i="275"/>
  <c r="T638" i="275"/>
  <c r="S638" i="275"/>
  <c r="R638" i="275"/>
  <c r="Q638" i="275"/>
  <c r="P638" i="275"/>
  <c r="O638" i="275"/>
  <c r="N638" i="275"/>
  <c r="M638" i="275"/>
  <c r="L638" i="275"/>
  <c r="K638" i="275"/>
  <c r="J638" i="275"/>
  <c r="I638" i="275"/>
  <c r="H638" i="275"/>
  <c r="AV632" i="275"/>
  <c r="Y632" i="275"/>
  <c r="X632" i="275"/>
  <c r="W632" i="275"/>
  <c r="V632" i="275"/>
  <c r="U632" i="275"/>
  <c r="T632" i="275"/>
  <c r="S632" i="275"/>
  <c r="R632" i="275"/>
  <c r="Q632" i="275"/>
  <c r="P632" i="275"/>
  <c r="O632" i="275"/>
  <c r="N632" i="275"/>
  <c r="M632" i="275"/>
  <c r="L632" i="275"/>
  <c r="K632" i="275"/>
  <c r="J632" i="275"/>
  <c r="I632" i="275"/>
  <c r="H632" i="275"/>
  <c r="Y628" i="275"/>
  <c r="X628" i="275"/>
  <c r="W628" i="275"/>
  <c r="V628" i="275"/>
  <c r="U628" i="275"/>
  <c r="T628" i="275"/>
  <c r="S628" i="275"/>
  <c r="R628" i="275"/>
  <c r="Q628" i="275"/>
  <c r="P628" i="275"/>
  <c r="O628" i="275"/>
  <c r="N628" i="275"/>
  <c r="M628" i="275"/>
  <c r="L628" i="275"/>
  <c r="K628" i="275"/>
  <c r="J628" i="275"/>
  <c r="I628" i="275"/>
  <c r="H628" i="275"/>
  <c r="Y618" i="275"/>
  <c r="X618" i="275"/>
  <c r="W618" i="275"/>
  <c r="V618" i="275"/>
  <c r="U618" i="275"/>
  <c r="T618" i="275"/>
  <c r="S618" i="275"/>
  <c r="R618" i="275"/>
  <c r="Q618" i="275"/>
  <c r="P618" i="275"/>
  <c r="O618" i="275"/>
  <c r="N618" i="275"/>
  <c r="M618" i="275"/>
  <c r="L618" i="275"/>
  <c r="K618" i="275"/>
  <c r="J618" i="275"/>
  <c r="I618" i="275"/>
  <c r="H618" i="275"/>
  <c r="Y617" i="275"/>
  <c r="X617" i="275"/>
  <c r="W617" i="275"/>
  <c r="V617" i="275"/>
  <c r="U617" i="275"/>
  <c r="T617" i="275"/>
  <c r="S617" i="275"/>
  <c r="R617" i="275"/>
  <c r="Q617" i="275"/>
  <c r="P617" i="275"/>
  <c r="O617" i="275"/>
  <c r="N617" i="275"/>
  <c r="M617" i="275"/>
  <c r="L617" i="275"/>
  <c r="K617" i="275"/>
  <c r="J617" i="275"/>
  <c r="I617" i="275"/>
  <c r="H617" i="275"/>
  <c r="BD613" i="275"/>
  <c r="BC613" i="275"/>
  <c r="AE613" i="275"/>
  <c r="AD613" i="275"/>
  <c r="AC613" i="275"/>
  <c r="Y613" i="275"/>
  <c r="X613" i="275"/>
  <c r="W613" i="275"/>
  <c r="V613" i="275"/>
  <c r="U613" i="275"/>
  <c r="T613" i="275"/>
  <c r="S613" i="275"/>
  <c r="R613" i="275"/>
  <c r="Q613" i="275"/>
  <c r="P613" i="275"/>
  <c r="O613" i="275"/>
  <c r="N613" i="275"/>
  <c r="M613" i="275"/>
  <c r="L613" i="275"/>
  <c r="K613" i="275"/>
  <c r="J613" i="275"/>
  <c r="I613" i="275"/>
  <c r="H613" i="275"/>
  <c r="BD612" i="275"/>
  <c r="BC612" i="275"/>
  <c r="AE612" i="275"/>
  <c r="AD612" i="275"/>
  <c r="AC612" i="275"/>
  <c r="Y612" i="275"/>
  <c r="X612" i="275"/>
  <c r="W612" i="275"/>
  <c r="V612" i="275"/>
  <c r="U612" i="275"/>
  <c r="T612" i="275"/>
  <c r="S612" i="275"/>
  <c r="R612" i="275"/>
  <c r="Q612" i="275"/>
  <c r="P612" i="275"/>
  <c r="O612" i="275"/>
  <c r="N612" i="275"/>
  <c r="M612" i="275"/>
  <c r="L612" i="275"/>
  <c r="K612" i="275"/>
  <c r="J612" i="275"/>
  <c r="I612" i="275"/>
  <c r="H612" i="275"/>
  <c r="BD611" i="275"/>
  <c r="BC611" i="275"/>
  <c r="AE611" i="275"/>
  <c r="AD611" i="275"/>
  <c r="AC611" i="275"/>
  <c r="Y611" i="275"/>
  <c r="X611" i="275"/>
  <c r="W611" i="275"/>
  <c r="V611" i="275"/>
  <c r="U611" i="275"/>
  <c r="T611" i="275"/>
  <c r="S611" i="275"/>
  <c r="R611" i="275"/>
  <c r="Q611" i="275"/>
  <c r="P611" i="275"/>
  <c r="O611" i="275"/>
  <c r="N611" i="275"/>
  <c r="M611" i="275"/>
  <c r="L611" i="275"/>
  <c r="K611" i="275"/>
  <c r="J611" i="275"/>
  <c r="I611" i="275"/>
  <c r="H611" i="275"/>
  <c r="BD610" i="275"/>
  <c r="BC610" i="275"/>
  <c r="AE610" i="275"/>
  <c r="AD610" i="275"/>
  <c r="AC610" i="275"/>
  <c r="Y610" i="275"/>
  <c r="X610" i="275"/>
  <c r="W610" i="275"/>
  <c r="V610" i="275"/>
  <c r="U610" i="275"/>
  <c r="T610" i="275"/>
  <c r="S610" i="275"/>
  <c r="R610" i="275"/>
  <c r="Q610" i="275"/>
  <c r="P610" i="275"/>
  <c r="O610" i="275"/>
  <c r="N610" i="275"/>
  <c r="M610" i="275"/>
  <c r="L610" i="275"/>
  <c r="K610" i="275"/>
  <c r="J610" i="275"/>
  <c r="I610" i="275"/>
  <c r="H610" i="275"/>
  <c r="BD606" i="275"/>
  <c r="BC606" i="275"/>
  <c r="BB606" i="275"/>
  <c r="BA606" i="275"/>
  <c r="AE606" i="275"/>
  <c r="AD606" i="275"/>
  <c r="AC606" i="275"/>
  <c r="Y606" i="275"/>
  <c r="X606" i="275"/>
  <c r="W606" i="275"/>
  <c r="V606" i="275"/>
  <c r="U606" i="275"/>
  <c r="T606" i="275"/>
  <c r="S606" i="275"/>
  <c r="R606" i="275"/>
  <c r="Q606" i="275"/>
  <c r="P606" i="275"/>
  <c r="O606" i="275"/>
  <c r="N606" i="275"/>
  <c r="M606" i="275"/>
  <c r="L606" i="275"/>
  <c r="K606" i="275"/>
  <c r="J606" i="275"/>
  <c r="I606" i="275"/>
  <c r="H606" i="275"/>
  <c r="BD605" i="275"/>
  <c r="BC605" i="275"/>
  <c r="BB605" i="275"/>
  <c r="BA605" i="275"/>
  <c r="AE605" i="275"/>
  <c r="AD605" i="275"/>
  <c r="AC605" i="275"/>
  <c r="Y605" i="275"/>
  <c r="X605" i="275"/>
  <c r="W605" i="275"/>
  <c r="V605" i="275"/>
  <c r="U605" i="275"/>
  <c r="T605" i="275"/>
  <c r="S605" i="275"/>
  <c r="R605" i="275"/>
  <c r="Q605" i="275"/>
  <c r="P605" i="275"/>
  <c r="O605" i="275"/>
  <c r="N605" i="275"/>
  <c r="M605" i="275"/>
  <c r="L605" i="275"/>
  <c r="K605" i="275"/>
  <c r="J605" i="275"/>
  <c r="I605" i="275"/>
  <c r="H605" i="275"/>
  <c r="BD604" i="275"/>
  <c r="BC604" i="275"/>
  <c r="BB604" i="275"/>
  <c r="BA604" i="275"/>
  <c r="AE604" i="275"/>
  <c r="AD604" i="275"/>
  <c r="AC604" i="275"/>
  <c r="Y604" i="275"/>
  <c r="X604" i="275"/>
  <c r="W604" i="275"/>
  <c r="V604" i="275"/>
  <c r="U604" i="275"/>
  <c r="T604" i="275"/>
  <c r="S604" i="275"/>
  <c r="R604" i="275"/>
  <c r="Q604" i="275"/>
  <c r="P604" i="275"/>
  <c r="O604" i="275"/>
  <c r="N604" i="275"/>
  <c r="M604" i="275"/>
  <c r="L604" i="275"/>
  <c r="K604" i="275"/>
  <c r="J604" i="275"/>
  <c r="I604" i="275"/>
  <c r="H604" i="275"/>
  <c r="BD603" i="275"/>
  <c r="BC603" i="275"/>
  <c r="BB603" i="275"/>
  <c r="BA603" i="275"/>
  <c r="AE603" i="275"/>
  <c r="AD603" i="275"/>
  <c r="AC603" i="275"/>
  <c r="Y603" i="275"/>
  <c r="X603" i="275"/>
  <c r="W603" i="275"/>
  <c r="V603" i="275"/>
  <c r="U603" i="275"/>
  <c r="T603" i="275"/>
  <c r="S603" i="275"/>
  <c r="R603" i="275"/>
  <c r="Q603" i="275"/>
  <c r="P603" i="275"/>
  <c r="O603" i="275"/>
  <c r="N603" i="275"/>
  <c r="M603" i="275"/>
  <c r="L603" i="275"/>
  <c r="K603" i="275"/>
  <c r="J603" i="275"/>
  <c r="I603" i="275"/>
  <c r="H603" i="275"/>
  <c r="BD597" i="275"/>
  <c r="BC597" i="275"/>
  <c r="BB597" i="275"/>
  <c r="BA597" i="275"/>
  <c r="AE597" i="275"/>
  <c r="AD597" i="275"/>
  <c r="AC597" i="275"/>
  <c r="Y597" i="275"/>
  <c r="X597" i="275"/>
  <c r="W597" i="275"/>
  <c r="V597" i="275"/>
  <c r="U597" i="275"/>
  <c r="T597" i="275"/>
  <c r="S597" i="275"/>
  <c r="R597" i="275"/>
  <c r="Q597" i="275"/>
  <c r="P597" i="275"/>
  <c r="O597" i="275"/>
  <c r="N597" i="275"/>
  <c r="M597" i="275"/>
  <c r="L597" i="275"/>
  <c r="K597" i="275"/>
  <c r="J597" i="275"/>
  <c r="I597" i="275"/>
  <c r="H597" i="275"/>
  <c r="BD596" i="275"/>
  <c r="BC596" i="275"/>
  <c r="BB596" i="275"/>
  <c r="BA596" i="275"/>
  <c r="AE596" i="275"/>
  <c r="AD596" i="275"/>
  <c r="AC596" i="275"/>
  <c r="Y596" i="275"/>
  <c r="X596" i="275"/>
  <c r="W596" i="275"/>
  <c r="V596" i="275"/>
  <c r="U596" i="275"/>
  <c r="T596" i="275"/>
  <c r="S596" i="275"/>
  <c r="R596" i="275"/>
  <c r="Q596" i="275"/>
  <c r="P596" i="275"/>
  <c r="O596" i="275"/>
  <c r="N596" i="275"/>
  <c r="M596" i="275"/>
  <c r="L596" i="275"/>
  <c r="K596" i="275"/>
  <c r="J596" i="275"/>
  <c r="I596" i="275"/>
  <c r="H596" i="275"/>
  <c r="BD595" i="275"/>
  <c r="BC595" i="275"/>
  <c r="BB595" i="275"/>
  <c r="BA595" i="275"/>
  <c r="AE595" i="275"/>
  <c r="AD595" i="275"/>
  <c r="AC595" i="275"/>
  <c r="Y595" i="275"/>
  <c r="X595" i="275"/>
  <c r="W595" i="275"/>
  <c r="V595" i="275"/>
  <c r="U595" i="275"/>
  <c r="T595" i="275"/>
  <c r="S595" i="275"/>
  <c r="R595" i="275"/>
  <c r="Q595" i="275"/>
  <c r="P595" i="275"/>
  <c r="O595" i="275"/>
  <c r="N595" i="275"/>
  <c r="M595" i="275"/>
  <c r="L595" i="275"/>
  <c r="K595" i="275"/>
  <c r="J595" i="275"/>
  <c r="I595" i="275"/>
  <c r="H595" i="275"/>
  <c r="BD594" i="275"/>
  <c r="BC594" i="275"/>
  <c r="BB594" i="275"/>
  <c r="BA594" i="275"/>
  <c r="AE594" i="275"/>
  <c r="AD594" i="275"/>
  <c r="AC594" i="275"/>
  <c r="Y594" i="275"/>
  <c r="X594" i="275"/>
  <c r="W594" i="275"/>
  <c r="V594" i="275"/>
  <c r="U594" i="275"/>
  <c r="T594" i="275"/>
  <c r="S594" i="275"/>
  <c r="R594" i="275"/>
  <c r="Q594" i="275"/>
  <c r="P594" i="275"/>
  <c r="O594" i="275"/>
  <c r="N594" i="275"/>
  <c r="M594" i="275"/>
  <c r="L594" i="275"/>
  <c r="K594" i="275"/>
  <c r="J594" i="275"/>
  <c r="I594" i="275"/>
  <c r="H594" i="275"/>
  <c r="BD588" i="275"/>
  <c r="BC588" i="275"/>
  <c r="BB588" i="275"/>
  <c r="BA588" i="275"/>
  <c r="AE588" i="275"/>
  <c r="AD588" i="275"/>
  <c r="AC588" i="275"/>
  <c r="Y588" i="275"/>
  <c r="X588" i="275"/>
  <c r="W588" i="275"/>
  <c r="V588" i="275"/>
  <c r="U588" i="275"/>
  <c r="T588" i="275"/>
  <c r="S588" i="275"/>
  <c r="R588" i="275"/>
  <c r="Q588" i="275"/>
  <c r="P588" i="275"/>
  <c r="O588" i="275"/>
  <c r="N588" i="275"/>
  <c r="M588" i="275"/>
  <c r="L588" i="275"/>
  <c r="K588" i="275"/>
  <c r="J588" i="275"/>
  <c r="I588" i="275"/>
  <c r="H588" i="275"/>
  <c r="BD587" i="275"/>
  <c r="BC587" i="275"/>
  <c r="BB587" i="275"/>
  <c r="BA587" i="275"/>
  <c r="AE587" i="275"/>
  <c r="AD587" i="275"/>
  <c r="AC587" i="275"/>
  <c r="Y587" i="275"/>
  <c r="X587" i="275"/>
  <c r="W587" i="275"/>
  <c r="V587" i="275"/>
  <c r="U587" i="275"/>
  <c r="T587" i="275"/>
  <c r="S587" i="275"/>
  <c r="R587" i="275"/>
  <c r="Q587" i="275"/>
  <c r="P587" i="275"/>
  <c r="O587" i="275"/>
  <c r="N587" i="275"/>
  <c r="M587" i="275"/>
  <c r="L587" i="275"/>
  <c r="K587" i="275"/>
  <c r="J587" i="275"/>
  <c r="I587" i="275"/>
  <c r="H587" i="275"/>
  <c r="BD586" i="275"/>
  <c r="BC586" i="275"/>
  <c r="BB586" i="275"/>
  <c r="BA586" i="275"/>
  <c r="AE586" i="275"/>
  <c r="AD586" i="275"/>
  <c r="AC586" i="275"/>
  <c r="Y586" i="275"/>
  <c r="X586" i="275"/>
  <c r="W586" i="275"/>
  <c r="V586" i="275"/>
  <c r="U586" i="275"/>
  <c r="T586" i="275"/>
  <c r="S586" i="275"/>
  <c r="R586" i="275"/>
  <c r="Q586" i="275"/>
  <c r="P586" i="275"/>
  <c r="O586" i="275"/>
  <c r="N586" i="275"/>
  <c r="M586" i="275"/>
  <c r="L586" i="275"/>
  <c r="K586" i="275"/>
  <c r="J586" i="275"/>
  <c r="I586" i="275"/>
  <c r="H586" i="275"/>
  <c r="BD585" i="275"/>
  <c r="BC585" i="275"/>
  <c r="BB585" i="275"/>
  <c r="BA585" i="275"/>
  <c r="AE585" i="275"/>
  <c r="AD585" i="275"/>
  <c r="AC585" i="275"/>
  <c r="Y585" i="275"/>
  <c r="X585" i="275"/>
  <c r="W585" i="275"/>
  <c r="V585" i="275"/>
  <c r="U585" i="275"/>
  <c r="T585" i="275"/>
  <c r="S585" i="275"/>
  <c r="R585" i="275"/>
  <c r="Q585" i="275"/>
  <c r="P585" i="275"/>
  <c r="O585" i="275"/>
  <c r="N585" i="275"/>
  <c r="M585" i="275"/>
  <c r="L585" i="275"/>
  <c r="K585" i="275"/>
  <c r="J585" i="275"/>
  <c r="I585" i="275"/>
  <c r="H585" i="275"/>
  <c r="BD581" i="275"/>
  <c r="BC581" i="275"/>
  <c r="BB581" i="275"/>
  <c r="BA581" i="275"/>
  <c r="AE581" i="275"/>
  <c r="AD581" i="275"/>
  <c r="AC581" i="275"/>
  <c r="Y581" i="275"/>
  <c r="X581" i="275"/>
  <c r="W581" i="275"/>
  <c r="V581" i="275"/>
  <c r="U581" i="275"/>
  <c r="T581" i="275"/>
  <c r="S581" i="275"/>
  <c r="R581" i="275"/>
  <c r="Q581" i="275"/>
  <c r="P581" i="275"/>
  <c r="O581" i="275"/>
  <c r="N581" i="275"/>
  <c r="M581" i="275"/>
  <c r="L581" i="275"/>
  <c r="K581" i="275"/>
  <c r="J581" i="275"/>
  <c r="I581" i="275"/>
  <c r="H581" i="275"/>
  <c r="BD578" i="275"/>
  <c r="BC578" i="275"/>
  <c r="BB578" i="275"/>
  <c r="BA578" i="275"/>
  <c r="AE578" i="275"/>
  <c r="AD578" i="275"/>
  <c r="AC578" i="275"/>
  <c r="Y578" i="275"/>
  <c r="X578" i="275"/>
  <c r="W578" i="275"/>
  <c r="V578" i="275"/>
  <c r="U578" i="275"/>
  <c r="T578" i="275"/>
  <c r="S578" i="275"/>
  <c r="R578" i="275"/>
  <c r="Q578" i="275"/>
  <c r="P578" i="275"/>
  <c r="O578" i="275"/>
  <c r="N578" i="275"/>
  <c r="M578" i="275"/>
  <c r="L578" i="275"/>
  <c r="K578" i="275"/>
  <c r="J578" i="275"/>
  <c r="I578" i="275"/>
  <c r="H578" i="275"/>
  <c r="BD577" i="275"/>
  <c r="BC577" i="275"/>
  <c r="BB577" i="275"/>
  <c r="BA577" i="275"/>
  <c r="AE577" i="275"/>
  <c r="AD577" i="275"/>
  <c r="AC577" i="275"/>
  <c r="Y577" i="275"/>
  <c r="X577" i="275"/>
  <c r="W577" i="275"/>
  <c r="V577" i="275"/>
  <c r="U577" i="275"/>
  <c r="T577" i="275"/>
  <c r="S577" i="275"/>
  <c r="R577" i="275"/>
  <c r="Q577" i="275"/>
  <c r="P577" i="275"/>
  <c r="O577" i="275"/>
  <c r="N577" i="275"/>
  <c r="M577" i="275"/>
  <c r="L577" i="275"/>
  <c r="K577" i="275"/>
  <c r="J577" i="275"/>
  <c r="I577" i="275"/>
  <c r="H577" i="275"/>
  <c r="BD576" i="275"/>
  <c r="BC576" i="275"/>
  <c r="BB576" i="275"/>
  <c r="BA576" i="275"/>
  <c r="AE576" i="275"/>
  <c r="AD576" i="275"/>
  <c r="AC576" i="275"/>
  <c r="Y576" i="275"/>
  <c r="X576" i="275"/>
  <c r="W576" i="275"/>
  <c r="V576" i="275"/>
  <c r="U576" i="275"/>
  <c r="T576" i="275"/>
  <c r="S576" i="275"/>
  <c r="R576" i="275"/>
  <c r="Q576" i="275"/>
  <c r="P576" i="275"/>
  <c r="O576" i="275"/>
  <c r="N576" i="275"/>
  <c r="M576" i="275"/>
  <c r="L576" i="275"/>
  <c r="K576" i="275"/>
  <c r="J576" i="275"/>
  <c r="I576" i="275"/>
  <c r="H576" i="275"/>
  <c r="BD575" i="275"/>
  <c r="BC575" i="275"/>
  <c r="BB575" i="275"/>
  <c r="BA575" i="275"/>
  <c r="AE575" i="275"/>
  <c r="AD575" i="275"/>
  <c r="AC575" i="275"/>
  <c r="Y575" i="275"/>
  <c r="X575" i="275"/>
  <c r="W575" i="275"/>
  <c r="V575" i="275"/>
  <c r="U575" i="275"/>
  <c r="T575" i="275"/>
  <c r="S575" i="275"/>
  <c r="R575" i="275"/>
  <c r="Q575" i="275"/>
  <c r="P575" i="275"/>
  <c r="O575" i="275"/>
  <c r="N575" i="275"/>
  <c r="M575" i="275"/>
  <c r="L575" i="275"/>
  <c r="K575" i="275"/>
  <c r="J575" i="275"/>
  <c r="I575" i="275"/>
  <c r="H575" i="275"/>
  <c r="BD574" i="275"/>
  <c r="BC574" i="275"/>
  <c r="BB574" i="275"/>
  <c r="BA574" i="275"/>
  <c r="AE574" i="275"/>
  <c r="AD574" i="275"/>
  <c r="AC574" i="275"/>
  <c r="Y574" i="275"/>
  <c r="X574" i="275"/>
  <c r="W574" i="275"/>
  <c r="V574" i="275"/>
  <c r="U574" i="275"/>
  <c r="T574" i="275"/>
  <c r="S574" i="275"/>
  <c r="R574" i="275"/>
  <c r="Q574" i="275"/>
  <c r="P574" i="275"/>
  <c r="O574" i="275"/>
  <c r="N574" i="275"/>
  <c r="M574" i="275"/>
  <c r="L574" i="275"/>
  <c r="K574" i="275"/>
  <c r="J574" i="275"/>
  <c r="I574" i="275"/>
  <c r="H574" i="275"/>
  <c r="Y558" i="275"/>
  <c r="X558" i="275"/>
  <c r="W558" i="275"/>
  <c r="V558" i="275"/>
  <c r="U558" i="275"/>
  <c r="T558" i="275"/>
  <c r="S558" i="275"/>
  <c r="R558" i="275"/>
  <c r="Q558" i="275"/>
  <c r="P558" i="275"/>
  <c r="O558" i="275"/>
  <c r="N558" i="275"/>
  <c r="M558" i="275"/>
  <c r="L558" i="275"/>
  <c r="K558" i="275"/>
  <c r="J558" i="275"/>
  <c r="I558" i="275"/>
  <c r="H558" i="275"/>
  <c r="Y548" i="275"/>
  <c r="X548" i="275"/>
  <c r="W548" i="275"/>
  <c r="V548" i="275"/>
  <c r="U548" i="275"/>
  <c r="T548" i="275"/>
  <c r="S548" i="275"/>
  <c r="R548" i="275"/>
  <c r="Q548" i="275"/>
  <c r="P548" i="275"/>
  <c r="O548" i="275"/>
  <c r="N548" i="275"/>
  <c r="M548" i="275"/>
  <c r="L548" i="275"/>
  <c r="K548" i="275"/>
  <c r="J548" i="275"/>
  <c r="I548" i="275"/>
  <c r="H548" i="275"/>
  <c r="Y538" i="275"/>
  <c r="X538" i="275"/>
  <c r="W538" i="275"/>
  <c r="V538" i="275"/>
  <c r="U538" i="275"/>
  <c r="T538" i="275"/>
  <c r="S538" i="275"/>
  <c r="R538" i="275"/>
  <c r="Q538" i="275"/>
  <c r="P538" i="275"/>
  <c r="O538" i="275"/>
  <c r="N538" i="275"/>
  <c r="M538" i="275"/>
  <c r="L538" i="275"/>
  <c r="K538" i="275"/>
  <c r="J538" i="275"/>
  <c r="I538" i="275"/>
  <c r="H538" i="275"/>
  <c r="BD533" i="275"/>
  <c r="BC533" i="275"/>
  <c r="BB533" i="275"/>
  <c r="BA533" i="275"/>
  <c r="AE533" i="275"/>
  <c r="AD533" i="275"/>
  <c r="AC533" i="275"/>
  <c r="Y533" i="275"/>
  <c r="X533" i="275"/>
  <c r="W533" i="275"/>
  <c r="V533" i="275"/>
  <c r="U533" i="275"/>
  <c r="T533" i="275"/>
  <c r="S533" i="275"/>
  <c r="R533" i="275"/>
  <c r="Q533" i="275"/>
  <c r="P533" i="275"/>
  <c r="O533" i="275"/>
  <c r="N533" i="275"/>
  <c r="M533" i="275"/>
  <c r="L533" i="275"/>
  <c r="K533" i="275"/>
  <c r="J533" i="275"/>
  <c r="I533" i="275"/>
  <c r="H533" i="275"/>
  <c r="BD532" i="275"/>
  <c r="BC532" i="275"/>
  <c r="BB532" i="275"/>
  <c r="BA532" i="275"/>
  <c r="AE532" i="275"/>
  <c r="AD532" i="275"/>
  <c r="BD531" i="275"/>
  <c r="BC531" i="275"/>
  <c r="BB531" i="275"/>
  <c r="BA531" i="275"/>
  <c r="AE531" i="275"/>
  <c r="AD531" i="275"/>
  <c r="AC531" i="275"/>
  <c r="Y531" i="275"/>
  <c r="X531" i="275"/>
  <c r="W531" i="275"/>
  <c r="V531" i="275"/>
  <c r="U531" i="275"/>
  <c r="T531" i="275"/>
  <c r="S531" i="275"/>
  <c r="R531" i="275"/>
  <c r="Q531" i="275"/>
  <c r="P531" i="275"/>
  <c r="O531" i="275"/>
  <c r="N531" i="275"/>
  <c r="M531" i="275"/>
  <c r="L531" i="275"/>
  <c r="K531" i="275"/>
  <c r="J531" i="275"/>
  <c r="I531" i="275"/>
  <c r="H531" i="275"/>
  <c r="BD530" i="275"/>
  <c r="BC530" i="275"/>
  <c r="BB530" i="275"/>
  <c r="BA530" i="275"/>
  <c r="AE530" i="275"/>
  <c r="AD530" i="275"/>
  <c r="AC530" i="275"/>
  <c r="Y530" i="275"/>
  <c r="X530" i="275"/>
  <c r="W530" i="275"/>
  <c r="V530" i="275"/>
  <c r="U530" i="275"/>
  <c r="T530" i="275"/>
  <c r="S530" i="275"/>
  <c r="R530" i="275"/>
  <c r="Q530" i="275"/>
  <c r="P530" i="275"/>
  <c r="O530" i="275"/>
  <c r="N530" i="275"/>
  <c r="M530" i="275"/>
  <c r="L530" i="275"/>
  <c r="K530" i="275"/>
  <c r="J530" i="275"/>
  <c r="I530" i="275"/>
  <c r="H530" i="275"/>
  <c r="BD529" i="275"/>
  <c r="BC529" i="275"/>
  <c r="BB529" i="275"/>
  <c r="BA529" i="275"/>
  <c r="AE529" i="275"/>
  <c r="AD529" i="275"/>
  <c r="AC529" i="275"/>
  <c r="Y529" i="275"/>
  <c r="X529" i="275"/>
  <c r="W529" i="275"/>
  <c r="V529" i="275"/>
  <c r="U529" i="275"/>
  <c r="T529" i="275"/>
  <c r="S529" i="275"/>
  <c r="R529" i="275"/>
  <c r="Q529" i="275"/>
  <c r="P529" i="275"/>
  <c r="O529" i="275"/>
  <c r="N529" i="275"/>
  <c r="M529" i="275"/>
  <c r="L529" i="275"/>
  <c r="K529" i="275"/>
  <c r="J529" i="275"/>
  <c r="I529" i="275"/>
  <c r="H529" i="275"/>
  <c r="BD525" i="275"/>
  <c r="BC525" i="275"/>
  <c r="BB525" i="275"/>
  <c r="BA525" i="275"/>
  <c r="AE525" i="275"/>
  <c r="AD525" i="275"/>
  <c r="AC525" i="275"/>
  <c r="Y525" i="275"/>
  <c r="X525" i="275"/>
  <c r="W525" i="275"/>
  <c r="V525" i="275"/>
  <c r="U525" i="275"/>
  <c r="T525" i="275"/>
  <c r="S525" i="275"/>
  <c r="R525" i="275"/>
  <c r="Q525" i="275"/>
  <c r="P525" i="275"/>
  <c r="O525" i="275"/>
  <c r="N525" i="275"/>
  <c r="M525" i="275"/>
  <c r="L525" i="275"/>
  <c r="K525" i="275"/>
  <c r="J525" i="275"/>
  <c r="I525" i="275"/>
  <c r="H525" i="275"/>
  <c r="BD524" i="275"/>
  <c r="BC524" i="275"/>
  <c r="BB524" i="275"/>
  <c r="BA524" i="275"/>
  <c r="AE524" i="275"/>
  <c r="AD524" i="275"/>
  <c r="AC524" i="275"/>
  <c r="Y524" i="275"/>
  <c r="X524" i="275"/>
  <c r="W524" i="275"/>
  <c r="V524" i="275"/>
  <c r="U524" i="275"/>
  <c r="T524" i="275"/>
  <c r="S524" i="275"/>
  <c r="R524" i="275"/>
  <c r="Q524" i="275"/>
  <c r="P524" i="275"/>
  <c r="O524" i="275"/>
  <c r="N524" i="275"/>
  <c r="M524" i="275"/>
  <c r="L524" i="275"/>
  <c r="K524" i="275"/>
  <c r="J524" i="275"/>
  <c r="I524" i="275"/>
  <c r="H524" i="275"/>
  <c r="BD521" i="275"/>
  <c r="BC521" i="275"/>
  <c r="BB521" i="275"/>
  <c r="BA521" i="275"/>
  <c r="AE521" i="275"/>
  <c r="AD521" i="275"/>
  <c r="AC521" i="275"/>
  <c r="Y521" i="275"/>
  <c r="X521" i="275"/>
  <c r="W521" i="275"/>
  <c r="V521" i="275"/>
  <c r="U521" i="275"/>
  <c r="T521" i="275"/>
  <c r="S521" i="275"/>
  <c r="R521" i="275"/>
  <c r="Q521" i="275"/>
  <c r="P521" i="275"/>
  <c r="O521" i="275"/>
  <c r="N521" i="275"/>
  <c r="M521" i="275"/>
  <c r="L521" i="275"/>
  <c r="K521" i="275"/>
  <c r="J521" i="275"/>
  <c r="I521" i="275"/>
  <c r="H521" i="275"/>
  <c r="BD520" i="275"/>
  <c r="BC520" i="275"/>
  <c r="BB520" i="275"/>
  <c r="BA520" i="275"/>
  <c r="AE520" i="275"/>
  <c r="AD520" i="275"/>
  <c r="BD519" i="275"/>
  <c r="BC519" i="275"/>
  <c r="BB519" i="275"/>
  <c r="BA519" i="275"/>
  <c r="AE519" i="275"/>
  <c r="AD519" i="275"/>
  <c r="AC519" i="275"/>
  <c r="Y519" i="275"/>
  <c r="X519" i="275"/>
  <c r="W519" i="275"/>
  <c r="V519" i="275"/>
  <c r="U519" i="275"/>
  <c r="T519" i="275"/>
  <c r="S519" i="275"/>
  <c r="R519" i="275"/>
  <c r="Q519" i="275"/>
  <c r="P519" i="275"/>
  <c r="O519" i="275"/>
  <c r="N519" i="275"/>
  <c r="M519" i="275"/>
  <c r="L519" i="275"/>
  <c r="K519" i="275"/>
  <c r="J519" i="275"/>
  <c r="I519" i="275"/>
  <c r="H519" i="275"/>
  <c r="BD518" i="275"/>
  <c r="BC518" i="275"/>
  <c r="BB518" i="275"/>
  <c r="BA518" i="275"/>
  <c r="AE518" i="275"/>
  <c r="AD518" i="275"/>
  <c r="AC518" i="275"/>
  <c r="Y518" i="275"/>
  <c r="X518" i="275"/>
  <c r="W518" i="275"/>
  <c r="V518" i="275"/>
  <c r="U518" i="275"/>
  <c r="T518" i="275"/>
  <c r="S518" i="275"/>
  <c r="R518" i="275"/>
  <c r="Q518" i="275"/>
  <c r="P518" i="275"/>
  <c r="O518" i="275"/>
  <c r="N518" i="275"/>
  <c r="M518" i="275"/>
  <c r="L518" i="275"/>
  <c r="K518" i="275"/>
  <c r="J518" i="275"/>
  <c r="I518" i="275"/>
  <c r="H518" i="275"/>
  <c r="BD517" i="275"/>
  <c r="BC517" i="275"/>
  <c r="BB517" i="275"/>
  <c r="BA517" i="275"/>
  <c r="AE517" i="275"/>
  <c r="AD517" i="275"/>
  <c r="AC517" i="275"/>
  <c r="Y517" i="275"/>
  <c r="X517" i="275"/>
  <c r="W517" i="275"/>
  <c r="V517" i="275"/>
  <c r="U517" i="275"/>
  <c r="T517" i="275"/>
  <c r="S517" i="275"/>
  <c r="R517" i="275"/>
  <c r="Q517" i="275"/>
  <c r="P517" i="275"/>
  <c r="O517" i="275"/>
  <c r="N517" i="275"/>
  <c r="M517" i="275"/>
  <c r="L517" i="275"/>
  <c r="K517" i="275"/>
  <c r="J517" i="275"/>
  <c r="I517" i="275"/>
  <c r="H517" i="275"/>
  <c r="Y504" i="275"/>
  <c r="X504" i="275"/>
  <c r="W504" i="275"/>
  <c r="V504" i="275"/>
  <c r="U504" i="275"/>
  <c r="T504" i="275"/>
  <c r="S504" i="275"/>
  <c r="R504" i="275"/>
  <c r="Q504" i="275"/>
  <c r="P504" i="275"/>
  <c r="O504" i="275"/>
  <c r="N504" i="275"/>
  <c r="M504" i="275"/>
  <c r="L504" i="275"/>
  <c r="K504" i="275"/>
  <c r="J504" i="275"/>
  <c r="I504" i="275"/>
  <c r="H504" i="275"/>
  <c r="Y497" i="275"/>
  <c r="X497" i="275"/>
  <c r="W497" i="275"/>
  <c r="V497" i="275"/>
  <c r="U497" i="275"/>
  <c r="T497" i="275"/>
  <c r="S497" i="275"/>
  <c r="R497" i="275"/>
  <c r="Q497" i="275"/>
  <c r="P497" i="275"/>
  <c r="O497" i="275"/>
  <c r="N497" i="275"/>
  <c r="M497" i="275"/>
  <c r="L497" i="275"/>
  <c r="K497" i="275"/>
  <c r="J497" i="275"/>
  <c r="I497" i="275"/>
  <c r="H497" i="275"/>
  <c r="Y496" i="275"/>
  <c r="X496" i="275"/>
  <c r="W496" i="275"/>
  <c r="V496" i="275"/>
  <c r="U496" i="275"/>
  <c r="T496" i="275"/>
  <c r="S496" i="275"/>
  <c r="R496" i="275"/>
  <c r="Q496" i="275"/>
  <c r="P496" i="275"/>
  <c r="O496" i="275"/>
  <c r="N496" i="275"/>
  <c r="M496" i="275"/>
  <c r="L496" i="275"/>
  <c r="K496" i="275"/>
  <c r="J496" i="275"/>
  <c r="I496" i="275"/>
  <c r="H496" i="275"/>
  <c r="Y494" i="275"/>
  <c r="X494" i="275"/>
  <c r="W494" i="275"/>
  <c r="V494" i="275"/>
  <c r="U494" i="275"/>
  <c r="T494" i="275"/>
  <c r="S494" i="275"/>
  <c r="R494" i="275"/>
  <c r="Q494" i="275"/>
  <c r="P494" i="275"/>
  <c r="O494" i="275"/>
  <c r="N494" i="275"/>
  <c r="M494" i="275"/>
  <c r="L494" i="275"/>
  <c r="K494" i="275"/>
  <c r="J494" i="275"/>
  <c r="I494" i="275"/>
  <c r="H494" i="275"/>
  <c r="Y491" i="275"/>
  <c r="X491" i="275"/>
  <c r="W491" i="275"/>
  <c r="V491" i="275"/>
  <c r="U491" i="275"/>
  <c r="T491" i="275"/>
  <c r="S491" i="275"/>
  <c r="R491" i="275"/>
  <c r="Q491" i="275"/>
  <c r="P491" i="275"/>
  <c r="O491" i="275"/>
  <c r="N491" i="275"/>
  <c r="M491" i="275"/>
  <c r="L491" i="275"/>
  <c r="K491" i="275"/>
  <c r="J491" i="275"/>
  <c r="I491" i="275"/>
  <c r="H491" i="275"/>
  <c r="Y484" i="275"/>
  <c r="X484" i="275"/>
  <c r="W484" i="275"/>
  <c r="V484" i="275"/>
  <c r="U484" i="275"/>
  <c r="T484" i="275"/>
  <c r="S484" i="275"/>
  <c r="R484" i="275"/>
  <c r="Q484" i="275"/>
  <c r="P484" i="275"/>
  <c r="O484" i="275"/>
  <c r="N484" i="275"/>
  <c r="M484" i="275"/>
  <c r="L484" i="275"/>
  <c r="K484" i="275"/>
  <c r="J484" i="275"/>
  <c r="I484" i="275"/>
  <c r="H484" i="275"/>
  <c r="Y483" i="275"/>
  <c r="X483" i="275"/>
  <c r="W483" i="275"/>
  <c r="V483" i="275"/>
  <c r="U483" i="275"/>
  <c r="T483" i="275"/>
  <c r="S483" i="275"/>
  <c r="R483" i="275"/>
  <c r="Q483" i="275"/>
  <c r="P483" i="275"/>
  <c r="O483" i="275"/>
  <c r="N483" i="275"/>
  <c r="M483" i="275"/>
  <c r="L483" i="275"/>
  <c r="K483" i="275"/>
  <c r="J483" i="275"/>
  <c r="I483" i="275"/>
  <c r="H483" i="275"/>
  <c r="Y482" i="275"/>
  <c r="X482" i="275"/>
  <c r="W482" i="275"/>
  <c r="V482" i="275"/>
  <c r="U482" i="275"/>
  <c r="T482" i="275"/>
  <c r="S482" i="275"/>
  <c r="R482" i="275"/>
  <c r="Q482" i="275"/>
  <c r="P482" i="275"/>
  <c r="O482" i="275"/>
  <c r="N482" i="275"/>
  <c r="M482" i="275"/>
  <c r="L482" i="275"/>
  <c r="K482" i="275"/>
  <c r="J482" i="275"/>
  <c r="I482" i="275"/>
  <c r="H482" i="275"/>
  <c r="Y481" i="275"/>
  <c r="X481" i="275"/>
  <c r="W481" i="275"/>
  <c r="V481" i="275"/>
  <c r="U481" i="275"/>
  <c r="T481" i="275"/>
  <c r="S481" i="275"/>
  <c r="R481" i="275"/>
  <c r="Q481" i="275"/>
  <c r="P481" i="275"/>
  <c r="O481" i="275"/>
  <c r="N481" i="275"/>
  <c r="M481" i="275"/>
  <c r="L481" i="275"/>
  <c r="K481" i="275"/>
  <c r="J481" i="275"/>
  <c r="I481" i="275"/>
  <c r="H481" i="275"/>
  <c r="Y478" i="275"/>
  <c r="X478" i="275"/>
  <c r="W478" i="275"/>
  <c r="V478" i="275"/>
  <c r="U478" i="275"/>
  <c r="T478" i="275"/>
  <c r="S478" i="275"/>
  <c r="R478" i="275"/>
  <c r="Q478" i="275"/>
  <c r="P478" i="275"/>
  <c r="O478" i="275"/>
  <c r="N478" i="275"/>
  <c r="M478" i="275"/>
  <c r="L478" i="275"/>
  <c r="K478" i="275"/>
  <c r="J478" i="275"/>
  <c r="I478" i="275"/>
  <c r="H478" i="275"/>
  <c r="Y475" i="275"/>
  <c r="X475" i="275"/>
  <c r="W475" i="275"/>
  <c r="V475" i="275"/>
  <c r="U475" i="275"/>
  <c r="T475" i="275"/>
  <c r="S475" i="275"/>
  <c r="R475" i="275"/>
  <c r="Q475" i="275"/>
  <c r="P475" i="275"/>
  <c r="O475" i="275"/>
  <c r="N475" i="275"/>
  <c r="M475" i="275"/>
  <c r="L475" i="275"/>
  <c r="K475" i="275"/>
  <c r="J475" i="275"/>
  <c r="I475" i="275"/>
  <c r="H475" i="275"/>
  <c r="Y474" i="275"/>
  <c r="X474" i="275"/>
  <c r="W474" i="275"/>
  <c r="V474" i="275"/>
  <c r="U474" i="275"/>
  <c r="T474" i="275"/>
  <c r="S474" i="275"/>
  <c r="R474" i="275"/>
  <c r="Q474" i="275"/>
  <c r="P474" i="275"/>
  <c r="O474" i="275"/>
  <c r="N474" i="275"/>
  <c r="M474" i="275"/>
  <c r="L474" i="275"/>
  <c r="K474" i="275"/>
  <c r="J474" i="275"/>
  <c r="I474" i="275"/>
  <c r="H474" i="275"/>
  <c r="Y473" i="275"/>
  <c r="X473" i="275"/>
  <c r="W473" i="275"/>
  <c r="V473" i="275"/>
  <c r="U473" i="275"/>
  <c r="T473" i="275"/>
  <c r="S473" i="275"/>
  <c r="R473" i="275"/>
  <c r="Q473" i="275"/>
  <c r="P473" i="275"/>
  <c r="O473" i="275"/>
  <c r="N473" i="275"/>
  <c r="M473" i="275"/>
  <c r="L473" i="275"/>
  <c r="K473" i="275"/>
  <c r="J473" i="275"/>
  <c r="I473" i="275"/>
  <c r="H473" i="275"/>
  <c r="Y471" i="275"/>
  <c r="X471" i="275"/>
  <c r="W471" i="275"/>
  <c r="V471" i="275"/>
  <c r="U471" i="275"/>
  <c r="T471" i="275"/>
  <c r="S471" i="275"/>
  <c r="R471" i="275"/>
  <c r="Q471" i="275"/>
  <c r="P471" i="275"/>
  <c r="O471" i="275"/>
  <c r="N471" i="275"/>
  <c r="M471" i="275"/>
  <c r="L471" i="275"/>
  <c r="K471" i="275"/>
  <c r="J471" i="275"/>
  <c r="I471" i="275"/>
  <c r="H471" i="275"/>
  <c r="Y470" i="275"/>
  <c r="X470" i="275"/>
  <c r="W470" i="275"/>
  <c r="V470" i="275"/>
  <c r="U470" i="275"/>
  <c r="T470" i="275"/>
  <c r="S470" i="275"/>
  <c r="R470" i="275"/>
  <c r="Q470" i="275"/>
  <c r="P470" i="275"/>
  <c r="O470" i="275"/>
  <c r="N470" i="275"/>
  <c r="M470" i="275"/>
  <c r="L470" i="275"/>
  <c r="K470" i="275"/>
  <c r="J470" i="275"/>
  <c r="I470" i="275"/>
  <c r="H470" i="275"/>
  <c r="Y469" i="275"/>
  <c r="X469" i="275"/>
  <c r="W469" i="275"/>
  <c r="V469" i="275"/>
  <c r="U469" i="275"/>
  <c r="T469" i="275"/>
  <c r="S469" i="275"/>
  <c r="R469" i="275"/>
  <c r="Q469" i="275"/>
  <c r="P469" i="275"/>
  <c r="O469" i="275"/>
  <c r="N469" i="275"/>
  <c r="M469" i="275"/>
  <c r="L469" i="275"/>
  <c r="K469" i="275"/>
  <c r="J469" i="275"/>
  <c r="I469" i="275"/>
  <c r="H469" i="275"/>
  <c r="Y457" i="275"/>
  <c r="X457" i="275"/>
  <c r="W457" i="275"/>
  <c r="V457" i="275"/>
  <c r="U457" i="275"/>
  <c r="T457" i="275"/>
  <c r="S457" i="275"/>
  <c r="R457" i="275"/>
  <c r="Q457" i="275"/>
  <c r="P457" i="275"/>
  <c r="O457" i="275"/>
  <c r="N457" i="275"/>
  <c r="M457" i="275"/>
  <c r="L457" i="275"/>
  <c r="K457" i="275"/>
  <c r="J457" i="275"/>
  <c r="I457" i="275"/>
  <c r="H457" i="275"/>
  <c r="BD455" i="275"/>
  <c r="BC455" i="275"/>
  <c r="BB455" i="275"/>
  <c r="BA455" i="275"/>
  <c r="AE455" i="275"/>
  <c r="AD455" i="275"/>
  <c r="BD439" i="275"/>
  <c r="BC439" i="275"/>
  <c r="BB439" i="275"/>
  <c r="BA439" i="275"/>
  <c r="AE439" i="275"/>
  <c r="AD439" i="275"/>
  <c r="AC439" i="275"/>
  <c r="Y439" i="275"/>
  <c r="X439" i="275"/>
  <c r="W439" i="275"/>
  <c r="V439" i="275"/>
  <c r="U439" i="275"/>
  <c r="T439" i="275"/>
  <c r="S439" i="275"/>
  <c r="R439" i="275"/>
  <c r="Q439" i="275"/>
  <c r="P439" i="275"/>
  <c r="O439" i="275"/>
  <c r="N439" i="275"/>
  <c r="M439" i="275"/>
  <c r="L439" i="275"/>
  <c r="K439" i="275"/>
  <c r="J439" i="275"/>
  <c r="I439" i="275"/>
  <c r="H439" i="275"/>
  <c r="BD438" i="275"/>
  <c r="BC438" i="275"/>
  <c r="BB438" i="275"/>
  <c r="BA438" i="275"/>
  <c r="AE438" i="275"/>
  <c r="AD438" i="275"/>
  <c r="AC438" i="275"/>
  <c r="Y438" i="275"/>
  <c r="X438" i="275"/>
  <c r="W438" i="275"/>
  <c r="V438" i="275"/>
  <c r="U438" i="275"/>
  <c r="T438" i="275"/>
  <c r="S438" i="275"/>
  <c r="R438" i="275"/>
  <c r="Q438" i="275"/>
  <c r="P438" i="275"/>
  <c r="O438" i="275"/>
  <c r="N438" i="275"/>
  <c r="M438" i="275"/>
  <c r="L438" i="275"/>
  <c r="K438" i="275"/>
  <c r="J438" i="275"/>
  <c r="I438" i="275"/>
  <c r="H438" i="275"/>
  <c r="Y436" i="275"/>
  <c r="X436" i="275"/>
  <c r="W436" i="275"/>
  <c r="V436" i="275"/>
  <c r="U436" i="275"/>
  <c r="T436" i="275"/>
  <c r="S436" i="275"/>
  <c r="R436" i="275"/>
  <c r="Q436" i="275"/>
  <c r="P436" i="275"/>
  <c r="O436" i="275"/>
  <c r="N436" i="275"/>
  <c r="M436" i="275"/>
  <c r="L436" i="275"/>
  <c r="K436" i="275"/>
  <c r="J436" i="275"/>
  <c r="I436" i="275"/>
  <c r="H436" i="275"/>
  <c r="Y435" i="275"/>
  <c r="X435" i="275"/>
  <c r="W435" i="275"/>
  <c r="V435" i="275"/>
  <c r="U435" i="275"/>
  <c r="T435" i="275"/>
  <c r="S435" i="275"/>
  <c r="R435" i="275"/>
  <c r="Q435" i="275"/>
  <c r="P435" i="275"/>
  <c r="O435" i="275"/>
  <c r="N435" i="275"/>
  <c r="M435" i="275"/>
  <c r="L435" i="275"/>
  <c r="K435" i="275"/>
  <c r="J435" i="275"/>
  <c r="I435" i="275"/>
  <c r="H435" i="275"/>
  <c r="BD425" i="275"/>
  <c r="BC425" i="275"/>
  <c r="BB425" i="275"/>
  <c r="BA425" i="275"/>
  <c r="AE425" i="275"/>
  <c r="AD425" i="275"/>
  <c r="AC425" i="275"/>
  <c r="Y425" i="275"/>
  <c r="X425" i="275"/>
  <c r="W425" i="275"/>
  <c r="V425" i="275"/>
  <c r="U425" i="275"/>
  <c r="T425" i="275"/>
  <c r="S425" i="275"/>
  <c r="R425" i="275"/>
  <c r="Q425" i="275"/>
  <c r="P425" i="275"/>
  <c r="O425" i="275"/>
  <c r="N425" i="275"/>
  <c r="M425" i="275"/>
  <c r="L425" i="275"/>
  <c r="K425" i="275"/>
  <c r="J425" i="275"/>
  <c r="I425" i="275"/>
  <c r="H425" i="275"/>
  <c r="Y422" i="275"/>
  <c r="X422" i="275"/>
  <c r="W422" i="275"/>
  <c r="V422" i="275"/>
  <c r="U422" i="275"/>
  <c r="T422" i="275"/>
  <c r="S422" i="275"/>
  <c r="R422" i="275"/>
  <c r="Q422" i="275"/>
  <c r="P422" i="275"/>
  <c r="O422" i="275"/>
  <c r="N422" i="275"/>
  <c r="M422" i="275"/>
  <c r="L422" i="275"/>
  <c r="K422" i="275"/>
  <c r="J422" i="275"/>
  <c r="I422" i="275"/>
  <c r="H422" i="275"/>
  <c r="BD421" i="275"/>
  <c r="BC421" i="275"/>
  <c r="BB421" i="275"/>
  <c r="BA421" i="275"/>
  <c r="AE421" i="275"/>
  <c r="AD421" i="275"/>
  <c r="AC421" i="275"/>
  <c r="Y421" i="275"/>
  <c r="X421" i="275"/>
  <c r="W421" i="275"/>
  <c r="V421" i="275"/>
  <c r="U421" i="275"/>
  <c r="T421" i="275"/>
  <c r="S421" i="275"/>
  <c r="R421" i="275"/>
  <c r="Q421" i="275"/>
  <c r="P421" i="275"/>
  <c r="O421" i="275"/>
  <c r="N421" i="275"/>
  <c r="M421" i="275"/>
  <c r="L421" i="275"/>
  <c r="K421" i="275"/>
  <c r="J421" i="275"/>
  <c r="I421" i="275"/>
  <c r="H421" i="275"/>
  <c r="Y416" i="275"/>
  <c r="X416" i="275"/>
  <c r="W416" i="275"/>
  <c r="V416" i="275"/>
  <c r="U416" i="275"/>
  <c r="T416" i="275"/>
  <c r="S416" i="275"/>
  <c r="R416" i="275"/>
  <c r="Q416" i="275"/>
  <c r="P416" i="275"/>
  <c r="O416" i="275"/>
  <c r="N416" i="275"/>
  <c r="M416" i="275"/>
  <c r="L416" i="275"/>
  <c r="K416" i="275"/>
  <c r="J416" i="275"/>
  <c r="I416" i="275"/>
  <c r="H416" i="275"/>
  <c r="Y413" i="275"/>
  <c r="X413" i="275"/>
  <c r="W413" i="275"/>
  <c r="V413" i="275"/>
  <c r="U413" i="275"/>
  <c r="T413" i="275"/>
  <c r="S413" i="275"/>
  <c r="R413" i="275"/>
  <c r="Q413" i="275"/>
  <c r="P413" i="275"/>
  <c r="O413" i="275"/>
  <c r="N413" i="275"/>
  <c r="M413" i="275"/>
  <c r="L413" i="275"/>
  <c r="K413" i="275"/>
  <c r="J413" i="275"/>
  <c r="I413" i="275"/>
  <c r="H413" i="275"/>
  <c r="Y412" i="275"/>
  <c r="X412" i="275"/>
  <c r="W412" i="275"/>
  <c r="V412" i="275"/>
  <c r="U412" i="275"/>
  <c r="T412" i="275"/>
  <c r="S412" i="275"/>
  <c r="R412" i="275"/>
  <c r="Q412" i="275"/>
  <c r="P412" i="275"/>
  <c r="O412" i="275"/>
  <c r="N412" i="275"/>
  <c r="M412" i="275"/>
  <c r="L412" i="275"/>
  <c r="K412" i="275"/>
  <c r="J412" i="275"/>
  <c r="I412" i="275"/>
  <c r="H412" i="275"/>
  <c r="Y411" i="275"/>
  <c r="X411" i="275"/>
  <c r="W411" i="275"/>
  <c r="V411" i="275"/>
  <c r="U411" i="275"/>
  <c r="T411" i="275"/>
  <c r="S411" i="275"/>
  <c r="R411" i="275"/>
  <c r="Q411" i="275"/>
  <c r="P411" i="275"/>
  <c r="O411" i="275"/>
  <c r="N411" i="275"/>
  <c r="M411" i="275"/>
  <c r="L411" i="275"/>
  <c r="K411" i="275"/>
  <c r="J411" i="275"/>
  <c r="I411" i="275"/>
  <c r="H411" i="275"/>
  <c r="Y405" i="275"/>
  <c r="X405" i="275"/>
  <c r="W405" i="275"/>
  <c r="V405" i="275"/>
  <c r="U405" i="275"/>
  <c r="T405" i="275"/>
  <c r="S405" i="275"/>
  <c r="R405" i="275"/>
  <c r="Q405" i="275"/>
  <c r="P405" i="275"/>
  <c r="O405" i="275"/>
  <c r="N405" i="275"/>
  <c r="M405" i="275"/>
  <c r="L405" i="275"/>
  <c r="K405" i="275"/>
  <c r="J405" i="275"/>
  <c r="I405" i="275"/>
  <c r="H405" i="275"/>
  <c r="Y403" i="275"/>
  <c r="X403" i="275"/>
  <c r="W403" i="275"/>
  <c r="V403" i="275"/>
  <c r="U403" i="275"/>
  <c r="T403" i="275"/>
  <c r="S403" i="275"/>
  <c r="R403" i="275"/>
  <c r="Q403" i="275"/>
  <c r="P403" i="275"/>
  <c r="O403" i="275"/>
  <c r="N403" i="275"/>
  <c r="M403" i="275"/>
  <c r="L403" i="275"/>
  <c r="K403" i="275"/>
  <c r="J403" i="275"/>
  <c r="I403" i="275"/>
  <c r="H403" i="275"/>
  <c r="Y402" i="275"/>
  <c r="X402" i="275"/>
  <c r="W402" i="275"/>
  <c r="V402" i="275"/>
  <c r="U402" i="275"/>
  <c r="T402" i="275"/>
  <c r="S402" i="275"/>
  <c r="R402" i="275"/>
  <c r="Q402" i="275"/>
  <c r="P402" i="275"/>
  <c r="O402" i="275"/>
  <c r="N402" i="275"/>
  <c r="M402" i="275"/>
  <c r="L402" i="275"/>
  <c r="K402" i="275"/>
  <c r="J402" i="275"/>
  <c r="I402" i="275"/>
  <c r="H402" i="275"/>
  <c r="BD386" i="275"/>
  <c r="BC386" i="275"/>
  <c r="BB386" i="275"/>
  <c r="BA386" i="275"/>
  <c r="BD385" i="275"/>
  <c r="BC385" i="275"/>
  <c r="BB385" i="275"/>
  <c r="BA385" i="275"/>
  <c r="AE385" i="275"/>
  <c r="AD385" i="275"/>
  <c r="AC385" i="275"/>
  <c r="Y385" i="275"/>
  <c r="X385" i="275"/>
  <c r="W385" i="275"/>
  <c r="V385" i="275"/>
  <c r="U385" i="275"/>
  <c r="T385" i="275"/>
  <c r="S385" i="275"/>
  <c r="R385" i="275"/>
  <c r="Q385" i="275"/>
  <c r="P385" i="275"/>
  <c r="O385" i="275"/>
  <c r="N385" i="275"/>
  <c r="M385" i="275"/>
  <c r="L385" i="275"/>
  <c r="K385" i="275"/>
  <c r="J385" i="275"/>
  <c r="I385" i="275"/>
  <c r="H385" i="275"/>
  <c r="BD384" i="275"/>
  <c r="BC384" i="275"/>
  <c r="BB384" i="275"/>
  <c r="BA384" i="275"/>
  <c r="AE384" i="275"/>
  <c r="AD384" i="275"/>
  <c r="AC384" i="275"/>
  <c r="Y384" i="275"/>
  <c r="X384" i="275"/>
  <c r="W384" i="275"/>
  <c r="V384" i="275"/>
  <c r="U384" i="275"/>
  <c r="T384" i="275"/>
  <c r="S384" i="275"/>
  <c r="R384" i="275"/>
  <c r="Q384" i="275"/>
  <c r="P384" i="275"/>
  <c r="O384" i="275"/>
  <c r="N384" i="275"/>
  <c r="M384" i="275"/>
  <c r="L384" i="275"/>
  <c r="K384" i="275"/>
  <c r="J384" i="275"/>
  <c r="I384" i="275"/>
  <c r="H384" i="275"/>
  <c r="Y375" i="275"/>
  <c r="X375" i="275"/>
  <c r="W375" i="275"/>
  <c r="V375" i="275"/>
  <c r="U375" i="275"/>
  <c r="T375" i="275"/>
  <c r="S375" i="275"/>
  <c r="R375" i="275"/>
  <c r="Q375" i="275"/>
  <c r="P375" i="275"/>
  <c r="O375" i="275"/>
  <c r="N375" i="275"/>
  <c r="M375" i="275"/>
  <c r="L375" i="275"/>
  <c r="K375" i="275"/>
  <c r="J375" i="275"/>
  <c r="I375" i="275"/>
  <c r="H375" i="275"/>
  <c r="Y374" i="275"/>
  <c r="X374" i="275"/>
  <c r="W374" i="275"/>
  <c r="V374" i="275"/>
  <c r="U374" i="275"/>
  <c r="T374" i="275"/>
  <c r="S374" i="275"/>
  <c r="R374" i="275"/>
  <c r="Q374" i="275"/>
  <c r="P374" i="275"/>
  <c r="O374" i="275"/>
  <c r="N374" i="275"/>
  <c r="M374" i="275"/>
  <c r="L374" i="275"/>
  <c r="K374" i="275"/>
  <c r="J374" i="275"/>
  <c r="I374" i="275"/>
  <c r="H374" i="275"/>
  <c r="Y370" i="275"/>
  <c r="X370" i="275"/>
  <c r="W370" i="275"/>
  <c r="V370" i="275"/>
  <c r="U370" i="275"/>
  <c r="T370" i="275"/>
  <c r="S370" i="275"/>
  <c r="R370" i="275"/>
  <c r="Q370" i="275"/>
  <c r="P370" i="275"/>
  <c r="O370" i="275"/>
  <c r="N370" i="275"/>
  <c r="M370" i="275"/>
  <c r="L370" i="275"/>
  <c r="K370" i="275"/>
  <c r="J370" i="275"/>
  <c r="I370" i="275"/>
  <c r="H370" i="275"/>
  <c r="Y369" i="275"/>
  <c r="X369" i="275"/>
  <c r="W369" i="275"/>
  <c r="V369" i="275"/>
  <c r="U369" i="275"/>
  <c r="T369" i="275"/>
  <c r="S369" i="275"/>
  <c r="R369" i="275"/>
  <c r="Q369" i="275"/>
  <c r="P369" i="275"/>
  <c r="O369" i="275"/>
  <c r="N369" i="275"/>
  <c r="M369" i="275"/>
  <c r="L369" i="275"/>
  <c r="K369" i="275"/>
  <c r="J369" i="275"/>
  <c r="I369" i="275"/>
  <c r="H369" i="275"/>
  <c r="Y366" i="275"/>
  <c r="X366" i="275"/>
  <c r="W366" i="275"/>
  <c r="V366" i="275"/>
  <c r="U366" i="275"/>
  <c r="T366" i="275"/>
  <c r="S366" i="275"/>
  <c r="R366" i="275"/>
  <c r="Q366" i="275"/>
  <c r="P366" i="275"/>
  <c r="O366" i="275"/>
  <c r="N366" i="275"/>
  <c r="M366" i="275"/>
  <c r="L366" i="275"/>
  <c r="K366" i="275"/>
  <c r="J366" i="275"/>
  <c r="I366" i="275"/>
  <c r="H366" i="275"/>
  <c r="Y360" i="275"/>
  <c r="X360" i="275"/>
  <c r="W360" i="275"/>
  <c r="V360" i="275"/>
  <c r="U360" i="275"/>
  <c r="T360" i="275"/>
  <c r="S360" i="275"/>
  <c r="R360" i="275"/>
  <c r="Q360" i="275"/>
  <c r="P360" i="275"/>
  <c r="O360" i="275"/>
  <c r="N360" i="275"/>
  <c r="M360" i="275"/>
  <c r="L360" i="275"/>
  <c r="K360" i="275"/>
  <c r="J360" i="275"/>
  <c r="I360" i="275"/>
  <c r="H360" i="275"/>
  <c r="Y359" i="275"/>
  <c r="X359" i="275"/>
  <c r="W359" i="275"/>
  <c r="V359" i="275"/>
  <c r="U359" i="275"/>
  <c r="T359" i="275"/>
  <c r="S359" i="275"/>
  <c r="R359" i="275"/>
  <c r="Q359" i="275"/>
  <c r="P359" i="275"/>
  <c r="O359" i="275"/>
  <c r="N359" i="275"/>
  <c r="M359" i="275"/>
  <c r="L359" i="275"/>
  <c r="K359" i="275"/>
  <c r="J359" i="275"/>
  <c r="I359" i="275"/>
  <c r="H359" i="275"/>
  <c r="Y357" i="275"/>
  <c r="X357" i="275"/>
  <c r="W357" i="275"/>
  <c r="V357" i="275"/>
  <c r="U357" i="275"/>
  <c r="T357" i="275"/>
  <c r="S357" i="275"/>
  <c r="R357" i="275"/>
  <c r="Q357" i="275"/>
  <c r="P357" i="275"/>
  <c r="O357" i="275"/>
  <c r="N357" i="275"/>
  <c r="M357" i="275"/>
  <c r="L357" i="275"/>
  <c r="K357" i="275"/>
  <c r="J357" i="275"/>
  <c r="I357" i="275"/>
  <c r="H357" i="275"/>
  <c r="Y354" i="275"/>
  <c r="X354" i="275"/>
  <c r="W354" i="275"/>
  <c r="V354" i="275"/>
  <c r="U354" i="275"/>
  <c r="T354" i="275"/>
  <c r="S354" i="275"/>
  <c r="R354" i="275"/>
  <c r="Q354" i="275"/>
  <c r="P354" i="275"/>
  <c r="O354" i="275"/>
  <c r="N354" i="275"/>
  <c r="M354" i="275"/>
  <c r="L354" i="275"/>
  <c r="K354" i="275"/>
  <c r="J354" i="275"/>
  <c r="I354" i="275"/>
  <c r="H354" i="275"/>
  <c r="Y353" i="275"/>
  <c r="X353" i="275"/>
  <c r="W353" i="275"/>
  <c r="V353" i="275"/>
  <c r="U353" i="275"/>
  <c r="T353" i="275"/>
  <c r="S353" i="275"/>
  <c r="R353" i="275"/>
  <c r="Q353" i="275"/>
  <c r="P353" i="275"/>
  <c r="O353" i="275"/>
  <c r="N353" i="275"/>
  <c r="M353" i="275"/>
  <c r="L353" i="275"/>
  <c r="K353" i="275"/>
  <c r="J353" i="275"/>
  <c r="I353" i="275"/>
  <c r="H353" i="275"/>
  <c r="BD347" i="275"/>
  <c r="BC347" i="275"/>
  <c r="BB347" i="275"/>
  <c r="BA347" i="275"/>
  <c r="AE347" i="275"/>
  <c r="AD347" i="275"/>
  <c r="AC347" i="275"/>
  <c r="AA347" i="275"/>
  <c r="Y347" i="275"/>
  <c r="X347" i="275"/>
  <c r="W347" i="275"/>
  <c r="V347" i="275"/>
  <c r="U347" i="275"/>
  <c r="T347" i="275"/>
  <c r="S347" i="275"/>
  <c r="R347" i="275"/>
  <c r="Q347" i="275"/>
  <c r="P347" i="275"/>
  <c r="O347" i="275"/>
  <c r="N347" i="275"/>
  <c r="M347" i="275"/>
  <c r="L347" i="275"/>
  <c r="K347" i="275"/>
  <c r="J347" i="275"/>
  <c r="I347" i="275"/>
  <c r="H347" i="275"/>
  <c r="Y344" i="275"/>
  <c r="X344" i="275"/>
  <c r="W344" i="275"/>
  <c r="V344" i="275"/>
  <c r="U344" i="275"/>
  <c r="T344" i="275"/>
  <c r="S344" i="275"/>
  <c r="R344" i="275"/>
  <c r="Q344" i="275"/>
  <c r="P344" i="275"/>
  <c r="O344" i="275"/>
  <c r="N344" i="275"/>
  <c r="M344" i="275"/>
  <c r="L344" i="275"/>
  <c r="K344" i="275"/>
  <c r="J344" i="275"/>
  <c r="I344" i="275"/>
  <c r="H344" i="275"/>
  <c r="BD343" i="275"/>
  <c r="BC343" i="275"/>
  <c r="BB343" i="275"/>
  <c r="BA343" i="275"/>
  <c r="AE343" i="275"/>
  <c r="AD343" i="275"/>
  <c r="AC343" i="275"/>
  <c r="Y343" i="275"/>
  <c r="X343" i="275"/>
  <c r="W343" i="275"/>
  <c r="V343" i="275"/>
  <c r="U343" i="275"/>
  <c r="T343" i="275"/>
  <c r="S343" i="275"/>
  <c r="R343" i="275"/>
  <c r="Q343" i="275"/>
  <c r="P343" i="275"/>
  <c r="O343" i="275"/>
  <c r="N343" i="275"/>
  <c r="M343" i="275"/>
  <c r="L343" i="275"/>
  <c r="K343" i="275"/>
  <c r="J343" i="275"/>
  <c r="I343" i="275"/>
  <c r="H343" i="275"/>
  <c r="Y338" i="275"/>
  <c r="X338" i="275"/>
  <c r="W338" i="275"/>
  <c r="V338" i="275"/>
  <c r="U338" i="275"/>
  <c r="T338" i="275"/>
  <c r="S338" i="275"/>
  <c r="R338" i="275"/>
  <c r="Q338" i="275"/>
  <c r="P338" i="275"/>
  <c r="O338" i="275"/>
  <c r="N338" i="275"/>
  <c r="M338" i="275"/>
  <c r="L338" i="275"/>
  <c r="K338" i="275"/>
  <c r="J338" i="275"/>
  <c r="I338" i="275"/>
  <c r="H338" i="275"/>
  <c r="Y335" i="275"/>
  <c r="X335" i="275"/>
  <c r="W335" i="275"/>
  <c r="V335" i="275"/>
  <c r="U335" i="275"/>
  <c r="T335" i="275"/>
  <c r="S335" i="275"/>
  <c r="R335" i="275"/>
  <c r="Q335" i="275"/>
  <c r="P335" i="275"/>
  <c r="O335" i="275"/>
  <c r="N335" i="275"/>
  <c r="M335" i="275"/>
  <c r="L335" i="275"/>
  <c r="K335" i="275"/>
  <c r="J335" i="275"/>
  <c r="I335" i="275"/>
  <c r="H335" i="275"/>
  <c r="Y334" i="275"/>
  <c r="X334" i="275"/>
  <c r="W334" i="275"/>
  <c r="V334" i="275"/>
  <c r="U334" i="275"/>
  <c r="T334" i="275"/>
  <c r="S334" i="275"/>
  <c r="R334" i="275"/>
  <c r="Q334" i="275"/>
  <c r="P334" i="275"/>
  <c r="O334" i="275"/>
  <c r="N334" i="275"/>
  <c r="M334" i="275"/>
  <c r="L334" i="275"/>
  <c r="K334" i="275"/>
  <c r="J334" i="275"/>
  <c r="I334" i="275"/>
  <c r="H334" i="275"/>
  <c r="Y333" i="275"/>
  <c r="X333" i="275"/>
  <c r="W333" i="275"/>
  <c r="V333" i="275"/>
  <c r="U333" i="275"/>
  <c r="T333" i="275"/>
  <c r="S333" i="275"/>
  <c r="R333" i="275"/>
  <c r="Q333" i="275"/>
  <c r="P333" i="275"/>
  <c r="O333" i="275"/>
  <c r="N333" i="275"/>
  <c r="M333" i="275"/>
  <c r="L333" i="275"/>
  <c r="K333" i="275"/>
  <c r="J333" i="275"/>
  <c r="I333" i="275"/>
  <c r="H333" i="275"/>
  <c r="Y327" i="275"/>
  <c r="X327" i="275"/>
  <c r="W327" i="275"/>
  <c r="V327" i="275"/>
  <c r="U327" i="275"/>
  <c r="T327" i="275"/>
  <c r="S327" i="275"/>
  <c r="R327" i="275"/>
  <c r="Q327" i="275"/>
  <c r="P327" i="275"/>
  <c r="O327" i="275"/>
  <c r="N327" i="275"/>
  <c r="M327" i="275"/>
  <c r="L327" i="275"/>
  <c r="K327" i="275"/>
  <c r="J327" i="275"/>
  <c r="I327" i="275"/>
  <c r="H327" i="275"/>
  <c r="Y325" i="275"/>
  <c r="X325" i="275"/>
  <c r="W325" i="275"/>
  <c r="V325" i="275"/>
  <c r="U325" i="275"/>
  <c r="T325" i="275"/>
  <c r="S325" i="275"/>
  <c r="R325" i="275"/>
  <c r="Q325" i="275"/>
  <c r="P325" i="275"/>
  <c r="O325" i="275"/>
  <c r="N325" i="275"/>
  <c r="M325" i="275"/>
  <c r="L325" i="275"/>
  <c r="K325" i="275"/>
  <c r="J325" i="275"/>
  <c r="I325" i="275"/>
  <c r="H325" i="275"/>
  <c r="Y324" i="275"/>
  <c r="X324" i="275"/>
  <c r="W324" i="275"/>
  <c r="V324" i="275"/>
  <c r="U324" i="275"/>
  <c r="T324" i="275"/>
  <c r="S324" i="275"/>
  <c r="R324" i="275"/>
  <c r="Q324" i="275"/>
  <c r="P324" i="275"/>
  <c r="O324" i="275"/>
  <c r="N324" i="275"/>
  <c r="M324" i="275"/>
  <c r="L324" i="275"/>
  <c r="K324" i="275"/>
  <c r="J324" i="275"/>
  <c r="I324" i="275"/>
  <c r="H324" i="275"/>
  <c r="BD307" i="275"/>
  <c r="BC307" i="275"/>
  <c r="BB307" i="275"/>
  <c r="BA307" i="275"/>
  <c r="AE307" i="275"/>
  <c r="AD307" i="275"/>
  <c r="AC307" i="275"/>
  <c r="Y307" i="275"/>
  <c r="X307" i="275"/>
  <c r="W307" i="275"/>
  <c r="V307" i="275"/>
  <c r="U307" i="275"/>
  <c r="T307" i="275"/>
  <c r="S307" i="275"/>
  <c r="R307" i="275"/>
  <c r="Q307" i="275"/>
  <c r="P307" i="275"/>
  <c r="O307" i="275"/>
  <c r="N307" i="275"/>
  <c r="M307" i="275"/>
  <c r="L307" i="275"/>
  <c r="K307" i="275"/>
  <c r="J307" i="275"/>
  <c r="I307" i="275"/>
  <c r="H307" i="275"/>
  <c r="BD306" i="275"/>
  <c r="BC306" i="275"/>
  <c r="BB306" i="275"/>
  <c r="BA306" i="275"/>
  <c r="AE306" i="275"/>
  <c r="AD306" i="275"/>
  <c r="AC306" i="275"/>
  <c r="Y306" i="275"/>
  <c r="X306" i="275"/>
  <c r="W306" i="275"/>
  <c r="V306" i="275"/>
  <c r="U306" i="275"/>
  <c r="T306" i="275"/>
  <c r="S306" i="275"/>
  <c r="R306" i="275"/>
  <c r="Q306" i="275"/>
  <c r="P306" i="275"/>
  <c r="O306" i="275"/>
  <c r="N306" i="275"/>
  <c r="M306" i="275"/>
  <c r="L306" i="275"/>
  <c r="K306" i="275"/>
  <c r="J306" i="275"/>
  <c r="I306" i="275"/>
  <c r="H306" i="275"/>
  <c r="Y297" i="275"/>
  <c r="X297" i="275"/>
  <c r="W297" i="275"/>
  <c r="V297" i="275"/>
  <c r="U297" i="275"/>
  <c r="T297" i="275"/>
  <c r="S297" i="275"/>
  <c r="R297" i="275"/>
  <c r="Q297" i="275"/>
  <c r="P297" i="275"/>
  <c r="O297" i="275"/>
  <c r="N297" i="275"/>
  <c r="M297" i="275"/>
  <c r="L297" i="275"/>
  <c r="K297" i="275"/>
  <c r="J297" i="275"/>
  <c r="I297" i="275"/>
  <c r="H297" i="275"/>
  <c r="Y296" i="275"/>
  <c r="X296" i="275"/>
  <c r="W296" i="275"/>
  <c r="V296" i="275"/>
  <c r="U296" i="275"/>
  <c r="T296" i="275"/>
  <c r="S296" i="275"/>
  <c r="R296" i="275"/>
  <c r="Q296" i="275"/>
  <c r="P296" i="275"/>
  <c r="O296" i="275"/>
  <c r="N296" i="275"/>
  <c r="M296" i="275"/>
  <c r="L296" i="275"/>
  <c r="K296" i="275"/>
  <c r="J296" i="275"/>
  <c r="I296" i="275"/>
  <c r="H296" i="275"/>
  <c r="Y292" i="275"/>
  <c r="X292" i="275"/>
  <c r="W292" i="275"/>
  <c r="V292" i="275"/>
  <c r="U292" i="275"/>
  <c r="T292" i="275"/>
  <c r="S292" i="275"/>
  <c r="R292" i="275"/>
  <c r="Q292" i="275"/>
  <c r="P292" i="275"/>
  <c r="O292" i="275"/>
  <c r="N292" i="275"/>
  <c r="M292" i="275"/>
  <c r="L292" i="275"/>
  <c r="K292" i="275"/>
  <c r="J292" i="275"/>
  <c r="I292" i="275"/>
  <c r="H292" i="275"/>
  <c r="Y291" i="275"/>
  <c r="X291" i="275"/>
  <c r="W291" i="275"/>
  <c r="V291" i="275"/>
  <c r="U291" i="275"/>
  <c r="T291" i="275"/>
  <c r="S291" i="275"/>
  <c r="R291" i="275"/>
  <c r="Q291" i="275"/>
  <c r="P291" i="275"/>
  <c r="O291" i="275"/>
  <c r="N291" i="275"/>
  <c r="M291" i="275"/>
  <c r="L291" i="275"/>
  <c r="K291" i="275"/>
  <c r="J291" i="275"/>
  <c r="I291" i="275"/>
  <c r="H291" i="275"/>
  <c r="Y288" i="275"/>
  <c r="X288" i="275"/>
  <c r="W288" i="275"/>
  <c r="V288" i="275"/>
  <c r="U288" i="275"/>
  <c r="T288" i="275"/>
  <c r="S288" i="275"/>
  <c r="R288" i="275"/>
  <c r="Q288" i="275"/>
  <c r="P288" i="275"/>
  <c r="O288" i="275"/>
  <c r="N288" i="275"/>
  <c r="M288" i="275"/>
  <c r="L288" i="275"/>
  <c r="K288" i="275"/>
  <c r="J288" i="275"/>
  <c r="I288" i="275"/>
  <c r="H288" i="275"/>
  <c r="Y282" i="275"/>
  <c r="X282" i="275"/>
  <c r="W282" i="275"/>
  <c r="V282" i="275"/>
  <c r="U282" i="275"/>
  <c r="T282" i="275"/>
  <c r="S282" i="275"/>
  <c r="R282" i="275"/>
  <c r="Q282" i="275"/>
  <c r="P282" i="275"/>
  <c r="O282" i="275"/>
  <c r="N282" i="275"/>
  <c r="M282" i="275"/>
  <c r="L282" i="275"/>
  <c r="K282" i="275"/>
  <c r="J282" i="275"/>
  <c r="I282" i="275"/>
  <c r="H282" i="275"/>
  <c r="Y281" i="275"/>
  <c r="X281" i="275"/>
  <c r="W281" i="275"/>
  <c r="V281" i="275"/>
  <c r="U281" i="275"/>
  <c r="T281" i="275"/>
  <c r="S281" i="275"/>
  <c r="R281" i="275"/>
  <c r="Q281" i="275"/>
  <c r="P281" i="275"/>
  <c r="O281" i="275"/>
  <c r="N281" i="275"/>
  <c r="M281" i="275"/>
  <c r="L281" i="275"/>
  <c r="K281" i="275"/>
  <c r="J281" i="275"/>
  <c r="I281" i="275"/>
  <c r="H281" i="275"/>
  <c r="Y279" i="275"/>
  <c r="X279" i="275"/>
  <c r="W279" i="275"/>
  <c r="V279" i="275"/>
  <c r="U279" i="275"/>
  <c r="T279" i="275"/>
  <c r="S279" i="275"/>
  <c r="R279" i="275"/>
  <c r="Q279" i="275"/>
  <c r="P279" i="275"/>
  <c r="O279" i="275"/>
  <c r="N279" i="275"/>
  <c r="M279" i="275"/>
  <c r="L279" i="275"/>
  <c r="K279" i="275"/>
  <c r="J279" i="275"/>
  <c r="I279" i="275"/>
  <c r="H279" i="275"/>
  <c r="Y276" i="275"/>
  <c r="X276" i="275"/>
  <c r="W276" i="275"/>
  <c r="V276" i="275"/>
  <c r="U276" i="275"/>
  <c r="T276" i="275"/>
  <c r="S276" i="275"/>
  <c r="R276" i="275"/>
  <c r="Q276" i="275"/>
  <c r="P276" i="275"/>
  <c r="O276" i="275"/>
  <c r="N276" i="275"/>
  <c r="M276" i="275"/>
  <c r="L276" i="275"/>
  <c r="K276" i="275"/>
  <c r="J276" i="275"/>
  <c r="I276" i="275"/>
  <c r="H276" i="275"/>
  <c r="Y275" i="275"/>
  <c r="X275" i="275"/>
  <c r="W275" i="275"/>
  <c r="V275" i="275"/>
  <c r="U275" i="275"/>
  <c r="T275" i="275"/>
  <c r="S275" i="275"/>
  <c r="R275" i="275"/>
  <c r="Q275" i="275"/>
  <c r="P275" i="275"/>
  <c r="O275" i="275"/>
  <c r="N275" i="275"/>
  <c r="M275" i="275"/>
  <c r="L275" i="275"/>
  <c r="K275" i="275"/>
  <c r="J275" i="275"/>
  <c r="I275" i="275"/>
  <c r="H275" i="275"/>
  <c r="BD270" i="275"/>
  <c r="BC270" i="275"/>
  <c r="BB270" i="275"/>
  <c r="BA270" i="275"/>
  <c r="AE270" i="275"/>
  <c r="AD270" i="275"/>
  <c r="AC270" i="275"/>
  <c r="Y270" i="275"/>
  <c r="X270" i="275"/>
  <c r="W270" i="275"/>
  <c r="V270" i="275"/>
  <c r="U270" i="275"/>
  <c r="T270" i="275"/>
  <c r="S270" i="275"/>
  <c r="R270" i="275"/>
  <c r="Q270" i="275"/>
  <c r="P270" i="275"/>
  <c r="O270" i="275"/>
  <c r="N270" i="275"/>
  <c r="M270" i="275"/>
  <c r="L270" i="275"/>
  <c r="K270" i="275"/>
  <c r="J270" i="275"/>
  <c r="I270" i="275"/>
  <c r="H270" i="275"/>
  <c r="BD266" i="275"/>
  <c r="BC266" i="275"/>
  <c r="BB266" i="275"/>
  <c r="BA266" i="275"/>
  <c r="AE266" i="275"/>
  <c r="AD266" i="275"/>
  <c r="AC266" i="275"/>
  <c r="Y266" i="275"/>
  <c r="X266" i="275"/>
  <c r="W266" i="275"/>
  <c r="V266" i="275"/>
  <c r="U266" i="275"/>
  <c r="T266" i="275"/>
  <c r="S266" i="275"/>
  <c r="R266" i="275"/>
  <c r="Q266" i="275"/>
  <c r="P266" i="275"/>
  <c r="O266" i="275"/>
  <c r="N266" i="275"/>
  <c r="M266" i="275"/>
  <c r="L266" i="275"/>
  <c r="K266" i="275"/>
  <c r="J266" i="275"/>
  <c r="I266" i="275"/>
  <c r="H266" i="275"/>
  <c r="Y244" i="275"/>
  <c r="X244" i="275"/>
  <c r="W244" i="275"/>
  <c r="V244" i="275"/>
  <c r="U244" i="275"/>
  <c r="T244" i="275"/>
  <c r="S244" i="275"/>
  <c r="R244" i="275"/>
  <c r="Q244" i="275"/>
  <c r="P244" i="275"/>
  <c r="O244" i="275"/>
  <c r="N244" i="275"/>
  <c r="M244" i="275"/>
  <c r="L244" i="275"/>
  <c r="K244" i="275"/>
  <c r="J244" i="275"/>
  <c r="I244" i="275"/>
  <c r="H244" i="275"/>
  <c r="Y243" i="275"/>
  <c r="X243" i="275"/>
  <c r="W243" i="275"/>
  <c r="V243" i="275"/>
  <c r="U243" i="275"/>
  <c r="T243" i="275"/>
  <c r="S243" i="275"/>
  <c r="R243" i="275"/>
  <c r="Q243" i="275"/>
  <c r="P243" i="275"/>
  <c r="O243" i="275"/>
  <c r="N243" i="275"/>
  <c r="M243" i="275"/>
  <c r="L243" i="275"/>
  <c r="K243" i="275"/>
  <c r="J243" i="275"/>
  <c r="I243" i="275"/>
  <c r="H243" i="275"/>
  <c r="BD240" i="275"/>
  <c r="BC240" i="275"/>
  <c r="AE240" i="275"/>
  <c r="AD240" i="275"/>
  <c r="BD239" i="275"/>
  <c r="BC239" i="275"/>
  <c r="AE239" i="275"/>
  <c r="AD239" i="275"/>
  <c r="AC239" i="275"/>
  <c r="Y239" i="275"/>
  <c r="X239" i="275"/>
  <c r="W239" i="275"/>
  <c r="V239" i="275"/>
  <c r="U239" i="275"/>
  <c r="T239" i="275"/>
  <c r="S239" i="275"/>
  <c r="R239" i="275"/>
  <c r="Q239" i="275"/>
  <c r="P239" i="275"/>
  <c r="O239" i="275"/>
  <c r="N239" i="275"/>
  <c r="M239" i="275"/>
  <c r="L239" i="275"/>
  <c r="K239" i="275"/>
  <c r="J239" i="275"/>
  <c r="I239" i="275"/>
  <c r="H239" i="275"/>
  <c r="BD238" i="275"/>
  <c r="BC238" i="275"/>
  <c r="AE238" i="275"/>
  <c r="AD238" i="275"/>
  <c r="AC238" i="275"/>
  <c r="Y238" i="275"/>
  <c r="X238" i="275"/>
  <c r="W238" i="275"/>
  <c r="V238" i="275"/>
  <c r="U238" i="275"/>
  <c r="T238" i="275"/>
  <c r="S238" i="275"/>
  <c r="R238" i="275"/>
  <c r="Q238" i="275"/>
  <c r="P238" i="275"/>
  <c r="O238" i="275"/>
  <c r="N238" i="275"/>
  <c r="M238" i="275"/>
  <c r="L238" i="275"/>
  <c r="K238" i="275"/>
  <c r="J238" i="275"/>
  <c r="I238" i="275"/>
  <c r="H238" i="275"/>
  <c r="Y231" i="275"/>
  <c r="X231" i="275"/>
  <c r="W231" i="275"/>
  <c r="V231" i="275"/>
  <c r="U231" i="275"/>
  <c r="T231" i="275"/>
  <c r="S231" i="275"/>
  <c r="R231" i="275"/>
  <c r="Q231" i="275"/>
  <c r="P231" i="275"/>
  <c r="O231" i="275"/>
  <c r="N231" i="275"/>
  <c r="M231" i="275"/>
  <c r="L231" i="275"/>
  <c r="K231" i="275"/>
  <c r="J231" i="275"/>
  <c r="I231" i="275"/>
  <c r="H231" i="275"/>
  <c r="Y230" i="275"/>
  <c r="X230" i="275"/>
  <c r="W230" i="275"/>
  <c r="V230" i="275"/>
  <c r="U230" i="275"/>
  <c r="T230" i="275"/>
  <c r="S230" i="275"/>
  <c r="R230" i="275"/>
  <c r="Q230" i="275"/>
  <c r="P230" i="275"/>
  <c r="O230" i="275"/>
  <c r="N230" i="275"/>
  <c r="M230" i="275"/>
  <c r="L230" i="275"/>
  <c r="K230" i="275"/>
  <c r="J230" i="275"/>
  <c r="I230" i="275"/>
  <c r="H230" i="275"/>
  <c r="Y227" i="275"/>
  <c r="X227" i="275"/>
  <c r="W227" i="275"/>
  <c r="V227" i="275"/>
  <c r="U227" i="275"/>
  <c r="T227" i="275"/>
  <c r="S227" i="275"/>
  <c r="R227" i="275"/>
  <c r="Q227" i="275"/>
  <c r="P227" i="275"/>
  <c r="O227" i="275"/>
  <c r="N227" i="275"/>
  <c r="M227" i="275"/>
  <c r="L227" i="275"/>
  <c r="K227" i="275"/>
  <c r="J227" i="275"/>
  <c r="I227" i="275"/>
  <c r="H227" i="275"/>
  <c r="Y226" i="275"/>
  <c r="X226" i="275"/>
  <c r="W226" i="275"/>
  <c r="V226" i="275"/>
  <c r="U226" i="275"/>
  <c r="T226" i="275"/>
  <c r="S226" i="275"/>
  <c r="R226" i="275"/>
  <c r="Q226" i="275"/>
  <c r="P226" i="275"/>
  <c r="O226" i="275"/>
  <c r="N226" i="275"/>
  <c r="M226" i="275"/>
  <c r="L226" i="275"/>
  <c r="K226" i="275"/>
  <c r="J226" i="275"/>
  <c r="I226" i="275"/>
  <c r="H226" i="275"/>
  <c r="Y225" i="275"/>
  <c r="X225" i="275"/>
  <c r="W225" i="275"/>
  <c r="V225" i="275"/>
  <c r="U225" i="275"/>
  <c r="T225" i="275"/>
  <c r="S225" i="275"/>
  <c r="R225" i="275"/>
  <c r="Q225" i="275"/>
  <c r="P225" i="275"/>
  <c r="O225" i="275"/>
  <c r="N225" i="275"/>
  <c r="M225" i="275"/>
  <c r="L225" i="275"/>
  <c r="K225" i="275"/>
  <c r="J225" i="275"/>
  <c r="I225" i="275"/>
  <c r="H225" i="275"/>
  <c r="Y218" i="275"/>
  <c r="X218" i="275"/>
  <c r="W218" i="275"/>
  <c r="V218" i="275"/>
  <c r="U218" i="275"/>
  <c r="T218" i="275"/>
  <c r="S218" i="275"/>
  <c r="R218" i="275"/>
  <c r="Q218" i="275"/>
  <c r="P218" i="275"/>
  <c r="O218" i="275"/>
  <c r="N218" i="275"/>
  <c r="M218" i="275"/>
  <c r="L218" i="275"/>
  <c r="K218" i="275"/>
  <c r="J218" i="275"/>
  <c r="I218" i="275"/>
  <c r="H218" i="275"/>
  <c r="Y217" i="275"/>
  <c r="X217" i="275"/>
  <c r="W217" i="275"/>
  <c r="V217" i="275"/>
  <c r="U217" i="275"/>
  <c r="T217" i="275"/>
  <c r="S217" i="275"/>
  <c r="R217" i="275"/>
  <c r="Q217" i="275"/>
  <c r="P217" i="275"/>
  <c r="O217" i="275"/>
  <c r="N217" i="275"/>
  <c r="M217" i="275"/>
  <c r="L217" i="275"/>
  <c r="K217" i="275"/>
  <c r="J217" i="275"/>
  <c r="I217" i="275"/>
  <c r="H217" i="275"/>
  <c r="Y215" i="275"/>
  <c r="X215" i="275"/>
  <c r="W215" i="275"/>
  <c r="V215" i="275"/>
  <c r="U215" i="275"/>
  <c r="T215" i="275"/>
  <c r="S215" i="275"/>
  <c r="R215" i="275"/>
  <c r="Q215" i="275"/>
  <c r="P215" i="275"/>
  <c r="O215" i="275"/>
  <c r="N215" i="275"/>
  <c r="M215" i="275"/>
  <c r="L215" i="275"/>
  <c r="K215" i="275"/>
  <c r="J215" i="275"/>
  <c r="I215" i="275"/>
  <c r="H215" i="275"/>
  <c r="Y214" i="275"/>
  <c r="X214" i="275"/>
  <c r="W214" i="275"/>
  <c r="V214" i="275"/>
  <c r="U214" i="275"/>
  <c r="T214" i="275"/>
  <c r="S214" i="275"/>
  <c r="R214" i="275"/>
  <c r="Q214" i="275"/>
  <c r="P214" i="275"/>
  <c r="O214" i="275"/>
  <c r="N214" i="275"/>
  <c r="M214" i="275"/>
  <c r="L214" i="275"/>
  <c r="K214" i="275"/>
  <c r="J214" i="275"/>
  <c r="I214" i="275"/>
  <c r="H214" i="275"/>
  <c r="Y207" i="275"/>
  <c r="X207" i="275"/>
  <c r="W207" i="275"/>
  <c r="V207" i="275"/>
  <c r="U207" i="275"/>
  <c r="T207" i="275"/>
  <c r="S207" i="275"/>
  <c r="R207" i="275"/>
  <c r="Q207" i="275"/>
  <c r="P207" i="275"/>
  <c r="O207" i="275"/>
  <c r="N207" i="275"/>
  <c r="M207" i="275"/>
  <c r="L207" i="275"/>
  <c r="K207" i="275"/>
  <c r="J207" i="275"/>
  <c r="I207" i="275"/>
  <c r="H207" i="275"/>
  <c r="BD205" i="275"/>
  <c r="BC205" i="275"/>
  <c r="AE205" i="275"/>
  <c r="AD205" i="275"/>
  <c r="AC205" i="275"/>
  <c r="Y205" i="275"/>
  <c r="X205" i="275"/>
  <c r="W205" i="275"/>
  <c r="V205" i="275"/>
  <c r="U205" i="275"/>
  <c r="T205" i="275"/>
  <c r="S205" i="275"/>
  <c r="R205" i="275"/>
  <c r="Q205" i="275"/>
  <c r="P205" i="275"/>
  <c r="O205" i="275"/>
  <c r="N205" i="275"/>
  <c r="M205" i="275"/>
  <c r="L205" i="275"/>
  <c r="K205" i="275"/>
  <c r="J205" i="275"/>
  <c r="I205" i="275"/>
  <c r="H205" i="275"/>
  <c r="BD204" i="275"/>
  <c r="BC204" i="275"/>
  <c r="AE204" i="275"/>
  <c r="AD204" i="275"/>
  <c r="AC204" i="275"/>
  <c r="Y204" i="275"/>
  <c r="X204" i="275"/>
  <c r="W204" i="275"/>
  <c r="V204" i="275"/>
  <c r="U204" i="275"/>
  <c r="T204" i="275"/>
  <c r="S204" i="275"/>
  <c r="R204" i="275"/>
  <c r="Q204" i="275"/>
  <c r="P204" i="275"/>
  <c r="O204" i="275"/>
  <c r="N204" i="275"/>
  <c r="M204" i="275"/>
  <c r="L204" i="275"/>
  <c r="K204" i="275"/>
  <c r="J204" i="275"/>
  <c r="I204" i="275"/>
  <c r="H204" i="275"/>
  <c r="Y202" i="275"/>
  <c r="X202" i="275"/>
  <c r="W202" i="275"/>
  <c r="V202" i="275"/>
  <c r="U202" i="275"/>
  <c r="T202" i="275"/>
  <c r="S202" i="275"/>
  <c r="R202" i="275"/>
  <c r="Q202" i="275"/>
  <c r="P202" i="275"/>
  <c r="O202" i="275"/>
  <c r="N202" i="275"/>
  <c r="M202" i="275"/>
  <c r="L202" i="275"/>
  <c r="K202" i="275"/>
  <c r="J202" i="275"/>
  <c r="I202" i="275"/>
  <c r="H202" i="275"/>
  <c r="BD193" i="275"/>
  <c r="BC193" i="275"/>
  <c r="BB193" i="275"/>
  <c r="BA193" i="275"/>
  <c r="AE193" i="275"/>
  <c r="AD193" i="275"/>
  <c r="AC193" i="275"/>
  <c r="Y193" i="275"/>
  <c r="X193" i="275"/>
  <c r="W193" i="275"/>
  <c r="V193" i="275"/>
  <c r="U193" i="275"/>
  <c r="T193" i="275"/>
  <c r="S193" i="275"/>
  <c r="R193" i="275"/>
  <c r="Q193" i="275"/>
  <c r="P193" i="275"/>
  <c r="O193" i="275"/>
  <c r="N193" i="275"/>
  <c r="M193" i="275"/>
  <c r="L193" i="275"/>
  <c r="K193" i="275"/>
  <c r="J193" i="275"/>
  <c r="I193" i="275"/>
  <c r="H193" i="275"/>
  <c r="BD192" i="275"/>
  <c r="BC192" i="275"/>
  <c r="BB192" i="275"/>
  <c r="BA192" i="275"/>
  <c r="AE192" i="275"/>
  <c r="AD192" i="275"/>
  <c r="AC192" i="275"/>
  <c r="Y192" i="275"/>
  <c r="X192" i="275"/>
  <c r="W192" i="275"/>
  <c r="V192" i="275"/>
  <c r="U192" i="275"/>
  <c r="T192" i="275"/>
  <c r="S192" i="275"/>
  <c r="R192" i="275"/>
  <c r="Q192" i="275"/>
  <c r="P192" i="275"/>
  <c r="O192" i="275"/>
  <c r="N192" i="275"/>
  <c r="M192" i="275"/>
  <c r="L192" i="275"/>
  <c r="K192" i="275"/>
  <c r="J192" i="275"/>
  <c r="I192" i="275"/>
  <c r="H192" i="275"/>
  <c r="BD187" i="275"/>
  <c r="BC187" i="275"/>
  <c r="BB187" i="275"/>
  <c r="BA187" i="275"/>
  <c r="AE187" i="275"/>
  <c r="AD187" i="275"/>
  <c r="BD186" i="275"/>
  <c r="BC186" i="275"/>
  <c r="BB186" i="275"/>
  <c r="BA186" i="275"/>
  <c r="AE186" i="275"/>
  <c r="AD186" i="275"/>
  <c r="AC186" i="275"/>
  <c r="Y186" i="275"/>
  <c r="X186" i="275"/>
  <c r="W186" i="275"/>
  <c r="V186" i="275"/>
  <c r="U186" i="275"/>
  <c r="T186" i="275"/>
  <c r="S186" i="275"/>
  <c r="R186" i="275"/>
  <c r="Q186" i="275"/>
  <c r="P186" i="275"/>
  <c r="O186" i="275"/>
  <c r="N186" i="275"/>
  <c r="M186" i="275"/>
  <c r="L186" i="275"/>
  <c r="K186" i="275"/>
  <c r="J186" i="275"/>
  <c r="I186" i="275"/>
  <c r="H186" i="275"/>
  <c r="BD185" i="275"/>
  <c r="BC185" i="275"/>
  <c r="BB185" i="275"/>
  <c r="BA185" i="275"/>
  <c r="AE185" i="275"/>
  <c r="AD185" i="275"/>
  <c r="AC185" i="275"/>
  <c r="Y185" i="275"/>
  <c r="X185" i="275"/>
  <c r="W185" i="275"/>
  <c r="V185" i="275"/>
  <c r="U185" i="275"/>
  <c r="T185" i="275"/>
  <c r="S185" i="275"/>
  <c r="R185" i="275"/>
  <c r="Q185" i="275"/>
  <c r="P185" i="275"/>
  <c r="O185" i="275"/>
  <c r="N185" i="275"/>
  <c r="M185" i="275"/>
  <c r="L185" i="275"/>
  <c r="K185" i="275"/>
  <c r="J185" i="275"/>
  <c r="I185" i="275"/>
  <c r="H185" i="275"/>
  <c r="BD184" i="275"/>
  <c r="BC184" i="275"/>
  <c r="BB184" i="275"/>
  <c r="BA184" i="275"/>
  <c r="AE184" i="275"/>
  <c r="AD184" i="275"/>
  <c r="AC184" i="275"/>
  <c r="Y184" i="275"/>
  <c r="X184" i="275"/>
  <c r="W184" i="275"/>
  <c r="V184" i="275"/>
  <c r="U184" i="275"/>
  <c r="T184" i="275"/>
  <c r="S184" i="275"/>
  <c r="R184" i="275"/>
  <c r="Q184" i="275"/>
  <c r="P184" i="275"/>
  <c r="O184" i="275"/>
  <c r="N184" i="275"/>
  <c r="M184" i="275"/>
  <c r="L184" i="275"/>
  <c r="K184" i="275"/>
  <c r="J184" i="275"/>
  <c r="I184" i="275"/>
  <c r="H184" i="275"/>
  <c r="Y175" i="275"/>
  <c r="X175" i="275"/>
  <c r="W175" i="275"/>
  <c r="V175" i="275"/>
  <c r="U175" i="275"/>
  <c r="T175" i="275"/>
  <c r="S175" i="275"/>
  <c r="R175" i="275"/>
  <c r="Q175" i="275"/>
  <c r="P175" i="275"/>
  <c r="O175" i="275"/>
  <c r="N175" i="275"/>
  <c r="M175" i="275"/>
  <c r="L175" i="275"/>
  <c r="K175" i="275"/>
  <c r="J175" i="275"/>
  <c r="I175" i="275"/>
  <c r="H175" i="275"/>
  <c r="Y173" i="275"/>
  <c r="X173" i="275"/>
  <c r="W173" i="275"/>
  <c r="V173" i="275"/>
  <c r="U173" i="275"/>
  <c r="T173" i="275"/>
  <c r="S173" i="275"/>
  <c r="R173" i="275"/>
  <c r="Q173" i="275"/>
  <c r="P173" i="275"/>
  <c r="O173" i="275"/>
  <c r="N173" i="275"/>
  <c r="M173" i="275"/>
  <c r="L173" i="275"/>
  <c r="K173" i="275"/>
  <c r="J173" i="275"/>
  <c r="I173" i="275"/>
  <c r="H173" i="275"/>
  <c r="Y172" i="275"/>
  <c r="X172" i="275"/>
  <c r="W172" i="275"/>
  <c r="V172" i="275"/>
  <c r="U172" i="275"/>
  <c r="T172" i="275"/>
  <c r="S172" i="275"/>
  <c r="R172" i="275"/>
  <c r="Q172" i="275"/>
  <c r="P172" i="275"/>
  <c r="O172" i="275"/>
  <c r="N172" i="275"/>
  <c r="M172" i="275"/>
  <c r="L172" i="275"/>
  <c r="K172" i="275"/>
  <c r="J172" i="275"/>
  <c r="I172" i="275"/>
  <c r="H172" i="275"/>
  <c r="Y171" i="275"/>
  <c r="X171" i="275"/>
  <c r="W171" i="275"/>
  <c r="V171" i="275"/>
  <c r="U171" i="275"/>
  <c r="T171" i="275"/>
  <c r="S171" i="275"/>
  <c r="R171" i="275"/>
  <c r="Q171" i="275"/>
  <c r="P171" i="275"/>
  <c r="O171" i="275"/>
  <c r="N171" i="275"/>
  <c r="M171" i="275"/>
  <c r="L171" i="275"/>
  <c r="K171" i="275"/>
  <c r="J171" i="275"/>
  <c r="I171" i="275"/>
  <c r="H171" i="275"/>
  <c r="Y167" i="275"/>
  <c r="X167" i="275"/>
  <c r="W167" i="275"/>
  <c r="V167" i="275"/>
  <c r="U167" i="275"/>
  <c r="T167" i="275"/>
  <c r="S167" i="275"/>
  <c r="R167" i="275"/>
  <c r="Q167" i="275"/>
  <c r="P167" i="275"/>
  <c r="O167" i="275"/>
  <c r="N167" i="275"/>
  <c r="M167" i="275"/>
  <c r="L167" i="275"/>
  <c r="K167" i="275"/>
  <c r="J167" i="275"/>
  <c r="I167" i="275"/>
  <c r="H167" i="275"/>
  <c r="Y166" i="275"/>
  <c r="X166" i="275"/>
  <c r="W166" i="275"/>
  <c r="V166" i="275"/>
  <c r="U166" i="275"/>
  <c r="T166" i="275"/>
  <c r="S166" i="275"/>
  <c r="R166" i="275"/>
  <c r="Q166" i="275"/>
  <c r="P166" i="275"/>
  <c r="O166" i="275"/>
  <c r="N166" i="275"/>
  <c r="M166" i="275"/>
  <c r="L166" i="275"/>
  <c r="K166" i="275"/>
  <c r="J166" i="275"/>
  <c r="I166" i="275"/>
  <c r="H166" i="275"/>
  <c r="Y165" i="275"/>
  <c r="X165" i="275"/>
  <c r="W165" i="275"/>
  <c r="V165" i="275"/>
  <c r="U165" i="275"/>
  <c r="T165" i="275"/>
  <c r="S165" i="275"/>
  <c r="R165" i="275"/>
  <c r="Q165" i="275"/>
  <c r="P165" i="275"/>
  <c r="O165" i="275"/>
  <c r="N165" i="275"/>
  <c r="M165" i="275"/>
  <c r="L165" i="275"/>
  <c r="K165" i="275"/>
  <c r="J165" i="275"/>
  <c r="I165" i="275"/>
  <c r="H165" i="275"/>
  <c r="Y162" i="275"/>
  <c r="X162" i="275"/>
  <c r="W162" i="275"/>
  <c r="V162" i="275"/>
  <c r="U162" i="275"/>
  <c r="T162" i="275"/>
  <c r="S162" i="275"/>
  <c r="R162" i="275"/>
  <c r="Q162" i="275"/>
  <c r="P162" i="275"/>
  <c r="O162" i="275"/>
  <c r="N162" i="275"/>
  <c r="M162" i="275"/>
  <c r="L162" i="275"/>
  <c r="K162" i="275"/>
  <c r="J162" i="275"/>
  <c r="I162" i="275"/>
  <c r="H162" i="275"/>
  <c r="Y156" i="275"/>
  <c r="X156" i="275"/>
  <c r="W156" i="275"/>
  <c r="V156" i="275"/>
  <c r="U156" i="275"/>
  <c r="T156" i="275"/>
  <c r="S156" i="275"/>
  <c r="R156" i="275"/>
  <c r="Q156" i="275"/>
  <c r="P156" i="275"/>
  <c r="O156" i="275"/>
  <c r="N156" i="275"/>
  <c r="M156" i="275"/>
  <c r="L156" i="275"/>
  <c r="K156" i="275"/>
  <c r="J156" i="275"/>
  <c r="I156" i="275"/>
  <c r="H156" i="275"/>
  <c r="Y155" i="275"/>
  <c r="X155" i="275"/>
  <c r="W155" i="275"/>
  <c r="V155" i="275"/>
  <c r="U155" i="275"/>
  <c r="T155" i="275"/>
  <c r="S155" i="275"/>
  <c r="R155" i="275"/>
  <c r="Q155" i="275"/>
  <c r="P155" i="275"/>
  <c r="O155" i="275"/>
  <c r="N155" i="275"/>
  <c r="M155" i="275"/>
  <c r="L155" i="275"/>
  <c r="K155" i="275"/>
  <c r="J155" i="275"/>
  <c r="I155" i="275"/>
  <c r="H155" i="275"/>
  <c r="Y153" i="275"/>
  <c r="X153" i="275"/>
  <c r="W153" i="275"/>
  <c r="V153" i="275"/>
  <c r="U153" i="275"/>
  <c r="T153" i="275"/>
  <c r="S153" i="275"/>
  <c r="R153" i="275"/>
  <c r="Q153" i="275"/>
  <c r="P153" i="275"/>
  <c r="O153" i="275"/>
  <c r="N153" i="275"/>
  <c r="M153" i="275"/>
  <c r="L153" i="275"/>
  <c r="K153" i="275"/>
  <c r="J153" i="275"/>
  <c r="I153" i="275"/>
  <c r="H153" i="275"/>
  <c r="Y150" i="275"/>
  <c r="X150" i="275"/>
  <c r="W150" i="275"/>
  <c r="V150" i="275"/>
  <c r="U150" i="275"/>
  <c r="T150" i="275"/>
  <c r="S150" i="275"/>
  <c r="R150" i="275"/>
  <c r="Q150" i="275"/>
  <c r="P150" i="275"/>
  <c r="O150" i="275"/>
  <c r="N150" i="275"/>
  <c r="M150" i="275"/>
  <c r="L150" i="275"/>
  <c r="K150" i="275"/>
  <c r="J150" i="275"/>
  <c r="I150" i="275"/>
  <c r="H150" i="275"/>
  <c r="Y149" i="275"/>
  <c r="X149" i="275"/>
  <c r="W149" i="275"/>
  <c r="V149" i="275"/>
  <c r="U149" i="275"/>
  <c r="T149" i="275"/>
  <c r="S149" i="275"/>
  <c r="R149" i="275"/>
  <c r="Q149" i="275"/>
  <c r="P149" i="275"/>
  <c r="O149" i="275"/>
  <c r="N149" i="275"/>
  <c r="M149" i="275"/>
  <c r="L149" i="275"/>
  <c r="K149" i="275"/>
  <c r="J149" i="275"/>
  <c r="I149" i="275"/>
  <c r="H149" i="275"/>
  <c r="BD76" i="275"/>
  <c r="BC76" i="275"/>
  <c r="BB76" i="275"/>
  <c r="BA76" i="275"/>
  <c r="BD75" i="275"/>
  <c r="BC75" i="275"/>
  <c r="BB75" i="275"/>
  <c r="BA75" i="275"/>
  <c r="BD74" i="275"/>
  <c r="BC74" i="275"/>
  <c r="BB74" i="275"/>
  <c r="BA74" i="275"/>
  <c r="Y23" i="275"/>
  <c r="X23" i="275"/>
  <c r="W23" i="275"/>
  <c r="V23" i="275"/>
  <c r="U23" i="275"/>
  <c r="T23" i="275"/>
  <c r="S23" i="275"/>
  <c r="R23" i="275"/>
  <c r="Q23" i="275"/>
  <c r="P23" i="275"/>
  <c r="O23" i="275"/>
  <c r="N23" i="275"/>
  <c r="M23" i="275"/>
  <c r="L23" i="275"/>
  <c r="K23" i="275"/>
  <c r="J23" i="275"/>
  <c r="I23" i="275"/>
  <c r="H23" i="275"/>
  <c r="AE19" i="275"/>
  <c r="AD19" i="275"/>
  <c r="AC19" i="275"/>
  <c r="Y19" i="275"/>
  <c r="X19" i="275"/>
  <c r="W19" i="275"/>
  <c r="V19" i="275"/>
  <c r="U19" i="275"/>
  <c r="T19" i="275"/>
  <c r="S19" i="275"/>
  <c r="R19" i="275"/>
  <c r="Q19" i="275"/>
  <c r="P19" i="275"/>
  <c r="O19" i="275"/>
  <c r="N19" i="275"/>
  <c r="M19" i="275"/>
  <c r="L19" i="275"/>
  <c r="K19" i="275"/>
  <c r="J19" i="275"/>
  <c r="I19" i="275"/>
  <c r="H19" i="275"/>
  <c r="Y16" i="275"/>
  <c r="X16" i="275"/>
  <c r="W16" i="275"/>
  <c r="V16" i="275"/>
  <c r="U16" i="275"/>
  <c r="T16" i="275"/>
  <c r="S16" i="275"/>
  <c r="R16" i="275"/>
  <c r="Q16" i="275"/>
  <c r="P16" i="275"/>
  <c r="O16" i="275"/>
  <c r="N16" i="275"/>
  <c r="M16" i="275"/>
  <c r="L16" i="275"/>
  <c r="K16" i="275"/>
  <c r="J16" i="275"/>
  <c r="I16" i="275"/>
  <c r="H16" i="275"/>
  <c r="Y12" i="275"/>
  <c r="X12" i="275"/>
  <c r="W12" i="275"/>
  <c r="V12" i="275"/>
  <c r="U12" i="275"/>
  <c r="T12" i="275"/>
  <c r="S12" i="275"/>
  <c r="R12" i="275"/>
  <c r="Q12" i="275"/>
  <c r="P12" i="275"/>
  <c r="O12" i="275"/>
  <c r="N12" i="275"/>
  <c r="M12" i="275"/>
  <c r="L12" i="275"/>
  <c r="K12" i="275"/>
  <c r="J12" i="275"/>
  <c r="I12" i="275"/>
  <c r="H12" i="275"/>
  <c r="Y11" i="275"/>
  <c r="X11" i="275"/>
  <c r="W11" i="275"/>
  <c r="V11" i="275"/>
  <c r="U11" i="275"/>
  <c r="T11" i="275"/>
  <c r="S11" i="275"/>
  <c r="R11" i="275"/>
  <c r="Q11" i="275"/>
  <c r="P11" i="275"/>
  <c r="O11" i="275"/>
  <c r="N11" i="275"/>
  <c r="M11" i="275"/>
  <c r="L11" i="275"/>
  <c r="K11" i="275"/>
  <c r="J11" i="275"/>
  <c r="I11" i="275"/>
  <c r="H11" i="275"/>
  <c r="AC332" i="261"/>
  <c r="AD332" i="261" s="1"/>
  <c r="AE332" i="261" s="1"/>
  <c r="AF332" i="261" s="1"/>
  <c r="AG332" i="261" l="1"/>
  <c r="AF1420" i="259"/>
  <c r="BC197" i="259"/>
  <c r="BD197" i="259"/>
  <c r="E32" i="273"/>
  <c r="E31" i="273"/>
  <c r="E30" i="273"/>
  <c r="E37" i="273"/>
  <c r="E34" i="273"/>
  <c r="X6" i="273"/>
  <c r="X8" i="273"/>
  <c r="X7" i="273"/>
  <c r="AH332" i="261" l="1"/>
  <c r="AG1420" i="259"/>
  <c r="Y324" i="261"/>
  <c r="Y8" i="261"/>
  <c r="Y9" i="261"/>
  <c r="Y10" i="261"/>
  <c r="Y13" i="261"/>
  <c r="Y14" i="261"/>
  <c r="Y17" i="261"/>
  <c r="Y18" i="261"/>
  <c r="Y36" i="261"/>
  <c r="Y37" i="261"/>
  <c r="Y39" i="261"/>
  <c r="Y40" i="261"/>
  <c r="Y46" i="261"/>
  <c r="Y47" i="261"/>
  <c r="Y49" i="261"/>
  <c r="Y54" i="261"/>
  <c r="Y55" i="261"/>
  <c r="Y57" i="261"/>
  <c r="Y63" i="261"/>
  <c r="Y64" i="261"/>
  <c r="Y66" i="261"/>
  <c r="Y67" i="261"/>
  <c r="Y73" i="261"/>
  <c r="Y74" i="261"/>
  <c r="Y76" i="261"/>
  <c r="Y81" i="261"/>
  <c r="Y82" i="261"/>
  <c r="Y84" i="261"/>
  <c r="Y90" i="261"/>
  <c r="Y91" i="261"/>
  <c r="Y95" i="261"/>
  <c r="Y98" i="261"/>
  <c r="Y200" i="259"/>
  <c r="Y103" i="261"/>
  <c r="Y153" i="261"/>
  <c r="Y154" i="261"/>
  <c r="Y155" i="261"/>
  <c r="Y167" i="261"/>
  <c r="Y168" i="261"/>
  <c r="Y169" i="261"/>
  <c r="Y173" i="261"/>
  <c r="Y174" i="261"/>
  <c r="Y175" i="261"/>
  <c r="Y176" i="261"/>
  <c r="Y177" i="261"/>
  <c r="Y180" i="261"/>
  <c r="Y181" i="261"/>
  <c r="Y182" i="261"/>
  <c r="Y183" i="261"/>
  <c r="Y184" i="261"/>
  <c r="Y235" i="261"/>
  <c r="Y237" i="261"/>
  <c r="Y268" i="261"/>
  <c r="Y269" i="261"/>
  <c r="Y289" i="261"/>
  <c r="Y290" i="261"/>
  <c r="Y293" i="261"/>
  <c r="Y296" i="261"/>
  <c r="Y314" i="261"/>
  <c r="Y1579" i="259"/>
  <c r="Y1590" i="259" s="1"/>
  <c r="Y1585" i="259"/>
  <c r="Y1517" i="259"/>
  <c r="Y1524" i="259"/>
  <c r="Y1537" i="259"/>
  <c r="Y1529" i="259" s="1"/>
  <c r="Y1470" i="259"/>
  <c r="Y344" i="261" s="1"/>
  <c r="Y1471" i="259"/>
  <c r="Y1473" i="259"/>
  <c r="Y1474" i="259" s="1"/>
  <c r="Y345" i="261" s="1"/>
  <c r="Y1418" i="259"/>
  <c r="Y1441" i="259"/>
  <c r="Z1443" i="259" s="1"/>
  <c r="Y1449" i="259"/>
  <c r="Y1404" i="259"/>
  <c r="Y1405" i="259"/>
  <c r="Y322" i="261" s="1"/>
  <c r="Y1386" i="259"/>
  <c r="Y1387" i="259" s="1"/>
  <c r="Y1389" i="259"/>
  <c r="Y313" i="261" s="1"/>
  <c r="Y1399" i="259"/>
  <c r="Y1335" i="259"/>
  <c r="Y317" i="261" s="1"/>
  <c r="Z318" i="261" s="1"/>
  <c r="Y1371" i="259"/>
  <c r="Y1392" i="259" s="1"/>
  <c r="Y1377" i="259"/>
  <c r="Y1295" i="259"/>
  <c r="Y1298" i="259"/>
  <c r="Y1308" i="259"/>
  <c r="Y1309" i="259"/>
  <c r="Y1318" i="259"/>
  <c r="Y1320" i="259" s="1"/>
  <c r="Y1325" i="259"/>
  <c r="Y1329" i="259"/>
  <c r="Y1293" i="259" s="1"/>
  <c r="Y1279" i="259"/>
  <c r="Y1281" i="259" s="1"/>
  <c r="Y1225" i="259"/>
  <c r="Y1226" i="259"/>
  <c r="Y1227" i="259" s="1"/>
  <c r="Y1230" i="259"/>
  <c r="Y1231" i="259"/>
  <c r="Y1235" i="259"/>
  <c r="Y1236" i="259"/>
  <c r="Y1237" i="259" s="1"/>
  <c r="Y253" i="261" s="1"/>
  <c r="Y1183" i="259"/>
  <c r="Y1184" i="259"/>
  <c r="Y1200" i="259"/>
  <c r="Y1201" i="259"/>
  <c r="Y1213" i="259"/>
  <c r="Y1214" i="259"/>
  <c r="Y1140" i="259"/>
  <c r="Y1143" i="259"/>
  <c r="Y1151" i="259"/>
  <c r="Y1155" i="259"/>
  <c r="Y1158" i="259"/>
  <c r="Y1166" i="259"/>
  <c r="Y1095" i="259"/>
  <c r="Y1097" i="259" s="1"/>
  <c r="Y1110" i="259"/>
  <c r="Y1112" i="259" s="1"/>
  <c r="Y1127" i="259"/>
  <c r="Y1128" i="259" s="1"/>
  <c r="Y1130" i="259"/>
  <c r="Z1123" i="259" s="1"/>
  <c r="Z1129" i="259" s="1"/>
  <c r="Y1017" i="259"/>
  <c r="Y1021" i="259"/>
  <c r="Y1022" i="259"/>
  <c r="Y1026" i="259"/>
  <c r="Y1027" i="259"/>
  <c r="Y1032" i="259" s="1"/>
  <c r="Y1040" i="259"/>
  <c r="Y1042" i="259"/>
  <c r="Y1051" i="259"/>
  <c r="Y1052" i="259"/>
  <c r="Y1053" i="259"/>
  <c r="Y1054" i="259"/>
  <c r="Y972" i="259"/>
  <c r="Y977" i="259"/>
  <c r="Y993" i="259"/>
  <c r="Y1006" i="259"/>
  <c r="Y888" i="259"/>
  <c r="Y937" i="259"/>
  <c r="Y944" i="259"/>
  <c r="Y957" i="259"/>
  <c r="Y889" i="259"/>
  <c r="Y891" i="259"/>
  <c r="Y892" i="259"/>
  <c r="Y893" i="259"/>
  <c r="Y894" i="259"/>
  <c r="Y900" i="259"/>
  <c r="Y952" i="259" s="1"/>
  <c r="Y901" i="259"/>
  <c r="Y910" i="259"/>
  <c r="Y916" i="259"/>
  <c r="Y917" i="259"/>
  <c r="Y918" i="259"/>
  <c r="Y919" i="259"/>
  <c r="Y920" i="259"/>
  <c r="Y921" i="259"/>
  <c r="Y927" i="259"/>
  <c r="Y838" i="259"/>
  <c r="Y833" i="259"/>
  <c r="Y837" i="259"/>
  <c r="Y839" i="259" s="1"/>
  <c r="Y855" i="259"/>
  <c r="Y868" i="259"/>
  <c r="Y873" i="259"/>
  <c r="Y875" i="259"/>
  <c r="Y876" i="259"/>
  <c r="Y877" i="259"/>
  <c r="Y878" i="259"/>
  <c r="Y751" i="259"/>
  <c r="Y816" i="259" s="1"/>
  <c r="Y764" i="259"/>
  <c r="Y768" i="259"/>
  <c r="Y777" i="259"/>
  <c r="Y778" i="259"/>
  <c r="Y794" i="259"/>
  <c r="Y795" i="259"/>
  <c r="Y799" i="259"/>
  <c r="Y801" i="259"/>
  <c r="Y802" i="259"/>
  <c r="Y640" i="259"/>
  <c r="Y650" i="259"/>
  <c r="Y663" i="259"/>
  <c r="Y667" i="259"/>
  <c r="Y681" i="259"/>
  <c r="Y690" i="259"/>
  <c r="Y704" i="259"/>
  <c r="Y989" i="259" s="1"/>
  <c r="Y718" i="259"/>
  <c r="Y741" i="259"/>
  <c r="Y579" i="259"/>
  <c r="Y589" i="259"/>
  <c r="Y590" i="259"/>
  <c r="Y598" i="259"/>
  <c r="Y599" i="259"/>
  <c r="Y607" i="259"/>
  <c r="Y614" i="259"/>
  <c r="Y619" i="259"/>
  <c r="Y622" i="259"/>
  <c r="Y623" i="259"/>
  <c r="Y541" i="259"/>
  <c r="Y542" i="259" s="1"/>
  <c r="Y551" i="259"/>
  <c r="Y561" i="259"/>
  <c r="Y562" i="259" s="1"/>
  <c r="Y195" i="261" s="1"/>
  <c r="Y568" i="259"/>
  <c r="Y571" i="259"/>
  <c r="Y510" i="259"/>
  <c r="Y520" i="259"/>
  <c r="Y526" i="259"/>
  <c r="Y532" i="259"/>
  <c r="Y472" i="259"/>
  <c r="Y485" i="259"/>
  <c r="Y488" i="259"/>
  <c r="Y498" i="259"/>
  <c r="Y505" i="259"/>
  <c r="Y506" i="259" s="1"/>
  <c r="Y355" i="259"/>
  <c r="Y361" i="259"/>
  <c r="Y371" i="259"/>
  <c r="Y376" i="259"/>
  <c r="Y379" i="259"/>
  <c r="Y380" i="259"/>
  <c r="Y398" i="259" s="1"/>
  <c r="Y32" i="261" s="1"/>
  <c r="Y386" i="259"/>
  <c r="Y393" i="259"/>
  <c r="Y407" i="259"/>
  <c r="Y414" i="259"/>
  <c r="Y978" i="259" s="1"/>
  <c r="Y442" i="259"/>
  <c r="Y443" i="259"/>
  <c r="Y444" i="259"/>
  <c r="Y451" i="259"/>
  <c r="Y455" i="259"/>
  <c r="Y456" i="259"/>
  <c r="Y458" i="259"/>
  <c r="Y329" i="259"/>
  <c r="Y336" i="259"/>
  <c r="Y277" i="259"/>
  <c r="Y1507" i="259" s="1"/>
  <c r="Y114" i="261" s="1"/>
  <c r="Y283" i="259"/>
  <c r="Y293" i="259"/>
  <c r="Y298" i="259"/>
  <c r="Y301" i="259"/>
  <c r="Y302" i="259"/>
  <c r="Y320" i="259" s="1"/>
  <c r="Y28" i="261" s="1"/>
  <c r="Y308" i="259"/>
  <c r="Y315" i="259"/>
  <c r="Y31" i="259"/>
  <c r="Y39" i="259"/>
  <c r="Y57" i="259"/>
  <c r="Y58" i="259"/>
  <c r="Y63" i="259"/>
  <c r="Y64" i="259"/>
  <c r="Y84" i="259"/>
  <c r="Y86" i="259"/>
  <c r="Y90" i="259"/>
  <c r="Y91" i="259"/>
  <c r="Y92" i="259"/>
  <c r="Y93" i="259"/>
  <c r="Y113" i="259"/>
  <c r="Y114" i="259"/>
  <c r="Y117" i="259"/>
  <c r="Y119" i="259"/>
  <c r="Y120" i="259"/>
  <c r="Y126" i="259"/>
  <c r="Y132" i="259"/>
  <c r="Y133" i="259"/>
  <c r="Y140" i="259"/>
  <c r="Y151" i="259"/>
  <c r="Y1414" i="259" s="1"/>
  <c r="Y157" i="259"/>
  <c r="Y168" i="259"/>
  <c r="Y174" i="259"/>
  <c r="Y430" i="259" s="1"/>
  <c r="Y179" i="259"/>
  <c r="Y180" i="259"/>
  <c r="Y187" i="259"/>
  <c r="Y208" i="259"/>
  <c r="Y105" i="261" s="1"/>
  <c r="Y219" i="259"/>
  <c r="Y228" i="259"/>
  <c r="Y232" i="259"/>
  <c r="Y967" i="259" s="1"/>
  <c r="Y240" i="259"/>
  <c r="Y245" i="259"/>
  <c r="Y252" i="259"/>
  <c r="Y253" i="259"/>
  <c r="Y262" i="259"/>
  <c r="Y23" i="261" s="1"/>
  <c r="Y18" i="259"/>
  <c r="Y285" i="259" l="1"/>
  <c r="Y85" i="259" s="1"/>
  <c r="Y100" i="259" s="1"/>
  <c r="Y1144" i="259"/>
  <c r="Y1202" i="259"/>
  <c r="Y143" i="261" s="1"/>
  <c r="AI332" i="261"/>
  <c r="AI1420" i="259" s="1"/>
  <c r="AH1420" i="259"/>
  <c r="Y979" i="259"/>
  <c r="Y1159" i="259"/>
  <c r="Y922" i="259"/>
  <c r="Y924" i="259" s="1"/>
  <c r="Y1383" i="259"/>
  <c r="Y1463" i="259" s="1"/>
  <c r="Y1465" i="259" s="1"/>
  <c r="Y1468" i="259" s="1"/>
  <c r="Y1179" i="259"/>
  <c r="Y1240" i="259" s="1"/>
  <c r="Y159" i="259"/>
  <c r="Y160" i="259" s="1"/>
  <c r="Y161" i="259" s="1"/>
  <c r="Y119" i="261" s="1"/>
  <c r="Y1215" i="259"/>
  <c r="Y144" i="261" s="1"/>
  <c r="Y1232" i="259"/>
  <c r="Y219" i="261" s="1"/>
  <c r="Y982" i="259"/>
  <c r="Z553" i="259"/>
  <c r="Z199" i="261" s="1"/>
  <c r="AC777" i="275"/>
  <c r="Z262" i="261"/>
  <c r="Y178" i="259"/>
  <c r="Y181" i="259" s="1"/>
  <c r="Y62" i="259"/>
  <c r="Y94" i="259"/>
  <c r="Y303" i="259"/>
  <c r="Y340" i="259"/>
  <c r="Z59" i="261"/>
  <c r="Y381" i="259"/>
  <c r="Y363" i="259"/>
  <c r="Y582" i="259"/>
  <c r="Z233" i="261"/>
  <c r="Y870" i="259"/>
  <c r="Y954" i="259"/>
  <c r="Y973" i="259"/>
  <c r="Y1038" i="259"/>
  <c r="Y1028" i="259"/>
  <c r="Y1016" i="259"/>
  <c r="Y1031" i="259" s="1"/>
  <c r="Y1297" i="259"/>
  <c r="Y1338" i="259"/>
  <c r="Y316" i="261" s="1"/>
  <c r="Z151" i="261"/>
  <c r="Y666" i="259"/>
  <c r="Z929" i="259"/>
  <c r="Y895" i="259"/>
  <c r="Y1502" i="259"/>
  <c r="Y193" i="261"/>
  <c r="AC187" i="275"/>
  <c r="Y141" i="259"/>
  <c r="Y56" i="259"/>
  <c r="Y286" i="259"/>
  <c r="Z51" i="261"/>
  <c r="Y534" i="259"/>
  <c r="AC532" i="275"/>
  <c r="Z563" i="259"/>
  <c r="Z200" i="261" s="1"/>
  <c r="Y552" i="259"/>
  <c r="Y194" i="261" s="1"/>
  <c r="Y624" i="259"/>
  <c r="AC741" i="275"/>
  <c r="Y680" i="259"/>
  <c r="AC764" i="275"/>
  <c r="Y858" i="259"/>
  <c r="Y902" i="259"/>
  <c r="Y953" i="259"/>
  <c r="Z258" i="261"/>
  <c r="Y1081" i="259"/>
  <c r="Y1136" i="259"/>
  <c r="Y1185" i="259"/>
  <c r="Y142" i="261" s="1"/>
  <c r="Y1306" i="259"/>
  <c r="Y1312" i="259" s="1"/>
  <c r="Z1313" i="259" s="1"/>
  <c r="Y1334" i="259"/>
  <c r="Y1423" i="259"/>
  <c r="Y1422" i="259" s="1"/>
  <c r="Y1426" i="259" s="1"/>
  <c r="Y1508" i="259"/>
  <c r="Y115" i="261" s="1"/>
  <c r="Y234" i="259"/>
  <c r="Y263" i="259"/>
  <c r="Y24" i="261" s="1"/>
  <c r="Y6" i="259"/>
  <c r="Z161" i="261"/>
  <c r="Y719" i="259"/>
  <c r="AC718" i="275"/>
  <c r="Y845" i="259"/>
  <c r="Y221" i="259"/>
  <c r="Z41" i="261"/>
  <c r="Y139" i="259"/>
  <c r="Y37" i="259"/>
  <c r="Y99" i="259"/>
  <c r="Y445" i="259"/>
  <c r="Y418" i="259"/>
  <c r="Y476" i="259"/>
  <c r="Z567" i="259"/>
  <c r="Z201" i="261" s="1"/>
  <c r="Y522" i="259"/>
  <c r="AC520" i="275"/>
  <c r="Z543" i="259"/>
  <c r="Z160" i="261"/>
  <c r="Y600" i="259"/>
  <c r="Y705" i="259"/>
  <c r="AC663" i="275"/>
  <c r="Y872" i="259"/>
  <c r="Z885" i="259"/>
  <c r="Z886" i="259"/>
  <c r="Y948" i="259"/>
  <c r="Y968" i="259"/>
  <c r="Y1023" i="259"/>
  <c r="Y1178" i="259"/>
  <c r="Y1239" i="259" s="1"/>
  <c r="Y1380" i="259"/>
  <c r="Y1374" i="259"/>
  <c r="Y1375" i="259" s="1"/>
  <c r="Y1339" i="259"/>
  <c r="Y1407" i="259"/>
  <c r="Y1419" i="259"/>
  <c r="Y1420" i="259" s="1"/>
  <c r="Y332" i="261" s="1"/>
  <c r="Y1511" i="259"/>
  <c r="Y244" i="261" s="1"/>
  <c r="Y1506" i="259"/>
  <c r="Y113" i="261" s="1"/>
  <c r="Y1501" i="259"/>
  <c r="Y1503" i="259" s="1"/>
  <c r="Z1397" i="259"/>
  <c r="Y1171" i="259"/>
  <c r="Y1055" i="259"/>
  <c r="AC455" i="275"/>
  <c r="AC240" i="275"/>
  <c r="Y559" i="259"/>
  <c r="Y190" i="261" s="1"/>
  <c r="Y201" i="259"/>
  <c r="Y549" i="259"/>
  <c r="Y189" i="261" s="1"/>
  <c r="Y539" i="259"/>
  <c r="Y102" i="261"/>
  <c r="Y1294" i="259"/>
  <c r="Y1286" i="259"/>
  <c r="Y691" i="259"/>
  <c r="Y591" i="259"/>
  <c r="Y101" i="259"/>
  <c r="Y38" i="259"/>
  <c r="Y65" i="259"/>
  <c r="Y452" i="259"/>
  <c r="Y115" i="259"/>
  <c r="Y1505" i="259" s="1"/>
  <c r="Y112" i="261" s="1"/>
  <c r="Y142" i="259"/>
  <c r="Y87" i="259"/>
  <c r="Y196" i="259"/>
  <c r="Y136" i="259"/>
  <c r="Y121" i="259"/>
  <c r="Y44" i="259"/>
  <c r="E178" i="262"/>
  <c r="F178" i="262"/>
  <c r="G178" i="262"/>
  <c r="H178" i="262"/>
  <c r="I178" i="262"/>
  <c r="J178" i="262"/>
  <c r="K178" i="262"/>
  <c r="L178" i="262"/>
  <c r="M178" i="262"/>
  <c r="N178" i="262"/>
  <c r="O178" i="262"/>
  <c r="P178" i="262"/>
  <c r="Q178" i="262"/>
  <c r="R178" i="262"/>
  <c r="S178" i="262"/>
  <c r="T178" i="262"/>
  <c r="U178" i="262"/>
  <c r="V178" i="262"/>
  <c r="W178" i="262"/>
  <c r="X178" i="262"/>
  <c r="E179" i="262"/>
  <c r="F179" i="262"/>
  <c r="G179" i="262"/>
  <c r="H179" i="262"/>
  <c r="I179" i="262"/>
  <c r="J179" i="262"/>
  <c r="K179" i="262"/>
  <c r="L179" i="262"/>
  <c r="M179" i="262"/>
  <c r="N179" i="262"/>
  <c r="O179" i="262"/>
  <c r="P179" i="262"/>
  <c r="Q179" i="262"/>
  <c r="R179" i="262"/>
  <c r="S179" i="262"/>
  <c r="T179" i="262"/>
  <c r="U179" i="262"/>
  <c r="V179" i="262"/>
  <c r="W179" i="262"/>
  <c r="X179" i="262"/>
  <c r="D178" i="262"/>
  <c r="D179" i="262"/>
  <c r="Y123" i="259" l="1"/>
  <c r="Y871" i="259"/>
  <c r="Y431" i="259"/>
  <c r="Y432" i="259" s="1"/>
  <c r="Y50" i="259"/>
  <c r="Y191" i="262"/>
  <c r="Y210" i="259"/>
  <c r="Y102" i="259"/>
  <c r="Y105" i="259" s="1"/>
  <c r="Y40" i="259"/>
  <c r="Y1353" i="259"/>
  <c r="Z234" i="261"/>
  <c r="Y1039" i="259"/>
  <c r="Y59" i="259"/>
  <c r="Y68" i="259"/>
  <c r="Y1315" i="259"/>
  <c r="Y1446" i="259"/>
  <c r="Z43" i="261"/>
  <c r="Y1018" i="259"/>
  <c r="Z263" i="261"/>
  <c r="Y955" i="259"/>
  <c r="Z925" i="259"/>
  <c r="Y1378" i="259"/>
  <c r="Y1379" i="259" s="1"/>
  <c r="Y905" i="259"/>
  <c r="Z162" i="261"/>
  <c r="AC666" i="275"/>
  <c r="Z1291" i="259"/>
  <c r="Y1302" i="259"/>
  <c r="Y1303" i="259" s="1"/>
  <c r="Y143" i="259"/>
  <c r="Y1415" i="259"/>
  <c r="Y1180" i="259"/>
  <c r="Y1354" i="259"/>
  <c r="Y1299" i="259"/>
  <c r="Y1033" i="259"/>
  <c r="Y990" i="259"/>
  <c r="AC680" i="275"/>
  <c r="Y287" i="259"/>
  <c r="Y120" i="261" s="1"/>
  <c r="Y974" i="259"/>
  <c r="Y1494" i="259"/>
  <c r="Y1116" i="259"/>
  <c r="Y1101" i="259"/>
  <c r="Y983" i="259"/>
  <c r="Y984" i="259" s="1"/>
  <c r="Y479" i="259"/>
  <c r="Y1352" i="259"/>
  <c r="Y1351" i="259"/>
  <c r="Y969" i="259"/>
  <c r="Y453" i="259"/>
  <c r="Z198" i="261"/>
  <c r="AC719" i="275"/>
  <c r="Z264" i="261"/>
  <c r="Y364" i="259"/>
  <c r="Y188" i="261"/>
  <c r="D152" i="262"/>
  <c r="Y138" i="262"/>
  <c r="Y139" i="262"/>
  <c r="Y140" i="262"/>
  <c r="Y104" i="259" l="1"/>
  <c r="Y106" i="259"/>
  <c r="Y365" i="259"/>
  <c r="Y121" i="261" s="1"/>
  <c r="Y124" i="259"/>
  <c r="Y1416" i="259"/>
  <c r="Y331" i="261" s="1"/>
  <c r="Y1427" i="259"/>
  <c r="Y1428" i="259" s="1"/>
  <c r="Y487" i="259"/>
  <c r="Y1102" i="259"/>
  <c r="Y1117" i="259"/>
  <c r="Y820" i="259"/>
  <c r="Y991" i="259"/>
  <c r="Z270" i="261"/>
  <c r="Y273" i="261"/>
  <c r="Z926" i="259"/>
  <c r="Y1100" i="259"/>
  <c r="Y1115" i="259"/>
  <c r="Z265" i="261"/>
  <c r="Y144" i="262"/>
  <c r="Y143" i="262"/>
  <c r="Y142" i="262"/>
  <c r="Y131" i="262"/>
  <c r="Y132" i="262"/>
  <c r="Y134" i="262"/>
  <c r="AV4" i="262"/>
  <c r="AW4" i="262"/>
  <c r="AX4" i="262"/>
  <c r="AY4" i="262"/>
  <c r="AZ4" i="262"/>
  <c r="BA4" i="262"/>
  <c r="BB4" i="262"/>
  <c r="BC4" i="262"/>
  <c r="AU4" i="262"/>
  <c r="Y997" i="259" l="1"/>
  <c r="Z913" i="259"/>
  <c r="Y1510" i="259"/>
  <c r="Y210" i="261" s="1"/>
  <c r="Y512" i="259"/>
  <c r="Y492" i="259"/>
  <c r="Y51" i="259"/>
  <c r="Y127" i="262" s="1"/>
  <c r="Y500" i="259"/>
  <c r="Y489" i="259"/>
  <c r="Y1431" i="259"/>
  <c r="Y335" i="261"/>
  <c r="Y125" i="259"/>
  <c r="Y118" i="261" s="1"/>
  <c r="Y126" i="262"/>
  <c r="Y42" i="262"/>
  <c r="X42" i="262"/>
  <c r="W42" i="262"/>
  <c r="V42" i="262"/>
  <c r="U42" i="262"/>
  <c r="T42" i="262"/>
  <c r="S42" i="262"/>
  <c r="R42" i="262"/>
  <c r="Q42" i="262"/>
  <c r="P42" i="262"/>
  <c r="O42" i="262"/>
  <c r="N42" i="262"/>
  <c r="M42" i="262"/>
  <c r="L42" i="262"/>
  <c r="K42" i="262"/>
  <c r="J42" i="262"/>
  <c r="I42" i="262"/>
  <c r="H42" i="262"/>
  <c r="G42" i="262"/>
  <c r="F42" i="262"/>
  <c r="E42" i="262"/>
  <c r="D42" i="262"/>
  <c r="Y40" i="262"/>
  <c r="X40" i="262"/>
  <c r="W40" i="262"/>
  <c r="V40" i="262"/>
  <c r="U40" i="262"/>
  <c r="T40" i="262"/>
  <c r="S40" i="262"/>
  <c r="R40" i="262"/>
  <c r="Q40" i="262"/>
  <c r="P40" i="262"/>
  <c r="O40" i="262"/>
  <c r="N40" i="262"/>
  <c r="M40" i="262"/>
  <c r="L40" i="262"/>
  <c r="K40" i="262"/>
  <c r="J40" i="262"/>
  <c r="I40" i="262"/>
  <c r="H40" i="262"/>
  <c r="G40" i="262"/>
  <c r="F40" i="262"/>
  <c r="E40" i="262"/>
  <c r="D40" i="262"/>
  <c r="Y69" i="259" l="1"/>
  <c r="Y511" i="259"/>
  <c r="Y999" i="259"/>
  <c r="Y1170" i="259" l="1"/>
  <c r="Y1008" i="259"/>
  <c r="Y1172" i="259" l="1"/>
  <c r="Y1283" i="259"/>
  <c r="Y308" i="261" s="1"/>
  <c r="Y1009" i="259"/>
  <c r="V326" i="261"/>
  <c r="S324" i="261"/>
  <c r="R324" i="261"/>
  <c r="Q324" i="261"/>
  <c r="P324" i="261"/>
  <c r="O324" i="261"/>
  <c r="N324" i="261"/>
  <c r="M324" i="261"/>
  <c r="L324" i="261"/>
  <c r="K324" i="261"/>
  <c r="J324" i="261"/>
  <c r="I324" i="261"/>
  <c r="H324" i="261"/>
  <c r="G324" i="261"/>
  <c r="F324" i="261"/>
  <c r="E324" i="261"/>
  <c r="D324" i="261"/>
  <c r="U324" i="261"/>
  <c r="V324" i="261"/>
  <c r="W324" i="261"/>
  <c r="X324" i="261"/>
  <c r="T324" i="261"/>
  <c r="Q37" i="272" l="1"/>
  <c r="F37" i="272"/>
  <c r="F44" i="272"/>
  <c r="Q45" i="272"/>
  <c r="F45" i="272"/>
  <c r="Q43" i="272"/>
  <c r="F43" i="272"/>
  <c r="Q44" i="272"/>
  <c r="F19" i="272" l="1"/>
  <c r="F25" i="272" s="1"/>
  <c r="Q23" i="272"/>
  <c r="F17" i="272"/>
  <c r="F23" i="272"/>
  <c r="Q17" i="272"/>
  <c r="Q19" i="272"/>
  <c r="Q25" i="272" s="1"/>
  <c r="AW296" i="262" l="1"/>
  <c r="AX296" i="262"/>
  <c r="AY296" i="262"/>
  <c r="AZ296" i="262"/>
  <c r="BA296" i="262"/>
  <c r="BB296" i="262"/>
  <c r="BC296" i="262"/>
  <c r="X1629" i="259" l="1"/>
  <c r="X289" i="262" s="1"/>
  <c r="W1629" i="259"/>
  <c r="W289" i="262" s="1"/>
  <c r="V1629" i="259"/>
  <c r="V289" i="262" s="1"/>
  <c r="U1629" i="259"/>
  <c r="U289" i="262" s="1"/>
  <c r="T1629" i="259"/>
  <c r="T289" i="262" s="1"/>
  <c r="S1629" i="259"/>
  <c r="S289" i="262" s="1"/>
  <c r="R1629" i="259"/>
  <c r="R289" i="262" s="1"/>
  <c r="Q1629" i="259"/>
  <c r="Q289" i="262" s="1"/>
  <c r="P1629" i="259"/>
  <c r="P289" i="262" s="1"/>
  <c r="O1629" i="259"/>
  <c r="O289" i="262" s="1"/>
  <c r="N1629" i="259"/>
  <c r="N289" i="262" s="1"/>
  <c r="M1629" i="259"/>
  <c r="M289" i="262" s="1"/>
  <c r="L1629" i="259"/>
  <c r="L289" i="262" s="1"/>
  <c r="K1629" i="259"/>
  <c r="K289" i="262" s="1"/>
  <c r="J1629" i="259"/>
  <c r="J289" i="262" s="1"/>
  <c r="I1629" i="259"/>
  <c r="I289" i="262" s="1"/>
  <c r="H1629" i="259"/>
  <c r="H289" i="262" s="1"/>
  <c r="G1629" i="259"/>
  <c r="G289" i="262" s="1"/>
  <c r="F1629" i="259"/>
  <c r="F289" i="262" s="1"/>
  <c r="E1629" i="259"/>
  <c r="E289" i="262" s="1"/>
  <c r="D1629" i="259"/>
  <c r="D289" i="262" s="1"/>
  <c r="M1625" i="259"/>
  <c r="N1625" i="259"/>
  <c r="N287" i="262" s="1"/>
  <c r="O1625" i="259"/>
  <c r="P1625" i="259"/>
  <c r="Q1625" i="259"/>
  <c r="R1625" i="259"/>
  <c r="S1625" i="259"/>
  <c r="T1625" i="259"/>
  <c r="U1625" i="259"/>
  <c r="V1625" i="259"/>
  <c r="W1625" i="259"/>
  <c r="X1625" i="259"/>
  <c r="Y1625" i="259"/>
  <c r="Y287" i="262" s="1"/>
  <c r="Z1625" i="259"/>
  <c r="Z287" i="262" s="1"/>
  <c r="AA287" i="262"/>
  <c r="L1625" i="259"/>
  <c r="BD633" i="259"/>
  <c r="BC633" i="259"/>
  <c r="AZ632" i="259"/>
  <c r="AY632" i="259"/>
  <c r="AY632" i="275" s="1"/>
  <c r="AX632" i="259"/>
  <c r="AW632" i="259"/>
  <c r="M633" i="259"/>
  <c r="M157" i="261" s="1"/>
  <c r="N633" i="259"/>
  <c r="N157" i="261" s="1"/>
  <c r="O633" i="259"/>
  <c r="O157" i="261" s="1"/>
  <c r="P633" i="259"/>
  <c r="P157" i="261" s="1"/>
  <c r="Q633" i="259"/>
  <c r="Q157" i="261" s="1"/>
  <c r="R633" i="259"/>
  <c r="R157" i="261" s="1"/>
  <c r="S633" i="259"/>
  <c r="S157" i="261" s="1"/>
  <c r="T633" i="259"/>
  <c r="T157" i="261" s="1"/>
  <c r="U633" i="259"/>
  <c r="U157" i="261" s="1"/>
  <c r="V633" i="259"/>
  <c r="V157" i="261" s="1"/>
  <c r="W633" i="259"/>
  <c r="W157" i="261" s="1"/>
  <c r="X633" i="259"/>
  <c r="X157" i="261" s="1"/>
  <c r="L633" i="259"/>
  <c r="L157" i="261" s="1"/>
  <c r="AY628" i="259"/>
  <c r="AX628" i="259"/>
  <c r="AW628" i="259"/>
  <c r="AV628" i="259"/>
  <c r="AU628" i="259"/>
  <c r="AU1629" i="259" s="1"/>
  <c r="AU289" i="262" s="1"/>
  <c r="Y633" i="259"/>
  <c r="Y157" i="261" s="1"/>
  <c r="X155" i="261"/>
  <c r="F155" i="261"/>
  <c r="G155" i="261"/>
  <c r="H155" i="261"/>
  <c r="I155" i="261"/>
  <c r="J155" i="261"/>
  <c r="K155" i="261"/>
  <c r="L155" i="261"/>
  <c r="M155" i="261"/>
  <c r="N155" i="261"/>
  <c r="O155" i="261"/>
  <c r="P155" i="261"/>
  <c r="Q155" i="261"/>
  <c r="R155" i="261"/>
  <c r="S155" i="261"/>
  <c r="T155" i="261"/>
  <c r="U155" i="261"/>
  <c r="V155" i="261"/>
  <c r="W155" i="261"/>
  <c r="E155" i="261"/>
  <c r="X1618" i="259"/>
  <c r="X282" i="262" s="1"/>
  <c r="W1618" i="259"/>
  <c r="W282" i="262" s="1"/>
  <c r="V1618" i="259"/>
  <c r="V282" i="262" s="1"/>
  <c r="U1618" i="259"/>
  <c r="U282" i="262" s="1"/>
  <c r="T1618" i="259"/>
  <c r="T282" i="262" s="1"/>
  <c r="S1618" i="259"/>
  <c r="S282" i="262" s="1"/>
  <c r="R1618" i="259"/>
  <c r="R282" i="262" s="1"/>
  <c r="Q1618" i="259"/>
  <c r="Q282" i="262" s="1"/>
  <c r="P1618" i="259"/>
  <c r="P282" i="262" s="1"/>
  <c r="O1618" i="259"/>
  <c r="O282" i="262" s="1"/>
  <c r="N1618" i="259"/>
  <c r="N282" i="262" s="1"/>
  <c r="M1618" i="259"/>
  <c r="M282" i="262" s="1"/>
  <c r="L1618" i="259"/>
  <c r="L282" i="262" s="1"/>
  <c r="K1618" i="259"/>
  <c r="K282" i="262" s="1"/>
  <c r="J1618" i="259"/>
  <c r="J282" i="262" s="1"/>
  <c r="I1618" i="259"/>
  <c r="I282" i="262" s="1"/>
  <c r="H1618" i="259"/>
  <c r="H282" i="262" s="1"/>
  <c r="G1618" i="259"/>
  <c r="G282" i="262" s="1"/>
  <c r="F1618" i="259"/>
  <c r="F282" i="262" s="1"/>
  <c r="E1618" i="259"/>
  <c r="E282" i="262" s="1"/>
  <c r="D1618" i="259"/>
  <c r="D282" i="262" s="1"/>
  <c r="X1617" i="259"/>
  <c r="W1617" i="259"/>
  <c r="W281" i="262" s="1"/>
  <c r="V1617" i="259"/>
  <c r="V281" i="262" s="1"/>
  <c r="U1617" i="259"/>
  <c r="U281" i="262" s="1"/>
  <c r="T1617" i="259"/>
  <c r="S1617" i="259"/>
  <c r="S281" i="262" s="1"/>
  <c r="R1617" i="259"/>
  <c r="R281" i="262" s="1"/>
  <c r="Q1617" i="259"/>
  <c r="Q281" i="262" s="1"/>
  <c r="P1617" i="259"/>
  <c r="O1617" i="259"/>
  <c r="O281" i="262" s="1"/>
  <c r="N1617" i="259"/>
  <c r="N281" i="262" s="1"/>
  <c r="M1617" i="259"/>
  <c r="M281" i="262" s="1"/>
  <c r="L1617" i="259"/>
  <c r="K1617" i="259"/>
  <c r="K281" i="262" s="1"/>
  <c r="J1617" i="259"/>
  <c r="J281" i="262" s="1"/>
  <c r="I1617" i="259"/>
  <c r="I281" i="262" s="1"/>
  <c r="H1617" i="259"/>
  <c r="G1617" i="259"/>
  <c r="G281" i="262" s="1"/>
  <c r="F1617" i="259"/>
  <c r="F281" i="262" s="1"/>
  <c r="E1617" i="259"/>
  <c r="E281" i="262" s="1"/>
  <c r="D1617" i="259"/>
  <c r="AX1604" i="259"/>
  <c r="AW1604" i="259"/>
  <c r="AV1604" i="259"/>
  <c r="AU1604" i="259"/>
  <c r="AX1603" i="259"/>
  <c r="AW1603" i="259"/>
  <c r="AV1603" i="259"/>
  <c r="AU1603" i="259"/>
  <c r="E1610" i="259"/>
  <c r="F1610" i="259"/>
  <c r="G1610" i="259"/>
  <c r="H1610" i="259"/>
  <c r="I1610" i="259"/>
  <c r="J1610" i="259"/>
  <c r="K1610" i="259"/>
  <c r="L1610" i="259"/>
  <c r="M1610" i="259"/>
  <c r="N1610" i="259"/>
  <c r="O1610" i="259"/>
  <c r="P1610" i="259"/>
  <c r="Q1610" i="259"/>
  <c r="R1610" i="259"/>
  <c r="S1610" i="259"/>
  <c r="T1610" i="259"/>
  <c r="T1603" i="259" s="1"/>
  <c r="U1610" i="259"/>
  <c r="U1603" i="259" s="1"/>
  <c r="V1610" i="259"/>
  <c r="V1603" i="259" s="1"/>
  <c r="W1610" i="259"/>
  <c r="W1603" i="259" s="1"/>
  <c r="X1610" i="259"/>
  <c r="X1603" i="259" s="1"/>
  <c r="E1611" i="259"/>
  <c r="F1611" i="259"/>
  <c r="G1611" i="259"/>
  <c r="H1611" i="259"/>
  <c r="I1611" i="259"/>
  <c r="J1611" i="259"/>
  <c r="K1611" i="259"/>
  <c r="L1611" i="259"/>
  <c r="M1611" i="259"/>
  <c r="N1611" i="259"/>
  <c r="O1611" i="259"/>
  <c r="P1611" i="259"/>
  <c r="Q1611" i="259"/>
  <c r="R1611" i="259"/>
  <c r="S1611" i="259"/>
  <c r="T1611" i="259"/>
  <c r="T1604" i="259" s="1"/>
  <c r="U1611" i="259"/>
  <c r="U1604" i="259" s="1"/>
  <c r="V1611" i="259"/>
  <c r="V1604" i="259" s="1"/>
  <c r="W1611" i="259"/>
  <c r="W1604" i="259" s="1"/>
  <c r="X1611" i="259"/>
  <c r="X1604" i="259" s="1"/>
  <c r="D1611" i="259"/>
  <c r="D1610" i="259"/>
  <c r="M1630" i="259" l="1"/>
  <c r="M290" i="262" s="1"/>
  <c r="M287" i="262"/>
  <c r="AX155" i="261"/>
  <c r="AX628" i="275"/>
  <c r="AW1625" i="259"/>
  <c r="AW287" i="262" s="1"/>
  <c r="AW632" i="275"/>
  <c r="W1630" i="259"/>
  <c r="W290" i="262" s="1"/>
  <c r="W287" i="262"/>
  <c r="S1630" i="259"/>
  <c r="S290" i="262" s="1"/>
  <c r="S287" i="262"/>
  <c r="O1630" i="259"/>
  <c r="O290" i="262" s="1"/>
  <c r="O287" i="262"/>
  <c r="AV1629" i="259"/>
  <c r="AV289" i="262" s="1"/>
  <c r="AV628" i="275"/>
  <c r="D1632" i="259"/>
  <c r="D291" i="262" s="1"/>
  <c r="D281" i="262"/>
  <c r="H1632" i="259"/>
  <c r="H291" i="262" s="1"/>
  <c r="H281" i="262"/>
  <c r="L1632" i="259"/>
  <c r="L291" i="262" s="1"/>
  <c r="L281" i="262"/>
  <c r="P1632" i="259"/>
  <c r="P291" i="262" s="1"/>
  <c r="P281" i="262"/>
  <c r="T1632" i="259"/>
  <c r="T291" i="262" s="1"/>
  <c r="T281" i="262"/>
  <c r="X1632" i="259"/>
  <c r="X291" i="262" s="1"/>
  <c r="X281" i="262"/>
  <c r="AY1629" i="259"/>
  <c r="AY289" i="262" s="1"/>
  <c r="AY628" i="275"/>
  <c r="AX1625" i="259"/>
  <c r="AX287" i="262" s="1"/>
  <c r="AX632" i="275"/>
  <c r="V1630" i="259"/>
  <c r="V290" i="262" s="1"/>
  <c r="V287" i="262"/>
  <c r="R1630" i="259"/>
  <c r="R290" i="262" s="1"/>
  <c r="R287" i="262"/>
  <c r="U1630" i="259"/>
  <c r="U290" i="262" s="1"/>
  <c r="U287" i="262"/>
  <c r="Q1630" i="259"/>
  <c r="Q290" i="262" s="1"/>
  <c r="Q287" i="262"/>
  <c r="AW155" i="261"/>
  <c r="AW1629" i="259"/>
  <c r="AW289" i="262" s="1"/>
  <c r="AW628" i="275"/>
  <c r="L1630" i="259"/>
  <c r="L290" i="262" s="1"/>
  <c r="L287" i="262"/>
  <c r="T1630" i="259"/>
  <c r="T290" i="262" s="1"/>
  <c r="T287" i="262"/>
  <c r="P1630" i="259"/>
  <c r="P290" i="262" s="1"/>
  <c r="P287" i="262"/>
  <c r="X1630" i="259"/>
  <c r="X290" i="262" s="1"/>
  <c r="X287" i="262"/>
  <c r="AZ1625" i="259"/>
  <c r="AZ287" i="262" s="1"/>
  <c r="AZ632" i="275"/>
  <c r="AY1604" i="259"/>
  <c r="AX1648" i="259"/>
  <c r="AY633" i="259"/>
  <c r="AY157" i="261" s="1"/>
  <c r="AX1629" i="259"/>
  <c r="AX289" i="262" s="1"/>
  <c r="Y1629" i="259"/>
  <c r="E1632" i="259"/>
  <c r="E291" i="262" s="1"/>
  <c r="I1632" i="259"/>
  <c r="I291" i="262" s="1"/>
  <c r="M1632" i="259"/>
  <c r="M291" i="262" s="1"/>
  <c r="Q1632" i="259"/>
  <c r="Q291" i="262" s="1"/>
  <c r="U1632" i="259"/>
  <c r="U291" i="262" s="1"/>
  <c r="AW1648" i="259"/>
  <c r="AW297" i="262" s="1"/>
  <c r="AY1625" i="259"/>
  <c r="AY287" i="262" s="1"/>
  <c r="Z1629" i="259"/>
  <c r="N1630" i="259"/>
  <c r="N290" i="262" s="1"/>
  <c r="F1632" i="259"/>
  <c r="F291" i="262" s="1"/>
  <c r="J1632" i="259"/>
  <c r="J291" i="262" s="1"/>
  <c r="N1632" i="259"/>
  <c r="N291" i="262" s="1"/>
  <c r="R1632" i="259"/>
  <c r="R291" i="262" s="1"/>
  <c r="V1632" i="259"/>
  <c r="V291" i="262" s="1"/>
  <c r="AW633" i="259"/>
  <c r="AW157" i="261" s="1"/>
  <c r="G1632" i="259"/>
  <c r="G291" i="262" s="1"/>
  <c r="K1632" i="259"/>
  <c r="K291" i="262" s="1"/>
  <c r="O1632" i="259"/>
  <c r="O291" i="262" s="1"/>
  <c r="S1632" i="259"/>
  <c r="S291" i="262" s="1"/>
  <c r="W1632" i="259"/>
  <c r="W291" i="262" s="1"/>
  <c r="AY1603" i="259"/>
  <c r="AX633" i="259"/>
  <c r="AX157" i="261" s="1"/>
  <c r="AY155" i="261"/>
  <c r="AV155" i="261"/>
  <c r="AW1630" i="259"/>
  <c r="AW290" i="262" s="1"/>
  <c r="AW1646" i="259"/>
  <c r="AY1646" i="259" l="1"/>
  <c r="AX1646" i="259"/>
  <c r="AX1643" i="259" s="1"/>
  <c r="AY1630" i="259"/>
  <c r="AY290" i="262" s="1"/>
  <c r="AW1649" i="259"/>
  <c r="AW298" i="262" s="1"/>
  <c r="AW1650" i="259"/>
  <c r="AX1650" i="259"/>
  <c r="AX299" i="262" s="1"/>
  <c r="AX297" i="262"/>
  <c r="AX1630" i="259"/>
  <c r="AX290" i="262" s="1"/>
  <c r="Z1630" i="259"/>
  <c r="Z290" i="262" s="1"/>
  <c r="Z289" i="262"/>
  <c r="Y1630" i="259"/>
  <c r="Y290" i="262" s="1"/>
  <c r="Y289" i="262"/>
  <c r="AY1648" i="259"/>
  <c r="AZ1648" i="259"/>
  <c r="AY1643" i="259" l="1"/>
  <c r="AY1649" i="259" s="1"/>
  <c r="AY298" i="262" s="1"/>
  <c r="AX1641" i="259"/>
  <c r="AX293" i="262" s="1"/>
  <c r="AY15" i="277"/>
  <c r="AY17" i="277" s="1"/>
  <c r="AY297" i="262"/>
  <c r="AW1641" i="259"/>
  <c r="AW299" i="262"/>
  <c r="AZ628" i="259"/>
  <c r="AZ628" i="275" s="1"/>
  <c r="AZ297" i="262"/>
  <c r="AZ15" i="277"/>
  <c r="AA289" i="262"/>
  <c r="AY1650" i="259"/>
  <c r="AY299" i="262" s="1"/>
  <c r="AZ1650" i="259"/>
  <c r="AX1651" i="259"/>
  <c r="AX300" i="262" s="1"/>
  <c r="AX1649" i="259"/>
  <c r="AX298" i="262" s="1"/>
  <c r="AB289" i="262" l="1"/>
  <c r="AW1651" i="259"/>
  <c r="AW300" i="262" s="1"/>
  <c r="AW293" i="262"/>
  <c r="AC628" i="259"/>
  <c r="AC628" i="275" s="1"/>
  <c r="AZ155" i="261"/>
  <c r="AZ633" i="259"/>
  <c r="AZ157" i="261" s="1"/>
  <c r="AA290" i="262"/>
  <c r="AZ1629" i="259"/>
  <c r="AZ289" i="262" s="1"/>
  <c r="H14" i="276"/>
  <c r="AZ17" i="277"/>
  <c r="AZ25" i="277"/>
  <c r="AC632" i="259"/>
  <c r="AZ1641" i="259"/>
  <c r="AZ293" i="262" s="1"/>
  <c r="AZ299" i="262"/>
  <c r="AY1641" i="259"/>
  <c r="AY293" i="262" s="1"/>
  <c r="AC1629" i="259" l="1"/>
  <c r="AC289" i="262" s="1"/>
  <c r="AZ1646" i="259"/>
  <c r="AZ1643" i="259" s="1"/>
  <c r="AD628" i="259"/>
  <c r="AD628" i="275" s="1"/>
  <c r="AZ1630" i="259"/>
  <c r="AZ290" i="262" s="1"/>
  <c r="H12" i="276"/>
  <c r="AZ27" i="277"/>
  <c r="AC1625" i="259"/>
  <c r="AC287" i="262" s="1"/>
  <c r="AC632" i="275"/>
  <c r="AC633" i="259"/>
  <c r="AC157" i="261" s="1"/>
  <c r="AD632" i="259"/>
  <c r="AE632" i="259" s="1"/>
  <c r="AY1651" i="259"/>
  <c r="AY300" i="262" s="1"/>
  <c r="AD1629" i="259" l="1"/>
  <c r="AD289" i="262" s="1"/>
  <c r="AE628" i="259"/>
  <c r="AE633" i="259" s="1"/>
  <c r="AE157" i="261" s="1"/>
  <c r="AC1630" i="259"/>
  <c r="AC290" i="262" s="1"/>
  <c r="AB290" i="262"/>
  <c r="AB287" i="262"/>
  <c r="BA632" i="259"/>
  <c r="BA632" i="275" s="1"/>
  <c r="AE632" i="275"/>
  <c r="AD1625" i="259"/>
  <c r="AD287" i="262" s="1"/>
  <c r="AD632" i="275"/>
  <c r="AD633" i="259"/>
  <c r="AD157" i="261" s="1"/>
  <c r="AE1625" i="259"/>
  <c r="AE287" i="262" s="1"/>
  <c r="AZ1649" i="259"/>
  <c r="AZ298" i="262" s="1"/>
  <c r="AZ1651" i="259"/>
  <c r="AZ300" i="262" s="1"/>
  <c r="BA628" i="259" l="1"/>
  <c r="BA155" i="261" s="1"/>
  <c r="AE628" i="275"/>
  <c r="AF628" i="259"/>
  <c r="AF632" i="259" s="1"/>
  <c r="AE1629" i="259"/>
  <c r="AE289" i="262" s="1"/>
  <c r="AD1630" i="259"/>
  <c r="AD290" i="262" s="1"/>
  <c r="BA1625" i="259"/>
  <c r="BA287" i="262" s="1"/>
  <c r="T3" i="261"/>
  <c r="AE1630" i="259" l="1"/>
  <c r="AE290" i="262" s="1"/>
  <c r="AG632" i="259"/>
  <c r="AF632" i="275"/>
  <c r="AF1625" i="259"/>
  <c r="AF287" i="262" s="1"/>
  <c r="BA1629" i="259"/>
  <c r="BA289" i="262" s="1"/>
  <c r="BA628" i="275"/>
  <c r="BA633" i="259"/>
  <c r="BA157" i="261" s="1"/>
  <c r="AG628" i="259"/>
  <c r="AF1629" i="259"/>
  <c r="AF628" i="275"/>
  <c r="BA1648" i="259"/>
  <c r="BA297" i="262" s="1"/>
  <c r="BC1079" i="259"/>
  <c r="BC1078" i="259"/>
  <c r="BD1078" i="259"/>
  <c r="BD1079" i="259"/>
  <c r="AY1071" i="259"/>
  <c r="AY1072" i="259"/>
  <c r="AY1070" i="259"/>
  <c r="AC1078" i="259"/>
  <c r="AD1078" i="259"/>
  <c r="AE1078" i="259"/>
  <c r="AH632" i="259" l="1"/>
  <c r="AG1625" i="259"/>
  <c r="AG287" i="262" s="1"/>
  <c r="AG632" i="275"/>
  <c r="BA1646" i="259"/>
  <c r="BA1643" i="259" s="1"/>
  <c r="BA1630" i="259"/>
  <c r="BA290" i="262" s="1"/>
  <c r="AF289" i="262"/>
  <c r="AF1630" i="259"/>
  <c r="AF290" i="262" s="1"/>
  <c r="AG628" i="275"/>
  <c r="AH628" i="259"/>
  <c r="AG1629" i="259"/>
  <c r="AG633" i="259"/>
  <c r="AG157" i="261" s="1"/>
  <c r="BA15" i="277"/>
  <c r="I14" i="276" s="1"/>
  <c r="BA1650" i="259"/>
  <c r="BA299" i="262" s="1"/>
  <c r="I167" i="261"/>
  <c r="J167" i="261"/>
  <c r="K167" i="261"/>
  <c r="L167" i="261"/>
  <c r="M167" i="261"/>
  <c r="N167" i="261"/>
  <c r="O167" i="261"/>
  <c r="P167" i="261"/>
  <c r="Q167" i="261"/>
  <c r="R167" i="261"/>
  <c r="S167" i="261"/>
  <c r="T167" i="261"/>
  <c r="U167" i="261"/>
  <c r="V167" i="261"/>
  <c r="W167" i="261"/>
  <c r="X167" i="261"/>
  <c r="I168" i="261"/>
  <c r="J168" i="261"/>
  <c r="K168" i="261"/>
  <c r="L168" i="261"/>
  <c r="M168" i="261"/>
  <c r="N168" i="261"/>
  <c r="O168" i="261"/>
  <c r="P168" i="261"/>
  <c r="Q168" i="261"/>
  <c r="R168" i="261"/>
  <c r="S168" i="261"/>
  <c r="T168" i="261"/>
  <c r="U168" i="261"/>
  <c r="V168" i="261"/>
  <c r="W168" i="261"/>
  <c r="X168" i="261"/>
  <c r="I169" i="261"/>
  <c r="J169" i="261"/>
  <c r="K169" i="261"/>
  <c r="L169" i="261"/>
  <c r="M169" i="261"/>
  <c r="N169" i="261"/>
  <c r="O169" i="261"/>
  <c r="P169" i="261"/>
  <c r="Q169" i="261"/>
  <c r="R169" i="261"/>
  <c r="S169" i="261"/>
  <c r="T169" i="261"/>
  <c r="U169" i="261"/>
  <c r="V169" i="261"/>
  <c r="W169" i="261"/>
  <c r="X169" i="261"/>
  <c r="H168" i="261"/>
  <c r="H169" i="261"/>
  <c r="H167" i="261"/>
  <c r="G207" i="261"/>
  <c r="F207" i="261"/>
  <c r="E207" i="261"/>
  <c r="D207" i="261"/>
  <c r="D201" i="261"/>
  <c r="X57" i="261"/>
  <c r="I63" i="261"/>
  <c r="J63" i="261"/>
  <c r="K63" i="261"/>
  <c r="L63" i="261"/>
  <c r="M63" i="261"/>
  <c r="N63" i="261"/>
  <c r="O63" i="261"/>
  <c r="P63" i="261"/>
  <c r="Q63" i="261"/>
  <c r="R63" i="261"/>
  <c r="S63" i="261"/>
  <c r="T63" i="261"/>
  <c r="U63" i="261"/>
  <c r="V63" i="261"/>
  <c r="W63" i="261"/>
  <c r="X63" i="261"/>
  <c r="I64" i="261"/>
  <c r="J64" i="261"/>
  <c r="K64" i="261"/>
  <c r="L64" i="261"/>
  <c r="M64" i="261"/>
  <c r="N64" i="261"/>
  <c r="O64" i="261"/>
  <c r="P64" i="261"/>
  <c r="Q64" i="261"/>
  <c r="R64" i="261"/>
  <c r="S64" i="261"/>
  <c r="T64" i="261"/>
  <c r="U64" i="261"/>
  <c r="V64" i="261"/>
  <c r="W64" i="261"/>
  <c r="X64" i="261"/>
  <c r="I66" i="261"/>
  <c r="J66" i="261"/>
  <c r="K66" i="261"/>
  <c r="L66" i="261"/>
  <c r="M66" i="261"/>
  <c r="N66" i="261"/>
  <c r="O66" i="261"/>
  <c r="P66" i="261"/>
  <c r="Q66" i="261"/>
  <c r="R66" i="261"/>
  <c r="S66" i="261"/>
  <c r="T66" i="261"/>
  <c r="U66" i="261"/>
  <c r="V66" i="261"/>
  <c r="W66" i="261"/>
  <c r="X66" i="261"/>
  <c r="I67" i="261"/>
  <c r="J67" i="261"/>
  <c r="K67" i="261"/>
  <c r="L67" i="261"/>
  <c r="M67" i="261"/>
  <c r="N67" i="261"/>
  <c r="O67" i="261"/>
  <c r="P67" i="261"/>
  <c r="Q67" i="261"/>
  <c r="R67" i="261"/>
  <c r="S67" i="261"/>
  <c r="T67" i="261"/>
  <c r="U67" i="261"/>
  <c r="V67" i="261"/>
  <c r="W67" i="261"/>
  <c r="X67" i="261"/>
  <c r="I73" i="261"/>
  <c r="J73" i="261"/>
  <c r="K73" i="261"/>
  <c r="L73" i="261"/>
  <c r="M73" i="261"/>
  <c r="N73" i="261"/>
  <c r="O73" i="261"/>
  <c r="P73" i="261"/>
  <c r="Q73" i="261"/>
  <c r="R73" i="261"/>
  <c r="S73" i="261"/>
  <c r="T73" i="261"/>
  <c r="U73" i="261"/>
  <c r="V73" i="261"/>
  <c r="W73" i="261"/>
  <c r="X73" i="261"/>
  <c r="I74" i="261"/>
  <c r="J74" i="261"/>
  <c r="K74" i="261"/>
  <c r="L74" i="261"/>
  <c r="M74" i="261"/>
  <c r="N74" i="261"/>
  <c r="O74" i="261"/>
  <c r="P74" i="261"/>
  <c r="Q74" i="261"/>
  <c r="R74" i="261"/>
  <c r="S74" i="261"/>
  <c r="T74" i="261"/>
  <c r="U74" i="261"/>
  <c r="V74" i="261"/>
  <c r="W74" i="261"/>
  <c r="X74" i="261"/>
  <c r="I76" i="261"/>
  <c r="J76" i="261"/>
  <c r="K76" i="261"/>
  <c r="L76" i="261"/>
  <c r="M76" i="261"/>
  <c r="N76" i="261"/>
  <c r="O76" i="261"/>
  <c r="P76" i="261"/>
  <c r="Q76" i="261"/>
  <c r="R76" i="261"/>
  <c r="S76" i="261"/>
  <c r="T76" i="261"/>
  <c r="U76" i="261"/>
  <c r="V76" i="261"/>
  <c r="W76" i="261"/>
  <c r="X76" i="261"/>
  <c r="I81" i="261"/>
  <c r="J81" i="261"/>
  <c r="K81" i="261"/>
  <c r="L81" i="261"/>
  <c r="M81" i="261"/>
  <c r="N81" i="261"/>
  <c r="O81" i="261"/>
  <c r="P81" i="261"/>
  <c r="Q81" i="261"/>
  <c r="R81" i="261"/>
  <c r="S81" i="261"/>
  <c r="T81" i="261"/>
  <c r="U81" i="261"/>
  <c r="V81" i="261"/>
  <c r="W81" i="261"/>
  <c r="X81" i="261"/>
  <c r="I82" i="261"/>
  <c r="J82" i="261"/>
  <c r="K82" i="261"/>
  <c r="L82" i="261"/>
  <c r="M82" i="261"/>
  <c r="N82" i="261"/>
  <c r="O82" i="261"/>
  <c r="P82" i="261"/>
  <c r="Q82" i="261"/>
  <c r="R82" i="261"/>
  <c r="S82" i="261"/>
  <c r="T82" i="261"/>
  <c r="U82" i="261"/>
  <c r="V82" i="261"/>
  <c r="W82" i="261"/>
  <c r="X82" i="261"/>
  <c r="I84" i="261"/>
  <c r="J84" i="261"/>
  <c r="K84" i="261"/>
  <c r="L84" i="261"/>
  <c r="M84" i="261"/>
  <c r="N84" i="261"/>
  <c r="O84" i="261"/>
  <c r="P84" i="261"/>
  <c r="Q84" i="261"/>
  <c r="R84" i="261"/>
  <c r="S84" i="261"/>
  <c r="T84" i="261"/>
  <c r="U84" i="261"/>
  <c r="V84" i="261"/>
  <c r="W84" i="261"/>
  <c r="X84" i="261"/>
  <c r="H84" i="261"/>
  <c r="H82" i="261"/>
  <c r="H81" i="261"/>
  <c r="H76" i="261"/>
  <c r="H74" i="261"/>
  <c r="H73" i="261"/>
  <c r="H67" i="261"/>
  <c r="H66" i="261"/>
  <c r="H64" i="261"/>
  <c r="H63" i="261"/>
  <c r="AY218" i="259"/>
  <c r="AX218" i="259"/>
  <c r="AW218" i="259"/>
  <c r="AV218" i="259"/>
  <c r="AV218" i="275" s="1"/>
  <c r="AU218" i="259"/>
  <c r="AY217" i="259"/>
  <c r="AX217" i="259"/>
  <c r="AW217" i="259"/>
  <c r="AW217" i="275" s="1"/>
  <c r="AV217" i="259"/>
  <c r="AU217" i="259"/>
  <c r="AY215" i="259"/>
  <c r="AX215" i="259"/>
  <c r="AX215" i="275" s="1"/>
  <c r="AW215" i="259"/>
  <c r="AV215" i="259"/>
  <c r="AU215" i="259"/>
  <c r="AY214" i="259"/>
  <c r="AY214" i="275" s="1"/>
  <c r="AX214" i="259"/>
  <c r="AW214" i="259"/>
  <c r="AV214" i="259"/>
  <c r="AU214" i="259"/>
  <c r="AH632" i="275" l="1"/>
  <c r="AI632" i="259"/>
  <c r="AH1625" i="259"/>
  <c r="AH287" i="262" s="1"/>
  <c r="BA25" i="277"/>
  <c r="AG1630" i="259"/>
  <c r="AG290" i="262" s="1"/>
  <c r="AG289" i="262"/>
  <c r="AH628" i="275"/>
  <c r="AI628" i="259"/>
  <c r="BB628" i="259" s="1"/>
  <c r="AH1629" i="259"/>
  <c r="AH633" i="259"/>
  <c r="AH157" i="261" s="1"/>
  <c r="AV215" i="275"/>
  <c r="AY217" i="275"/>
  <c r="AX218" i="275"/>
  <c r="AW214" i="275"/>
  <c r="AX214" i="275"/>
  <c r="AW215" i="275"/>
  <c r="AV217" i="275"/>
  <c r="AY218" i="275"/>
  <c r="AV214" i="275"/>
  <c r="AY215" i="275"/>
  <c r="AX217" i="275"/>
  <c r="AW218" i="275"/>
  <c r="BA1641" i="259"/>
  <c r="BA293" i="262" s="1"/>
  <c r="AV64" i="261"/>
  <c r="AV66" i="261"/>
  <c r="BA1649" i="259"/>
  <c r="BA298" i="262" s="1"/>
  <c r="AY66" i="261"/>
  <c r="AV63" i="261"/>
  <c r="AW64" i="261"/>
  <c r="AW63" i="261"/>
  <c r="AY64" i="261"/>
  <c r="AY63" i="261"/>
  <c r="AX64" i="261"/>
  <c r="AX63" i="261"/>
  <c r="AV67" i="261"/>
  <c r="AY67" i="261"/>
  <c r="AX67" i="261"/>
  <c r="AX66" i="261"/>
  <c r="AW67" i="261"/>
  <c r="AW66" i="261"/>
  <c r="BB632" i="259" l="1"/>
  <c r="BB633" i="259" s="1"/>
  <c r="BB157" i="261" s="1"/>
  <c r="AI632" i="275"/>
  <c r="AI1625" i="259"/>
  <c r="AI287" i="262" s="1"/>
  <c r="AI1629" i="259"/>
  <c r="AI628" i="275"/>
  <c r="AI633" i="259"/>
  <c r="AI157" i="261" s="1"/>
  <c r="BB1629" i="259"/>
  <c r="BB155" i="261"/>
  <c r="BB628" i="275"/>
  <c r="BC628" i="259"/>
  <c r="AH1630" i="259"/>
  <c r="AH290" i="262" s="1"/>
  <c r="AH289" i="262"/>
  <c r="BA1651" i="259"/>
  <c r="BA300" i="262" s="1"/>
  <c r="BC1283" i="259"/>
  <c r="BD1283" i="259"/>
  <c r="BD269" i="262" s="1"/>
  <c r="AC1283" i="259"/>
  <c r="AD1283" i="259"/>
  <c r="AE1283" i="259"/>
  <c r="BB632" i="275" l="1"/>
  <c r="BB1625" i="259"/>
  <c r="BB1630" i="259" s="1"/>
  <c r="BB290" i="262" s="1"/>
  <c r="BC628" i="275"/>
  <c r="BC1629" i="259"/>
  <c r="BC632" i="259"/>
  <c r="BD628" i="259"/>
  <c r="AI1630" i="259"/>
  <c r="AI290" i="262" s="1"/>
  <c r="AI289" i="262"/>
  <c r="BB1646" i="259"/>
  <c r="BB1643" i="259" s="1"/>
  <c r="BB289" i="262"/>
  <c r="BB287" i="262" l="1"/>
  <c r="BB1648" i="259"/>
  <c r="BB1649" i="259" s="1"/>
  <c r="BB298" i="262" s="1"/>
  <c r="BD1629" i="259"/>
  <c r="BE628" i="259"/>
  <c r="BD628" i="275"/>
  <c r="BD632" i="259"/>
  <c r="BC632" i="275"/>
  <c r="BC1625" i="259"/>
  <c r="BC289" i="262"/>
  <c r="BC1646" i="259"/>
  <c r="BC1643" i="259" s="1"/>
  <c r="BB15" i="277" l="1"/>
  <c r="BB1650" i="259"/>
  <c r="BB297" i="262"/>
  <c r="BC287" i="262"/>
  <c r="BC1630" i="259"/>
  <c r="BC290" i="262" s="1"/>
  <c r="BC1648" i="259"/>
  <c r="BE632" i="259"/>
  <c r="BE1629" i="259"/>
  <c r="BE628" i="275"/>
  <c r="BD289" i="262"/>
  <c r="BD1646" i="259"/>
  <c r="BD1643" i="259" s="1"/>
  <c r="BD1625" i="259"/>
  <c r="BD632" i="275"/>
  <c r="E1596" i="259"/>
  <c r="F1596" i="259"/>
  <c r="G1596" i="259"/>
  <c r="H1596" i="259"/>
  <c r="E1597" i="259"/>
  <c r="F1597" i="259"/>
  <c r="G1597" i="259"/>
  <c r="H1597" i="259"/>
  <c r="I1597" i="259"/>
  <c r="J1597" i="259"/>
  <c r="K1597" i="259"/>
  <c r="L1597" i="259"/>
  <c r="M1597" i="259"/>
  <c r="N1597" i="259"/>
  <c r="O1597" i="259"/>
  <c r="P1597" i="259"/>
  <c r="Q1597" i="259"/>
  <c r="R1597" i="259"/>
  <c r="S1597" i="259"/>
  <c r="T1597" i="259"/>
  <c r="U1597" i="259"/>
  <c r="V1597" i="259"/>
  <c r="W1597" i="259"/>
  <c r="X1597" i="259"/>
  <c r="D1597" i="259"/>
  <c r="D1596" i="259"/>
  <c r="BB1641" i="259" l="1"/>
  <c r="BB299" i="262"/>
  <c r="BB25" i="277"/>
  <c r="J14" i="276"/>
  <c r="BE1625" i="259"/>
  <c r="BE632" i="275"/>
  <c r="BC15" i="277"/>
  <c r="BC297" i="262"/>
  <c r="BC1650" i="259"/>
  <c r="BC1649" i="259"/>
  <c r="BC298" i="262" s="1"/>
  <c r="BD287" i="262"/>
  <c r="BD1648" i="259"/>
  <c r="BD1630" i="259"/>
  <c r="BD290" i="262" s="1"/>
  <c r="BE289" i="262"/>
  <c r="BE1646" i="259"/>
  <c r="BE1643" i="259" s="1"/>
  <c r="BB293" i="262" l="1"/>
  <c r="BB1651" i="259"/>
  <c r="BB300" i="262" s="1"/>
  <c r="BC299" i="262"/>
  <c r="BC1641" i="259"/>
  <c r="BE1630" i="259"/>
  <c r="BE290" i="262" s="1"/>
  <c r="BE1648" i="259"/>
  <c r="BE287" i="262"/>
  <c r="BD297" i="262"/>
  <c r="BD15" i="277"/>
  <c r="BD25" i="277" s="1"/>
  <c r="BD1650" i="259"/>
  <c r="BD1649" i="259"/>
  <c r="BD298" i="262" s="1"/>
  <c r="BC25" i="277"/>
  <c r="K14" i="276"/>
  <c r="BD299" i="262" l="1"/>
  <c r="BD1641" i="259"/>
  <c r="BE15" i="277"/>
  <c r="BE25" i="277" s="1"/>
  <c r="BE1650" i="259"/>
  <c r="BE297" i="262"/>
  <c r="BE1649" i="259"/>
  <c r="BE298" i="262" s="1"/>
  <c r="BC293" i="262"/>
  <c r="BC1651" i="259"/>
  <c r="BC300" i="262" s="1"/>
  <c r="BC269" i="262"/>
  <c r="AZ270" i="262"/>
  <c r="BA270" i="262"/>
  <c r="BB270" i="262"/>
  <c r="BC270" i="262"/>
  <c r="AZ271" i="262"/>
  <c r="BA271" i="262"/>
  <c r="BB271" i="262"/>
  <c r="BC271" i="262"/>
  <c r="AZ276" i="262"/>
  <c r="BA276" i="262"/>
  <c r="BB276" i="262"/>
  <c r="BC276" i="262"/>
  <c r="AU222" i="262"/>
  <c r="AU214" i="262"/>
  <c r="E64" i="262"/>
  <c r="F64" i="262"/>
  <c r="G64" i="262"/>
  <c r="H64" i="262"/>
  <c r="I64" i="262"/>
  <c r="J64" i="262"/>
  <c r="K64" i="262"/>
  <c r="L64" i="262"/>
  <c r="M64" i="262"/>
  <c r="N64" i="262"/>
  <c r="O64" i="262"/>
  <c r="P64" i="262"/>
  <c r="Q64" i="262"/>
  <c r="R64" i="262"/>
  <c r="S64" i="262"/>
  <c r="T64" i="262"/>
  <c r="U64" i="262"/>
  <c r="V64" i="262"/>
  <c r="W64" i="262"/>
  <c r="X64" i="262"/>
  <c r="E65" i="262"/>
  <c r="F65" i="262"/>
  <c r="G65" i="262"/>
  <c r="H65" i="262"/>
  <c r="I65" i="262"/>
  <c r="J65" i="262"/>
  <c r="K65" i="262"/>
  <c r="L65" i="262"/>
  <c r="M65" i="262"/>
  <c r="N65" i="262"/>
  <c r="O65" i="262"/>
  <c r="P65" i="262"/>
  <c r="Q65" i="262"/>
  <c r="R65" i="262"/>
  <c r="S65" i="262"/>
  <c r="T65" i="262"/>
  <c r="U65" i="262"/>
  <c r="V65" i="262"/>
  <c r="W65" i="262"/>
  <c r="X65" i="262"/>
  <c r="E66" i="262"/>
  <c r="F66" i="262"/>
  <c r="G66" i="262"/>
  <c r="H66" i="262"/>
  <c r="I66" i="262"/>
  <c r="I73" i="262" s="1"/>
  <c r="J66" i="262"/>
  <c r="J73" i="262" s="1"/>
  <c r="K66" i="262"/>
  <c r="K73" i="262" s="1"/>
  <c r="L66" i="262"/>
  <c r="L73" i="262" s="1"/>
  <c r="M66" i="262"/>
  <c r="M73" i="262" s="1"/>
  <c r="N66" i="262"/>
  <c r="N73" i="262" s="1"/>
  <c r="O66" i="262"/>
  <c r="O73" i="262" s="1"/>
  <c r="P66" i="262"/>
  <c r="P73" i="262" s="1"/>
  <c r="Q66" i="262"/>
  <c r="Q73" i="262" s="1"/>
  <c r="R66" i="262"/>
  <c r="R73" i="262" s="1"/>
  <c r="S66" i="262"/>
  <c r="T66" i="262"/>
  <c r="T73" i="262" s="1"/>
  <c r="U66" i="262"/>
  <c r="U73" i="262" s="1"/>
  <c r="V66" i="262"/>
  <c r="V73" i="262" s="1"/>
  <c r="W66" i="262"/>
  <c r="W73" i="262" s="1"/>
  <c r="X66" i="262"/>
  <c r="D66" i="262"/>
  <c r="D65" i="262"/>
  <c r="Y269" i="262"/>
  <c r="Z269" i="262"/>
  <c r="AA269" i="262"/>
  <c r="AB269" i="262"/>
  <c r="AC269" i="262"/>
  <c r="AD269" i="262"/>
  <c r="AE269" i="262"/>
  <c r="Y270" i="262"/>
  <c r="Z270" i="262"/>
  <c r="AA270" i="262"/>
  <c r="AB270" i="262"/>
  <c r="AC270" i="262"/>
  <c r="AD270" i="262"/>
  <c r="AE270" i="262"/>
  <c r="E271" i="262"/>
  <c r="F271" i="262"/>
  <c r="G271" i="262"/>
  <c r="H271" i="262"/>
  <c r="I271" i="262"/>
  <c r="J271" i="262"/>
  <c r="K271" i="262"/>
  <c r="L271" i="262"/>
  <c r="M271" i="262"/>
  <c r="N271" i="262"/>
  <c r="O271" i="262"/>
  <c r="P271" i="262"/>
  <c r="Q271" i="262"/>
  <c r="R271" i="262"/>
  <c r="S271" i="262"/>
  <c r="T271" i="262"/>
  <c r="U271" i="262"/>
  <c r="V271" i="262"/>
  <c r="W271" i="262"/>
  <c r="X271" i="262"/>
  <c r="Y271" i="262"/>
  <c r="Z271" i="262"/>
  <c r="AA271" i="262"/>
  <c r="AB271" i="262"/>
  <c r="AC271" i="262"/>
  <c r="AD271" i="262"/>
  <c r="AE271" i="262"/>
  <c r="D271" i="262"/>
  <c r="E276" i="262"/>
  <c r="F276" i="262"/>
  <c r="G276" i="262"/>
  <c r="H276" i="262"/>
  <c r="I276" i="262"/>
  <c r="J276" i="262"/>
  <c r="K276" i="262"/>
  <c r="L276" i="262"/>
  <c r="M276" i="262"/>
  <c r="N276" i="262"/>
  <c r="O276" i="262"/>
  <c r="P276" i="262"/>
  <c r="Q276" i="262"/>
  <c r="R276" i="262"/>
  <c r="S276" i="262"/>
  <c r="T276" i="262"/>
  <c r="U276" i="262"/>
  <c r="V276" i="262"/>
  <c r="W276" i="262"/>
  <c r="X276" i="262"/>
  <c r="Y276" i="262"/>
  <c r="Z276" i="262"/>
  <c r="AA276" i="262"/>
  <c r="AB276" i="262"/>
  <c r="AC276" i="262"/>
  <c r="AD276" i="262"/>
  <c r="AE276" i="262"/>
  <c r="D276" i="262"/>
  <c r="G85" i="262"/>
  <c r="H85" i="262"/>
  <c r="I85" i="262"/>
  <c r="J85" i="262"/>
  <c r="K85" i="262"/>
  <c r="L85" i="262"/>
  <c r="M85" i="262"/>
  <c r="N85" i="262"/>
  <c r="O85" i="262"/>
  <c r="P85" i="262"/>
  <c r="Q85" i="262"/>
  <c r="R85" i="262"/>
  <c r="S85" i="262"/>
  <c r="T85" i="262"/>
  <c r="U85" i="262"/>
  <c r="V85" i="262"/>
  <c r="W85" i="262"/>
  <c r="X85" i="262"/>
  <c r="F183" i="262"/>
  <c r="G183" i="262"/>
  <c r="H183" i="262"/>
  <c r="I183" i="262"/>
  <c r="J183" i="262"/>
  <c r="K183" i="262"/>
  <c r="L183" i="262"/>
  <c r="M183" i="262"/>
  <c r="N183" i="262"/>
  <c r="O183" i="262"/>
  <c r="P183" i="262"/>
  <c r="Q183" i="262"/>
  <c r="R183" i="262"/>
  <c r="S183" i="262"/>
  <c r="T183" i="262"/>
  <c r="U183" i="262"/>
  <c r="V183" i="262"/>
  <c r="W183" i="262"/>
  <c r="X183" i="262"/>
  <c r="E183" i="262"/>
  <c r="D184" i="262"/>
  <c r="D183" i="262"/>
  <c r="F160" i="262"/>
  <c r="G160" i="262"/>
  <c r="H160" i="262"/>
  <c r="I160" i="262"/>
  <c r="J160" i="262"/>
  <c r="K160" i="262"/>
  <c r="L160" i="262"/>
  <c r="M160" i="262"/>
  <c r="N160" i="262"/>
  <c r="O160" i="262"/>
  <c r="P160" i="262"/>
  <c r="Q160" i="262"/>
  <c r="R160" i="262"/>
  <c r="S160" i="262"/>
  <c r="T160" i="262"/>
  <c r="U160" i="262"/>
  <c r="V160" i="262"/>
  <c r="W160" i="262"/>
  <c r="X160" i="262"/>
  <c r="E160" i="262"/>
  <c r="J167" i="262"/>
  <c r="K167" i="262"/>
  <c r="L167" i="262"/>
  <c r="M167" i="262"/>
  <c r="N167" i="262"/>
  <c r="O167" i="262"/>
  <c r="P167" i="262"/>
  <c r="Q167" i="262"/>
  <c r="R167" i="262"/>
  <c r="S167" i="262"/>
  <c r="T167" i="262"/>
  <c r="U167" i="262"/>
  <c r="V167" i="262"/>
  <c r="W167" i="262"/>
  <c r="X167" i="262"/>
  <c r="J168" i="262"/>
  <c r="K168" i="262"/>
  <c r="L168" i="262"/>
  <c r="M168" i="262"/>
  <c r="N168" i="262"/>
  <c r="O168" i="262"/>
  <c r="P168" i="262"/>
  <c r="Q168" i="262"/>
  <c r="R168" i="262"/>
  <c r="S168" i="262"/>
  <c r="T168" i="262"/>
  <c r="U168" i="262"/>
  <c r="V168" i="262"/>
  <c r="W168" i="262"/>
  <c r="X168" i="262"/>
  <c r="J169" i="262"/>
  <c r="K169" i="262"/>
  <c r="L169" i="262"/>
  <c r="M169" i="262"/>
  <c r="N169" i="262"/>
  <c r="O169" i="262"/>
  <c r="P169" i="262"/>
  <c r="Q169" i="262"/>
  <c r="R169" i="262"/>
  <c r="S169" i="262"/>
  <c r="T169" i="262"/>
  <c r="U169" i="262"/>
  <c r="V169" i="262"/>
  <c r="W169" i="262"/>
  <c r="X169" i="262"/>
  <c r="J170" i="262"/>
  <c r="K170" i="262"/>
  <c r="L170" i="262"/>
  <c r="M170" i="262"/>
  <c r="N170" i="262"/>
  <c r="O170" i="262"/>
  <c r="P170" i="262"/>
  <c r="Q170" i="262"/>
  <c r="R170" i="262"/>
  <c r="S170" i="262"/>
  <c r="T170" i="262"/>
  <c r="U170" i="262"/>
  <c r="V170" i="262"/>
  <c r="W170" i="262"/>
  <c r="X170" i="262"/>
  <c r="J172" i="262"/>
  <c r="K172" i="262"/>
  <c r="L172" i="262"/>
  <c r="M172" i="262"/>
  <c r="N172" i="262"/>
  <c r="O172" i="262"/>
  <c r="P172" i="262"/>
  <c r="Q172" i="262"/>
  <c r="R172" i="262"/>
  <c r="S172" i="262"/>
  <c r="T172" i="262"/>
  <c r="U172" i="262"/>
  <c r="V172" i="262"/>
  <c r="W172" i="262"/>
  <c r="X172" i="262"/>
  <c r="J173" i="262"/>
  <c r="K173" i="262"/>
  <c r="L173" i="262"/>
  <c r="M173" i="262"/>
  <c r="N173" i="262"/>
  <c r="O173" i="262"/>
  <c r="P173" i="262"/>
  <c r="Q173" i="262"/>
  <c r="R173" i="262"/>
  <c r="S173" i="262"/>
  <c r="T173" i="262"/>
  <c r="U173" i="262"/>
  <c r="V173" i="262"/>
  <c r="W173" i="262"/>
  <c r="X173" i="262"/>
  <c r="J187" i="262"/>
  <c r="K187" i="262"/>
  <c r="L187" i="262"/>
  <c r="M187" i="262"/>
  <c r="N187" i="262"/>
  <c r="O187" i="262"/>
  <c r="P187" i="262"/>
  <c r="Q187" i="262"/>
  <c r="R187" i="262"/>
  <c r="S187" i="262"/>
  <c r="T187" i="262"/>
  <c r="U187" i="262"/>
  <c r="V187" i="262"/>
  <c r="W187" i="262"/>
  <c r="X187" i="262"/>
  <c r="E167" i="262"/>
  <c r="F167" i="262"/>
  <c r="G167" i="262"/>
  <c r="H167" i="262"/>
  <c r="I167" i="262"/>
  <c r="E168" i="262"/>
  <c r="F168" i="262"/>
  <c r="G168" i="262"/>
  <c r="H168" i="262"/>
  <c r="I168" i="262"/>
  <c r="E169" i="262"/>
  <c r="F169" i="262"/>
  <c r="G169" i="262"/>
  <c r="H169" i="262"/>
  <c r="I169" i="262"/>
  <c r="E170" i="262"/>
  <c r="F170" i="262"/>
  <c r="G170" i="262"/>
  <c r="H170" i="262"/>
  <c r="I170" i="262"/>
  <c r="E172" i="262"/>
  <c r="F172" i="262"/>
  <c r="G172" i="262"/>
  <c r="H172" i="262"/>
  <c r="I172" i="262"/>
  <c r="E173" i="262"/>
  <c r="F173" i="262"/>
  <c r="G173" i="262"/>
  <c r="H173" i="262"/>
  <c r="I173" i="262"/>
  <c r="D173" i="262"/>
  <c r="D172" i="262"/>
  <c r="D170" i="262"/>
  <c r="D169" i="262"/>
  <c r="D168" i="262"/>
  <c r="D167" i="262"/>
  <c r="F187" i="262"/>
  <c r="G187" i="262"/>
  <c r="H187" i="262"/>
  <c r="I187" i="262"/>
  <c r="E187" i="262"/>
  <c r="D192" i="262"/>
  <c r="D190" i="262"/>
  <c r="D189" i="262"/>
  <c r="D187" i="262"/>
  <c r="I218" i="262"/>
  <c r="J218" i="262"/>
  <c r="K218" i="262"/>
  <c r="L218" i="262"/>
  <c r="M218" i="262"/>
  <c r="N218" i="262"/>
  <c r="O218" i="262"/>
  <c r="P218" i="262"/>
  <c r="Q218" i="262"/>
  <c r="R218" i="262"/>
  <c r="S218" i="262"/>
  <c r="T218" i="262"/>
  <c r="U218" i="262"/>
  <c r="V218" i="262"/>
  <c r="W218" i="262"/>
  <c r="X218" i="262"/>
  <c r="I223" i="262"/>
  <c r="J223" i="262"/>
  <c r="K223" i="262"/>
  <c r="L223" i="262"/>
  <c r="M223" i="262"/>
  <c r="N223" i="262"/>
  <c r="O223" i="262"/>
  <c r="P223" i="262"/>
  <c r="Q223" i="262"/>
  <c r="R223" i="262"/>
  <c r="S223" i="262"/>
  <c r="T223" i="262"/>
  <c r="U223" i="262"/>
  <c r="V223" i="262"/>
  <c r="W223" i="262"/>
  <c r="I225" i="262"/>
  <c r="J225" i="262"/>
  <c r="K225" i="262"/>
  <c r="L225" i="262"/>
  <c r="M225" i="262"/>
  <c r="N225" i="262"/>
  <c r="O225" i="262"/>
  <c r="P225" i="262"/>
  <c r="Q225" i="262"/>
  <c r="R225" i="262"/>
  <c r="S225" i="262"/>
  <c r="T225" i="262"/>
  <c r="U225" i="262"/>
  <c r="V225" i="262"/>
  <c r="W225" i="262"/>
  <c r="X225" i="262"/>
  <c r="E213" i="262"/>
  <c r="F213" i="262"/>
  <c r="E214" i="262"/>
  <c r="F214" i="262"/>
  <c r="G214" i="262"/>
  <c r="H214" i="262"/>
  <c r="D214" i="262"/>
  <c r="D213" i="262"/>
  <c r="E216" i="262"/>
  <c r="F216" i="262"/>
  <c r="E217" i="262"/>
  <c r="F217" i="262"/>
  <c r="G217" i="262"/>
  <c r="H217" i="262"/>
  <c r="D216" i="262"/>
  <c r="D217" i="262"/>
  <c r="E218" i="262"/>
  <c r="F218" i="262"/>
  <c r="G218" i="262"/>
  <c r="H218" i="262"/>
  <c r="D218" i="262"/>
  <c r="E222" i="262"/>
  <c r="F222" i="262"/>
  <c r="G222" i="262"/>
  <c r="H222" i="262"/>
  <c r="E223" i="262"/>
  <c r="F223" i="262"/>
  <c r="G223" i="262"/>
  <c r="H223" i="262"/>
  <c r="E220" i="262"/>
  <c r="F220" i="262"/>
  <c r="D220" i="262"/>
  <c r="D223" i="262"/>
  <c r="D222" i="262"/>
  <c r="E225" i="262"/>
  <c r="F225" i="262"/>
  <c r="G225" i="262"/>
  <c r="H225" i="262"/>
  <c r="E226" i="262"/>
  <c r="F226" i="262"/>
  <c r="G226" i="262"/>
  <c r="H226" i="262"/>
  <c r="D226" i="262"/>
  <c r="D225" i="262"/>
  <c r="E234" i="262"/>
  <c r="F234" i="262"/>
  <c r="G234" i="262"/>
  <c r="H234" i="262"/>
  <c r="I234" i="262"/>
  <c r="J234" i="262"/>
  <c r="K234" i="262"/>
  <c r="L234" i="262"/>
  <c r="M234" i="262"/>
  <c r="N234" i="262"/>
  <c r="O234" i="262"/>
  <c r="P234" i="262"/>
  <c r="Q234" i="262"/>
  <c r="R234" i="262"/>
  <c r="S234" i="262"/>
  <c r="T234" i="262"/>
  <c r="U234" i="262"/>
  <c r="V234" i="262"/>
  <c r="W234" i="262"/>
  <c r="X234" i="262"/>
  <c r="E244" i="262"/>
  <c r="F244" i="262"/>
  <c r="G244" i="262"/>
  <c r="H244" i="262"/>
  <c r="I244" i="262"/>
  <c r="J244" i="262"/>
  <c r="K244" i="262"/>
  <c r="L244" i="262"/>
  <c r="M244" i="262"/>
  <c r="N244" i="262"/>
  <c r="O244" i="262"/>
  <c r="P244" i="262"/>
  <c r="Q244" i="262"/>
  <c r="R244" i="262"/>
  <c r="S244" i="262"/>
  <c r="T244" i="262"/>
  <c r="U244" i="262"/>
  <c r="V244" i="262"/>
  <c r="W244" i="262"/>
  <c r="X244" i="262"/>
  <c r="E245" i="262"/>
  <c r="F245" i="262"/>
  <c r="G245" i="262"/>
  <c r="H245" i="262"/>
  <c r="I245" i="262"/>
  <c r="J245" i="262"/>
  <c r="K245" i="262"/>
  <c r="L245" i="262"/>
  <c r="M245" i="262"/>
  <c r="N245" i="262"/>
  <c r="O245" i="262"/>
  <c r="P245" i="262"/>
  <c r="Q245" i="262"/>
  <c r="R245" i="262"/>
  <c r="S245" i="262"/>
  <c r="T245" i="262"/>
  <c r="U245" i="262"/>
  <c r="V245" i="262"/>
  <c r="W245" i="262"/>
  <c r="X245" i="262"/>
  <c r="E247" i="262"/>
  <c r="F247" i="262"/>
  <c r="G247" i="262"/>
  <c r="H247" i="262"/>
  <c r="D234" i="262"/>
  <c r="D247" i="262"/>
  <c r="D245" i="262"/>
  <c r="D244" i="262"/>
  <c r="E250" i="262"/>
  <c r="F250" i="262"/>
  <c r="G250" i="262"/>
  <c r="H250" i="262"/>
  <c r="I250" i="262"/>
  <c r="J250" i="262"/>
  <c r="K250" i="262"/>
  <c r="L250" i="262"/>
  <c r="M250" i="262"/>
  <c r="N250" i="262"/>
  <c r="O250" i="262"/>
  <c r="P250" i="262"/>
  <c r="Q250" i="262"/>
  <c r="R250" i="262"/>
  <c r="S250" i="262"/>
  <c r="T250" i="262"/>
  <c r="U250" i="262"/>
  <c r="V250" i="262"/>
  <c r="W250" i="262"/>
  <c r="X250" i="262"/>
  <c r="E251" i="262"/>
  <c r="F251" i="262"/>
  <c r="G251" i="262"/>
  <c r="H251" i="262"/>
  <c r="I251" i="262"/>
  <c r="J251" i="262"/>
  <c r="K251" i="262"/>
  <c r="L251" i="262"/>
  <c r="M251" i="262"/>
  <c r="N251" i="262"/>
  <c r="O251" i="262"/>
  <c r="P251" i="262"/>
  <c r="Q251" i="262"/>
  <c r="R251" i="262"/>
  <c r="S251" i="262"/>
  <c r="T251" i="262"/>
  <c r="U251" i="262"/>
  <c r="V251" i="262"/>
  <c r="W251" i="262"/>
  <c r="X251" i="262"/>
  <c r="D251" i="262"/>
  <c r="D250" i="262"/>
  <c r="X73" i="262" l="1"/>
  <c r="BE299" i="262"/>
  <c r="BE1641" i="259"/>
  <c r="BD293" i="262"/>
  <c r="BD1651" i="259"/>
  <c r="BD300" i="262" s="1"/>
  <c r="D67" i="262"/>
  <c r="W72" i="262"/>
  <c r="W67" i="262"/>
  <c r="G67" i="262"/>
  <c r="O71" i="262"/>
  <c r="O68" i="262"/>
  <c r="X72" i="262"/>
  <c r="X67" i="262"/>
  <c r="T72" i="262"/>
  <c r="T67" i="262"/>
  <c r="P72" i="262"/>
  <c r="P67" i="262"/>
  <c r="L72" i="262"/>
  <c r="L67" i="262"/>
  <c r="H67" i="262"/>
  <c r="H74" i="262" s="1"/>
  <c r="X71" i="262"/>
  <c r="X68" i="262"/>
  <c r="T71" i="262"/>
  <c r="T68" i="262"/>
  <c r="P71" i="262"/>
  <c r="P68" i="262"/>
  <c r="L71" i="262"/>
  <c r="L68" i="262"/>
  <c r="H68" i="262"/>
  <c r="O72" i="262"/>
  <c r="O67" i="262"/>
  <c r="W71" i="262"/>
  <c r="W68" i="262"/>
  <c r="K71" i="262"/>
  <c r="K68" i="262"/>
  <c r="V72" i="262"/>
  <c r="V67" i="262"/>
  <c r="R72" i="262"/>
  <c r="R67" i="262"/>
  <c r="N72" i="262"/>
  <c r="N67" i="262"/>
  <c r="J72" i="262"/>
  <c r="J67" i="262"/>
  <c r="F67" i="262"/>
  <c r="V71" i="262"/>
  <c r="V68" i="262"/>
  <c r="R71" i="262"/>
  <c r="R68" i="262"/>
  <c r="N71" i="262"/>
  <c r="N68" i="262"/>
  <c r="J71" i="262"/>
  <c r="J68" i="262"/>
  <c r="F68" i="262"/>
  <c r="S72" i="262"/>
  <c r="S67" i="262"/>
  <c r="S74" i="262" s="1"/>
  <c r="K72" i="262"/>
  <c r="K67" i="262"/>
  <c r="K74" i="262" s="1"/>
  <c r="S71" i="262"/>
  <c r="S68" i="262"/>
  <c r="G68" i="262"/>
  <c r="U72" i="262"/>
  <c r="U67" i="262"/>
  <c r="Q72" i="262"/>
  <c r="Q67" i="262"/>
  <c r="M72" i="262"/>
  <c r="M67" i="262"/>
  <c r="I72" i="262"/>
  <c r="I67" i="262"/>
  <c r="E67" i="262"/>
  <c r="U71" i="262"/>
  <c r="U68" i="262"/>
  <c r="Q71" i="262"/>
  <c r="Q68" i="262"/>
  <c r="M71" i="262"/>
  <c r="M68" i="262"/>
  <c r="I71" i="262"/>
  <c r="I68" i="262"/>
  <c r="E68" i="262"/>
  <c r="H73" i="262"/>
  <c r="H72" i="262"/>
  <c r="S73" i="262"/>
  <c r="S75" i="262"/>
  <c r="BE293" i="262" l="1"/>
  <c r="BE1651" i="259"/>
  <c r="BE300" i="262" s="1"/>
  <c r="V75" i="262"/>
  <c r="P75" i="262"/>
  <c r="I74" i="262"/>
  <c r="W74" i="262"/>
  <c r="M74" i="262"/>
  <c r="Q74" i="262"/>
  <c r="U74" i="262"/>
  <c r="I75" i="262"/>
  <c r="J74" i="262"/>
  <c r="N74" i="262"/>
  <c r="R74" i="262"/>
  <c r="V74" i="262"/>
  <c r="O74" i="262"/>
  <c r="L74" i="262"/>
  <c r="P74" i="262"/>
  <c r="T74" i="262"/>
  <c r="X74" i="262"/>
  <c r="J75" i="262"/>
  <c r="W75" i="262"/>
  <c r="N75" i="262"/>
  <c r="X75" i="262"/>
  <c r="M75" i="262"/>
  <c r="T75" i="262"/>
  <c r="Q75" i="262"/>
  <c r="K75" i="262"/>
  <c r="U75" i="262"/>
  <c r="R75" i="262"/>
  <c r="O75" i="262"/>
  <c r="L75" i="262"/>
  <c r="E8" i="262"/>
  <c r="F8" i="262"/>
  <c r="G8" i="262"/>
  <c r="H8" i="262"/>
  <c r="I8" i="262"/>
  <c r="J8" i="262"/>
  <c r="K8" i="262"/>
  <c r="L8" i="262"/>
  <c r="M8" i="262"/>
  <c r="N8" i="262"/>
  <c r="O8" i="262"/>
  <c r="P8" i="262"/>
  <c r="Q8" i="262"/>
  <c r="R8" i="262"/>
  <c r="S8" i="262"/>
  <c r="T8" i="262"/>
  <c r="U8" i="262"/>
  <c r="V8" i="262"/>
  <c r="W8" i="262"/>
  <c r="X8" i="262"/>
  <c r="E9" i="262"/>
  <c r="F9" i="262"/>
  <c r="G9" i="262"/>
  <c r="H9" i="262"/>
  <c r="I9" i="262"/>
  <c r="J9" i="262"/>
  <c r="K9" i="262"/>
  <c r="L9" i="262"/>
  <c r="M9" i="262"/>
  <c r="N9" i="262"/>
  <c r="O9" i="262"/>
  <c r="P9" i="262"/>
  <c r="Q9" i="262"/>
  <c r="R9" i="262"/>
  <c r="S9" i="262"/>
  <c r="T9" i="262"/>
  <c r="U9" i="262"/>
  <c r="V9" i="262"/>
  <c r="W9" i="262"/>
  <c r="X9" i="262"/>
  <c r="E10" i="262"/>
  <c r="F10" i="262"/>
  <c r="G10" i="262"/>
  <c r="H10" i="262"/>
  <c r="I10" i="262"/>
  <c r="J10" i="262"/>
  <c r="K10" i="262"/>
  <c r="L10" i="262"/>
  <c r="M10" i="262"/>
  <c r="N10" i="262"/>
  <c r="O10" i="262"/>
  <c r="P10" i="262"/>
  <c r="Q10" i="262"/>
  <c r="R10" i="262"/>
  <c r="S10" i="262"/>
  <c r="T10" i="262"/>
  <c r="U10" i="262"/>
  <c r="V10" i="262"/>
  <c r="W10" i="262"/>
  <c r="X10" i="262"/>
  <c r="AZ2" i="261"/>
  <c r="BA2" i="261"/>
  <c r="BB2" i="261"/>
  <c r="BC2" i="261"/>
  <c r="BD2" i="261"/>
  <c r="AU2" i="261"/>
  <c r="E2" i="261"/>
  <c r="F2" i="261"/>
  <c r="G2" i="261"/>
  <c r="H2" i="261"/>
  <c r="I2" i="261"/>
  <c r="J2" i="261"/>
  <c r="K2" i="261"/>
  <c r="L2" i="261"/>
  <c r="M2" i="261"/>
  <c r="N2" i="261"/>
  <c r="O2" i="261"/>
  <c r="P2" i="261"/>
  <c r="Q2" i="261"/>
  <c r="R2" i="261"/>
  <c r="S2" i="261"/>
  <c r="T2" i="261"/>
  <c r="U2" i="261"/>
  <c r="V2" i="261"/>
  <c r="W2" i="261"/>
  <c r="X2" i="261"/>
  <c r="Y2" i="261"/>
  <c r="Z2" i="261"/>
  <c r="AA2" i="261"/>
  <c r="AB2" i="261"/>
  <c r="AC2" i="261"/>
  <c r="AD2" i="261"/>
  <c r="AE2" i="261"/>
  <c r="D2" i="261"/>
  <c r="L28" i="267"/>
  <c r="Z96" i="267" l="1"/>
  <c r="AC91" i="267"/>
  <c r="AB91" i="267"/>
  <c r="AA91" i="267"/>
  <c r="Z91" i="267"/>
  <c r="AA58" i="267"/>
  <c r="AB58" i="267" s="1"/>
  <c r="AC58" i="267" s="1"/>
  <c r="AD58" i="267" s="1"/>
  <c r="AE58" i="267" s="1"/>
  <c r="AF58" i="267" s="1"/>
  <c r="AG58" i="267" s="1"/>
  <c r="AH58" i="267" s="1"/>
  <c r="AI58" i="267" s="1"/>
  <c r="AJ58" i="267" s="1"/>
  <c r="AK58" i="267" s="1"/>
  <c r="AL58" i="267" s="1"/>
  <c r="AM58" i="267" s="1"/>
  <c r="AN58" i="267" s="1"/>
  <c r="AO58" i="267" s="1"/>
  <c r="AP58" i="267" s="1"/>
  <c r="AQ58" i="267" s="1"/>
  <c r="AR58" i="267" s="1"/>
  <c r="AS58" i="267" s="1"/>
  <c r="AT58" i="267" s="1"/>
  <c r="AU58" i="267" s="1"/>
  <c r="AV58" i="267" s="1"/>
  <c r="AW58" i="267" s="1"/>
  <c r="AX58" i="267" s="1"/>
  <c r="AY58" i="267" s="1"/>
  <c r="AZ58" i="267" s="1"/>
  <c r="BA58" i="267" s="1"/>
  <c r="BB58" i="267" s="1"/>
  <c r="BC58" i="267" s="1"/>
  <c r="BD58" i="267" s="1"/>
  <c r="BE58" i="267" s="1"/>
  <c r="BF58" i="267" s="1"/>
  <c r="BG58" i="267" s="1"/>
  <c r="BH58" i="267" s="1"/>
  <c r="BI58" i="267" s="1"/>
  <c r="BJ58" i="267" s="1"/>
  <c r="BK58" i="267" s="1"/>
  <c r="BL58" i="267" s="1"/>
  <c r="BM58" i="267" s="1"/>
  <c r="BN58" i="267" s="1"/>
  <c r="BO58" i="267" s="1"/>
  <c r="BP58" i="267" s="1"/>
  <c r="BQ58" i="267" s="1"/>
  <c r="BR58" i="267" s="1"/>
  <c r="BS58" i="267" s="1"/>
  <c r="BT58" i="267" s="1"/>
  <c r="BU58" i="267" s="1"/>
  <c r="BV58" i="267" s="1"/>
  <c r="BW58" i="267" s="1"/>
  <c r="BX58" i="267" s="1"/>
  <c r="C38" i="267"/>
  <c r="AA29" i="267"/>
  <c r="AB29" i="267" s="1"/>
  <c r="AC29" i="267" s="1"/>
  <c r="AD29" i="267" s="1"/>
  <c r="AE29" i="267" s="1"/>
  <c r="L27" i="267"/>
  <c r="G17" i="267"/>
  <c r="Q16" i="267"/>
  <c r="V9" i="267"/>
  <c r="AA4" i="267"/>
  <c r="AA3" i="267"/>
  <c r="AB3" i="267" s="1"/>
  <c r="AC3" i="267" s="1"/>
  <c r="AD3" i="267" s="1"/>
  <c r="AE3" i="267" s="1"/>
  <c r="V17" i="267" l="1"/>
  <c r="AE44" i="267"/>
  <c r="AF7" i="267"/>
  <c r="AG7" i="267" s="1"/>
  <c r="AH7" i="267" s="1"/>
  <c r="AI7" i="267" s="1"/>
  <c r="AJ7" i="267" s="1"/>
  <c r="AK7" i="267" s="1"/>
  <c r="AL7" i="267" s="1"/>
  <c r="AM7" i="267" s="1"/>
  <c r="AN7" i="267" s="1"/>
  <c r="AO7" i="267" s="1"/>
  <c r="AP7" i="267" s="1"/>
  <c r="AQ7" i="267" s="1"/>
  <c r="AR7" i="267" s="1"/>
  <c r="AS7" i="267" s="1"/>
  <c r="AT7" i="267" s="1"/>
  <c r="AU7" i="267" s="1"/>
  <c r="AV7" i="267" s="1"/>
  <c r="AW7" i="267" s="1"/>
  <c r="AX7" i="267" s="1"/>
  <c r="AY7" i="267" s="1"/>
  <c r="AZ7" i="267" s="1"/>
  <c r="BA7" i="267" s="1"/>
  <c r="BB7" i="267" s="1"/>
  <c r="BC7" i="267" s="1"/>
  <c r="BD7" i="267" s="1"/>
  <c r="BE7" i="267" s="1"/>
  <c r="BF7" i="267" s="1"/>
  <c r="BG7" i="267" s="1"/>
  <c r="BH7" i="267" s="1"/>
  <c r="BI7" i="267" s="1"/>
  <c r="BJ7" i="267" s="1"/>
  <c r="BK7" i="267" s="1"/>
  <c r="BL7" i="267" s="1"/>
  <c r="BM7" i="267" s="1"/>
  <c r="BN7" i="267" s="1"/>
  <c r="BO7" i="267" s="1"/>
  <c r="BP7" i="267" s="1"/>
  <c r="BQ7" i="267" s="1"/>
  <c r="BR7" i="267" s="1"/>
  <c r="BS7" i="267" s="1"/>
  <c r="BT7" i="267" s="1"/>
  <c r="BU7" i="267" s="1"/>
  <c r="BV7" i="267" s="1"/>
  <c r="BW7" i="267" s="1"/>
  <c r="BX7" i="267" s="1"/>
  <c r="BY7" i="267" s="1"/>
  <c r="BZ7" i="267" s="1"/>
  <c r="CA7" i="267" s="1"/>
  <c r="CB7" i="267" s="1"/>
  <c r="CC7" i="267" s="1"/>
  <c r="CD7" i="267" s="1"/>
  <c r="CE7" i="267" s="1"/>
  <c r="CF7" i="267" s="1"/>
  <c r="CG7" i="267" s="1"/>
  <c r="CH7" i="267" s="1"/>
  <c r="CI7" i="267" s="1"/>
  <c r="CJ7" i="267" s="1"/>
  <c r="CK7" i="267" s="1"/>
  <c r="CL7" i="267" s="1"/>
  <c r="CM7" i="267" s="1"/>
  <c r="CN7" i="267" s="1"/>
  <c r="CO7" i="267" s="1"/>
  <c r="CP7" i="267" s="1"/>
  <c r="CQ7" i="267" s="1"/>
  <c r="CR7" i="267" s="1"/>
  <c r="CS7" i="267" s="1"/>
  <c r="CT7" i="267" s="1"/>
  <c r="CU7" i="267" s="1"/>
  <c r="CV7" i="267" s="1"/>
  <c r="CW7" i="267" s="1"/>
  <c r="CX7" i="267" s="1"/>
  <c r="CY7" i="267" s="1"/>
  <c r="CZ7" i="267" s="1"/>
  <c r="DA7" i="267" s="1"/>
  <c r="DB7" i="267" s="1"/>
  <c r="DC7" i="267" s="1"/>
  <c r="DD7" i="267" s="1"/>
  <c r="DE7" i="267" s="1"/>
  <c r="DF7" i="267" s="1"/>
  <c r="DG7" i="267" s="1"/>
  <c r="DH7" i="267" s="1"/>
  <c r="DI7" i="267" s="1"/>
  <c r="DJ7" i="267" s="1"/>
  <c r="DK7" i="267" s="1"/>
  <c r="DL7" i="267" s="1"/>
  <c r="DM7" i="267" s="1"/>
  <c r="DN7" i="267" s="1"/>
  <c r="DO7" i="267" s="1"/>
  <c r="DP7" i="267" s="1"/>
  <c r="DQ7" i="267" s="1"/>
  <c r="DR7" i="267" s="1"/>
  <c r="DS7" i="267" s="1"/>
  <c r="DT7" i="267" s="1"/>
  <c r="DU7" i="267" s="1"/>
  <c r="AF3" i="267"/>
  <c r="AA44" i="267"/>
  <c r="C39" i="267"/>
  <c r="AB4" i="267"/>
  <c r="AA48" i="267"/>
  <c r="Z44" i="267"/>
  <c r="X1437" i="259"/>
  <c r="Y1437" i="259" s="1"/>
  <c r="BC333" i="261"/>
  <c r="BC1439" i="259"/>
  <c r="BD1439" i="259"/>
  <c r="BC1442" i="259"/>
  <c r="BD1442" i="259"/>
  <c r="AC1439" i="259"/>
  <c r="AD1439" i="259"/>
  <c r="AE1439" i="259"/>
  <c r="AC1442" i="259"/>
  <c r="AD1442" i="259"/>
  <c r="AE1442" i="259"/>
  <c r="AV1424" i="259"/>
  <c r="AW1424" i="259"/>
  <c r="AX1424" i="259"/>
  <c r="AY1424" i="259"/>
  <c r="AZ1424" i="259"/>
  <c r="BA1424" i="259"/>
  <c r="AU1424" i="259"/>
  <c r="AC1420" i="259"/>
  <c r="AD1420" i="259"/>
  <c r="AE1420" i="259"/>
  <c r="D1424" i="259"/>
  <c r="Y1438" i="259" l="1"/>
  <c r="Z1437" i="259"/>
  <c r="Y1445" i="259"/>
  <c r="Y1447" i="259" s="1"/>
  <c r="Y1442" i="259"/>
  <c r="Y339" i="261" s="1"/>
  <c r="AB44" i="267"/>
  <c r="C40" i="267"/>
  <c r="AC4" i="267"/>
  <c r="AG3" i="267"/>
  <c r="AE91" i="267"/>
  <c r="BC1424" i="259"/>
  <c r="BD333" i="261"/>
  <c r="F1295" i="259"/>
  <c r="G1295" i="259"/>
  <c r="H1295" i="259"/>
  <c r="I1295" i="259"/>
  <c r="J1295" i="259"/>
  <c r="K1295" i="259"/>
  <c r="L1295" i="259"/>
  <c r="M1295" i="259"/>
  <c r="N1295" i="259"/>
  <c r="O1295" i="259"/>
  <c r="P1295" i="259"/>
  <c r="Q1295" i="259"/>
  <c r="R1295" i="259"/>
  <c r="S1295" i="259"/>
  <c r="T1295" i="259"/>
  <c r="U1295" i="259"/>
  <c r="V1295" i="259"/>
  <c r="W1295" i="259"/>
  <c r="X1295" i="259"/>
  <c r="E1295" i="259"/>
  <c r="D1295" i="259"/>
  <c r="BD1581" i="259"/>
  <c r="BD274" i="262" s="1"/>
  <c r="BC1581" i="259"/>
  <c r="BC274" i="262" s="1"/>
  <c r="BB274" i="262"/>
  <c r="AE1581" i="259"/>
  <c r="AD1581" i="259"/>
  <c r="AC1581" i="259"/>
  <c r="BD1424" i="259" l="1"/>
  <c r="BE333" i="261"/>
  <c r="BE1424" i="259" s="1"/>
  <c r="Z1438" i="259"/>
  <c r="Z1445" i="259"/>
  <c r="Z1447" i="259" s="1"/>
  <c r="Z1451" i="259" s="1"/>
  <c r="Z1442" i="259"/>
  <c r="Z339" i="261" s="1"/>
  <c r="AH3" i="267"/>
  <c r="AF91" i="267"/>
  <c r="AC44" i="267"/>
  <c r="C41" i="267"/>
  <c r="AD4" i="267"/>
  <c r="X296" i="261"/>
  <c r="W296" i="261"/>
  <c r="V296" i="261"/>
  <c r="U296" i="261"/>
  <c r="T296" i="261"/>
  <c r="S296" i="261"/>
  <c r="R296" i="261"/>
  <c r="Q296" i="261"/>
  <c r="P296" i="261"/>
  <c r="O296" i="261"/>
  <c r="N296" i="261"/>
  <c r="M296" i="261"/>
  <c r="L296" i="261"/>
  <c r="K296" i="261"/>
  <c r="J296" i="261"/>
  <c r="I296" i="261"/>
  <c r="H296" i="261"/>
  <c r="G296" i="261"/>
  <c r="F296" i="261"/>
  <c r="E296" i="261"/>
  <c r="D296" i="261"/>
  <c r="E778" i="259"/>
  <c r="F778" i="259"/>
  <c r="G778" i="259"/>
  <c r="H778" i="259"/>
  <c r="I778" i="259"/>
  <c r="I778" i="275" s="1"/>
  <c r="J778" i="259"/>
  <c r="J778" i="275" s="1"/>
  <c r="K778" i="259"/>
  <c r="K778" i="275" s="1"/>
  <c r="L778" i="259"/>
  <c r="L778" i="275" s="1"/>
  <c r="M778" i="259"/>
  <c r="M778" i="275" s="1"/>
  <c r="N778" i="259"/>
  <c r="N778" i="275" s="1"/>
  <c r="O778" i="259"/>
  <c r="O778" i="275" s="1"/>
  <c r="P778" i="259"/>
  <c r="P778" i="275" s="1"/>
  <c r="Q778" i="259"/>
  <c r="Q778" i="275" s="1"/>
  <c r="R778" i="259"/>
  <c r="R778" i="275" s="1"/>
  <c r="S778" i="259"/>
  <c r="S778" i="275" s="1"/>
  <c r="T778" i="259"/>
  <c r="T778" i="275" s="1"/>
  <c r="U778" i="259"/>
  <c r="V778" i="259"/>
  <c r="W778" i="259"/>
  <c r="W778" i="275" s="1"/>
  <c r="X778" i="259"/>
  <c r="X778" i="275" s="1"/>
  <c r="D778" i="259"/>
  <c r="AU662" i="259"/>
  <c r="I571" i="259"/>
  <c r="J571" i="259"/>
  <c r="K571" i="259"/>
  <c r="L571" i="259"/>
  <c r="M571" i="259"/>
  <c r="N571" i="259"/>
  <c r="O571" i="259"/>
  <c r="P571" i="259"/>
  <c r="Q571" i="259"/>
  <c r="R571" i="259"/>
  <c r="S571" i="259"/>
  <c r="T571" i="259"/>
  <c r="U571" i="259"/>
  <c r="V571" i="259"/>
  <c r="W571" i="259"/>
  <c r="X571" i="259"/>
  <c r="F568" i="259"/>
  <c r="G568" i="259"/>
  <c r="H568" i="259"/>
  <c r="I568" i="259"/>
  <c r="J568" i="259"/>
  <c r="K568" i="259"/>
  <c r="L568" i="259"/>
  <c r="M568" i="259"/>
  <c r="N568" i="259"/>
  <c r="O568" i="259"/>
  <c r="P568" i="259"/>
  <c r="Q568" i="259"/>
  <c r="R568" i="259"/>
  <c r="S568" i="259"/>
  <c r="T568" i="259"/>
  <c r="U568" i="259"/>
  <c r="V568" i="259"/>
  <c r="W568" i="259"/>
  <c r="X568" i="259"/>
  <c r="H571" i="259"/>
  <c r="E568" i="259"/>
  <c r="F177" i="261"/>
  <c r="G177" i="261"/>
  <c r="H177" i="261"/>
  <c r="I177" i="261"/>
  <c r="J177" i="261"/>
  <c r="K177" i="261"/>
  <c r="L177" i="261"/>
  <c r="M177" i="261"/>
  <c r="N177" i="261"/>
  <c r="O177" i="261"/>
  <c r="P177" i="261"/>
  <c r="Q177" i="261"/>
  <c r="R177" i="261"/>
  <c r="S177" i="261"/>
  <c r="T177" i="261"/>
  <c r="U177" i="261"/>
  <c r="V177" i="261"/>
  <c r="W177" i="261"/>
  <c r="X177" i="261"/>
  <c r="E177" i="261"/>
  <c r="I184" i="261"/>
  <c r="J184" i="261"/>
  <c r="K184" i="261"/>
  <c r="L184" i="261"/>
  <c r="M184" i="261"/>
  <c r="N184" i="261"/>
  <c r="O184" i="261"/>
  <c r="P184" i="261"/>
  <c r="Q184" i="261"/>
  <c r="R184" i="261"/>
  <c r="S184" i="261"/>
  <c r="T184" i="261"/>
  <c r="U184" i="261"/>
  <c r="V184" i="261"/>
  <c r="W184" i="261"/>
  <c r="X184" i="261"/>
  <c r="H184" i="261"/>
  <c r="X16" i="259"/>
  <c r="W16" i="259"/>
  <c r="V16" i="259"/>
  <c r="U16" i="259"/>
  <c r="T16" i="259"/>
  <c r="S16" i="259"/>
  <c r="R16" i="259"/>
  <c r="Q16" i="259"/>
  <c r="P16" i="259"/>
  <c r="O16" i="259"/>
  <c r="N16" i="259"/>
  <c r="M16" i="259"/>
  <c r="L16" i="259"/>
  <c r="K16" i="259"/>
  <c r="J16" i="259"/>
  <c r="I16" i="259"/>
  <c r="F16" i="259"/>
  <c r="E16" i="259"/>
  <c r="H16" i="259"/>
  <c r="G16" i="259"/>
  <c r="D16" i="259"/>
  <c r="AG127" i="264"/>
  <c r="AI127" i="264" s="1"/>
  <c r="AG126" i="264"/>
  <c r="AI126" i="264" s="1"/>
  <c r="AG153" i="264"/>
  <c r="AI153" i="264" s="1"/>
  <c r="AG152" i="264"/>
  <c r="AI152" i="264" s="1"/>
  <c r="AG151" i="264"/>
  <c r="AI151" i="264" s="1"/>
  <c r="AG150" i="264"/>
  <c r="AI150" i="264" s="1"/>
  <c r="AG147" i="264"/>
  <c r="AI147" i="264" s="1"/>
  <c r="AG146" i="264"/>
  <c r="AI146" i="264" s="1"/>
  <c r="AG145" i="264"/>
  <c r="AI145" i="264" s="1"/>
  <c r="AG144" i="264"/>
  <c r="AI144" i="264" s="1"/>
  <c r="AG141" i="264"/>
  <c r="AI141" i="264" s="1"/>
  <c r="AG140" i="264"/>
  <c r="AI140" i="264" s="1"/>
  <c r="AG139" i="264"/>
  <c r="AI139" i="264" s="1"/>
  <c r="AG138" i="264"/>
  <c r="AI138" i="264" s="1"/>
  <c r="AG135" i="264"/>
  <c r="AI135" i="264" s="1"/>
  <c r="AG134" i="264"/>
  <c r="AI134" i="264" s="1"/>
  <c r="AG131" i="264"/>
  <c r="AI131" i="264" s="1"/>
  <c r="AG130" i="264"/>
  <c r="AI130" i="264" s="1"/>
  <c r="AG122" i="264"/>
  <c r="AG121" i="264"/>
  <c r="AG104" i="264"/>
  <c r="AG103" i="264"/>
  <c r="AG102" i="264"/>
  <c r="AG113" i="264" s="1"/>
  <c r="AG101" i="264"/>
  <c r="AG96" i="264"/>
  <c r="AG95" i="264"/>
  <c r="AG94" i="264"/>
  <c r="AG92" i="264"/>
  <c r="AG91" i="264"/>
  <c r="AG90" i="264"/>
  <c r="AY82" i="264"/>
  <c r="AY58" i="264"/>
  <c r="AY37" i="264"/>
  <c r="AY30" i="264"/>
  <c r="AY10" i="264"/>
  <c r="AG72" i="264"/>
  <c r="AY116" i="264"/>
  <c r="AY99" i="264"/>
  <c r="AW72" i="264"/>
  <c r="AY72" i="264" s="1"/>
  <c r="AU99" i="264"/>
  <c r="AS72" i="264"/>
  <c r="AQ99" i="264"/>
  <c r="AO72" i="264"/>
  <c r="AK127" i="264"/>
  <c r="AM127" i="264" s="1"/>
  <c r="AK126" i="264"/>
  <c r="AM126" i="264" s="1"/>
  <c r="AK153" i="264"/>
  <c r="AK152" i="264"/>
  <c r="AK151" i="264"/>
  <c r="AK150" i="264"/>
  <c r="AK147" i="264"/>
  <c r="AM147" i="264" s="1"/>
  <c r="AK146" i="264"/>
  <c r="AM146" i="264" s="1"/>
  <c r="AK145" i="264"/>
  <c r="AM145" i="264" s="1"/>
  <c r="AK144" i="264"/>
  <c r="AM144" i="264" s="1"/>
  <c r="AK141" i="264"/>
  <c r="AM141" i="264" s="1"/>
  <c r="AK140" i="264"/>
  <c r="AM140" i="264" s="1"/>
  <c r="AK139" i="264"/>
  <c r="AM139" i="264" s="1"/>
  <c r="AK138" i="264"/>
  <c r="AM138" i="264" s="1"/>
  <c r="AK135" i="264"/>
  <c r="AM135" i="264" s="1"/>
  <c r="AK134" i="264"/>
  <c r="AM134" i="264" s="1"/>
  <c r="AK131" i="264"/>
  <c r="AM131" i="264" s="1"/>
  <c r="AK130" i="264"/>
  <c r="AM130" i="264" s="1"/>
  <c r="AK122" i="264"/>
  <c r="AK121" i="264"/>
  <c r="AK104" i="264"/>
  <c r="AK103" i="264"/>
  <c r="AM103" i="264" s="1"/>
  <c r="AK102" i="264"/>
  <c r="AK113" i="264" s="1"/>
  <c r="AK101" i="264"/>
  <c r="AK96" i="264"/>
  <c r="AK95" i="264"/>
  <c r="AK94" i="264"/>
  <c r="AM94" i="264" s="1"/>
  <c r="AK92" i="264"/>
  <c r="AK91" i="264"/>
  <c r="AK90" i="264"/>
  <c r="AM99" i="264"/>
  <c r="AK72" i="264"/>
  <c r="F72" i="264"/>
  <c r="L99" i="264"/>
  <c r="J72" i="264"/>
  <c r="H778" i="275" l="1"/>
  <c r="Z778" i="275"/>
  <c r="V778" i="275"/>
  <c r="U778" i="275"/>
  <c r="Y778" i="275"/>
  <c r="AD44" i="267"/>
  <c r="C42" i="267"/>
  <c r="AE4" i="267"/>
  <c r="AI3" i="267"/>
  <c r="AG91" i="267"/>
  <c r="AK110" i="264"/>
  <c r="AU16" i="259"/>
  <c r="AW16" i="259"/>
  <c r="AY16" i="259"/>
  <c r="AY16" i="275" s="1"/>
  <c r="AG109" i="264"/>
  <c r="AV16" i="259"/>
  <c r="AV16" i="275" s="1"/>
  <c r="AX16" i="259"/>
  <c r="AX16" i="275" s="1"/>
  <c r="AG110" i="264"/>
  <c r="AK109" i="264"/>
  <c r="AG105" i="264"/>
  <c r="AG112" i="264"/>
  <c r="AG114" i="264" s="1"/>
  <c r="AG93" i="264"/>
  <c r="AG97" i="264" s="1"/>
  <c r="AK105" i="264"/>
  <c r="AM105" i="264" s="1"/>
  <c r="AK112" i="264"/>
  <c r="AK114" i="264" s="1"/>
  <c r="AK93" i="264"/>
  <c r="AM104" i="264"/>
  <c r="AM113" i="264"/>
  <c r="AM96" i="264"/>
  <c r="AM95" i="264"/>
  <c r="AM92" i="264"/>
  <c r="AM91" i="264"/>
  <c r="AM90" i="264"/>
  <c r="AM153" i="264"/>
  <c r="AM152" i="264"/>
  <c r="AM151" i="264"/>
  <c r="AM150" i="264"/>
  <c r="AM122" i="264"/>
  <c r="AI122" i="264"/>
  <c r="AM121" i="264"/>
  <c r="AI121" i="264"/>
  <c r="AU116" i="264"/>
  <c r="AQ116" i="264"/>
  <c r="AM116" i="264"/>
  <c r="AI116" i="264"/>
  <c r="P116" i="264"/>
  <c r="L116" i="264"/>
  <c r="H116" i="264"/>
  <c r="AI113" i="264"/>
  <c r="AI104" i="264"/>
  <c r="AI102" i="264"/>
  <c r="AI101" i="264"/>
  <c r="P99" i="264"/>
  <c r="AI96" i="264"/>
  <c r="AI92" i="264"/>
  <c r="AI91" i="264"/>
  <c r="P82" i="264"/>
  <c r="N72" i="264"/>
  <c r="P72" i="264" s="1"/>
  <c r="L72" i="264"/>
  <c r="P65" i="264"/>
  <c r="L65" i="264"/>
  <c r="AQ58" i="264"/>
  <c r="AI58" i="264"/>
  <c r="P58" i="264"/>
  <c r="L58" i="264"/>
  <c r="P51" i="264"/>
  <c r="L82" i="264"/>
  <c r="AI37" i="264"/>
  <c r="P37" i="264"/>
  <c r="L37" i="264"/>
  <c r="P30" i="264"/>
  <c r="L30" i="264"/>
  <c r="AM10" i="264"/>
  <c r="P10" i="264"/>
  <c r="L10" i="264"/>
  <c r="H10" i="264"/>
  <c r="AW16" i="275" l="1"/>
  <c r="AJ3" i="267"/>
  <c r="AH91" i="267"/>
  <c r="AF4" i="267"/>
  <c r="AI112" i="264"/>
  <c r="AM112" i="264"/>
  <c r="AK97" i="264"/>
  <c r="AM97" i="264" s="1"/>
  <c r="AM93" i="264"/>
  <c r="AG107" i="264"/>
  <c r="AM101" i="264"/>
  <c r="L51" i="264"/>
  <c r="AM102" i="264"/>
  <c r="AM110" i="264"/>
  <c r="H72" i="264"/>
  <c r="AQ30" i="264"/>
  <c r="AQ37" i="264"/>
  <c r="AI110" i="264"/>
  <c r="AI30" i="264"/>
  <c r="AI72" i="264"/>
  <c r="H65" i="264"/>
  <c r="AM109" i="264"/>
  <c r="H30" i="264"/>
  <c r="AM30" i="264"/>
  <c r="AU30" i="264"/>
  <c r="AQ72" i="264"/>
  <c r="AI90" i="264"/>
  <c r="AI109" i="264"/>
  <c r="AM114" i="264"/>
  <c r="AM37" i="264"/>
  <c r="AQ10" i="264"/>
  <c r="H37" i="264"/>
  <c r="AI10" i="264"/>
  <c r="AU10" i="264"/>
  <c r="AU37" i="264"/>
  <c r="AU72" i="264"/>
  <c r="AU58" i="264"/>
  <c r="AM72" i="264"/>
  <c r="AM58" i="264"/>
  <c r="H58" i="264"/>
  <c r="AI95" i="264"/>
  <c r="AI114" i="264"/>
  <c r="AK3" i="267" l="1"/>
  <c r="AF44" i="267"/>
  <c r="AG4" i="267"/>
  <c r="AK107" i="264"/>
  <c r="AM107" i="264" s="1"/>
  <c r="H51" i="264"/>
  <c r="AQ82" i="264"/>
  <c r="AI82" i="264"/>
  <c r="AM82" i="264"/>
  <c r="AI107" i="264"/>
  <c r="AU82" i="264"/>
  <c r="H25" i="264"/>
  <c r="AG44" i="267" l="1"/>
  <c r="AH4" i="267"/>
  <c r="AL3" i="267"/>
  <c r="AJ91" i="267"/>
  <c r="H82" i="264"/>
  <c r="AH44" i="267" l="1"/>
  <c r="AI4" i="267"/>
  <c r="AM3" i="267"/>
  <c r="AK91" i="267"/>
  <c r="F269" i="261"/>
  <c r="AI44" i="267" l="1"/>
  <c r="AJ4" i="267"/>
  <c r="AN3" i="267"/>
  <c r="AL91" i="267"/>
  <c r="AJ44" i="267" l="1"/>
  <c r="AK4" i="267"/>
  <c r="AO3" i="267"/>
  <c r="AM91" i="267"/>
  <c r="X223" i="262"/>
  <c r="W838" i="259"/>
  <c r="X838" i="259"/>
  <c r="AP3" i="267" l="1"/>
  <c r="AN91" i="267"/>
  <c r="AK44" i="267"/>
  <c r="AL4" i="267"/>
  <c r="AK7" i="263"/>
  <c r="AK33" i="263"/>
  <c r="AK29" i="263"/>
  <c r="AK28" i="263"/>
  <c r="AK16" i="263"/>
  <c r="AM16" i="263" s="1"/>
  <c r="AG7" i="263"/>
  <c r="AG33" i="263"/>
  <c r="AG29" i="263"/>
  <c r="AG28" i="263"/>
  <c r="AG16" i="263"/>
  <c r="AI16" i="263" s="1"/>
  <c r="AG10" i="263"/>
  <c r="AI10" i="263" s="1"/>
  <c r="E31" i="259"/>
  <c r="F31" i="259"/>
  <c r="G31" i="259"/>
  <c r="H31" i="259"/>
  <c r="I31" i="259"/>
  <c r="I31" i="275" s="1"/>
  <c r="J31" i="259"/>
  <c r="J31" i="275" s="1"/>
  <c r="K31" i="259"/>
  <c r="K31" i="275" s="1"/>
  <c r="L31" i="259"/>
  <c r="L31" i="275" s="1"/>
  <c r="M31" i="259"/>
  <c r="M31" i="275" s="1"/>
  <c r="N31" i="259"/>
  <c r="N31" i="275" s="1"/>
  <c r="O31" i="259"/>
  <c r="O31" i="275" s="1"/>
  <c r="P31" i="259"/>
  <c r="P31" i="275" s="1"/>
  <c r="Q31" i="259"/>
  <c r="Q31" i="275" s="1"/>
  <c r="R31" i="259"/>
  <c r="R31" i="275" s="1"/>
  <c r="S31" i="259"/>
  <c r="S31" i="275" s="1"/>
  <c r="T31" i="259"/>
  <c r="T31" i="275" s="1"/>
  <c r="U31" i="259"/>
  <c r="V31" i="259"/>
  <c r="W31" i="259"/>
  <c r="W31" i="275" s="1"/>
  <c r="X31" i="259"/>
  <c r="X31" i="275" s="1"/>
  <c r="D31" i="259"/>
  <c r="AY1326" i="259"/>
  <c r="AX1326" i="259"/>
  <c r="AW1326" i="259"/>
  <c r="AW250" i="262" s="1"/>
  <c r="AV1326" i="259"/>
  <c r="AU1326" i="259"/>
  <c r="AY1324" i="259"/>
  <c r="AX1324" i="259"/>
  <c r="AW1324" i="259"/>
  <c r="AV1324" i="259"/>
  <c r="AU1324" i="259"/>
  <c r="X314" i="261"/>
  <c r="X268" i="261"/>
  <c r="X269" i="261"/>
  <c r="X289" i="261"/>
  <c r="X290" i="261"/>
  <c r="X235" i="261"/>
  <c r="X237" i="261"/>
  <c r="X153" i="261"/>
  <c r="X154" i="261"/>
  <c r="X173" i="261"/>
  <c r="X174" i="261"/>
  <c r="X175" i="261"/>
  <c r="X176" i="261"/>
  <c r="X180" i="261"/>
  <c r="X181" i="261"/>
  <c r="X182" i="261"/>
  <c r="X183" i="261"/>
  <c r="X8" i="261"/>
  <c r="X9" i="261"/>
  <c r="X10" i="261"/>
  <c r="X13" i="261"/>
  <c r="X14" i="261"/>
  <c r="X17" i="261"/>
  <c r="X18" i="261"/>
  <c r="X36" i="261"/>
  <c r="X37" i="261"/>
  <c r="X39" i="261"/>
  <c r="X40" i="261"/>
  <c r="X46" i="261"/>
  <c r="X47" i="261"/>
  <c r="X49" i="261"/>
  <c r="X54" i="261"/>
  <c r="X55" i="261"/>
  <c r="X90" i="261"/>
  <c r="X91" i="261"/>
  <c r="X95" i="261"/>
  <c r="X98" i="261"/>
  <c r="X200" i="259"/>
  <c r="X103" i="261"/>
  <c r="X888" i="259"/>
  <c r="X1579" i="259"/>
  <c r="X1585" i="259"/>
  <c r="X1590" i="259"/>
  <c r="X1517" i="259"/>
  <c r="X1524" i="259"/>
  <c r="X1537" i="259"/>
  <c r="X1529" i="259" s="1"/>
  <c r="X1470" i="259"/>
  <c r="X344" i="261" s="1"/>
  <c r="X1471" i="259"/>
  <c r="X1473" i="259"/>
  <c r="X1474" i="259" s="1"/>
  <c r="X345" i="261" s="1"/>
  <c r="X1441" i="259"/>
  <c r="X1445" i="259" s="1"/>
  <c r="X1449" i="259"/>
  <c r="X1418" i="259"/>
  <c r="X1438" i="259"/>
  <c r="X1386" i="259"/>
  <c r="X1387" i="259" s="1"/>
  <c r="X1389" i="259"/>
  <c r="X1399" i="259"/>
  <c r="X1404" i="259"/>
  <c r="X1405" i="259"/>
  <c r="X322" i="261" s="1"/>
  <c r="X1371" i="259"/>
  <c r="X1377" i="259"/>
  <c r="X1335" i="259"/>
  <c r="X1298" i="259"/>
  <c r="X1380" i="259" s="1"/>
  <c r="X1308" i="259"/>
  <c r="X1309" i="259"/>
  <c r="X1318" i="259"/>
  <c r="X1325" i="259"/>
  <c r="X252" i="262" s="1"/>
  <c r="X1329" i="259"/>
  <c r="X1293" i="259" s="1"/>
  <c r="X242" i="262" s="1"/>
  <c r="X1279" i="259"/>
  <c r="X1213" i="259"/>
  <c r="X1214" i="259"/>
  <c r="X1225" i="259"/>
  <c r="X1226" i="259"/>
  <c r="X1227" i="259" s="1"/>
  <c r="X1230" i="259"/>
  <c r="X1231" i="259"/>
  <c r="X147" i="262" s="1"/>
  <c r="X1235" i="259"/>
  <c r="X1236" i="259"/>
  <c r="X148" i="262" s="1"/>
  <c r="X1183" i="259"/>
  <c r="X1184" i="259"/>
  <c r="X1200" i="259"/>
  <c r="X1201" i="259"/>
  <c r="X1155" i="259"/>
  <c r="X1158" i="259"/>
  <c r="X1166" i="259"/>
  <c r="X1127" i="259"/>
  <c r="X1128" i="259" s="1"/>
  <c r="X1130" i="259"/>
  <c r="Y1123" i="259" s="1"/>
  <c r="Y1129" i="259" s="1"/>
  <c r="X1140" i="259"/>
  <c r="X1143" i="259"/>
  <c r="X1151" i="259"/>
  <c r="X1095" i="259"/>
  <c r="X1097" i="259" s="1"/>
  <c r="X1110" i="259"/>
  <c r="X1112" i="259" s="1"/>
  <c r="X1017" i="259"/>
  <c r="X1021" i="259"/>
  <c r="X1022" i="259"/>
  <c r="X1026" i="259"/>
  <c r="X1027" i="259"/>
  <c r="X1040" i="259"/>
  <c r="X1042" i="259"/>
  <c r="X1051" i="259"/>
  <c r="X1052" i="259"/>
  <c r="X1053" i="259"/>
  <c r="X1054" i="259"/>
  <c r="X1006" i="259"/>
  <c r="X972" i="259"/>
  <c r="X977" i="259"/>
  <c r="X993" i="259"/>
  <c r="X937" i="259"/>
  <c r="X944" i="259"/>
  <c r="X957" i="259"/>
  <c r="X910" i="259"/>
  <c r="X916" i="259"/>
  <c r="X917" i="259"/>
  <c r="X918" i="259"/>
  <c r="X919" i="259"/>
  <c r="X920" i="259"/>
  <c r="X921" i="259"/>
  <c r="X927" i="259"/>
  <c r="X891" i="259"/>
  <c r="X892" i="259"/>
  <c r="X893" i="259"/>
  <c r="X894" i="259"/>
  <c r="X900" i="259"/>
  <c r="X901" i="259"/>
  <c r="X876" i="259"/>
  <c r="X877" i="259"/>
  <c r="X878" i="259"/>
  <c r="X833" i="259"/>
  <c r="X837" i="259"/>
  <c r="X855" i="259"/>
  <c r="X868" i="259"/>
  <c r="X873" i="259"/>
  <c r="X751" i="259"/>
  <c r="X764" i="259"/>
  <c r="X768" i="259"/>
  <c r="X777" i="259"/>
  <c r="X794" i="259"/>
  <c r="X795" i="259"/>
  <c r="X704" i="259"/>
  <c r="X718" i="259"/>
  <c r="X741" i="259"/>
  <c r="X690" i="259"/>
  <c r="X640" i="259"/>
  <c r="X650" i="259"/>
  <c r="X663" i="259"/>
  <c r="X667" i="259"/>
  <c r="X681" i="259"/>
  <c r="X541" i="259"/>
  <c r="X551" i="259"/>
  <c r="X561" i="259"/>
  <c r="X562" i="259" s="1"/>
  <c r="X598" i="259"/>
  <c r="X599" i="259"/>
  <c r="X607" i="259"/>
  <c r="X614" i="259"/>
  <c r="X619" i="259"/>
  <c r="X622" i="259"/>
  <c r="X623" i="259"/>
  <c r="X520" i="259"/>
  <c r="X526" i="259"/>
  <c r="X532" i="259"/>
  <c r="X579" i="259"/>
  <c r="X589" i="259"/>
  <c r="X591" i="259" s="1"/>
  <c r="X590" i="259"/>
  <c r="X510" i="259"/>
  <c r="X472" i="259"/>
  <c r="X485" i="259"/>
  <c r="X488" i="259"/>
  <c r="X498" i="259"/>
  <c r="X505" i="259"/>
  <c r="X451" i="259"/>
  <c r="AB451" i="275" s="1"/>
  <c r="X455" i="259"/>
  <c r="X456" i="259"/>
  <c r="X458" i="259"/>
  <c r="X442" i="259"/>
  <c r="X443" i="259"/>
  <c r="X444" i="259"/>
  <c r="X414" i="259"/>
  <c r="X407" i="259"/>
  <c r="X1028" i="259" s="1"/>
  <c r="X355" i="259"/>
  <c r="X361" i="259"/>
  <c r="X371" i="259"/>
  <c r="AB371" i="275" s="1"/>
  <c r="X376" i="259"/>
  <c r="AB376" i="275" s="1"/>
  <c r="X379" i="259"/>
  <c r="AB379" i="275" s="1"/>
  <c r="X380" i="259"/>
  <c r="AB380" i="275" s="1"/>
  <c r="X386" i="259"/>
  <c r="X393" i="259"/>
  <c r="X336" i="259"/>
  <c r="X277" i="259"/>
  <c r="X140" i="259" s="1"/>
  <c r="X283" i="259"/>
  <c r="X293" i="259"/>
  <c r="X298" i="259"/>
  <c r="X301" i="259"/>
  <c r="X302" i="259"/>
  <c r="X308" i="259"/>
  <c r="X315" i="259"/>
  <c r="X240" i="259"/>
  <c r="X245" i="259"/>
  <c r="X252" i="259"/>
  <c r="X253" i="259"/>
  <c r="X228" i="259"/>
  <c r="X232" i="259"/>
  <c r="X219" i="259"/>
  <c r="X208" i="259"/>
  <c r="X105" i="261" s="1"/>
  <c r="X151" i="259"/>
  <c r="X157" i="259"/>
  <c r="X168" i="259"/>
  <c r="X174" i="259"/>
  <c r="AB174" i="275" s="1"/>
  <c r="X179" i="259"/>
  <c r="X180" i="259"/>
  <c r="X187" i="259"/>
  <c r="X113" i="259"/>
  <c r="X114" i="259"/>
  <c r="X115" i="259" s="1"/>
  <c r="X117" i="259"/>
  <c r="X119" i="259"/>
  <c r="X120" i="259"/>
  <c r="X126" i="259"/>
  <c r="X6" i="259" s="1"/>
  <c r="X132" i="259"/>
  <c r="X133" i="259"/>
  <c r="X39" i="259"/>
  <c r="X57" i="259"/>
  <c r="X58" i="259"/>
  <c r="X63" i="259"/>
  <c r="X64" i="259"/>
  <c r="X90" i="259"/>
  <c r="X91" i="259"/>
  <c r="X92" i="259"/>
  <c r="X93" i="259"/>
  <c r="X293" i="261"/>
  <c r="E765" i="259"/>
  <c r="F765" i="259"/>
  <c r="D765" i="259"/>
  <c r="E777" i="259"/>
  <c r="F777" i="259"/>
  <c r="G777" i="259"/>
  <c r="H777" i="259"/>
  <c r="I777" i="259"/>
  <c r="I777" i="275" s="1"/>
  <c r="J777" i="259"/>
  <c r="J777" i="275" s="1"/>
  <c r="K777" i="259"/>
  <c r="K777" i="275" s="1"/>
  <c r="L777" i="259"/>
  <c r="L777" i="275" s="1"/>
  <c r="M777" i="259"/>
  <c r="M777" i="275" s="1"/>
  <c r="N777" i="259"/>
  <c r="N777" i="275" s="1"/>
  <c r="O777" i="259"/>
  <c r="O777" i="275" s="1"/>
  <c r="P777" i="259"/>
  <c r="P777" i="275" s="1"/>
  <c r="Q777" i="259"/>
  <c r="Q777" i="275" s="1"/>
  <c r="R777" i="259"/>
  <c r="R777" i="275" s="1"/>
  <c r="S777" i="259"/>
  <c r="S777" i="275" s="1"/>
  <c r="T777" i="259"/>
  <c r="T777" i="275" s="1"/>
  <c r="U777" i="259"/>
  <c r="V777" i="259"/>
  <c r="W777" i="259"/>
  <c r="D777" i="259"/>
  <c r="G764" i="259"/>
  <c r="H764" i="259"/>
  <c r="I764" i="259"/>
  <c r="J764" i="259"/>
  <c r="K764" i="259"/>
  <c r="K764" i="275" s="1"/>
  <c r="L764" i="259"/>
  <c r="L764" i="275" s="1"/>
  <c r="M764" i="259"/>
  <c r="M764" i="275" s="1"/>
  <c r="N764" i="259"/>
  <c r="N764" i="275" s="1"/>
  <c r="O764" i="259"/>
  <c r="O764" i="275" s="1"/>
  <c r="P764" i="259"/>
  <c r="P764" i="275" s="1"/>
  <c r="Q764" i="259"/>
  <c r="Q764" i="275" s="1"/>
  <c r="R764" i="259"/>
  <c r="R764" i="275" s="1"/>
  <c r="S764" i="259"/>
  <c r="S764" i="275" s="1"/>
  <c r="T764" i="259"/>
  <c r="T764" i="275" s="1"/>
  <c r="U764" i="259"/>
  <c r="V764" i="259"/>
  <c r="W764" i="259"/>
  <c r="AA764" i="275" s="1"/>
  <c r="L656" i="259"/>
  <c r="AW656" i="259" s="1"/>
  <c r="AW656" i="275" s="1"/>
  <c r="J656" i="259"/>
  <c r="AV656" i="259" s="1"/>
  <c r="F639" i="259"/>
  <c r="F656" i="259"/>
  <c r="E639" i="259"/>
  <c r="E656" i="259"/>
  <c r="D656" i="259"/>
  <c r="D639" i="259"/>
  <c r="AY366" i="259"/>
  <c r="AY366" i="275" s="1"/>
  <c r="AX366" i="259"/>
  <c r="AW366" i="259"/>
  <c r="AW366" i="275" s="1"/>
  <c r="AV366" i="259"/>
  <c r="AU366" i="259"/>
  <c r="AY288" i="259"/>
  <c r="AX288" i="259"/>
  <c r="AX288" i="275" s="1"/>
  <c r="AW288" i="259"/>
  <c r="AV288" i="259"/>
  <c r="AV288" i="275" s="1"/>
  <c r="AU288" i="259"/>
  <c r="AY162" i="259"/>
  <c r="AY162" i="275" s="1"/>
  <c r="AX162" i="259"/>
  <c r="AW162" i="259"/>
  <c r="AW162" i="275" s="1"/>
  <c r="AV162" i="259"/>
  <c r="AU162" i="259"/>
  <c r="BC502" i="259"/>
  <c r="BD502" i="259"/>
  <c r="BC505" i="259"/>
  <c r="BC505" i="275" s="1"/>
  <c r="BD505" i="259"/>
  <c r="AY504" i="259"/>
  <c r="AX504" i="259"/>
  <c r="AX504" i="275" s="1"/>
  <c r="AW504" i="259"/>
  <c r="AV504" i="259"/>
  <c r="AV504" i="275" s="1"/>
  <c r="AU504" i="259"/>
  <c r="J505" i="259"/>
  <c r="K505" i="259"/>
  <c r="L505" i="259"/>
  <c r="M505" i="259"/>
  <c r="N505" i="259"/>
  <c r="O505" i="259"/>
  <c r="P505" i="259"/>
  <c r="Q505" i="259"/>
  <c r="R505" i="259"/>
  <c r="S505" i="259"/>
  <c r="T505" i="259"/>
  <c r="U505" i="259"/>
  <c r="V505" i="259"/>
  <c r="W505" i="259"/>
  <c r="AF505" i="275"/>
  <c r="AC505" i="259"/>
  <c r="AD505" i="259"/>
  <c r="AE505" i="259"/>
  <c r="E505" i="259"/>
  <c r="E506" i="259" s="1"/>
  <c r="E7" i="259" s="1"/>
  <c r="E135" i="262" s="1"/>
  <c r="F505" i="259"/>
  <c r="F506" i="259" s="1"/>
  <c r="G505" i="259"/>
  <c r="G506" i="259" s="1"/>
  <c r="G7" i="259" s="1"/>
  <c r="G135" i="262" s="1"/>
  <c r="H505" i="259"/>
  <c r="I505" i="259"/>
  <c r="D505" i="259"/>
  <c r="D506" i="259" s="1"/>
  <c r="BC657" i="259"/>
  <c r="BC657" i="275" s="1"/>
  <c r="BD657" i="259"/>
  <c r="AY656" i="259"/>
  <c r="AY656" i="275" s="1"/>
  <c r="AX656" i="259"/>
  <c r="I1449" i="259"/>
  <c r="J1449" i="259"/>
  <c r="K1449" i="259"/>
  <c r="L1449" i="259"/>
  <c r="M1449" i="259"/>
  <c r="N1449" i="259"/>
  <c r="O1449" i="259"/>
  <c r="P1449" i="259"/>
  <c r="H1449" i="259"/>
  <c r="Q1449" i="259"/>
  <c r="R1449" i="259"/>
  <c r="S1449" i="259"/>
  <c r="I1441" i="259"/>
  <c r="I1442" i="259" s="1"/>
  <c r="I339" i="261" s="1"/>
  <c r="J1441" i="259"/>
  <c r="K1441" i="259"/>
  <c r="K1442" i="259" s="1"/>
  <c r="K339" i="261" s="1"/>
  <c r="L1441" i="259"/>
  <c r="M1441" i="259"/>
  <c r="N1441" i="259"/>
  <c r="N1442" i="259" s="1"/>
  <c r="N339" i="261" s="1"/>
  <c r="O1441" i="259"/>
  <c r="O1442" i="259" s="1"/>
  <c r="O339" i="261" s="1"/>
  <c r="P1441" i="259"/>
  <c r="P1442" i="259" s="1"/>
  <c r="P339" i="261" s="1"/>
  <c r="Q1441" i="259"/>
  <c r="R1441" i="259"/>
  <c r="R1442" i="259" s="1"/>
  <c r="R339" i="261" s="1"/>
  <c r="S1441" i="259"/>
  <c r="T1441" i="259"/>
  <c r="T1442" i="259" s="1"/>
  <c r="T339" i="261" s="1"/>
  <c r="U1441" i="259"/>
  <c r="V1441" i="259"/>
  <c r="V1442" i="259" s="1"/>
  <c r="V339" i="261" s="1"/>
  <c r="W1441" i="259"/>
  <c r="W1442" i="259" s="1"/>
  <c r="W339" i="261" s="1"/>
  <c r="H1441" i="259"/>
  <c r="M1442" i="259"/>
  <c r="M339" i="261" s="1"/>
  <c r="U1449" i="259"/>
  <c r="V1449" i="259"/>
  <c r="W1449" i="259"/>
  <c r="T1449" i="259"/>
  <c r="F1438" i="259"/>
  <c r="G1438" i="259"/>
  <c r="H1438" i="259"/>
  <c r="I1438" i="259"/>
  <c r="J1438" i="259"/>
  <c r="K1438" i="259"/>
  <c r="L1438" i="259"/>
  <c r="M1438" i="259"/>
  <c r="N1438" i="259"/>
  <c r="O1438" i="259"/>
  <c r="P1438" i="259"/>
  <c r="Q1438" i="259"/>
  <c r="R1438" i="259"/>
  <c r="S1438" i="259"/>
  <c r="T1438" i="259"/>
  <c r="U1438" i="259"/>
  <c r="V1438" i="259"/>
  <c r="W1438" i="259"/>
  <c r="E1438" i="259"/>
  <c r="E83" i="262"/>
  <c r="F83" i="262"/>
  <c r="G83" i="262"/>
  <c r="H83" i="262"/>
  <c r="I83" i="262"/>
  <c r="J83" i="262"/>
  <c r="K83" i="262"/>
  <c r="L83" i="262"/>
  <c r="M83" i="262"/>
  <c r="N83" i="262"/>
  <c r="O83" i="262"/>
  <c r="P83" i="262"/>
  <c r="Q83" i="262"/>
  <c r="R83" i="262"/>
  <c r="S83" i="262"/>
  <c r="T83" i="262"/>
  <c r="U83" i="262"/>
  <c r="V83" i="262"/>
  <c r="W83" i="262"/>
  <c r="D83" i="262"/>
  <c r="W69" i="262"/>
  <c r="V69" i="262"/>
  <c r="U69" i="262"/>
  <c r="T69" i="262"/>
  <c r="S69" i="262"/>
  <c r="R69" i="262"/>
  <c r="Q69" i="262"/>
  <c r="P69" i="262"/>
  <c r="O69" i="262"/>
  <c r="N69" i="262"/>
  <c r="M69" i="262"/>
  <c r="L69" i="262"/>
  <c r="K69" i="262"/>
  <c r="J69" i="262"/>
  <c r="I69" i="262"/>
  <c r="H69" i="262"/>
  <c r="G69" i="262"/>
  <c r="F69" i="262"/>
  <c r="E69" i="262"/>
  <c r="W61" i="262"/>
  <c r="V61" i="262"/>
  <c r="U61" i="262"/>
  <c r="T61" i="262"/>
  <c r="S61" i="262"/>
  <c r="R61" i="262"/>
  <c r="Q61" i="262"/>
  <c r="P61" i="262"/>
  <c r="O61" i="262"/>
  <c r="N61" i="262"/>
  <c r="M61" i="262"/>
  <c r="L61" i="262"/>
  <c r="K61" i="262"/>
  <c r="J61" i="262"/>
  <c r="I61" i="262"/>
  <c r="H61" i="262"/>
  <c r="G61" i="262"/>
  <c r="F61" i="262"/>
  <c r="E61" i="262"/>
  <c r="W60" i="262"/>
  <c r="V60" i="262"/>
  <c r="U60" i="262"/>
  <c r="T60" i="262"/>
  <c r="S60" i="262"/>
  <c r="R60" i="262"/>
  <c r="Q60" i="262"/>
  <c r="P60" i="262"/>
  <c r="O60" i="262"/>
  <c r="N60" i="262"/>
  <c r="M60" i="262"/>
  <c r="L60" i="262"/>
  <c r="K60" i="262"/>
  <c r="J60" i="262"/>
  <c r="I60" i="262"/>
  <c r="H60" i="262"/>
  <c r="G60" i="262"/>
  <c r="F60" i="262"/>
  <c r="E60" i="262"/>
  <c r="D69" i="262"/>
  <c r="D64" i="262"/>
  <c r="D68" i="262" s="1"/>
  <c r="D61" i="262"/>
  <c r="D60" i="262"/>
  <c r="W274" i="262"/>
  <c r="V274" i="262"/>
  <c r="U274" i="262"/>
  <c r="T274" i="262"/>
  <c r="S274" i="262"/>
  <c r="R274" i="262"/>
  <c r="Q274" i="262"/>
  <c r="P274" i="262"/>
  <c r="O274" i="262"/>
  <c r="N274" i="262"/>
  <c r="M274" i="262"/>
  <c r="L274" i="262"/>
  <c r="K274" i="262"/>
  <c r="J274" i="262"/>
  <c r="I274" i="262"/>
  <c r="H274" i="262"/>
  <c r="G274" i="262"/>
  <c r="F274" i="262"/>
  <c r="E274" i="262"/>
  <c r="D274" i="262"/>
  <c r="W58" i="262"/>
  <c r="V58" i="262"/>
  <c r="U58" i="262"/>
  <c r="T58" i="262"/>
  <c r="S58" i="262"/>
  <c r="R58" i="262"/>
  <c r="Q58" i="262"/>
  <c r="P58" i="262"/>
  <c r="O58" i="262"/>
  <c r="N58" i="262"/>
  <c r="M58" i="262"/>
  <c r="L58" i="262"/>
  <c r="K58" i="262"/>
  <c r="J58" i="262"/>
  <c r="I58" i="262"/>
  <c r="H58" i="262"/>
  <c r="G58" i="262"/>
  <c r="F58" i="262"/>
  <c r="E58" i="262"/>
  <c r="W55" i="262"/>
  <c r="V55" i="262"/>
  <c r="U55" i="262"/>
  <c r="T55" i="262"/>
  <c r="S55" i="262"/>
  <c r="R55" i="262"/>
  <c r="Q55" i="262"/>
  <c r="P55" i="262"/>
  <c r="O55" i="262"/>
  <c r="N55" i="262"/>
  <c r="M55" i="262"/>
  <c r="L55" i="262"/>
  <c r="K55" i="262"/>
  <c r="J55" i="262"/>
  <c r="I55" i="262"/>
  <c r="H55" i="262"/>
  <c r="G55" i="262"/>
  <c r="F55" i="262"/>
  <c r="E55" i="262"/>
  <c r="W54" i="262"/>
  <c r="V54" i="262"/>
  <c r="U54" i="262"/>
  <c r="T54" i="262"/>
  <c r="S54" i="262"/>
  <c r="R54" i="262"/>
  <c r="Q54" i="262"/>
  <c r="P54" i="262"/>
  <c r="O54" i="262"/>
  <c r="N54" i="262"/>
  <c r="M54" i="262"/>
  <c r="L54" i="262"/>
  <c r="K54" i="262"/>
  <c r="J54" i="262"/>
  <c r="I54" i="262"/>
  <c r="H54" i="262"/>
  <c r="G54" i="262"/>
  <c r="F54" i="262"/>
  <c r="E54" i="262"/>
  <c r="D58" i="262"/>
  <c r="D55" i="262"/>
  <c r="D54" i="262"/>
  <c r="W38" i="262"/>
  <c r="V38" i="262"/>
  <c r="U38" i="262"/>
  <c r="T38" i="262"/>
  <c r="S38" i="262"/>
  <c r="R38" i="262"/>
  <c r="Q38" i="262"/>
  <c r="P38" i="262"/>
  <c r="O38" i="262"/>
  <c r="N38" i="262"/>
  <c r="M38" i="262"/>
  <c r="L38" i="262"/>
  <c r="K38" i="262"/>
  <c r="J38" i="262"/>
  <c r="I38" i="262"/>
  <c r="H38" i="262"/>
  <c r="G38" i="262"/>
  <c r="F38" i="262"/>
  <c r="E38" i="262"/>
  <c r="D38" i="262"/>
  <c r="W39" i="262"/>
  <c r="V39" i="262"/>
  <c r="U39" i="262"/>
  <c r="T39" i="262"/>
  <c r="S39" i="262"/>
  <c r="R39" i="262"/>
  <c r="Q39" i="262"/>
  <c r="P39" i="262"/>
  <c r="O39" i="262"/>
  <c r="N39" i="262"/>
  <c r="M39" i="262"/>
  <c r="L39" i="262"/>
  <c r="K39" i="262"/>
  <c r="J39" i="262"/>
  <c r="I39" i="262"/>
  <c r="H39" i="262"/>
  <c r="G39" i="262"/>
  <c r="F39" i="262"/>
  <c r="E39" i="262"/>
  <c r="D39" i="262"/>
  <c r="W37" i="262"/>
  <c r="V37" i="262"/>
  <c r="U37" i="262"/>
  <c r="T37" i="262"/>
  <c r="S37" i="262"/>
  <c r="R37" i="262"/>
  <c r="Q37" i="262"/>
  <c r="P37" i="262"/>
  <c r="O37" i="262"/>
  <c r="N37" i="262"/>
  <c r="M37" i="262"/>
  <c r="L37" i="262"/>
  <c r="K37" i="262"/>
  <c r="J37" i="262"/>
  <c r="I37" i="262"/>
  <c r="H37" i="262"/>
  <c r="G37" i="262"/>
  <c r="F37" i="262"/>
  <c r="E37" i="262"/>
  <c r="D37" i="262"/>
  <c r="H317" i="261"/>
  <c r="G317" i="261"/>
  <c r="F317" i="261"/>
  <c r="E317" i="261"/>
  <c r="D317" i="261"/>
  <c r="W314" i="261"/>
  <c r="V314" i="261"/>
  <c r="U314" i="261"/>
  <c r="T314" i="261"/>
  <c r="S314" i="261"/>
  <c r="R314" i="261"/>
  <c r="Q314" i="261"/>
  <c r="P314" i="261"/>
  <c r="O314" i="261"/>
  <c r="N314" i="261"/>
  <c r="M314" i="261"/>
  <c r="L314" i="261"/>
  <c r="K314" i="261"/>
  <c r="J314" i="261"/>
  <c r="I314" i="261"/>
  <c r="H314" i="261"/>
  <c r="G314" i="261"/>
  <c r="F314" i="261"/>
  <c r="E314" i="261"/>
  <c r="D314" i="261"/>
  <c r="AY1437" i="259"/>
  <c r="AX1437" i="259"/>
  <c r="AW1437" i="259"/>
  <c r="AV1437" i="259"/>
  <c r="AU1437" i="259"/>
  <c r="BA1051" i="259"/>
  <c r="BA1051" i="275" s="1"/>
  <c r="BA1052" i="259"/>
  <c r="BA1053" i="259"/>
  <c r="BA1053" i="275" s="1"/>
  <c r="BA1054" i="259"/>
  <c r="AZ1054" i="259"/>
  <c r="AZ1053" i="259"/>
  <c r="AZ1052" i="259"/>
  <c r="AZ1051" i="259"/>
  <c r="BD1588" i="259"/>
  <c r="BC1588" i="259"/>
  <c r="AE1588" i="259"/>
  <c r="AD1588" i="259"/>
  <c r="AC1588" i="259"/>
  <c r="AY1586" i="259"/>
  <c r="AX1586" i="259"/>
  <c r="AW1586" i="259"/>
  <c r="AV1586" i="259"/>
  <c r="AU1586" i="259"/>
  <c r="U1585" i="259"/>
  <c r="Q1585" i="259"/>
  <c r="M1585" i="259"/>
  <c r="I1585" i="259"/>
  <c r="E1585" i="259"/>
  <c r="W1588" i="259"/>
  <c r="W298" i="261" s="1"/>
  <c r="V1585" i="259"/>
  <c r="U1588" i="259"/>
  <c r="U298" i="261" s="1"/>
  <c r="T1588" i="259"/>
  <c r="T298" i="261" s="1"/>
  <c r="S1588" i="259"/>
  <c r="S298" i="261" s="1"/>
  <c r="R1585" i="259"/>
  <c r="Q1588" i="259"/>
  <c r="Q298" i="261" s="1"/>
  <c r="P1588" i="259"/>
  <c r="P298" i="261" s="1"/>
  <c r="O1588" i="259"/>
  <c r="O298" i="261" s="1"/>
  <c r="N1585" i="259"/>
  <c r="M1588" i="259"/>
  <c r="M298" i="261" s="1"/>
  <c r="L1588" i="259"/>
  <c r="L298" i="261" s="1"/>
  <c r="K1588" i="259"/>
  <c r="K298" i="261" s="1"/>
  <c r="J1585" i="259"/>
  <c r="I1588" i="259"/>
  <c r="I298" i="261" s="1"/>
  <c r="H1588" i="259"/>
  <c r="H298" i="261" s="1"/>
  <c r="G1588" i="259"/>
  <c r="G298" i="261" s="1"/>
  <c r="F1585" i="259"/>
  <c r="E1588" i="259"/>
  <c r="E298" i="261" s="1"/>
  <c r="D1588" i="259"/>
  <c r="D298" i="261" s="1"/>
  <c r="E801" i="259"/>
  <c r="F801" i="259"/>
  <c r="G801" i="259"/>
  <c r="H801" i="259"/>
  <c r="I801" i="259"/>
  <c r="I801" i="275" s="1"/>
  <c r="J801" i="259"/>
  <c r="J801" i="275" s="1"/>
  <c r="K801" i="259"/>
  <c r="K801" i="275" s="1"/>
  <c r="L801" i="259"/>
  <c r="L801" i="275" s="1"/>
  <c r="M801" i="259"/>
  <c r="M801" i="275" s="1"/>
  <c r="N801" i="259"/>
  <c r="N801" i="275" s="1"/>
  <c r="O801" i="259"/>
  <c r="O801" i="275" s="1"/>
  <c r="P801" i="259"/>
  <c r="P801" i="275" s="1"/>
  <c r="Q801" i="259"/>
  <c r="Q801" i="275" s="1"/>
  <c r="R801" i="259"/>
  <c r="R801" i="275" s="1"/>
  <c r="S801" i="259"/>
  <c r="S801" i="275" s="1"/>
  <c r="T801" i="259"/>
  <c r="T801" i="275" s="1"/>
  <c r="U801" i="259"/>
  <c r="V801" i="259"/>
  <c r="W801" i="259"/>
  <c r="W801" i="275" s="1"/>
  <c r="X801" i="259"/>
  <c r="X801" i="275" s="1"/>
  <c r="AF801" i="275"/>
  <c r="AC801" i="259"/>
  <c r="AD801" i="259"/>
  <c r="AE801" i="259"/>
  <c r="D801" i="259"/>
  <c r="E18" i="259"/>
  <c r="F18" i="259"/>
  <c r="G18" i="259"/>
  <c r="H18" i="259"/>
  <c r="I18" i="259"/>
  <c r="I18" i="275" s="1"/>
  <c r="J18" i="259"/>
  <c r="J18" i="275" s="1"/>
  <c r="K18" i="259"/>
  <c r="K18" i="275" s="1"/>
  <c r="L18" i="259"/>
  <c r="L18" i="275" s="1"/>
  <c r="M18" i="259"/>
  <c r="M18" i="275" s="1"/>
  <c r="N18" i="259"/>
  <c r="N18" i="275" s="1"/>
  <c r="O18" i="259"/>
  <c r="O18" i="275" s="1"/>
  <c r="P18" i="259"/>
  <c r="P18" i="275" s="1"/>
  <c r="Q18" i="259"/>
  <c r="R18" i="259"/>
  <c r="R18" i="275" s="1"/>
  <c r="S18" i="259"/>
  <c r="S18" i="275" s="1"/>
  <c r="T18" i="259"/>
  <c r="T18" i="275" s="1"/>
  <c r="U18" i="259"/>
  <c r="V18" i="259"/>
  <c r="W18" i="259"/>
  <c r="W18" i="275" s="1"/>
  <c r="X18" i="259"/>
  <c r="X18" i="275" s="1"/>
  <c r="AF18" i="275"/>
  <c r="AC18" i="259"/>
  <c r="AG18" i="275" s="1"/>
  <c r="AD18" i="259"/>
  <c r="AE18" i="259"/>
  <c r="D18" i="259"/>
  <c r="W91" i="262"/>
  <c r="V91" i="262"/>
  <c r="U91" i="262"/>
  <c r="T91" i="262"/>
  <c r="S91" i="262"/>
  <c r="R91" i="262"/>
  <c r="Q91" i="262"/>
  <c r="P91" i="262"/>
  <c r="O91" i="262"/>
  <c r="N91" i="262"/>
  <c r="M91" i="262"/>
  <c r="L91" i="262"/>
  <c r="K91" i="262"/>
  <c r="J91" i="262"/>
  <c r="I91" i="262"/>
  <c r="H91" i="262"/>
  <c r="G91" i="262"/>
  <c r="F91" i="262"/>
  <c r="E91" i="262"/>
  <c r="BC82" i="262"/>
  <c r="BB82" i="262"/>
  <c r="BA82" i="262"/>
  <c r="AZ82" i="262"/>
  <c r="AE82" i="262"/>
  <c r="AD82" i="262"/>
  <c r="AC82" i="262"/>
  <c r="AB82" i="262"/>
  <c r="AA82" i="262"/>
  <c r="Z82" i="262"/>
  <c r="Y82" i="262"/>
  <c r="X82" i="262"/>
  <c r="W82" i="262"/>
  <c r="V82" i="262"/>
  <c r="U82" i="262"/>
  <c r="T82" i="262"/>
  <c r="S82" i="262"/>
  <c r="R82" i="262"/>
  <c r="Q82" i="262"/>
  <c r="P82" i="262"/>
  <c r="O82" i="262"/>
  <c r="N82" i="262"/>
  <c r="M82" i="262"/>
  <c r="L82" i="262"/>
  <c r="K82" i="262"/>
  <c r="J82" i="262"/>
  <c r="I82" i="262"/>
  <c r="H82" i="262"/>
  <c r="G82" i="262"/>
  <c r="F82" i="262"/>
  <c r="E82" i="262"/>
  <c r="BC81" i="262"/>
  <c r="BB81" i="262"/>
  <c r="BA81" i="262"/>
  <c r="AZ81" i="262"/>
  <c r="AE81" i="262"/>
  <c r="AD81" i="262"/>
  <c r="AC81" i="262"/>
  <c r="AB81" i="262"/>
  <c r="AA81" i="262"/>
  <c r="Z81" i="262"/>
  <c r="Y81" i="262"/>
  <c r="X81" i="262"/>
  <c r="W81" i="262"/>
  <c r="V81" i="262"/>
  <c r="U81" i="262"/>
  <c r="T81" i="262"/>
  <c r="S81" i="262"/>
  <c r="R81" i="262"/>
  <c r="Q81" i="262"/>
  <c r="P81" i="262"/>
  <c r="O81" i="262"/>
  <c r="N81" i="262"/>
  <c r="M81" i="262"/>
  <c r="L81" i="262"/>
  <c r="K81" i="262"/>
  <c r="J81" i="262"/>
  <c r="I81" i="262"/>
  <c r="H81" i="262"/>
  <c r="G81" i="262"/>
  <c r="F81" i="262"/>
  <c r="E81" i="262"/>
  <c r="D91" i="262"/>
  <c r="F230" i="262"/>
  <c r="E230" i="262"/>
  <c r="W229" i="262"/>
  <c r="V229" i="262"/>
  <c r="U229" i="262"/>
  <c r="T229" i="262"/>
  <c r="S229" i="262"/>
  <c r="R229" i="262"/>
  <c r="Q229" i="262"/>
  <c r="P229" i="262"/>
  <c r="O229" i="262"/>
  <c r="N229" i="262"/>
  <c r="M229" i="262"/>
  <c r="L229" i="262"/>
  <c r="K229" i="262"/>
  <c r="J229" i="262"/>
  <c r="I229" i="262"/>
  <c r="H229" i="262"/>
  <c r="G229" i="262"/>
  <c r="F229" i="262"/>
  <c r="E229" i="262"/>
  <c r="W123" i="262"/>
  <c r="V123" i="262"/>
  <c r="U123" i="262"/>
  <c r="T123" i="262"/>
  <c r="S123" i="262"/>
  <c r="R123" i="262"/>
  <c r="Q123" i="262"/>
  <c r="P123" i="262"/>
  <c r="O123" i="262"/>
  <c r="N123" i="262"/>
  <c r="M123" i="262"/>
  <c r="L123" i="262"/>
  <c r="K123" i="262"/>
  <c r="J123" i="262"/>
  <c r="I123" i="262"/>
  <c r="H123" i="262"/>
  <c r="G123" i="262"/>
  <c r="F123" i="262"/>
  <c r="E123" i="262"/>
  <c r="W117" i="262"/>
  <c r="V117" i="262"/>
  <c r="U117" i="262"/>
  <c r="T117" i="262"/>
  <c r="S117" i="262"/>
  <c r="R117" i="262"/>
  <c r="Q117" i="262"/>
  <c r="P117" i="262"/>
  <c r="O117" i="262"/>
  <c r="N117" i="262"/>
  <c r="M117" i="262"/>
  <c r="L117" i="262"/>
  <c r="K117" i="262"/>
  <c r="J117" i="262"/>
  <c r="I117" i="262"/>
  <c r="H117" i="262"/>
  <c r="G117" i="262"/>
  <c r="F117" i="262"/>
  <c r="E117" i="262"/>
  <c r="W41" i="262"/>
  <c r="V41" i="262"/>
  <c r="U41" i="262"/>
  <c r="T41" i="262"/>
  <c r="S41" i="262"/>
  <c r="R41" i="262"/>
  <c r="Q41" i="262"/>
  <c r="P41" i="262"/>
  <c r="O41" i="262"/>
  <c r="N41" i="262"/>
  <c r="M41" i="262"/>
  <c r="L41" i="262"/>
  <c r="K41" i="262"/>
  <c r="J41" i="262"/>
  <c r="I41" i="262"/>
  <c r="H41" i="262"/>
  <c r="G41" i="262"/>
  <c r="F41" i="262"/>
  <c r="E41" i="262"/>
  <c r="W34" i="262"/>
  <c r="V34" i="262"/>
  <c r="U34" i="262"/>
  <c r="T34" i="262"/>
  <c r="S34" i="262"/>
  <c r="R34" i="262"/>
  <c r="Q34" i="262"/>
  <c r="P34" i="262"/>
  <c r="O34" i="262"/>
  <c r="N34" i="262"/>
  <c r="M34" i="262"/>
  <c r="L34" i="262"/>
  <c r="K34" i="262"/>
  <c r="J34" i="262"/>
  <c r="I34" i="262"/>
  <c r="H34" i="262"/>
  <c r="G34" i="262"/>
  <c r="F34" i="262"/>
  <c r="E34" i="262"/>
  <c r="W29" i="262"/>
  <c r="V29" i="262"/>
  <c r="U29" i="262"/>
  <c r="T29" i="262"/>
  <c r="S29" i="262"/>
  <c r="R29" i="262"/>
  <c r="Q29" i="262"/>
  <c r="P29" i="262"/>
  <c r="O29" i="262"/>
  <c r="N29" i="262"/>
  <c r="M29" i="262"/>
  <c r="L29" i="262"/>
  <c r="K29" i="262"/>
  <c r="J29" i="262"/>
  <c r="I29" i="262"/>
  <c r="H29" i="262"/>
  <c r="G29" i="262"/>
  <c r="F29" i="262"/>
  <c r="E29" i="262"/>
  <c r="D82" i="262"/>
  <c r="D81" i="262"/>
  <c r="D230" i="262"/>
  <c r="D229" i="262"/>
  <c r="D123" i="262"/>
  <c r="D117" i="262"/>
  <c r="D41" i="262"/>
  <c r="D34" i="262"/>
  <c r="D29" i="262"/>
  <c r="D10" i="262"/>
  <c r="D9" i="262"/>
  <c r="D8" i="262"/>
  <c r="AU2" i="262"/>
  <c r="BC2" i="262"/>
  <c r="BB2" i="262"/>
  <c r="BA2" i="262"/>
  <c r="AZ2" i="262"/>
  <c r="AE2" i="262"/>
  <c r="AD2" i="262"/>
  <c r="AC2" i="262"/>
  <c r="AB2" i="262"/>
  <c r="AA2" i="262"/>
  <c r="Z2" i="262"/>
  <c r="Y2" i="262"/>
  <c r="X2" i="262"/>
  <c r="W2" i="262"/>
  <c r="V2" i="262"/>
  <c r="U2" i="262"/>
  <c r="T2" i="262"/>
  <c r="S2" i="262"/>
  <c r="R2" i="262"/>
  <c r="Q2" i="262"/>
  <c r="P2" i="262"/>
  <c r="O2" i="262"/>
  <c r="N2" i="262"/>
  <c r="M2" i="262"/>
  <c r="L2" i="262"/>
  <c r="K2" i="262"/>
  <c r="J2" i="262"/>
  <c r="I2" i="262"/>
  <c r="H2" i="262"/>
  <c r="G2" i="262"/>
  <c r="F2" i="262"/>
  <c r="E2" i="262"/>
  <c r="D2" i="262"/>
  <c r="AY1581" i="259"/>
  <c r="AY274" i="262" s="1"/>
  <c r="AX1581" i="259"/>
  <c r="AX274" i="262" s="1"/>
  <c r="AW1581" i="259"/>
  <c r="AW274" i="262" s="1"/>
  <c r="AV1581" i="259"/>
  <c r="AV274" i="262" s="1"/>
  <c r="AU1581" i="259"/>
  <c r="AU274" i="262" s="1"/>
  <c r="E1582" i="259"/>
  <c r="E297" i="261" s="1"/>
  <c r="F1582" i="259"/>
  <c r="F297" i="261" s="1"/>
  <c r="G1582" i="259"/>
  <c r="G297" i="261" s="1"/>
  <c r="H1582" i="259"/>
  <c r="H297" i="261" s="1"/>
  <c r="I1582" i="259"/>
  <c r="I297" i="261" s="1"/>
  <c r="J1582" i="259"/>
  <c r="J297" i="261" s="1"/>
  <c r="K1582" i="259"/>
  <c r="K297" i="261" s="1"/>
  <c r="L1582" i="259"/>
  <c r="L297" i="261" s="1"/>
  <c r="M1582" i="259"/>
  <c r="M297" i="261" s="1"/>
  <c r="N1582" i="259"/>
  <c r="N297" i="261" s="1"/>
  <c r="O1582" i="259"/>
  <c r="O297" i="261" s="1"/>
  <c r="P1582" i="259"/>
  <c r="P297" i="261" s="1"/>
  <c r="Q1582" i="259"/>
  <c r="Q297" i="261" s="1"/>
  <c r="R1582" i="259"/>
  <c r="R297" i="261" s="1"/>
  <c r="S1582" i="259"/>
  <c r="S297" i="261" s="1"/>
  <c r="T1582" i="259"/>
  <c r="T297" i="261" s="1"/>
  <c r="U1582" i="259"/>
  <c r="U297" i="261" s="1"/>
  <c r="V1582" i="259"/>
  <c r="V297" i="261" s="1"/>
  <c r="W1582" i="259"/>
  <c r="W297" i="261" s="1"/>
  <c r="D1582" i="259"/>
  <c r="D297" i="261" s="1"/>
  <c r="AY1403" i="259"/>
  <c r="AX1403" i="259"/>
  <c r="AX223" i="262" s="1"/>
  <c r="AW1403" i="259"/>
  <c r="AW223" i="262" s="1"/>
  <c r="AV1403" i="259"/>
  <c r="AV223" i="262" s="1"/>
  <c r="AU1403" i="259"/>
  <c r="AU223" i="262" s="1"/>
  <c r="J1404" i="259"/>
  <c r="K1404" i="259"/>
  <c r="L1404" i="259"/>
  <c r="M1404" i="259"/>
  <c r="N1404" i="259"/>
  <c r="O1404" i="259"/>
  <c r="P1404" i="259"/>
  <c r="Q1404" i="259"/>
  <c r="R1404" i="259"/>
  <c r="S1404" i="259"/>
  <c r="T1404" i="259"/>
  <c r="U1404" i="259"/>
  <c r="V1404" i="259"/>
  <c r="W1404" i="259"/>
  <c r="I1404" i="259"/>
  <c r="J1405" i="259"/>
  <c r="J322" i="261" s="1"/>
  <c r="K1405" i="259"/>
  <c r="K322" i="261" s="1"/>
  <c r="L1405" i="259"/>
  <c r="L322" i="261" s="1"/>
  <c r="M1405" i="259"/>
  <c r="M322" i="261" s="1"/>
  <c r="N1405" i="259"/>
  <c r="N322" i="261" s="1"/>
  <c r="O1405" i="259"/>
  <c r="O322" i="261" s="1"/>
  <c r="P1405" i="259"/>
  <c r="P322" i="261" s="1"/>
  <c r="Q1405" i="259"/>
  <c r="Q322" i="261" s="1"/>
  <c r="R1405" i="259"/>
  <c r="R322" i="261" s="1"/>
  <c r="S1405" i="259"/>
  <c r="S322" i="261" s="1"/>
  <c r="T1405" i="259"/>
  <c r="T322" i="261" s="1"/>
  <c r="U1405" i="259"/>
  <c r="U322" i="261" s="1"/>
  <c r="V1405" i="259"/>
  <c r="V322" i="261" s="1"/>
  <c r="W1405" i="259"/>
  <c r="W322" i="261" s="1"/>
  <c r="I1405" i="259"/>
  <c r="I322" i="261" s="1"/>
  <c r="X41" i="262"/>
  <c r="I98" i="261"/>
  <c r="J98" i="261"/>
  <c r="K98" i="261"/>
  <c r="L98" i="261"/>
  <c r="M98" i="261"/>
  <c r="N98" i="261"/>
  <c r="O98" i="261"/>
  <c r="P98" i="261"/>
  <c r="Q98" i="261"/>
  <c r="R98" i="261"/>
  <c r="S98" i="261"/>
  <c r="T98" i="261"/>
  <c r="U98" i="261"/>
  <c r="V98" i="261"/>
  <c r="W98" i="261"/>
  <c r="H98" i="261"/>
  <c r="I95" i="261"/>
  <c r="J95" i="261"/>
  <c r="K95" i="261"/>
  <c r="L95" i="261"/>
  <c r="M95" i="261"/>
  <c r="N95" i="261"/>
  <c r="O95" i="261"/>
  <c r="P95" i="261"/>
  <c r="Q95" i="261"/>
  <c r="R95" i="261"/>
  <c r="S95" i="261"/>
  <c r="T95" i="261"/>
  <c r="U95" i="261"/>
  <c r="V95" i="261"/>
  <c r="W95" i="261"/>
  <c r="H95" i="261"/>
  <c r="X69" i="262"/>
  <c r="AF243" i="259"/>
  <c r="I90" i="261"/>
  <c r="J90" i="261"/>
  <c r="K90" i="261"/>
  <c r="L90" i="261"/>
  <c r="M90" i="261"/>
  <c r="N90" i="261"/>
  <c r="O90" i="261"/>
  <c r="P90" i="261"/>
  <c r="Q90" i="261"/>
  <c r="R90" i="261"/>
  <c r="S90" i="261"/>
  <c r="T90" i="261"/>
  <c r="U90" i="261"/>
  <c r="V90" i="261"/>
  <c r="W90" i="261"/>
  <c r="I91" i="261"/>
  <c r="J91" i="261"/>
  <c r="K91" i="261"/>
  <c r="L91" i="261"/>
  <c r="M91" i="261"/>
  <c r="N91" i="261"/>
  <c r="O91" i="261"/>
  <c r="P91" i="261"/>
  <c r="Q91" i="261"/>
  <c r="R91" i="261"/>
  <c r="S91" i="261"/>
  <c r="T91" i="261"/>
  <c r="U91" i="261"/>
  <c r="V91" i="261"/>
  <c r="W91" i="261"/>
  <c r="H91" i="261"/>
  <c r="H90" i="261"/>
  <c r="E957" i="259"/>
  <c r="Y107" i="262"/>
  <c r="AC16" i="259"/>
  <c r="AG16" i="275" s="1"/>
  <c r="AD16" i="259"/>
  <c r="AH16" i="275" s="1"/>
  <c r="AE16" i="259"/>
  <c r="AI16" i="275" s="1"/>
  <c r="D289" i="261"/>
  <c r="E289" i="261"/>
  <c r="F289" i="261"/>
  <c r="G289" i="261"/>
  <c r="H289" i="261"/>
  <c r="I289" i="261"/>
  <c r="J289" i="261"/>
  <c r="K289" i="261"/>
  <c r="L289" i="261"/>
  <c r="M289" i="261"/>
  <c r="N289" i="261"/>
  <c r="O289" i="261"/>
  <c r="P289" i="261"/>
  <c r="Q289" i="261"/>
  <c r="R289" i="261"/>
  <c r="S289" i="261"/>
  <c r="T289" i="261"/>
  <c r="U289" i="261"/>
  <c r="V289" i="261"/>
  <c r="W289" i="261"/>
  <c r="P30" i="272"/>
  <c r="AC11" i="259"/>
  <c r="AD11" i="259"/>
  <c r="AE11" i="259"/>
  <c r="D290" i="261"/>
  <c r="E290" i="261"/>
  <c r="F290" i="261"/>
  <c r="G290" i="261"/>
  <c r="H290" i="261"/>
  <c r="I290" i="261"/>
  <c r="J290" i="261"/>
  <c r="K290" i="261"/>
  <c r="L290" i="261"/>
  <c r="M290" i="261"/>
  <c r="N290" i="261"/>
  <c r="O290" i="261"/>
  <c r="P290" i="261"/>
  <c r="Q290" i="261"/>
  <c r="R290" i="261"/>
  <c r="S290" i="261"/>
  <c r="T290" i="261"/>
  <c r="U290" i="261"/>
  <c r="V290" i="261"/>
  <c r="W290" i="261"/>
  <c r="E39" i="259"/>
  <c r="F39" i="259"/>
  <c r="G39" i="259"/>
  <c r="H39" i="259"/>
  <c r="I39" i="259"/>
  <c r="I39" i="275" s="1"/>
  <c r="J39" i="259"/>
  <c r="J39" i="275" s="1"/>
  <c r="K39" i="259"/>
  <c r="K39" i="275" s="1"/>
  <c r="L39" i="259"/>
  <c r="L39" i="275" s="1"/>
  <c r="M39" i="259"/>
  <c r="M39" i="275" s="1"/>
  <c r="N39" i="259"/>
  <c r="N39" i="275" s="1"/>
  <c r="O39" i="259"/>
  <c r="O39" i="275" s="1"/>
  <c r="P39" i="259"/>
  <c r="P39" i="275" s="1"/>
  <c r="Q39" i="259"/>
  <c r="Q39" i="275" s="1"/>
  <c r="R39" i="259"/>
  <c r="R39" i="275" s="1"/>
  <c r="S39" i="259"/>
  <c r="S39" i="275" s="1"/>
  <c r="T39" i="259"/>
  <c r="T39" i="275" s="1"/>
  <c r="U39" i="259"/>
  <c r="V39" i="259"/>
  <c r="W39" i="259"/>
  <c r="W39" i="275" s="1"/>
  <c r="E41" i="259"/>
  <c r="F41" i="259"/>
  <c r="G41" i="259"/>
  <c r="H41" i="259"/>
  <c r="I41" i="259"/>
  <c r="I41" i="275" s="1"/>
  <c r="J41" i="259"/>
  <c r="J41" i="275" s="1"/>
  <c r="K41" i="259"/>
  <c r="K41" i="275" s="1"/>
  <c r="L41" i="259"/>
  <c r="L41" i="275" s="1"/>
  <c r="M41" i="259"/>
  <c r="M41" i="275" s="1"/>
  <c r="N41" i="259"/>
  <c r="N41" i="275" s="1"/>
  <c r="O41" i="259"/>
  <c r="O41" i="275" s="1"/>
  <c r="P41" i="259"/>
  <c r="P41" i="275" s="1"/>
  <c r="Q41" i="259"/>
  <c r="Q41" i="275" s="1"/>
  <c r="R41" i="259"/>
  <c r="R41" i="275" s="1"/>
  <c r="S41" i="259"/>
  <c r="S41" i="275" s="1"/>
  <c r="T41" i="259"/>
  <c r="U41" i="259"/>
  <c r="V41" i="259"/>
  <c r="W41" i="259"/>
  <c r="D41" i="259"/>
  <c r="D39" i="259"/>
  <c r="AC263" i="259"/>
  <c r="AD263" i="259"/>
  <c r="AE263" i="259"/>
  <c r="W269" i="261"/>
  <c r="V269" i="261"/>
  <c r="U269" i="261"/>
  <c r="T269" i="261"/>
  <c r="S269" i="261"/>
  <c r="R269" i="261"/>
  <c r="Q269" i="261"/>
  <c r="P269" i="261"/>
  <c r="O269" i="261"/>
  <c r="N269" i="261"/>
  <c r="M269" i="261"/>
  <c r="L269" i="261"/>
  <c r="K269" i="261"/>
  <c r="J269" i="261"/>
  <c r="I269" i="261"/>
  <c r="H269" i="261"/>
  <c r="G269" i="261"/>
  <c r="E269" i="261"/>
  <c r="W268" i="261"/>
  <c r="V268" i="261"/>
  <c r="U268" i="261"/>
  <c r="T268" i="261"/>
  <c r="S268" i="261"/>
  <c r="R268" i="261"/>
  <c r="Q268" i="261"/>
  <c r="P268" i="261"/>
  <c r="O268" i="261"/>
  <c r="N268" i="261"/>
  <c r="M268" i="261"/>
  <c r="L268" i="261"/>
  <c r="K268" i="261"/>
  <c r="J268" i="261"/>
  <c r="I268" i="261"/>
  <c r="H268" i="261"/>
  <c r="G268" i="261"/>
  <c r="F268" i="261"/>
  <c r="E268" i="261"/>
  <c r="W237" i="261"/>
  <c r="V237" i="261"/>
  <c r="U237" i="261"/>
  <c r="T237" i="261"/>
  <c r="S237" i="261"/>
  <c r="R237" i="261"/>
  <c r="Q237" i="261"/>
  <c r="P237" i="261"/>
  <c r="O237" i="261"/>
  <c r="N237" i="261"/>
  <c r="M237" i="261"/>
  <c r="L237" i="261"/>
  <c r="K237" i="261"/>
  <c r="J237" i="261"/>
  <c r="I237" i="261"/>
  <c r="H237" i="261"/>
  <c r="G237" i="261"/>
  <c r="F237" i="261"/>
  <c r="E237" i="261"/>
  <c r="W235" i="261"/>
  <c r="V235" i="261"/>
  <c r="U235" i="261"/>
  <c r="T235" i="261"/>
  <c r="S235" i="261"/>
  <c r="R235" i="261"/>
  <c r="Q235" i="261"/>
  <c r="P235" i="261"/>
  <c r="O235" i="261"/>
  <c r="N235" i="261"/>
  <c r="M235" i="261"/>
  <c r="L235" i="261"/>
  <c r="K235" i="261"/>
  <c r="J235" i="261"/>
  <c r="I235" i="261"/>
  <c r="H235" i="261"/>
  <c r="G235" i="261"/>
  <c r="F235" i="261"/>
  <c r="E235" i="261"/>
  <c r="D200" i="261"/>
  <c r="D199" i="261"/>
  <c r="D198" i="261"/>
  <c r="W183" i="261"/>
  <c r="V183" i="261"/>
  <c r="U183" i="261"/>
  <c r="T183" i="261"/>
  <c r="S183" i="261"/>
  <c r="R183" i="261"/>
  <c r="Q183" i="261"/>
  <c r="P183" i="261"/>
  <c r="O183" i="261"/>
  <c r="N183" i="261"/>
  <c r="M183" i="261"/>
  <c r="L183" i="261"/>
  <c r="K183" i="261"/>
  <c r="J183" i="261"/>
  <c r="I183" i="261"/>
  <c r="H183" i="261"/>
  <c r="W182" i="261"/>
  <c r="V182" i="261"/>
  <c r="U182" i="261"/>
  <c r="T182" i="261"/>
  <c r="S182" i="261"/>
  <c r="R182" i="261"/>
  <c r="Q182" i="261"/>
  <c r="P182" i="261"/>
  <c r="O182" i="261"/>
  <c r="N182" i="261"/>
  <c r="M182" i="261"/>
  <c r="L182" i="261"/>
  <c r="K182" i="261"/>
  <c r="J182" i="261"/>
  <c r="I182" i="261"/>
  <c r="H182" i="261"/>
  <c r="W181" i="261"/>
  <c r="V181" i="261"/>
  <c r="U181" i="261"/>
  <c r="T181" i="261"/>
  <c r="S181" i="261"/>
  <c r="R181" i="261"/>
  <c r="Q181" i="261"/>
  <c r="P181" i="261"/>
  <c r="O181" i="261"/>
  <c r="N181" i="261"/>
  <c r="M181" i="261"/>
  <c r="L181" i="261"/>
  <c r="K181" i="261"/>
  <c r="J181" i="261"/>
  <c r="I181" i="261"/>
  <c r="H181" i="261"/>
  <c r="W180" i="261"/>
  <c r="V180" i="261"/>
  <c r="U180" i="261"/>
  <c r="T180" i="261"/>
  <c r="S180" i="261"/>
  <c r="R180" i="261"/>
  <c r="Q180" i="261"/>
  <c r="P180" i="261"/>
  <c r="O180" i="261"/>
  <c r="N180" i="261"/>
  <c r="M180" i="261"/>
  <c r="L180" i="261"/>
  <c r="K180" i="261"/>
  <c r="J180" i="261"/>
  <c r="I180" i="261"/>
  <c r="H180" i="261"/>
  <c r="W176" i="261"/>
  <c r="V176" i="261"/>
  <c r="U176" i="261"/>
  <c r="T176" i="261"/>
  <c r="S176" i="261"/>
  <c r="R176" i="261"/>
  <c r="Q176" i="261"/>
  <c r="P176" i="261"/>
  <c r="O176" i="261"/>
  <c r="N176" i="261"/>
  <c r="M176" i="261"/>
  <c r="L176" i="261"/>
  <c r="K176" i="261"/>
  <c r="J176" i="261"/>
  <c r="I176" i="261"/>
  <c r="H176" i="261"/>
  <c r="G176" i="261"/>
  <c r="F176" i="261"/>
  <c r="E176" i="261"/>
  <c r="W175" i="261"/>
  <c r="V175" i="261"/>
  <c r="U175" i="261"/>
  <c r="T175" i="261"/>
  <c r="S175" i="261"/>
  <c r="R175" i="261"/>
  <c r="Q175" i="261"/>
  <c r="P175" i="261"/>
  <c r="O175" i="261"/>
  <c r="N175" i="261"/>
  <c r="M175" i="261"/>
  <c r="L175" i="261"/>
  <c r="K175" i="261"/>
  <c r="J175" i="261"/>
  <c r="I175" i="261"/>
  <c r="H175" i="261"/>
  <c r="G175" i="261"/>
  <c r="F175" i="261"/>
  <c r="E175" i="261"/>
  <c r="W174" i="261"/>
  <c r="V174" i="261"/>
  <c r="U174" i="261"/>
  <c r="T174" i="261"/>
  <c r="S174" i="261"/>
  <c r="R174" i="261"/>
  <c r="Q174" i="261"/>
  <c r="P174" i="261"/>
  <c r="O174" i="261"/>
  <c r="N174" i="261"/>
  <c r="M174" i="261"/>
  <c r="L174" i="261"/>
  <c r="K174" i="261"/>
  <c r="J174" i="261"/>
  <c r="I174" i="261"/>
  <c r="H174" i="261"/>
  <c r="G174" i="261"/>
  <c r="F174" i="261"/>
  <c r="E174" i="261"/>
  <c r="W173" i="261"/>
  <c r="V173" i="261"/>
  <c r="U173" i="261"/>
  <c r="T173" i="261"/>
  <c r="S173" i="261"/>
  <c r="R173" i="261"/>
  <c r="Q173" i="261"/>
  <c r="P173" i="261"/>
  <c r="O173" i="261"/>
  <c r="N173" i="261"/>
  <c r="M173" i="261"/>
  <c r="L173" i="261"/>
  <c r="K173" i="261"/>
  <c r="J173" i="261"/>
  <c r="I173" i="261"/>
  <c r="H173" i="261"/>
  <c r="G173" i="261"/>
  <c r="F173" i="261"/>
  <c r="E173" i="261"/>
  <c r="W154" i="261"/>
  <c r="X39" i="262"/>
  <c r="V154" i="261"/>
  <c r="U154" i="261"/>
  <c r="T154" i="261"/>
  <c r="S154" i="261"/>
  <c r="R154" i="261"/>
  <c r="Q154" i="261"/>
  <c r="P154" i="261"/>
  <c r="O154" i="261"/>
  <c r="N154" i="261"/>
  <c r="M154" i="261"/>
  <c r="L154" i="261"/>
  <c r="K154" i="261"/>
  <c r="J154" i="261"/>
  <c r="I154" i="261"/>
  <c r="H154" i="261"/>
  <c r="G154" i="261"/>
  <c r="F154" i="261"/>
  <c r="E154" i="261"/>
  <c r="W153" i="261"/>
  <c r="V153" i="261"/>
  <c r="U153" i="261"/>
  <c r="T153" i="261"/>
  <c r="S153" i="261"/>
  <c r="R153" i="261"/>
  <c r="Q153" i="261"/>
  <c r="P153" i="261"/>
  <c r="O153" i="261"/>
  <c r="N153" i="261"/>
  <c r="M153" i="261"/>
  <c r="L153" i="261"/>
  <c r="K153" i="261"/>
  <c r="J153" i="261"/>
  <c r="I153" i="261"/>
  <c r="H153" i="261"/>
  <c r="G153" i="261"/>
  <c r="F153" i="261"/>
  <c r="E153" i="261"/>
  <c r="D153" i="261"/>
  <c r="W103" i="261"/>
  <c r="V103" i="261"/>
  <c r="U103" i="261"/>
  <c r="T103" i="261"/>
  <c r="S103" i="261"/>
  <c r="R103" i="261"/>
  <c r="Q103" i="261"/>
  <c r="P103" i="261"/>
  <c r="O103" i="261"/>
  <c r="N103" i="261"/>
  <c r="M103" i="261"/>
  <c r="L103" i="261"/>
  <c r="K103" i="261"/>
  <c r="J103" i="261"/>
  <c r="I103" i="261"/>
  <c r="H103" i="261"/>
  <c r="G103" i="261"/>
  <c r="F103" i="261"/>
  <c r="E103" i="261"/>
  <c r="D103" i="261"/>
  <c r="BD200" i="259"/>
  <c r="BE200" i="275" s="1"/>
  <c r="BC200" i="259"/>
  <c r="AE200" i="259"/>
  <c r="AI200" i="275" s="1"/>
  <c r="AD200" i="259"/>
  <c r="AH200" i="275" s="1"/>
  <c r="W200" i="259"/>
  <c r="AA200" i="275" s="1"/>
  <c r="U200" i="259"/>
  <c r="T200" i="259"/>
  <c r="S200" i="259"/>
  <c r="R200" i="259"/>
  <c r="Q200" i="259"/>
  <c r="P200" i="259"/>
  <c r="O200" i="259"/>
  <c r="N200" i="259"/>
  <c r="M200" i="259"/>
  <c r="L200" i="259"/>
  <c r="K200" i="259"/>
  <c r="J200" i="259"/>
  <c r="I200" i="259"/>
  <c r="H200" i="259"/>
  <c r="G200" i="259"/>
  <c r="G201" i="259" s="1"/>
  <c r="F200" i="259"/>
  <c r="F201" i="259" s="1"/>
  <c r="E200" i="259"/>
  <c r="E201" i="259" s="1"/>
  <c r="D200" i="259"/>
  <c r="W57" i="261"/>
  <c r="V57" i="261"/>
  <c r="U57" i="261"/>
  <c r="T57" i="261"/>
  <c r="S57" i="261"/>
  <c r="R57" i="261"/>
  <c r="Q57" i="261"/>
  <c r="P57" i="261"/>
  <c r="O57" i="261"/>
  <c r="N57" i="261"/>
  <c r="M57" i="261"/>
  <c r="L57" i="261"/>
  <c r="K57" i="261"/>
  <c r="J57" i="261"/>
  <c r="I57" i="261"/>
  <c r="H57" i="261"/>
  <c r="G57" i="261"/>
  <c r="F57" i="261"/>
  <c r="E57" i="261"/>
  <c r="W55" i="261"/>
  <c r="V55" i="261"/>
  <c r="U55" i="261"/>
  <c r="T55" i="261"/>
  <c r="S55" i="261"/>
  <c r="R55" i="261"/>
  <c r="Q55" i="261"/>
  <c r="P55" i="261"/>
  <c r="O55" i="261"/>
  <c r="N55" i="261"/>
  <c r="M55" i="261"/>
  <c r="L55" i="261"/>
  <c r="K55" i="261"/>
  <c r="J55" i="261"/>
  <c r="I55" i="261"/>
  <c r="H55" i="261"/>
  <c r="G55" i="261"/>
  <c r="F55" i="261"/>
  <c r="E55" i="261"/>
  <c r="W54" i="261"/>
  <c r="V54" i="261"/>
  <c r="U54" i="261"/>
  <c r="T54" i="261"/>
  <c r="S54" i="261"/>
  <c r="R54" i="261"/>
  <c r="Q54" i="261"/>
  <c r="P54" i="261"/>
  <c r="O54" i="261"/>
  <c r="N54" i="261"/>
  <c r="M54" i="261"/>
  <c r="L54" i="261"/>
  <c r="K54" i="261"/>
  <c r="J54" i="261"/>
  <c r="I54" i="261"/>
  <c r="H54" i="261"/>
  <c r="G54" i="261"/>
  <c r="F54" i="261"/>
  <c r="E54" i="261"/>
  <c r="W49" i="261"/>
  <c r="V49" i="261"/>
  <c r="U49" i="261"/>
  <c r="T49" i="261"/>
  <c r="S49" i="261"/>
  <c r="R49" i="261"/>
  <c r="Q49" i="261"/>
  <c r="P49" i="261"/>
  <c r="O49" i="261"/>
  <c r="N49" i="261"/>
  <c r="M49" i="261"/>
  <c r="L49" i="261"/>
  <c r="K49" i="261"/>
  <c r="J49" i="261"/>
  <c r="I49" i="261"/>
  <c r="H49" i="261"/>
  <c r="G49" i="261"/>
  <c r="F49" i="261"/>
  <c r="E49" i="261"/>
  <c r="W47" i="261"/>
  <c r="V47" i="261"/>
  <c r="U47" i="261"/>
  <c r="T47" i="261"/>
  <c r="S47" i="261"/>
  <c r="R47" i="261"/>
  <c r="Q47" i="261"/>
  <c r="P47" i="261"/>
  <c r="O47" i="261"/>
  <c r="N47" i="261"/>
  <c r="M47" i="261"/>
  <c r="L47" i="261"/>
  <c r="K47" i="261"/>
  <c r="J47" i="261"/>
  <c r="I47" i="261"/>
  <c r="H47" i="261"/>
  <c r="G47" i="261"/>
  <c r="F47" i="261"/>
  <c r="E47" i="261"/>
  <c r="W46" i="261"/>
  <c r="V46" i="261"/>
  <c r="U46" i="261"/>
  <c r="T46" i="261"/>
  <c r="S46" i="261"/>
  <c r="R46" i="261"/>
  <c r="Q46" i="261"/>
  <c r="P46" i="261"/>
  <c r="O46" i="261"/>
  <c r="N46" i="261"/>
  <c r="M46" i="261"/>
  <c r="L46" i="261"/>
  <c r="K46" i="261"/>
  <c r="J46" i="261"/>
  <c r="I46" i="261"/>
  <c r="H46" i="261"/>
  <c r="G46" i="261"/>
  <c r="F46" i="261"/>
  <c r="E46" i="261"/>
  <c r="W40" i="261"/>
  <c r="V40" i="261"/>
  <c r="U40" i="261"/>
  <c r="T40" i="261"/>
  <c r="S40" i="261"/>
  <c r="R40" i="261"/>
  <c r="Q40" i="261"/>
  <c r="P40" i="261"/>
  <c r="O40" i="261"/>
  <c r="N40" i="261"/>
  <c r="M40" i="261"/>
  <c r="L40" i="261"/>
  <c r="K40" i="261"/>
  <c r="J40" i="261"/>
  <c r="I40" i="261"/>
  <c r="H40" i="261"/>
  <c r="G40" i="261"/>
  <c r="F40" i="261"/>
  <c r="E40" i="261"/>
  <c r="W39" i="261"/>
  <c r="V39" i="261"/>
  <c r="U39" i="261"/>
  <c r="T39" i="261"/>
  <c r="S39" i="261"/>
  <c r="R39" i="261"/>
  <c r="Q39" i="261"/>
  <c r="P39" i="261"/>
  <c r="O39" i="261"/>
  <c r="N39" i="261"/>
  <c r="M39" i="261"/>
  <c r="L39" i="261"/>
  <c r="K39" i="261"/>
  <c r="J39" i="261"/>
  <c r="I39" i="261"/>
  <c r="H39" i="261"/>
  <c r="G39" i="261"/>
  <c r="F39" i="261"/>
  <c r="E39" i="261"/>
  <c r="W37" i="261"/>
  <c r="V37" i="261"/>
  <c r="U37" i="261"/>
  <c r="T37" i="261"/>
  <c r="S37" i="261"/>
  <c r="R37" i="261"/>
  <c r="Q37" i="261"/>
  <c r="P37" i="261"/>
  <c r="O37" i="261"/>
  <c r="N37" i="261"/>
  <c r="M37" i="261"/>
  <c r="L37" i="261"/>
  <c r="K37" i="261"/>
  <c r="J37" i="261"/>
  <c r="I37" i="261"/>
  <c r="H37" i="261"/>
  <c r="G37" i="261"/>
  <c r="F37" i="261"/>
  <c r="E37" i="261"/>
  <c r="W36" i="261"/>
  <c r="V36" i="261"/>
  <c r="U36" i="261"/>
  <c r="T36" i="261"/>
  <c r="S36" i="261"/>
  <c r="R36" i="261"/>
  <c r="Q36" i="261"/>
  <c r="P36" i="261"/>
  <c r="O36" i="261"/>
  <c r="N36" i="261"/>
  <c r="M36" i="261"/>
  <c r="L36" i="261"/>
  <c r="K36" i="261"/>
  <c r="J36" i="261"/>
  <c r="I36" i="261"/>
  <c r="H36" i="261"/>
  <c r="G36" i="261"/>
  <c r="F36" i="261"/>
  <c r="E36" i="261"/>
  <c r="W18" i="261"/>
  <c r="V18" i="261"/>
  <c r="U18" i="261"/>
  <c r="T18" i="261"/>
  <c r="S18" i="261"/>
  <c r="R18" i="261"/>
  <c r="Q18" i="261"/>
  <c r="P18" i="261"/>
  <c r="O18" i="261"/>
  <c r="N18" i="261"/>
  <c r="M18" i="261"/>
  <c r="L18" i="261"/>
  <c r="K18" i="261"/>
  <c r="J18" i="261"/>
  <c r="I18" i="261"/>
  <c r="H18" i="261"/>
  <c r="G18" i="261"/>
  <c r="F18" i="261"/>
  <c r="E18" i="261"/>
  <c r="D18" i="261"/>
  <c r="W17" i="261"/>
  <c r="V17" i="261"/>
  <c r="U17" i="261"/>
  <c r="T17" i="261"/>
  <c r="S17" i="261"/>
  <c r="R17" i="261"/>
  <c r="Q17" i="261"/>
  <c r="P17" i="261"/>
  <c r="O17" i="261"/>
  <c r="N17" i="261"/>
  <c r="M17" i="261"/>
  <c r="L17" i="261"/>
  <c r="K17" i="261"/>
  <c r="J17" i="261"/>
  <c r="I17" i="261"/>
  <c r="H17" i="261"/>
  <c r="G17" i="261"/>
  <c r="F17" i="261"/>
  <c r="E17" i="261"/>
  <c r="D17" i="261"/>
  <c r="W14" i="261"/>
  <c r="V14" i="261"/>
  <c r="U14" i="261"/>
  <c r="T14" i="261"/>
  <c r="S14" i="261"/>
  <c r="R14" i="261"/>
  <c r="Q14" i="261"/>
  <c r="P14" i="261"/>
  <c r="O14" i="261"/>
  <c r="N14" i="261"/>
  <c r="M14" i="261"/>
  <c r="L14" i="261"/>
  <c r="K14" i="261"/>
  <c r="J14" i="261"/>
  <c r="I14" i="261"/>
  <c r="H14" i="261"/>
  <c r="G14" i="261"/>
  <c r="F14" i="261"/>
  <c r="E14" i="261"/>
  <c r="D14" i="261"/>
  <c r="W13" i="261"/>
  <c r="V13" i="261"/>
  <c r="U13" i="261"/>
  <c r="T13" i="261"/>
  <c r="S13" i="261"/>
  <c r="R13" i="261"/>
  <c r="Q13" i="261"/>
  <c r="P13" i="261"/>
  <c r="O13" i="261"/>
  <c r="N13" i="261"/>
  <c r="M13" i="261"/>
  <c r="L13" i="261"/>
  <c r="K13" i="261"/>
  <c r="J13" i="261"/>
  <c r="I13" i="261"/>
  <c r="H13" i="261"/>
  <c r="G13" i="261"/>
  <c r="F13" i="261"/>
  <c r="E13" i="261"/>
  <c r="D13" i="261"/>
  <c r="W10" i="261"/>
  <c r="V10" i="261"/>
  <c r="U10" i="261"/>
  <c r="T10" i="261"/>
  <c r="S10" i="261"/>
  <c r="R10" i="261"/>
  <c r="Q10" i="261"/>
  <c r="P10" i="261"/>
  <c r="O10" i="261"/>
  <c r="N10" i="261"/>
  <c r="M10" i="261"/>
  <c r="L10" i="261"/>
  <c r="K10" i="261"/>
  <c r="J10" i="261"/>
  <c r="I10" i="261"/>
  <c r="H10" i="261"/>
  <c r="G10" i="261"/>
  <c r="F10" i="261"/>
  <c r="E10" i="261"/>
  <c r="D10" i="261"/>
  <c r="W9" i="261"/>
  <c r="V9" i="261"/>
  <c r="U9" i="261"/>
  <c r="T9" i="261"/>
  <c r="S9" i="261"/>
  <c r="R9" i="261"/>
  <c r="Q9" i="261"/>
  <c r="P9" i="261"/>
  <c r="O9" i="261"/>
  <c r="N9" i="261"/>
  <c r="M9" i="261"/>
  <c r="L9" i="261"/>
  <c r="K9" i="261"/>
  <c r="J9" i="261"/>
  <c r="I9" i="261"/>
  <c r="H9" i="261"/>
  <c r="G9" i="261"/>
  <c r="F9" i="261"/>
  <c r="E9" i="261"/>
  <c r="D9" i="261"/>
  <c r="W8" i="261"/>
  <c r="V8" i="261"/>
  <c r="U8" i="261"/>
  <c r="T8" i="261"/>
  <c r="S8" i="261"/>
  <c r="R8" i="261"/>
  <c r="Q8" i="261"/>
  <c r="P8" i="261"/>
  <c r="O8" i="261"/>
  <c r="N8" i="261"/>
  <c r="M8" i="261"/>
  <c r="L8" i="261"/>
  <c r="K8" i="261"/>
  <c r="J8" i="261"/>
  <c r="I8" i="261"/>
  <c r="H8" i="261"/>
  <c r="G8" i="261"/>
  <c r="F8" i="261"/>
  <c r="E8" i="261"/>
  <c r="D8" i="261"/>
  <c r="D250" i="261"/>
  <c r="AU23" i="259"/>
  <c r="AV23" i="259"/>
  <c r="AV23" i="275" s="1"/>
  <c r="AW23" i="259"/>
  <c r="AX23" i="259"/>
  <c r="AY23" i="259"/>
  <c r="AY755" i="259"/>
  <c r="AX755" i="259"/>
  <c r="AW755" i="259"/>
  <c r="AW755" i="275" s="1"/>
  <c r="AV755" i="259"/>
  <c r="AU755" i="259"/>
  <c r="E174" i="259"/>
  <c r="E178" i="259" s="1"/>
  <c r="F174" i="259"/>
  <c r="F430" i="259" s="1"/>
  <c r="G174" i="259"/>
  <c r="G178" i="259" s="1"/>
  <c r="H174" i="259"/>
  <c r="I174" i="259"/>
  <c r="J174" i="259"/>
  <c r="K174" i="259"/>
  <c r="L174" i="259"/>
  <c r="M174" i="259"/>
  <c r="M174" i="275" s="1"/>
  <c r="N174" i="259"/>
  <c r="O174" i="259"/>
  <c r="P174" i="259"/>
  <c r="Q174" i="259"/>
  <c r="R174" i="259"/>
  <c r="S174" i="259"/>
  <c r="T174" i="259"/>
  <c r="U174" i="259"/>
  <c r="V174" i="259"/>
  <c r="V430" i="259" s="1"/>
  <c r="W174" i="259"/>
  <c r="D174" i="259"/>
  <c r="D430" i="259" s="1"/>
  <c r="BC1524" i="259"/>
  <c r="BD1524" i="259"/>
  <c r="BC1330" i="259"/>
  <c r="BC234" i="262" s="1"/>
  <c r="BD1330" i="259"/>
  <c r="BD234" i="262" s="1"/>
  <c r="BB234" i="262"/>
  <c r="BC641" i="259"/>
  <c r="BD641" i="259"/>
  <c r="BC557" i="275"/>
  <c r="BE557" i="275"/>
  <c r="BE547" i="275"/>
  <c r="BE537" i="275"/>
  <c r="BC478" i="259"/>
  <c r="BD478" i="259"/>
  <c r="BC488" i="259"/>
  <c r="BC488" i="275" s="1"/>
  <c r="BD488" i="259"/>
  <c r="AU314" i="259"/>
  <c r="AV314" i="259"/>
  <c r="AW314" i="259"/>
  <c r="AU1468" i="259"/>
  <c r="AU226" i="262" s="1"/>
  <c r="AY1467" i="259"/>
  <c r="AY225" i="262" s="1"/>
  <c r="AX1467" i="259"/>
  <c r="AX225" i="262" s="1"/>
  <c r="AW1467" i="259"/>
  <c r="AW225" i="262" s="1"/>
  <c r="AV1467" i="259"/>
  <c r="AV225" i="262" s="1"/>
  <c r="AU1467" i="259"/>
  <c r="AU225" i="262" s="1"/>
  <c r="AU1464" i="259"/>
  <c r="AV1464" i="259"/>
  <c r="AW1464" i="259"/>
  <c r="AX1464" i="259"/>
  <c r="AY1464" i="259"/>
  <c r="AU1465" i="259"/>
  <c r="AU1463" i="259"/>
  <c r="AY1388" i="259"/>
  <c r="AY1597" i="259" s="1"/>
  <c r="AX1388" i="259"/>
  <c r="AX1597" i="259" s="1"/>
  <c r="AW1388" i="259"/>
  <c r="AW1597" i="259" s="1"/>
  <c r="AV1388" i="259"/>
  <c r="AV1597" i="259" s="1"/>
  <c r="AU1388" i="259"/>
  <c r="AU1597" i="259" s="1"/>
  <c r="AU1384" i="259"/>
  <c r="AU1385" i="259"/>
  <c r="AU1386" i="259"/>
  <c r="AU1365" i="259"/>
  <c r="AV1365" i="259"/>
  <c r="AW1365" i="259"/>
  <c r="AX1365" i="259"/>
  <c r="AY1365" i="259"/>
  <c r="AU1366" i="259"/>
  <c r="AV1366" i="259"/>
  <c r="AW1366" i="259"/>
  <c r="AX1366" i="259"/>
  <c r="AY1366" i="259"/>
  <c r="AU1367" i="259"/>
  <c r="AV1367" i="259"/>
  <c r="AW1367" i="259"/>
  <c r="AX1367" i="259"/>
  <c r="AY1367" i="259"/>
  <c r="AU1368" i="259"/>
  <c r="AV1368" i="259"/>
  <c r="AW1368" i="259"/>
  <c r="AX1368" i="259"/>
  <c r="AY1368" i="259"/>
  <c r="AU1369" i="259"/>
  <c r="AU1441" i="259" s="1"/>
  <c r="AV1369" i="259"/>
  <c r="AV1441" i="259" s="1"/>
  <c r="AW1369" i="259"/>
  <c r="AW1441" i="259" s="1"/>
  <c r="AX1369" i="259"/>
  <c r="AX1441" i="259" s="1"/>
  <c r="AY1369" i="259"/>
  <c r="AY1441" i="259" s="1"/>
  <c r="AU1370" i="259"/>
  <c r="AU1449" i="259" s="1"/>
  <c r="AV1370" i="259"/>
  <c r="AV1449" i="259" s="1"/>
  <c r="AW1370" i="259"/>
  <c r="AW1449" i="259" s="1"/>
  <c r="AX1370" i="259"/>
  <c r="AX1449" i="259" s="1"/>
  <c r="AY1370" i="259"/>
  <c r="AY1449" i="259" s="1"/>
  <c r="AY1364" i="259"/>
  <c r="AX1364" i="259"/>
  <c r="AW1364" i="259"/>
  <c r="AV1364" i="259"/>
  <c r="AU1364" i="259"/>
  <c r="AU1361" i="259"/>
  <c r="AV1361" i="259"/>
  <c r="AW1361" i="259"/>
  <c r="AX1361" i="259"/>
  <c r="AY1361" i="259"/>
  <c r="AY1360" i="259"/>
  <c r="AX1360" i="259"/>
  <c r="AW1360" i="259"/>
  <c r="AV1360" i="259"/>
  <c r="AU1360" i="259"/>
  <c r="BD1574" i="259"/>
  <c r="BD801" i="259" s="1"/>
  <c r="BC1574" i="259"/>
  <c r="BC801" i="259" s="1"/>
  <c r="BC1569" i="259"/>
  <c r="BC768" i="259" s="1"/>
  <c r="BD1569" i="259"/>
  <c r="BD768" i="259" s="1"/>
  <c r="BA1572" i="259"/>
  <c r="AZ1572" i="259"/>
  <c r="AY1572" i="259"/>
  <c r="AX1572" i="259"/>
  <c r="AW1572" i="259"/>
  <c r="AV1572" i="259"/>
  <c r="AU1572" i="259"/>
  <c r="BA1567" i="259"/>
  <c r="AZ1567" i="259"/>
  <c r="AY1567" i="259"/>
  <c r="AX1567" i="259"/>
  <c r="AW1567" i="259"/>
  <c r="AV1567" i="259"/>
  <c r="AU1567" i="259"/>
  <c r="AU1527" i="259"/>
  <c r="AV1527" i="259"/>
  <c r="AW1527" i="259"/>
  <c r="AX1527" i="259"/>
  <c r="AY1527" i="259"/>
  <c r="AZ1527" i="259"/>
  <c r="BA1527" i="259"/>
  <c r="BA1526" i="259"/>
  <c r="AZ1526" i="259"/>
  <c r="AY1526" i="259"/>
  <c r="AX1526" i="259"/>
  <c r="AW1526" i="259"/>
  <c r="AV1526" i="259"/>
  <c r="AU1526" i="259"/>
  <c r="AU1522" i="259"/>
  <c r="AV1522" i="259"/>
  <c r="AW1522" i="259"/>
  <c r="AX1522" i="259"/>
  <c r="AY1522" i="259"/>
  <c r="AZ1522" i="259"/>
  <c r="BA1522" i="259"/>
  <c r="AU1523" i="259"/>
  <c r="AV1523" i="259"/>
  <c r="AW1523" i="259"/>
  <c r="AX1523" i="259"/>
  <c r="AY1523" i="259"/>
  <c r="AZ1523" i="259"/>
  <c r="BA1523" i="259"/>
  <c r="BA1524" i="259" s="1"/>
  <c r="BA1521" i="259"/>
  <c r="AZ1521" i="259"/>
  <c r="AY1521" i="259"/>
  <c r="AX1521" i="259"/>
  <c r="AW1521" i="259"/>
  <c r="AV1521" i="259"/>
  <c r="AU1521" i="259"/>
  <c r="AZ1533" i="259"/>
  <c r="BA1533" i="259"/>
  <c r="AZ1534" i="259"/>
  <c r="BA1534" i="259"/>
  <c r="AZ1535" i="259"/>
  <c r="BA1535" i="259"/>
  <c r="AZ1536" i="259"/>
  <c r="BA1536" i="259"/>
  <c r="BA1532" i="259"/>
  <c r="AZ1532" i="259"/>
  <c r="AU1533" i="259"/>
  <c r="AV1533" i="259"/>
  <c r="AW1533" i="259"/>
  <c r="AX1533" i="259"/>
  <c r="AY1533" i="259"/>
  <c r="AU1534" i="259"/>
  <c r="AV1534" i="259"/>
  <c r="AW1534" i="259"/>
  <c r="AX1534" i="259"/>
  <c r="AY1534" i="259"/>
  <c r="AU1535" i="259"/>
  <c r="AV1535" i="259"/>
  <c r="AW1535" i="259"/>
  <c r="AX1535" i="259"/>
  <c r="AY1535" i="259"/>
  <c r="AU1536" i="259"/>
  <c r="AV1536" i="259"/>
  <c r="AW1536" i="259"/>
  <c r="AX1536" i="259"/>
  <c r="AY1536" i="259"/>
  <c r="AY1532" i="259"/>
  <c r="AX1532" i="259"/>
  <c r="AW1532" i="259"/>
  <c r="AV1532" i="259"/>
  <c r="AU1532" i="259"/>
  <c r="AY1562" i="259"/>
  <c r="AY276" i="262" s="1"/>
  <c r="AX1562" i="259"/>
  <c r="AX276" i="262" s="1"/>
  <c r="AW1562" i="259"/>
  <c r="AW276" i="262" s="1"/>
  <c r="AV1562" i="259"/>
  <c r="AV276" i="262" s="1"/>
  <c r="AU1562" i="259"/>
  <c r="AU276" i="262" s="1"/>
  <c r="AY1561" i="259"/>
  <c r="AX1561" i="259"/>
  <c r="AW1561" i="259"/>
  <c r="AV1561" i="259"/>
  <c r="AU1561" i="259"/>
  <c r="BA1516" i="259"/>
  <c r="AZ1516" i="259"/>
  <c r="AY1516" i="259"/>
  <c r="AX1516" i="259"/>
  <c r="AW1516" i="259"/>
  <c r="AV1516" i="259"/>
  <c r="AU1516" i="259"/>
  <c r="BA1515" i="259"/>
  <c r="AZ1515" i="259"/>
  <c r="AY1515" i="259"/>
  <c r="AX1515" i="259"/>
  <c r="AW1515" i="259"/>
  <c r="AV1515" i="259"/>
  <c r="AU1515" i="259"/>
  <c r="BA1514" i="259"/>
  <c r="AZ1514" i="259"/>
  <c r="AY1514" i="259"/>
  <c r="AX1514" i="259"/>
  <c r="AW1514" i="259"/>
  <c r="AV1514" i="259"/>
  <c r="AU1514" i="259"/>
  <c r="AU1335" i="259"/>
  <c r="AY1333" i="259"/>
  <c r="AX1333" i="259"/>
  <c r="AW1333" i="259"/>
  <c r="AV1333" i="259"/>
  <c r="AU1333" i="259"/>
  <c r="AY1330" i="259"/>
  <c r="AX1330" i="259"/>
  <c r="AW1330" i="259"/>
  <c r="AV1330" i="259"/>
  <c r="AU1330" i="259"/>
  <c r="BA1320" i="259"/>
  <c r="AY1319" i="259"/>
  <c r="AX1319" i="259"/>
  <c r="AW1319" i="259"/>
  <c r="AV1319" i="259"/>
  <c r="AU1319" i="259"/>
  <c r="AU1318" i="259"/>
  <c r="BA1311" i="259"/>
  <c r="AZ1311" i="259"/>
  <c r="AY1311" i="259"/>
  <c r="AX1311" i="259"/>
  <c r="AW1311" i="259"/>
  <c r="AV1311" i="259"/>
  <c r="AU1311" i="259"/>
  <c r="BA1310" i="259"/>
  <c r="AZ1310" i="259"/>
  <c r="AY1310" i="259"/>
  <c r="AX1310" i="259"/>
  <c r="AW1310" i="259"/>
  <c r="AV1310" i="259"/>
  <c r="AU1310" i="259"/>
  <c r="BA1295" i="259"/>
  <c r="AZ1295" i="259"/>
  <c r="AU1291" i="259"/>
  <c r="AY1284" i="259"/>
  <c r="AY271" i="262" s="1"/>
  <c r="AX1284" i="259"/>
  <c r="AX271" i="262" s="1"/>
  <c r="AW1284" i="259"/>
  <c r="AW271" i="262" s="1"/>
  <c r="AV1284" i="259"/>
  <c r="AV271" i="262" s="1"/>
  <c r="AU1284" i="259"/>
  <c r="AU271" i="262" s="1"/>
  <c r="AY1280" i="259"/>
  <c r="AX1280" i="259"/>
  <c r="AW1280" i="259"/>
  <c r="AV1280" i="259"/>
  <c r="AU1280" i="259"/>
  <c r="AY1278" i="259"/>
  <c r="AX1278" i="259"/>
  <c r="AW1278" i="259"/>
  <c r="AV1278" i="259"/>
  <c r="AU1278" i="259"/>
  <c r="AY1277" i="259"/>
  <c r="AX1277" i="259"/>
  <c r="AW1277" i="259"/>
  <c r="AV1277" i="259"/>
  <c r="AU1277" i="259"/>
  <c r="AY457" i="259"/>
  <c r="AX457" i="259"/>
  <c r="AW457" i="259"/>
  <c r="AV457" i="259"/>
  <c r="AU457" i="259"/>
  <c r="AU183" i="262" s="1"/>
  <c r="AY439" i="259"/>
  <c r="AX439" i="259"/>
  <c r="AX439" i="275" s="1"/>
  <c r="AW439" i="259"/>
  <c r="AV439" i="259"/>
  <c r="AU439" i="259"/>
  <c r="AU436" i="259"/>
  <c r="AU438" i="259" s="1"/>
  <c r="AV436" i="259"/>
  <c r="AW436" i="259"/>
  <c r="AX436" i="259"/>
  <c r="AY436" i="259"/>
  <c r="AY435" i="259"/>
  <c r="AX435" i="259"/>
  <c r="AW435" i="259"/>
  <c r="AV435" i="259"/>
  <c r="AV435" i="275" s="1"/>
  <c r="AU435" i="259"/>
  <c r="AY1223" i="259"/>
  <c r="AX1223" i="259"/>
  <c r="AW1223" i="259"/>
  <c r="AV1223" i="259"/>
  <c r="AU1223" i="259"/>
  <c r="AY1222" i="259"/>
  <c r="AX1222" i="259"/>
  <c r="AX1259" i="259" s="1"/>
  <c r="AX137" i="261" s="1"/>
  <c r="AW1222" i="259"/>
  <c r="AV1222" i="259"/>
  <c r="AU1222" i="259"/>
  <c r="AY1219" i="259"/>
  <c r="AX1219" i="259"/>
  <c r="AW1219" i="259"/>
  <c r="AV1219" i="259"/>
  <c r="AU1219" i="259"/>
  <c r="AY1218" i="259"/>
  <c r="AX1218" i="259"/>
  <c r="AW1218" i="259"/>
  <c r="AV1218" i="259"/>
  <c r="AV1258" i="259" s="1"/>
  <c r="AV136" i="261" s="1"/>
  <c r="AU1218" i="259"/>
  <c r="AY1210" i="259"/>
  <c r="AX1210" i="259"/>
  <c r="AW1210" i="259"/>
  <c r="AV1210" i="259"/>
  <c r="AU1210" i="259"/>
  <c r="AY1209" i="259"/>
  <c r="AX1209" i="259"/>
  <c r="AX1254" i="259" s="1"/>
  <c r="AX132" i="261" s="1"/>
  <c r="AW1209" i="259"/>
  <c r="AV1209" i="259"/>
  <c r="AU1209" i="259"/>
  <c r="AY1206" i="259"/>
  <c r="AX1206" i="259"/>
  <c r="AW1206" i="259"/>
  <c r="AV1206" i="259"/>
  <c r="AU1206" i="259"/>
  <c r="AY1205" i="259"/>
  <c r="AX1205" i="259"/>
  <c r="AW1205" i="259"/>
  <c r="AV1205" i="259"/>
  <c r="AU1205" i="259"/>
  <c r="AY1197" i="259"/>
  <c r="AX1197" i="259"/>
  <c r="AW1197" i="259"/>
  <c r="AV1197" i="259"/>
  <c r="AU1197" i="259"/>
  <c r="AY1196" i="259"/>
  <c r="AX1196" i="259"/>
  <c r="AW1196" i="259"/>
  <c r="AV1196" i="259"/>
  <c r="AU1196" i="259"/>
  <c r="AY1193" i="259"/>
  <c r="AX1193" i="259"/>
  <c r="AW1193" i="259"/>
  <c r="AV1193" i="259"/>
  <c r="AU1193" i="259"/>
  <c r="AY1192" i="259"/>
  <c r="AX1192" i="259"/>
  <c r="AW1192" i="259"/>
  <c r="AV1192" i="259"/>
  <c r="AV1248" i="259" s="1"/>
  <c r="AV1683" i="259" s="1"/>
  <c r="AU1192" i="259"/>
  <c r="AY1189" i="259"/>
  <c r="AX1189" i="259"/>
  <c r="AW1189" i="259"/>
  <c r="AV1189" i="259"/>
  <c r="AU1189" i="259"/>
  <c r="AY1188" i="259"/>
  <c r="AY1247" i="259" s="1"/>
  <c r="AY125" i="261" s="1"/>
  <c r="AX1188" i="259"/>
  <c r="AX1247" i="259" s="1"/>
  <c r="AX125" i="261" s="1"/>
  <c r="AW1188" i="259"/>
  <c r="AV1188" i="259"/>
  <c r="AU1188" i="259"/>
  <c r="AY1164" i="259"/>
  <c r="AX1164" i="259"/>
  <c r="AW1164" i="259"/>
  <c r="AV1164" i="259"/>
  <c r="AU1164" i="259"/>
  <c r="AY1162" i="259"/>
  <c r="AX1162" i="259"/>
  <c r="AW1162" i="259"/>
  <c r="AV1162" i="259"/>
  <c r="AU1162" i="259"/>
  <c r="AY1160" i="259"/>
  <c r="AX1160" i="259"/>
  <c r="AY1155" i="259" s="1"/>
  <c r="AW1160" i="259"/>
  <c r="AX1155" i="259" s="1"/>
  <c r="AV1160" i="259"/>
  <c r="AU1160" i="259"/>
  <c r="AY1157" i="259"/>
  <c r="AX1157" i="259"/>
  <c r="AW1157" i="259"/>
  <c r="AV1157" i="259"/>
  <c r="AU1157" i="259"/>
  <c r="AY1156" i="259"/>
  <c r="AX1156" i="259"/>
  <c r="AW1156" i="259"/>
  <c r="AV1156" i="259"/>
  <c r="AU1156" i="259"/>
  <c r="AU1155" i="259"/>
  <c r="AY1149" i="259"/>
  <c r="AX1149" i="259"/>
  <c r="AW1149" i="259"/>
  <c r="AV1149" i="259"/>
  <c r="AU1149" i="259"/>
  <c r="AY1147" i="259"/>
  <c r="AX1147" i="259"/>
  <c r="AW1147" i="259"/>
  <c r="AV1147" i="259"/>
  <c r="AU1147" i="259"/>
  <c r="AY1145" i="259"/>
  <c r="AX1145" i="259"/>
  <c r="AY1140" i="259" s="1"/>
  <c r="AW1145" i="259"/>
  <c r="AX1140" i="259" s="1"/>
  <c r="AV1145" i="259"/>
  <c r="AU1145" i="259"/>
  <c r="AV1140" i="259" s="1"/>
  <c r="AY1142" i="259"/>
  <c r="AX1142" i="259"/>
  <c r="AW1142" i="259"/>
  <c r="AV1142" i="259"/>
  <c r="AU1142" i="259"/>
  <c r="AY1141" i="259"/>
  <c r="AX1141" i="259"/>
  <c r="AW1141" i="259"/>
  <c r="AV1141" i="259"/>
  <c r="AU1141" i="259"/>
  <c r="AU1140" i="259"/>
  <c r="BA1134" i="259"/>
  <c r="AZ1134" i="259"/>
  <c r="AY1134" i="259"/>
  <c r="AX1134" i="259"/>
  <c r="AW1134" i="259"/>
  <c r="AV1134" i="259"/>
  <c r="AU1134" i="259"/>
  <c r="BA1132" i="259"/>
  <c r="AZ1132" i="259"/>
  <c r="AY1132" i="259"/>
  <c r="AX1132" i="259"/>
  <c r="AW1132" i="259"/>
  <c r="AV1132" i="259"/>
  <c r="AU1132" i="259"/>
  <c r="AU1123" i="259"/>
  <c r="BA1129" i="259"/>
  <c r="BA1126" i="259"/>
  <c r="AZ1126" i="259"/>
  <c r="AY1126" i="259"/>
  <c r="AX1126" i="259"/>
  <c r="AW1126" i="259"/>
  <c r="AV1126" i="259"/>
  <c r="AU1126" i="259"/>
  <c r="BA1125" i="259"/>
  <c r="AZ1125" i="259"/>
  <c r="AY1125" i="259"/>
  <c r="AX1125" i="259"/>
  <c r="AX1127" i="259" s="1"/>
  <c r="AX1128" i="259" s="1"/>
  <c r="AW1125" i="259"/>
  <c r="AV1125" i="259"/>
  <c r="AU1125" i="259"/>
  <c r="AY1124" i="259"/>
  <c r="AX1124" i="259"/>
  <c r="AW1124" i="259"/>
  <c r="AV1124" i="259"/>
  <c r="AU1124" i="259"/>
  <c r="AY1119" i="259"/>
  <c r="AX1119" i="259"/>
  <c r="AW1119" i="259"/>
  <c r="AV1119" i="259"/>
  <c r="AU1119" i="259"/>
  <c r="AY1118" i="259"/>
  <c r="AX1118" i="259"/>
  <c r="AW1118" i="259"/>
  <c r="AV1118" i="259"/>
  <c r="AU1118" i="259"/>
  <c r="AY1111" i="259"/>
  <c r="AX1111" i="259"/>
  <c r="AW1111" i="259"/>
  <c r="AV1111" i="259"/>
  <c r="AU1111" i="259"/>
  <c r="AY1109" i="259"/>
  <c r="AX1109" i="259"/>
  <c r="AW1109" i="259"/>
  <c r="AV1109" i="259"/>
  <c r="AV1110" i="259" s="1"/>
  <c r="AU1109" i="259"/>
  <c r="AY1108" i="259"/>
  <c r="AX1108" i="259"/>
  <c r="AW1108" i="259"/>
  <c r="AV1108" i="259"/>
  <c r="AU1108" i="259"/>
  <c r="AY1104" i="259"/>
  <c r="AX1104" i="259"/>
  <c r="AW1104" i="259"/>
  <c r="AV1104" i="259"/>
  <c r="AU1104" i="259"/>
  <c r="AY1103" i="259"/>
  <c r="AX1103" i="259"/>
  <c r="AW1103" i="259"/>
  <c r="AV1103" i="259"/>
  <c r="AU1103" i="259"/>
  <c r="AY1096" i="259"/>
  <c r="AX1096" i="259"/>
  <c r="AW1096" i="259"/>
  <c r="AV1096" i="259"/>
  <c r="AU1096" i="259"/>
  <c r="AY1094" i="259"/>
  <c r="AX1094" i="259"/>
  <c r="AW1094" i="259"/>
  <c r="AV1094" i="259"/>
  <c r="AU1094" i="259"/>
  <c r="AY1093" i="259"/>
  <c r="AX1093" i="259"/>
  <c r="AX1095" i="259" s="1"/>
  <c r="AW1093" i="259"/>
  <c r="AV1093" i="259"/>
  <c r="AV1095" i="259" s="1"/>
  <c r="AU1093" i="259"/>
  <c r="AY1005" i="259"/>
  <c r="AX1005" i="259"/>
  <c r="AW1005" i="259"/>
  <c r="AV1005" i="259"/>
  <c r="AU1005" i="259"/>
  <c r="AY1004" i="259"/>
  <c r="AX1004" i="259"/>
  <c r="AX1004" i="275" s="1"/>
  <c r="AW1004" i="259"/>
  <c r="AW1004" i="275" s="1"/>
  <c r="AV1004" i="259"/>
  <c r="AV1004" i="275" s="1"/>
  <c r="AU1004" i="259"/>
  <c r="AY1003" i="259"/>
  <c r="AX1003" i="259"/>
  <c r="AW1003" i="259"/>
  <c r="AW1003" i="275" s="1"/>
  <c r="AV1003" i="259"/>
  <c r="AU1003" i="259"/>
  <c r="AY1002" i="259"/>
  <c r="AX1002" i="259"/>
  <c r="AX1002" i="275" s="1"/>
  <c r="AW1002" i="259"/>
  <c r="AV1002" i="259"/>
  <c r="AV1002" i="275" s="1"/>
  <c r="AU1002" i="259"/>
  <c r="BA995" i="259"/>
  <c r="AZ995" i="259"/>
  <c r="AY995" i="259"/>
  <c r="AY995" i="275" s="1"/>
  <c r="AX995" i="259"/>
  <c r="AW995" i="259"/>
  <c r="AW995" i="275" s="1"/>
  <c r="AV995" i="259"/>
  <c r="AU995" i="259"/>
  <c r="AY946" i="259"/>
  <c r="AX946" i="259"/>
  <c r="AX946" i="275" s="1"/>
  <c r="AW946" i="259"/>
  <c r="AV946" i="259"/>
  <c r="AV946" i="275" s="1"/>
  <c r="AU946" i="259"/>
  <c r="AY943" i="259"/>
  <c r="AX943" i="259"/>
  <c r="AW943" i="259"/>
  <c r="AW943" i="275" s="1"/>
  <c r="AV943" i="259"/>
  <c r="AU943" i="259"/>
  <c r="AY942" i="259"/>
  <c r="AX942" i="259"/>
  <c r="AX942" i="275" s="1"/>
  <c r="AW942" i="259"/>
  <c r="AW942" i="275" s="1"/>
  <c r="AV942" i="259"/>
  <c r="AU942" i="259"/>
  <c r="AY941" i="259"/>
  <c r="AX941" i="259"/>
  <c r="AX941" i="275" s="1"/>
  <c r="AW941" i="259"/>
  <c r="AW941" i="275" s="1"/>
  <c r="AV941" i="259"/>
  <c r="AU941" i="259"/>
  <c r="AY940" i="259"/>
  <c r="AX940" i="259"/>
  <c r="AX940" i="275" s="1"/>
  <c r="AW940" i="259"/>
  <c r="AV940" i="259"/>
  <c r="AU940" i="259"/>
  <c r="AY936" i="259"/>
  <c r="AX936" i="259"/>
  <c r="AW936" i="259"/>
  <c r="AW936" i="275" s="1"/>
  <c r="AV936" i="259"/>
  <c r="AU936" i="259"/>
  <c r="AY935" i="259"/>
  <c r="AX935" i="259"/>
  <c r="AX935" i="275" s="1"/>
  <c r="AW935" i="259"/>
  <c r="AW935" i="275" s="1"/>
  <c r="AV935" i="259"/>
  <c r="AV935" i="275" s="1"/>
  <c r="AU935" i="259"/>
  <c r="AY934" i="259"/>
  <c r="AX934" i="259"/>
  <c r="AX934" i="275" s="1"/>
  <c r="AW934" i="259"/>
  <c r="AW934" i="275" s="1"/>
  <c r="AV934" i="259"/>
  <c r="AU934" i="259"/>
  <c r="AY906" i="259"/>
  <c r="AY906" i="275" s="1"/>
  <c r="AX906" i="259"/>
  <c r="AX906" i="275" s="1"/>
  <c r="AW906" i="259"/>
  <c r="AV906" i="259"/>
  <c r="AU906" i="259"/>
  <c r="AU904" i="259"/>
  <c r="AV904" i="259"/>
  <c r="AW904" i="259"/>
  <c r="AW904" i="275" s="1"/>
  <c r="AX904" i="259"/>
  <c r="AY904" i="259"/>
  <c r="AY903" i="259"/>
  <c r="AX903" i="259"/>
  <c r="AX903" i="275" s="1"/>
  <c r="AW903" i="259"/>
  <c r="AW903" i="275" s="1"/>
  <c r="AV903" i="259"/>
  <c r="AU903" i="259"/>
  <c r="AU887" i="259"/>
  <c r="AU58" i="262" s="1"/>
  <c r="AV887" i="259"/>
  <c r="AW887" i="259"/>
  <c r="AX887" i="259"/>
  <c r="AY887" i="259"/>
  <c r="AY867" i="259"/>
  <c r="AX867" i="259"/>
  <c r="AX867" i="275" s="1"/>
  <c r="AW867" i="259"/>
  <c r="AV867" i="259"/>
  <c r="AV867" i="275" s="1"/>
  <c r="AU867" i="259"/>
  <c r="AY866" i="259"/>
  <c r="AY866" i="275" s="1"/>
  <c r="AX866" i="259"/>
  <c r="AW866" i="259"/>
  <c r="AW866" i="275" s="1"/>
  <c r="AV866" i="259"/>
  <c r="AU866" i="259"/>
  <c r="AY865" i="259"/>
  <c r="AX865" i="259"/>
  <c r="AX865" i="275" s="1"/>
  <c r="AW865" i="259"/>
  <c r="AV865" i="259"/>
  <c r="AV865" i="275" s="1"/>
  <c r="AU865" i="259"/>
  <c r="AY864" i="259"/>
  <c r="AY864" i="275" s="1"/>
  <c r="AX864" i="259"/>
  <c r="AW864" i="259"/>
  <c r="AW864" i="275" s="1"/>
  <c r="AV864" i="259"/>
  <c r="AU864" i="259"/>
  <c r="AY863" i="259"/>
  <c r="AX863" i="259"/>
  <c r="AX863" i="275" s="1"/>
  <c r="AW863" i="259"/>
  <c r="AV863" i="259"/>
  <c r="AV863" i="275" s="1"/>
  <c r="AU863" i="259"/>
  <c r="AY862" i="259"/>
  <c r="AY862" i="275" s="1"/>
  <c r="AX862" i="259"/>
  <c r="AW862" i="259"/>
  <c r="AW862" i="275" s="1"/>
  <c r="AV862" i="259"/>
  <c r="AU862" i="259"/>
  <c r="AU173" i="262" s="1"/>
  <c r="AY859" i="259"/>
  <c r="AX859" i="259"/>
  <c r="AW859" i="259"/>
  <c r="AV859" i="259"/>
  <c r="AU859" i="259"/>
  <c r="AU172" i="262" s="1"/>
  <c r="AY857" i="259"/>
  <c r="AY857" i="275" s="1"/>
  <c r="AX857" i="259"/>
  <c r="AW857" i="259"/>
  <c r="AW857" i="275" s="1"/>
  <c r="AV857" i="259"/>
  <c r="AU857" i="259"/>
  <c r="AY856" i="259"/>
  <c r="AX856" i="259"/>
  <c r="AX856" i="275" s="1"/>
  <c r="AW856" i="259"/>
  <c r="AV856" i="259"/>
  <c r="AV856" i="275" s="1"/>
  <c r="AU856" i="259"/>
  <c r="AY854" i="259"/>
  <c r="AY854" i="275" s="1"/>
  <c r="AX854" i="259"/>
  <c r="AW854" i="259"/>
  <c r="AW854" i="275" s="1"/>
  <c r="AV854" i="259"/>
  <c r="AU854" i="259"/>
  <c r="AY853" i="259"/>
  <c r="AX853" i="259"/>
  <c r="AX853" i="275" s="1"/>
  <c r="AW853" i="259"/>
  <c r="AV853" i="259"/>
  <c r="AU853" i="259"/>
  <c r="AY852" i="259"/>
  <c r="AY852" i="275" s="1"/>
  <c r="AX852" i="259"/>
  <c r="AW852" i="259"/>
  <c r="AV852" i="259"/>
  <c r="AU852" i="259"/>
  <c r="AY851" i="259"/>
  <c r="AX851" i="259"/>
  <c r="AW851" i="259"/>
  <c r="AV851" i="259"/>
  <c r="AV851" i="275" s="1"/>
  <c r="AU851" i="259"/>
  <c r="AY846" i="259"/>
  <c r="AX846" i="259"/>
  <c r="AW846" i="259"/>
  <c r="AW846" i="275" s="1"/>
  <c r="AV846" i="259"/>
  <c r="AU846" i="259"/>
  <c r="AY844" i="259"/>
  <c r="AX844" i="259"/>
  <c r="AX844" i="275" s="1"/>
  <c r="AW844" i="259"/>
  <c r="AV844" i="259"/>
  <c r="AU844" i="259"/>
  <c r="AY843" i="259"/>
  <c r="AY843" i="275" s="1"/>
  <c r="AX843" i="259"/>
  <c r="AW843" i="259"/>
  <c r="AW843" i="275" s="1"/>
  <c r="AV843" i="259"/>
  <c r="AU843" i="259"/>
  <c r="AY842" i="259"/>
  <c r="AX842" i="259"/>
  <c r="AW842" i="259"/>
  <c r="AV842" i="259"/>
  <c r="AU842" i="259"/>
  <c r="AU167" i="262" s="1"/>
  <c r="AY841" i="259"/>
  <c r="AX841" i="259"/>
  <c r="AW841" i="259"/>
  <c r="AV841" i="259"/>
  <c r="AU841" i="259"/>
  <c r="AU1130" i="259" s="1"/>
  <c r="AU267" i="262" s="1"/>
  <c r="AY838" i="259"/>
  <c r="AX838" i="259"/>
  <c r="AX838" i="275" s="1"/>
  <c r="AW838" i="259"/>
  <c r="AV838" i="259"/>
  <c r="AV838" i="275" s="1"/>
  <c r="AU838" i="259"/>
  <c r="AY836" i="259"/>
  <c r="AX836" i="259"/>
  <c r="AW836" i="259"/>
  <c r="AV836" i="259"/>
  <c r="AU836" i="259"/>
  <c r="AY835" i="259"/>
  <c r="AX835" i="259"/>
  <c r="AW835" i="259"/>
  <c r="AV835" i="259"/>
  <c r="AU835" i="259"/>
  <c r="AY832" i="259"/>
  <c r="AY832" i="275" s="1"/>
  <c r="AX832" i="259"/>
  <c r="AW832" i="259"/>
  <c r="AW832" i="275" s="1"/>
  <c r="AV832" i="259"/>
  <c r="AU832" i="259"/>
  <c r="AY831" i="259"/>
  <c r="AX831" i="259"/>
  <c r="AX831" i="275" s="1"/>
  <c r="AW831" i="259"/>
  <c r="AV831" i="259"/>
  <c r="AV831" i="275" s="1"/>
  <c r="AU831" i="259"/>
  <c r="AY829" i="259"/>
  <c r="AY829" i="275" s="1"/>
  <c r="AX829" i="259"/>
  <c r="AW829" i="259"/>
  <c r="AW829" i="275" s="1"/>
  <c r="AV829" i="259"/>
  <c r="AU829" i="259"/>
  <c r="AY828" i="259"/>
  <c r="AX828" i="259"/>
  <c r="AX828" i="275" s="1"/>
  <c r="AW828" i="259"/>
  <c r="AV828" i="259"/>
  <c r="AV828" i="275" s="1"/>
  <c r="AU828" i="259"/>
  <c r="AV772" i="259"/>
  <c r="AW772" i="259"/>
  <c r="AX772" i="259"/>
  <c r="AX772" i="275" s="1"/>
  <c r="AY772" i="259"/>
  <c r="AV774" i="259"/>
  <c r="AW774" i="259"/>
  <c r="AX774" i="259"/>
  <c r="AX774" i="275" s="1"/>
  <c r="AY774" i="259"/>
  <c r="AV775" i="259"/>
  <c r="AW775" i="259"/>
  <c r="AX775" i="259"/>
  <c r="AX775" i="275" s="1"/>
  <c r="AY775" i="259"/>
  <c r="AV776" i="259"/>
  <c r="AW776" i="259"/>
  <c r="AX776" i="259"/>
  <c r="AX776" i="275" s="1"/>
  <c r="AY776" i="259"/>
  <c r="AZ741" i="259"/>
  <c r="BA741" i="259"/>
  <c r="BC741" i="259"/>
  <c r="BD741" i="259"/>
  <c r="AZ742" i="259"/>
  <c r="BA742" i="259"/>
  <c r="BC742" i="259"/>
  <c r="BD742" i="259"/>
  <c r="BA740" i="259"/>
  <c r="BC740" i="259"/>
  <c r="BD740" i="259"/>
  <c r="AU740" i="259"/>
  <c r="AV740" i="259"/>
  <c r="AW740" i="259"/>
  <c r="AW740" i="275" s="1"/>
  <c r="AX740" i="259"/>
  <c r="AY740" i="259"/>
  <c r="AY740" i="275" s="1"/>
  <c r="AZ740" i="259"/>
  <c r="AY742" i="259"/>
  <c r="AX742" i="259"/>
  <c r="AW742" i="259"/>
  <c r="AW742" i="275" s="1"/>
  <c r="AV742" i="259"/>
  <c r="AU742" i="259"/>
  <c r="AY722" i="259"/>
  <c r="AX722" i="259"/>
  <c r="AX722" i="275" s="1"/>
  <c r="AW722" i="259"/>
  <c r="AV722" i="259"/>
  <c r="AV722" i="275" s="1"/>
  <c r="AU722" i="259"/>
  <c r="AY717" i="259"/>
  <c r="AX717" i="259"/>
  <c r="AW717" i="259"/>
  <c r="AW717" i="275" s="1"/>
  <c r="AV717" i="259"/>
  <c r="AU717" i="259"/>
  <c r="AY716" i="259"/>
  <c r="AX716" i="259"/>
  <c r="AX716" i="275" s="1"/>
  <c r="AW716" i="259"/>
  <c r="AV716" i="259"/>
  <c r="AV716" i="275" s="1"/>
  <c r="AU716" i="259"/>
  <c r="AY708" i="259"/>
  <c r="AY708" i="275" s="1"/>
  <c r="AX708" i="259"/>
  <c r="AW708" i="259"/>
  <c r="AW708" i="275" s="1"/>
  <c r="AV708" i="259"/>
  <c r="AU708" i="259"/>
  <c r="AY703" i="259"/>
  <c r="AX703" i="259"/>
  <c r="AX703" i="275" s="1"/>
  <c r="AW703" i="259"/>
  <c r="AV703" i="259"/>
  <c r="AV703" i="275" s="1"/>
  <c r="AU703" i="259"/>
  <c r="AY702" i="259"/>
  <c r="AY702" i="275" s="1"/>
  <c r="AX702" i="259"/>
  <c r="AW702" i="259"/>
  <c r="AV702" i="259"/>
  <c r="AU702" i="259"/>
  <c r="AY694" i="259"/>
  <c r="AX694" i="259"/>
  <c r="AW694" i="259"/>
  <c r="AV694" i="259"/>
  <c r="AV694" i="275" s="1"/>
  <c r="AU694" i="259"/>
  <c r="AU689" i="259"/>
  <c r="AV689" i="259"/>
  <c r="AW689" i="259"/>
  <c r="AW689" i="275" s="1"/>
  <c r="AX689" i="259"/>
  <c r="AY689" i="259"/>
  <c r="AY689" i="275" s="1"/>
  <c r="AU692" i="259"/>
  <c r="AV692" i="259"/>
  <c r="AV692" i="275" s="1"/>
  <c r="AW692" i="259"/>
  <c r="AX692" i="259"/>
  <c r="AX692" i="275" s="1"/>
  <c r="AY692" i="259"/>
  <c r="AY688" i="259"/>
  <c r="AY688" i="275" s="1"/>
  <c r="AX688" i="259"/>
  <c r="AW688" i="259"/>
  <c r="AV688" i="259"/>
  <c r="AU688" i="259"/>
  <c r="AY679" i="259"/>
  <c r="AX679" i="259"/>
  <c r="AX679" i="275" s="1"/>
  <c r="AW679" i="259"/>
  <c r="AV679" i="259"/>
  <c r="AV679" i="275" s="1"/>
  <c r="AU679" i="259"/>
  <c r="AY665" i="259"/>
  <c r="AX665" i="259"/>
  <c r="AW665" i="259"/>
  <c r="AW665" i="275" s="1"/>
  <c r="AV665" i="259"/>
  <c r="AU665" i="259"/>
  <c r="AY662" i="259"/>
  <c r="AX662" i="259"/>
  <c r="AX662" i="275" s="1"/>
  <c r="AW662" i="259"/>
  <c r="AV662" i="259"/>
  <c r="AV662" i="275" s="1"/>
  <c r="AY649" i="259"/>
  <c r="AX649" i="259"/>
  <c r="AX649" i="275" s="1"/>
  <c r="AW649" i="259"/>
  <c r="AV649" i="259"/>
  <c r="AV649" i="275" s="1"/>
  <c r="AU649" i="259"/>
  <c r="AY648" i="259"/>
  <c r="AY648" i="275" s="1"/>
  <c r="AX648" i="259"/>
  <c r="AW648" i="259"/>
  <c r="AW648" i="275" s="1"/>
  <c r="AV648" i="259"/>
  <c r="AU648" i="259"/>
  <c r="AY644" i="259"/>
  <c r="AX644" i="259"/>
  <c r="AX644" i="275" s="1"/>
  <c r="AW644" i="259"/>
  <c r="AV644" i="259"/>
  <c r="AV644" i="275" s="1"/>
  <c r="AU644" i="259"/>
  <c r="AY639" i="259"/>
  <c r="AX639" i="259"/>
  <c r="AW639" i="259"/>
  <c r="AV639" i="259"/>
  <c r="AY638" i="259"/>
  <c r="AX638" i="259"/>
  <c r="AW638" i="259"/>
  <c r="AV638" i="259"/>
  <c r="AU638" i="259"/>
  <c r="AU39" i="259" s="1"/>
  <c r="AY618" i="259"/>
  <c r="AX618" i="259"/>
  <c r="AX618" i="275" s="1"/>
  <c r="AW618" i="259"/>
  <c r="AV618" i="259"/>
  <c r="AV618" i="275" s="1"/>
  <c r="AU618" i="259"/>
  <c r="AY617" i="259"/>
  <c r="AY617" i="275" s="1"/>
  <c r="AX617" i="259"/>
  <c r="AW617" i="259"/>
  <c r="AW617" i="275" s="1"/>
  <c r="AV617" i="259"/>
  <c r="AU617" i="259"/>
  <c r="BA613" i="259"/>
  <c r="AZ613" i="259"/>
  <c r="AZ613" i="275" s="1"/>
  <c r="AY613" i="259"/>
  <c r="AX613" i="259"/>
  <c r="AX613" i="275" s="1"/>
  <c r="AW613" i="259"/>
  <c r="AV613" i="259"/>
  <c r="AV613" i="275" s="1"/>
  <c r="AU613" i="259"/>
  <c r="BA612" i="259"/>
  <c r="AZ612" i="259"/>
  <c r="AY612" i="259"/>
  <c r="AY612" i="275" s="1"/>
  <c r="AX612" i="259"/>
  <c r="AW612" i="259"/>
  <c r="AW612" i="275" s="1"/>
  <c r="AV612" i="259"/>
  <c r="AU612" i="259"/>
  <c r="BA611" i="259"/>
  <c r="AZ611" i="259"/>
  <c r="AZ611" i="275" s="1"/>
  <c r="AY611" i="259"/>
  <c r="AX611" i="259"/>
  <c r="AX611" i="275" s="1"/>
  <c r="AW611" i="259"/>
  <c r="AV611" i="259"/>
  <c r="AV611" i="275" s="1"/>
  <c r="AU611" i="259"/>
  <c r="BA610" i="259"/>
  <c r="AZ610" i="259"/>
  <c r="AY610" i="259"/>
  <c r="AY610" i="275" s="1"/>
  <c r="AX610" i="259"/>
  <c r="AW610" i="259"/>
  <c r="AW610" i="275" s="1"/>
  <c r="AV610" i="259"/>
  <c r="AU610" i="259"/>
  <c r="AU604" i="259"/>
  <c r="AV604" i="259"/>
  <c r="AV604" i="275" s="1"/>
  <c r="AW604" i="259"/>
  <c r="AX604" i="259"/>
  <c r="AX604" i="275" s="1"/>
  <c r="AY604" i="259"/>
  <c r="AU605" i="259"/>
  <c r="AV605" i="259"/>
  <c r="AW605" i="259"/>
  <c r="AW605" i="275" s="1"/>
  <c r="AX605" i="259"/>
  <c r="AY605" i="259"/>
  <c r="AU606" i="259"/>
  <c r="AV606" i="259"/>
  <c r="AV606" i="275" s="1"/>
  <c r="AW606" i="259"/>
  <c r="AX606" i="259"/>
  <c r="AX606" i="275" s="1"/>
  <c r="AY606" i="259"/>
  <c r="AY603" i="259"/>
  <c r="AX603" i="259"/>
  <c r="AW603" i="259"/>
  <c r="AW603" i="275" s="1"/>
  <c r="AV603" i="259"/>
  <c r="AU603" i="259"/>
  <c r="AY521" i="259"/>
  <c r="AX521" i="259"/>
  <c r="AX521" i="275" s="1"/>
  <c r="AW521" i="259"/>
  <c r="AV521" i="259"/>
  <c r="AV521" i="275" s="1"/>
  <c r="AU521" i="259"/>
  <c r="AY519" i="259"/>
  <c r="AX519" i="259"/>
  <c r="AW519" i="259"/>
  <c r="AW519" i="275" s="1"/>
  <c r="AV519" i="259"/>
  <c r="AU519" i="259"/>
  <c r="AY518" i="259"/>
  <c r="AX518" i="259"/>
  <c r="AX518" i="275" s="1"/>
  <c r="AW518" i="259"/>
  <c r="AV518" i="259"/>
  <c r="AV518" i="275" s="1"/>
  <c r="AU518" i="259"/>
  <c r="AY517" i="259"/>
  <c r="AX517" i="259"/>
  <c r="AW517" i="259"/>
  <c r="AW517" i="275" s="1"/>
  <c r="AV517" i="259"/>
  <c r="AU517" i="259"/>
  <c r="AY497" i="259"/>
  <c r="AX497" i="259"/>
  <c r="AX497" i="275" s="1"/>
  <c r="AW497" i="259"/>
  <c r="AV497" i="259"/>
  <c r="AV497" i="275" s="1"/>
  <c r="AU497" i="259"/>
  <c r="AY496" i="259"/>
  <c r="AX496" i="259"/>
  <c r="AW496" i="259"/>
  <c r="AV496" i="259"/>
  <c r="AU496" i="259"/>
  <c r="AU1618" i="259" s="1"/>
  <c r="AU282" i="262" s="1"/>
  <c r="AY494" i="259"/>
  <c r="AX494" i="259"/>
  <c r="AW494" i="259"/>
  <c r="AV494" i="259"/>
  <c r="AU494" i="259"/>
  <c r="AU1617" i="259" s="1"/>
  <c r="AU281" i="262" s="1"/>
  <c r="AY491" i="259"/>
  <c r="AY491" i="275" s="1"/>
  <c r="AX491" i="259"/>
  <c r="AW491" i="259"/>
  <c r="AW491" i="275" s="1"/>
  <c r="AV491" i="259"/>
  <c r="AU491" i="259"/>
  <c r="AY484" i="259"/>
  <c r="AX484" i="259"/>
  <c r="AW484" i="259"/>
  <c r="AV484" i="259"/>
  <c r="AU484" i="259"/>
  <c r="AU42" i="262" s="1"/>
  <c r="AY483" i="259"/>
  <c r="AY483" i="275" s="1"/>
  <c r="AX483" i="259"/>
  <c r="AW483" i="259"/>
  <c r="AW483" i="275" s="1"/>
  <c r="AV483" i="259"/>
  <c r="AU483" i="259"/>
  <c r="AU41" i="262" s="1"/>
  <c r="AY482" i="259"/>
  <c r="AX482" i="259"/>
  <c r="AW482" i="259"/>
  <c r="AV482" i="259"/>
  <c r="AV482" i="275" s="1"/>
  <c r="AU482" i="259"/>
  <c r="AY481" i="259"/>
  <c r="AX481" i="259"/>
  <c r="AW481" i="259"/>
  <c r="AV481" i="259"/>
  <c r="AU481" i="259"/>
  <c r="AY478" i="259"/>
  <c r="AX478" i="259"/>
  <c r="AW478" i="259"/>
  <c r="AV478" i="259"/>
  <c r="AU478" i="259"/>
  <c r="AU40" i="262" s="1"/>
  <c r="AY475" i="259"/>
  <c r="AY475" i="275" s="1"/>
  <c r="AX475" i="259"/>
  <c r="AW475" i="259"/>
  <c r="AW475" i="275" s="1"/>
  <c r="AV475" i="259"/>
  <c r="AU475" i="259"/>
  <c r="AU39" i="262" s="1"/>
  <c r="AY474" i="259"/>
  <c r="AX474" i="259"/>
  <c r="AX474" i="275" s="1"/>
  <c r="AW474" i="259"/>
  <c r="AV474" i="259"/>
  <c r="AV474" i="275" s="1"/>
  <c r="AU474" i="259"/>
  <c r="AU38" i="262" s="1"/>
  <c r="AY473" i="259"/>
  <c r="AY473" i="275" s="1"/>
  <c r="AX473" i="259"/>
  <c r="AW473" i="259"/>
  <c r="AW473" i="275" s="1"/>
  <c r="AV473" i="259"/>
  <c r="AU473" i="259"/>
  <c r="AU37" i="262" s="1"/>
  <c r="AY471" i="259"/>
  <c r="AX471" i="259"/>
  <c r="AX471" i="275" s="1"/>
  <c r="AW471" i="259"/>
  <c r="AV471" i="259"/>
  <c r="AV471" i="275" s="1"/>
  <c r="AU471" i="259"/>
  <c r="AY470" i="259"/>
  <c r="AY470" i="275" s="1"/>
  <c r="AX470" i="259"/>
  <c r="AW470" i="259"/>
  <c r="AW470" i="275" s="1"/>
  <c r="AV470" i="259"/>
  <c r="AU470" i="259"/>
  <c r="AY469" i="259"/>
  <c r="AX469" i="259"/>
  <c r="AX469" i="275" s="1"/>
  <c r="AW469" i="259"/>
  <c r="AV469" i="259"/>
  <c r="AV469" i="275" s="1"/>
  <c r="AU469" i="259"/>
  <c r="AY425" i="259"/>
  <c r="AX425" i="259"/>
  <c r="AW425" i="259"/>
  <c r="AW425" i="275" s="1"/>
  <c r="AV425" i="259"/>
  <c r="AU425" i="259"/>
  <c r="AY422" i="259"/>
  <c r="AX422" i="259"/>
  <c r="AW422" i="259"/>
  <c r="AV422" i="259"/>
  <c r="AU422" i="259"/>
  <c r="AU66" i="262" s="1"/>
  <c r="AY421" i="259"/>
  <c r="AX421" i="259"/>
  <c r="AW421" i="259"/>
  <c r="AW421" i="275" s="1"/>
  <c r="AV421" i="259"/>
  <c r="AU421" i="259"/>
  <c r="AY392" i="259"/>
  <c r="AX392" i="259"/>
  <c r="AW392" i="259"/>
  <c r="AV392" i="259"/>
  <c r="AU392" i="259"/>
  <c r="AY405" i="259"/>
  <c r="AY405" i="275" s="1"/>
  <c r="AX405" i="259"/>
  <c r="AW405" i="259"/>
  <c r="AW405" i="275" s="1"/>
  <c r="AV405" i="259"/>
  <c r="AU405" i="259"/>
  <c r="AY403" i="259"/>
  <c r="AX403" i="259"/>
  <c r="AX403" i="275" s="1"/>
  <c r="AW403" i="259"/>
  <c r="AV403" i="259"/>
  <c r="AV403" i="275" s="1"/>
  <c r="AU403" i="259"/>
  <c r="AY402" i="259"/>
  <c r="AY402" i="275" s="1"/>
  <c r="AX402" i="259"/>
  <c r="AW402" i="259"/>
  <c r="AW402" i="275" s="1"/>
  <c r="AV402" i="259"/>
  <c r="AU402" i="259"/>
  <c r="AU411" i="259"/>
  <c r="AV411" i="259"/>
  <c r="AV411" i="275" s="1"/>
  <c r="AW411" i="259"/>
  <c r="AX411" i="259"/>
  <c r="AX411" i="275" s="1"/>
  <c r="AY411" i="259"/>
  <c r="AU412" i="259"/>
  <c r="AV412" i="259"/>
  <c r="AW412" i="259"/>
  <c r="AW412" i="275" s="1"/>
  <c r="AX412" i="259"/>
  <c r="AY412" i="259"/>
  <c r="AY412" i="275" s="1"/>
  <c r="AU413" i="259"/>
  <c r="AV413" i="259"/>
  <c r="AV413" i="275" s="1"/>
  <c r="AW413" i="259"/>
  <c r="AX413" i="259"/>
  <c r="AX413" i="275" s="1"/>
  <c r="AY413" i="259"/>
  <c r="AU416" i="259"/>
  <c r="AV416" i="259"/>
  <c r="AW416" i="259"/>
  <c r="AW416" i="275" s="1"/>
  <c r="AX416" i="259"/>
  <c r="AY416" i="259"/>
  <c r="AY416" i="275" s="1"/>
  <c r="AY347" i="259"/>
  <c r="AX347" i="259"/>
  <c r="AX347" i="275" s="1"/>
  <c r="AW347" i="259"/>
  <c r="AV347" i="259"/>
  <c r="AU347" i="259"/>
  <c r="AU325" i="259"/>
  <c r="AV325" i="259"/>
  <c r="AW325" i="259"/>
  <c r="AW325" i="275" s="1"/>
  <c r="AX325" i="259"/>
  <c r="AY325" i="259"/>
  <c r="AY325" i="275" s="1"/>
  <c r="AU327" i="259"/>
  <c r="AV327" i="259"/>
  <c r="AV327" i="275" s="1"/>
  <c r="AW327" i="259"/>
  <c r="AX327" i="259"/>
  <c r="AX327" i="275" s="1"/>
  <c r="AY327" i="259"/>
  <c r="AY324" i="259"/>
  <c r="AY324" i="275" s="1"/>
  <c r="AX324" i="259"/>
  <c r="AW324" i="259"/>
  <c r="AW324" i="275" s="1"/>
  <c r="AV324" i="259"/>
  <c r="AU324" i="259"/>
  <c r="AY344" i="259"/>
  <c r="AX344" i="259"/>
  <c r="AW344" i="259"/>
  <c r="AV344" i="259"/>
  <c r="AU344" i="259"/>
  <c r="AU65" i="262" s="1"/>
  <c r="AY343" i="259"/>
  <c r="AX343" i="259"/>
  <c r="AW343" i="259"/>
  <c r="AV343" i="259"/>
  <c r="AU343" i="259"/>
  <c r="AY338" i="259"/>
  <c r="AX338" i="259"/>
  <c r="AW338" i="259"/>
  <c r="AV338" i="259"/>
  <c r="AV338" i="275" s="1"/>
  <c r="AU338" i="259"/>
  <c r="AY335" i="259"/>
  <c r="AX335" i="259"/>
  <c r="AW335" i="259"/>
  <c r="AW335" i="275" s="1"/>
  <c r="AV335" i="259"/>
  <c r="AU335" i="259"/>
  <c r="AY334" i="259"/>
  <c r="AX334" i="259"/>
  <c r="AX334" i="275" s="1"/>
  <c r="AW334" i="259"/>
  <c r="AV334" i="259"/>
  <c r="AU334" i="259"/>
  <c r="AY333" i="259"/>
  <c r="AY333" i="275" s="1"/>
  <c r="AX333" i="259"/>
  <c r="AW333" i="259"/>
  <c r="AW333" i="275" s="1"/>
  <c r="AV333" i="259"/>
  <c r="AU333" i="259"/>
  <c r="AY314" i="259"/>
  <c r="AX314" i="259"/>
  <c r="BD308" i="259"/>
  <c r="BC308" i="259"/>
  <c r="BC308" i="275" s="1"/>
  <c r="BA308" i="259"/>
  <c r="BA308" i="275" s="1"/>
  <c r="AZ308" i="259"/>
  <c r="AU270" i="259"/>
  <c r="AV270" i="259"/>
  <c r="AW270" i="259"/>
  <c r="AW270" i="275" s="1"/>
  <c r="AX270" i="259"/>
  <c r="AY270" i="259"/>
  <c r="AY266" i="259"/>
  <c r="AX266" i="259"/>
  <c r="AW266" i="259"/>
  <c r="AV266" i="259"/>
  <c r="AV266" i="275" s="1"/>
  <c r="AU266" i="259"/>
  <c r="BC256" i="259"/>
  <c r="BD256" i="259"/>
  <c r="BC257" i="259"/>
  <c r="BD257" i="259"/>
  <c r="BC258" i="259"/>
  <c r="BD258" i="259"/>
  <c r="BA240" i="259"/>
  <c r="AZ240" i="259"/>
  <c r="AZ205" i="259"/>
  <c r="BA205" i="259"/>
  <c r="E993" i="259"/>
  <c r="F993" i="259"/>
  <c r="G993" i="259"/>
  <c r="AU993" i="259" s="1"/>
  <c r="H993" i="259"/>
  <c r="I993" i="259"/>
  <c r="I993" i="275" s="1"/>
  <c r="J993" i="259"/>
  <c r="J993" i="275" s="1"/>
  <c r="K993" i="259"/>
  <c r="L993" i="259"/>
  <c r="L993" i="275" s="1"/>
  <c r="M993" i="259"/>
  <c r="M993" i="275" s="1"/>
  <c r="N993" i="259"/>
  <c r="N993" i="275" s="1"/>
  <c r="O993" i="259"/>
  <c r="P993" i="259"/>
  <c r="P993" i="275" s="1"/>
  <c r="Q993" i="259"/>
  <c r="Q993" i="275" s="1"/>
  <c r="R993" i="259"/>
  <c r="R993" i="275" s="1"/>
  <c r="S993" i="259"/>
  <c r="T993" i="259"/>
  <c r="T993" i="275" s="1"/>
  <c r="U993" i="259"/>
  <c r="V993" i="259"/>
  <c r="W993" i="259"/>
  <c r="D993" i="259"/>
  <c r="E977" i="259"/>
  <c r="F977" i="259"/>
  <c r="G977" i="259"/>
  <c r="AU977" i="259" s="1"/>
  <c r="H977" i="259"/>
  <c r="I977" i="259"/>
  <c r="I977" i="275" s="1"/>
  <c r="J977" i="259"/>
  <c r="J977" i="275" s="1"/>
  <c r="K977" i="259"/>
  <c r="L977" i="259"/>
  <c r="L977" i="275" s="1"/>
  <c r="M977" i="259"/>
  <c r="M977" i="275" s="1"/>
  <c r="N977" i="259"/>
  <c r="N977" i="275" s="1"/>
  <c r="O977" i="259"/>
  <c r="P977" i="259"/>
  <c r="P977" i="275" s="1"/>
  <c r="Q977" i="259"/>
  <c r="Q977" i="275" s="1"/>
  <c r="R977" i="259"/>
  <c r="R977" i="275" s="1"/>
  <c r="S977" i="259"/>
  <c r="T977" i="259"/>
  <c r="T977" i="275" s="1"/>
  <c r="U977" i="259"/>
  <c r="V977" i="259"/>
  <c r="W977" i="259"/>
  <c r="D977" i="259"/>
  <c r="E972" i="259"/>
  <c r="F972" i="259"/>
  <c r="G972" i="259"/>
  <c r="AU972" i="259" s="1"/>
  <c r="H972" i="259"/>
  <c r="I972" i="259"/>
  <c r="I972" i="275" s="1"/>
  <c r="J972" i="259"/>
  <c r="J972" i="275" s="1"/>
  <c r="K972" i="259"/>
  <c r="L972" i="259"/>
  <c r="L972" i="275" s="1"/>
  <c r="M972" i="259"/>
  <c r="M972" i="275" s="1"/>
  <c r="N972" i="259"/>
  <c r="N972" i="275" s="1"/>
  <c r="O972" i="259"/>
  <c r="P972" i="259"/>
  <c r="P972" i="275" s="1"/>
  <c r="Q972" i="259"/>
  <c r="Q972" i="275" s="1"/>
  <c r="R972" i="259"/>
  <c r="R972" i="275" s="1"/>
  <c r="S972" i="259"/>
  <c r="T972" i="259"/>
  <c r="T972" i="275" s="1"/>
  <c r="U972" i="259"/>
  <c r="V972" i="259"/>
  <c r="W972" i="259"/>
  <c r="D972" i="259"/>
  <c r="D1052" i="259"/>
  <c r="E1052" i="259"/>
  <c r="F1052" i="259"/>
  <c r="G1052" i="259"/>
  <c r="H1052" i="259"/>
  <c r="I1052" i="259"/>
  <c r="I1052" i="275" s="1"/>
  <c r="J1052" i="259"/>
  <c r="J1052" i="275" s="1"/>
  <c r="K1052" i="259"/>
  <c r="K1052" i="275" s="1"/>
  <c r="L1052" i="259"/>
  <c r="L1052" i="275" s="1"/>
  <c r="M1052" i="259"/>
  <c r="M1052" i="275" s="1"/>
  <c r="N1052" i="259"/>
  <c r="N1052" i="275" s="1"/>
  <c r="O1052" i="259"/>
  <c r="O1052" i="275" s="1"/>
  <c r="P1052" i="259"/>
  <c r="P1052" i="275" s="1"/>
  <c r="Q1052" i="259"/>
  <c r="Q1052" i="275" s="1"/>
  <c r="R1052" i="259"/>
  <c r="S1052" i="259"/>
  <c r="S1052" i="275" s="1"/>
  <c r="T1052" i="259"/>
  <c r="U1052" i="259"/>
  <c r="V1052" i="259"/>
  <c r="W1052" i="259"/>
  <c r="W1052" i="275" s="1"/>
  <c r="D1053" i="259"/>
  <c r="E1053" i="259"/>
  <c r="F1053" i="259"/>
  <c r="G1053" i="259"/>
  <c r="H1053" i="259"/>
  <c r="I1053" i="259"/>
  <c r="I1053" i="275" s="1"/>
  <c r="J1053" i="259"/>
  <c r="J1053" i="275" s="1"/>
  <c r="K1053" i="259"/>
  <c r="K1053" i="275" s="1"/>
  <c r="L1053" i="259"/>
  <c r="L1053" i="275" s="1"/>
  <c r="M1053" i="259"/>
  <c r="M1053" i="275" s="1"/>
  <c r="N1053" i="259"/>
  <c r="N1053" i="275" s="1"/>
  <c r="O1053" i="259"/>
  <c r="O1053" i="275" s="1"/>
  <c r="P1053" i="259"/>
  <c r="P1053" i="275" s="1"/>
  <c r="Q1053" i="259"/>
  <c r="Q1053" i="275" s="1"/>
  <c r="R1053" i="259"/>
  <c r="R1053" i="275" s="1"/>
  <c r="S1053" i="259"/>
  <c r="S1053" i="275" s="1"/>
  <c r="T1053" i="259"/>
  <c r="U1053" i="259"/>
  <c r="V1053" i="259"/>
  <c r="W1053" i="259"/>
  <c r="D1054" i="259"/>
  <c r="E1054" i="259"/>
  <c r="F1054" i="259"/>
  <c r="G1054" i="259"/>
  <c r="H1054" i="259"/>
  <c r="H1054" i="275" s="1"/>
  <c r="I1054" i="259"/>
  <c r="I1054" i="275" s="1"/>
  <c r="J1054" i="259"/>
  <c r="J1054" i="275" s="1"/>
  <c r="K1054" i="259"/>
  <c r="K1054" i="275" s="1"/>
  <c r="L1054" i="259"/>
  <c r="M1054" i="259"/>
  <c r="M1054" i="275" s="1"/>
  <c r="N1054" i="259"/>
  <c r="N1054" i="275" s="1"/>
  <c r="O1054" i="259"/>
  <c r="O1054" i="275" s="1"/>
  <c r="P1054" i="259"/>
  <c r="P1054" i="275" s="1"/>
  <c r="Q1054" i="259"/>
  <c r="Q1054" i="275" s="1"/>
  <c r="R1054" i="259"/>
  <c r="R1054" i="275" s="1"/>
  <c r="S1054" i="259"/>
  <c r="S1054" i="275" s="1"/>
  <c r="T1054" i="259"/>
  <c r="T1054" i="275" s="1"/>
  <c r="U1054" i="259"/>
  <c r="V1054" i="259"/>
  <c r="W1054" i="259"/>
  <c r="W1051" i="259"/>
  <c r="V1051" i="259"/>
  <c r="U1051" i="259"/>
  <c r="T1051" i="259"/>
  <c r="S1051" i="259"/>
  <c r="R1051" i="259"/>
  <c r="Q1051" i="259"/>
  <c r="P1051" i="259"/>
  <c r="O1051" i="259"/>
  <c r="N1051" i="259"/>
  <c r="M1051" i="259"/>
  <c r="L1051" i="259"/>
  <c r="K1051" i="259"/>
  <c r="J1051" i="259"/>
  <c r="I1051" i="259"/>
  <c r="H1051" i="259"/>
  <c r="G1051" i="259"/>
  <c r="F1051" i="259"/>
  <c r="E1051" i="259"/>
  <c r="D1051" i="259"/>
  <c r="F1040" i="259"/>
  <c r="G1040" i="259"/>
  <c r="H1040" i="259"/>
  <c r="I1040" i="259"/>
  <c r="J1040" i="259"/>
  <c r="J1040" i="275" s="1"/>
  <c r="K1040" i="259"/>
  <c r="K1040" i="275" s="1"/>
  <c r="L1040" i="259"/>
  <c r="L1040" i="275" s="1"/>
  <c r="M1040" i="259"/>
  <c r="M1040" i="275" s="1"/>
  <c r="N1040" i="259"/>
  <c r="N1040" i="275" s="1"/>
  <c r="O1040" i="259"/>
  <c r="O1040" i="275" s="1"/>
  <c r="P1040" i="259"/>
  <c r="P1040" i="275" s="1"/>
  <c r="Q1040" i="259"/>
  <c r="Q1040" i="275" s="1"/>
  <c r="R1040" i="259"/>
  <c r="R1040" i="275" s="1"/>
  <c r="S1040" i="259"/>
  <c r="S1040" i="275" s="1"/>
  <c r="T1040" i="259"/>
  <c r="T1040" i="275" s="1"/>
  <c r="U1040" i="259"/>
  <c r="V1040" i="259"/>
  <c r="W1040" i="259"/>
  <c r="W1040" i="275" s="1"/>
  <c r="F1042" i="259"/>
  <c r="G1042" i="259"/>
  <c r="H1042" i="259"/>
  <c r="I1042" i="259"/>
  <c r="J1042" i="259"/>
  <c r="J1042" i="275" s="1"/>
  <c r="K1042" i="259"/>
  <c r="K1042" i="275" s="1"/>
  <c r="L1042" i="259"/>
  <c r="L1042" i="275" s="1"/>
  <c r="M1042" i="259"/>
  <c r="M1042" i="275" s="1"/>
  <c r="N1042" i="259"/>
  <c r="N1042" i="275" s="1"/>
  <c r="O1042" i="259"/>
  <c r="P1042" i="259"/>
  <c r="P1042" i="275" s="1"/>
  <c r="Q1042" i="259"/>
  <c r="Q1042" i="275" s="1"/>
  <c r="R1042" i="259"/>
  <c r="R1042" i="275" s="1"/>
  <c r="S1042" i="259"/>
  <c r="T1042" i="259"/>
  <c r="T1042" i="275" s="1"/>
  <c r="U1042" i="259"/>
  <c r="V1042" i="259"/>
  <c r="W1042" i="259"/>
  <c r="W1042" i="275" s="1"/>
  <c r="E1040" i="259"/>
  <c r="E1042" i="259"/>
  <c r="D1046" i="259"/>
  <c r="D1044" i="259"/>
  <c r="D1042" i="259"/>
  <c r="D1040" i="259"/>
  <c r="E1027" i="259"/>
  <c r="F1027" i="259"/>
  <c r="G1027" i="259"/>
  <c r="H1027" i="259"/>
  <c r="I1027" i="259"/>
  <c r="J1027" i="259"/>
  <c r="J1027" i="275" s="1"/>
  <c r="K1027" i="259"/>
  <c r="L1027" i="259"/>
  <c r="L1027" i="275" s="1"/>
  <c r="M1027" i="259"/>
  <c r="N1027" i="259"/>
  <c r="N1027" i="275" s="1"/>
  <c r="O1027" i="259"/>
  <c r="O1027" i="275" s="1"/>
  <c r="P1027" i="259"/>
  <c r="P1027" i="275" s="1"/>
  <c r="Q1027" i="259"/>
  <c r="R1027" i="259"/>
  <c r="R1027" i="275" s="1"/>
  <c r="S1027" i="259"/>
  <c r="T1027" i="259"/>
  <c r="T1027" i="275" s="1"/>
  <c r="U1027" i="259"/>
  <c r="V1027" i="259"/>
  <c r="W1027" i="259"/>
  <c r="W1027" i="275" s="1"/>
  <c r="E1026" i="259"/>
  <c r="F1026" i="259"/>
  <c r="G1026" i="259"/>
  <c r="H1026" i="259"/>
  <c r="I1026" i="259"/>
  <c r="I1026" i="275" s="1"/>
  <c r="J1026" i="259"/>
  <c r="J1026" i="275" s="1"/>
  <c r="K1026" i="259"/>
  <c r="K1026" i="275" s="1"/>
  <c r="L1026" i="259"/>
  <c r="L1026" i="275" s="1"/>
  <c r="M1026" i="259"/>
  <c r="M1026" i="275" s="1"/>
  <c r="N1026" i="259"/>
  <c r="N1026" i="275" s="1"/>
  <c r="O1026" i="259"/>
  <c r="O1026" i="275" s="1"/>
  <c r="P1026" i="259"/>
  <c r="P1026" i="275" s="1"/>
  <c r="Q1026" i="259"/>
  <c r="Q1026" i="275" s="1"/>
  <c r="R1026" i="259"/>
  <c r="R1026" i="275" s="1"/>
  <c r="S1026" i="259"/>
  <c r="S1026" i="275" s="1"/>
  <c r="T1026" i="259"/>
  <c r="T1026" i="275" s="1"/>
  <c r="U1026" i="259"/>
  <c r="V1026" i="259"/>
  <c r="W1026" i="259"/>
  <c r="W1026" i="275" s="1"/>
  <c r="D1026" i="259"/>
  <c r="D1027" i="259"/>
  <c r="E1022" i="259"/>
  <c r="F1022" i="259"/>
  <c r="G1022" i="259"/>
  <c r="H1022" i="259"/>
  <c r="I1022" i="259"/>
  <c r="I1022" i="275" s="1"/>
  <c r="J1022" i="259"/>
  <c r="J1022" i="275" s="1"/>
  <c r="K1022" i="259"/>
  <c r="K1022" i="275" s="1"/>
  <c r="L1022" i="259"/>
  <c r="L1022" i="275" s="1"/>
  <c r="M1022" i="259"/>
  <c r="N1022" i="259"/>
  <c r="N1022" i="275" s="1"/>
  <c r="O1022" i="259"/>
  <c r="O1022" i="275" s="1"/>
  <c r="P1022" i="259"/>
  <c r="P1022" i="275" s="1"/>
  <c r="Q1022" i="259"/>
  <c r="Q1022" i="275" s="1"/>
  <c r="R1022" i="259"/>
  <c r="R1022" i="275" s="1"/>
  <c r="S1022" i="259"/>
  <c r="S1022" i="275" s="1"/>
  <c r="T1022" i="259"/>
  <c r="T1022" i="275" s="1"/>
  <c r="U1022" i="259"/>
  <c r="V1022" i="259"/>
  <c r="W1022" i="259"/>
  <c r="W1022" i="275" s="1"/>
  <c r="E1021" i="259"/>
  <c r="F1021" i="259"/>
  <c r="G1021" i="259"/>
  <c r="H1021" i="259"/>
  <c r="I1021" i="259"/>
  <c r="I1021" i="275" s="1"/>
  <c r="J1021" i="259"/>
  <c r="J1021" i="275" s="1"/>
  <c r="K1021" i="259"/>
  <c r="K1021" i="275" s="1"/>
  <c r="L1021" i="259"/>
  <c r="L1021" i="275" s="1"/>
  <c r="M1021" i="259"/>
  <c r="M1021" i="275" s="1"/>
  <c r="N1021" i="259"/>
  <c r="N1021" i="275" s="1"/>
  <c r="O1021" i="259"/>
  <c r="O1021" i="275" s="1"/>
  <c r="P1021" i="259"/>
  <c r="P1021" i="275" s="1"/>
  <c r="Q1021" i="259"/>
  <c r="Q1021" i="275" s="1"/>
  <c r="R1021" i="259"/>
  <c r="R1021" i="275" s="1"/>
  <c r="S1021" i="259"/>
  <c r="S1021" i="275" s="1"/>
  <c r="T1021" i="259"/>
  <c r="U1021" i="259"/>
  <c r="V1021" i="259"/>
  <c r="W1021" i="259"/>
  <c r="W1021" i="275" s="1"/>
  <c r="D1021" i="259"/>
  <c r="D1022" i="259"/>
  <c r="E1017" i="259"/>
  <c r="F1017" i="259"/>
  <c r="G1017" i="259"/>
  <c r="H1017" i="259"/>
  <c r="I1017" i="259"/>
  <c r="J1017" i="259"/>
  <c r="J1017" i="275" s="1"/>
  <c r="K1017" i="259"/>
  <c r="K1017" i="275" s="1"/>
  <c r="L1017" i="259"/>
  <c r="L1017" i="275" s="1"/>
  <c r="M1017" i="259"/>
  <c r="M1017" i="275" s="1"/>
  <c r="N1017" i="259"/>
  <c r="N1017" i="275" s="1"/>
  <c r="O1017" i="259"/>
  <c r="O1017" i="275" s="1"/>
  <c r="P1017" i="259"/>
  <c r="P1017" i="275" s="1"/>
  <c r="Q1017" i="259"/>
  <c r="Q1017" i="275" s="1"/>
  <c r="R1017" i="259"/>
  <c r="R1017" i="275" s="1"/>
  <c r="S1017" i="259"/>
  <c r="S1017" i="275" s="1"/>
  <c r="T1017" i="259"/>
  <c r="T1017" i="275" s="1"/>
  <c r="U1017" i="259"/>
  <c r="V1017" i="259"/>
  <c r="W1017" i="259"/>
  <c r="W1017" i="275" s="1"/>
  <c r="D1017" i="259"/>
  <c r="D1236" i="259"/>
  <c r="E1236" i="259"/>
  <c r="E148" i="262" s="1"/>
  <c r="F1236" i="259"/>
  <c r="F148" i="262" s="1"/>
  <c r="G1236" i="259"/>
  <c r="G148" i="262" s="1"/>
  <c r="H1236" i="259"/>
  <c r="I1236" i="259"/>
  <c r="I148" i="262" s="1"/>
  <c r="J1236" i="259"/>
  <c r="J148" i="262" s="1"/>
  <c r="K1236" i="259"/>
  <c r="K148" i="262" s="1"/>
  <c r="L1236" i="259"/>
  <c r="L148" i="262" s="1"/>
  <c r="M1236" i="259"/>
  <c r="M148" i="262" s="1"/>
  <c r="N1236" i="259"/>
  <c r="O1236" i="259"/>
  <c r="O148" i="262" s="1"/>
  <c r="P1236" i="259"/>
  <c r="Q1236" i="259"/>
  <c r="Q148" i="262" s="1"/>
  <c r="R1236" i="259"/>
  <c r="R148" i="262" s="1"/>
  <c r="S1236" i="259"/>
  <c r="S148" i="262" s="1"/>
  <c r="T1236" i="259"/>
  <c r="U1236" i="259"/>
  <c r="U148" i="262" s="1"/>
  <c r="V1236" i="259"/>
  <c r="V148" i="262" s="1"/>
  <c r="W1236" i="259"/>
  <c r="W148" i="262" s="1"/>
  <c r="D1231" i="259"/>
  <c r="D147" i="262" s="1"/>
  <c r="E1231" i="259"/>
  <c r="E147" i="262" s="1"/>
  <c r="F1231" i="259"/>
  <c r="F147" i="262" s="1"/>
  <c r="G1231" i="259"/>
  <c r="G147" i="262" s="1"/>
  <c r="H1231" i="259"/>
  <c r="H147" i="262" s="1"/>
  <c r="I1231" i="259"/>
  <c r="I147" i="262" s="1"/>
  <c r="J1231" i="259"/>
  <c r="J147" i="262" s="1"/>
  <c r="K1231" i="259"/>
  <c r="K147" i="262" s="1"/>
  <c r="L1231" i="259"/>
  <c r="L147" i="262" s="1"/>
  <c r="M1231" i="259"/>
  <c r="M147" i="262" s="1"/>
  <c r="N1231" i="259"/>
  <c r="N147" i="262" s="1"/>
  <c r="O1231" i="259"/>
  <c r="O147" i="262" s="1"/>
  <c r="P1231" i="259"/>
  <c r="P147" i="262" s="1"/>
  <c r="Q1231" i="259"/>
  <c r="Q147" i="262" s="1"/>
  <c r="R1231" i="259"/>
  <c r="R147" i="262" s="1"/>
  <c r="S1231" i="259"/>
  <c r="S147" i="262" s="1"/>
  <c r="T1231" i="259"/>
  <c r="U1231" i="259"/>
  <c r="U147" i="262" s="1"/>
  <c r="V1231" i="259"/>
  <c r="V147" i="262" s="1"/>
  <c r="W1231" i="259"/>
  <c r="W147" i="262" s="1"/>
  <c r="D1214" i="259"/>
  <c r="E1214" i="259"/>
  <c r="F1214" i="259"/>
  <c r="G1214" i="259"/>
  <c r="H1214" i="259"/>
  <c r="I1214" i="259"/>
  <c r="J1214" i="259"/>
  <c r="K1214" i="259"/>
  <c r="L1214" i="259"/>
  <c r="M1214" i="259"/>
  <c r="N1214" i="259"/>
  <c r="O1214" i="259"/>
  <c r="P1214" i="259"/>
  <c r="Q1214" i="259"/>
  <c r="R1214" i="259"/>
  <c r="S1214" i="259"/>
  <c r="T1214" i="259"/>
  <c r="U1214" i="259"/>
  <c r="V1214" i="259"/>
  <c r="W1214" i="259"/>
  <c r="D1201" i="259"/>
  <c r="E1201" i="259"/>
  <c r="F1201" i="259"/>
  <c r="G1201" i="259"/>
  <c r="H1201" i="259"/>
  <c r="I1201" i="259"/>
  <c r="J1201" i="259"/>
  <c r="K1201" i="259"/>
  <c r="L1201" i="259"/>
  <c r="M1201" i="259"/>
  <c r="N1201" i="259"/>
  <c r="O1201" i="259"/>
  <c r="P1201" i="259"/>
  <c r="Q1201" i="259"/>
  <c r="R1201" i="259"/>
  <c r="S1201" i="259"/>
  <c r="T1201" i="259"/>
  <c r="U1201" i="259"/>
  <c r="V1201" i="259"/>
  <c r="W1201" i="259"/>
  <c r="D1184" i="259"/>
  <c r="D1179" i="259" s="1"/>
  <c r="D146" i="262" s="1"/>
  <c r="E1184" i="259"/>
  <c r="F1184" i="259"/>
  <c r="F1179" i="259" s="1"/>
  <c r="G1184" i="259"/>
  <c r="H1184" i="259"/>
  <c r="H1179" i="259" s="1"/>
  <c r="H146" i="262" s="1"/>
  <c r="I1184" i="259"/>
  <c r="J1184" i="259"/>
  <c r="K1184" i="259"/>
  <c r="L1184" i="259"/>
  <c r="M1184" i="259"/>
  <c r="N1184" i="259"/>
  <c r="N1179" i="259" s="1"/>
  <c r="O1184" i="259"/>
  <c r="P1184" i="259"/>
  <c r="Q1184" i="259"/>
  <c r="R1184" i="259"/>
  <c r="R1179" i="259" s="1"/>
  <c r="R146" i="262" s="1"/>
  <c r="S1184" i="259"/>
  <c r="T1184" i="259"/>
  <c r="U1184" i="259"/>
  <c r="V1184" i="259"/>
  <c r="W1184" i="259"/>
  <c r="I1418" i="259"/>
  <c r="J1418" i="259"/>
  <c r="K1418" i="259"/>
  <c r="L1418" i="259"/>
  <c r="M1418" i="259"/>
  <c r="N1418" i="259"/>
  <c r="O1418" i="259"/>
  <c r="P1418" i="259"/>
  <c r="Q1418" i="259"/>
  <c r="R1418" i="259"/>
  <c r="S1418" i="259"/>
  <c r="T1418" i="259"/>
  <c r="U1418" i="259"/>
  <c r="V1418" i="259"/>
  <c r="W1418" i="259"/>
  <c r="E1418" i="259"/>
  <c r="F1418" i="259"/>
  <c r="G1418" i="259"/>
  <c r="H1418" i="259"/>
  <c r="D1418" i="259"/>
  <c r="AC1368" i="259"/>
  <c r="AD1368" i="259" s="1"/>
  <c r="AE1368" i="259" s="1"/>
  <c r="J1473" i="259"/>
  <c r="J1474" i="259" s="1"/>
  <c r="J345" i="261" s="1"/>
  <c r="K1473" i="259"/>
  <c r="K1474" i="259" s="1"/>
  <c r="K345" i="261" s="1"/>
  <c r="L1473" i="259"/>
  <c r="L1474" i="259" s="1"/>
  <c r="L345" i="261" s="1"/>
  <c r="M1473" i="259"/>
  <c r="M1474" i="259" s="1"/>
  <c r="M345" i="261" s="1"/>
  <c r="N1473" i="259"/>
  <c r="N1474" i="259" s="1"/>
  <c r="N345" i="261" s="1"/>
  <c r="O1473" i="259"/>
  <c r="O1474" i="259" s="1"/>
  <c r="O345" i="261" s="1"/>
  <c r="P1473" i="259"/>
  <c r="P1474" i="259" s="1"/>
  <c r="P345" i="261" s="1"/>
  <c r="Q1473" i="259"/>
  <c r="Q1474" i="259" s="1"/>
  <c r="Q345" i="261" s="1"/>
  <c r="R1473" i="259"/>
  <c r="R1474" i="259" s="1"/>
  <c r="R345" i="261" s="1"/>
  <c r="S1473" i="259"/>
  <c r="S1474" i="259" s="1"/>
  <c r="S345" i="261" s="1"/>
  <c r="T1473" i="259"/>
  <c r="T1474" i="259" s="1"/>
  <c r="T345" i="261" s="1"/>
  <c r="U1473" i="259"/>
  <c r="U1474" i="259" s="1"/>
  <c r="U345" i="261" s="1"/>
  <c r="V1473" i="259"/>
  <c r="V1474" i="259" s="1"/>
  <c r="V345" i="261" s="1"/>
  <c r="W1473" i="259"/>
  <c r="W1474" i="259" s="1"/>
  <c r="I1473" i="259"/>
  <c r="I1474" i="259" s="1"/>
  <c r="I345" i="261" s="1"/>
  <c r="K1377" i="259"/>
  <c r="AV1377" i="259" s="1"/>
  <c r="L1377" i="259"/>
  <c r="M1377" i="259"/>
  <c r="N1377" i="259"/>
  <c r="O1377" i="259"/>
  <c r="AW1377" i="259" s="1"/>
  <c r="P1377" i="259"/>
  <c r="Q1377" i="259"/>
  <c r="R1377" i="259"/>
  <c r="S1377" i="259"/>
  <c r="AX1377" i="259" s="1"/>
  <c r="T1377" i="259"/>
  <c r="U1377" i="259"/>
  <c r="V1377" i="259"/>
  <c r="W1377" i="259"/>
  <c r="AY1377" i="259" s="1"/>
  <c r="H1377" i="259"/>
  <c r="I1377" i="259"/>
  <c r="J1377" i="259"/>
  <c r="G1377" i="259"/>
  <c r="AU1377" i="259" s="1"/>
  <c r="BA253" i="259"/>
  <c r="AZ253" i="259"/>
  <c r="BA252" i="259"/>
  <c r="AZ252" i="259"/>
  <c r="BA249" i="259"/>
  <c r="AZ249" i="259"/>
  <c r="AY249" i="259"/>
  <c r="AX249" i="259"/>
  <c r="AW249" i="259"/>
  <c r="AV249" i="259"/>
  <c r="AU249" i="259"/>
  <c r="BA248" i="259"/>
  <c r="AZ248" i="259"/>
  <c r="AY248" i="259"/>
  <c r="AX248" i="259"/>
  <c r="AW248" i="259"/>
  <c r="AV248" i="259"/>
  <c r="AU248" i="259"/>
  <c r="AY244" i="259"/>
  <c r="AX244" i="259"/>
  <c r="AW244" i="259"/>
  <c r="AV244" i="259"/>
  <c r="AU244" i="259"/>
  <c r="AU69" i="262" s="1"/>
  <c r="AY243" i="259"/>
  <c r="AX243" i="259"/>
  <c r="AW243" i="259"/>
  <c r="AV243" i="259"/>
  <c r="AU243" i="259"/>
  <c r="AU64" i="262" s="1"/>
  <c r="BA239" i="259"/>
  <c r="AZ239" i="259"/>
  <c r="AZ239" i="275" s="1"/>
  <c r="AY239" i="259"/>
  <c r="AX239" i="259"/>
  <c r="AX239" i="275" s="1"/>
  <c r="AW239" i="259"/>
  <c r="AV239" i="259"/>
  <c r="AV239" i="275" s="1"/>
  <c r="AU239" i="259"/>
  <c r="BA238" i="259"/>
  <c r="AZ238" i="259"/>
  <c r="AY238" i="259"/>
  <c r="AY238" i="275" s="1"/>
  <c r="AX238" i="259"/>
  <c r="AW238" i="259"/>
  <c r="AW238" i="275" s="1"/>
  <c r="AV238" i="259"/>
  <c r="AU238" i="259"/>
  <c r="AY231" i="259"/>
  <c r="AX231" i="259"/>
  <c r="AX231" i="275" s="1"/>
  <c r="AW231" i="259"/>
  <c r="AV231" i="259"/>
  <c r="AV231" i="275" s="1"/>
  <c r="AU231" i="259"/>
  <c r="AY230" i="259"/>
  <c r="AY230" i="275" s="1"/>
  <c r="AX230" i="259"/>
  <c r="AW230" i="259"/>
  <c r="AW230" i="275" s="1"/>
  <c r="AV230" i="259"/>
  <c r="AU230" i="259"/>
  <c r="AY227" i="259"/>
  <c r="AX227" i="259"/>
  <c r="AX227" i="275" s="1"/>
  <c r="AW227" i="259"/>
  <c r="AV227" i="259"/>
  <c r="AV227" i="275" s="1"/>
  <c r="AU227" i="259"/>
  <c r="AY226" i="259"/>
  <c r="AY226" i="275" s="1"/>
  <c r="AX226" i="259"/>
  <c r="AW226" i="259"/>
  <c r="AW226" i="275" s="1"/>
  <c r="AV226" i="259"/>
  <c r="AU226" i="259"/>
  <c r="AY225" i="259"/>
  <c r="AX225" i="259"/>
  <c r="AX225" i="275" s="1"/>
  <c r="AW225" i="259"/>
  <c r="AV225" i="259"/>
  <c r="AV225" i="275" s="1"/>
  <c r="AU225" i="259"/>
  <c r="BA204" i="259"/>
  <c r="AZ204" i="259"/>
  <c r="AY204" i="259"/>
  <c r="AY204" i="275" s="1"/>
  <c r="AX204" i="259"/>
  <c r="AW204" i="259"/>
  <c r="AW204" i="275" s="1"/>
  <c r="AV204" i="259"/>
  <c r="AU204" i="259"/>
  <c r="AY193" i="259"/>
  <c r="AX193" i="259"/>
  <c r="AX193" i="275" s="1"/>
  <c r="AW193" i="259"/>
  <c r="AV193" i="259"/>
  <c r="AV193" i="275" s="1"/>
  <c r="AU193" i="259"/>
  <c r="AU776" i="259"/>
  <c r="AU775" i="259"/>
  <c r="AU774" i="259"/>
  <c r="AU772" i="259"/>
  <c r="AY763" i="259"/>
  <c r="AX763" i="259"/>
  <c r="AW763" i="259"/>
  <c r="AW763" i="275" s="1"/>
  <c r="AV763" i="259"/>
  <c r="AU763" i="259"/>
  <c r="AY762" i="259"/>
  <c r="AX762" i="259"/>
  <c r="AX762" i="275" s="1"/>
  <c r="AW762" i="259"/>
  <c r="AV762" i="259"/>
  <c r="AV762" i="275" s="1"/>
  <c r="AU762" i="259"/>
  <c r="AY761" i="259"/>
  <c r="AX761" i="259"/>
  <c r="AW761" i="259"/>
  <c r="AW761" i="275" s="1"/>
  <c r="AV761" i="259"/>
  <c r="AU761" i="259"/>
  <c r="AY760" i="259"/>
  <c r="AX760" i="259"/>
  <c r="AX760" i="275" s="1"/>
  <c r="AW760" i="259"/>
  <c r="AV760" i="259"/>
  <c r="AV760" i="275" s="1"/>
  <c r="AU760" i="259"/>
  <c r="AY759" i="259"/>
  <c r="AX759" i="259"/>
  <c r="AW759" i="259"/>
  <c r="AW759" i="275" s="1"/>
  <c r="AV759" i="259"/>
  <c r="AU759" i="259"/>
  <c r="AY758" i="259"/>
  <c r="AX758" i="259"/>
  <c r="AX758" i="275" s="1"/>
  <c r="AW758" i="259"/>
  <c r="AV758" i="259"/>
  <c r="AV758" i="275" s="1"/>
  <c r="AU758" i="259"/>
  <c r="AY750" i="259"/>
  <c r="AX750" i="259"/>
  <c r="AW750" i="259"/>
  <c r="AV750" i="259"/>
  <c r="AU750" i="259"/>
  <c r="AU82" i="262" s="1"/>
  <c r="AY749" i="259"/>
  <c r="AX749" i="259"/>
  <c r="AW749" i="259"/>
  <c r="AV749" i="259"/>
  <c r="AU749" i="259"/>
  <c r="AU81" i="262" s="1"/>
  <c r="AY558" i="259"/>
  <c r="AX558" i="259"/>
  <c r="AW558" i="259"/>
  <c r="AV558" i="259"/>
  <c r="AU558" i="259"/>
  <c r="AU10" i="262" s="1"/>
  <c r="AY548" i="259"/>
  <c r="AX548" i="259"/>
  <c r="AW548" i="259"/>
  <c r="AV548" i="259"/>
  <c r="AU548" i="259"/>
  <c r="AU9" i="262" s="1"/>
  <c r="AY538" i="259"/>
  <c r="AX538" i="259"/>
  <c r="AW538" i="259"/>
  <c r="AV538" i="259"/>
  <c r="AU538" i="259"/>
  <c r="AU8" i="262" s="1"/>
  <c r="AY597" i="259"/>
  <c r="AX597" i="259"/>
  <c r="AX597" i="275" s="1"/>
  <c r="AW597" i="259"/>
  <c r="AV597" i="259"/>
  <c r="AV597" i="275" s="1"/>
  <c r="AU597" i="259"/>
  <c r="AY596" i="259"/>
  <c r="AX596" i="259"/>
  <c r="AW596" i="259"/>
  <c r="AW596" i="275" s="1"/>
  <c r="AV596" i="259"/>
  <c r="AU596" i="259"/>
  <c r="AY595" i="259"/>
  <c r="AX595" i="259"/>
  <c r="AX595" i="275" s="1"/>
  <c r="AW595" i="259"/>
  <c r="AV595" i="259"/>
  <c r="AV595" i="275" s="1"/>
  <c r="AU595" i="259"/>
  <c r="AY594" i="259"/>
  <c r="AX594" i="259"/>
  <c r="AW594" i="259"/>
  <c r="AW594" i="275" s="1"/>
  <c r="AV594" i="259"/>
  <c r="AU594" i="259"/>
  <c r="AY588" i="259"/>
  <c r="AX588" i="259"/>
  <c r="AX588" i="275" s="1"/>
  <c r="AW588" i="259"/>
  <c r="AV588" i="259"/>
  <c r="AV588" i="275" s="1"/>
  <c r="AU588" i="259"/>
  <c r="AY587" i="259"/>
  <c r="AX587" i="259"/>
  <c r="AW587" i="259"/>
  <c r="AW587" i="275" s="1"/>
  <c r="AV587" i="259"/>
  <c r="AU587" i="259"/>
  <c r="AY586" i="259"/>
  <c r="AX586" i="259"/>
  <c r="AX586" i="275" s="1"/>
  <c r="AW586" i="259"/>
  <c r="AV586" i="259"/>
  <c r="AV586" i="275" s="1"/>
  <c r="AU586" i="259"/>
  <c r="AY585" i="259"/>
  <c r="AX585" i="259"/>
  <c r="AW585" i="259"/>
  <c r="AW585" i="275" s="1"/>
  <c r="AV585" i="259"/>
  <c r="AU585" i="259"/>
  <c r="AY581" i="259"/>
  <c r="AX581" i="259"/>
  <c r="AX581" i="275" s="1"/>
  <c r="AW581" i="259"/>
  <c r="AV581" i="259"/>
  <c r="AV581" i="275" s="1"/>
  <c r="AU581" i="259"/>
  <c r="AY578" i="259"/>
  <c r="AX578" i="259"/>
  <c r="AW578" i="259"/>
  <c r="AW578" i="275" s="1"/>
  <c r="AV578" i="259"/>
  <c r="AU578" i="259"/>
  <c r="AY577" i="259"/>
  <c r="AX577" i="259"/>
  <c r="AX577" i="275" s="1"/>
  <c r="AW577" i="259"/>
  <c r="AV577" i="259"/>
  <c r="AV577" i="275" s="1"/>
  <c r="AU577" i="259"/>
  <c r="AY576" i="259"/>
  <c r="AX576" i="259"/>
  <c r="AW576" i="259"/>
  <c r="AW576" i="275" s="1"/>
  <c r="AV576" i="259"/>
  <c r="AU576" i="259"/>
  <c r="AY575" i="259"/>
  <c r="AX575" i="259"/>
  <c r="AX575" i="275" s="1"/>
  <c r="AW575" i="259"/>
  <c r="AV575" i="259"/>
  <c r="AV575" i="275" s="1"/>
  <c r="AU575" i="259"/>
  <c r="AY574" i="259"/>
  <c r="AX574" i="259"/>
  <c r="AW574" i="259"/>
  <c r="AW574" i="275" s="1"/>
  <c r="AV574" i="259"/>
  <c r="AU574" i="259"/>
  <c r="AY533" i="259"/>
  <c r="AX533" i="259"/>
  <c r="AX533" i="275" s="1"/>
  <c r="AW533" i="259"/>
  <c r="AV533" i="259"/>
  <c r="AV533" i="275" s="1"/>
  <c r="AU533" i="259"/>
  <c r="AY531" i="259"/>
  <c r="AX531" i="259"/>
  <c r="AW531" i="259"/>
  <c r="AW531" i="275" s="1"/>
  <c r="AV531" i="259"/>
  <c r="AU531" i="259"/>
  <c r="AY530" i="259"/>
  <c r="AX530" i="259"/>
  <c r="AX530" i="275" s="1"/>
  <c r="AW530" i="259"/>
  <c r="AV530" i="259"/>
  <c r="AV530" i="275" s="1"/>
  <c r="AU530" i="259"/>
  <c r="AY529" i="259"/>
  <c r="AX529" i="259"/>
  <c r="AW529" i="259"/>
  <c r="AW529" i="275" s="1"/>
  <c r="AV529" i="259"/>
  <c r="AU529" i="259"/>
  <c r="AY525" i="259"/>
  <c r="AX525" i="259"/>
  <c r="AX525" i="275" s="1"/>
  <c r="AW525" i="259"/>
  <c r="AV525" i="259"/>
  <c r="AV525" i="275" s="1"/>
  <c r="AU525" i="259"/>
  <c r="AY524" i="259"/>
  <c r="AX524" i="259"/>
  <c r="AW524" i="259"/>
  <c r="AW524" i="275" s="1"/>
  <c r="AV524" i="259"/>
  <c r="AU524" i="259"/>
  <c r="AY385" i="259"/>
  <c r="AX385" i="259"/>
  <c r="AX385" i="275" s="1"/>
  <c r="AW385" i="259"/>
  <c r="AV385" i="259"/>
  <c r="AV385" i="275" s="1"/>
  <c r="AU385" i="259"/>
  <c r="AY384" i="259"/>
  <c r="AX384" i="259"/>
  <c r="AW384" i="259"/>
  <c r="AW384" i="275" s="1"/>
  <c r="AV384" i="259"/>
  <c r="AU384" i="259"/>
  <c r="AY375" i="259"/>
  <c r="AX375" i="259"/>
  <c r="AX375" i="275" s="1"/>
  <c r="AW375" i="259"/>
  <c r="AV375" i="259"/>
  <c r="AV375" i="275" s="1"/>
  <c r="AU375" i="259"/>
  <c r="AY374" i="259"/>
  <c r="AY374" i="275" s="1"/>
  <c r="AX374" i="259"/>
  <c r="AW374" i="259"/>
  <c r="AW374" i="275" s="1"/>
  <c r="AV374" i="259"/>
  <c r="AU374" i="259"/>
  <c r="AU389" i="259" s="1"/>
  <c r="AU17" i="261" s="1"/>
  <c r="AY370" i="259"/>
  <c r="AX370" i="259"/>
  <c r="AX370" i="275" s="1"/>
  <c r="AW370" i="259"/>
  <c r="AV370" i="259"/>
  <c r="AV370" i="275" s="1"/>
  <c r="AU370" i="259"/>
  <c r="AY369" i="259"/>
  <c r="AY369" i="275" s="1"/>
  <c r="AX369" i="259"/>
  <c r="AW369" i="259"/>
  <c r="AW369" i="275" s="1"/>
  <c r="AV369" i="259"/>
  <c r="AU369" i="259"/>
  <c r="AU371" i="259" s="1"/>
  <c r="AY360" i="259"/>
  <c r="AX360" i="259"/>
  <c r="AX360" i="275" s="1"/>
  <c r="AW360" i="259"/>
  <c r="AV360" i="259"/>
  <c r="AV360" i="275" s="1"/>
  <c r="AU360" i="259"/>
  <c r="AY359" i="259"/>
  <c r="AY359" i="275" s="1"/>
  <c r="AX359" i="259"/>
  <c r="AW359" i="259"/>
  <c r="AW359" i="275" s="1"/>
  <c r="AV359" i="259"/>
  <c r="AU359" i="259"/>
  <c r="AY357" i="259"/>
  <c r="AX357" i="259"/>
  <c r="AX357" i="275" s="1"/>
  <c r="AW357" i="259"/>
  <c r="AV357" i="259"/>
  <c r="AV357" i="275" s="1"/>
  <c r="AU357" i="259"/>
  <c r="AY354" i="259"/>
  <c r="AY354" i="275" s="1"/>
  <c r="AX354" i="259"/>
  <c r="AW354" i="259"/>
  <c r="AW354" i="275" s="1"/>
  <c r="AV354" i="259"/>
  <c r="AU354" i="259"/>
  <c r="AY353" i="259"/>
  <c r="AX353" i="259"/>
  <c r="AX353" i="275" s="1"/>
  <c r="AW353" i="259"/>
  <c r="AV353" i="259"/>
  <c r="AV353" i="275" s="1"/>
  <c r="AU353" i="259"/>
  <c r="AY307" i="259"/>
  <c r="AX307" i="259"/>
  <c r="AW307" i="259"/>
  <c r="AW307" i="275" s="1"/>
  <c r="AV307" i="259"/>
  <c r="AU307" i="259"/>
  <c r="AY306" i="259"/>
  <c r="AX306" i="259"/>
  <c r="AX306" i="275" s="1"/>
  <c r="AW306" i="259"/>
  <c r="AV306" i="259"/>
  <c r="AV306" i="275" s="1"/>
  <c r="AU306" i="259"/>
  <c r="AY297" i="259"/>
  <c r="AY297" i="275" s="1"/>
  <c r="AX297" i="259"/>
  <c r="AW297" i="259"/>
  <c r="AW297" i="275" s="1"/>
  <c r="AV297" i="259"/>
  <c r="AU297" i="259"/>
  <c r="AY296" i="259"/>
  <c r="AX296" i="259"/>
  <c r="AX296" i="275" s="1"/>
  <c r="AW296" i="259"/>
  <c r="AV296" i="259"/>
  <c r="AV296" i="275" s="1"/>
  <c r="AU296" i="259"/>
  <c r="AY292" i="259"/>
  <c r="AY292" i="275" s="1"/>
  <c r="AX292" i="259"/>
  <c r="AW292" i="259"/>
  <c r="AW292" i="275" s="1"/>
  <c r="AV292" i="259"/>
  <c r="AU292" i="259"/>
  <c r="AY291" i="259"/>
  <c r="AX291" i="259"/>
  <c r="AX291" i="275" s="1"/>
  <c r="AW291" i="259"/>
  <c r="AV291" i="259"/>
  <c r="AV291" i="275" s="1"/>
  <c r="AU291" i="259"/>
  <c r="AY282" i="259"/>
  <c r="AY282" i="275" s="1"/>
  <c r="AX282" i="259"/>
  <c r="AW282" i="259"/>
  <c r="AW282" i="275" s="1"/>
  <c r="AV282" i="259"/>
  <c r="AU282" i="259"/>
  <c r="AY281" i="259"/>
  <c r="AX281" i="259"/>
  <c r="AX281" i="275" s="1"/>
  <c r="AW281" i="259"/>
  <c r="AV281" i="259"/>
  <c r="AV281" i="275" s="1"/>
  <c r="AU281" i="259"/>
  <c r="AY279" i="259"/>
  <c r="AY279" i="275" s="1"/>
  <c r="AX279" i="259"/>
  <c r="AW279" i="259"/>
  <c r="AW279" i="275" s="1"/>
  <c r="AV279" i="259"/>
  <c r="AU279" i="259"/>
  <c r="AY276" i="259"/>
  <c r="AX276" i="259"/>
  <c r="AX276" i="275" s="1"/>
  <c r="AW276" i="259"/>
  <c r="AV276" i="259"/>
  <c r="AV276" i="275" s="1"/>
  <c r="AU276" i="259"/>
  <c r="AY275" i="259"/>
  <c r="AY275" i="275" s="1"/>
  <c r="AX275" i="259"/>
  <c r="AW275" i="259"/>
  <c r="AW275" i="275" s="1"/>
  <c r="AV275" i="259"/>
  <c r="AU275" i="259"/>
  <c r="AY207" i="259"/>
  <c r="AX207" i="259"/>
  <c r="AW207" i="259"/>
  <c r="AV207" i="259"/>
  <c r="AU207" i="259"/>
  <c r="AU61" i="262" s="1"/>
  <c r="AY205" i="259"/>
  <c r="AY205" i="275" s="1"/>
  <c r="AX205" i="259"/>
  <c r="AW205" i="259"/>
  <c r="AW205" i="275" s="1"/>
  <c r="AV205" i="259"/>
  <c r="AU205" i="259"/>
  <c r="AY202" i="259"/>
  <c r="AX202" i="259"/>
  <c r="AW202" i="259"/>
  <c r="AV202" i="259"/>
  <c r="AU202" i="259"/>
  <c r="AU60" i="262" s="1"/>
  <c r="AY192" i="259"/>
  <c r="AX192" i="259"/>
  <c r="AW192" i="259"/>
  <c r="AW192" i="275" s="1"/>
  <c r="AV192" i="259"/>
  <c r="AU192" i="259"/>
  <c r="AY186" i="259"/>
  <c r="AX186" i="259"/>
  <c r="AX186" i="275" s="1"/>
  <c r="AW186" i="259"/>
  <c r="AV186" i="259"/>
  <c r="AV186" i="275" s="1"/>
  <c r="AU186" i="259"/>
  <c r="AY185" i="259"/>
  <c r="AX185" i="259"/>
  <c r="AW185" i="259"/>
  <c r="AW185" i="275" s="1"/>
  <c r="AV185" i="259"/>
  <c r="AU185" i="259"/>
  <c r="AY184" i="259"/>
  <c r="AX184" i="259"/>
  <c r="AX184" i="275" s="1"/>
  <c r="AW184" i="259"/>
  <c r="AV184" i="259"/>
  <c r="AV184" i="275" s="1"/>
  <c r="AU184" i="259"/>
  <c r="AY173" i="259"/>
  <c r="AY173" i="275" s="1"/>
  <c r="AX173" i="259"/>
  <c r="AW173" i="259"/>
  <c r="AV173" i="259"/>
  <c r="AU173" i="259"/>
  <c r="AU258" i="259" s="1"/>
  <c r="AU10" i="261" s="1"/>
  <c r="AY172" i="259"/>
  <c r="AX172" i="259"/>
  <c r="AW172" i="259"/>
  <c r="AV172" i="259"/>
  <c r="AV172" i="275" s="1"/>
  <c r="AU172" i="259"/>
  <c r="AY171" i="259"/>
  <c r="AY171" i="275" s="1"/>
  <c r="AX171" i="259"/>
  <c r="AW171" i="259"/>
  <c r="AW171" i="275" s="1"/>
  <c r="AV171" i="259"/>
  <c r="AU171" i="259"/>
  <c r="AU256" i="259" s="1"/>
  <c r="AU8" i="261" s="1"/>
  <c r="AY167" i="259"/>
  <c r="AX167" i="259"/>
  <c r="AX167" i="275" s="1"/>
  <c r="AW167" i="259"/>
  <c r="AV167" i="259"/>
  <c r="AU167" i="259"/>
  <c r="AU133" i="259" s="1"/>
  <c r="AU132" i="262" s="1"/>
  <c r="AY166" i="259"/>
  <c r="AY166" i="275" s="1"/>
  <c r="AX166" i="259"/>
  <c r="AW166" i="259"/>
  <c r="AW166" i="275" s="1"/>
  <c r="AV166" i="259"/>
  <c r="AU166" i="259"/>
  <c r="AY165" i="259"/>
  <c r="AX165" i="259"/>
  <c r="AX165" i="275" s="1"/>
  <c r="AW165" i="259"/>
  <c r="AV165" i="259"/>
  <c r="AV165" i="275" s="1"/>
  <c r="AU165" i="259"/>
  <c r="AY156" i="259"/>
  <c r="AY156" i="275" s="1"/>
  <c r="AX156" i="259"/>
  <c r="AW156" i="259"/>
  <c r="AW156" i="275" s="1"/>
  <c r="AV156" i="259"/>
  <c r="AU156" i="259"/>
  <c r="AY155" i="259"/>
  <c r="AX155" i="259"/>
  <c r="AX155" i="275" s="1"/>
  <c r="AW155" i="259"/>
  <c r="AV155" i="259"/>
  <c r="AV155" i="275" s="1"/>
  <c r="AU155" i="259"/>
  <c r="AY153" i="259"/>
  <c r="AY153" i="275" s="1"/>
  <c r="AX153" i="259"/>
  <c r="AW153" i="259"/>
  <c r="AW153" i="275" s="1"/>
  <c r="AV153" i="259"/>
  <c r="AU153" i="259"/>
  <c r="AY150" i="259"/>
  <c r="AX150" i="259"/>
  <c r="AX150" i="275" s="1"/>
  <c r="AW150" i="259"/>
  <c r="AV150" i="259"/>
  <c r="AV150" i="275" s="1"/>
  <c r="AU150" i="259"/>
  <c r="AY149" i="259"/>
  <c r="AX149" i="259"/>
  <c r="AW149" i="259"/>
  <c r="AW149" i="275" s="1"/>
  <c r="AV149" i="259"/>
  <c r="AU149" i="259"/>
  <c r="BA19" i="259"/>
  <c r="AZ19" i="259"/>
  <c r="AY19" i="259"/>
  <c r="AX19" i="259"/>
  <c r="AX19" i="275" s="1"/>
  <c r="AW19" i="259"/>
  <c r="AV19" i="259"/>
  <c r="AV19" i="275" s="1"/>
  <c r="AU19" i="259"/>
  <c r="AY12" i="259"/>
  <c r="AY12" i="275" s="1"/>
  <c r="AX12" i="259"/>
  <c r="AW12" i="259"/>
  <c r="AW12" i="275" s="1"/>
  <c r="AV12" i="259"/>
  <c r="AU12" i="259"/>
  <c r="AU290" i="261" s="1"/>
  <c r="AY11" i="259"/>
  <c r="AX11" i="259"/>
  <c r="AX11" i="275" s="1"/>
  <c r="AW11" i="259"/>
  <c r="AV11" i="259"/>
  <c r="AU11" i="259"/>
  <c r="AU289" i="261" s="1"/>
  <c r="AV2" i="259"/>
  <c r="AV1600" i="259" s="1"/>
  <c r="AC1524" i="259"/>
  <c r="AD1524" i="259"/>
  <c r="AE1524" i="259"/>
  <c r="X1568" i="259"/>
  <c r="X641" i="259" s="1"/>
  <c r="Y1568" i="259"/>
  <c r="Y641" i="259" s="1"/>
  <c r="Z1568" i="259"/>
  <c r="Z641" i="259" s="1"/>
  <c r="AB1568" i="259"/>
  <c r="AC1568" i="259"/>
  <c r="AD1568" i="259"/>
  <c r="AD641" i="259" s="1"/>
  <c r="AE1568" i="259"/>
  <c r="AE641" i="259" s="1"/>
  <c r="X1573" i="259"/>
  <c r="X657" i="259" s="1"/>
  <c r="Y1573" i="259"/>
  <c r="Y657" i="259" s="1"/>
  <c r="Z1573" i="259"/>
  <c r="Z657" i="259" s="1"/>
  <c r="AB1573" i="259"/>
  <c r="AC1573" i="259"/>
  <c r="AC657" i="259" s="1"/>
  <c r="AD1573" i="259"/>
  <c r="AD657" i="259" s="1"/>
  <c r="AE1573" i="259"/>
  <c r="AE657" i="259" s="1"/>
  <c r="E1309" i="259"/>
  <c r="F1309" i="259"/>
  <c r="G1309" i="259"/>
  <c r="AU1309" i="259" s="1"/>
  <c r="H1309" i="259"/>
  <c r="I1309" i="259"/>
  <c r="J1309" i="259"/>
  <c r="K1309" i="259"/>
  <c r="AV1309" i="259" s="1"/>
  <c r="L1309" i="259"/>
  <c r="M1309" i="259"/>
  <c r="N1309" i="259"/>
  <c r="O1309" i="259"/>
  <c r="AW1309" i="259" s="1"/>
  <c r="P1309" i="259"/>
  <c r="Q1309" i="259"/>
  <c r="R1309" i="259"/>
  <c r="S1309" i="259"/>
  <c r="AX1309" i="259" s="1"/>
  <c r="T1309" i="259"/>
  <c r="U1309" i="259"/>
  <c r="V1309" i="259"/>
  <c r="W1309" i="259"/>
  <c r="AY1309" i="259" s="1"/>
  <c r="E1329" i="259"/>
  <c r="F1329" i="259"/>
  <c r="F1293" i="259" s="1"/>
  <c r="F242" i="262" s="1"/>
  <c r="G1329" i="259"/>
  <c r="G1293" i="259" s="1"/>
  <c r="G242" i="262" s="1"/>
  <c r="H1329" i="259"/>
  <c r="H1293" i="259" s="1"/>
  <c r="H242" i="262" s="1"/>
  <c r="I1329" i="259"/>
  <c r="J1329" i="259"/>
  <c r="J1293" i="259" s="1"/>
  <c r="J242" i="262" s="1"/>
  <c r="K1329" i="259"/>
  <c r="K1293" i="259" s="1"/>
  <c r="K242" i="262" s="1"/>
  <c r="L1329" i="259"/>
  <c r="L1293" i="259" s="1"/>
  <c r="L242" i="262" s="1"/>
  <c r="M1329" i="259"/>
  <c r="N1329" i="259"/>
  <c r="N1293" i="259" s="1"/>
  <c r="N242" i="262" s="1"/>
  <c r="O1329" i="259"/>
  <c r="O1293" i="259" s="1"/>
  <c r="O242" i="262" s="1"/>
  <c r="P1329" i="259"/>
  <c r="P1293" i="259" s="1"/>
  <c r="P242" i="262" s="1"/>
  <c r="Q1329" i="259"/>
  <c r="Q1293" i="259" s="1"/>
  <c r="Q242" i="262" s="1"/>
  <c r="R1329" i="259"/>
  <c r="R1293" i="259" s="1"/>
  <c r="R242" i="262" s="1"/>
  <c r="S1329" i="259"/>
  <c r="S1293" i="259" s="1"/>
  <c r="S242" i="262" s="1"/>
  <c r="T1329" i="259"/>
  <c r="T1293" i="259" s="1"/>
  <c r="T242" i="262" s="1"/>
  <c r="U1329" i="259"/>
  <c r="U1293" i="259" s="1"/>
  <c r="U242" i="262" s="1"/>
  <c r="V1329" i="259"/>
  <c r="V1293" i="259" s="1"/>
  <c r="V242" i="262" s="1"/>
  <c r="W1329" i="259"/>
  <c r="W1293" i="259" s="1"/>
  <c r="W242" i="262" s="1"/>
  <c r="D1329" i="259"/>
  <c r="D1293" i="259" s="1"/>
  <c r="AB234" i="262"/>
  <c r="AC1330" i="259"/>
  <c r="AD1330" i="259"/>
  <c r="AE1330" i="259"/>
  <c r="AE234" i="262" s="1"/>
  <c r="D1338" i="259"/>
  <c r="D316" i="261" s="1"/>
  <c r="X802" i="259"/>
  <c r="Y110" i="262"/>
  <c r="AF802" i="275"/>
  <c r="AC802" i="259"/>
  <c r="AG802" i="275" s="1"/>
  <c r="AD802" i="259"/>
  <c r="AE802" i="259"/>
  <c r="AI802" i="275" s="1"/>
  <c r="AC768" i="259"/>
  <c r="AD768" i="259"/>
  <c r="AE768" i="259"/>
  <c r="D952" i="259"/>
  <c r="D955" i="259"/>
  <c r="D954" i="259"/>
  <c r="D953" i="259"/>
  <c r="G927" i="259"/>
  <c r="J927" i="259"/>
  <c r="R927" i="259"/>
  <c r="V927" i="259"/>
  <c r="AC74" i="259"/>
  <c r="AG74" i="275" s="1"/>
  <c r="AD74" i="259"/>
  <c r="AH74" i="275" s="1"/>
  <c r="AE74" i="259"/>
  <c r="AC75" i="259"/>
  <c r="AG75" i="275" s="1"/>
  <c r="AD75" i="259"/>
  <c r="AH75" i="275" s="1"/>
  <c r="AE75" i="259"/>
  <c r="AC76" i="259"/>
  <c r="AG76" i="275" s="1"/>
  <c r="AD76" i="259"/>
  <c r="AH76" i="275" s="1"/>
  <c r="AE76" i="259"/>
  <c r="D905" i="259"/>
  <c r="E876" i="259"/>
  <c r="F876" i="259"/>
  <c r="G876" i="259"/>
  <c r="H876" i="259"/>
  <c r="I876" i="259"/>
  <c r="I876" i="275" s="1"/>
  <c r="J876" i="259"/>
  <c r="J876" i="275" s="1"/>
  <c r="K876" i="259"/>
  <c r="K876" i="275" s="1"/>
  <c r="L876" i="259"/>
  <c r="L876" i="275" s="1"/>
  <c r="M876" i="259"/>
  <c r="M876" i="275" s="1"/>
  <c r="N876" i="259"/>
  <c r="N876" i="275" s="1"/>
  <c r="O876" i="259"/>
  <c r="O876" i="275" s="1"/>
  <c r="P876" i="259"/>
  <c r="P876" i="275" s="1"/>
  <c r="Q876" i="259"/>
  <c r="Q876" i="275" s="1"/>
  <c r="R876" i="259"/>
  <c r="R876" i="275" s="1"/>
  <c r="S876" i="259"/>
  <c r="S876" i="275" s="1"/>
  <c r="T876" i="259"/>
  <c r="T876" i="275" s="1"/>
  <c r="U876" i="259"/>
  <c r="V876" i="259"/>
  <c r="W876" i="259"/>
  <c r="W876" i="275" s="1"/>
  <c r="E877" i="259"/>
  <c r="F877" i="259"/>
  <c r="G877" i="259"/>
  <c r="H877" i="259"/>
  <c r="I877" i="259"/>
  <c r="I877" i="275" s="1"/>
  <c r="J877" i="259"/>
  <c r="J877" i="275" s="1"/>
  <c r="K877" i="259"/>
  <c r="K877" i="275" s="1"/>
  <c r="L877" i="259"/>
  <c r="L877" i="275" s="1"/>
  <c r="M877" i="259"/>
  <c r="M877" i="275" s="1"/>
  <c r="N877" i="259"/>
  <c r="N877" i="275" s="1"/>
  <c r="O877" i="259"/>
  <c r="O877" i="275" s="1"/>
  <c r="P877" i="259"/>
  <c r="P877" i="275" s="1"/>
  <c r="Q877" i="259"/>
  <c r="Q877" i="275" s="1"/>
  <c r="R877" i="259"/>
  <c r="R877" i="275" s="1"/>
  <c r="S877" i="259"/>
  <c r="S877" i="275" s="1"/>
  <c r="T877" i="259"/>
  <c r="T877" i="275" s="1"/>
  <c r="U877" i="259"/>
  <c r="V877" i="259"/>
  <c r="W877" i="259"/>
  <c r="W877" i="275" s="1"/>
  <c r="E878" i="259"/>
  <c r="F878" i="259"/>
  <c r="G878" i="259"/>
  <c r="H878" i="259"/>
  <c r="I878" i="259"/>
  <c r="I878" i="275" s="1"/>
  <c r="J878" i="259"/>
  <c r="J878" i="275" s="1"/>
  <c r="K878" i="259"/>
  <c r="K878" i="275" s="1"/>
  <c r="L878" i="259"/>
  <c r="L878" i="275" s="1"/>
  <c r="M878" i="259"/>
  <c r="M878" i="275" s="1"/>
  <c r="N878" i="259"/>
  <c r="N878" i="275" s="1"/>
  <c r="O878" i="259"/>
  <c r="O878" i="275" s="1"/>
  <c r="P878" i="259"/>
  <c r="P878" i="275" s="1"/>
  <c r="Q878" i="259"/>
  <c r="Q878" i="275" s="1"/>
  <c r="R878" i="259"/>
  <c r="R878" i="275" s="1"/>
  <c r="S878" i="259"/>
  <c r="S878" i="275" s="1"/>
  <c r="T878" i="259"/>
  <c r="T878" i="275" s="1"/>
  <c r="U878" i="259"/>
  <c r="V878" i="259"/>
  <c r="W878" i="259"/>
  <c r="W878" i="275" s="1"/>
  <c r="D878" i="259"/>
  <c r="D877" i="259"/>
  <c r="D876" i="259"/>
  <c r="E855" i="259"/>
  <c r="F855" i="259"/>
  <c r="G855" i="259"/>
  <c r="H855" i="259"/>
  <c r="I855" i="259"/>
  <c r="I855" i="275" s="1"/>
  <c r="J855" i="259"/>
  <c r="J855" i="275" s="1"/>
  <c r="K855" i="259"/>
  <c r="K855" i="275" s="1"/>
  <c r="L855" i="259"/>
  <c r="L855" i="275" s="1"/>
  <c r="M855" i="259"/>
  <c r="M855" i="275" s="1"/>
  <c r="N855" i="259"/>
  <c r="N855" i="275" s="1"/>
  <c r="O855" i="259"/>
  <c r="O855" i="275" s="1"/>
  <c r="P855" i="259"/>
  <c r="P855" i="275" s="1"/>
  <c r="Q855" i="259"/>
  <c r="Q855" i="275" s="1"/>
  <c r="R855" i="259"/>
  <c r="R855" i="275" s="1"/>
  <c r="S855" i="259"/>
  <c r="S855" i="275" s="1"/>
  <c r="T855" i="259"/>
  <c r="T855" i="275" s="1"/>
  <c r="U855" i="259"/>
  <c r="V855" i="259"/>
  <c r="W855" i="259"/>
  <c r="W855" i="275" s="1"/>
  <c r="D855" i="259"/>
  <c r="E663" i="259"/>
  <c r="F663" i="259"/>
  <c r="G663" i="259"/>
  <c r="H663" i="259"/>
  <c r="I663" i="259"/>
  <c r="J663" i="259"/>
  <c r="J663" i="275" s="1"/>
  <c r="K663" i="259"/>
  <c r="K663" i="275" s="1"/>
  <c r="L663" i="259"/>
  <c r="L663" i="275" s="1"/>
  <c r="M663" i="259"/>
  <c r="N663" i="259"/>
  <c r="N663" i="275" s="1"/>
  <c r="O663" i="259"/>
  <c r="O663" i="275" s="1"/>
  <c r="P663" i="259"/>
  <c r="P663" i="275" s="1"/>
  <c r="Q663" i="259"/>
  <c r="Q663" i="275" s="1"/>
  <c r="R663" i="259"/>
  <c r="R663" i="275" s="1"/>
  <c r="S663" i="259"/>
  <c r="S663" i="275" s="1"/>
  <c r="T663" i="259"/>
  <c r="T663" i="275" s="1"/>
  <c r="U663" i="259"/>
  <c r="V663" i="259"/>
  <c r="W663" i="259"/>
  <c r="D663" i="259"/>
  <c r="D667" i="259"/>
  <c r="AF599" i="275"/>
  <c r="AC599" i="259"/>
  <c r="AD599" i="259"/>
  <c r="AE599" i="259"/>
  <c r="E599" i="259"/>
  <c r="F599" i="259"/>
  <c r="G599" i="259"/>
  <c r="H599" i="259"/>
  <c r="I599" i="259"/>
  <c r="I599" i="275" s="1"/>
  <c r="J599" i="259"/>
  <c r="J599" i="275" s="1"/>
  <c r="K599" i="259"/>
  <c r="K599" i="275" s="1"/>
  <c r="L599" i="259"/>
  <c r="L599" i="275" s="1"/>
  <c r="M599" i="259"/>
  <c r="M599" i="275" s="1"/>
  <c r="N599" i="259"/>
  <c r="N599" i="275" s="1"/>
  <c r="O599" i="259"/>
  <c r="O599" i="275" s="1"/>
  <c r="P599" i="259"/>
  <c r="P599" i="275" s="1"/>
  <c r="Q599" i="259"/>
  <c r="Q599" i="275" s="1"/>
  <c r="R599" i="259"/>
  <c r="R599" i="275" s="1"/>
  <c r="S599" i="259"/>
  <c r="S599" i="275" s="1"/>
  <c r="T599" i="259"/>
  <c r="T599" i="275" s="1"/>
  <c r="U599" i="259"/>
  <c r="V599" i="259"/>
  <c r="W599" i="259"/>
  <c r="D599" i="259"/>
  <c r="E590" i="259"/>
  <c r="F590" i="259"/>
  <c r="G590" i="259"/>
  <c r="H590" i="259"/>
  <c r="I590" i="259"/>
  <c r="I590" i="275" s="1"/>
  <c r="J590" i="259"/>
  <c r="J590" i="275" s="1"/>
  <c r="K590" i="259"/>
  <c r="K590" i="275" s="1"/>
  <c r="L590" i="259"/>
  <c r="L590" i="275" s="1"/>
  <c r="M590" i="259"/>
  <c r="N590" i="259"/>
  <c r="N590" i="275" s="1"/>
  <c r="O590" i="259"/>
  <c r="O590" i="275" s="1"/>
  <c r="P590" i="259"/>
  <c r="P590" i="275" s="1"/>
  <c r="Q590" i="259"/>
  <c r="Q590" i="275" s="1"/>
  <c r="R590" i="259"/>
  <c r="R590" i="275" s="1"/>
  <c r="S590" i="259"/>
  <c r="S590" i="275" s="1"/>
  <c r="T590" i="259"/>
  <c r="T590" i="275" s="1"/>
  <c r="U590" i="259"/>
  <c r="V590" i="259"/>
  <c r="W590" i="259"/>
  <c r="AC590" i="259"/>
  <c r="AD590" i="259"/>
  <c r="AE590" i="259"/>
  <c r="D590" i="259"/>
  <c r="E510" i="259"/>
  <c r="E38" i="259" s="1"/>
  <c r="F510" i="259"/>
  <c r="F38" i="259" s="1"/>
  <c r="G510" i="259"/>
  <c r="H510" i="259"/>
  <c r="I510" i="259"/>
  <c r="J510" i="259"/>
  <c r="K510" i="259"/>
  <c r="L510" i="259"/>
  <c r="M510" i="259"/>
  <c r="N510" i="259"/>
  <c r="O510" i="259"/>
  <c r="O510" i="275" s="1"/>
  <c r="P510" i="259"/>
  <c r="Q510" i="259"/>
  <c r="R510" i="259"/>
  <c r="S510" i="259"/>
  <c r="T510" i="259"/>
  <c r="U510" i="259"/>
  <c r="V510" i="259"/>
  <c r="W510" i="259"/>
  <c r="D510" i="259"/>
  <c r="D38" i="259" s="1"/>
  <c r="E488" i="259"/>
  <c r="F488" i="259"/>
  <c r="G488" i="259"/>
  <c r="H488" i="259"/>
  <c r="H488" i="275" s="1"/>
  <c r="I488" i="259"/>
  <c r="I488" i="275" s="1"/>
  <c r="J488" i="259"/>
  <c r="J488" i="275" s="1"/>
  <c r="K488" i="259"/>
  <c r="K488" i="275" s="1"/>
  <c r="L488" i="259"/>
  <c r="L488" i="275" s="1"/>
  <c r="M488" i="259"/>
  <c r="M488" i="275" s="1"/>
  <c r="N488" i="259"/>
  <c r="N488" i="275" s="1"/>
  <c r="O488" i="259"/>
  <c r="O488" i="275" s="1"/>
  <c r="P488" i="259"/>
  <c r="P488" i="275" s="1"/>
  <c r="Q488" i="259"/>
  <c r="Q488" i="275" s="1"/>
  <c r="R488" i="259"/>
  <c r="R488" i="275" s="1"/>
  <c r="S488" i="259"/>
  <c r="S488" i="275" s="1"/>
  <c r="T488" i="259"/>
  <c r="T488" i="275" s="1"/>
  <c r="U488" i="259"/>
  <c r="V488" i="259"/>
  <c r="W488" i="259"/>
  <c r="W488" i="275" s="1"/>
  <c r="AC488" i="259"/>
  <c r="AG488" i="275" s="1"/>
  <c r="AD488" i="259"/>
  <c r="AE488" i="259"/>
  <c r="D488" i="259"/>
  <c r="AF478" i="275"/>
  <c r="AC478" i="259"/>
  <c r="AG478" i="275" s="1"/>
  <c r="AD478" i="259"/>
  <c r="AH478" i="275" s="1"/>
  <c r="AE478" i="259"/>
  <c r="AI478" i="275" s="1"/>
  <c r="Y1611" i="259"/>
  <c r="Y1604" i="259" s="1"/>
  <c r="Y1610" i="259"/>
  <c r="Y1603" i="259" s="1"/>
  <c r="E768" i="259"/>
  <c r="F768" i="259"/>
  <c r="G768" i="259"/>
  <c r="H768" i="259"/>
  <c r="I768" i="259"/>
  <c r="I768" i="275" s="1"/>
  <c r="J768" i="259"/>
  <c r="J768" i="275" s="1"/>
  <c r="K768" i="259"/>
  <c r="K768" i="275" s="1"/>
  <c r="L768" i="259"/>
  <c r="L768" i="275" s="1"/>
  <c r="M768" i="259"/>
  <c r="M768" i="275" s="1"/>
  <c r="N768" i="259"/>
  <c r="N768" i="275" s="1"/>
  <c r="O768" i="259"/>
  <c r="O768" i="275" s="1"/>
  <c r="P768" i="259"/>
  <c r="P768" i="275" s="1"/>
  <c r="Q768" i="259"/>
  <c r="Q768" i="275" s="1"/>
  <c r="R768" i="259"/>
  <c r="R768" i="275" s="1"/>
  <c r="S768" i="259"/>
  <c r="S768" i="275" s="1"/>
  <c r="T768" i="259"/>
  <c r="T768" i="275" s="1"/>
  <c r="U768" i="259"/>
  <c r="V768" i="259"/>
  <c r="W768" i="259"/>
  <c r="W768" i="275" s="1"/>
  <c r="D768" i="259"/>
  <c r="AC557" i="275"/>
  <c r="AD557" i="275"/>
  <c r="AE557" i="275"/>
  <c r="AC547" i="275"/>
  <c r="AD547" i="275"/>
  <c r="AE547" i="275"/>
  <c r="AC537" i="275"/>
  <c r="AD537" i="275"/>
  <c r="AE537" i="275"/>
  <c r="E283" i="259"/>
  <c r="F283" i="259"/>
  <c r="G283" i="259"/>
  <c r="H283" i="259"/>
  <c r="I283" i="259"/>
  <c r="I283" i="275" s="1"/>
  <c r="J283" i="259"/>
  <c r="J283" i="275" s="1"/>
  <c r="K283" i="259"/>
  <c r="K283" i="275" s="1"/>
  <c r="L283" i="259"/>
  <c r="L283" i="275" s="1"/>
  <c r="M283" i="259"/>
  <c r="M283" i="275" s="1"/>
  <c r="N283" i="259"/>
  <c r="N283" i="275" s="1"/>
  <c r="O283" i="259"/>
  <c r="O283" i="275" s="1"/>
  <c r="P283" i="259"/>
  <c r="P283" i="275" s="1"/>
  <c r="Q283" i="259"/>
  <c r="Q283" i="275" s="1"/>
  <c r="R283" i="259"/>
  <c r="R283" i="275" s="1"/>
  <c r="S283" i="259"/>
  <c r="S283" i="275" s="1"/>
  <c r="T283" i="259"/>
  <c r="T283" i="275" s="1"/>
  <c r="U283" i="259"/>
  <c r="V283" i="259"/>
  <c r="W283" i="259"/>
  <c r="W283" i="275" s="1"/>
  <c r="D283" i="259"/>
  <c r="E308" i="259"/>
  <c r="F308" i="259"/>
  <c r="G308" i="259"/>
  <c r="H308" i="259"/>
  <c r="I308" i="259"/>
  <c r="I308" i="275" s="1"/>
  <c r="J308" i="259"/>
  <c r="J308" i="275" s="1"/>
  <c r="K308" i="259"/>
  <c r="K308" i="275" s="1"/>
  <c r="L308" i="259"/>
  <c r="L308" i="275" s="1"/>
  <c r="M308" i="259"/>
  <c r="M308" i="275" s="1"/>
  <c r="N308" i="259"/>
  <c r="N308" i="275" s="1"/>
  <c r="O308" i="259"/>
  <c r="O308" i="275" s="1"/>
  <c r="P308" i="259"/>
  <c r="P308" i="275" s="1"/>
  <c r="Q308" i="259"/>
  <c r="Q308" i="275" s="1"/>
  <c r="R308" i="259"/>
  <c r="R308" i="275" s="1"/>
  <c r="S308" i="259"/>
  <c r="S308" i="275" s="1"/>
  <c r="T308" i="259"/>
  <c r="T308" i="275" s="1"/>
  <c r="U308" i="259"/>
  <c r="V308" i="259"/>
  <c r="W308" i="259"/>
  <c r="W308" i="275" s="1"/>
  <c r="D308" i="259"/>
  <c r="E386" i="259"/>
  <c r="F386" i="259"/>
  <c r="G386" i="259"/>
  <c r="H386" i="259"/>
  <c r="I386" i="259"/>
  <c r="I386" i="275" s="1"/>
  <c r="J386" i="259"/>
  <c r="J386" i="275" s="1"/>
  <c r="K386" i="259"/>
  <c r="K386" i="275" s="1"/>
  <c r="L386" i="259"/>
  <c r="L386" i="275" s="1"/>
  <c r="M386" i="259"/>
  <c r="M386" i="275" s="1"/>
  <c r="N386" i="259"/>
  <c r="N386" i="275" s="1"/>
  <c r="O386" i="259"/>
  <c r="O386" i="275" s="1"/>
  <c r="P386" i="259"/>
  <c r="P386" i="275" s="1"/>
  <c r="Q386" i="259"/>
  <c r="Q386" i="275" s="1"/>
  <c r="R386" i="259"/>
  <c r="R386" i="275" s="1"/>
  <c r="S386" i="259"/>
  <c r="S386" i="275" s="1"/>
  <c r="T386" i="259"/>
  <c r="T386" i="275" s="1"/>
  <c r="U386" i="259"/>
  <c r="V386" i="259"/>
  <c r="W386" i="259"/>
  <c r="W386" i="275" s="1"/>
  <c r="D386" i="259"/>
  <c r="E361" i="259"/>
  <c r="F361" i="259"/>
  <c r="G361" i="259"/>
  <c r="H361" i="259"/>
  <c r="I361" i="259"/>
  <c r="I361" i="275" s="1"/>
  <c r="J361" i="259"/>
  <c r="J361" i="275" s="1"/>
  <c r="K361" i="259"/>
  <c r="K361" i="275" s="1"/>
  <c r="L361" i="259"/>
  <c r="L361" i="275" s="1"/>
  <c r="M361" i="259"/>
  <c r="M361" i="275" s="1"/>
  <c r="N361" i="259"/>
  <c r="N361" i="275" s="1"/>
  <c r="O361" i="259"/>
  <c r="O361" i="275" s="1"/>
  <c r="P361" i="259"/>
  <c r="P361" i="275" s="1"/>
  <c r="Q361" i="259"/>
  <c r="Q361" i="275" s="1"/>
  <c r="R361" i="259"/>
  <c r="R361" i="275" s="1"/>
  <c r="S361" i="259"/>
  <c r="S361" i="275" s="1"/>
  <c r="T361" i="259"/>
  <c r="T361" i="275" s="1"/>
  <c r="U361" i="259"/>
  <c r="V361" i="259"/>
  <c r="W361" i="259"/>
  <c r="W361" i="275" s="1"/>
  <c r="D361" i="259"/>
  <c r="AU361" i="259" s="1"/>
  <c r="E371" i="259"/>
  <c r="F371" i="259"/>
  <c r="G371" i="259"/>
  <c r="H371" i="259"/>
  <c r="I371" i="259"/>
  <c r="I371" i="275" s="1"/>
  <c r="J371" i="259"/>
  <c r="J371" i="275" s="1"/>
  <c r="K371" i="259"/>
  <c r="K371" i="275" s="1"/>
  <c r="L371" i="259"/>
  <c r="L371" i="275" s="1"/>
  <c r="M371" i="259"/>
  <c r="M371" i="275" s="1"/>
  <c r="N371" i="259"/>
  <c r="N371" i="275" s="1"/>
  <c r="O371" i="259"/>
  <c r="O371" i="275" s="1"/>
  <c r="P371" i="259"/>
  <c r="P371" i="275" s="1"/>
  <c r="Q371" i="259"/>
  <c r="Q371" i="275" s="1"/>
  <c r="R371" i="259"/>
  <c r="R371" i="275" s="1"/>
  <c r="S371" i="259"/>
  <c r="S371" i="275" s="1"/>
  <c r="T371" i="259"/>
  <c r="T371" i="275" s="1"/>
  <c r="U371" i="259"/>
  <c r="V371" i="259"/>
  <c r="W371" i="259"/>
  <c r="W371" i="275" s="1"/>
  <c r="D371" i="259"/>
  <c r="W407" i="259"/>
  <c r="E293" i="259"/>
  <c r="F293" i="259"/>
  <c r="G293" i="259"/>
  <c r="H293" i="259"/>
  <c r="I293" i="259"/>
  <c r="I293" i="275" s="1"/>
  <c r="J293" i="259"/>
  <c r="J293" i="275" s="1"/>
  <c r="K293" i="259"/>
  <c r="K293" i="275" s="1"/>
  <c r="L293" i="259"/>
  <c r="L293" i="275" s="1"/>
  <c r="M293" i="259"/>
  <c r="M293" i="275" s="1"/>
  <c r="N293" i="259"/>
  <c r="N293" i="275" s="1"/>
  <c r="O293" i="259"/>
  <c r="O293" i="275" s="1"/>
  <c r="P293" i="259"/>
  <c r="P293" i="275" s="1"/>
  <c r="Q293" i="259"/>
  <c r="Q293" i="275" s="1"/>
  <c r="R293" i="259"/>
  <c r="R293" i="275" s="1"/>
  <c r="S293" i="259"/>
  <c r="S293" i="275" s="1"/>
  <c r="T293" i="259"/>
  <c r="T293" i="275" s="1"/>
  <c r="U293" i="259"/>
  <c r="V293" i="259"/>
  <c r="W293" i="259"/>
  <c r="W293" i="275" s="1"/>
  <c r="D293" i="259"/>
  <c r="AC256" i="259"/>
  <c r="AD256" i="259"/>
  <c r="AE256" i="259"/>
  <c r="AC257" i="259"/>
  <c r="AD257" i="259"/>
  <c r="AE257" i="259"/>
  <c r="AC258" i="259"/>
  <c r="AD258" i="259"/>
  <c r="AE258" i="259"/>
  <c r="E1573" i="259"/>
  <c r="E657" i="259" s="1"/>
  <c r="F1573" i="259"/>
  <c r="F657" i="259" s="1"/>
  <c r="G1573" i="259"/>
  <c r="G657" i="259" s="1"/>
  <c r="G658" i="259" s="1"/>
  <c r="G96" i="259" s="1"/>
  <c r="I1573" i="259"/>
  <c r="I657" i="259" s="1"/>
  <c r="J1573" i="259"/>
  <c r="J657" i="259" s="1"/>
  <c r="J657" i="275" s="1"/>
  <c r="K1573" i="259"/>
  <c r="L1573" i="259"/>
  <c r="L657" i="259" s="1"/>
  <c r="M1573" i="259"/>
  <c r="M657" i="259" s="1"/>
  <c r="N1573" i="259"/>
  <c r="N657" i="259" s="1"/>
  <c r="O1573" i="259"/>
  <c r="P1573" i="259"/>
  <c r="P657" i="259" s="1"/>
  <c r="P657" i="275" s="1"/>
  <c r="Q1573" i="259"/>
  <c r="Q657" i="259" s="1"/>
  <c r="R1573" i="259"/>
  <c r="R657" i="259" s="1"/>
  <c r="R657" i="275" s="1"/>
  <c r="S1573" i="259"/>
  <c r="T1573" i="259"/>
  <c r="T657" i="259" s="1"/>
  <c r="U1573" i="259"/>
  <c r="U657" i="259" s="1"/>
  <c r="V1573" i="259"/>
  <c r="V657" i="259" s="1"/>
  <c r="W1573" i="259"/>
  <c r="H1573" i="259"/>
  <c r="H657" i="259" s="1"/>
  <c r="E1568" i="259"/>
  <c r="E641" i="259" s="1"/>
  <c r="F1568" i="259"/>
  <c r="F641" i="259" s="1"/>
  <c r="F46" i="259" s="1"/>
  <c r="G1568" i="259"/>
  <c r="I1568" i="259"/>
  <c r="I641" i="259" s="1"/>
  <c r="J1568" i="259"/>
  <c r="J641" i="259" s="1"/>
  <c r="K1568" i="259"/>
  <c r="K641" i="259" s="1"/>
  <c r="L1568" i="259"/>
  <c r="M1568" i="259"/>
  <c r="M641" i="259" s="1"/>
  <c r="N1568" i="259"/>
  <c r="N641" i="259" s="1"/>
  <c r="O1568" i="259"/>
  <c r="O641" i="259" s="1"/>
  <c r="P1568" i="259"/>
  <c r="Q1568" i="259"/>
  <c r="Q641" i="259" s="1"/>
  <c r="R1568" i="259"/>
  <c r="R641" i="259" s="1"/>
  <c r="S1568" i="259"/>
  <c r="S641" i="259" s="1"/>
  <c r="T1568" i="259"/>
  <c r="U1568" i="259"/>
  <c r="U641" i="259" s="1"/>
  <c r="V1568" i="259"/>
  <c r="V641" i="259" s="1"/>
  <c r="W1568" i="259"/>
  <c r="W641" i="259" s="1"/>
  <c r="H1568" i="259"/>
  <c r="D1573" i="259"/>
  <c r="D657" i="259" s="1"/>
  <c r="D658" i="259" s="1"/>
  <c r="D1568" i="259"/>
  <c r="D641" i="259" s="1"/>
  <c r="D46" i="259" s="1"/>
  <c r="O1225" i="259"/>
  <c r="P1225" i="259"/>
  <c r="Q1225" i="259"/>
  <c r="R1225" i="259"/>
  <c r="S1225" i="259"/>
  <c r="T1225" i="259"/>
  <c r="U1225" i="259"/>
  <c r="V1225" i="259"/>
  <c r="W1225" i="259"/>
  <c r="O1226" i="259"/>
  <c r="O1227" i="259" s="1"/>
  <c r="P1226" i="259"/>
  <c r="P1227" i="259" s="1"/>
  <c r="Q1226" i="259"/>
  <c r="Q1227" i="259" s="1"/>
  <c r="R1226" i="259"/>
  <c r="R1227" i="259" s="1"/>
  <c r="S1226" i="259"/>
  <c r="T1226" i="259"/>
  <c r="T1227" i="259" s="1"/>
  <c r="U1226" i="259"/>
  <c r="U1227" i="259" s="1"/>
  <c r="V1226" i="259"/>
  <c r="V1227" i="259" s="1"/>
  <c r="W1226" i="259"/>
  <c r="E1235" i="259"/>
  <c r="F1235" i="259"/>
  <c r="G1235" i="259"/>
  <c r="G1237" i="259" s="1"/>
  <c r="G253" i="261" s="1"/>
  <c r="H1235" i="259"/>
  <c r="I1235" i="259"/>
  <c r="J1235" i="259"/>
  <c r="K1235" i="259"/>
  <c r="K1237" i="259" s="1"/>
  <c r="K253" i="261" s="1"/>
  <c r="L1235" i="259"/>
  <c r="M1235" i="259"/>
  <c r="N1235" i="259"/>
  <c r="O1235" i="259"/>
  <c r="O1237" i="259" s="1"/>
  <c r="O253" i="261" s="1"/>
  <c r="P1235" i="259"/>
  <c r="Q1235" i="259"/>
  <c r="Q1237" i="259" s="1"/>
  <c r="Q253" i="261" s="1"/>
  <c r="R1235" i="259"/>
  <c r="S1235" i="259"/>
  <c r="S1237" i="259" s="1"/>
  <c r="S253" i="261" s="1"/>
  <c r="T1235" i="259"/>
  <c r="U1235" i="259"/>
  <c r="V1235" i="259"/>
  <c r="W1235" i="259"/>
  <c r="W1237" i="259" s="1"/>
  <c r="W253" i="261" s="1"/>
  <c r="D1235" i="259"/>
  <c r="E1230" i="259"/>
  <c r="F1230" i="259"/>
  <c r="G1230" i="259"/>
  <c r="G1232" i="259" s="1"/>
  <c r="G219" i="261" s="1"/>
  <c r="H1230" i="259"/>
  <c r="I1230" i="259"/>
  <c r="J1230" i="259"/>
  <c r="K1230" i="259"/>
  <c r="K1232" i="259" s="1"/>
  <c r="K219" i="261" s="1"/>
  <c r="L1230" i="259"/>
  <c r="M1230" i="259"/>
  <c r="M1232" i="259" s="1"/>
  <c r="M219" i="261" s="1"/>
  <c r="N1230" i="259"/>
  <c r="O1230" i="259"/>
  <c r="O1232" i="259" s="1"/>
  <c r="O219" i="261" s="1"/>
  <c r="P1230" i="259"/>
  <c r="Q1230" i="259"/>
  <c r="Q1232" i="259" s="1"/>
  <c r="Q219" i="261" s="1"/>
  <c r="R1230" i="259"/>
  <c r="S1230" i="259"/>
  <c r="S1232" i="259" s="1"/>
  <c r="S219" i="261" s="1"/>
  <c r="T1230" i="259"/>
  <c r="U1230" i="259"/>
  <c r="U1232" i="259" s="1"/>
  <c r="U219" i="261" s="1"/>
  <c r="V1230" i="259"/>
  <c r="W1230" i="259"/>
  <c r="W1232" i="259" s="1"/>
  <c r="W219" i="261" s="1"/>
  <c r="D1230" i="259"/>
  <c r="E1213" i="259"/>
  <c r="E1215" i="259" s="1"/>
  <c r="E144" i="261" s="1"/>
  <c r="F1213" i="259"/>
  <c r="G1213" i="259"/>
  <c r="G1215" i="259" s="1"/>
  <c r="G144" i="261" s="1"/>
  <c r="H1213" i="259"/>
  <c r="I1213" i="259"/>
  <c r="J1213" i="259"/>
  <c r="K1213" i="259"/>
  <c r="K1215" i="259" s="1"/>
  <c r="K144" i="261" s="1"/>
  <c r="L1213" i="259"/>
  <c r="M1213" i="259"/>
  <c r="N1213" i="259"/>
  <c r="O1213" i="259"/>
  <c r="O1215" i="259" s="1"/>
  <c r="O144" i="261" s="1"/>
  <c r="P1213" i="259"/>
  <c r="Q1213" i="259"/>
  <c r="R1213" i="259"/>
  <c r="S1213" i="259"/>
  <c r="S1215" i="259" s="1"/>
  <c r="S144" i="261" s="1"/>
  <c r="T1213" i="259"/>
  <c r="U1213" i="259"/>
  <c r="V1213" i="259"/>
  <c r="W1213" i="259"/>
  <c r="W1215" i="259" s="1"/>
  <c r="W144" i="261" s="1"/>
  <c r="D1213" i="259"/>
  <c r="E1200" i="259"/>
  <c r="E1202" i="259" s="1"/>
  <c r="E143" i="261" s="1"/>
  <c r="F1200" i="259"/>
  <c r="G1200" i="259"/>
  <c r="G1202" i="259" s="1"/>
  <c r="G143" i="261" s="1"/>
  <c r="H1200" i="259"/>
  <c r="I1200" i="259"/>
  <c r="J1200" i="259"/>
  <c r="K1200" i="259"/>
  <c r="K1202" i="259" s="1"/>
  <c r="K143" i="261" s="1"/>
  <c r="L1200" i="259"/>
  <c r="M1200" i="259"/>
  <c r="N1200" i="259"/>
  <c r="O1200" i="259"/>
  <c r="O1202" i="259" s="1"/>
  <c r="O143" i="261" s="1"/>
  <c r="P1200" i="259"/>
  <c r="Q1200" i="259"/>
  <c r="R1200" i="259"/>
  <c r="S1200" i="259"/>
  <c r="S1202" i="259" s="1"/>
  <c r="S143" i="261" s="1"/>
  <c r="T1200" i="259"/>
  <c r="U1200" i="259"/>
  <c r="U1202" i="259" s="1"/>
  <c r="U143" i="261" s="1"/>
  <c r="V1200" i="259"/>
  <c r="W1200" i="259"/>
  <c r="W1202" i="259" s="1"/>
  <c r="W143" i="261" s="1"/>
  <c r="D1200" i="259"/>
  <c r="E1183" i="259"/>
  <c r="F1183" i="259"/>
  <c r="G1183" i="259"/>
  <c r="H1183" i="259"/>
  <c r="I1183" i="259"/>
  <c r="I1178" i="259" s="1"/>
  <c r="I1239" i="259" s="1"/>
  <c r="I784" i="259" s="1"/>
  <c r="J1183" i="259"/>
  <c r="K1183" i="259"/>
  <c r="K1185" i="259" s="1"/>
  <c r="K142" i="261" s="1"/>
  <c r="L1183" i="259"/>
  <c r="M1183" i="259"/>
  <c r="N1183" i="259"/>
  <c r="O1183" i="259"/>
  <c r="O1185" i="259" s="1"/>
  <c r="O142" i="261" s="1"/>
  <c r="P1183" i="259"/>
  <c r="P1178" i="259" s="1"/>
  <c r="Q1183" i="259"/>
  <c r="R1183" i="259"/>
  <c r="S1183" i="259"/>
  <c r="S1178" i="259" s="1"/>
  <c r="T1183" i="259"/>
  <c r="U1183" i="259"/>
  <c r="U1178" i="259" s="1"/>
  <c r="U1239" i="259" s="1"/>
  <c r="U784" i="259" s="1"/>
  <c r="V1183" i="259"/>
  <c r="W1183" i="259"/>
  <c r="E90" i="259"/>
  <c r="F90" i="259"/>
  <c r="G90" i="259"/>
  <c r="H90" i="259"/>
  <c r="I90" i="259"/>
  <c r="J90" i="259"/>
  <c r="K90" i="259"/>
  <c r="L90" i="259"/>
  <c r="M90" i="259"/>
  <c r="N90" i="259"/>
  <c r="O90" i="259"/>
  <c r="P90" i="259"/>
  <c r="Q90" i="259"/>
  <c r="R90" i="259"/>
  <c r="S90" i="259"/>
  <c r="T90" i="259"/>
  <c r="U90" i="259"/>
  <c r="V90" i="259"/>
  <c r="W90" i="259"/>
  <c r="E91" i="259"/>
  <c r="F91" i="259"/>
  <c r="G91" i="259"/>
  <c r="H91" i="259"/>
  <c r="I91" i="259"/>
  <c r="J91" i="259"/>
  <c r="K91" i="259"/>
  <c r="L91" i="259"/>
  <c r="M91" i="259"/>
  <c r="AW91" i="259" s="1"/>
  <c r="N91" i="259"/>
  <c r="O91" i="259"/>
  <c r="P91" i="259"/>
  <c r="Q91" i="259"/>
  <c r="R91" i="259"/>
  <c r="S91" i="259"/>
  <c r="T91" i="259"/>
  <c r="U91" i="259"/>
  <c r="V91" i="259"/>
  <c r="W91" i="259"/>
  <c r="E92" i="259"/>
  <c r="F92" i="259"/>
  <c r="G92" i="259"/>
  <c r="H92" i="259"/>
  <c r="I92" i="259"/>
  <c r="J92" i="259"/>
  <c r="K92" i="259"/>
  <c r="L92" i="259"/>
  <c r="M92" i="259"/>
  <c r="N92" i="259"/>
  <c r="O92" i="259"/>
  <c r="P92" i="259"/>
  <c r="Q92" i="259"/>
  <c r="R92" i="259"/>
  <c r="S92" i="259"/>
  <c r="T92" i="259"/>
  <c r="U92" i="259"/>
  <c r="V92" i="259"/>
  <c r="W92" i="259"/>
  <c r="E93" i="259"/>
  <c r="F93" i="259"/>
  <c r="G93" i="259"/>
  <c r="H93" i="259"/>
  <c r="I93" i="259"/>
  <c r="J93" i="259"/>
  <c r="K93" i="259"/>
  <c r="L93" i="259"/>
  <c r="M93" i="259"/>
  <c r="N93" i="259"/>
  <c r="O93" i="259"/>
  <c r="P93" i="259"/>
  <c r="Q93" i="259"/>
  <c r="R93" i="259"/>
  <c r="S93" i="259"/>
  <c r="T93" i="259"/>
  <c r="U93" i="259"/>
  <c r="V93" i="259"/>
  <c r="W93" i="259"/>
  <c r="D91" i="259"/>
  <c r="D92" i="259"/>
  <c r="D93" i="259"/>
  <c r="D90" i="259"/>
  <c r="E1130" i="259"/>
  <c r="E267" i="262" s="1"/>
  <c r="F1130" i="259"/>
  <c r="F267" i="262" s="1"/>
  <c r="G1130" i="259"/>
  <c r="H1123" i="259" s="1"/>
  <c r="H1130" i="259"/>
  <c r="I1123" i="259" s="1"/>
  <c r="I1130" i="259"/>
  <c r="I267" i="262" s="1"/>
  <c r="J1130" i="259"/>
  <c r="K1130" i="259"/>
  <c r="K267" i="262" s="1"/>
  <c r="L1130" i="259"/>
  <c r="M1130" i="259"/>
  <c r="M267" i="262" s="1"/>
  <c r="N1130" i="259"/>
  <c r="O1130" i="259"/>
  <c r="P1123" i="259" s="1"/>
  <c r="P1130" i="259"/>
  <c r="Q1130" i="259"/>
  <c r="Q267" i="262" s="1"/>
  <c r="R1130" i="259"/>
  <c r="S1130" i="259"/>
  <c r="T1123" i="259" s="1"/>
  <c r="T1130" i="259"/>
  <c r="T267" i="262" s="1"/>
  <c r="U1130" i="259"/>
  <c r="U267" i="262" s="1"/>
  <c r="V1130" i="259"/>
  <c r="W1130" i="259"/>
  <c r="D1130" i="259"/>
  <c r="D1136" i="259" s="1"/>
  <c r="E414" i="259"/>
  <c r="F414" i="259"/>
  <c r="F978" i="259" s="1"/>
  <c r="G414" i="259"/>
  <c r="H414" i="259"/>
  <c r="I414" i="259"/>
  <c r="J414" i="259"/>
  <c r="K414" i="259"/>
  <c r="L414" i="259"/>
  <c r="L414" i="275" s="1"/>
  <c r="M414" i="259"/>
  <c r="M414" i="275" s="1"/>
  <c r="N414" i="259"/>
  <c r="N414" i="275" s="1"/>
  <c r="O414" i="259"/>
  <c r="O414" i="275" s="1"/>
  <c r="P414" i="259"/>
  <c r="P414" i="275" s="1"/>
  <c r="Q414" i="259"/>
  <c r="R414" i="259"/>
  <c r="S414" i="259"/>
  <c r="T414" i="259"/>
  <c r="T414" i="275" s="1"/>
  <c r="U414" i="259"/>
  <c r="V414" i="259"/>
  <c r="W414" i="259"/>
  <c r="W414" i="275" s="1"/>
  <c r="D414" i="259"/>
  <c r="E407" i="259"/>
  <c r="E1028" i="259" s="1"/>
  <c r="F407" i="259"/>
  <c r="F1028" i="259" s="1"/>
  <c r="G407" i="259"/>
  <c r="G1028" i="259" s="1"/>
  <c r="H407" i="259"/>
  <c r="H407" i="275" s="1"/>
  <c r="I407" i="259"/>
  <c r="J407" i="259"/>
  <c r="J407" i="275" s="1"/>
  <c r="K407" i="259"/>
  <c r="L407" i="259"/>
  <c r="M407" i="259"/>
  <c r="N407" i="259"/>
  <c r="N407" i="275" s="1"/>
  <c r="O407" i="259"/>
  <c r="O407" i="275" s="1"/>
  <c r="P407" i="259"/>
  <c r="Q407" i="259"/>
  <c r="Q407" i="275" s="1"/>
  <c r="R407" i="259"/>
  <c r="R407" i="275" s="1"/>
  <c r="S407" i="259"/>
  <c r="S407" i="275" s="1"/>
  <c r="T407" i="259"/>
  <c r="U407" i="259"/>
  <c r="V407" i="259"/>
  <c r="V59" i="261" s="1"/>
  <c r="D407" i="259"/>
  <c r="E336" i="259"/>
  <c r="E973" i="259" s="1"/>
  <c r="F336" i="259"/>
  <c r="G336" i="259"/>
  <c r="G340" i="259" s="1"/>
  <c r="AU340" i="259" s="1"/>
  <c r="H336" i="259"/>
  <c r="I336" i="259"/>
  <c r="I336" i="275" s="1"/>
  <c r="J336" i="259"/>
  <c r="J336" i="275" s="1"/>
  <c r="K336" i="259"/>
  <c r="L336" i="259"/>
  <c r="L336" i="275" s="1"/>
  <c r="M336" i="259"/>
  <c r="M336" i="275" s="1"/>
  <c r="N336" i="259"/>
  <c r="N336" i="275" s="1"/>
  <c r="O336" i="259"/>
  <c r="P336" i="259"/>
  <c r="Q336" i="259"/>
  <c r="Q336" i="275" s="1"/>
  <c r="R336" i="259"/>
  <c r="R336" i="275" s="1"/>
  <c r="S336" i="259"/>
  <c r="T336" i="259"/>
  <c r="T336" i="275" s="1"/>
  <c r="U336" i="259"/>
  <c r="V336" i="259"/>
  <c r="W336" i="259"/>
  <c r="D336" i="259"/>
  <c r="E329" i="259"/>
  <c r="F329" i="259"/>
  <c r="G329" i="259"/>
  <c r="G1023" i="259" s="1"/>
  <c r="H329" i="259"/>
  <c r="I329" i="259"/>
  <c r="J329" i="259"/>
  <c r="J329" i="275" s="1"/>
  <c r="K329" i="259"/>
  <c r="K329" i="275" s="1"/>
  <c r="L329" i="259"/>
  <c r="M329" i="259"/>
  <c r="N329" i="259"/>
  <c r="O329" i="259"/>
  <c r="O329" i="275" s="1"/>
  <c r="P329" i="259"/>
  <c r="P329" i="275" s="1"/>
  <c r="Q329" i="259"/>
  <c r="R329" i="259"/>
  <c r="R329" i="275" s="1"/>
  <c r="S329" i="259"/>
  <c r="S329" i="275" s="1"/>
  <c r="T329" i="259"/>
  <c r="T329" i="275" s="1"/>
  <c r="U329" i="259"/>
  <c r="V329" i="259"/>
  <c r="W329" i="259"/>
  <c r="W329" i="275" s="1"/>
  <c r="D329" i="259"/>
  <c r="D1023" i="259" s="1"/>
  <c r="D253" i="259"/>
  <c r="E253" i="259"/>
  <c r="F253" i="259"/>
  <c r="G253" i="259"/>
  <c r="AU253" i="259" s="1"/>
  <c r="H253" i="259"/>
  <c r="I253" i="259"/>
  <c r="J253" i="259"/>
  <c r="K253" i="259"/>
  <c r="AV253" i="259" s="1"/>
  <c r="L253" i="259"/>
  <c r="M253" i="259"/>
  <c r="N253" i="259"/>
  <c r="O253" i="259"/>
  <c r="AW253" i="259" s="1"/>
  <c r="P253" i="259"/>
  <c r="Q253" i="259"/>
  <c r="R253" i="259"/>
  <c r="S253" i="259"/>
  <c r="AX253" i="259" s="1"/>
  <c r="T253" i="259"/>
  <c r="U253" i="259"/>
  <c r="V253" i="259"/>
  <c r="W253" i="259"/>
  <c r="AY253" i="259" s="1"/>
  <c r="E245" i="259"/>
  <c r="F245" i="259"/>
  <c r="G245" i="259"/>
  <c r="H245" i="259"/>
  <c r="I245" i="259"/>
  <c r="J245" i="259"/>
  <c r="K245" i="259"/>
  <c r="L245" i="259"/>
  <c r="L245" i="275" s="1"/>
  <c r="M245" i="259"/>
  <c r="N245" i="259"/>
  <c r="N245" i="275" s="1"/>
  <c r="O245" i="259"/>
  <c r="P245" i="259"/>
  <c r="P245" i="275" s="1"/>
  <c r="Q245" i="259"/>
  <c r="R245" i="259"/>
  <c r="S245" i="259"/>
  <c r="T245" i="259"/>
  <c r="T245" i="275" s="1"/>
  <c r="U245" i="259"/>
  <c r="V245" i="259"/>
  <c r="W245" i="259"/>
  <c r="W245" i="275" s="1"/>
  <c r="D245" i="259"/>
  <c r="E240" i="259"/>
  <c r="F240" i="259"/>
  <c r="G240" i="259"/>
  <c r="H240" i="259"/>
  <c r="I240" i="259"/>
  <c r="I240" i="275" s="1"/>
  <c r="J240" i="259"/>
  <c r="J240" i="275" s="1"/>
  <c r="K240" i="259"/>
  <c r="K240" i="275" s="1"/>
  <c r="L240" i="259"/>
  <c r="L240" i="275" s="1"/>
  <c r="M240" i="259"/>
  <c r="M240" i="275" s="1"/>
  <c r="N240" i="259"/>
  <c r="N240" i="275" s="1"/>
  <c r="O240" i="259"/>
  <c r="O240" i="275" s="1"/>
  <c r="P240" i="259"/>
  <c r="P240" i="275" s="1"/>
  <c r="Q240" i="259"/>
  <c r="Q240" i="275" s="1"/>
  <c r="R240" i="259"/>
  <c r="R240" i="275" s="1"/>
  <c r="S240" i="259"/>
  <c r="S240" i="275" s="1"/>
  <c r="T240" i="259"/>
  <c r="T240" i="275" s="1"/>
  <c r="U240" i="259"/>
  <c r="V240" i="259"/>
  <c r="W240" i="259"/>
  <c r="D240" i="259"/>
  <c r="E232" i="259"/>
  <c r="E967" i="259" s="1"/>
  <c r="F232" i="259"/>
  <c r="F967" i="259" s="1"/>
  <c r="G232" i="259"/>
  <c r="G967" i="259" s="1"/>
  <c r="H232" i="259"/>
  <c r="I232" i="259"/>
  <c r="J232" i="259"/>
  <c r="K232" i="259"/>
  <c r="L232" i="259"/>
  <c r="M232" i="259"/>
  <c r="N232" i="259"/>
  <c r="O232" i="259"/>
  <c r="P232" i="259"/>
  <c r="Q232" i="259"/>
  <c r="R232" i="259"/>
  <c r="S232" i="259"/>
  <c r="T232" i="259"/>
  <c r="U232" i="259"/>
  <c r="V232" i="259"/>
  <c r="W232" i="259"/>
  <c r="D232" i="259"/>
  <c r="D967" i="259" s="1"/>
  <c r="E228" i="259"/>
  <c r="F228" i="259"/>
  <c r="G228" i="259"/>
  <c r="G234" i="259" s="1"/>
  <c r="AU234" i="259" s="1"/>
  <c r="H228" i="259"/>
  <c r="I228" i="259"/>
  <c r="I228" i="275" s="1"/>
  <c r="J228" i="259"/>
  <c r="J228" i="275" s="1"/>
  <c r="K228" i="259"/>
  <c r="L228" i="259"/>
  <c r="M228" i="259"/>
  <c r="M228" i="275" s="1"/>
  <c r="N228" i="259"/>
  <c r="O228" i="259"/>
  <c r="O228" i="275" s="1"/>
  <c r="P228" i="259"/>
  <c r="P228" i="275" s="1"/>
  <c r="Q228" i="259"/>
  <c r="Q228" i="275" s="1"/>
  <c r="R228" i="259"/>
  <c r="R228" i="275" s="1"/>
  <c r="S228" i="259"/>
  <c r="T228" i="259"/>
  <c r="T228" i="275" s="1"/>
  <c r="U228" i="259"/>
  <c r="V228" i="259"/>
  <c r="W228" i="259"/>
  <c r="D228" i="259"/>
  <c r="E219" i="259"/>
  <c r="F219" i="259"/>
  <c r="G219" i="259"/>
  <c r="G221" i="259" s="1"/>
  <c r="H219" i="259"/>
  <c r="I219" i="259"/>
  <c r="J219" i="259"/>
  <c r="K219" i="259"/>
  <c r="K219" i="275" s="1"/>
  <c r="L219" i="259"/>
  <c r="L219" i="275" s="1"/>
  <c r="M219" i="259"/>
  <c r="N219" i="259"/>
  <c r="O219" i="259"/>
  <c r="O219" i="275" s="1"/>
  <c r="P219" i="259"/>
  <c r="P219" i="275" s="1"/>
  <c r="Q219" i="259"/>
  <c r="R219" i="259"/>
  <c r="S219" i="259"/>
  <c r="S219" i="275" s="1"/>
  <c r="T219" i="259"/>
  <c r="T219" i="275" s="1"/>
  <c r="U219" i="259"/>
  <c r="V219" i="259"/>
  <c r="W219" i="259"/>
  <c r="W219" i="275" s="1"/>
  <c r="D219" i="259"/>
  <c r="E1226" i="259"/>
  <c r="E1227" i="259" s="1"/>
  <c r="F1226" i="259"/>
  <c r="F1227" i="259" s="1"/>
  <c r="G1226" i="259"/>
  <c r="G1227" i="259" s="1"/>
  <c r="H1226" i="259"/>
  <c r="H1227" i="259" s="1"/>
  <c r="I1226" i="259"/>
  <c r="J1226" i="259"/>
  <c r="J1227" i="259" s="1"/>
  <c r="K1226" i="259"/>
  <c r="K1227" i="259" s="1"/>
  <c r="L1226" i="259"/>
  <c r="L1227" i="259" s="1"/>
  <c r="M1226" i="259"/>
  <c r="N1226" i="259"/>
  <c r="N1227" i="259" s="1"/>
  <c r="D1226" i="259"/>
  <c r="D1227" i="259" s="1"/>
  <c r="E1225" i="259"/>
  <c r="F1225" i="259"/>
  <c r="G1225" i="259"/>
  <c r="H1225" i="259"/>
  <c r="I1225" i="259"/>
  <c r="J1225" i="259"/>
  <c r="K1225" i="259"/>
  <c r="L1225" i="259"/>
  <c r="M1225" i="259"/>
  <c r="N1225" i="259"/>
  <c r="D1225" i="259"/>
  <c r="E607" i="259"/>
  <c r="F607" i="259"/>
  <c r="G607" i="259"/>
  <c r="G182" i="262" s="1"/>
  <c r="H607" i="259"/>
  <c r="I607" i="259"/>
  <c r="I607" i="275" s="1"/>
  <c r="J607" i="259"/>
  <c r="K607" i="259"/>
  <c r="L607" i="259"/>
  <c r="L607" i="275" s="1"/>
  <c r="M607" i="259"/>
  <c r="M607" i="275" s="1"/>
  <c r="N607" i="259"/>
  <c r="N607" i="275" s="1"/>
  <c r="O607" i="259"/>
  <c r="P607" i="259"/>
  <c r="P607" i="275" s="1"/>
  <c r="Q607" i="259"/>
  <c r="Q607" i="275" s="1"/>
  <c r="R607" i="259"/>
  <c r="R607" i="275" s="1"/>
  <c r="S607" i="259"/>
  <c r="T607" i="259"/>
  <c r="T607" i="275" s="1"/>
  <c r="U607" i="259"/>
  <c r="V607" i="259"/>
  <c r="W607" i="259"/>
  <c r="D607" i="259"/>
  <c r="E1537" i="259"/>
  <c r="E1529" i="259" s="1"/>
  <c r="F1537" i="259"/>
  <c r="F1529" i="259" s="1"/>
  <c r="G1537" i="259"/>
  <c r="G1529" i="259" s="1"/>
  <c r="H1537" i="259"/>
  <c r="H1529" i="259" s="1"/>
  <c r="I1537" i="259"/>
  <c r="I1529" i="259" s="1"/>
  <c r="J1537" i="259"/>
  <c r="J1529" i="259" s="1"/>
  <c r="K1537" i="259"/>
  <c r="K1529" i="259" s="1"/>
  <c r="L1537" i="259"/>
  <c r="L1529" i="259" s="1"/>
  <c r="M1537" i="259"/>
  <c r="M1529" i="259" s="1"/>
  <c r="N1537" i="259"/>
  <c r="N1529" i="259" s="1"/>
  <c r="O1537" i="259"/>
  <c r="O1529" i="259" s="1"/>
  <c r="P1537" i="259"/>
  <c r="P1529" i="259" s="1"/>
  <c r="Q1537" i="259"/>
  <c r="Q1529" i="259" s="1"/>
  <c r="R1537" i="259"/>
  <c r="R1529" i="259" s="1"/>
  <c r="S1537" i="259"/>
  <c r="S1529" i="259" s="1"/>
  <c r="T1537" i="259"/>
  <c r="T1529" i="259" s="1"/>
  <c r="U1537" i="259"/>
  <c r="U1529" i="259" s="1"/>
  <c r="V1537" i="259"/>
  <c r="V1529" i="259" s="1"/>
  <c r="W1537" i="259"/>
  <c r="W1529" i="259" s="1"/>
  <c r="D1537" i="259"/>
  <c r="D1529" i="259" s="1"/>
  <c r="E1517" i="259"/>
  <c r="F1517" i="259"/>
  <c r="G1517" i="259"/>
  <c r="H1517" i="259"/>
  <c r="I1517" i="259"/>
  <c r="J1517" i="259"/>
  <c r="K1517" i="259"/>
  <c r="L1517" i="259"/>
  <c r="M1517" i="259"/>
  <c r="N1517" i="259"/>
  <c r="O1517" i="259"/>
  <c r="P1517" i="259"/>
  <c r="Q1517" i="259"/>
  <c r="R1517" i="259"/>
  <c r="S1517" i="259"/>
  <c r="T1517" i="259"/>
  <c r="U1517" i="259"/>
  <c r="V1517" i="259"/>
  <c r="W1517" i="259"/>
  <c r="D1517" i="259"/>
  <c r="E1524" i="259"/>
  <c r="F1524" i="259"/>
  <c r="G1524" i="259"/>
  <c r="H1524" i="259"/>
  <c r="I1524" i="259"/>
  <c r="J1524" i="259"/>
  <c r="K1524" i="259"/>
  <c r="L1524" i="259"/>
  <c r="M1524" i="259"/>
  <c r="N1524" i="259"/>
  <c r="O1524" i="259"/>
  <c r="P1524" i="259"/>
  <c r="Q1524" i="259"/>
  <c r="R1524" i="259"/>
  <c r="S1524" i="259"/>
  <c r="T1524" i="259"/>
  <c r="U1524" i="259"/>
  <c r="V1524" i="259"/>
  <c r="W1524" i="259"/>
  <c r="D1524" i="259"/>
  <c r="D1494" i="259"/>
  <c r="D196" i="262" s="1"/>
  <c r="J1399" i="259"/>
  <c r="K1399" i="259"/>
  <c r="L1399" i="259"/>
  <c r="M1399" i="259"/>
  <c r="N1399" i="259"/>
  <c r="O1399" i="259"/>
  <c r="P1399" i="259"/>
  <c r="Q1399" i="259"/>
  <c r="R1399" i="259"/>
  <c r="S1399" i="259"/>
  <c r="T1399" i="259"/>
  <c r="U1399" i="259"/>
  <c r="V1399" i="259"/>
  <c r="W1399" i="259"/>
  <c r="I1386" i="259"/>
  <c r="I1387" i="259" s="1"/>
  <c r="J1386" i="259"/>
  <c r="J1387" i="259" s="1"/>
  <c r="K1386" i="259"/>
  <c r="L1386" i="259"/>
  <c r="L1387" i="259" s="1"/>
  <c r="M1386" i="259"/>
  <c r="M1387" i="259" s="1"/>
  <c r="N1386" i="259"/>
  <c r="N1387" i="259" s="1"/>
  <c r="O1386" i="259"/>
  <c r="P1386" i="259"/>
  <c r="P1387" i="259" s="1"/>
  <c r="Q1386" i="259"/>
  <c r="Q1387" i="259" s="1"/>
  <c r="R1386" i="259"/>
  <c r="R1387" i="259" s="1"/>
  <c r="S1386" i="259"/>
  <c r="T1386" i="259"/>
  <c r="T1387" i="259" s="1"/>
  <c r="U1386" i="259"/>
  <c r="U1387" i="259" s="1"/>
  <c r="V1386" i="259"/>
  <c r="V1387" i="259" s="1"/>
  <c r="W1386" i="259"/>
  <c r="D1309" i="259"/>
  <c r="E1308" i="259"/>
  <c r="F1308" i="259"/>
  <c r="G1308" i="259"/>
  <c r="AU1308" i="259" s="1"/>
  <c r="H1308" i="259"/>
  <c r="I1308" i="259"/>
  <c r="J1308" i="259"/>
  <c r="K1308" i="259"/>
  <c r="AV1308" i="259" s="1"/>
  <c r="L1308" i="259"/>
  <c r="M1308" i="259"/>
  <c r="N1308" i="259"/>
  <c r="O1308" i="259"/>
  <c r="AW1308" i="259" s="1"/>
  <c r="P1308" i="259"/>
  <c r="Q1308" i="259"/>
  <c r="R1308" i="259"/>
  <c r="S1308" i="259"/>
  <c r="AX1308" i="259" s="1"/>
  <c r="T1308" i="259"/>
  <c r="U1308" i="259"/>
  <c r="V1308" i="259"/>
  <c r="W1308" i="259"/>
  <c r="AY1308" i="259" s="1"/>
  <c r="D1308" i="259"/>
  <c r="F1298" i="259"/>
  <c r="G1298" i="259"/>
  <c r="G1380" i="259" s="1"/>
  <c r="H1298" i="259"/>
  <c r="H1380" i="259" s="1"/>
  <c r="I1298" i="259"/>
  <c r="I1380" i="259" s="1"/>
  <c r="J1298" i="259"/>
  <c r="J1380" i="259" s="1"/>
  <c r="K1298" i="259"/>
  <c r="L1298" i="259"/>
  <c r="L1380" i="259" s="1"/>
  <c r="M1298" i="259"/>
  <c r="M1380" i="259" s="1"/>
  <c r="N1298" i="259"/>
  <c r="N1380" i="259" s="1"/>
  <c r="O1298" i="259"/>
  <c r="P1298" i="259"/>
  <c r="P1380" i="259" s="1"/>
  <c r="Q1298" i="259"/>
  <c r="Q1380" i="259" s="1"/>
  <c r="R1298" i="259"/>
  <c r="R1380" i="259" s="1"/>
  <c r="S1298" i="259"/>
  <c r="T1298" i="259"/>
  <c r="T1380" i="259" s="1"/>
  <c r="U1298" i="259"/>
  <c r="U1380" i="259" s="1"/>
  <c r="V1298" i="259"/>
  <c r="V1380" i="259" s="1"/>
  <c r="W1298" i="259"/>
  <c r="E1298" i="259"/>
  <c r="D1298" i="259"/>
  <c r="J1335" i="259"/>
  <c r="K1335" i="259"/>
  <c r="L1335" i="259"/>
  <c r="M1335" i="259"/>
  <c r="N1335" i="259"/>
  <c r="O1335" i="259"/>
  <c r="P1335" i="259"/>
  <c r="Q1335" i="259"/>
  <c r="R1335" i="259"/>
  <c r="S1335" i="259"/>
  <c r="T1335" i="259"/>
  <c r="U1335" i="259"/>
  <c r="V1335" i="259"/>
  <c r="W1335" i="259"/>
  <c r="I1335" i="259"/>
  <c r="E794" i="259"/>
  <c r="E103" i="262" s="1"/>
  <c r="F794" i="259"/>
  <c r="F103" i="262" s="1"/>
  <c r="G794" i="259"/>
  <c r="H794" i="259"/>
  <c r="I794" i="259"/>
  <c r="J794" i="259"/>
  <c r="K794" i="259"/>
  <c r="L794" i="259"/>
  <c r="L794" i="275" s="1"/>
  <c r="M794" i="259"/>
  <c r="N794" i="259"/>
  <c r="O794" i="259"/>
  <c r="P794" i="259"/>
  <c r="Q794" i="259"/>
  <c r="R794" i="259"/>
  <c r="S794" i="259"/>
  <c r="S794" i="275" s="1"/>
  <c r="T794" i="259"/>
  <c r="U794" i="259"/>
  <c r="V794" i="259"/>
  <c r="W794" i="259"/>
  <c r="E795" i="259"/>
  <c r="F795" i="259"/>
  <c r="G795" i="259"/>
  <c r="H795" i="259"/>
  <c r="I795" i="259"/>
  <c r="J795" i="259"/>
  <c r="K795" i="259"/>
  <c r="L795" i="259"/>
  <c r="M795" i="259"/>
  <c r="N795" i="259"/>
  <c r="O795" i="259"/>
  <c r="P795" i="259"/>
  <c r="Q795" i="259"/>
  <c r="R795" i="259"/>
  <c r="S795" i="259"/>
  <c r="T795" i="259"/>
  <c r="U795" i="259"/>
  <c r="V795" i="259"/>
  <c r="W795" i="259"/>
  <c r="D795" i="259"/>
  <c r="D794" i="259"/>
  <c r="D103" i="262" s="1"/>
  <c r="E802" i="259"/>
  <c r="E110" i="262" s="1"/>
  <c r="F802" i="259"/>
  <c r="F110" i="262" s="1"/>
  <c r="G802" i="259"/>
  <c r="H802" i="259"/>
  <c r="I802" i="259"/>
  <c r="J802" i="259"/>
  <c r="K802" i="259"/>
  <c r="K802" i="275" s="1"/>
  <c r="L802" i="259"/>
  <c r="L802" i="275" s="1"/>
  <c r="M802" i="259"/>
  <c r="N802" i="259"/>
  <c r="O802" i="259"/>
  <c r="P802" i="259"/>
  <c r="Q802" i="259"/>
  <c r="R802" i="259"/>
  <c r="S802" i="259"/>
  <c r="T802" i="259"/>
  <c r="U802" i="259"/>
  <c r="V802" i="259"/>
  <c r="W802" i="259"/>
  <c r="W802" i="275" s="1"/>
  <c r="D802" i="259"/>
  <c r="D110" i="262" s="1"/>
  <c r="E63" i="259"/>
  <c r="E143" i="262" s="1"/>
  <c r="F63" i="259"/>
  <c r="F143" i="262" s="1"/>
  <c r="G63" i="259"/>
  <c r="G143" i="262" s="1"/>
  <c r="H63" i="259"/>
  <c r="I63" i="259"/>
  <c r="J63" i="259"/>
  <c r="K63" i="259"/>
  <c r="L63" i="259"/>
  <c r="M63" i="259"/>
  <c r="N63" i="259"/>
  <c r="O63" i="259"/>
  <c r="P63" i="259"/>
  <c r="Q63" i="259"/>
  <c r="R63" i="259"/>
  <c r="S63" i="259"/>
  <c r="T63" i="259"/>
  <c r="U63" i="259"/>
  <c r="V63" i="259"/>
  <c r="W63" i="259"/>
  <c r="E64" i="259"/>
  <c r="E144" i="262" s="1"/>
  <c r="F64" i="259"/>
  <c r="F144" i="262" s="1"/>
  <c r="G64" i="259"/>
  <c r="G144" i="262" s="1"/>
  <c r="H64" i="259"/>
  <c r="I64" i="259"/>
  <c r="J64" i="259"/>
  <c r="K64" i="259"/>
  <c r="L64" i="259"/>
  <c r="M64" i="259"/>
  <c r="N64" i="259"/>
  <c r="O64" i="259"/>
  <c r="P64" i="259"/>
  <c r="Q64" i="259"/>
  <c r="R64" i="259"/>
  <c r="S64" i="259"/>
  <c r="T64" i="259"/>
  <c r="U64" i="259"/>
  <c r="V64" i="259"/>
  <c r="W64" i="259"/>
  <c r="D64" i="259"/>
  <c r="D144" i="262" s="1"/>
  <c r="D63" i="259"/>
  <c r="D143" i="262" s="1"/>
  <c r="E57" i="259"/>
  <c r="E139" i="262" s="1"/>
  <c r="F57" i="259"/>
  <c r="F139" i="262" s="1"/>
  <c r="G57" i="259"/>
  <c r="G139" i="262" s="1"/>
  <c r="H57" i="259"/>
  <c r="I57" i="259"/>
  <c r="J57" i="259"/>
  <c r="K57" i="259"/>
  <c r="L57" i="259"/>
  <c r="M57" i="259"/>
  <c r="N57" i="259"/>
  <c r="O57" i="259"/>
  <c r="P57" i="259"/>
  <c r="Q57" i="259"/>
  <c r="R57" i="259"/>
  <c r="S57" i="259"/>
  <c r="T57" i="259"/>
  <c r="U57" i="259"/>
  <c r="V57" i="259"/>
  <c r="W57" i="259"/>
  <c r="E58" i="259"/>
  <c r="E140" i="262" s="1"/>
  <c r="F58" i="259"/>
  <c r="F140" i="262" s="1"/>
  <c r="G58" i="259"/>
  <c r="G140" i="262" s="1"/>
  <c r="H58" i="259"/>
  <c r="I58" i="259"/>
  <c r="J58" i="259"/>
  <c r="K58" i="259"/>
  <c r="L58" i="259"/>
  <c r="M58" i="259"/>
  <c r="N58" i="259"/>
  <c r="O58" i="259"/>
  <c r="P58" i="259"/>
  <c r="Q58" i="259"/>
  <c r="R58" i="259"/>
  <c r="S58" i="259"/>
  <c r="T58" i="259"/>
  <c r="U58" i="259"/>
  <c r="V58" i="259"/>
  <c r="W58" i="259"/>
  <c r="AV780" i="259"/>
  <c r="AX780" i="259"/>
  <c r="AY780" i="259"/>
  <c r="E767" i="259"/>
  <c r="E88" i="262" s="1"/>
  <c r="F767" i="259"/>
  <c r="F88" i="262" s="1"/>
  <c r="G767" i="259"/>
  <c r="G88" i="262" s="1"/>
  <c r="H767" i="259"/>
  <c r="I767" i="259"/>
  <c r="K767" i="259"/>
  <c r="L767" i="259"/>
  <c r="M767" i="259"/>
  <c r="N767" i="259"/>
  <c r="O767" i="259"/>
  <c r="P767" i="259"/>
  <c r="P767" i="275" s="1"/>
  <c r="Q767" i="259"/>
  <c r="Q767" i="275" s="1"/>
  <c r="S767" i="259"/>
  <c r="T767" i="259"/>
  <c r="U767" i="259"/>
  <c r="V767" i="259"/>
  <c r="W767" i="259"/>
  <c r="D767" i="259"/>
  <c r="D88" i="262" s="1"/>
  <c r="D58" i="259"/>
  <c r="D140" i="262" s="1"/>
  <c r="D57" i="259"/>
  <c r="D139" i="262" s="1"/>
  <c r="E293" i="261"/>
  <c r="F293" i="261"/>
  <c r="G293" i="261"/>
  <c r="H293" i="261"/>
  <c r="I799" i="259"/>
  <c r="J293" i="261"/>
  <c r="K799" i="259"/>
  <c r="L293" i="261"/>
  <c r="M293" i="261"/>
  <c r="N293" i="261"/>
  <c r="O293" i="261"/>
  <c r="R293" i="261"/>
  <c r="S799" i="259"/>
  <c r="T293" i="261"/>
  <c r="U293" i="261"/>
  <c r="V293" i="261"/>
  <c r="W293" i="261"/>
  <c r="D293" i="261"/>
  <c r="E751" i="259"/>
  <c r="E816" i="259" s="1"/>
  <c r="F751" i="259"/>
  <c r="F753" i="259" s="1"/>
  <c r="G751" i="259"/>
  <c r="H751" i="259"/>
  <c r="I751" i="259"/>
  <c r="J751" i="259"/>
  <c r="K751" i="259"/>
  <c r="K751" i="275" s="1"/>
  <c r="L751" i="259"/>
  <c r="M751" i="259"/>
  <c r="M751" i="275" s="1"/>
  <c r="N751" i="259"/>
  <c r="O751" i="259"/>
  <c r="O751" i="275" s="1"/>
  <c r="P751" i="259"/>
  <c r="P751" i="275" s="1"/>
  <c r="Q751" i="259"/>
  <c r="R751" i="259"/>
  <c r="S751" i="259"/>
  <c r="S751" i="275" s="1"/>
  <c r="T751" i="259"/>
  <c r="U751" i="259"/>
  <c r="V751" i="259"/>
  <c r="W751" i="259"/>
  <c r="W751" i="275" s="1"/>
  <c r="D751" i="259"/>
  <c r="D1320" i="259"/>
  <c r="F1318" i="259"/>
  <c r="F1320" i="259" s="1"/>
  <c r="F246" i="262" s="1"/>
  <c r="G1318" i="259"/>
  <c r="H1318" i="259"/>
  <c r="H1338" i="259" s="1"/>
  <c r="H316" i="261" s="1"/>
  <c r="I1318" i="259"/>
  <c r="I1338" i="259" s="1"/>
  <c r="I316" i="261" s="1"/>
  <c r="J1318" i="259"/>
  <c r="J1320" i="259" s="1"/>
  <c r="J246" i="262" s="1"/>
  <c r="K1318" i="259"/>
  <c r="L1318" i="259"/>
  <c r="M1318" i="259"/>
  <c r="M1338" i="259" s="1"/>
  <c r="M316" i="261" s="1"/>
  <c r="N1318" i="259"/>
  <c r="N1320" i="259" s="1"/>
  <c r="N246" i="262" s="1"/>
  <c r="O1318" i="259"/>
  <c r="O1338" i="259" s="1"/>
  <c r="O316" i="261" s="1"/>
  <c r="P1318" i="259"/>
  <c r="P1338" i="259" s="1"/>
  <c r="P316" i="261" s="1"/>
  <c r="Q1318" i="259"/>
  <c r="Q1338" i="259" s="1"/>
  <c r="Q316" i="261" s="1"/>
  <c r="R1318" i="259"/>
  <c r="R1320" i="259" s="1"/>
  <c r="R246" i="262" s="1"/>
  <c r="S1318" i="259"/>
  <c r="T1318" i="259"/>
  <c r="AY1318" i="259" s="1"/>
  <c r="U1318" i="259"/>
  <c r="V1318" i="259"/>
  <c r="V1338" i="259" s="1"/>
  <c r="V316" i="261" s="1"/>
  <c r="W1318" i="259"/>
  <c r="E1318" i="259"/>
  <c r="E1320" i="259" s="1"/>
  <c r="E246" i="262" s="1"/>
  <c r="E1325" i="259"/>
  <c r="E252" i="262" s="1"/>
  <c r="F1325" i="259"/>
  <c r="F252" i="262" s="1"/>
  <c r="G1325" i="259"/>
  <c r="G252" i="262" s="1"/>
  <c r="H1325" i="259"/>
  <c r="H252" i="262" s="1"/>
  <c r="I1325" i="259"/>
  <c r="I252" i="262" s="1"/>
  <c r="J1325" i="259"/>
  <c r="J252" i="262" s="1"/>
  <c r="K1325" i="259"/>
  <c r="K252" i="262" s="1"/>
  <c r="L1325" i="259"/>
  <c r="L252" i="262" s="1"/>
  <c r="M1325" i="259"/>
  <c r="M252" i="262" s="1"/>
  <c r="N1325" i="259"/>
  <c r="N252" i="262" s="1"/>
  <c r="O1325" i="259"/>
  <c r="O252" i="262" s="1"/>
  <c r="P1325" i="259"/>
  <c r="P252" i="262" s="1"/>
  <c r="Q1325" i="259"/>
  <c r="Q252" i="262" s="1"/>
  <c r="R1325" i="259"/>
  <c r="R252" i="262" s="1"/>
  <c r="S1325" i="259"/>
  <c r="S252" i="262" s="1"/>
  <c r="T1325" i="259"/>
  <c r="T252" i="262" s="1"/>
  <c r="U1325" i="259"/>
  <c r="U252" i="262" s="1"/>
  <c r="V1325" i="259"/>
  <c r="V252" i="262" s="1"/>
  <c r="W1325" i="259"/>
  <c r="W252" i="262" s="1"/>
  <c r="D1325" i="259"/>
  <c r="D252" i="262" s="1"/>
  <c r="F910" i="259"/>
  <c r="G910" i="259"/>
  <c r="H910" i="259"/>
  <c r="H910" i="275" s="1"/>
  <c r="I910" i="259"/>
  <c r="J910" i="259"/>
  <c r="J910" i="275" s="1"/>
  <c r="K910" i="259"/>
  <c r="K910" i="275" s="1"/>
  <c r="L910" i="259"/>
  <c r="L910" i="275" s="1"/>
  <c r="M910" i="259"/>
  <c r="M910" i="275" s="1"/>
  <c r="N910" i="259"/>
  <c r="N910" i="275" s="1"/>
  <c r="O910" i="259"/>
  <c r="O910" i="275" s="1"/>
  <c r="P910" i="259"/>
  <c r="P910" i="275" s="1"/>
  <c r="Q910" i="259"/>
  <c r="Q910" i="275" s="1"/>
  <c r="R910" i="259"/>
  <c r="R910" i="275" s="1"/>
  <c r="S910" i="259"/>
  <c r="S910" i="275" s="1"/>
  <c r="T910" i="259"/>
  <c r="T910" i="275" s="1"/>
  <c r="U910" i="259"/>
  <c r="V910" i="259"/>
  <c r="W910" i="259"/>
  <c r="W910" i="275" s="1"/>
  <c r="F916" i="259"/>
  <c r="G916" i="259"/>
  <c r="H916" i="259"/>
  <c r="I916" i="259"/>
  <c r="J916" i="259"/>
  <c r="K916" i="259"/>
  <c r="L916" i="259"/>
  <c r="M916" i="259"/>
  <c r="N916" i="259"/>
  <c r="O916" i="259"/>
  <c r="P916" i="259"/>
  <c r="Q916" i="259"/>
  <c r="R916" i="259"/>
  <c r="S916" i="259"/>
  <c r="T916" i="259"/>
  <c r="U916" i="259"/>
  <c r="V916" i="259"/>
  <c r="W916" i="259"/>
  <c r="F917" i="259"/>
  <c r="G917" i="259"/>
  <c r="H917" i="259"/>
  <c r="H917" i="275" s="1"/>
  <c r="I917" i="259"/>
  <c r="J917" i="259"/>
  <c r="J917" i="275" s="1"/>
  <c r="K917" i="259"/>
  <c r="K917" i="275" s="1"/>
  <c r="L917" i="259"/>
  <c r="L917" i="275" s="1"/>
  <c r="M917" i="259"/>
  <c r="M917" i="275" s="1"/>
  <c r="N917" i="259"/>
  <c r="N917" i="275" s="1"/>
  <c r="O917" i="259"/>
  <c r="O917" i="275" s="1"/>
  <c r="P917" i="259"/>
  <c r="P917" i="275" s="1"/>
  <c r="Q917" i="259"/>
  <c r="Q917" i="275" s="1"/>
  <c r="R917" i="259"/>
  <c r="R917" i="275" s="1"/>
  <c r="S917" i="259"/>
  <c r="S917" i="275" s="1"/>
  <c r="T917" i="259"/>
  <c r="T917" i="275" s="1"/>
  <c r="U917" i="259"/>
  <c r="V917" i="259"/>
  <c r="W917" i="259"/>
  <c r="W917" i="275" s="1"/>
  <c r="F918" i="259"/>
  <c r="G918" i="259"/>
  <c r="H918" i="259"/>
  <c r="H918" i="275" s="1"/>
  <c r="I918" i="259"/>
  <c r="J918" i="259"/>
  <c r="J918" i="275" s="1"/>
  <c r="K918" i="259"/>
  <c r="K918" i="275" s="1"/>
  <c r="L918" i="259"/>
  <c r="L918" i="275" s="1"/>
  <c r="M918" i="259"/>
  <c r="M918" i="275" s="1"/>
  <c r="N918" i="259"/>
  <c r="N918" i="275" s="1"/>
  <c r="O918" i="259"/>
  <c r="O918" i="275" s="1"/>
  <c r="P918" i="259"/>
  <c r="P918" i="275" s="1"/>
  <c r="Q918" i="259"/>
  <c r="Q918" i="275" s="1"/>
  <c r="R918" i="259"/>
  <c r="R918" i="275" s="1"/>
  <c r="S918" i="259"/>
  <c r="T918" i="259"/>
  <c r="T918" i="275" s="1"/>
  <c r="U918" i="259"/>
  <c r="V918" i="259"/>
  <c r="W918" i="259"/>
  <c r="W918" i="275" s="1"/>
  <c r="F919" i="259"/>
  <c r="G919" i="259"/>
  <c r="H919" i="259"/>
  <c r="H919" i="275" s="1"/>
  <c r="I919" i="259"/>
  <c r="J919" i="259"/>
  <c r="J919" i="275" s="1"/>
  <c r="K919" i="259"/>
  <c r="K919" i="275" s="1"/>
  <c r="L919" i="259"/>
  <c r="L919" i="275" s="1"/>
  <c r="M919" i="259"/>
  <c r="M919" i="275" s="1"/>
  <c r="N919" i="259"/>
  <c r="N919" i="275" s="1"/>
  <c r="O919" i="259"/>
  <c r="O919" i="275" s="1"/>
  <c r="P919" i="259"/>
  <c r="P919" i="275" s="1"/>
  <c r="Q919" i="259"/>
  <c r="Q919" i="275" s="1"/>
  <c r="R919" i="259"/>
  <c r="R919" i="275" s="1"/>
  <c r="S919" i="259"/>
  <c r="S919" i="275" s="1"/>
  <c r="T919" i="259"/>
  <c r="T919" i="275" s="1"/>
  <c r="U919" i="259"/>
  <c r="V919" i="259"/>
  <c r="W919" i="259"/>
  <c r="W919" i="275" s="1"/>
  <c r="F920" i="259"/>
  <c r="G920" i="259"/>
  <c r="H920" i="259"/>
  <c r="H920" i="275" s="1"/>
  <c r="I920" i="259"/>
  <c r="J920" i="259"/>
  <c r="J920" i="275" s="1"/>
  <c r="K920" i="259"/>
  <c r="K920" i="275" s="1"/>
  <c r="L920" i="259"/>
  <c r="L920" i="275" s="1"/>
  <c r="M920" i="259"/>
  <c r="M920" i="275" s="1"/>
  <c r="N920" i="259"/>
  <c r="N920" i="275" s="1"/>
  <c r="O920" i="259"/>
  <c r="O920" i="275" s="1"/>
  <c r="P920" i="259"/>
  <c r="P920" i="275" s="1"/>
  <c r="Q920" i="259"/>
  <c r="Q920" i="275" s="1"/>
  <c r="R920" i="259"/>
  <c r="R920" i="275" s="1"/>
  <c r="S920" i="259"/>
  <c r="S920" i="275" s="1"/>
  <c r="T920" i="259"/>
  <c r="T920" i="275" s="1"/>
  <c r="U920" i="259"/>
  <c r="V920" i="259"/>
  <c r="W920" i="259"/>
  <c r="W920" i="275" s="1"/>
  <c r="F921" i="259"/>
  <c r="G921" i="259"/>
  <c r="H921" i="259"/>
  <c r="H921" i="275" s="1"/>
  <c r="I921" i="259"/>
  <c r="J921" i="259"/>
  <c r="J921" i="275" s="1"/>
  <c r="K921" i="259"/>
  <c r="K921" i="275" s="1"/>
  <c r="L921" i="259"/>
  <c r="L921" i="275" s="1"/>
  <c r="M921" i="259"/>
  <c r="M921" i="275" s="1"/>
  <c r="N921" i="259"/>
  <c r="N921" i="275" s="1"/>
  <c r="O921" i="259"/>
  <c r="O921" i="275" s="1"/>
  <c r="P921" i="259"/>
  <c r="P921" i="275" s="1"/>
  <c r="Q921" i="259"/>
  <c r="Q921" i="275" s="1"/>
  <c r="R921" i="259"/>
  <c r="R921" i="275" s="1"/>
  <c r="S921" i="259"/>
  <c r="S921" i="275" s="1"/>
  <c r="T921" i="259"/>
  <c r="T921" i="275" s="1"/>
  <c r="U921" i="259"/>
  <c r="V921" i="259"/>
  <c r="W921" i="259"/>
  <c r="W921" i="275" s="1"/>
  <c r="E917" i="259"/>
  <c r="E918" i="259"/>
  <c r="E919" i="259"/>
  <c r="E920" i="259"/>
  <c r="E921" i="259"/>
  <c r="E916" i="259"/>
  <c r="E910" i="259"/>
  <c r="F892" i="259"/>
  <c r="G892" i="259"/>
  <c r="H892" i="259"/>
  <c r="H892" i="275" s="1"/>
  <c r="I892" i="259"/>
  <c r="J892" i="259"/>
  <c r="J892" i="275" s="1"/>
  <c r="K892" i="259"/>
  <c r="K892" i="275" s="1"/>
  <c r="L892" i="259"/>
  <c r="L892" i="275" s="1"/>
  <c r="M892" i="259"/>
  <c r="M892" i="275" s="1"/>
  <c r="N892" i="259"/>
  <c r="N892" i="275" s="1"/>
  <c r="O892" i="259"/>
  <c r="O892" i="275" s="1"/>
  <c r="P892" i="259"/>
  <c r="P892" i="275" s="1"/>
  <c r="Q892" i="259"/>
  <c r="Q892" i="275" s="1"/>
  <c r="R892" i="259"/>
  <c r="R892" i="275" s="1"/>
  <c r="S892" i="259"/>
  <c r="S892" i="275" s="1"/>
  <c r="T892" i="259"/>
  <c r="T892" i="275" s="1"/>
  <c r="U892" i="259"/>
  <c r="V892" i="259"/>
  <c r="W892" i="259"/>
  <c r="W892" i="275" s="1"/>
  <c r="F893" i="259"/>
  <c r="G893" i="259"/>
  <c r="H893" i="259"/>
  <c r="H893" i="275" s="1"/>
  <c r="I893" i="259"/>
  <c r="J893" i="259"/>
  <c r="J893" i="275" s="1"/>
  <c r="K893" i="259"/>
  <c r="K893" i="275" s="1"/>
  <c r="L893" i="259"/>
  <c r="L893" i="275" s="1"/>
  <c r="M893" i="259"/>
  <c r="M893" i="275" s="1"/>
  <c r="N893" i="259"/>
  <c r="N893" i="275" s="1"/>
  <c r="O893" i="259"/>
  <c r="O893" i="275" s="1"/>
  <c r="P893" i="259"/>
  <c r="P893" i="275" s="1"/>
  <c r="Q893" i="259"/>
  <c r="Q893" i="275" s="1"/>
  <c r="R893" i="259"/>
  <c r="R893" i="275" s="1"/>
  <c r="S893" i="259"/>
  <c r="S893" i="275" s="1"/>
  <c r="T893" i="259"/>
  <c r="T893" i="275" s="1"/>
  <c r="U893" i="259"/>
  <c r="V893" i="259"/>
  <c r="W893" i="259"/>
  <c r="W893" i="275" s="1"/>
  <c r="F894" i="259"/>
  <c r="G894" i="259"/>
  <c r="H894" i="259"/>
  <c r="H894" i="275" s="1"/>
  <c r="I894" i="259"/>
  <c r="J894" i="259"/>
  <c r="J894" i="275" s="1"/>
  <c r="K894" i="259"/>
  <c r="K894" i="275" s="1"/>
  <c r="L894" i="259"/>
  <c r="L894" i="275" s="1"/>
  <c r="M894" i="259"/>
  <c r="M894" i="275" s="1"/>
  <c r="N894" i="259"/>
  <c r="N894" i="275" s="1"/>
  <c r="O894" i="259"/>
  <c r="O894" i="275" s="1"/>
  <c r="P894" i="259"/>
  <c r="Q894" i="259"/>
  <c r="Q894" i="275" s="1"/>
  <c r="R894" i="259"/>
  <c r="R894" i="275" s="1"/>
  <c r="S894" i="259"/>
  <c r="S894" i="275" s="1"/>
  <c r="T894" i="259"/>
  <c r="U894" i="259"/>
  <c r="V894" i="259"/>
  <c r="W894" i="259"/>
  <c r="W894" i="275" s="1"/>
  <c r="F900" i="259"/>
  <c r="F952" i="259" s="1"/>
  <c r="G900" i="259"/>
  <c r="G952" i="259" s="1"/>
  <c r="H900" i="259"/>
  <c r="I900" i="259"/>
  <c r="J900" i="259"/>
  <c r="K900" i="259"/>
  <c r="L900" i="259"/>
  <c r="L900" i="275" s="1"/>
  <c r="M900" i="259"/>
  <c r="M900" i="275" s="1"/>
  <c r="N900" i="259"/>
  <c r="O900" i="259"/>
  <c r="P900" i="259"/>
  <c r="P900" i="275" s="1"/>
  <c r="Q900" i="259"/>
  <c r="Q900" i="275" s="1"/>
  <c r="R900" i="259"/>
  <c r="S900" i="259"/>
  <c r="T900" i="259"/>
  <c r="U900" i="259"/>
  <c r="V900" i="259"/>
  <c r="W900" i="259"/>
  <c r="F901" i="259"/>
  <c r="F953" i="259" s="1"/>
  <c r="G901" i="259"/>
  <c r="H901" i="259"/>
  <c r="I901" i="259"/>
  <c r="J901" i="259"/>
  <c r="K901" i="259"/>
  <c r="K901" i="275" s="1"/>
  <c r="L901" i="259"/>
  <c r="M901" i="259"/>
  <c r="N901" i="259"/>
  <c r="O901" i="259"/>
  <c r="O901" i="275" s="1"/>
  <c r="P901" i="259"/>
  <c r="Q901" i="259"/>
  <c r="R901" i="259"/>
  <c r="S901" i="259"/>
  <c r="S901" i="275" s="1"/>
  <c r="T901" i="259"/>
  <c r="U901" i="259"/>
  <c r="V901" i="259"/>
  <c r="W901" i="259"/>
  <c r="E901" i="259"/>
  <c r="E900" i="259"/>
  <c r="E952" i="259" s="1"/>
  <c r="E893" i="259"/>
  <c r="E894" i="259"/>
  <c r="E892" i="259"/>
  <c r="F891" i="259"/>
  <c r="G891" i="259"/>
  <c r="H891" i="259"/>
  <c r="H891" i="275" s="1"/>
  <c r="I891" i="259"/>
  <c r="J891" i="259"/>
  <c r="J891" i="275" s="1"/>
  <c r="K891" i="259"/>
  <c r="K891" i="275" s="1"/>
  <c r="L891" i="259"/>
  <c r="L891" i="275" s="1"/>
  <c r="M891" i="259"/>
  <c r="M891" i="275" s="1"/>
  <c r="N891" i="259"/>
  <c r="N891" i="275" s="1"/>
  <c r="O891" i="259"/>
  <c r="O891" i="275" s="1"/>
  <c r="P891" i="259"/>
  <c r="P891" i="275" s="1"/>
  <c r="Q891" i="259"/>
  <c r="Q891" i="275" s="1"/>
  <c r="R891" i="259"/>
  <c r="R891" i="275" s="1"/>
  <c r="S891" i="259"/>
  <c r="S891" i="275" s="1"/>
  <c r="T891" i="259"/>
  <c r="T891" i="275" s="1"/>
  <c r="U891" i="259"/>
  <c r="V891" i="259"/>
  <c r="W891" i="259"/>
  <c r="W891" i="275" s="1"/>
  <c r="E891" i="259"/>
  <c r="W888" i="259"/>
  <c r="V888" i="259"/>
  <c r="U888" i="259"/>
  <c r="T888" i="259"/>
  <c r="S888" i="259"/>
  <c r="R888" i="259"/>
  <c r="Q888" i="259"/>
  <c r="P888" i="259"/>
  <c r="O888" i="259"/>
  <c r="N888" i="259"/>
  <c r="M888" i="259"/>
  <c r="L888" i="259"/>
  <c r="K888" i="259"/>
  <c r="J888" i="259"/>
  <c r="I888" i="259"/>
  <c r="H888" i="259"/>
  <c r="G888" i="259"/>
  <c r="F888" i="259"/>
  <c r="E888" i="259"/>
  <c r="D888" i="259"/>
  <c r="D185" i="262" s="1"/>
  <c r="E868" i="259"/>
  <c r="F868" i="259"/>
  <c r="F174" i="262" s="1"/>
  <c r="G868" i="259"/>
  <c r="H868" i="259"/>
  <c r="I868" i="259"/>
  <c r="I868" i="275" s="1"/>
  <c r="J868" i="259"/>
  <c r="J868" i="275" s="1"/>
  <c r="J1371" i="259"/>
  <c r="J1383" i="259" s="1"/>
  <c r="J1463" i="259" s="1"/>
  <c r="J1465" i="259" s="1"/>
  <c r="K868" i="259"/>
  <c r="L868" i="259"/>
  <c r="M868" i="259"/>
  <c r="N868" i="259"/>
  <c r="O868" i="259"/>
  <c r="P868" i="259"/>
  <c r="P868" i="275" s="1"/>
  <c r="Q868" i="259"/>
  <c r="Q868" i="275" s="1"/>
  <c r="R868" i="259"/>
  <c r="R868" i="275" s="1"/>
  <c r="S868" i="259"/>
  <c r="T868" i="259"/>
  <c r="U868" i="259"/>
  <c r="V868" i="259"/>
  <c r="V1297" i="259" s="1"/>
  <c r="W868" i="259"/>
  <c r="D868" i="259"/>
  <c r="D174" i="262" s="1"/>
  <c r="E837" i="259"/>
  <c r="F837" i="259"/>
  <c r="G837" i="259"/>
  <c r="G180" i="262" s="1"/>
  <c r="H837" i="259"/>
  <c r="H886" i="259" s="1"/>
  <c r="H886" i="275" s="1"/>
  <c r="I837" i="259"/>
  <c r="J837" i="259"/>
  <c r="K837" i="259"/>
  <c r="L837" i="259"/>
  <c r="M837" i="259"/>
  <c r="N837" i="259"/>
  <c r="O837" i="259"/>
  <c r="P837" i="259"/>
  <c r="Q837" i="259"/>
  <c r="R837" i="259"/>
  <c r="S837" i="259"/>
  <c r="T837" i="259"/>
  <c r="U837" i="259"/>
  <c r="V837" i="259"/>
  <c r="W837" i="259"/>
  <c r="E833" i="259"/>
  <c r="E875" i="259" s="1"/>
  <c r="F833" i="259"/>
  <c r="F875" i="259" s="1"/>
  <c r="G833" i="259"/>
  <c r="G875" i="259" s="1"/>
  <c r="H833" i="259"/>
  <c r="I833" i="259"/>
  <c r="J833" i="259"/>
  <c r="K833" i="259"/>
  <c r="L833" i="259"/>
  <c r="L833" i="275" s="1"/>
  <c r="M833" i="259"/>
  <c r="N833" i="259"/>
  <c r="O833" i="259"/>
  <c r="P833" i="259"/>
  <c r="Q833" i="259"/>
  <c r="R833" i="259"/>
  <c r="S833" i="259"/>
  <c r="T833" i="259"/>
  <c r="T833" i="275" s="1"/>
  <c r="U833" i="259"/>
  <c r="V833" i="259"/>
  <c r="W833" i="259"/>
  <c r="D837" i="259"/>
  <c r="D180" i="262" s="1"/>
  <c r="D833" i="259"/>
  <c r="D875" i="259" s="1"/>
  <c r="E1279" i="259"/>
  <c r="F1279" i="259"/>
  <c r="F268" i="262" s="1"/>
  <c r="G1279" i="259"/>
  <c r="G268" i="262" s="1"/>
  <c r="H1279" i="259"/>
  <c r="H1281" i="259" s="1"/>
  <c r="H270" i="262" s="1"/>
  <c r="I1279" i="259"/>
  <c r="J1279" i="259"/>
  <c r="K1279" i="259"/>
  <c r="K1281" i="259" s="1"/>
  <c r="K270" i="262" s="1"/>
  <c r="L1279" i="259"/>
  <c r="M1279" i="259"/>
  <c r="N1279" i="259"/>
  <c r="O1279" i="259"/>
  <c r="P1279" i="259"/>
  <c r="Q1279" i="259"/>
  <c r="R1279" i="259"/>
  <c r="R268" i="262" s="1"/>
  <c r="S1279" i="259"/>
  <c r="T1279" i="259"/>
  <c r="T268" i="262" s="1"/>
  <c r="U1279" i="259"/>
  <c r="V1279" i="259"/>
  <c r="V268" i="262" s="1"/>
  <c r="W1279" i="259"/>
  <c r="W1286" i="259" s="1"/>
  <c r="D1279" i="259"/>
  <c r="D268" i="262" s="1"/>
  <c r="E1166" i="259"/>
  <c r="F1166" i="259"/>
  <c r="G1166" i="259"/>
  <c r="H1166" i="259"/>
  <c r="I1166" i="259"/>
  <c r="J1166" i="259"/>
  <c r="K1166" i="259"/>
  <c r="L1166" i="259"/>
  <c r="M1166" i="259"/>
  <c r="N1166" i="259"/>
  <c r="O1166" i="259"/>
  <c r="P1166" i="259"/>
  <c r="Q1166" i="259"/>
  <c r="R1166" i="259"/>
  <c r="S1166" i="259"/>
  <c r="T1166" i="259"/>
  <c r="U1166" i="259"/>
  <c r="V1166" i="259"/>
  <c r="W1166" i="259"/>
  <c r="D1166" i="259"/>
  <c r="E1127" i="259"/>
  <c r="E1128" i="259" s="1"/>
  <c r="F1127" i="259"/>
  <c r="F1128" i="259" s="1"/>
  <c r="G1127" i="259"/>
  <c r="G1128" i="259" s="1"/>
  <c r="H1127" i="259"/>
  <c r="H1128" i="259" s="1"/>
  <c r="I1127" i="259"/>
  <c r="I1128" i="259" s="1"/>
  <c r="J1127" i="259"/>
  <c r="J1128" i="259" s="1"/>
  <c r="K1127" i="259"/>
  <c r="K1128" i="259" s="1"/>
  <c r="L1127" i="259"/>
  <c r="L1128" i="259" s="1"/>
  <c r="M1127" i="259"/>
  <c r="M1128" i="259" s="1"/>
  <c r="N1127" i="259"/>
  <c r="N1128" i="259" s="1"/>
  <c r="O1127" i="259"/>
  <c r="O1128" i="259" s="1"/>
  <c r="P1127" i="259"/>
  <c r="P1128" i="259" s="1"/>
  <c r="Q1127" i="259"/>
  <c r="Q1128" i="259" s="1"/>
  <c r="R1127" i="259"/>
  <c r="R1128" i="259" s="1"/>
  <c r="S1127" i="259"/>
  <c r="S1128" i="259" s="1"/>
  <c r="T1127" i="259"/>
  <c r="T1128" i="259" s="1"/>
  <c r="U1127" i="259"/>
  <c r="U1128" i="259" s="1"/>
  <c r="V1127" i="259"/>
  <c r="V1128" i="259" s="1"/>
  <c r="W1127" i="259"/>
  <c r="W1128" i="259" s="1"/>
  <c r="D1127" i="259"/>
  <c r="D1128" i="259" s="1"/>
  <c r="E1143" i="259"/>
  <c r="F1143" i="259"/>
  <c r="G1143" i="259"/>
  <c r="H1143" i="259"/>
  <c r="I1143" i="259"/>
  <c r="J1143" i="259"/>
  <c r="K1143" i="259"/>
  <c r="L1143" i="259"/>
  <c r="M1143" i="259"/>
  <c r="N1143" i="259"/>
  <c r="O1143" i="259"/>
  <c r="P1143" i="259"/>
  <c r="Q1143" i="259"/>
  <c r="R1143" i="259"/>
  <c r="S1143" i="259"/>
  <c r="T1143" i="259"/>
  <c r="U1143" i="259"/>
  <c r="V1143" i="259"/>
  <c r="W1143" i="259"/>
  <c r="D1143" i="259"/>
  <c r="D1144" i="259" s="1"/>
  <c r="E1158" i="259"/>
  <c r="F1158" i="259"/>
  <c r="G1158" i="259"/>
  <c r="H1158" i="259"/>
  <c r="I1158" i="259"/>
  <c r="J1158" i="259"/>
  <c r="K1158" i="259"/>
  <c r="L1158" i="259"/>
  <c r="M1158" i="259"/>
  <c r="N1158" i="259"/>
  <c r="O1158" i="259"/>
  <c r="P1158" i="259"/>
  <c r="Q1158" i="259"/>
  <c r="R1158" i="259"/>
  <c r="S1158" i="259"/>
  <c r="T1158" i="259"/>
  <c r="U1158" i="259"/>
  <c r="V1158" i="259"/>
  <c r="W1158" i="259"/>
  <c r="D1158" i="259"/>
  <c r="D1159" i="259" s="1"/>
  <c r="F1155" i="259"/>
  <c r="G1155" i="259"/>
  <c r="H1155" i="259"/>
  <c r="I1155" i="259"/>
  <c r="J1155" i="259"/>
  <c r="K1155" i="259"/>
  <c r="L1155" i="259"/>
  <c r="M1155" i="259"/>
  <c r="N1155" i="259"/>
  <c r="O1155" i="259"/>
  <c r="P1155" i="259"/>
  <c r="Q1155" i="259"/>
  <c r="R1155" i="259"/>
  <c r="S1155" i="259"/>
  <c r="T1155" i="259"/>
  <c r="U1155" i="259"/>
  <c r="V1155" i="259"/>
  <c r="W1155" i="259"/>
  <c r="E1155" i="259"/>
  <c r="E1151" i="259"/>
  <c r="F1151" i="259"/>
  <c r="G1151" i="259"/>
  <c r="H1151" i="259"/>
  <c r="I1151" i="259"/>
  <c r="J1151" i="259"/>
  <c r="K1151" i="259"/>
  <c r="L1151" i="259"/>
  <c r="M1151" i="259"/>
  <c r="N1151" i="259"/>
  <c r="O1151" i="259"/>
  <c r="P1151" i="259"/>
  <c r="Q1151" i="259"/>
  <c r="R1151" i="259"/>
  <c r="S1151" i="259"/>
  <c r="T1151" i="259"/>
  <c r="U1151" i="259"/>
  <c r="V1151" i="259"/>
  <c r="W1151" i="259"/>
  <c r="D1151" i="259"/>
  <c r="F1140" i="259"/>
  <c r="G1140" i="259"/>
  <c r="H1140" i="259"/>
  <c r="I1140" i="259"/>
  <c r="J1140" i="259"/>
  <c r="K1140" i="259"/>
  <c r="L1140" i="259"/>
  <c r="M1140" i="259"/>
  <c r="N1140" i="259"/>
  <c r="O1140" i="259"/>
  <c r="P1140" i="259"/>
  <c r="Q1140" i="259"/>
  <c r="R1140" i="259"/>
  <c r="S1140" i="259"/>
  <c r="T1140" i="259"/>
  <c r="U1140" i="259"/>
  <c r="V1140" i="259"/>
  <c r="W1140" i="259"/>
  <c r="E1140" i="259"/>
  <c r="E1110" i="259"/>
  <c r="E1112" i="259" s="1"/>
  <c r="F1110" i="259"/>
  <c r="F1112" i="259" s="1"/>
  <c r="G1110" i="259"/>
  <c r="G1112" i="259" s="1"/>
  <c r="H1110" i="259"/>
  <c r="H1112" i="259" s="1"/>
  <c r="I1110" i="259"/>
  <c r="I1112" i="259" s="1"/>
  <c r="J1110" i="259"/>
  <c r="J1112" i="259" s="1"/>
  <c r="K1110" i="259"/>
  <c r="K1112" i="259" s="1"/>
  <c r="L1110" i="259"/>
  <c r="L1112" i="259" s="1"/>
  <c r="M1110" i="259"/>
  <c r="M1112" i="259" s="1"/>
  <c r="N1110" i="259"/>
  <c r="N1112" i="259" s="1"/>
  <c r="O1110" i="259"/>
  <c r="O1112" i="259" s="1"/>
  <c r="P1110" i="259"/>
  <c r="P1112" i="259" s="1"/>
  <c r="Q1110" i="259"/>
  <c r="Q1112" i="259" s="1"/>
  <c r="R1110" i="259"/>
  <c r="R1112" i="259" s="1"/>
  <c r="S1110" i="259"/>
  <c r="S1112" i="259" s="1"/>
  <c r="T1110" i="259"/>
  <c r="T1112" i="259" s="1"/>
  <c r="U1110" i="259"/>
  <c r="U1112" i="259" s="1"/>
  <c r="V1110" i="259"/>
  <c r="V1112" i="259" s="1"/>
  <c r="W1110" i="259"/>
  <c r="W1112" i="259" s="1"/>
  <c r="D1110" i="259"/>
  <c r="D1112" i="259" s="1"/>
  <c r="E1095" i="259"/>
  <c r="E1097" i="259" s="1"/>
  <c r="F1095" i="259"/>
  <c r="F1097" i="259" s="1"/>
  <c r="G1095" i="259"/>
  <c r="G1097" i="259" s="1"/>
  <c r="H1095" i="259"/>
  <c r="H1097" i="259" s="1"/>
  <c r="I1095" i="259"/>
  <c r="I1097" i="259" s="1"/>
  <c r="J1095" i="259"/>
  <c r="J1097" i="259" s="1"/>
  <c r="K1095" i="259"/>
  <c r="K1097" i="259" s="1"/>
  <c r="L1095" i="259"/>
  <c r="L1097" i="259" s="1"/>
  <c r="M1095" i="259"/>
  <c r="M1097" i="259" s="1"/>
  <c r="N1095" i="259"/>
  <c r="N1097" i="259" s="1"/>
  <c r="O1095" i="259"/>
  <c r="O1097" i="259" s="1"/>
  <c r="P1095" i="259"/>
  <c r="P1097" i="259" s="1"/>
  <c r="Q1095" i="259"/>
  <c r="Q1097" i="259" s="1"/>
  <c r="R1095" i="259"/>
  <c r="R1097" i="259" s="1"/>
  <c r="S1095" i="259"/>
  <c r="S1097" i="259" s="1"/>
  <c r="T1095" i="259"/>
  <c r="T1097" i="259" s="1"/>
  <c r="U1095" i="259"/>
  <c r="U1097" i="259" s="1"/>
  <c r="V1095" i="259"/>
  <c r="V1097" i="259" s="1"/>
  <c r="W1095" i="259"/>
  <c r="W1097" i="259" s="1"/>
  <c r="D1095" i="259"/>
  <c r="D1097" i="259" s="1"/>
  <c r="E1006" i="259"/>
  <c r="E1171" i="259" s="1"/>
  <c r="F1006" i="259"/>
  <c r="F1171" i="259" s="1"/>
  <c r="G1006" i="259"/>
  <c r="G1171" i="259" s="1"/>
  <c r="H1006" i="259"/>
  <c r="I1006" i="259"/>
  <c r="J1006" i="259"/>
  <c r="K1006" i="259"/>
  <c r="K1006" i="275" s="1"/>
  <c r="L1006" i="259"/>
  <c r="M1006" i="259"/>
  <c r="N1006" i="259"/>
  <c r="O1006" i="259"/>
  <c r="P1006" i="259"/>
  <c r="Q1006" i="259"/>
  <c r="R1006" i="259"/>
  <c r="S1006" i="259"/>
  <c r="S1006" i="275" s="1"/>
  <c r="T1006" i="259"/>
  <c r="U1006" i="259"/>
  <c r="V1006" i="259"/>
  <c r="Z1006" i="275" s="1"/>
  <c r="W1006" i="259"/>
  <c r="D1006" i="259"/>
  <c r="D1171" i="259" s="1"/>
  <c r="E944" i="259"/>
  <c r="F944" i="259"/>
  <c r="G944" i="259"/>
  <c r="H944" i="259"/>
  <c r="I944" i="259"/>
  <c r="I944" i="275" s="1"/>
  <c r="J944" i="259"/>
  <c r="J944" i="275" s="1"/>
  <c r="K944" i="259"/>
  <c r="K944" i="275" s="1"/>
  <c r="L944" i="259"/>
  <c r="L944" i="275" s="1"/>
  <c r="M944" i="259"/>
  <c r="N944" i="259"/>
  <c r="N944" i="275" s="1"/>
  <c r="O944" i="259"/>
  <c r="O944" i="275" s="1"/>
  <c r="P944" i="259"/>
  <c r="P944" i="275" s="1"/>
  <c r="Q944" i="259"/>
  <c r="Q944" i="275" s="1"/>
  <c r="R944" i="259"/>
  <c r="R944" i="275" s="1"/>
  <c r="S944" i="259"/>
  <c r="S944" i="275" s="1"/>
  <c r="T944" i="259"/>
  <c r="T944" i="275" s="1"/>
  <c r="U944" i="259"/>
  <c r="V944" i="259"/>
  <c r="W944" i="259"/>
  <c r="W944" i="275" s="1"/>
  <c r="D944" i="259"/>
  <c r="E937" i="259"/>
  <c r="E948" i="259" s="1"/>
  <c r="F937" i="259"/>
  <c r="F948" i="259" s="1"/>
  <c r="G937" i="259"/>
  <c r="G948" i="259" s="1"/>
  <c r="AU948" i="259" s="1"/>
  <c r="H937" i="259"/>
  <c r="I937" i="259"/>
  <c r="J937" i="259"/>
  <c r="K937" i="259"/>
  <c r="K937" i="275" s="1"/>
  <c r="L937" i="259"/>
  <c r="L937" i="275" s="1"/>
  <c r="M937" i="259"/>
  <c r="N937" i="259"/>
  <c r="O937" i="259"/>
  <c r="P937" i="259"/>
  <c r="P937" i="275" s="1"/>
  <c r="Q937" i="259"/>
  <c r="R937" i="259"/>
  <c r="S937" i="259"/>
  <c r="T937" i="259"/>
  <c r="T937" i="275" s="1"/>
  <c r="U937" i="259"/>
  <c r="V937" i="259"/>
  <c r="W937" i="259"/>
  <c r="D937" i="259"/>
  <c r="D948" i="259" s="1"/>
  <c r="F741" i="259"/>
  <c r="G741" i="259"/>
  <c r="H741" i="259"/>
  <c r="H741" i="275" s="1"/>
  <c r="I741" i="259"/>
  <c r="J741" i="259"/>
  <c r="K741" i="259"/>
  <c r="K741" i="275" s="1"/>
  <c r="L741" i="259"/>
  <c r="L741" i="275" s="1"/>
  <c r="M741" i="259"/>
  <c r="M741" i="275" s="1"/>
  <c r="N741" i="259"/>
  <c r="N741" i="275" s="1"/>
  <c r="O741" i="259"/>
  <c r="O741" i="275" s="1"/>
  <c r="P741" i="259"/>
  <c r="P741" i="275" s="1"/>
  <c r="Q741" i="259"/>
  <c r="Q741" i="275" s="1"/>
  <c r="R741" i="259"/>
  <c r="R741" i="275" s="1"/>
  <c r="S741" i="259"/>
  <c r="S741" i="275" s="1"/>
  <c r="T741" i="259"/>
  <c r="T741" i="275" s="1"/>
  <c r="U741" i="259"/>
  <c r="V741" i="259"/>
  <c r="W741" i="259"/>
  <c r="E741" i="259"/>
  <c r="E690" i="259"/>
  <c r="F690" i="259"/>
  <c r="F691" i="259" s="1"/>
  <c r="F1039" i="259" s="1"/>
  <c r="G690" i="259"/>
  <c r="G1038" i="259" s="1"/>
  <c r="H690" i="259"/>
  <c r="I690" i="259"/>
  <c r="I690" i="275" s="1"/>
  <c r="J690" i="259"/>
  <c r="K690" i="259"/>
  <c r="L690" i="259"/>
  <c r="M690" i="259"/>
  <c r="M690" i="275" s="1"/>
  <c r="N690" i="259"/>
  <c r="O690" i="259"/>
  <c r="P690" i="259"/>
  <c r="Q690" i="259"/>
  <c r="Q690" i="275" s="1"/>
  <c r="R690" i="259"/>
  <c r="S690" i="259"/>
  <c r="T690" i="259"/>
  <c r="T690" i="275" s="1"/>
  <c r="U690" i="259"/>
  <c r="V690" i="259"/>
  <c r="W690" i="259"/>
  <c r="W690" i="275" s="1"/>
  <c r="D690" i="259"/>
  <c r="D1038" i="259" s="1"/>
  <c r="E704" i="259"/>
  <c r="F704" i="259"/>
  <c r="F989" i="259" s="1"/>
  <c r="G704" i="259"/>
  <c r="G989" i="259" s="1"/>
  <c r="AU989" i="259" s="1"/>
  <c r="H704" i="259"/>
  <c r="I704" i="259"/>
  <c r="I704" i="275" s="1"/>
  <c r="J704" i="259"/>
  <c r="K704" i="259"/>
  <c r="L704" i="259"/>
  <c r="M704" i="259"/>
  <c r="M704" i="275" s="1"/>
  <c r="N704" i="259"/>
  <c r="O704" i="259"/>
  <c r="P704" i="259"/>
  <c r="P989" i="259" s="1"/>
  <c r="Q704" i="259"/>
  <c r="Q704" i="275" s="1"/>
  <c r="R704" i="259"/>
  <c r="S704" i="259"/>
  <c r="T704" i="259"/>
  <c r="U704" i="259"/>
  <c r="V704" i="259"/>
  <c r="W704" i="259"/>
  <c r="D704" i="259"/>
  <c r="D705" i="259" s="1"/>
  <c r="D990" i="259" s="1"/>
  <c r="E718" i="259"/>
  <c r="E719" i="259" s="1"/>
  <c r="F718" i="259"/>
  <c r="F719" i="259" s="1"/>
  <c r="G718" i="259"/>
  <c r="G719" i="259" s="1"/>
  <c r="H718" i="259"/>
  <c r="I718" i="259"/>
  <c r="J718" i="259"/>
  <c r="K718" i="259"/>
  <c r="L718" i="259"/>
  <c r="M718" i="259"/>
  <c r="N718" i="259"/>
  <c r="O718" i="259"/>
  <c r="P718" i="259"/>
  <c r="Q718" i="259"/>
  <c r="R718" i="259"/>
  <c r="S718" i="259"/>
  <c r="T718" i="259"/>
  <c r="U718" i="259"/>
  <c r="V718" i="259"/>
  <c r="W718" i="259"/>
  <c r="D718" i="259"/>
  <c r="D719" i="259" s="1"/>
  <c r="E681" i="259"/>
  <c r="E680" i="259" s="1"/>
  <c r="F681" i="259"/>
  <c r="F680" i="259" s="1"/>
  <c r="G681" i="259"/>
  <c r="G680" i="259" s="1"/>
  <c r="H681" i="259"/>
  <c r="I681" i="259"/>
  <c r="J681" i="259"/>
  <c r="K681" i="259"/>
  <c r="L681" i="259"/>
  <c r="M681" i="259"/>
  <c r="N681" i="259"/>
  <c r="O681" i="259"/>
  <c r="P681" i="259"/>
  <c r="Q681" i="259"/>
  <c r="R681" i="259"/>
  <c r="S681" i="259"/>
  <c r="T681" i="259"/>
  <c r="U681" i="259"/>
  <c r="V681" i="259"/>
  <c r="W681" i="259"/>
  <c r="D681" i="259"/>
  <c r="D680" i="259" s="1"/>
  <c r="E667" i="259"/>
  <c r="E666" i="259" s="1"/>
  <c r="F667" i="259"/>
  <c r="F666" i="259" s="1"/>
  <c r="G667" i="259"/>
  <c r="G666" i="259" s="1"/>
  <c r="H667" i="259"/>
  <c r="H667" i="275" s="1"/>
  <c r="I667" i="259"/>
  <c r="J667" i="259"/>
  <c r="K667" i="259"/>
  <c r="L667" i="259"/>
  <c r="L667" i="275" s="1"/>
  <c r="M667" i="259"/>
  <c r="N667" i="259"/>
  <c r="O667" i="259"/>
  <c r="P667" i="259"/>
  <c r="P667" i="275" s="1"/>
  <c r="Q667" i="259"/>
  <c r="R667" i="259"/>
  <c r="S667" i="259"/>
  <c r="T667" i="259"/>
  <c r="T667" i="275" s="1"/>
  <c r="U667" i="259"/>
  <c r="V667" i="259"/>
  <c r="W667" i="259"/>
  <c r="E650" i="259"/>
  <c r="F650" i="259"/>
  <c r="G650" i="259"/>
  <c r="H650" i="259"/>
  <c r="I650" i="259"/>
  <c r="I650" i="275" s="1"/>
  <c r="J650" i="259"/>
  <c r="J650" i="275" s="1"/>
  <c r="K650" i="259"/>
  <c r="K650" i="275" s="1"/>
  <c r="L650" i="259"/>
  <c r="L650" i="275" s="1"/>
  <c r="M650" i="259"/>
  <c r="M650" i="275" s="1"/>
  <c r="N650" i="259"/>
  <c r="N650" i="275" s="1"/>
  <c r="O650" i="259"/>
  <c r="O650" i="275" s="1"/>
  <c r="P650" i="259"/>
  <c r="P650" i="275" s="1"/>
  <c r="Q650" i="259"/>
  <c r="Q650" i="275" s="1"/>
  <c r="R650" i="259"/>
  <c r="R650" i="275" s="1"/>
  <c r="S650" i="259"/>
  <c r="S650" i="275" s="1"/>
  <c r="T650" i="259"/>
  <c r="T650" i="275" s="1"/>
  <c r="U650" i="259"/>
  <c r="V650" i="259"/>
  <c r="W650" i="259"/>
  <c r="W650" i="275" s="1"/>
  <c r="D650" i="259"/>
  <c r="E640" i="259"/>
  <c r="E1423" i="259" s="1"/>
  <c r="F640" i="259"/>
  <c r="G640" i="259"/>
  <c r="G1423" i="259" s="1"/>
  <c r="G1422" i="259" s="1"/>
  <c r="H640" i="259"/>
  <c r="I640" i="259"/>
  <c r="J640" i="259"/>
  <c r="K640" i="259"/>
  <c r="L640" i="259"/>
  <c r="M640" i="259"/>
  <c r="N640" i="259"/>
  <c r="N640" i="275" s="1"/>
  <c r="O640" i="259"/>
  <c r="P640" i="259"/>
  <c r="P640" i="275" s="1"/>
  <c r="Q640" i="259"/>
  <c r="Q640" i="275" s="1"/>
  <c r="R640" i="259"/>
  <c r="S640" i="259"/>
  <c r="T640" i="259"/>
  <c r="U640" i="259"/>
  <c r="V640" i="259"/>
  <c r="W640" i="259"/>
  <c r="D640" i="259"/>
  <c r="D1423" i="259" s="1"/>
  <c r="D1422" i="259" s="1"/>
  <c r="F622" i="259"/>
  <c r="G622" i="259"/>
  <c r="H622" i="259"/>
  <c r="H622" i="275" s="1"/>
  <c r="I622" i="259"/>
  <c r="J622" i="259"/>
  <c r="J622" i="275" s="1"/>
  <c r="K622" i="259"/>
  <c r="K622" i="275" s="1"/>
  <c r="L622" i="259"/>
  <c r="L622" i="275" s="1"/>
  <c r="M622" i="259"/>
  <c r="M622" i="275" s="1"/>
  <c r="N622" i="259"/>
  <c r="O622" i="259"/>
  <c r="O622" i="275" s="1"/>
  <c r="P622" i="259"/>
  <c r="P622" i="275" s="1"/>
  <c r="Q622" i="259"/>
  <c r="Q622" i="275" s="1"/>
  <c r="R622" i="259"/>
  <c r="R622" i="275" s="1"/>
  <c r="S622" i="259"/>
  <c r="S622" i="275" s="1"/>
  <c r="T622" i="259"/>
  <c r="T622" i="275" s="1"/>
  <c r="U622" i="259"/>
  <c r="V622" i="259"/>
  <c r="W622" i="259"/>
  <c r="W622" i="275" s="1"/>
  <c r="F623" i="259"/>
  <c r="G623" i="259"/>
  <c r="H623" i="259"/>
  <c r="H623" i="275" s="1"/>
  <c r="I623" i="259"/>
  <c r="J623" i="259"/>
  <c r="J623" i="275" s="1"/>
  <c r="K623" i="259"/>
  <c r="K623" i="275" s="1"/>
  <c r="L623" i="259"/>
  <c r="L623" i="275" s="1"/>
  <c r="M623" i="259"/>
  <c r="M623" i="275" s="1"/>
  <c r="N623" i="259"/>
  <c r="N623" i="275" s="1"/>
  <c r="O623" i="259"/>
  <c r="O623" i="275" s="1"/>
  <c r="P623" i="259"/>
  <c r="P623" i="275" s="1"/>
  <c r="Q623" i="259"/>
  <c r="Q623" i="275" s="1"/>
  <c r="R623" i="259"/>
  <c r="R623" i="275" s="1"/>
  <c r="S623" i="259"/>
  <c r="S623" i="275" s="1"/>
  <c r="T623" i="259"/>
  <c r="T623" i="275" s="1"/>
  <c r="U623" i="259"/>
  <c r="V623" i="259"/>
  <c r="W623" i="259"/>
  <c r="E623" i="259"/>
  <c r="E622" i="259"/>
  <c r="E619" i="259"/>
  <c r="F619" i="259"/>
  <c r="G619" i="259"/>
  <c r="H619" i="259"/>
  <c r="I619" i="259"/>
  <c r="J619" i="259"/>
  <c r="J619" i="275" s="1"/>
  <c r="K619" i="259"/>
  <c r="K619" i="275" s="1"/>
  <c r="L619" i="259"/>
  <c r="L619" i="275" s="1"/>
  <c r="M619" i="259"/>
  <c r="M619" i="275" s="1"/>
  <c r="N619" i="259"/>
  <c r="N619" i="275" s="1"/>
  <c r="O619" i="259"/>
  <c r="O619" i="275" s="1"/>
  <c r="P619" i="259"/>
  <c r="P619" i="275" s="1"/>
  <c r="Q619" i="259"/>
  <c r="Q619" i="275" s="1"/>
  <c r="R619" i="259"/>
  <c r="R619" i="275" s="1"/>
  <c r="S619" i="259"/>
  <c r="S619" i="275" s="1"/>
  <c r="T619" i="259"/>
  <c r="T619" i="275" s="1"/>
  <c r="U619" i="259"/>
  <c r="V619" i="259"/>
  <c r="W619" i="259"/>
  <c r="W619" i="275" s="1"/>
  <c r="D619" i="259"/>
  <c r="D549" i="259"/>
  <c r="D189" i="261" s="1"/>
  <c r="E549" i="259"/>
  <c r="E189" i="261" s="1"/>
  <c r="F549" i="259"/>
  <c r="F189" i="261" s="1"/>
  <c r="Z547" i="275"/>
  <c r="F541" i="259"/>
  <c r="F13" i="262" s="1"/>
  <c r="G541" i="259"/>
  <c r="G13" i="262" s="1"/>
  <c r="H541" i="259"/>
  <c r="I541" i="259"/>
  <c r="J541" i="259"/>
  <c r="J541" i="275" s="1"/>
  <c r="K541" i="259"/>
  <c r="L541" i="259"/>
  <c r="L541" i="275" s="1"/>
  <c r="M541" i="259"/>
  <c r="N541" i="259"/>
  <c r="N541" i="275" s="1"/>
  <c r="O541" i="259"/>
  <c r="P541" i="259"/>
  <c r="Q541" i="259"/>
  <c r="Q541" i="275" s="1"/>
  <c r="R541" i="259"/>
  <c r="R541" i="275" s="1"/>
  <c r="S541" i="259"/>
  <c r="T541" i="259"/>
  <c r="U541" i="259"/>
  <c r="V541" i="259"/>
  <c r="W541" i="259"/>
  <c r="F551" i="259"/>
  <c r="F14" i="262" s="1"/>
  <c r="G551" i="259"/>
  <c r="G14" i="262" s="1"/>
  <c r="H551" i="259"/>
  <c r="I551" i="259"/>
  <c r="J551" i="259"/>
  <c r="J551" i="275" s="1"/>
  <c r="K551" i="259"/>
  <c r="L551" i="259"/>
  <c r="M551" i="259"/>
  <c r="N551" i="259"/>
  <c r="O551" i="259"/>
  <c r="P551" i="259"/>
  <c r="P551" i="275" s="1"/>
  <c r="Q551" i="259"/>
  <c r="Q551" i="275" s="1"/>
  <c r="R551" i="259"/>
  <c r="S551" i="259"/>
  <c r="S551" i="275" s="1"/>
  <c r="T551" i="259"/>
  <c r="T551" i="275" s="1"/>
  <c r="U551" i="259"/>
  <c r="V551" i="259"/>
  <c r="W551" i="259"/>
  <c r="W551" i="275" s="1"/>
  <c r="F561" i="259"/>
  <c r="F15" i="262" s="1"/>
  <c r="G561" i="259"/>
  <c r="G15" i="262" s="1"/>
  <c r="H561" i="259"/>
  <c r="I561" i="259"/>
  <c r="J561" i="259"/>
  <c r="J561" i="275" s="1"/>
  <c r="K561" i="259"/>
  <c r="L561" i="259"/>
  <c r="M561" i="259"/>
  <c r="M561" i="275" s="1"/>
  <c r="N561" i="259"/>
  <c r="N561" i="275" s="1"/>
  <c r="O561" i="259"/>
  <c r="P561" i="259"/>
  <c r="P561" i="275" s="1"/>
  <c r="Q561" i="259"/>
  <c r="R561" i="259"/>
  <c r="S561" i="259"/>
  <c r="S561" i="275" s="1"/>
  <c r="T561" i="259"/>
  <c r="T561" i="275" s="1"/>
  <c r="U561" i="259"/>
  <c r="V561" i="259"/>
  <c r="W561" i="259"/>
  <c r="W561" i="275" s="1"/>
  <c r="E541" i="259"/>
  <c r="E13" i="262" s="1"/>
  <c r="E551" i="259"/>
  <c r="E14" i="262" s="1"/>
  <c r="E561" i="259"/>
  <c r="E15" i="262" s="1"/>
  <c r="D551" i="259"/>
  <c r="D552" i="259" s="1"/>
  <c r="D561" i="259"/>
  <c r="D541" i="259"/>
  <c r="E539" i="259"/>
  <c r="F539" i="259"/>
  <c r="F19" i="262" s="1"/>
  <c r="G539" i="259"/>
  <c r="G19" i="262" s="1"/>
  <c r="T537" i="275"/>
  <c r="Z537" i="275"/>
  <c r="E559" i="259"/>
  <c r="E190" i="261" s="1"/>
  <c r="F559" i="259"/>
  <c r="G559" i="259"/>
  <c r="G21" i="262" s="1"/>
  <c r="N557" i="275"/>
  <c r="Z557" i="275"/>
  <c r="D559" i="259"/>
  <c r="D190" i="261" s="1"/>
  <c r="D539" i="259"/>
  <c r="D188" i="261" s="1"/>
  <c r="E614" i="259"/>
  <c r="F614" i="259"/>
  <c r="G614" i="259"/>
  <c r="H614" i="259"/>
  <c r="I614" i="259"/>
  <c r="I614" i="275" s="1"/>
  <c r="J614" i="259"/>
  <c r="J614" i="275" s="1"/>
  <c r="K614" i="259"/>
  <c r="K614" i="275" s="1"/>
  <c r="L614" i="259"/>
  <c r="L614" i="275" s="1"/>
  <c r="M614" i="259"/>
  <c r="M614" i="275" s="1"/>
  <c r="N614" i="259"/>
  <c r="N614" i="275" s="1"/>
  <c r="O614" i="259"/>
  <c r="O614" i="275" s="1"/>
  <c r="P614" i="259"/>
  <c r="P614" i="275" s="1"/>
  <c r="Q614" i="259"/>
  <c r="Q614" i="275" s="1"/>
  <c r="R614" i="259"/>
  <c r="R614" i="275" s="1"/>
  <c r="S614" i="259"/>
  <c r="S614" i="275" s="1"/>
  <c r="T614" i="259"/>
  <c r="T614" i="275" s="1"/>
  <c r="U614" i="259"/>
  <c r="V614" i="259"/>
  <c r="W614" i="259"/>
  <c r="W614" i="275" s="1"/>
  <c r="D614" i="259"/>
  <c r="E598" i="259"/>
  <c r="F598" i="259"/>
  <c r="G598" i="259"/>
  <c r="G600" i="259" s="1"/>
  <c r="H598" i="259"/>
  <c r="I598" i="259"/>
  <c r="I598" i="275" s="1"/>
  <c r="J598" i="259"/>
  <c r="J598" i="275" s="1"/>
  <c r="K598" i="259"/>
  <c r="L598" i="259"/>
  <c r="L598" i="275" s="1"/>
  <c r="M598" i="259"/>
  <c r="M598" i="275" s="1"/>
  <c r="N598" i="259"/>
  <c r="N598" i="275" s="1"/>
  <c r="O598" i="259"/>
  <c r="P598" i="259"/>
  <c r="P598" i="275" s="1"/>
  <c r="Q598" i="259"/>
  <c r="Q598" i="275" s="1"/>
  <c r="R598" i="259"/>
  <c r="R598" i="275" s="1"/>
  <c r="S598" i="259"/>
  <c r="T598" i="259"/>
  <c r="T598" i="275" s="1"/>
  <c r="U598" i="259"/>
  <c r="V598" i="259"/>
  <c r="W598" i="259"/>
  <c r="D598" i="259"/>
  <c r="E589" i="259"/>
  <c r="E1419" i="259" s="1"/>
  <c r="E1420" i="259" s="1"/>
  <c r="E332" i="261" s="1"/>
  <c r="F589" i="259"/>
  <c r="F1419" i="259" s="1"/>
  <c r="G589" i="259"/>
  <c r="H589" i="259"/>
  <c r="I589" i="259"/>
  <c r="I589" i="275" s="1"/>
  <c r="J589" i="259"/>
  <c r="K589" i="259"/>
  <c r="L589" i="259"/>
  <c r="L589" i="275" s="1"/>
  <c r="M589" i="259"/>
  <c r="N589" i="259"/>
  <c r="N589" i="275" s="1"/>
  <c r="O589" i="259"/>
  <c r="O589" i="275" s="1"/>
  <c r="P589" i="259"/>
  <c r="P589" i="275" s="1"/>
  <c r="Q589" i="259"/>
  <c r="R589" i="259"/>
  <c r="S589" i="259"/>
  <c r="S589" i="275" s="1"/>
  <c r="T589" i="259"/>
  <c r="T589" i="275" s="1"/>
  <c r="U589" i="259"/>
  <c r="V589" i="259"/>
  <c r="W589" i="259"/>
  <c r="W589" i="275" s="1"/>
  <c r="D589" i="259"/>
  <c r="E532" i="259"/>
  <c r="E534" i="259" s="1"/>
  <c r="E35" i="262" s="1"/>
  <c r="F532" i="259"/>
  <c r="F534" i="259" s="1"/>
  <c r="F35" i="262" s="1"/>
  <c r="G532" i="259"/>
  <c r="G534" i="259" s="1"/>
  <c r="G35" i="262" s="1"/>
  <c r="H532" i="259"/>
  <c r="I532" i="259"/>
  <c r="J532" i="259"/>
  <c r="K532" i="259"/>
  <c r="L532" i="259"/>
  <c r="M532" i="259"/>
  <c r="N532" i="259"/>
  <c r="O532" i="259"/>
  <c r="P532" i="259"/>
  <c r="Q532" i="259"/>
  <c r="R532" i="259"/>
  <c r="S532" i="259"/>
  <c r="T532" i="259"/>
  <c r="U532" i="259"/>
  <c r="V532" i="259"/>
  <c r="W532" i="259"/>
  <c r="D532" i="259"/>
  <c r="D534" i="259" s="1"/>
  <c r="D35" i="262" s="1"/>
  <c r="E526" i="259"/>
  <c r="F526" i="259"/>
  <c r="G526" i="259"/>
  <c r="H526" i="259"/>
  <c r="I526" i="259"/>
  <c r="I526" i="275" s="1"/>
  <c r="J526" i="259"/>
  <c r="J526" i="275" s="1"/>
  <c r="K526" i="259"/>
  <c r="K526" i="275" s="1"/>
  <c r="L526" i="259"/>
  <c r="L526" i="275" s="1"/>
  <c r="M526" i="259"/>
  <c r="M526" i="275" s="1"/>
  <c r="N526" i="259"/>
  <c r="N526" i="275" s="1"/>
  <c r="O526" i="259"/>
  <c r="O526" i="275" s="1"/>
  <c r="P526" i="259"/>
  <c r="P526" i="275" s="1"/>
  <c r="Q526" i="259"/>
  <c r="Q526" i="275" s="1"/>
  <c r="R526" i="259"/>
  <c r="R526" i="275" s="1"/>
  <c r="S526" i="259"/>
  <c r="S526" i="275" s="1"/>
  <c r="T526" i="259"/>
  <c r="T526" i="275" s="1"/>
  <c r="U526" i="259"/>
  <c r="V526" i="259"/>
  <c r="W526" i="259"/>
  <c r="W526" i="275" s="1"/>
  <c r="D526" i="259"/>
  <c r="E520" i="259"/>
  <c r="E522" i="259" s="1"/>
  <c r="E30" i="262" s="1"/>
  <c r="F520" i="259"/>
  <c r="F522" i="259" s="1"/>
  <c r="G520" i="259"/>
  <c r="G522" i="259" s="1"/>
  <c r="G31" i="262" s="1"/>
  <c r="H520" i="259"/>
  <c r="I520" i="259"/>
  <c r="J520" i="259"/>
  <c r="K520" i="259"/>
  <c r="L520" i="259"/>
  <c r="M520" i="259"/>
  <c r="N520" i="259"/>
  <c r="O520" i="259"/>
  <c r="P520" i="259"/>
  <c r="Q520" i="259"/>
  <c r="R520" i="259"/>
  <c r="S520" i="259"/>
  <c r="T520" i="259"/>
  <c r="U520" i="259"/>
  <c r="V520" i="259"/>
  <c r="W520" i="259"/>
  <c r="D520" i="259"/>
  <c r="D522" i="259" s="1"/>
  <c r="E498" i="259"/>
  <c r="F498" i="259"/>
  <c r="G498" i="259"/>
  <c r="H498" i="259"/>
  <c r="I498" i="259"/>
  <c r="I498" i="275" s="1"/>
  <c r="J498" i="259"/>
  <c r="J498" i="275" s="1"/>
  <c r="K498" i="259"/>
  <c r="K498" i="275" s="1"/>
  <c r="L498" i="259"/>
  <c r="L498" i="275" s="1"/>
  <c r="M498" i="259"/>
  <c r="M498" i="275" s="1"/>
  <c r="N498" i="259"/>
  <c r="N498" i="275" s="1"/>
  <c r="O498" i="259"/>
  <c r="O498" i="275" s="1"/>
  <c r="P498" i="259"/>
  <c r="P498" i="275" s="1"/>
  <c r="Q498" i="259"/>
  <c r="Q498" i="275" s="1"/>
  <c r="R498" i="259"/>
  <c r="R498" i="275" s="1"/>
  <c r="S498" i="259"/>
  <c r="S498" i="275" s="1"/>
  <c r="T498" i="259"/>
  <c r="T498" i="275" s="1"/>
  <c r="U498" i="259"/>
  <c r="V498" i="259"/>
  <c r="W498" i="259"/>
  <c r="W498" i="275" s="1"/>
  <c r="D498" i="259"/>
  <c r="E579" i="259"/>
  <c r="E582" i="259" s="1"/>
  <c r="F579" i="259"/>
  <c r="F582" i="259" s="1"/>
  <c r="G579" i="259"/>
  <c r="G582" i="259" s="1"/>
  <c r="H579" i="259"/>
  <c r="I579" i="259"/>
  <c r="J579" i="259"/>
  <c r="K579" i="259"/>
  <c r="L579" i="259"/>
  <c r="M579" i="259"/>
  <c r="N579" i="259"/>
  <c r="O579" i="259"/>
  <c r="P579" i="259"/>
  <c r="Q579" i="259"/>
  <c r="R579" i="259"/>
  <c r="S579" i="259"/>
  <c r="T579" i="259"/>
  <c r="U579" i="259"/>
  <c r="V579" i="259"/>
  <c r="W579" i="259"/>
  <c r="D579" i="259"/>
  <c r="D582" i="259" s="1"/>
  <c r="E485" i="259"/>
  <c r="F485" i="259"/>
  <c r="G485" i="259"/>
  <c r="H485" i="259"/>
  <c r="I485" i="259"/>
  <c r="I485" i="275" s="1"/>
  <c r="J485" i="259"/>
  <c r="J485" i="275" s="1"/>
  <c r="K485" i="259"/>
  <c r="K485" i="275" s="1"/>
  <c r="L485" i="259"/>
  <c r="L485" i="275" s="1"/>
  <c r="M485" i="259"/>
  <c r="M485" i="275" s="1"/>
  <c r="N485" i="259"/>
  <c r="N485" i="275" s="1"/>
  <c r="O485" i="259"/>
  <c r="O485" i="275" s="1"/>
  <c r="P485" i="259"/>
  <c r="P485" i="275" s="1"/>
  <c r="Q485" i="259"/>
  <c r="Q485" i="275" s="1"/>
  <c r="R485" i="259"/>
  <c r="R485" i="275" s="1"/>
  <c r="S485" i="259"/>
  <c r="S485" i="275" s="1"/>
  <c r="T485" i="259"/>
  <c r="T485" i="275" s="1"/>
  <c r="U485" i="259"/>
  <c r="V485" i="259"/>
  <c r="W485" i="259"/>
  <c r="W485" i="275" s="1"/>
  <c r="D485" i="259"/>
  <c r="E472" i="259"/>
  <c r="E16" i="262" s="1"/>
  <c r="F472" i="259"/>
  <c r="F16" i="262" s="1"/>
  <c r="G472" i="259"/>
  <c r="H472" i="259"/>
  <c r="I472" i="259"/>
  <c r="J472" i="259"/>
  <c r="K472" i="259"/>
  <c r="L472" i="259"/>
  <c r="M472" i="259"/>
  <c r="N472" i="259"/>
  <c r="O472" i="259"/>
  <c r="P472" i="259"/>
  <c r="Q472" i="259"/>
  <c r="R472" i="259"/>
  <c r="S472" i="259"/>
  <c r="T472" i="259"/>
  <c r="U472" i="259"/>
  <c r="V472" i="259"/>
  <c r="V476" i="259" s="1"/>
  <c r="W472" i="259"/>
  <c r="D472" i="259"/>
  <c r="D16" i="262" s="1"/>
  <c r="E458" i="259"/>
  <c r="F458" i="259"/>
  <c r="G458" i="259"/>
  <c r="AU458" i="259" s="1"/>
  <c r="H458" i="259"/>
  <c r="I458" i="259"/>
  <c r="I458" i="275" s="1"/>
  <c r="J458" i="259"/>
  <c r="J458" i="275" s="1"/>
  <c r="K458" i="259"/>
  <c r="L458" i="259"/>
  <c r="L458" i="275" s="1"/>
  <c r="M458" i="259"/>
  <c r="M458" i="275" s="1"/>
  <c r="N458" i="259"/>
  <c r="N458" i="275" s="1"/>
  <c r="O458" i="259"/>
  <c r="P458" i="259"/>
  <c r="P458" i="275" s="1"/>
  <c r="Q458" i="259"/>
  <c r="Q458" i="275" s="1"/>
  <c r="R458" i="259"/>
  <c r="R458" i="275" s="1"/>
  <c r="S458" i="259"/>
  <c r="T458" i="259"/>
  <c r="T458" i="275" s="1"/>
  <c r="U458" i="259"/>
  <c r="V458" i="259"/>
  <c r="W458" i="259"/>
  <c r="D458" i="259"/>
  <c r="E451" i="259"/>
  <c r="F451" i="259"/>
  <c r="G451" i="259"/>
  <c r="H451" i="259"/>
  <c r="I451" i="259"/>
  <c r="I451" i="275" s="1"/>
  <c r="J451" i="259"/>
  <c r="J451" i="275" s="1"/>
  <c r="K451" i="259"/>
  <c r="K451" i="275" s="1"/>
  <c r="L451" i="259"/>
  <c r="L451" i="275" s="1"/>
  <c r="M451" i="259"/>
  <c r="M451" i="275" s="1"/>
  <c r="N451" i="259"/>
  <c r="N451" i="275" s="1"/>
  <c r="O451" i="259"/>
  <c r="O451" i="275" s="1"/>
  <c r="P451" i="259"/>
  <c r="P451" i="275" s="1"/>
  <c r="Q451" i="259"/>
  <c r="Q451" i="275" s="1"/>
  <c r="R451" i="259"/>
  <c r="R451" i="275" s="1"/>
  <c r="S451" i="259"/>
  <c r="S451" i="275" s="1"/>
  <c r="T451" i="259"/>
  <c r="T451" i="275" s="1"/>
  <c r="U451" i="259"/>
  <c r="V451" i="259"/>
  <c r="W451" i="259"/>
  <c r="W451" i="275" s="1"/>
  <c r="D451" i="259"/>
  <c r="E456" i="259"/>
  <c r="F456" i="259"/>
  <c r="G456" i="259"/>
  <c r="H456" i="259"/>
  <c r="I456" i="259"/>
  <c r="I456" i="275" s="1"/>
  <c r="J456" i="259"/>
  <c r="J456" i="275" s="1"/>
  <c r="K456" i="259"/>
  <c r="K456" i="275" s="1"/>
  <c r="L456" i="259"/>
  <c r="M456" i="259"/>
  <c r="M456" i="275" s="1"/>
  <c r="N456" i="259"/>
  <c r="N456" i="275" s="1"/>
  <c r="O456" i="259"/>
  <c r="O456" i="275" s="1"/>
  <c r="P456" i="259"/>
  <c r="P456" i="275" s="1"/>
  <c r="Q456" i="259"/>
  <c r="Q456" i="275" s="1"/>
  <c r="R456" i="259"/>
  <c r="R456" i="275" s="1"/>
  <c r="S456" i="259"/>
  <c r="S456" i="275" s="1"/>
  <c r="T456" i="259"/>
  <c r="T456" i="275" s="1"/>
  <c r="U456" i="259"/>
  <c r="V456" i="259"/>
  <c r="W456" i="259"/>
  <c r="D456" i="259"/>
  <c r="E455" i="259"/>
  <c r="F455" i="259"/>
  <c r="G455" i="259"/>
  <c r="AU455" i="259" s="1"/>
  <c r="H455" i="259"/>
  <c r="I455" i="259"/>
  <c r="I455" i="275" s="1"/>
  <c r="J455" i="259"/>
  <c r="J455" i="275" s="1"/>
  <c r="K455" i="259"/>
  <c r="L455" i="259"/>
  <c r="L455" i="275" s="1"/>
  <c r="M455" i="259"/>
  <c r="M455" i="275" s="1"/>
  <c r="N455" i="259"/>
  <c r="O455" i="259"/>
  <c r="P455" i="259"/>
  <c r="P455" i="275" s="1"/>
  <c r="Q455" i="259"/>
  <c r="Q455" i="275" s="1"/>
  <c r="R455" i="259"/>
  <c r="R455" i="275" s="1"/>
  <c r="S455" i="259"/>
  <c r="T455" i="259"/>
  <c r="T455" i="275" s="1"/>
  <c r="U455" i="259"/>
  <c r="V455" i="259"/>
  <c r="W455" i="259"/>
  <c r="D455" i="259"/>
  <c r="E442" i="259"/>
  <c r="F442" i="259"/>
  <c r="G442" i="259"/>
  <c r="AU442" i="259" s="1"/>
  <c r="H442" i="259"/>
  <c r="I442" i="259"/>
  <c r="I442" i="275" s="1"/>
  <c r="J442" i="259"/>
  <c r="J442" i="275" s="1"/>
  <c r="K442" i="259"/>
  <c r="L442" i="259"/>
  <c r="L442" i="275" s="1"/>
  <c r="M442" i="259"/>
  <c r="M442" i="275" s="1"/>
  <c r="N442" i="259"/>
  <c r="N442" i="275" s="1"/>
  <c r="O442" i="259"/>
  <c r="P442" i="259"/>
  <c r="P442" i="275" s="1"/>
  <c r="Q442" i="259"/>
  <c r="Q442" i="275" s="1"/>
  <c r="R442" i="259"/>
  <c r="R442" i="275" s="1"/>
  <c r="S442" i="259"/>
  <c r="T442" i="259"/>
  <c r="T442" i="275" s="1"/>
  <c r="U442" i="259"/>
  <c r="V442" i="259"/>
  <c r="W442" i="259"/>
  <c r="E443" i="259"/>
  <c r="F443" i="259"/>
  <c r="G443" i="259"/>
  <c r="H443" i="259"/>
  <c r="I443" i="259"/>
  <c r="I443" i="275" s="1"/>
  <c r="J443" i="259"/>
  <c r="J443" i="275" s="1"/>
  <c r="K443" i="259"/>
  <c r="L443" i="259"/>
  <c r="L443" i="275" s="1"/>
  <c r="M443" i="259"/>
  <c r="M443" i="275" s="1"/>
  <c r="N443" i="259"/>
  <c r="N443" i="275" s="1"/>
  <c r="O443" i="259"/>
  <c r="O443" i="275" s="1"/>
  <c r="P443" i="259"/>
  <c r="P443" i="275" s="1"/>
  <c r="Q443" i="259"/>
  <c r="Q443" i="275" s="1"/>
  <c r="R443" i="259"/>
  <c r="R443" i="275" s="1"/>
  <c r="S443" i="259"/>
  <c r="T443" i="259"/>
  <c r="T443" i="275" s="1"/>
  <c r="U443" i="259"/>
  <c r="V443" i="259"/>
  <c r="W443" i="259"/>
  <c r="W443" i="275" s="1"/>
  <c r="E444" i="259"/>
  <c r="F444" i="259"/>
  <c r="G444" i="259"/>
  <c r="AU444" i="259" s="1"/>
  <c r="H444" i="259"/>
  <c r="I444" i="259"/>
  <c r="I444" i="275" s="1"/>
  <c r="J444" i="259"/>
  <c r="J444" i="275" s="1"/>
  <c r="K444" i="259"/>
  <c r="K444" i="275" s="1"/>
  <c r="L444" i="259"/>
  <c r="L444" i="275" s="1"/>
  <c r="M444" i="259"/>
  <c r="M444" i="275" s="1"/>
  <c r="N444" i="259"/>
  <c r="N444" i="275" s="1"/>
  <c r="O444" i="259"/>
  <c r="P444" i="259"/>
  <c r="Q444" i="259"/>
  <c r="Q444" i="275" s="1"/>
  <c r="R444" i="259"/>
  <c r="R444" i="275" s="1"/>
  <c r="S444" i="259"/>
  <c r="S444" i="275" s="1"/>
  <c r="T444" i="259"/>
  <c r="T444" i="275" s="1"/>
  <c r="U444" i="259"/>
  <c r="V444" i="259"/>
  <c r="W444" i="259"/>
  <c r="D443" i="259"/>
  <c r="D444" i="259"/>
  <c r="D442" i="259"/>
  <c r="E132" i="259"/>
  <c r="E131" i="262" s="1"/>
  <c r="F132" i="259"/>
  <c r="F131" i="262" s="1"/>
  <c r="G132" i="259"/>
  <c r="G131" i="262" s="1"/>
  <c r="H132" i="259"/>
  <c r="I132" i="259"/>
  <c r="J132" i="259"/>
  <c r="K132" i="259"/>
  <c r="L132" i="259"/>
  <c r="M132" i="259"/>
  <c r="N132" i="259"/>
  <c r="O132" i="259"/>
  <c r="P132" i="259"/>
  <c r="Q132" i="259"/>
  <c r="R132" i="259"/>
  <c r="S132" i="259"/>
  <c r="T132" i="259"/>
  <c r="U132" i="259"/>
  <c r="V132" i="259"/>
  <c r="W132" i="259"/>
  <c r="E133" i="259"/>
  <c r="E132" i="262" s="1"/>
  <c r="F133" i="259"/>
  <c r="F132" i="262" s="1"/>
  <c r="G133" i="259"/>
  <c r="G132" i="262" s="1"/>
  <c r="H133" i="259"/>
  <c r="I133" i="259"/>
  <c r="J133" i="259"/>
  <c r="K133" i="259"/>
  <c r="L133" i="259"/>
  <c r="M133" i="259"/>
  <c r="N133" i="259"/>
  <c r="O133" i="259"/>
  <c r="P133" i="259"/>
  <c r="Q133" i="259"/>
  <c r="R133" i="259"/>
  <c r="S133" i="259"/>
  <c r="T133" i="259"/>
  <c r="U133" i="259"/>
  <c r="V133" i="259"/>
  <c r="W133" i="259"/>
  <c r="D133" i="259"/>
  <c r="D132" i="262" s="1"/>
  <c r="D132" i="259"/>
  <c r="D131" i="262" s="1"/>
  <c r="E120" i="259"/>
  <c r="F120" i="259"/>
  <c r="G120" i="259"/>
  <c r="H120" i="259"/>
  <c r="I120" i="259"/>
  <c r="I120" i="275" s="1"/>
  <c r="J120" i="259"/>
  <c r="J120" i="275" s="1"/>
  <c r="K120" i="259"/>
  <c r="K120" i="275" s="1"/>
  <c r="L120" i="259"/>
  <c r="L120" i="275" s="1"/>
  <c r="M120" i="259"/>
  <c r="M120" i="275" s="1"/>
  <c r="N120" i="259"/>
  <c r="N120" i="275" s="1"/>
  <c r="O120" i="259"/>
  <c r="O120" i="275" s="1"/>
  <c r="P120" i="259"/>
  <c r="P120" i="275" s="1"/>
  <c r="Q120" i="259"/>
  <c r="Q120" i="275" s="1"/>
  <c r="R120" i="259"/>
  <c r="R120" i="275" s="1"/>
  <c r="S120" i="259"/>
  <c r="S120" i="275" s="1"/>
  <c r="T120" i="259"/>
  <c r="T120" i="275" s="1"/>
  <c r="U120" i="259"/>
  <c r="V120" i="259"/>
  <c r="W120" i="259"/>
  <c r="W120" i="275" s="1"/>
  <c r="D120" i="259"/>
  <c r="E119" i="259"/>
  <c r="F119" i="259"/>
  <c r="F62" i="259" s="1"/>
  <c r="F142" i="262" s="1"/>
  <c r="G119" i="259"/>
  <c r="G121" i="259" s="1"/>
  <c r="H119" i="259"/>
  <c r="I119" i="259"/>
  <c r="I119" i="275" s="1"/>
  <c r="J119" i="259"/>
  <c r="J119" i="275" s="1"/>
  <c r="K119" i="259"/>
  <c r="K119" i="275" s="1"/>
  <c r="L119" i="259"/>
  <c r="M119" i="259"/>
  <c r="M119" i="275" s="1"/>
  <c r="N119" i="259"/>
  <c r="N119" i="275" s="1"/>
  <c r="O119" i="259"/>
  <c r="P119" i="259"/>
  <c r="Q119" i="259"/>
  <c r="Q119" i="275" s="1"/>
  <c r="R119" i="259"/>
  <c r="S119" i="259"/>
  <c r="T119" i="259"/>
  <c r="U119" i="259"/>
  <c r="V119" i="259"/>
  <c r="W119" i="259"/>
  <c r="E157" i="259"/>
  <c r="F157" i="259"/>
  <c r="G157" i="259"/>
  <c r="H157" i="259"/>
  <c r="I157" i="259"/>
  <c r="I157" i="275" s="1"/>
  <c r="J157" i="259"/>
  <c r="J157" i="275" s="1"/>
  <c r="K157" i="259"/>
  <c r="K157" i="275" s="1"/>
  <c r="L157" i="259"/>
  <c r="L157" i="275" s="1"/>
  <c r="M157" i="259"/>
  <c r="M157" i="275" s="1"/>
  <c r="N157" i="259"/>
  <c r="N157" i="275" s="1"/>
  <c r="O157" i="259"/>
  <c r="O157" i="275" s="1"/>
  <c r="P157" i="259"/>
  <c r="P157" i="275" s="1"/>
  <c r="Q157" i="259"/>
  <c r="Q157" i="275" s="1"/>
  <c r="R157" i="259"/>
  <c r="R157" i="275" s="1"/>
  <c r="S157" i="259"/>
  <c r="S157" i="275" s="1"/>
  <c r="T157" i="259"/>
  <c r="T157" i="275" s="1"/>
  <c r="U157" i="259"/>
  <c r="V157" i="259"/>
  <c r="W157" i="259"/>
  <c r="W157" i="275" s="1"/>
  <c r="E117" i="259"/>
  <c r="E56" i="259" s="1"/>
  <c r="E138" i="262" s="1"/>
  <c r="F117" i="259"/>
  <c r="F56" i="259" s="1"/>
  <c r="F138" i="262" s="1"/>
  <c r="G117" i="259"/>
  <c r="G56" i="259" s="1"/>
  <c r="G138" i="262" s="1"/>
  <c r="H117" i="259"/>
  <c r="I117" i="259"/>
  <c r="J117" i="259"/>
  <c r="K117" i="259"/>
  <c r="L117" i="259"/>
  <c r="L117" i="275" s="1"/>
  <c r="M117" i="259"/>
  <c r="N117" i="259"/>
  <c r="O117" i="259"/>
  <c r="P117" i="259"/>
  <c r="Q117" i="259"/>
  <c r="R117" i="259"/>
  <c r="S117" i="259"/>
  <c r="T117" i="259"/>
  <c r="U117" i="259"/>
  <c r="V117" i="259"/>
  <c r="W117" i="259"/>
  <c r="D117" i="259"/>
  <c r="E113" i="259"/>
  <c r="E37" i="259" s="1"/>
  <c r="F113" i="259"/>
  <c r="F37" i="259" s="1"/>
  <c r="G113" i="259"/>
  <c r="G37" i="259" s="1"/>
  <c r="H113" i="259"/>
  <c r="I113" i="259"/>
  <c r="J113" i="259"/>
  <c r="K113" i="259"/>
  <c r="K113" i="275" s="1"/>
  <c r="L113" i="259"/>
  <c r="M113" i="259"/>
  <c r="N113" i="259"/>
  <c r="N113" i="275" s="1"/>
  <c r="O113" i="259"/>
  <c r="P113" i="259"/>
  <c r="Q113" i="259"/>
  <c r="R113" i="259"/>
  <c r="S113" i="259"/>
  <c r="S113" i="275" s="1"/>
  <c r="T113" i="259"/>
  <c r="T113" i="275" s="1"/>
  <c r="U113" i="259"/>
  <c r="V113" i="259"/>
  <c r="W113" i="259"/>
  <c r="W113" i="275" s="1"/>
  <c r="E114" i="259"/>
  <c r="F114" i="259"/>
  <c r="F44" i="259" s="1"/>
  <c r="G114" i="259"/>
  <c r="G44" i="259" s="1"/>
  <c r="H114" i="259"/>
  <c r="I114" i="259"/>
  <c r="J114" i="259"/>
  <c r="K114" i="259"/>
  <c r="K114" i="275" s="1"/>
  <c r="L114" i="259"/>
  <c r="L114" i="275" s="1"/>
  <c r="M114" i="259"/>
  <c r="N114" i="259"/>
  <c r="O114" i="259"/>
  <c r="O114" i="275" s="1"/>
  <c r="P114" i="259"/>
  <c r="P114" i="275" s="1"/>
  <c r="Q114" i="259"/>
  <c r="R114" i="259"/>
  <c r="R114" i="275" s="1"/>
  <c r="S114" i="259"/>
  <c r="T114" i="259"/>
  <c r="U114" i="259"/>
  <c r="V114" i="259"/>
  <c r="W114" i="259"/>
  <c r="D114" i="259"/>
  <c r="D113" i="259"/>
  <c r="D37" i="259" s="1"/>
  <c r="E187" i="259"/>
  <c r="F187" i="259"/>
  <c r="G187" i="259"/>
  <c r="H187" i="259"/>
  <c r="I187" i="259"/>
  <c r="I187" i="275" s="1"/>
  <c r="J187" i="259"/>
  <c r="J187" i="275" s="1"/>
  <c r="K187" i="259"/>
  <c r="K187" i="275" s="1"/>
  <c r="L187" i="259"/>
  <c r="L187" i="275" s="1"/>
  <c r="M187" i="259"/>
  <c r="M187" i="275" s="1"/>
  <c r="N187" i="259"/>
  <c r="N187" i="275" s="1"/>
  <c r="O187" i="259"/>
  <c r="O187" i="275" s="1"/>
  <c r="P187" i="259"/>
  <c r="P187" i="275" s="1"/>
  <c r="Q187" i="259"/>
  <c r="Q187" i="275" s="1"/>
  <c r="R187" i="259"/>
  <c r="R187" i="275" s="1"/>
  <c r="S187" i="259"/>
  <c r="S187" i="275" s="1"/>
  <c r="T187" i="259"/>
  <c r="T187" i="275" s="1"/>
  <c r="U187" i="259"/>
  <c r="V187" i="259"/>
  <c r="W187" i="259"/>
  <c r="D187" i="259"/>
  <c r="E151" i="259"/>
  <c r="E139" i="259" s="1"/>
  <c r="F151" i="259"/>
  <c r="F159" i="259" s="1"/>
  <c r="F160" i="259" s="1"/>
  <c r="F161" i="259" s="1"/>
  <c r="F119" i="261" s="1"/>
  <c r="G151" i="259"/>
  <c r="H151" i="259"/>
  <c r="H139" i="259" s="1"/>
  <c r="I151" i="259"/>
  <c r="J151" i="259"/>
  <c r="K151" i="259"/>
  <c r="K151" i="275" s="1"/>
  <c r="L151" i="259"/>
  <c r="M151" i="259"/>
  <c r="N151" i="259"/>
  <c r="N1414" i="259" s="1"/>
  <c r="O151" i="259"/>
  <c r="O151" i="275" s="1"/>
  <c r="P151" i="259"/>
  <c r="Q151" i="259"/>
  <c r="R151" i="259"/>
  <c r="R84" i="259"/>
  <c r="S151" i="259"/>
  <c r="T151" i="259"/>
  <c r="U151" i="259"/>
  <c r="V151" i="259"/>
  <c r="W151" i="259"/>
  <c r="D151" i="259"/>
  <c r="D139" i="259" s="1"/>
  <c r="E393" i="259"/>
  <c r="F393" i="259"/>
  <c r="G393" i="259"/>
  <c r="H393" i="259"/>
  <c r="I393" i="259"/>
  <c r="J393" i="259"/>
  <c r="K393" i="259"/>
  <c r="L393" i="259"/>
  <c r="M393" i="259"/>
  <c r="N393" i="259"/>
  <c r="O393" i="259"/>
  <c r="P393" i="259"/>
  <c r="Q393" i="259"/>
  <c r="R393" i="259"/>
  <c r="S393" i="259"/>
  <c r="T393" i="259"/>
  <c r="U393" i="259"/>
  <c r="V393" i="259"/>
  <c r="W393" i="259"/>
  <c r="D393" i="259"/>
  <c r="E379" i="259"/>
  <c r="F379" i="259"/>
  <c r="G379" i="259"/>
  <c r="H379" i="259"/>
  <c r="I379" i="259"/>
  <c r="I379" i="275" s="1"/>
  <c r="J379" i="259"/>
  <c r="J379" i="275" s="1"/>
  <c r="K379" i="259"/>
  <c r="K379" i="275" s="1"/>
  <c r="L379" i="259"/>
  <c r="L379" i="275" s="1"/>
  <c r="M379" i="259"/>
  <c r="M379" i="275" s="1"/>
  <c r="N379" i="259"/>
  <c r="N379" i="275" s="1"/>
  <c r="O379" i="259"/>
  <c r="O379" i="275" s="1"/>
  <c r="P379" i="259"/>
  <c r="P379" i="275" s="1"/>
  <c r="Q379" i="259"/>
  <c r="Q379" i="275" s="1"/>
  <c r="R379" i="259"/>
  <c r="R379" i="275" s="1"/>
  <c r="S379" i="259"/>
  <c r="S379" i="275" s="1"/>
  <c r="T379" i="259"/>
  <c r="T379" i="275" s="1"/>
  <c r="U379" i="259"/>
  <c r="V379" i="259"/>
  <c r="W379" i="259"/>
  <c r="W379" i="275" s="1"/>
  <c r="E380" i="259"/>
  <c r="F380" i="259"/>
  <c r="F398" i="259" s="1"/>
  <c r="F32" i="261" s="1"/>
  <c r="G380" i="259"/>
  <c r="H380" i="259"/>
  <c r="I380" i="259"/>
  <c r="J380" i="259"/>
  <c r="K380" i="259"/>
  <c r="K380" i="275" s="1"/>
  <c r="L380" i="259"/>
  <c r="M380" i="259"/>
  <c r="M380" i="275" s="1"/>
  <c r="N380" i="259"/>
  <c r="N380" i="275" s="1"/>
  <c r="O380" i="259"/>
  <c r="O380" i="275" s="1"/>
  <c r="P380" i="259"/>
  <c r="P380" i="275" s="1"/>
  <c r="Q380" i="259"/>
  <c r="R380" i="259"/>
  <c r="R380" i="275" s="1"/>
  <c r="S380" i="259"/>
  <c r="S380" i="275" s="1"/>
  <c r="T380" i="259"/>
  <c r="T380" i="275" s="1"/>
  <c r="U380" i="259"/>
  <c r="V380" i="259"/>
  <c r="W380" i="259"/>
  <c r="W380" i="275" s="1"/>
  <c r="D380" i="259"/>
  <c r="D379" i="259"/>
  <c r="I376" i="259"/>
  <c r="J376" i="259"/>
  <c r="K376" i="259"/>
  <c r="L376" i="259"/>
  <c r="M376" i="259"/>
  <c r="M376" i="275" s="1"/>
  <c r="N376" i="259"/>
  <c r="N376" i="275" s="1"/>
  <c r="O376" i="259"/>
  <c r="O376" i="275" s="1"/>
  <c r="P376" i="259"/>
  <c r="P376" i="275" s="1"/>
  <c r="Q376" i="259"/>
  <c r="Q376" i="275" s="1"/>
  <c r="R376" i="259"/>
  <c r="R376" i="275" s="1"/>
  <c r="S376" i="259"/>
  <c r="S376" i="275" s="1"/>
  <c r="T376" i="259"/>
  <c r="T376" i="275" s="1"/>
  <c r="U376" i="259"/>
  <c r="V376" i="259"/>
  <c r="W376" i="259"/>
  <c r="W376" i="275" s="1"/>
  <c r="E376" i="259"/>
  <c r="F376" i="259"/>
  <c r="G376" i="259"/>
  <c r="H376" i="259"/>
  <c r="D376" i="259"/>
  <c r="E355" i="259"/>
  <c r="E141" i="259" s="1"/>
  <c r="F355" i="259"/>
  <c r="G355" i="259"/>
  <c r="G1508" i="259" s="1"/>
  <c r="G115" i="261" s="1"/>
  <c r="H355" i="259"/>
  <c r="I355" i="259"/>
  <c r="J355" i="259"/>
  <c r="J355" i="275" s="1"/>
  <c r="K355" i="259"/>
  <c r="L355" i="259"/>
  <c r="M355" i="259"/>
  <c r="N355" i="259"/>
  <c r="N355" i="275" s="1"/>
  <c r="O355" i="259"/>
  <c r="P355" i="259"/>
  <c r="Q355" i="259"/>
  <c r="R355" i="259"/>
  <c r="R355" i="275" s="1"/>
  <c r="S355" i="259"/>
  <c r="S86" i="259"/>
  <c r="T355" i="259"/>
  <c r="U355" i="259"/>
  <c r="V355" i="259"/>
  <c r="W355" i="259"/>
  <c r="D355" i="259"/>
  <c r="D141" i="259" s="1"/>
  <c r="E315" i="259"/>
  <c r="F315" i="259"/>
  <c r="G315" i="259"/>
  <c r="H315" i="259"/>
  <c r="I315" i="259"/>
  <c r="J315" i="259"/>
  <c r="K315" i="259"/>
  <c r="L315" i="259"/>
  <c r="M315" i="259"/>
  <c r="N315" i="259"/>
  <c r="O315" i="259"/>
  <c r="P315" i="259"/>
  <c r="Q315" i="259"/>
  <c r="R315" i="259"/>
  <c r="S315" i="259"/>
  <c r="T315" i="259"/>
  <c r="U315" i="259"/>
  <c r="V315" i="259"/>
  <c r="W315" i="259"/>
  <c r="D315" i="259"/>
  <c r="E301" i="259"/>
  <c r="F301" i="259"/>
  <c r="G301" i="259"/>
  <c r="H301" i="259"/>
  <c r="I301" i="259"/>
  <c r="I301" i="275" s="1"/>
  <c r="J301" i="259"/>
  <c r="J301" i="275" s="1"/>
  <c r="K301" i="259"/>
  <c r="K301" i="275" s="1"/>
  <c r="L301" i="259"/>
  <c r="L301" i="275" s="1"/>
  <c r="M301" i="259"/>
  <c r="M301" i="275" s="1"/>
  <c r="N301" i="259"/>
  <c r="N301" i="275" s="1"/>
  <c r="O301" i="259"/>
  <c r="O301" i="275" s="1"/>
  <c r="P301" i="259"/>
  <c r="Q301" i="259"/>
  <c r="Q301" i="275" s="1"/>
  <c r="R301" i="259"/>
  <c r="R301" i="275" s="1"/>
  <c r="S301" i="259"/>
  <c r="S301" i="275" s="1"/>
  <c r="T301" i="259"/>
  <c r="U301" i="259"/>
  <c r="V301" i="259"/>
  <c r="W301" i="259"/>
  <c r="W301" i="275" s="1"/>
  <c r="E302" i="259"/>
  <c r="E320" i="259" s="1"/>
  <c r="E28" i="261" s="1"/>
  <c r="F302" i="259"/>
  <c r="G302" i="259"/>
  <c r="G320" i="259" s="1"/>
  <c r="G28" i="261" s="1"/>
  <c r="H302" i="259"/>
  <c r="I302" i="259"/>
  <c r="J302" i="259"/>
  <c r="J302" i="275" s="1"/>
  <c r="K302" i="259"/>
  <c r="L302" i="259"/>
  <c r="M302" i="259"/>
  <c r="N302" i="259"/>
  <c r="N302" i="275" s="1"/>
  <c r="O302" i="259"/>
  <c r="P302" i="259"/>
  <c r="Q302" i="259"/>
  <c r="Q302" i="275" s="1"/>
  <c r="R302" i="259"/>
  <c r="S302" i="259"/>
  <c r="T302" i="259"/>
  <c r="U302" i="259"/>
  <c r="V302" i="259"/>
  <c r="W302" i="259"/>
  <c r="D302" i="259"/>
  <c r="D320" i="259" s="1"/>
  <c r="D28" i="261" s="1"/>
  <c r="D301" i="259"/>
  <c r="H298" i="259"/>
  <c r="I298" i="259"/>
  <c r="J298" i="259"/>
  <c r="K298" i="259"/>
  <c r="L298" i="259"/>
  <c r="L298" i="275" s="1"/>
  <c r="M298" i="259"/>
  <c r="N298" i="259"/>
  <c r="O298" i="259"/>
  <c r="O298" i="275" s="1"/>
  <c r="P298" i="259"/>
  <c r="P298" i="275" s="1"/>
  <c r="Q298" i="259"/>
  <c r="R298" i="259"/>
  <c r="R298" i="275" s="1"/>
  <c r="S298" i="259"/>
  <c r="S298" i="275" s="1"/>
  <c r="T298" i="259"/>
  <c r="T298" i="275" s="1"/>
  <c r="U298" i="259"/>
  <c r="V298" i="259"/>
  <c r="W298" i="259"/>
  <c r="W298" i="275" s="1"/>
  <c r="G298" i="259"/>
  <c r="E298" i="259"/>
  <c r="F298" i="259"/>
  <c r="F303" i="259" s="1"/>
  <c r="D298" i="259"/>
  <c r="E277" i="259"/>
  <c r="E285" i="259" s="1"/>
  <c r="F277" i="259"/>
  <c r="F285" i="259" s="1"/>
  <c r="F286" i="259" s="1"/>
  <c r="G277" i="259"/>
  <c r="G285" i="259" s="1"/>
  <c r="H277" i="259"/>
  <c r="I277" i="259"/>
  <c r="J277" i="259"/>
  <c r="K277" i="259"/>
  <c r="L277" i="259"/>
  <c r="M277" i="259"/>
  <c r="M277" i="275" s="1"/>
  <c r="N277" i="259"/>
  <c r="O277" i="259"/>
  <c r="P277" i="259"/>
  <c r="Q277" i="259"/>
  <c r="R277" i="259"/>
  <c r="S277" i="259"/>
  <c r="T277" i="259"/>
  <c r="U277" i="259"/>
  <c r="V277" i="259"/>
  <c r="W277" i="259"/>
  <c r="D277" i="259"/>
  <c r="D1507" i="259" s="1"/>
  <c r="D114" i="261" s="1"/>
  <c r="D180" i="259"/>
  <c r="E180" i="259"/>
  <c r="E263" i="259" s="1"/>
  <c r="E24" i="261" s="1"/>
  <c r="F180" i="259"/>
  <c r="F263" i="259" s="1"/>
  <c r="F24" i="261" s="1"/>
  <c r="G180" i="259"/>
  <c r="G263" i="259" s="1"/>
  <c r="G24" i="261" s="1"/>
  <c r="H180" i="259"/>
  <c r="I180" i="259"/>
  <c r="J180" i="259"/>
  <c r="K180" i="259"/>
  <c r="L180" i="259"/>
  <c r="L180" i="275" s="1"/>
  <c r="M180" i="259"/>
  <c r="N180" i="259"/>
  <c r="O180" i="259"/>
  <c r="P180" i="259"/>
  <c r="P180" i="275" s="1"/>
  <c r="Q180" i="259"/>
  <c r="R180" i="259"/>
  <c r="S180" i="259"/>
  <c r="S180" i="275" s="1"/>
  <c r="T180" i="259"/>
  <c r="T180" i="275" s="1"/>
  <c r="U180" i="259"/>
  <c r="V180" i="259"/>
  <c r="W180" i="259"/>
  <c r="E252" i="259"/>
  <c r="F252" i="259"/>
  <c r="G252" i="259"/>
  <c r="AU252" i="259" s="1"/>
  <c r="H252" i="259"/>
  <c r="I252" i="259"/>
  <c r="J252" i="259"/>
  <c r="K252" i="259"/>
  <c r="AV252" i="259" s="1"/>
  <c r="L252" i="259"/>
  <c r="M252" i="259"/>
  <c r="N252" i="259"/>
  <c r="O252" i="259"/>
  <c r="AW252" i="259" s="1"/>
  <c r="P252" i="259"/>
  <c r="Q252" i="259"/>
  <c r="R252" i="259"/>
  <c r="S252" i="259"/>
  <c r="AX252" i="259" s="1"/>
  <c r="T252" i="259"/>
  <c r="U252" i="259"/>
  <c r="V252" i="259"/>
  <c r="W252" i="259"/>
  <c r="AY252" i="259" s="1"/>
  <c r="D252" i="259"/>
  <c r="D179" i="259"/>
  <c r="D262" i="259" s="1"/>
  <c r="D23" i="261" s="1"/>
  <c r="E179" i="259"/>
  <c r="F179" i="259"/>
  <c r="G179" i="259"/>
  <c r="G181" i="259" s="1"/>
  <c r="H179" i="259"/>
  <c r="H179" i="275" s="1"/>
  <c r="I179" i="259"/>
  <c r="J179" i="259"/>
  <c r="K179" i="259"/>
  <c r="L179" i="259"/>
  <c r="M179" i="259"/>
  <c r="N179" i="259"/>
  <c r="N179" i="275" s="1"/>
  <c r="O179" i="259"/>
  <c r="P179" i="259"/>
  <c r="Q179" i="259"/>
  <c r="R179" i="259"/>
  <c r="R179" i="275" s="1"/>
  <c r="S179" i="259"/>
  <c r="T179" i="259"/>
  <c r="T179" i="275" s="1"/>
  <c r="U179" i="259"/>
  <c r="V179" i="259"/>
  <c r="W179" i="259"/>
  <c r="E319" i="259"/>
  <c r="F319" i="259"/>
  <c r="G319" i="259"/>
  <c r="H319" i="259"/>
  <c r="I319" i="259"/>
  <c r="J319" i="259"/>
  <c r="K319" i="259"/>
  <c r="L319" i="259"/>
  <c r="M319" i="259"/>
  <c r="N319" i="259"/>
  <c r="O319" i="259"/>
  <c r="P319" i="259"/>
  <c r="Q319" i="259"/>
  <c r="R319" i="259"/>
  <c r="S319" i="259"/>
  <c r="T319" i="259"/>
  <c r="U319" i="259"/>
  <c r="V319" i="259"/>
  <c r="W319" i="259"/>
  <c r="X319" i="259"/>
  <c r="Y319" i="259"/>
  <c r="Z319" i="259"/>
  <c r="D319" i="259"/>
  <c r="E168" i="259"/>
  <c r="F168" i="259"/>
  <c r="G168" i="259"/>
  <c r="H168" i="259"/>
  <c r="I168" i="259"/>
  <c r="I168" i="275" s="1"/>
  <c r="J168" i="259"/>
  <c r="J168" i="275" s="1"/>
  <c r="K168" i="259"/>
  <c r="K168" i="275" s="1"/>
  <c r="L168" i="259"/>
  <c r="L168" i="275" s="1"/>
  <c r="M168" i="259"/>
  <c r="M168" i="275" s="1"/>
  <c r="N168" i="259"/>
  <c r="N168" i="275" s="1"/>
  <c r="O168" i="259"/>
  <c r="O168" i="275" s="1"/>
  <c r="P168" i="259"/>
  <c r="Q168" i="259"/>
  <c r="Q168" i="275" s="1"/>
  <c r="R168" i="259"/>
  <c r="R168" i="275" s="1"/>
  <c r="S168" i="259"/>
  <c r="S168" i="275" s="1"/>
  <c r="T168" i="259"/>
  <c r="T168" i="275" s="1"/>
  <c r="U168" i="259"/>
  <c r="V168" i="259"/>
  <c r="W168" i="259"/>
  <c r="W168" i="275" s="1"/>
  <c r="D168" i="259"/>
  <c r="E208" i="259"/>
  <c r="F208" i="259"/>
  <c r="F105" i="261" s="1"/>
  <c r="G208" i="259"/>
  <c r="G62" i="262" s="1"/>
  <c r="H208" i="259"/>
  <c r="H105" i="261" s="1"/>
  <c r="I208" i="259"/>
  <c r="I62" i="262" s="1"/>
  <c r="J208" i="259"/>
  <c r="J105" i="261" s="1"/>
  <c r="K208" i="259"/>
  <c r="K62" i="262" s="1"/>
  <c r="L208" i="259"/>
  <c r="M208" i="259"/>
  <c r="M62" i="262" s="1"/>
  <c r="N208" i="259"/>
  <c r="N105" i="261" s="1"/>
  <c r="O208" i="259"/>
  <c r="O62" i="262" s="1"/>
  <c r="P208" i="259"/>
  <c r="Q208" i="259"/>
  <c r="Q62" i="262" s="1"/>
  <c r="R208" i="259"/>
  <c r="R105" i="261" s="1"/>
  <c r="S208" i="259"/>
  <c r="S62" i="262" s="1"/>
  <c r="T208" i="259"/>
  <c r="T62" i="262" s="1"/>
  <c r="U208" i="259"/>
  <c r="U62" i="262" s="1"/>
  <c r="V208" i="259"/>
  <c r="V105" i="261" s="1"/>
  <c r="W208" i="259"/>
  <c r="W62" i="262" s="1"/>
  <c r="D208" i="259"/>
  <c r="D105" i="261" s="1"/>
  <c r="V1371" i="259"/>
  <c r="Q1371" i="259"/>
  <c r="Q1392" i="259" s="1"/>
  <c r="Q213" i="262" s="1"/>
  <c r="U1371" i="259"/>
  <c r="U216" i="262" s="1"/>
  <c r="R1371" i="259"/>
  <c r="O1371" i="259"/>
  <c r="O216" i="262" s="1"/>
  <c r="N1371" i="259"/>
  <c r="N216" i="262" s="1"/>
  <c r="W1371" i="259"/>
  <c r="S1371" i="259"/>
  <c r="H1178" i="259"/>
  <c r="H1239" i="259" s="1"/>
  <c r="H784" i="259" s="1"/>
  <c r="F873" i="259"/>
  <c r="F872" i="259" s="1"/>
  <c r="F175" i="262" s="1"/>
  <c r="G1371" i="259"/>
  <c r="M1136" i="259"/>
  <c r="L1470" i="259"/>
  <c r="L344" i="261" s="1"/>
  <c r="L1371" i="259"/>
  <c r="I1371" i="259"/>
  <c r="I216" i="262" s="1"/>
  <c r="N1470" i="259"/>
  <c r="N344" i="261" s="1"/>
  <c r="N1471" i="259"/>
  <c r="N873" i="259"/>
  <c r="N1389" i="259"/>
  <c r="V1471" i="259"/>
  <c r="M873" i="259"/>
  <c r="N927" i="259"/>
  <c r="E873" i="259"/>
  <c r="E872" i="259" s="1"/>
  <c r="E175" i="262" s="1"/>
  <c r="U1471" i="259"/>
  <c r="U1470" i="259"/>
  <c r="U344" i="261" s="1"/>
  <c r="U873" i="259"/>
  <c r="U1389" i="259"/>
  <c r="M1471" i="259"/>
  <c r="M1470" i="259"/>
  <c r="M344" i="261" s="1"/>
  <c r="P1470" i="259"/>
  <c r="P344" i="261" s="1"/>
  <c r="M1389" i="259"/>
  <c r="I1470" i="259"/>
  <c r="I344" i="261" s="1"/>
  <c r="I1389" i="259"/>
  <c r="I873" i="259"/>
  <c r="I1471" i="259"/>
  <c r="Q1389" i="259"/>
  <c r="Q1471" i="259"/>
  <c r="Q873" i="259"/>
  <c r="Q1470" i="259"/>
  <c r="Q344" i="261" s="1"/>
  <c r="R1471" i="259"/>
  <c r="V1389" i="259"/>
  <c r="R1389" i="259"/>
  <c r="R873" i="259"/>
  <c r="R1470" i="259"/>
  <c r="R344" i="261" s="1"/>
  <c r="J873" i="259"/>
  <c r="V1470" i="259"/>
  <c r="V344" i="261" s="1"/>
  <c r="H1389" i="259"/>
  <c r="T1470" i="259"/>
  <c r="T344" i="261" s="1"/>
  <c r="V873" i="259"/>
  <c r="J1471" i="259"/>
  <c r="J1470" i="259"/>
  <c r="J344" i="261" s="1"/>
  <c r="J1389" i="259"/>
  <c r="H873" i="259"/>
  <c r="T1389" i="259"/>
  <c r="T1471" i="259"/>
  <c r="L873" i="259"/>
  <c r="L1389" i="259"/>
  <c r="L1471" i="259"/>
  <c r="T873" i="259"/>
  <c r="G1389" i="259"/>
  <c r="G873" i="259"/>
  <c r="G872" i="259" s="1"/>
  <c r="G175" i="262" s="1"/>
  <c r="W1471" i="259"/>
  <c r="W873" i="259"/>
  <c r="W1389" i="259"/>
  <c r="W1470" i="259"/>
  <c r="W344" i="261" s="1"/>
  <c r="K1470" i="259"/>
  <c r="K344" i="261" s="1"/>
  <c r="K1471" i="259"/>
  <c r="K1389" i="259"/>
  <c r="K873" i="259"/>
  <c r="D873" i="259"/>
  <c r="D872" i="259" s="1"/>
  <c r="D175" i="262" s="1"/>
  <c r="O1389" i="259"/>
  <c r="O1470" i="259"/>
  <c r="O344" i="261" s="1"/>
  <c r="O873" i="259"/>
  <c r="O1471" i="259"/>
  <c r="S1471" i="259"/>
  <c r="S1389" i="259"/>
  <c r="S1470" i="259"/>
  <c r="S344" i="261" s="1"/>
  <c r="S873" i="259"/>
  <c r="P873" i="259"/>
  <c r="P1389" i="259"/>
  <c r="P1471" i="259"/>
  <c r="F927" i="259"/>
  <c r="H927" i="259"/>
  <c r="H927" i="275" s="1"/>
  <c r="Q927" i="259"/>
  <c r="D157" i="259"/>
  <c r="D119" i="259"/>
  <c r="D1183" i="259"/>
  <c r="AW311" i="259"/>
  <c r="AW13" i="261" s="1"/>
  <c r="N968" i="259"/>
  <c r="S84" i="259"/>
  <c r="M1371" i="259"/>
  <c r="T1371" i="259"/>
  <c r="T216" i="262" s="1"/>
  <c r="P1371" i="259"/>
  <c r="P216" i="262" s="1"/>
  <c r="K1371" i="259"/>
  <c r="K1392" i="259" s="1"/>
  <c r="K213" i="262" s="1"/>
  <c r="H1371" i="259"/>
  <c r="H1392" i="259" s="1"/>
  <c r="H213" i="262" s="1"/>
  <c r="AY271" i="259"/>
  <c r="AY208" i="259"/>
  <c r="AY62" i="262" s="1"/>
  <c r="AW376" i="259"/>
  <c r="AX219" i="259"/>
  <c r="AW1249" i="259"/>
  <c r="AW245" i="259"/>
  <c r="S725" i="259"/>
  <c r="AX389" i="259"/>
  <c r="AX17" i="261" s="1"/>
  <c r="AU394" i="259"/>
  <c r="AU18" i="261" s="1"/>
  <c r="AW1279" i="259"/>
  <c r="AV1279" i="259"/>
  <c r="AY1151" i="259"/>
  <c r="W86" i="259"/>
  <c r="AU522" i="259"/>
  <c r="W725" i="259"/>
  <c r="AY522" i="259"/>
  <c r="W1179" i="259"/>
  <c r="W146" i="262" s="1"/>
  <c r="S1179" i="259"/>
  <c r="S146" i="262" s="1"/>
  <c r="S1185" i="259"/>
  <c r="S142" i="261" s="1"/>
  <c r="O1179" i="259"/>
  <c r="G1179" i="259"/>
  <c r="G146" i="262" s="1"/>
  <c r="O725" i="259"/>
  <c r="K725" i="259"/>
  <c r="G725" i="259"/>
  <c r="G723" i="259" s="1"/>
  <c r="D1032" i="259"/>
  <c r="AX348" i="259"/>
  <c r="AY426" i="259"/>
  <c r="AU619" i="259"/>
  <c r="AY619" i="259"/>
  <c r="AW640" i="259"/>
  <c r="AX937" i="259"/>
  <c r="AV1143" i="259"/>
  <c r="AV1144" i="259" s="1"/>
  <c r="AW614" i="259"/>
  <c r="AX1517" i="259"/>
  <c r="AW674" i="259"/>
  <c r="AU704" i="259"/>
  <c r="AY743" i="259"/>
  <c r="AV877" i="259"/>
  <c r="AY878" i="259"/>
  <c r="AU1158" i="259"/>
  <c r="AU1159" i="259" s="1"/>
  <c r="AY1158" i="259"/>
  <c r="AY1159" i="259" s="1"/>
  <c r="AW1166" i="259"/>
  <c r="AU336" i="259"/>
  <c r="AV426" i="259"/>
  <c r="AY485" i="259"/>
  <c r="W799" i="259"/>
  <c r="G799" i="259"/>
  <c r="G107" i="262" s="1"/>
  <c r="R799" i="259"/>
  <c r="J799" i="259"/>
  <c r="U799" i="259"/>
  <c r="E799" i="259"/>
  <c r="E107" i="262" s="1"/>
  <c r="AV522" i="259"/>
  <c r="AW1231" i="259"/>
  <c r="AW147" i="262" s="1"/>
  <c r="AX878" i="259"/>
  <c r="AW1155" i="259"/>
  <c r="AZ1517" i="259"/>
  <c r="AX833" i="259"/>
  <c r="AV837" i="259"/>
  <c r="AW944" i="259"/>
  <c r="AY1166" i="259"/>
  <c r="AW316" i="259"/>
  <c r="AW14" i="261" s="1"/>
  <c r="AU1279" i="259"/>
  <c r="AY1279" i="259"/>
  <c r="AU1517" i="259"/>
  <c r="AY1517" i="259"/>
  <c r="AW743" i="259"/>
  <c r="AV674" i="259"/>
  <c r="AX704" i="259"/>
  <c r="AU718" i="259"/>
  <c r="AX1524" i="259"/>
  <c r="AU1524" i="259"/>
  <c r="AY1524" i="259"/>
  <c r="AW1524" i="259"/>
  <c r="AU386" i="259"/>
  <c r="AY386" i="259"/>
  <c r="AV258" i="259"/>
  <c r="AV10" i="261" s="1"/>
  <c r="AX293" i="259"/>
  <c r="AU1143" i="259"/>
  <c r="AU1144" i="259" s="1"/>
  <c r="AV1335" i="259"/>
  <c r="AV247" i="262" s="1"/>
  <c r="AU1253" i="259"/>
  <c r="AU131" i="261" s="1"/>
  <c r="AW1254" i="259"/>
  <c r="AW132" i="261" s="1"/>
  <c r="AV534" i="259"/>
  <c r="AX729" i="259"/>
  <c r="AV735" i="259"/>
  <c r="AX1151" i="259"/>
  <c r="AV1249" i="259"/>
  <c r="AY1259" i="259"/>
  <c r="AY137" i="261" s="1"/>
  <c r="AX526" i="259"/>
  <c r="AY1143" i="259"/>
  <c r="AY1144" i="259" s="1"/>
  <c r="AU1248" i="259"/>
  <c r="AU1683" i="259" s="1"/>
  <c r="AY1248" i="259"/>
  <c r="AY1683" i="259" s="1"/>
  <c r="AX1258" i="259"/>
  <c r="AX136" i="261" s="1"/>
  <c r="AW1247" i="259"/>
  <c r="AW125" i="261" s="1"/>
  <c r="AX1279" i="259"/>
  <c r="AX534" i="259"/>
  <c r="AW855" i="259"/>
  <c r="AV878" i="259"/>
  <c r="AX1088" i="259"/>
  <c r="AV1151" i="259"/>
  <c r="AU1166" i="259"/>
  <c r="AV1155" i="259"/>
  <c r="AX1249" i="259"/>
  <c r="AX1684" i="259" s="1"/>
  <c r="AX1253" i="259"/>
  <c r="AX131" i="261" s="1"/>
  <c r="AV1254" i="259"/>
  <c r="AV132" i="261" s="1"/>
  <c r="AU1258" i="259"/>
  <c r="AU136" i="261" s="1"/>
  <c r="AY1258" i="259"/>
  <c r="AY136" i="261" s="1"/>
  <c r="AY534" i="259"/>
  <c r="AV833" i="259"/>
  <c r="AX855" i="259"/>
  <c r="AV937" i="259"/>
  <c r="AW1088" i="259"/>
  <c r="AU1249" i="259"/>
  <c r="AY1249" i="259"/>
  <c r="AY1684" i="259" s="1"/>
  <c r="AY1253" i="259"/>
  <c r="AY131" i="261" s="1"/>
  <c r="AW1151" i="259"/>
  <c r="AU1151" i="259"/>
  <c r="AW1158" i="259"/>
  <c r="AX1166" i="259"/>
  <c r="AU1338" i="259"/>
  <c r="AU316" i="261" s="1"/>
  <c r="AW1335" i="259"/>
  <c r="AW247" i="262" s="1"/>
  <c r="AX1335" i="259"/>
  <c r="AX247" i="262" s="1"/>
  <c r="AY1335" i="259"/>
  <c r="AV1127" i="259"/>
  <c r="AV1128" i="259" s="1"/>
  <c r="AW1517" i="259"/>
  <c r="AV1517" i="259"/>
  <c r="AU1110" i="259"/>
  <c r="P954" i="259"/>
  <c r="H954" i="259"/>
  <c r="H954" i="275" s="1"/>
  <c r="AW780" i="259"/>
  <c r="AW780" i="275" s="1"/>
  <c r="AU293" i="259"/>
  <c r="AV355" i="259"/>
  <c r="AU1022" i="259"/>
  <c r="AW1027" i="259"/>
  <c r="AV731" i="259"/>
  <c r="AU730" i="259"/>
  <c r="AY730" i="259"/>
  <c r="AX735" i="259"/>
  <c r="E927" i="259"/>
  <c r="AU896" i="259"/>
  <c r="T927" i="259"/>
  <c r="P927" i="259"/>
  <c r="L927" i="259"/>
  <c r="AX277" i="259"/>
  <c r="AY308" i="259"/>
  <c r="AX371" i="259"/>
  <c r="J1032" i="259"/>
  <c r="AU1021" i="259"/>
  <c r="AW1026" i="259"/>
  <c r="AU1054" i="259"/>
  <c r="AU1053" i="259"/>
  <c r="AU1052" i="259"/>
  <c r="AW472" i="259"/>
  <c r="AV472" i="259"/>
  <c r="AX640" i="259"/>
  <c r="AV704" i="259"/>
  <c r="AV704" i="275" s="1"/>
  <c r="AW718" i="259"/>
  <c r="AV730" i="259"/>
  <c r="AU735" i="259"/>
  <c r="AY735" i="259"/>
  <c r="AX532" i="259"/>
  <c r="T1032" i="259"/>
  <c r="P1032" i="259"/>
  <c r="L1032" i="259"/>
  <c r="H1032" i="259"/>
  <c r="H1032" i="275" s="1"/>
  <c r="AU520" i="259"/>
  <c r="AY520" i="259"/>
  <c r="AY731" i="259"/>
  <c r="AX730" i="259"/>
  <c r="AW735" i="259"/>
  <c r="AU833" i="259"/>
  <c r="AU875" i="259" s="1"/>
  <c r="AY833" i="259"/>
  <c r="AU937" i="259"/>
  <c r="AY937" i="259"/>
  <c r="AY937" i="275" s="1"/>
  <c r="AX944" i="259"/>
  <c r="AX944" i="275" s="1"/>
  <c r="AU944" i="259"/>
  <c r="AY944" i="259"/>
  <c r="AW937" i="259"/>
  <c r="AW937" i="275" s="1"/>
  <c r="AV944" i="259"/>
  <c r="AU855" i="259"/>
  <c r="AY855" i="259"/>
  <c r="AV876" i="259"/>
  <c r="AV876" i="275" s="1"/>
  <c r="AW877" i="259"/>
  <c r="AW877" i="275" s="1"/>
  <c r="AV855" i="259"/>
  <c r="AW876" i="259"/>
  <c r="AX877" i="259"/>
  <c r="AX877" i="275" s="1"/>
  <c r="AX876" i="259"/>
  <c r="AU877" i="259"/>
  <c r="AY877" i="259"/>
  <c r="E210" i="259"/>
  <c r="AW336" i="259"/>
  <c r="AV336" i="259"/>
  <c r="AV336" i="275" s="1"/>
  <c r="AY640" i="259"/>
  <c r="AU729" i="259"/>
  <c r="AY729" i="259"/>
  <c r="AU731" i="259"/>
  <c r="AX731" i="259"/>
  <c r="AX614" i="259"/>
  <c r="AU614" i="259"/>
  <c r="AY614" i="259"/>
  <c r="AV729" i="259"/>
  <c r="AW731" i="259"/>
  <c r="AW277" i="259"/>
  <c r="AX308" i="259"/>
  <c r="AU348" i="259"/>
  <c r="AX414" i="259"/>
  <c r="AW729" i="259"/>
  <c r="AU472" i="259"/>
  <c r="AY472" i="259"/>
  <c r="AV485" i="259"/>
  <c r="AX520" i="259"/>
  <c r="AV619" i="259"/>
  <c r="AY718" i="259"/>
  <c r="W1032" i="259"/>
  <c r="AV348" i="259"/>
  <c r="AX394" i="259"/>
  <c r="AX426" i="259"/>
  <c r="AY704" i="259"/>
  <c r="AY704" i="275" s="1"/>
  <c r="AU426" i="259"/>
  <c r="AV718" i="259"/>
  <c r="AW151" i="259"/>
  <c r="AW526" i="259"/>
  <c r="AW522" i="259"/>
  <c r="AX718" i="259"/>
  <c r="AX718" i="275" s="1"/>
  <c r="AV18" i="259"/>
  <c r="AC262" i="259"/>
  <c r="AD262" i="259"/>
  <c r="AE262" i="259"/>
  <c r="AW1140" i="259"/>
  <c r="BC263" i="259"/>
  <c r="BD263" i="259"/>
  <c r="BD262" i="259"/>
  <c r="BC262" i="259"/>
  <c r="AF502" i="275"/>
  <c r="AC502" i="259"/>
  <c r="AG502" i="275" s="1"/>
  <c r="AE502" i="259"/>
  <c r="AD502" i="259"/>
  <c r="AV271" i="259"/>
  <c r="AV219" i="259"/>
  <c r="AU1247" i="259"/>
  <c r="AU125" i="261" s="1"/>
  <c r="K178" i="259"/>
  <c r="K430" i="259"/>
  <c r="G196" i="259"/>
  <c r="G430" i="259"/>
  <c r="Y182" i="262"/>
  <c r="R418" i="259"/>
  <c r="AV394" i="259"/>
  <c r="AV376" i="259"/>
  <c r="U178" i="259"/>
  <c r="AY174" i="259"/>
  <c r="V1179" i="259"/>
  <c r="V146" i="262" s="1"/>
  <c r="AW267" i="259"/>
  <c r="AW426" i="259"/>
  <c r="AW49" i="261"/>
  <c r="AX46" i="261"/>
  <c r="AV235" i="261"/>
  <c r="AW394" i="259"/>
  <c r="AW18" i="261" s="1"/>
  <c r="AW95" i="261"/>
  <c r="AW1127" i="259"/>
  <c r="AW1128" i="259" s="1"/>
  <c r="AX95" i="261"/>
  <c r="AU1259" i="259"/>
  <c r="AU137" i="261" s="1"/>
  <c r="AV98" i="261"/>
  <c r="AX228" i="259"/>
  <c r="AV95" i="261"/>
  <c r="AV1404" i="259"/>
  <c r="AV1405" i="259"/>
  <c r="AV322" i="261" s="1"/>
  <c r="W927" i="259"/>
  <c r="S927" i="259"/>
  <c r="O927" i="259"/>
  <c r="K927" i="259"/>
  <c r="K927" i="275" s="1"/>
  <c r="AY98" i="261"/>
  <c r="AW1405" i="259"/>
  <c r="AW322" i="261" s="1"/>
  <c r="AW1404" i="259"/>
  <c r="V1032" i="259"/>
  <c r="N1032" i="259"/>
  <c r="N1032" i="275" s="1"/>
  <c r="F1032" i="259"/>
  <c r="AX1405" i="259"/>
  <c r="AX322" i="261" s="1"/>
  <c r="AX1404" i="259"/>
  <c r="U927" i="259"/>
  <c r="M927" i="259"/>
  <c r="I927" i="259"/>
  <c r="AX896" i="275"/>
  <c r="AY95" i="261"/>
  <c r="AW98" i="261"/>
  <c r="AY1404" i="259"/>
  <c r="AY1405" i="259"/>
  <c r="AY322" i="261" s="1"/>
  <c r="AU316" i="259"/>
  <c r="AY316" i="259"/>
  <c r="AY14" i="261" s="1"/>
  <c r="U1179" i="259"/>
  <c r="M1179" i="259"/>
  <c r="I1179" i="259"/>
  <c r="I146" i="262" s="1"/>
  <c r="AY55" i="261"/>
  <c r="AW57" i="261"/>
  <c r="AY154" i="261"/>
  <c r="AX235" i="261"/>
  <c r="AX237" i="261"/>
  <c r="S293" i="261"/>
  <c r="AX376" i="259"/>
  <c r="AX258" i="259"/>
  <c r="AX10" i="261" s="1"/>
  <c r="AU228" i="259"/>
  <c r="AV414" i="259"/>
  <c r="AW55" i="261"/>
  <c r="AV54" i="261"/>
  <c r="AY57" i="261"/>
  <c r="AW154" i="261"/>
  <c r="AV237" i="261"/>
  <c r="I293" i="261"/>
  <c r="AY348" i="259"/>
  <c r="AW414" i="259"/>
  <c r="AW414" i="275" s="1"/>
  <c r="AU837" i="259"/>
  <c r="AY837" i="259"/>
  <c r="T430" i="259"/>
  <c r="M178" i="259"/>
  <c r="M430" i="259"/>
  <c r="M196" i="259"/>
  <c r="J430" i="259"/>
  <c r="J430" i="275" s="1"/>
  <c r="I1028" i="259"/>
  <c r="I1028" i="275" s="1"/>
  <c r="Q1179" i="259"/>
  <c r="Q146" i="262" s="1"/>
  <c r="Q725" i="259"/>
  <c r="U196" i="259"/>
  <c r="U430" i="259"/>
  <c r="AX174" i="259"/>
  <c r="AX355" i="259"/>
  <c r="BA1517" i="259"/>
  <c r="E196" i="259"/>
  <c r="E430" i="259"/>
  <c r="AV36" i="261"/>
  <c r="AY37" i="261"/>
  <c r="AW232" i="259"/>
  <c r="AY336" i="259"/>
  <c r="AW47" i="261"/>
  <c r="AY54" i="261"/>
  <c r="AW619" i="259"/>
  <c r="AW619" i="275" s="1"/>
  <c r="AV743" i="259"/>
  <c r="AY268" i="261"/>
  <c r="AX1158" i="259"/>
  <c r="AX1159" i="259" s="1"/>
  <c r="AV1166" i="259"/>
  <c r="AU168" i="259"/>
  <c r="K1179" i="259"/>
  <c r="K146" i="262" s="1"/>
  <c r="AY47" i="261"/>
  <c r="AW46" i="261"/>
  <c r="AW54" i="261"/>
  <c r="AW268" i="261"/>
  <c r="AX269" i="261"/>
  <c r="AW187" i="259"/>
  <c r="AW39" i="261"/>
  <c r="AV40" i="261"/>
  <c r="AV90" i="261"/>
  <c r="AY91" i="261"/>
  <c r="V1023" i="259"/>
  <c r="F1023" i="259"/>
  <c r="N1023" i="259"/>
  <c r="M1028" i="259"/>
  <c r="AY36" i="261"/>
  <c r="AX37" i="261"/>
  <c r="AW1248" i="259"/>
  <c r="AW1683" i="259" s="1"/>
  <c r="AY40" i="261"/>
  <c r="AY90" i="261"/>
  <c r="AX91" i="261"/>
  <c r="AW180" i="261"/>
  <c r="AW173" i="261"/>
  <c r="AX181" i="261"/>
  <c r="AX174" i="261"/>
  <c r="AW182" i="261"/>
  <c r="AW175" i="261"/>
  <c r="AV183" i="261"/>
  <c r="AV176" i="261"/>
  <c r="AV47" i="261"/>
  <c r="AY49" i="261"/>
  <c r="AV49" i="261"/>
  <c r="AW1253" i="259"/>
  <c r="AW131" i="261" s="1"/>
  <c r="AV55" i="261"/>
  <c r="AX54" i="261"/>
  <c r="AV57" i="261"/>
  <c r="AX154" i="261"/>
  <c r="AX173" i="261"/>
  <c r="AX180" i="261"/>
  <c r="AY174" i="261"/>
  <c r="AY181" i="261"/>
  <c r="AX182" i="261"/>
  <c r="AX175" i="261"/>
  <c r="AW183" i="261"/>
  <c r="AW176" i="261"/>
  <c r="AW681" i="259"/>
  <c r="AY681" i="259"/>
  <c r="AW235" i="261"/>
  <c r="AY237" i="261"/>
  <c r="AY269" i="261"/>
  <c r="AW36" i="261"/>
  <c r="AV37" i="261"/>
  <c r="AX39" i="261"/>
  <c r="AW40" i="261"/>
  <c r="AW90" i="261"/>
  <c r="AV91" i="261"/>
  <c r="AX49" i="261"/>
  <c r="AV174" i="261"/>
  <c r="AV181" i="261"/>
  <c r="AY175" i="261"/>
  <c r="AY182" i="261"/>
  <c r="AX183" i="261"/>
  <c r="AX176" i="261"/>
  <c r="AX36" i="261"/>
  <c r="AW37" i="261"/>
  <c r="AV39" i="261"/>
  <c r="AY39" i="261"/>
  <c r="AX40" i="261"/>
  <c r="AX90" i="261"/>
  <c r="AW91" i="261"/>
  <c r="AX47" i="261"/>
  <c r="AW348" i="259"/>
  <c r="AY46" i="261"/>
  <c r="AV46" i="261"/>
  <c r="AX55" i="261"/>
  <c r="AW1258" i="259"/>
  <c r="AW136" i="261" s="1"/>
  <c r="AX57" i="261"/>
  <c r="AV154" i="261"/>
  <c r="AV173" i="261"/>
  <c r="AV180" i="261"/>
  <c r="AY173" i="261"/>
  <c r="AY180" i="261"/>
  <c r="AW181" i="261"/>
  <c r="AW174" i="261"/>
  <c r="AV175" i="261"/>
  <c r="AV182" i="261"/>
  <c r="AY183" i="261"/>
  <c r="AY176" i="261"/>
  <c r="AV681" i="259"/>
  <c r="AX681" i="259"/>
  <c r="AX681" i="275" s="1"/>
  <c r="AY235" i="261"/>
  <c r="AW237" i="261"/>
  <c r="AX268" i="261"/>
  <c r="AW269" i="261"/>
  <c r="AW18" i="259"/>
  <c r="AW18" i="275" s="1"/>
  <c r="AF1054" i="275"/>
  <c r="AF1051" i="275"/>
  <c r="AF1053" i="275"/>
  <c r="AC1053" i="259"/>
  <c r="AC1052" i="259"/>
  <c r="AC1051" i="259"/>
  <c r="AC1054" i="259"/>
  <c r="AE1054" i="259"/>
  <c r="AI1054" i="275" s="1"/>
  <c r="AD1054" i="259"/>
  <c r="AH1054" i="275" s="1"/>
  <c r="AD1051" i="259"/>
  <c r="AH1051" i="275" s="1"/>
  <c r="AE1051" i="259"/>
  <c r="AI1051" i="275" s="1"/>
  <c r="AD1052" i="259"/>
  <c r="AH1052" i="275" s="1"/>
  <c r="AE1052" i="259"/>
  <c r="AE1053" i="259"/>
  <c r="AI1053" i="275" s="1"/>
  <c r="AD1053" i="259"/>
  <c r="AH1053" i="275" s="1"/>
  <c r="BB1051" i="275"/>
  <c r="BC1053" i="259"/>
  <c r="BB1053" i="275"/>
  <c r="BC1051" i="259"/>
  <c r="BD1053" i="259"/>
  <c r="BB1054" i="275"/>
  <c r="BB1052" i="275"/>
  <c r="BD1051" i="259"/>
  <c r="BD1054" i="259"/>
  <c r="BC1054" i="259"/>
  <c r="BC1054" i="275" s="1"/>
  <c r="BD1052" i="259"/>
  <c r="BC1052" i="259"/>
  <c r="U957" i="259"/>
  <c r="S957" i="259"/>
  <c r="M957" i="259"/>
  <c r="J957" i="259"/>
  <c r="N957" i="259"/>
  <c r="V957" i="259"/>
  <c r="W957" i="259"/>
  <c r="K957" i="259"/>
  <c r="O957" i="259"/>
  <c r="G957" i="259"/>
  <c r="R957" i="259"/>
  <c r="H957" i="259"/>
  <c r="I957" i="259"/>
  <c r="F957" i="259"/>
  <c r="L957" i="259"/>
  <c r="T957" i="259"/>
  <c r="Q957" i="259"/>
  <c r="P957" i="259"/>
  <c r="AW293" i="261"/>
  <c r="Q293" i="261"/>
  <c r="K293" i="261"/>
  <c r="AU293" i="261"/>
  <c r="D799" i="259"/>
  <c r="H799" i="259"/>
  <c r="T799" i="259"/>
  <c r="M799" i="259"/>
  <c r="F799" i="259"/>
  <c r="F107" i="262" s="1"/>
  <c r="N799" i="259"/>
  <c r="V799" i="259"/>
  <c r="O799" i="259"/>
  <c r="AV293" i="261"/>
  <c r="AY293" i="261"/>
  <c r="AV1584" i="259"/>
  <c r="AV1588" i="259" s="1"/>
  <c r="AV298" i="261" s="1"/>
  <c r="G1585" i="259"/>
  <c r="K1585" i="259"/>
  <c r="O1585" i="259"/>
  <c r="S1585" i="259"/>
  <c r="W1585" i="259"/>
  <c r="AW1584" i="259"/>
  <c r="AW1588" i="259" s="1"/>
  <c r="AW298" i="261" s="1"/>
  <c r="D1585" i="259"/>
  <c r="H1585" i="259"/>
  <c r="L1585" i="259"/>
  <c r="P1585" i="259"/>
  <c r="T1585" i="259"/>
  <c r="F1588" i="259"/>
  <c r="F298" i="261" s="1"/>
  <c r="J1588" i="259"/>
  <c r="J298" i="261" s="1"/>
  <c r="N1588" i="259"/>
  <c r="N298" i="261" s="1"/>
  <c r="R1588" i="259"/>
  <c r="R298" i="261" s="1"/>
  <c r="V1588" i="259"/>
  <c r="V298" i="261" s="1"/>
  <c r="AX1584" i="259"/>
  <c r="AX1588" i="259" s="1"/>
  <c r="AX298" i="261" s="1"/>
  <c r="AU1584" i="259"/>
  <c r="AU1588" i="259" s="1"/>
  <c r="AU298" i="261" s="1"/>
  <c r="AY1584" i="259"/>
  <c r="AY1588" i="259" s="1"/>
  <c r="AY298" i="261" s="1"/>
  <c r="R1032" i="259"/>
  <c r="W345" i="261"/>
  <c r="AU267" i="259"/>
  <c r="AY267" i="259"/>
  <c r="AV311" i="259"/>
  <c r="AV13" i="261" s="1"/>
  <c r="AV132" i="259"/>
  <c r="AY532" i="259"/>
  <c r="AX589" i="259"/>
  <c r="AX598" i="259"/>
  <c r="AW598" i="259"/>
  <c r="AX256" i="259"/>
  <c r="AX8" i="261" s="1"/>
  <c r="AU219" i="259"/>
  <c r="AU221" i="259" s="1"/>
  <c r="AY219" i="259"/>
  <c r="AY219" i="275" s="1"/>
  <c r="AW240" i="259"/>
  <c r="Q799" i="259"/>
  <c r="AX293" i="261"/>
  <c r="L110" i="262"/>
  <c r="R1016" i="259"/>
  <c r="R221" i="259"/>
  <c r="J1016" i="259"/>
  <c r="J221" i="259"/>
  <c r="R968" i="259"/>
  <c r="R234" i="259"/>
  <c r="J968" i="259"/>
  <c r="J234" i="259"/>
  <c r="F234" i="259"/>
  <c r="F968" i="259"/>
  <c r="F969" i="259" s="1"/>
  <c r="R340" i="259"/>
  <c r="R973" i="259"/>
  <c r="J340" i="259"/>
  <c r="J973" i="259"/>
  <c r="U418" i="259"/>
  <c r="U978" i="259"/>
  <c r="M418" i="259"/>
  <c r="M978" i="259"/>
  <c r="E418" i="259"/>
  <c r="E978" i="259"/>
  <c r="AZ1318" i="259"/>
  <c r="AX133" i="259"/>
  <c r="AX168" i="259"/>
  <c r="AU311" i="259"/>
  <c r="AU13" i="261" s="1"/>
  <c r="AU298" i="259"/>
  <c r="H725" i="259"/>
  <c r="E1032" i="259"/>
  <c r="L178" i="259"/>
  <c r="AY1088" i="259"/>
  <c r="AU1231" i="259"/>
  <c r="AU147" i="262" s="1"/>
  <c r="AU271" i="259"/>
  <c r="AY132" i="259"/>
  <c r="AY510" i="259"/>
  <c r="AY1329" i="259"/>
  <c r="AX485" i="259"/>
  <c r="W1136" i="259"/>
  <c r="K1136" i="259"/>
  <c r="L1123" i="259"/>
  <c r="AW1143" i="259"/>
  <c r="Q430" i="259"/>
  <c r="E725" i="259"/>
  <c r="E723" i="259" s="1"/>
  <c r="AV316" i="259"/>
  <c r="AV14" i="261" s="1"/>
  <c r="AY245" i="259"/>
  <c r="AX298" i="259"/>
  <c r="AX232" i="259"/>
  <c r="AX245" i="259"/>
  <c r="AX245" i="275" s="1"/>
  <c r="F725" i="259"/>
  <c r="F723" i="259" s="1"/>
  <c r="AV228" i="259"/>
  <c r="AV228" i="275" s="1"/>
  <c r="AY228" i="259"/>
  <c r="AY228" i="275" s="1"/>
  <c r="AX837" i="259"/>
  <c r="AC1325" i="259"/>
  <c r="AD1325" i="259" s="1"/>
  <c r="AE1325" i="259" s="1"/>
  <c r="AF1325" i="259" s="1"/>
  <c r="AG1325" i="259" s="1"/>
  <c r="AH1325" i="259" s="1"/>
  <c r="AI1325" i="259" s="1"/>
  <c r="N92" i="261"/>
  <c r="AU663" i="259"/>
  <c r="AW2" i="259"/>
  <c r="AW1600" i="259" s="1"/>
  <c r="AX240" i="259"/>
  <c r="AX240" i="275" s="1"/>
  <c r="AX98" i="261"/>
  <c r="AU526" i="259"/>
  <c r="AY876" i="259"/>
  <c r="AY876" i="275" s="1"/>
  <c r="L92" i="261"/>
  <c r="AX208" i="259"/>
  <c r="AX62" i="262" s="1"/>
  <c r="AW219" i="259"/>
  <c r="AW219" i="275" s="1"/>
  <c r="AV232" i="259"/>
  <c r="AU245" i="259"/>
  <c r="J1179" i="259"/>
  <c r="J146" i="262" s="1"/>
  <c r="AU534" i="259"/>
  <c r="AU35" i="262" s="1"/>
  <c r="AW878" i="259"/>
  <c r="AW878" i="275" s="1"/>
  <c r="I430" i="259"/>
  <c r="D196" i="259"/>
  <c r="AU240" i="259"/>
  <c r="AY240" i="259"/>
  <c r="I178" i="259"/>
  <c r="I178" i="275" s="1"/>
  <c r="D178" i="259"/>
  <c r="D210" i="259" s="1"/>
  <c r="AY232" i="259"/>
  <c r="AW833" i="259"/>
  <c r="AU876" i="259"/>
  <c r="Q178" i="259"/>
  <c r="Q178" i="275" s="1"/>
  <c r="AZ1004" i="259"/>
  <c r="AY187" i="259"/>
  <c r="U725" i="259"/>
  <c r="M725" i="259"/>
  <c r="L725" i="259"/>
  <c r="AV208" i="259"/>
  <c r="AV62" i="262" s="1"/>
  <c r="AW228" i="259"/>
  <c r="AW228" i="275" s="1"/>
  <c r="AX522" i="259"/>
  <c r="O430" i="259"/>
  <c r="O430" i="275" s="1"/>
  <c r="AV1259" i="259"/>
  <c r="AV137" i="261" s="1"/>
  <c r="T196" i="259"/>
  <c r="AY41" i="259"/>
  <c r="AV526" i="259"/>
  <c r="AV526" i="275" s="1"/>
  <c r="AY526" i="259"/>
  <c r="O196" i="259"/>
  <c r="AU41" i="259"/>
  <c r="T1579" i="259"/>
  <c r="T1590" i="259" s="1"/>
  <c r="T92" i="262"/>
  <c r="T119" i="262"/>
  <c r="P1579" i="259"/>
  <c r="P1590" i="259" s="1"/>
  <c r="P92" i="262"/>
  <c r="P119" i="262"/>
  <c r="L1579" i="259"/>
  <c r="L1590" i="259" s="1"/>
  <c r="L92" i="262"/>
  <c r="L119" i="262"/>
  <c r="H1579" i="259"/>
  <c r="H1590" i="259" s="1"/>
  <c r="H92" i="262"/>
  <c r="H119" i="262"/>
  <c r="V1579" i="259"/>
  <c r="V1590" i="259" s="1"/>
  <c r="V92" i="262"/>
  <c r="V119" i="262"/>
  <c r="R1579" i="259"/>
  <c r="R1590" i="259" s="1"/>
  <c r="R92" i="262"/>
  <c r="R119" i="262"/>
  <c r="N1579" i="259"/>
  <c r="N1590" i="259" s="1"/>
  <c r="N92" i="262"/>
  <c r="N119" i="262"/>
  <c r="J1579" i="259"/>
  <c r="J1590" i="259" s="1"/>
  <c r="J92" i="262"/>
  <c r="J119" i="262"/>
  <c r="F1579" i="259"/>
  <c r="F1590" i="259" s="1"/>
  <c r="F92" i="262"/>
  <c r="F119" i="262"/>
  <c r="D1579" i="259"/>
  <c r="D1590" i="259" s="1"/>
  <c r="D92" i="262"/>
  <c r="D119" i="262"/>
  <c r="U1579" i="259"/>
  <c r="U1590" i="259" s="1"/>
  <c r="U92" i="262"/>
  <c r="U119" i="262"/>
  <c r="Q1579" i="259"/>
  <c r="Q1590" i="259" s="1"/>
  <c r="Q92" i="262"/>
  <c r="Q119" i="262"/>
  <c r="M1579" i="259"/>
  <c r="M1590" i="259" s="1"/>
  <c r="M92" i="262"/>
  <c r="M119" i="262"/>
  <c r="I1579" i="259"/>
  <c r="I1590" i="259" s="1"/>
  <c r="I92" i="262"/>
  <c r="I119" i="262"/>
  <c r="E1579" i="259"/>
  <c r="E1590" i="259" s="1"/>
  <c r="E92" i="262"/>
  <c r="E119" i="262"/>
  <c r="W1579" i="259"/>
  <c r="W1590" i="259" s="1"/>
  <c r="W92" i="262"/>
  <c r="W119" i="262"/>
  <c r="S1579" i="259"/>
  <c r="S1590" i="259" s="1"/>
  <c r="S92" i="262"/>
  <c r="S119" i="262"/>
  <c r="O1579" i="259"/>
  <c r="O1590" i="259" s="1"/>
  <c r="O92" i="262"/>
  <c r="O119" i="262"/>
  <c r="K1579" i="259"/>
  <c r="K1590" i="259" s="1"/>
  <c r="K92" i="262"/>
  <c r="K119" i="262"/>
  <c r="G1579" i="259"/>
  <c r="G1590" i="259" s="1"/>
  <c r="G92" i="262"/>
  <c r="G119" i="262"/>
  <c r="AV1088" i="259"/>
  <c r="V725" i="259"/>
  <c r="W196" i="259"/>
  <c r="AV1582" i="259"/>
  <c r="AV297" i="261" s="1"/>
  <c r="D1240" i="259"/>
  <c r="D785" i="259" s="1"/>
  <c r="D96" i="262" s="1"/>
  <c r="AW117" i="262"/>
  <c r="AW1582" i="259"/>
  <c r="AW297" i="261" s="1"/>
  <c r="AX1582" i="259"/>
  <c r="AX297" i="261" s="1"/>
  <c r="AV41" i="259"/>
  <c r="AX41" i="259"/>
  <c r="AU1582" i="259"/>
  <c r="AU297" i="261" s="1"/>
  <c r="AY1582" i="259"/>
  <c r="AY297" i="261" s="1"/>
  <c r="AU91" i="262"/>
  <c r="X123" i="262"/>
  <c r="L86" i="259"/>
  <c r="AZ1005" i="259"/>
  <c r="AZ1003" i="259"/>
  <c r="AZ1002" i="259"/>
  <c r="AW765" i="259"/>
  <c r="AU765" i="259"/>
  <c r="AY765" i="259"/>
  <c r="L799" i="259"/>
  <c r="P658" i="259"/>
  <c r="G86" i="259"/>
  <c r="W84" i="259"/>
  <c r="AW1438" i="259"/>
  <c r="AW1445" i="259"/>
  <c r="AW256" i="259"/>
  <c r="AW8" i="261" s="1"/>
  <c r="AV1442" i="259"/>
  <c r="AV339" i="261" s="1"/>
  <c r="AU780" i="259"/>
  <c r="G126" i="259"/>
  <c r="G6" i="259" s="1"/>
  <c r="G134" i="262" s="1"/>
  <c r="R86" i="259"/>
  <c r="G210" i="259"/>
  <c r="AX1295" i="259"/>
  <c r="AV1295" i="259"/>
  <c r="AU1295" i="259"/>
  <c r="S430" i="259"/>
  <c r="S196" i="259"/>
  <c r="P293" i="261"/>
  <c r="P799" i="259"/>
  <c r="R767" i="259"/>
  <c r="AX765" i="259"/>
  <c r="J767" i="259"/>
  <c r="J767" i="275" s="1"/>
  <c r="AV765" i="259"/>
  <c r="W110" i="262"/>
  <c r="M1227" i="259"/>
  <c r="W126" i="259"/>
  <c r="N1419" i="259"/>
  <c r="N1420" i="259" s="1"/>
  <c r="N332" i="261" s="1"/>
  <c r="AU1389" i="259"/>
  <c r="R126" i="259"/>
  <c r="H84" i="259"/>
  <c r="F84" i="259"/>
  <c r="S126" i="259"/>
  <c r="K86" i="259"/>
  <c r="AU132" i="259"/>
  <c r="AU131" i="262" s="1"/>
  <c r="AY389" i="259"/>
  <c r="AY17" i="261" s="1"/>
  <c r="O126" i="259"/>
  <c r="Q84" i="259"/>
  <c r="W1306" i="259"/>
  <c r="M84" i="259"/>
  <c r="AV187" i="259"/>
  <c r="O86" i="259"/>
  <c r="AX873" i="259"/>
  <c r="X34" i="262"/>
  <c r="AF483" i="259"/>
  <c r="AF484" i="259"/>
  <c r="AY258" i="259"/>
  <c r="AY10" i="261" s="1"/>
  <c r="AU277" i="259"/>
  <c r="AU1507" i="259" s="1"/>
  <c r="AU114" i="261" s="1"/>
  <c r="AY277" i="259"/>
  <c r="AW293" i="259"/>
  <c r="AW532" i="259"/>
  <c r="N476" i="259"/>
  <c r="AV532" i="259"/>
  <c r="AW579" i="259"/>
  <c r="AY589" i="259"/>
  <c r="AY598" i="259"/>
  <c r="AY598" i="275" s="1"/>
  <c r="AY355" i="259"/>
  <c r="W92" i="261"/>
  <c r="AU283" i="259"/>
  <c r="AX283" i="259"/>
  <c r="AV283" i="259"/>
  <c r="AX1201" i="259"/>
  <c r="AX1214" i="259"/>
  <c r="AX187" i="259"/>
  <c r="AX187" i="275" s="1"/>
  <c r="AV308" i="259"/>
  <c r="AV371" i="259"/>
  <c r="AV371" i="275" s="1"/>
  <c r="L948" i="259"/>
  <c r="AY168" i="259"/>
  <c r="AY298" i="259"/>
  <c r="AY298" i="275" s="1"/>
  <c r="AW371" i="259"/>
  <c r="AW371" i="275" s="1"/>
  <c r="AU376" i="259"/>
  <c r="AW386" i="259"/>
  <c r="AV579" i="259"/>
  <c r="AU232" i="259"/>
  <c r="AV1579" i="259"/>
  <c r="AU476" i="259"/>
  <c r="AU479" i="259" s="1"/>
  <c r="M105" i="261"/>
  <c r="T92" i="261"/>
  <c r="AV361" i="259"/>
  <c r="AW308" i="259"/>
  <c r="AW308" i="275" s="1"/>
  <c r="AU589" i="259"/>
  <c r="AY1418" i="259"/>
  <c r="AW1418" i="259"/>
  <c r="AX151" i="259"/>
  <c r="AV168" i="259"/>
  <c r="AV168" i="275" s="1"/>
  <c r="AU355" i="259"/>
  <c r="AU1508" i="259" s="1"/>
  <c r="AU115" i="261" s="1"/>
  <c r="AV1418" i="259"/>
  <c r="D94" i="259"/>
  <c r="AW768" i="259"/>
  <c r="AW1236" i="259"/>
  <c r="AW148" i="262" s="1"/>
  <c r="I476" i="259"/>
  <c r="AU83" i="262"/>
  <c r="AW83" i="262"/>
  <c r="AY83" i="262"/>
  <c r="AV83" i="262"/>
  <c r="AX83" i="262"/>
  <c r="AU117" i="262"/>
  <c r="AW41" i="259"/>
  <c r="AY117" i="262"/>
  <c r="X29" i="262"/>
  <c r="AF481" i="259"/>
  <c r="AF344" i="259"/>
  <c r="AF244" i="259"/>
  <c r="D229" i="261"/>
  <c r="D228" i="261"/>
  <c r="G84" i="259"/>
  <c r="T126" i="259"/>
  <c r="N86" i="259"/>
  <c r="N101" i="259" s="1"/>
  <c r="P84" i="259"/>
  <c r="P126" i="259"/>
  <c r="J84" i="259"/>
  <c r="J126" i="259"/>
  <c r="O84" i="259"/>
  <c r="AX1543" i="259"/>
  <c r="AY1542" i="259"/>
  <c r="Q86" i="259"/>
  <c r="X329" i="259"/>
  <c r="X55" i="262"/>
  <c r="X62" i="262"/>
  <c r="Z62" i="262"/>
  <c r="Y62" i="262"/>
  <c r="T84" i="259"/>
  <c r="D84" i="259"/>
  <c r="H86" i="259"/>
  <c r="H126" i="259"/>
  <c r="L84" i="259"/>
  <c r="L126" i="259"/>
  <c r="T86" i="259"/>
  <c r="P86" i="259"/>
  <c r="J86" i="259"/>
  <c r="J101" i="259" s="1"/>
  <c r="AW1542" i="259"/>
  <c r="AV1542" i="259"/>
  <c r="V86" i="259"/>
  <c r="F86" i="259"/>
  <c r="F101" i="259" s="1"/>
  <c r="V84" i="259"/>
  <c r="V126" i="259"/>
  <c r="N126" i="259"/>
  <c r="N84" i="259"/>
  <c r="F126" i="259"/>
  <c r="F6" i="259" s="1"/>
  <c r="F134" i="262" s="1"/>
  <c r="AW1541" i="259"/>
  <c r="Q126" i="259"/>
  <c r="U84" i="259"/>
  <c r="U99" i="259" s="1"/>
  <c r="AX1542" i="259"/>
  <c r="I86" i="259"/>
  <c r="I126" i="259"/>
  <c r="I84" i="259"/>
  <c r="E86" i="259"/>
  <c r="AU1542" i="259"/>
  <c r="AU1541" i="259"/>
  <c r="AW1543" i="259"/>
  <c r="AY1543" i="259"/>
  <c r="M86" i="259"/>
  <c r="M126" i="259"/>
  <c r="M126" i="275" s="1"/>
  <c r="E84" i="259"/>
  <c r="E126" i="259"/>
  <c r="U86" i="259"/>
  <c r="U126" i="259"/>
  <c r="G8" i="259"/>
  <c r="G136" i="262" s="1"/>
  <c r="K84" i="259"/>
  <c r="K126" i="259"/>
  <c r="AW1546" i="259"/>
  <c r="F7" i="259"/>
  <c r="F135" i="262" s="1"/>
  <c r="AX1546" i="259"/>
  <c r="AU1546" i="259"/>
  <c r="AV1546" i="259"/>
  <c r="AY1546" i="259"/>
  <c r="D86" i="259"/>
  <c r="D101" i="259" s="1"/>
  <c r="D126" i="259"/>
  <c r="AU1543" i="259"/>
  <c r="X38" i="262"/>
  <c r="AY1127" i="259"/>
  <c r="AY1128" i="259" s="1"/>
  <c r="AC1365" i="259"/>
  <c r="AD1365" i="259" s="1"/>
  <c r="AE1365" i="259" s="1"/>
  <c r="AZ1365" i="259"/>
  <c r="AZ1368" i="259"/>
  <c r="X1136" i="259"/>
  <c r="X94" i="259"/>
  <c r="X60" i="262"/>
  <c r="X37" i="262"/>
  <c r="X61" i="262"/>
  <c r="X54" i="262"/>
  <c r="X56" i="262"/>
  <c r="X816" i="259"/>
  <c r="X58" i="262"/>
  <c r="X86" i="259"/>
  <c r="X101" i="259" s="1"/>
  <c r="X119" i="262"/>
  <c r="X92" i="262"/>
  <c r="X274" i="262"/>
  <c r="X84" i="259"/>
  <c r="X91" i="262"/>
  <c r="X229" i="262"/>
  <c r="X230" i="262"/>
  <c r="D56" i="262"/>
  <c r="X886" i="259"/>
  <c r="X885" i="259"/>
  <c r="AZ657" i="259"/>
  <c r="V178" i="259"/>
  <c r="P1443" i="259"/>
  <c r="U1442" i="259"/>
  <c r="U339" i="261" s="1"/>
  <c r="AW505" i="259"/>
  <c r="X59" i="261"/>
  <c r="X552" i="259"/>
  <c r="X952" i="259"/>
  <c r="X1338" i="259"/>
  <c r="X316" i="261" s="1"/>
  <c r="X1320" i="259"/>
  <c r="U1443" i="259"/>
  <c r="X600" i="259"/>
  <c r="W1443" i="259"/>
  <c r="O1443" i="259"/>
  <c r="X92" i="261"/>
  <c r="X285" i="259"/>
  <c r="X542" i="259"/>
  <c r="X922" i="259"/>
  <c r="X705" i="259"/>
  <c r="X973" i="259"/>
  <c r="X1185" i="259"/>
  <c r="X142" i="261" s="1"/>
  <c r="X1306" i="259"/>
  <c r="X1511" i="259"/>
  <c r="X56" i="259"/>
  <c r="X178" i="259"/>
  <c r="X221" i="259"/>
  <c r="X418" i="259"/>
  <c r="X1038" i="259"/>
  <c r="X1016" i="259"/>
  <c r="Y20" i="262"/>
  <c r="Y25" i="262"/>
  <c r="Z25" i="262"/>
  <c r="AA25" i="262"/>
  <c r="AB20" i="262"/>
  <c r="AB25" i="262"/>
  <c r="AC549" i="259"/>
  <c r="AC552" i="259"/>
  <c r="AC25" i="262" s="1"/>
  <c r="AD549" i="259"/>
  <c r="AD20" i="262" s="1"/>
  <c r="AE549" i="259"/>
  <c r="AE552" i="259"/>
  <c r="AE25" i="262" s="1"/>
  <c r="AD552" i="259"/>
  <c r="AD25" i="262" s="1"/>
  <c r="AV1541" i="259"/>
  <c r="Y19" i="262"/>
  <c r="Z19" i="262"/>
  <c r="AD559" i="259"/>
  <c r="AD21" i="262" s="1"/>
  <c r="AC559" i="259"/>
  <c r="AC21" i="262" s="1"/>
  <c r="AE559" i="259"/>
  <c r="AE21" i="262" s="1"/>
  <c r="BB20" i="262"/>
  <c r="AC234" i="262" l="1"/>
  <c r="G8" i="267"/>
  <c r="AB1542" i="259"/>
  <c r="AB1548" i="259"/>
  <c r="AB76" i="259" s="1"/>
  <c r="AB1249" i="259"/>
  <c r="AB1255" i="259"/>
  <c r="AB133" i="261" s="1"/>
  <c r="AB1266" i="259"/>
  <c r="AB1543" i="259"/>
  <c r="AB1250" i="259"/>
  <c r="AB128" i="261" s="1"/>
  <c r="AB1258" i="259"/>
  <c r="AB136" i="261" s="1"/>
  <c r="AB1271" i="259"/>
  <c r="AB250" i="261" s="1"/>
  <c r="AB1544" i="259"/>
  <c r="AB74" i="259" s="1"/>
  <c r="AB1247" i="259"/>
  <c r="AB125" i="261" s="1"/>
  <c r="AB1253" i="259"/>
  <c r="AB131" i="261" s="1"/>
  <c r="AB1259" i="259"/>
  <c r="AB137" i="261" s="1"/>
  <c r="AB152" i="261"/>
  <c r="AB164" i="261"/>
  <c r="AB222" i="261"/>
  <c r="AB1541" i="259"/>
  <c r="AB1546" i="259"/>
  <c r="AB1248" i="259"/>
  <c r="AB126" i="261" s="1"/>
  <c r="AB1254" i="259"/>
  <c r="AB132" i="261" s="1"/>
  <c r="AB1260" i="259"/>
  <c r="AB138" i="261" s="1"/>
  <c r="AB1088" i="259"/>
  <c r="AB1065" i="259"/>
  <c r="AB1067" i="259"/>
  <c r="AB1269" i="259"/>
  <c r="AB216" i="261" s="1"/>
  <c r="AB1063" i="259"/>
  <c r="AB1064" i="259"/>
  <c r="AB1087" i="259" s="1"/>
  <c r="AB1076" i="259"/>
  <c r="AB283" i="261" s="1"/>
  <c r="AB1264" i="259"/>
  <c r="AB1262" i="259"/>
  <c r="AB1265" i="259"/>
  <c r="AB1077" i="259"/>
  <c r="AB284" i="261" s="1"/>
  <c r="AB1078" i="259"/>
  <c r="AB285" i="261" s="1"/>
  <c r="AB1547" i="259"/>
  <c r="AB75" i="259" s="1"/>
  <c r="AB1627" i="259"/>
  <c r="AV1225" i="259"/>
  <c r="AX1097" i="259"/>
  <c r="AW1110" i="259"/>
  <c r="AU1112" i="259"/>
  <c r="AV1097" i="259"/>
  <c r="AU1095" i="259"/>
  <c r="AU1097" i="259" s="1"/>
  <c r="AX1110" i="259"/>
  <c r="AX1112" i="259" s="1"/>
  <c r="AW1112" i="259"/>
  <c r="AV1112" i="259"/>
  <c r="AB200" i="259"/>
  <c r="AB731" i="259"/>
  <c r="AB673" i="259"/>
  <c r="AB462" i="259"/>
  <c r="AB397" i="259"/>
  <c r="AB31" i="261" s="1"/>
  <c r="AB732" i="259"/>
  <c r="AB743" i="259"/>
  <c r="AB674" i="259"/>
  <c r="AB197" i="259"/>
  <c r="AB108" i="261" s="1"/>
  <c r="AB729" i="259"/>
  <c r="AB733" i="259"/>
  <c r="AB447" i="259"/>
  <c r="AB1083" i="259" s="1"/>
  <c r="AB730" i="259"/>
  <c r="AB735" i="259"/>
  <c r="AB671" i="259"/>
  <c r="AB514" i="259"/>
  <c r="AB319" i="259"/>
  <c r="AB27" i="261" s="1"/>
  <c r="AB672" i="259"/>
  <c r="X44" i="259"/>
  <c r="X1506" i="259"/>
  <c r="X113" i="261" s="1"/>
  <c r="AB152" i="259"/>
  <c r="AF422" i="259"/>
  <c r="AF456" i="259" s="1"/>
  <c r="AD1" i="262"/>
  <c r="AD4" i="262" s="1"/>
  <c r="BI2" i="263"/>
  <c r="AE1" i="262"/>
  <c r="AE4" i="262" s="1"/>
  <c r="BM2" i="263"/>
  <c r="AA1" i="262"/>
  <c r="AA4" i="262" s="1"/>
  <c r="AA319" i="259"/>
  <c r="AA27" i="261" s="1"/>
  <c r="AA1685" i="259"/>
  <c r="AA1543" i="259"/>
  <c r="AA1250" i="259"/>
  <c r="AA128" i="261" s="1"/>
  <c r="AA1258" i="259"/>
  <c r="AA136" i="261" s="1"/>
  <c r="AA1264" i="259"/>
  <c r="AA1271" i="259"/>
  <c r="AA250" i="261" s="1"/>
  <c r="AA1063" i="259"/>
  <c r="AA1077" i="259"/>
  <c r="AA284" i="261" s="1"/>
  <c r="AA729" i="259"/>
  <c r="AA733" i="259"/>
  <c r="AA673" i="259"/>
  <c r="AA261" i="259"/>
  <c r="AA22" i="261" s="1"/>
  <c r="AA222" i="261"/>
  <c r="AA1248" i="259"/>
  <c r="AA1260" i="259"/>
  <c r="AA138" i="261" s="1"/>
  <c r="AA731" i="259"/>
  <c r="AA152" i="261"/>
  <c r="AA164" i="261"/>
  <c r="AA1544" i="259"/>
  <c r="AA74" i="259" s="1"/>
  <c r="AA1247" i="259"/>
  <c r="AA125" i="261" s="1"/>
  <c r="AA1253" i="259"/>
  <c r="AA131" i="261" s="1"/>
  <c r="AA1259" i="259"/>
  <c r="AA137" i="261" s="1"/>
  <c r="AA1265" i="259"/>
  <c r="AA1686" i="259" s="1"/>
  <c r="AA1273" i="259"/>
  <c r="AA1064" i="259"/>
  <c r="AA1087" i="259" s="1"/>
  <c r="AA730" i="259"/>
  <c r="AA735" i="259"/>
  <c r="AA674" i="259"/>
  <c r="AA447" i="259"/>
  <c r="AA1083" i="259" s="1"/>
  <c r="AA211" i="259"/>
  <c r="AA1541" i="259"/>
  <c r="AA1254" i="259"/>
  <c r="AA132" i="261" s="1"/>
  <c r="AA1065" i="259"/>
  <c r="AA1088" i="259"/>
  <c r="AA1542" i="259"/>
  <c r="AA1249" i="259"/>
  <c r="AA1255" i="259"/>
  <c r="AA133" i="261" s="1"/>
  <c r="AA1262" i="259"/>
  <c r="AA1269" i="259"/>
  <c r="AA216" i="261" s="1"/>
  <c r="AA743" i="259"/>
  <c r="AA732" i="259"/>
  <c r="AA462" i="259"/>
  <c r="AA397" i="259"/>
  <c r="AA31" i="261" s="1"/>
  <c r="AA1546" i="259"/>
  <c r="AA1266" i="259"/>
  <c r="AA514" i="259"/>
  <c r="AA1076" i="259"/>
  <c r="AA283" i="261" s="1"/>
  <c r="AA671" i="259"/>
  <c r="AA197" i="259"/>
  <c r="AA108" i="261" s="1"/>
  <c r="AA1548" i="259"/>
  <c r="AA76" i="259" s="1"/>
  <c r="AE76" i="275" s="1"/>
  <c r="AA1547" i="259"/>
  <c r="AA75" i="259" s="1"/>
  <c r="AA1078" i="259"/>
  <c r="AA285" i="261" s="1"/>
  <c r="AA672" i="259"/>
  <c r="AA1627" i="259"/>
  <c r="AC1" i="262"/>
  <c r="AC4" i="262" s="1"/>
  <c r="BE2" i="263"/>
  <c r="AD234" i="262"/>
  <c r="P894" i="275"/>
  <c r="S196" i="275"/>
  <c r="T1136" i="259"/>
  <c r="T894" i="275"/>
  <c r="N455" i="275"/>
  <c r="P444" i="275"/>
  <c r="I619" i="275"/>
  <c r="J741" i="275"/>
  <c r="M944" i="275"/>
  <c r="O1178" i="259"/>
  <c r="O1239" i="259" s="1"/>
  <c r="O784" i="259" s="1"/>
  <c r="AU1418" i="259"/>
  <c r="AX1418" i="259"/>
  <c r="I430" i="275"/>
  <c r="AU768" i="259"/>
  <c r="AW1201" i="259"/>
  <c r="J234" i="275"/>
  <c r="L868" i="275"/>
  <c r="X381" i="259"/>
  <c r="AB381" i="275" s="1"/>
  <c r="AV1021" i="259"/>
  <c r="AU1026" i="259"/>
  <c r="AU18" i="259"/>
  <c r="AV18" i="275" s="1"/>
  <c r="X121" i="259"/>
  <c r="BA1365" i="259"/>
  <c r="AF1365" i="259"/>
  <c r="AG1365" i="259" s="1"/>
  <c r="AH1365" i="259" s="1"/>
  <c r="AI1365" i="259" s="1"/>
  <c r="BB1365" i="259" s="1"/>
  <c r="AV283" i="275"/>
  <c r="AE1052" i="275"/>
  <c r="AI1052" i="275"/>
  <c r="AC1052" i="275"/>
  <c r="AG1052" i="275"/>
  <c r="AE488" i="275"/>
  <c r="AI488" i="275"/>
  <c r="AX510" i="259"/>
  <c r="AF590" i="275"/>
  <c r="AI76" i="275"/>
  <c r="AD768" i="275"/>
  <c r="AH768" i="275"/>
  <c r="AE657" i="275"/>
  <c r="AI657" i="275"/>
  <c r="AE641" i="275"/>
  <c r="AI641" i="275"/>
  <c r="BA1368" i="259"/>
  <c r="AF1368" i="259"/>
  <c r="AG1368" i="259" s="1"/>
  <c r="AH1368" i="259" s="1"/>
  <c r="AI1368" i="259" s="1"/>
  <c r="BB1368" i="259" s="1"/>
  <c r="AY1214" i="259"/>
  <c r="AU1214" i="259"/>
  <c r="U1032" i="259"/>
  <c r="AU1051" i="259"/>
  <c r="AY1051" i="259"/>
  <c r="AD18" i="275"/>
  <c r="AH18" i="275"/>
  <c r="I1443" i="259"/>
  <c r="AC505" i="275"/>
  <c r="AG505" i="275"/>
  <c r="X553" i="259"/>
  <c r="X199" i="261" s="1"/>
  <c r="X1286" i="259"/>
  <c r="AC1053" i="275"/>
  <c r="AG1053" i="275"/>
  <c r="AD488" i="275"/>
  <c r="AH488" i="275"/>
  <c r="AE590" i="275"/>
  <c r="AI590" i="275"/>
  <c r="AE599" i="275"/>
  <c r="AI599" i="275"/>
  <c r="AI75" i="275"/>
  <c r="AC768" i="275"/>
  <c r="AG768" i="275"/>
  <c r="AD110" i="262"/>
  <c r="AH802" i="275"/>
  <c r="AD657" i="275"/>
  <c r="AH657" i="275"/>
  <c r="AD641" i="275"/>
  <c r="AH641" i="275"/>
  <c r="AE801" i="275"/>
  <c r="AI801" i="275"/>
  <c r="AX505" i="259"/>
  <c r="X160" i="261"/>
  <c r="X543" i="259"/>
  <c r="X198" i="261" s="1"/>
  <c r="AC1054" i="275"/>
  <c r="AG1054" i="275"/>
  <c r="AF1052" i="275"/>
  <c r="P1032" i="275"/>
  <c r="AF641" i="275"/>
  <c r="AD590" i="275"/>
  <c r="AH590" i="275"/>
  <c r="W590" i="275"/>
  <c r="W599" i="275"/>
  <c r="AD599" i="275"/>
  <c r="AH599" i="275"/>
  <c r="AE74" i="275"/>
  <c r="AI74" i="275"/>
  <c r="AF768" i="275"/>
  <c r="AC657" i="275"/>
  <c r="AG657" i="275"/>
  <c r="AZ641" i="259"/>
  <c r="AD801" i="275"/>
  <c r="AH801" i="275"/>
  <c r="K1443" i="259"/>
  <c r="AE505" i="275"/>
  <c r="AI505" i="275"/>
  <c r="X902" i="259"/>
  <c r="X905" i="259" s="1"/>
  <c r="AC1051" i="275"/>
  <c r="AG1051" i="275"/>
  <c r="AF488" i="275"/>
  <c r="AC590" i="275"/>
  <c r="AG590" i="275"/>
  <c r="AC599" i="275"/>
  <c r="AG599" i="275"/>
  <c r="AE768" i="275"/>
  <c r="AI768" i="275"/>
  <c r="AF657" i="275"/>
  <c r="AE18" i="275"/>
  <c r="AI18" i="275"/>
  <c r="AC801" i="275"/>
  <c r="AG801" i="275"/>
  <c r="AD505" i="275"/>
  <c r="AH505" i="275"/>
  <c r="AF482" i="259"/>
  <c r="AF571" i="259" s="1"/>
  <c r="AB19" i="262"/>
  <c r="AF539" i="275"/>
  <c r="AF29" i="262"/>
  <c r="AF485" i="259"/>
  <c r="AF522" i="259"/>
  <c r="AF526" i="259"/>
  <c r="AF1611" i="259"/>
  <c r="AF1604" i="259" s="1"/>
  <c r="AF481" i="275"/>
  <c r="AF41" i="262"/>
  <c r="AF483" i="275"/>
  <c r="BA28" i="263"/>
  <c r="AF11" i="275"/>
  <c r="AD502" i="275"/>
  <c r="AH502" i="275"/>
  <c r="AC200" i="259"/>
  <c r="AC200" i="275" s="1"/>
  <c r="BM28" i="263"/>
  <c r="AI11" i="275"/>
  <c r="AF69" i="262"/>
  <c r="AF180" i="259"/>
  <c r="AF244" i="275"/>
  <c r="AE502" i="275"/>
  <c r="AI502" i="275"/>
  <c r="AD11" i="275"/>
  <c r="BI28" i="263"/>
  <c r="AH11" i="275"/>
  <c r="AF422" i="275"/>
  <c r="AF66" i="262"/>
  <c r="AF380" i="259"/>
  <c r="AF16" i="275"/>
  <c r="AF64" i="262"/>
  <c r="AF243" i="275"/>
  <c r="AF245" i="259"/>
  <c r="AF179" i="259"/>
  <c r="AF344" i="275"/>
  <c r="AF65" i="262"/>
  <c r="AF302" i="259"/>
  <c r="AF42" i="262"/>
  <c r="AF484" i="275"/>
  <c r="BE28" i="263"/>
  <c r="AG11" i="275"/>
  <c r="AU67" i="262"/>
  <c r="AB1" i="262"/>
  <c r="AB4" i="262" s="1"/>
  <c r="BA2" i="263"/>
  <c r="P168" i="275"/>
  <c r="S918" i="275"/>
  <c r="W916" i="275"/>
  <c r="S916" i="275"/>
  <c r="Q916" i="275"/>
  <c r="O916" i="275"/>
  <c r="M916" i="275"/>
  <c r="K916" i="275"/>
  <c r="P794" i="275"/>
  <c r="P103" i="262"/>
  <c r="P267" i="262"/>
  <c r="P1136" i="259"/>
  <c r="L267" i="262"/>
  <c r="L1136" i="259"/>
  <c r="W1185" i="259"/>
  <c r="W142" i="261" s="1"/>
  <c r="W1178" i="259"/>
  <c r="W1239" i="259" s="1"/>
  <c r="W784" i="259" s="1"/>
  <c r="G1185" i="259"/>
  <c r="G142" i="261" s="1"/>
  <c r="G1178" i="259"/>
  <c r="G1239" i="259" s="1"/>
  <c r="G784" i="259" s="1"/>
  <c r="AC488" i="275"/>
  <c r="BA488" i="259"/>
  <c r="AV510" i="259"/>
  <c r="BA802" i="259"/>
  <c r="BA110" i="262" s="1"/>
  <c r="M1293" i="259"/>
  <c r="M242" i="262" s="1"/>
  <c r="AW1329" i="259"/>
  <c r="I1293" i="259"/>
  <c r="AV1329" i="259"/>
  <c r="E1293" i="259"/>
  <c r="E242" i="262" s="1"/>
  <c r="AU1329" i="259"/>
  <c r="AC641" i="259"/>
  <c r="BA1568" i="259"/>
  <c r="BA1569" i="259" s="1"/>
  <c r="AX1184" i="259"/>
  <c r="L1179" i="259"/>
  <c r="L146" i="262" s="1"/>
  <c r="AW1184" i="259"/>
  <c r="AV1214" i="259"/>
  <c r="T147" i="262"/>
  <c r="AY1231" i="259"/>
  <c r="AY147" i="262" s="1"/>
  <c r="T148" i="262"/>
  <c r="T725" i="259"/>
  <c r="N148" i="262"/>
  <c r="N725" i="259"/>
  <c r="N723" i="259" s="1"/>
  <c r="H148" i="262"/>
  <c r="AV1236" i="259"/>
  <c r="AV148" i="262" s="1"/>
  <c r="D148" i="262"/>
  <c r="D725" i="259"/>
  <c r="D723" i="259" s="1"/>
  <c r="AY1017" i="259"/>
  <c r="I1017" i="275"/>
  <c r="AV1017" i="259"/>
  <c r="T1021" i="275"/>
  <c r="AY1021" i="259"/>
  <c r="M1022" i="275"/>
  <c r="AW1022" i="259"/>
  <c r="AV1026" i="259"/>
  <c r="AW1026" i="275" s="1"/>
  <c r="S1027" i="275"/>
  <c r="S1032" i="259"/>
  <c r="Q1027" i="275"/>
  <c r="AX1027" i="259"/>
  <c r="AX1027" i="275" s="1"/>
  <c r="Q1032" i="259"/>
  <c r="M1027" i="275"/>
  <c r="M1032" i="259"/>
  <c r="K1027" i="275"/>
  <c r="K1032" i="259"/>
  <c r="I1027" i="275"/>
  <c r="I1032" i="259"/>
  <c r="I1032" i="275" s="1"/>
  <c r="G1032" i="259"/>
  <c r="L1054" i="275"/>
  <c r="AW1054" i="259"/>
  <c r="T1053" i="275"/>
  <c r="AY1053" i="259"/>
  <c r="H1053" i="275"/>
  <c r="AV1053" i="259"/>
  <c r="T1052" i="275"/>
  <c r="AY1052" i="259"/>
  <c r="AZ1052" i="275" s="1"/>
  <c r="R1052" i="275"/>
  <c r="H1052" i="275"/>
  <c r="AV1052" i="259"/>
  <c r="AV1052" i="275" s="1"/>
  <c r="R196" i="259"/>
  <c r="R430" i="259"/>
  <c r="P174" i="275"/>
  <c r="P196" i="259"/>
  <c r="T196" i="275" s="1"/>
  <c r="P430" i="259"/>
  <c r="N174" i="275"/>
  <c r="N196" i="259"/>
  <c r="N178" i="259"/>
  <c r="N210" i="259" s="1"/>
  <c r="L174" i="275"/>
  <c r="L430" i="259"/>
  <c r="L196" i="259"/>
  <c r="J174" i="275"/>
  <c r="J178" i="259"/>
  <c r="AV174" i="259"/>
  <c r="AC18" i="275"/>
  <c r="BA18" i="259"/>
  <c r="BB18" i="275" s="1"/>
  <c r="AZ18" i="259"/>
  <c r="AY18" i="259"/>
  <c r="Q18" i="275"/>
  <c r="AX18" i="259"/>
  <c r="AX18" i="275" s="1"/>
  <c r="X191" i="262"/>
  <c r="X1312" i="259"/>
  <c r="X1443" i="259"/>
  <c r="N1443" i="259"/>
  <c r="Q1443" i="259"/>
  <c r="X725" i="259"/>
  <c r="V99" i="259"/>
  <c r="D99" i="259"/>
  <c r="T126" i="275"/>
  <c r="AY361" i="259"/>
  <c r="AW361" i="259"/>
  <c r="AW361" i="275" s="1"/>
  <c r="AW283" i="259"/>
  <c r="AY283" i="259"/>
  <c r="R767" i="275"/>
  <c r="J725" i="259"/>
  <c r="J725" i="275" s="1"/>
  <c r="H196" i="259"/>
  <c r="L196" i="275" s="1"/>
  <c r="H178" i="259"/>
  <c r="K1178" i="259"/>
  <c r="K1239" i="259" s="1"/>
  <c r="K784" i="259" s="1"/>
  <c r="K784" i="275" s="1"/>
  <c r="AV1231" i="259"/>
  <c r="AV147" i="262" s="1"/>
  <c r="AZ1573" i="259"/>
  <c r="AZ1574" i="259" s="1"/>
  <c r="AZ801" i="259" s="1"/>
  <c r="I1419" i="259"/>
  <c r="I1420" i="259" s="1"/>
  <c r="I332" i="261" s="1"/>
  <c r="AV1184" i="259"/>
  <c r="AZ1568" i="259"/>
  <c r="AZ1569" i="259" s="1"/>
  <c r="P178" i="259"/>
  <c r="P1179" i="259"/>
  <c r="P146" i="262" s="1"/>
  <c r="E979" i="259"/>
  <c r="L103" i="262"/>
  <c r="AU174" i="259"/>
  <c r="AU175" i="259" s="1"/>
  <c r="J196" i="259"/>
  <c r="AW174" i="259"/>
  <c r="AX174" i="275" s="1"/>
  <c r="R1237" i="259"/>
  <c r="R253" i="261" s="1"/>
  <c r="N430" i="259"/>
  <c r="M1123" i="259"/>
  <c r="O1032" i="259"/>
  <c r="O1032" i="275" s="1"/>
  <c r="R725" i="259"/>
  <c r="R723" i="259" s="1"/>
  <c r="R723" i="275" s="1"/>
  <c r="AW1017" i="259"/>
  <c r="AW1052" i="259"/>
  <c r="AX1053" i="259"/>
  <c r="AY1053" i="275" s="1"/>
  <c r="AX1054" i="259"/>
  <c r="AV1022" i="259"/>
  <c r="AV1022" i="275" s="1"/>
  <c r="AU1006" i="259"/>
  <c r="AU1171" i="259" s="1"/>
  <c r="AU1184" i="259"/>
  <c r="M430" i="275"/>
  <c r="O927" i="275"/>
  <c r="AZ896" i="275"/>
  <c r="L927" i="275"/>
  <c r="D1185" i="259"/>
  <c r="D142" i="261" s="1"/>
  <c r="M868" i="275"/>
  <c r="T916" i="275"/>
  <c r="R916" i="275"/>
  <c r="P916" i="275"/>
  <c r="N916" i="275"/>
  <c r="L916" i="275"/>
  <c r="J916" i="275"/>
  <c r="H916" i="275"/>
  <c r="BC740" i="275"/>
  <c r="BA740" i="275"/>
  <c r="BC742" i="275"/>
  <c r="BA742" i="275"/>
  <c r="BB741" i="275"/>
  <c r="BC1005" i="275"/>
  <c r="BC1004" i="275"/>
  <c r="BC1003" i="275"/>
  <c r="BC1002" i="275"/>
  <c r="BE478" i="275"/>
  <c r="BD40" i="262"/>
  <c r="BD502" i="275"/>
  <c r="BE502" i="275"/>
  <c r="AU68" i="262"/>
  <c r="L456" i="275"/>
  <c r="N622" i="275"/>
  <c r="AW887" i="275"/>
  <c r="AY904" i="275"/>
  <c r="L126" i="275"/>
  <c r="G30" i="262"/>
  <c r="S430" i="275"/>
  <c r="S263" i="259"/>
  <c r="S24" i="261" s="1"/>
  <c r="AY526" i="275"/>
  <c r="H196" i="275"/>
  <c r="BC1053" i="275"/>
  <c r="AX376" i="275"/>
  <c r="AW526" i="275"/>
  <c r="AX308" i="275"/>
  <c r="AY614" i="275"/>
  <c r="AY944" i="275"/>
  <c r="J1032" i="275"/>
  <c r="H355" i="275"/>
  <c r="L376" i="275"/>
  <c r="H157" i="275"/>
  <c r="H443" i="275"/>
  <c r="I551" i="275"/>
  <c r="I622" i="275"/>
  <c r="I894" i="275"/>
  <c r="I892" i="275"/>
  <c r="AX843" i="275"/>
  <c r="AW844" i="275"/>
  <c r="AV846" i="275"/>
  <c r="AY851" i="275"/>
  <c r="AX852" i="275"/>
  <c r="AW853" i="275"/>
  <c r="AY863" i="275"/>
  <c r="AV943" i="275"/>
  <c r="AY946" i="275"/>
  <c r="H18" i="275"/>
  <c r="X245" i="275"/>
  <c r="X876" i="275"/>
  <c r="X972" i="275"/>
  <c r="X1052" i="275"/>
  <c r="H31" i="275"/>
  <c r="AY245" i="275"/>
  <c r="P301" i="275"/>
  <c r="AW41" i="275"/>
  <c r="AX522" i="275"/>
  <c r="AW833" i="275"/>
  <c r="AE1054" i="275"/>
  <c r="AY681" i="275"/>
  <c r="BC18" i="275"/>
  <c r="AY833" i="275"/>
  <c r="S1016" i="259"/>
  <c r="R1685" i="259"/>
  <c r="E303" i="259"/>
  <c r="K376" i="275"/>
  <c r="D40" i="259"/>
  <c r="I891" i="275"/>
  <c r="I921" i="275"/>
  <c r="I917" i="275"/>
  <c r="H590" i="275"/>
  <c r="AV906" i="275"/>
  <c r="AV940" i="275"/>
  <c r="AW1005" i="275"/>
  <c r="AW435" i="275"/>
  <c r="AV219" i="275"/>
  <c r="L119" i="275"/>
  <c r="N126" i="275"/>
  <c r="AY589" i="275"/>
  <c r="AW532" i="275"/>
  <c r="D1508" i="259"/>
  <c r="D115" i="261" s="1"/>
  <c r="Q430" i="275"/>
  <c r="L178" i="275"/>
  <c r="H799" i="275"/>
  <c r="BC1052" i="275"/>
  <c r="N430" i="275"/>
  <c r="AV376" i="275"/>
  <c r="AV718" i="275"/>
  <c r="AX878" i="275"/>
  <c r="I623" i="275"/>
  <c r="I741" i="275"/>
  <c r="I893" i="275"/>
  <c r="AW327" i="275"/>
  <c r="AX325" i="275"/>
  <c r="AV416" i="275"/>
  <c r="AW413" i="275"/>
  <c r="AY411" i="275"/>
  <c r="AY692" i="275"/>
  <c r="AV689" i="275"/>
  <c r="AX740" i="275"/>
  <c r="BA741" i="275"/>
  <c r="AW776" i="275"/>
  <c r="AX887" i="275"/>
  <c r="AV904" i="275"/>
  <c r="AX23" i="275"/>
  <c r="X176" i="262"/>
  <c r="Y1313" i="259"/>
  <c r="AZ532" i="275"/>
  <c r="AY532" i="275"/>
  <c r="O107" i="262"/>
  <c r="O799" i="275"/>
  <c r="M107" i="262"/>
  <c r="M799" i="275"/>
  <c r="N725" i="275"/>
  <c r="K1032" i="275"/>
  <c r="N479" i="259"/>
  <c r="AV85" i="262"/>
  <c r="AV765" i="275"/>
  <c r="AY131" i="262"/>
  <c r="K210" i="259"/>
  <c r="K210" i="275" s="1"/>
  <c r="K178" i="275"/>
  <c r="P107" i="262"/>
  <c r="P799" i="275"/>
  <c r="AV232" i="275"/>
  <c r="AY38" i="259"/>
  <c r="AY510" i="275"/>
  <c r="H723" i="259"/>
  <c r="H723" i="275" s="1"/>
  <c r="U979" i="259"/>
  <c r="Y978" i="275"/>
  <c r="R974" i="259"/>
  <c r="X1031" i="259"/>
  <c r="Y43" i="261"/>
  <c r="X990" i="259"/>
  <c r="H210" i="259"/>
  <c r="H210" i="275" s="1"/>
  <c r="H178" i="275"/>
  <c r="U723" i="259"/>
  <c r="U725" i="275"/>
  <c r="F1240" i="259"/>
  <c r="F146" i="262"/>
  <c r="X431" i="259"/>
  <c r="J210" i="259"/>
  <c r="AY837" i="275"/>
  <c r="AY180" i="262"/>
  <c r="U1240" i="259"/>
  <c r="U785" i="259" s="1"/>
  <c r="U96" i="262" s="1"/>
  <c r="U146" i="262"/>
  <c r="U927" i="275"/>
  <c r="Y927" i="275"/>
  <c r="AX1507" i="259"/>
  <c r="AX114" i="261" s="1"/>
  <c r="AX277" i="275"/>
  <c r="AW506" i="259"/>
  <c r="AV582" i="259"/>
  <c r="AW283" i="275"/>
  <c r="AY187" i="275"/>
  <c r="AZ187" i="275"/>
  <c r="Y418" i="275"/>
  <c r="AV132" i="275"/>
  <c r="AV131" i="262"/>
  <c r="AW232" i="275"/>
  <c r="U430" i="275"/>
  <c r="Y430" i="275"/>
  <c r="M210" i="259"/>
  <c r="M178" i="275"/>
  <c r="AV896" i="275"/>
  <c r="AY877" i="275"/>
  <c r="AY171" i="262"/>
  <c r="AY855" i="275"/>
  <c r="AX1511" i="259"/>
  <c r="AX640" i="275"/>
  <c r="AY35" i="262"/>
  <c r="AY534" i="275"/>
  <c r="J107" i="262"/>
  <c r="J799" i="275"/>
  <c r="O1240" i="259"/>
  <c r="O146" i="262"/>
  <c r="AW376" i="275"/>
  <c r="P872" i="259"/>
  <c r="P873" i="275"/>
  <c r="J262" i="259"/>
  <c r="J23" i="261" s="1"/>
  <c r="J179" i="275"/>
  <c r="R263" i="259"/>
  <c r="R24" i="261" s="1"/>
  <c r="R180" i="275"/>
  <c r="N263" i="259"/>
  <c r="N24" i="261" s="1"/>
  <c r="N180" i="275"/>
  <c r="J263" i="259"/>
  <c r="J24" i="261" s="1"/>
  <c r="J180" i="275"/>
  <c r="W140" i="259"/>
  <c r="W277" i="275"/>
  <c r="K285" i="259"/>
  <c r="K277" i="275"/>
  <c r="N303" i="259"/>
  <c r="N298" i="275"/>
  <c r="J303" i="259"/>
  <c r="J303" i="275" s="1"/>
  <c r="J298" i="275"/>
  <c r="T320" i="259"/>
  <c r="T28" i="261" s="1"/>
  <c r="T302" i="275"/>
  <c r="L320" i="259"/>
  <c r="L28" i="261" s="1"/>
  <c r="L302" i="275"/>
  <c r="P141" i="259"/>
  <c r="P355" i="275"/>
  <c r="L1508" i="259"/>
  <c r="L115" i="261" s="1"/>
  <c r="L355" i="275"/>
  <c r="Q1414" i="259"/>
  <c r="Q151" i="275"/>
  <c r="I1506" i="259"/>
  <c r="I113" i="261" s="1"/>
  <c r="I151" i="275"/>
  <c r="U187" i="275"/>
  <c r="Y187" i="275"/>
  <c r="J44" i="259"/>
  <c r="J44" i="275" s="1"/>
  <c r="J114" i="275"/>
  <c r="U37" i="259"/>
  <c r="U113" i="275"/>
  <c r="Y113" i="275"/>
  <c r="M37" i="259"/>
  <c r="M113" i="275"/>
  <c r="Q56" i="259"/>
  <c r="Q117" i="275"/>
  <c r="I56" i="259"/>
  <c r="I117" i="275"/>
  <c r="W62" i="259"/>
  <c r="W119" i="275"/>
  <c r="O62" i="259"/>
  <c r="O119" i="275"/>
  <c r="P133" i="275"/>
  <c r="P132" i="262"/>
  <c r="H133" i="275"/>
  <c r="H132" i="262"/>
  <c r="S132" i="275"/>
  <c r="S131" i="262"/>
  <c r="K132" i="275"/>
  <c r="K131" i="262"/>
  <c r="U444" i="275"/>
  <c r="Y444" i="275"/>
  <c r="AY442" i="259"/>
  <c r="W442" i="275"/>
  <c r="AW442" i="259"/>
  <c r="O442" i="275"/>
  <c r="AV442" i="259"/>
  <c r="AV442" i="275" s="1"/>
  <c r="K442" i="275"/>
  <c r="AY455" i="259"/>
  <c r="W455" i="275"/>
  <c r="AX458" i="259"/>
  <c r="S458" i="275"/>
  <c r="AV458" i="259"/>
  <c r="AV458" i="275" s="1"/>
  <c r="K458" i="275"/>
  <c r="W1612" i="259"/>
  <c r="W1605" i="259" s="1"/>
  <c r="W472" i="275"/>
  <c r="W16" i="262"/>
  <c r="K472" i="275"/>
  <c r="K16" i="262"/>
  <c r="S582" i="259"/>
  <c r="S579" i="275"/>
  <c r="K582" i="259"/>
  <c r="K582" i="275" s="1"/>
  <c r="K579" i="275"/>
  <c r="R522" i="259"/>
  <c r="R520" i="275"/>
  <c r="J522" i="259"/>
  <c r="J520" i="275"/>
  <c r="V534" i="259"/>
  <c r="Z532" i="275"/>
  <c r="V532" i="275"/>
  <c r="J1419" i="259"/>
  <c r="J1420" i="259" s="1"/>
  <c r="J332" i="261" s="1"/>
  <c r="J589" i="275"/>
  <c r="Z598" i="275"/>
  <c r="V598" i="275"/>
  <c r="Z614" i="275"/>
  <c r="V614" i="275"/>
  <c r="O15" i="262"/>
  <c r="O561" i="275"/>
  <c r="K15" i="262"/>
  <c r="K561" i="275"/>
  <c r="U551" i="275"/>
  <c r="Y551" i="275"/>
  <c r="Y554" i="259"/>
  <c r="Y205" i="261" s="1"/>
  <c r="S13" i="262"/>
  <c r="S541" i="275"/>
  <c r="K13" i="262"/>
  <c r="K541" i="275"/>
  <c r="Z619" i="275"/>
  <c r="V619" i="275"/>
  <c r="T1511" i="259"/>
  <c r="T640" i="275"/>
  <c r="L1423" i="259"/>
  <c r="L1422" i="259" s="1"/>
  <c r="L640" i="275"/>
  <c r="W666" i="259"/>
  <c r="W667" i="275"/>
  <c r="W680" i="259"/>
  <c r="W681" i="275"/>
  <c r="O680" i="259"/>
  <c r="O681" i="275"/>
  <c r="K680" i="259"/>
  <c r="K680" i="275" s="1"/>
  <c r="K681" i="275"/>
  <c r="W719" i="259"/>
  <c r="W718" i="275"/>
  <c r="O719" i="259"/>
  <c r="O718" i="275"/>
  <c r="K719" i="259"/>
  <c r="K719" i="275" s="1"/>
  <c r="K718" i="275"/>
  <c r="S989" i="259"/>
  <c r="S704" i="275"/>
  <c r="O989" i="259"/>
  <c r="O704" i="275"/>
  <c r="K989" i="259"/>
  <c r="K989" i="275" s="1"/>
  <c r="K704" i="275"/>
  <c r="S691" i="259"/>
  <c r="S690" i="275"/>
  <c r="O1038" i="259"/>
  <c r="O690" i="275"/>
  <c r="K691" i="259"/>
  <c r="K690" i="275"/>
  <c r="W741" i="275"/>
  <c r="V948" i="259"/>
  <c r="Z937" i="275"/>
  <c r="V937" i="275"/>
  <c r="R948" i="259"/>
  <c r="R937" i="275"/>
  <c r="N948" i="259"/>
  <c r="N937" i="275"/>
  <c r="J948" i="259"/>
  <c r="J948" i="275" s="1"/>
  <c r="J937" i="275"/>
  <c r="Z944" i="275"/>
  <c r="V944" i="275"/>
  <c r="R1171" i="259"/>
  <c r="R1006" i="275"/>
  <c r="N1171" i="259"/>
  <c r="N1006" i="275"/>
  <c r="J1171" i="259"/>
  <c r="J1006" i="275"/>
  <c r="V875" i="259"/>
  <c r="Z833" i="275"/>
  <c r="V833" i="275"/>
  <c r="R875" i="259"/>
  <c r="R833" i="275"/>
  <c r="N875" i="259"/>
  <c r="N833" i="275"/>
  <c r="J875" i="259"/>
  <c r="J875" i="275" s="1"/>
  <c r="J833" i="275"/>
  <c r="U56" i="262"/>
  <c r="U837" i="275"/>
  <c r="Y837" i="275"/>
  <c r="U180" i="262"/>
  <c r="Q56" i="262"/>
  <c r="Q837" i="275"/>
  <c r="Q180" i="262"/>
  <c r="M56" i="262"/>
  <c r="M837" i="275"/>
  <c r="M180" i="262"/>
  <c r="I839" i="259"/>
  <c r="I837" i="275"/>
  <c r="I180" i="262"/>
  <c r="E56" i="262"/>
  <c r="E180" i="262"/>
  <c r="U1306" i="259"/>
  <c r="U1312" i="259" s="1"/>
  <c r="U176" i="262" s="1"/>
  <c r="U868" i="275"/>
  <c r="Y868" i="275"/>
  <c r="J185" i="262"/>
  <c r="J888" i="275"/>
  <c r="N888" i="275"/>
  <c r="R185" i="262"/>
  <c r="R888" i="275"/>
  <c r="Z888" i="275"/>
  <c r="V888" i="275"/>
  <c r="Z891" i="275"/>
  <c r="V891" i="275"/>
  <c r="U953" i="259"/>
  <c r="U901" i="275"/>
  <c r="Y901" i="275"/>
  <c r="Q953" i="259"/>
  <c r="Q901" i="275"/>
  <c r="M953" i="259"/>
  <c r="M901" i="275"/>
  <c r="I953" i="259"/>
  <c r="I901" i="275"/>
  <c r="W952" i="259"/>
  <c r="W900" i="275"/>
  <c r="S952" i="259"/>
  <c r="S900" i="275"/>
  <c r="O952" i="259"/>
  <c r="O900" i="275"/>
  <c r="K952" i="259"/>
  <c r="K952" i="275" s="1"/>
  <c r="K900" i="275"/>
  <c r="U894" i="275"/>
  <c r="Y894" i="275"/>
  <c r="U892" i="275"/>
  <c r="Y892" i="275"/>
  <c r="Z921" i="275"/>
  <c r="V921" i="275"/>
  <c r="Z919" i="275"/>
  <c r="V919" i="275"/>
  <c r="Z917" i="275"/>
  <c r="V917" i="275"/>
  <c r="Z910" i="275"/>
  <c r="V910" i="275"/>
  <c r="U816" i="259"/>
  <c r="U751" i="275"/>
  <c r="Y751" i="275"/>
  <c r="Q816" i="259"/>
  <c r="Q751" i="275"/>
  <c r="I816" i="259"/>
  <c r="I816" i="275" s="1"/>
  <c r="I751" i="275"/>
  <c r="V767" i="275"/>
  <c r="M88" i="262"/>
  <c r="M767" i="275"/>
  <c r="H767" i="275"/>
  <c r="AY119" i="262"/>
  <c r="AY780" i="275"/>
  <c r="Z58" i="275"/>
  <c r="V58" i="275"/>
  <c r="V140" i="262"/>
  <c r="R58" i="275"/>
  <c r="R140" i="262"/>
  <c r="N58" i="275"/>
  <c r="N140" i="262"/>
  <c r="J58" i="275"/>
  <c r="J140" i="262"/>
  <c r="U57" i="275"/>
  <c r="Y57" i="275"/>
  <c r="U139" i="262"/>
  <c r="Q57" i="275"/>
  <c r="Q139" i="262"/>
  <c r="M57" i="275"/>
  <c r="M139" i="262"/>
  <c r="I57" i="275"/>
  <c r="I139" i="262"/>
  <c r="Z64" i="275"/>
  <c r="V64" i="275"/>
  <c r="V144" i="262"/>
  <c r="R64" i="275"/>
  <c r="R144" i="262"/>
  <c r="N64" i="275"/>
  <c r="N144" i="262"/>
  <c r="J64" i="275"/>
  <c r="J144" i="262"/>
  <c r="U63" i="275"/>
  <c r="Y63" i="275"/>
  <c r="U143" i="262"/>
  <c r="Q63" i="275"/>
  <c r="Q143" i="262"/>
  <c r="M63" i="275"/>
  <c r="M143" i="262"/>
  <c r="I63" i="275"/>
  <c r="I143" i="262"/>
  <c r="U110" i="262"/>
  <c r="U802" i="275"/>
  <c r="Y802" i="275"/>
  <c r="Q110" i="262"/>
  <c r="Q802" i="275"/>
  <c r="M110" i="262"/>
  <c r="M802" i="275"/>
  <c r="I110" i="262"/>
  <c r="I802" i="275"/>
  <c r="Z795" i="275"/>
  <c r="V795" i="275"/>
  <c r="R795" i="275"/>
  <c r="N795" i="275"/>
  <c r="J795" i="275"/>
  <c r="U103" i="262"/>
  <c r="U794" i="275"/>
  <c r="Y794" i="275"/>
  <c r="Q103" i="262"/>
  <c r="Q794" i="275"/>
  <c r="M103" i="262"/>
  <c r="M794" i="275"/>
  <c r="I103" i="262"/>
  <c r="I794" i="275"/>
  <c r="H607" i="275"/>
  <c r="Z219" i="275"/>
  <c r="Z68" i="261"/>
  <c r="V219" i="275"/>
  <c r="R68" i="261"/>
  <c r="R219" i="275"/>
  <c r="N68" i="261"/>
  <c r="N219" i="275"/>
  <c r="J68" i="261"/>
  <c r="J219" i="275"/>
  <c r="V234" i="259"/>
  <c r="Z228" i="275"/>
  <c r="V228" i="275"/>
  <c r="N234" i="259"/>
  <c r="N234" i="275" s="1"/>
  <c r="N228" i="275"/>
  <c r="V967" i="259"/>
  <c r="Z232" i="275"/>
  <c r="V232" i="275"/>
  <c r="R967" i="259"/>
  <c r="R232" i="275"/>
  <c r="N967" i="259"/>
  <c r="N232" i="275"/>
  <c r="J967" i="259"/>
  <c r="J969" i="259" s="1"/>
  <c r="J969" i="275" s="1"/>
  <c r="J232" i="275"/>
  <c r="F982" i="259"/>
  <c r="F1101" i="259" s="1"/>
  <c r="Z240" i="275"/>
  <c r="V240" i="275"/>
  <c r="Z92" i="261"/>
  <c r="Z245" i="275"/>
  <c r="V245" i="275"/>
  <c r="R92" i="261"/>
  <c r="R245" i="275"/>
  <c r="J92" i="261"/>
  <c r="J245" i="275"/>
  <c r="V78" i="261"/>
  <c r="Z329" i="275"/>
  <c r="Z78" i="261"/>
  <c r="V329" i="275"/>
  <c r="N78" i="261"/>
  <c r="N329" i="275"/>
  <c r="V973" i="259"/>
  <c r="Z336" i="275"/>
  <c r="V336" i="275"/>
  <c r="U407" i="275"/>
  <c r="Y86" i="261"/>
  <c r="Y407" i="275"/>
  <c r="M86" i="261"/>
  <c r="M407" i="275"/>
  <c r="I86" i="261"/>
  <c r="I407" i="275"/>
  <c r="U414" i="275"/>
  <c r="Y414" i="275"/>
  <c r="Q978" i="259"/>
  <c r="U978" i="275" s="1"/>
  <c r="Q414" i="275"/>
  <c r="I978" i="259"/>
  <c r="I414" i="275"/>
  <c r="H293" i="275"/>
  <c r="W407" i="275"/>
  <c r="U371" i="275"/>
  <c r="Y371" i="275"/>
  <c r="U361" i="275"/>
  <c r="Y361" i="275"/>
  <c r="U386" i="275"/>
  <c r="Y386" i="275"/>
  <c r="U308" i="275"/>
  <c r="Y308" i="275"/>
  <c r="U283" i="275"/>
  <c r="Y283" i="275"/>
  <c r="U768" i="275"/>
  <c r="Y768" i="275"/>
  <c r="W38" i="259"/>
  <c r="W510" i="275"/>
  <c r="S38" i="259"/>
  <c r="S510" i="275"/>
  <c r="K38" i="259"/>
  <c r="K510" i="275"/>
  <c r="BE590" i="275"/>
  <c r="U590" i="275"/>
  <c r="Y590" i="275"/>
  <c r="M590" i="275"/>
  <c r="U599" i="275"/>
  <c r="Y599" i="275"/>
  <c r="BD599" i="275"/>
  <c r="W663" i="275"/>
  <c r="U878" i="275"/>
  <c r="Y878" i="275"/>
  <c r="H877" i="275"/>
  <c r="R927" i="275"/>
  <c r="AE110" i="262"/>
  <c r="AE802" i="275"/>
  <c r="AW11" i="275"/>
  <c r="AV290" i="261"/>
  <c r="AV12" i="275"/>
  <c r="AY19" i="275"/>
  <c r="AV149" i="275"/>
  <c r="AY150" i="275"/>
  <c r="AX153" i="275"/>
  <c r="AW155" i="275"/>
  <c r="AV156" i="275"/>
  <c r="AY165" i="275"/>
  <c r="AX166" i="275"/>
  <c r="AW133" i="259"/>
  <c r="AX133" i="275" s="1"/>
  <c r="AW167" i="275"/>
  <c r="AV171" i="275"/>
  <c r="AY172" i="275"/>
  <c r="AX173" i="275"/>
  <c r="AW184" i="275"/>
  <c r="AV185" i="275"/>
  <c r="AY186" i="275"/>
  <c r="AZ186" i="275"/>
  <c r="AX192" i="275"/>
  <c r="AW60" i="262"/>
  <c r="AW202" i="275"/>
  <c r="AV205" i="275"/>
  <c r="AY61" i="262"/>
  <c r="AY207" i="275"/>
  <c r="AX275" i="275"/>
  <c r="AW276" i="275"/>
  <c r="AV279" i="275"/>
  <c r="AY281" i="275"/>
  <c r="AX282" i="275"/>
  <c r="AW291" i="275"/>
  <c r="AV292" i="275"/>
  <c r="AY311" i="259"/>
  <c r="AY13" i="261" s="1"/>
  <c r="AY296" i="275"/>
  <c r="AX297" i="275"/>
  <c r="AW306" i="275"/>
  <c r="AV307" i="275"/>
  <c r="AY353" i="275"/>
  <c r="AX354" i="275"/>
  <c r="AW357" i="275"/>
  <c r="AV359" i="275"/>
  <c r="AY360" i="275"/>
  <c r="AX369" i="275"/>
  <c r="AW370" i="275"/>
  <c r="AV389" i="259"/>
  <c r="AV17" i="261" s="1"/>
  <c r="AV374" i="275"/>
  <c r="AY375" i="275"/>
  <c r="AX384" i="275"/>
  <c r="AW385" i="275"/>
  <c r="AV524" i="275"/>
  <c r="AZ525" i="275"/>
  <c r="AY525" i="275"/>
  <c r="AX529" i="275"/>
  <c r="AW530" i="275"/>
  <c r="AV531" i="275"/>
  <c r="AZ533" i="275"/>
  <c r="AY533" i="275"/>
  <c r="AX574" i="275"/>
  <c r="AW575" i="275"/>
  <c r="AV576" i="275"/>
  <c r="AZ577" i="275"/>
  <c r="AY577" i="275"/>
  <c r="AX578" i="275"/>
  <c r="AW581" i="275"/>
  <c r="AV585" i="275"/>
  <c r="AZ586" i="275"/>
  <c r="AY586" i="275"/>
  <c r="AX587" i="275"/>
  <c r="V210" i="259"/>
  <c r="V211" i="259" s="1"/>
  <c r="I479" i="259"/>
  <c r="AW765" i="275"/>
  <c r="AX180" i="262"/>
  <c r="T723" i="259"/>
  <c r="J1031" i="259"/>
  <c r="T799" i="275"/>
  <c r="Z1023" i="275"/>
  <c r="AU56" i="262"/>
  <c r="AU180" i="262"/>
  <c r="S927" i="275"/>
  <c r="N196" i="275"/>
  <c r="BD18" i="275"/>
  <c r="AW876" i="275"/>
  <c r="AV1053" i="275"/>
  <c r="AZ386" i="275"/>
  <c r="AY485" i="275"/>
  <c r="S723" i="259"/>
  <c r="S725" i="275"/>
  <c r="L872" i="259"/>
  <c r="L873" i="275"/>
  <c r="Z168" i="275"/>
  <c r="V168" i="275"/>
  <c r="J1685" i="259"/>
  <c r="V262" i="259"/>
  <c r="V23" i="261" s="1"/>
  <c r="V179" i="275"/>
  <c r="S1507" i="259"/>
  <c r="S114" i="261" s="1"/>
  <c r="S277" i="275"/>
  <c r="O140" i="259"/>
  <c r="O277" i="275"/>
  <c r="V303" i="259"/>
  <c r="Z298" i="275"/>
  <c r="V298" i="275"/>
  <c r="P320" i="259"/>
  <c r="P28" i="261" s="1"/>
  <c r="P302" i="275"/>
  <c r="H302" i="275"/>
  <c r="W363" i="259"/>
  <c r="W355" i="275"/>
  <c r="U380" i="275"/>
  <c r="Y380" i="275"/>
  <c r="Q398" i="259"/>
  <c r="Q32" i="261" s="1"/>
  <c r="Q380" i="275"/>
  <c r="I398" i="259"/>
  <c r="I32" i="261" s="1"/>
  <c r="I380" i="275"/>
  <c r="H379" i="275"/>
  <c r="T1506" i="259"/>
  <c r="T113" i="261" s="1"/>
  <c r="T151" i="275"/>
  <c r="M1414" i="259"/>
  <c r="M151" i="275"/>
  <c r="V44" i="259"/>
  <c r="Z114" i="275"/>
  <c r="V114" i="275"/>
  <c r="N44" i="259"/>
  <c r="N44" i="275" s="1"/>
  <c r="N114" i="275"/>
  <c r="Q37" i="259"/>
  <c r="Q37" i="275" s="1"/>
  <c r="Q113" i="275"/>
  <c r="I37" i="259"/>
  <c r="I37" i="275" s="1"/>
  <c r="I113" i="275"/>
  <c r="U56" i="259"/>
  <c r="U117" i="275"/>
  <c r="Y117" i="275"/>
  <c r="M56" i="259"/>
  <c r="M117" i="275"/>
  <c r="S62" i="259"/>
  <c r="S119" i="275"/>
  <c r="T133" i="275"/>
  <c r="T132" i="262"/>
  <c r="L133" i="275"/>
  <c r="L132" i="262"/>
  <c r="W132" i="275"/>
  <c r="W131" i="262"/>
  <c r="W136" i="259"/>
  <c r="O132" i="275"/>
  <c r="O131" i="262"/>
  <c r="AX442" i="259"/>
  <c r="AX442" i="275" s="1"/>
  <c r="S442" i="275"/>
  <c r="AX455" i="259"/>
  <c r="S455" i="275"/>
  <c r="AW455" i="259"/>
  <c r="O455" i="275"/>
  <c r="AV455" i="259"/>
  <c r="K455" i="275"/>
  <c r="W456" i="275"/>
  <c r="AY458" i="259"/>
  <c r="W458" i="275"/>
  <c r="AW458" i="259"/>
  <c r="AW458" i="275" s="1"/>
  <c r="O458" i="275"/>
  <c r="S1612" i="259"/>
  <c r="S1605" i="259" s="1"/>
  <c r="S472" i="275"/>
  <c r="S16" i="262"/>
  <c r="O1612" i="259"/>
  <c r="O1605" i="259" s="1"/>
  <c r="O472" i="275"/>
  <c r="O16" i="262"/>
  <c r="G1612" i="259"/>
  <c r="G1605" i="259" s="1"/>
  <c r="G16" i="262"/>
  <c r="W582" i="259"/>
  <c r="W579" i="275"/>
  <c r="O582" i="259"/>
  <c r="O582" i="275" s="1"/>
  <c r="O579" i="275"/>
  <c r="V522" i="259"/>
  <c r="Z520" i="275"/>
  <c r="V520" i="275"/>
  <c r="N522" i="259"/>
  <c r="N520" i="275"/>
  <c r="Z526" i="275"/>
  <c r="V526" i="275"/>
  <c r="R534" i="259"/>
  <c r="R532" i="275"/>
  <c r="N534" i="259"/>
  <c r="N532" i="275"/>
  <c r="J534" i="259"/>
  <c r="J532" i="275"/>
  <c r="V1419" i="259"/>
  <c r="V1420" i="259" s="1"/>
  <c r="V332" i="261" s="1"/>
  <c r="Z589" i="275"/>
  <c r="V589" i="275"/>
  <c r="R1419" i="259"/>
  <c r="R1420" i="259" s="1"/>
  <c r="R332" i="261" s="1"/>
  <c r="R589" i="275"/>
  <c r="M14" i="262"/>
  <c r="M551" i="275"/>
  <c r="W13" i="262"/>
  <c r="W541" i="275"/>
  <c r="O541" i="275"/>
  <c r="X161" i="261"/>
  <c r="W623" i="275"/>
  <c r="U622" i="275"/>
  <c r="Y622" i="275"/>
  <c r="H1511" i="259"/>
  <c r="H640" i="275"/>
  <c r="H650" i="275"/>
  <c r="S666" i="259"/>
  <c r="S667" i="275"/>
  <c r="O666" i="259"/>
  <c r="O667" i="275"/>
  <c r="K666" i="259"/>
  <c r="K666" i="275" s="1"/>
  <c r="K667" i="275"/>
  <c r="S680" i="259"/>
  <c r="S680" i="275" s="1"/>
  <c r="S681" i="275"/>
  <c r="S719" i="259"/>
  <c r="S719" i="275" s="1"/>
  <c r="S718" i="275"/>
  <c r="W705" i="259"/>
  <c r="W704" i="275"/>
  <c r="X138" i="262"/>
  <c r="K6" i="259"/>
  <c r="K126" i="275"/>
  <c r="X329" i="275"/>
  <c r="Y51" i="261"/>
  <c r="V479" i="259"/>
  <c r="Z476" i="275"/>
  <c r="AV361" i="275"/>
  <c r="AY168" i="275"/>
  <c r="H139" i="275"/>
  <c r="L107" i="262"/>
  <c r="L799" i="275"/>
  <c r="AX41" i="275"/>
  <c r="O705" i="259"/>
  <c r="AX232" i="275"/>
  <c r="AX598" i="275"/>
  <c r="BC1051" i="275"/>
  <c r="AE1051" i="275"/>
  <c r="M1028" i="275"/>
  <c r="AW187" i="275"/>
  <c r="AV175" i="259"/>
  <c r="AV175" i="275" s="1"/>
  <c r="AV174" i="275"/>
  <c r="AY896" i="275"/>
  <c r="AX228" i="275"/>
  <c r="H837" i="275"/>
  <c r="H180" i="262"/>
  <c r="T1374" i="259"/>
  <c r="T1375" i="259" s="1"/>
  <c r="T868" i="275"/>
  <c r="K888" i="275"/>
  <c r="O888" i="275"/>
  <c r="S888" i="275"/>
  <c r="X258" i="261"/>
  <c r="W888" i="275"/>
  <c r="U891" i="275"/>
  <c r="Y891" i="275"/>
  <c r="P953" i="259"/>
  <c r="P901" i="275"/>
  <c r="L953" i="259"/>
  <c r="L901" i="275"/>
  <c r="H953" i="259"/>
  <c r="H953" i="275" s="1"/>
  <c r="H901" i="275"/>
  <c r="V952" i="259"/>
  <c r="Z900" i="275"/>
  <c r="V900" i="275"/>
  <c r="R952" i="259"/>
  <c r="R900" i="275"/>
  <c r="N952" i="259"/>
  <c r="O262" i="261" s="1"/>
  <c r="N900" i="275"/>
  <c r="J952" i="259"/>
  <c r="J952" i="275" s="1"/>
  <c r="J900" i="275"/>
  <c r="Z893" i="275"/>
  <c r="V893" i="275"/>
  <c r="U921" i="275"/>
  <c r="Y921" i="275"/>
  <c r="U919" i="275"/>
  <c r="Y919" i="275"/>
  <c r="I919" i="275"/>
  <c r="U917" i="275"/>
  <c r="Y917" i="275"/>
  <c r="U910" i="275"/>
  <c r="Y910" i="275"/>
  <c r="I910" i="275"/>
  <c r="T816" i="259"/>
  <c r="T751" i="275"/>
  <c r="L753" i="259"/>
  <c r="L751" i="275"/>
  <c r="H816" i="259"/>
  <c r="H751" i="275"/>
  <c r="K107" i="262"/>
  <c r="K799" i="275"/>
  <c r="U767" i="275"/>
  <c r="L88" i="262"/>
  <c r="L767" i="275"/>
  <c r="AX780" i="275"/>
  <c r="U58" i="275"/>
  <c r="Y58" i="275"/>
  <c r="U140" i="262"/>
  <c r="Q58" i="275"/>
  <c r="Q140" i="262"/>
  <c r="M58" i="275"/>
  <c r="M140" i="262"/>
  <c r="I58" i="275"/>
  <c r="I140" i="262"/>
  <c r="T57" i="275"/>
  <c r="T139" i="262"/>
  <c r="P57" i="275"/>
  <c r="P139" i="262"/>
  <c r="L57" i="275"/>
  <c r="L139" i="262"/>
  <c r="H57" i="275"/>
  <c r="H139" i="262"/>
  <c r="U64" i="275"/>
  <c r="Y64" i="275"/>
  <c r="U144" i="262"/>
  <c r="Q64" i="275"/>
  <c r="Q144" i="262"/>
  <c r="M64" i="275"/>
  <c r="M144" i="262"/>
  <c r="I64" i="275"/>
  <c r="I144" i="262"/>
  <c r="T63" i="275"/>
  <c r="T143" i="262"/>
  <c r="P63" i="275"/>
  <c r="P143" i="262"/>
  <c r="L63" i="275"/>
  <c r="L143" i="262"/>
  <c r="H63" i="275"/>
  <c r="H143" i="262"/>
  <c r="T110" i="262"/>
  <c r="T802" i="275"/>
  <c r="P110" i="262"/>
  <c r="P802" i="275"/>
  <c r="H802" i="275"/>
  <c r="U795" i="275"/>
  <c r="Y795" i="275"/>
  <c r="Q795" i="275"/>
  <c r="M795" i="275"/>
  <c r="I795" i="275"/>
  <c r="T103" i="262"/>
  <c r="T794" i="275"/>
  <c r="H103" i="262"/>
  <c r="H794" i="275"/>
  <c r="AY1386" i="259"/>
  <c r="AY1387" i="259" s="1"/>
  <c r="W1387" i="259"/>
  <c r="AX1386" i="259"/>
  <c r="AX1387" i="259" s="1"/>
  <c r="S1387" i="259"/>
  <c r="AW1386" i="259"/>
  <c r="AW1387" i="259" s="1"/>
  <c r="O1387" i="259"/>
  <c r="AV1386" i="259"/>
  <c r="K1387" i="259"/>
  <c r="S182" i="262"/>
  <c r="S607" i="275"/>
  <c r="O182" i="262"/>
  <c r="O607" i="275"/>
  <c r="K182" i="262"/>
  <c r="K607" i="275"/>
  <c r="U68" i="261"/>
  <c r="U219" i="275"/>
  <c r="Y68" i="261"/>
  <c r="Y219" i="275"/>
  <c r="Q68" i="261"/>
  <c r="Q219" i="275"/>
  <c r="M68" i="261"/>
  <c r="M219" i="275"/>
  <c r="I68" i="261"/>
  <c r="I219" i="275"/>
  <c r="U228" i="275"/>
  <c r="Y228" i="275"/>
  <c r="U967" i="259"/>
  <c r="U232" i="275"/>
  <c r="Y232" i="275"/>
  <c r="Q967" i="259"/>
  <c r="Q232" i="275"/>
  <c r="M967" i="259"/>
  <c r="M232" i="275"/>
  <c r="I967" i="259"/>
  <c r="I967" i="275" s="1"/>
  <c r="I232" i="275"/>
  <c r="U240" i="275"/>
  <c r="Y240" i="275"/>
  <c r="U245" i="275"/>
  <c r="Y92" i="261"/>
  <c r="Y245" i="275"/>
  <c r="Q92" i="261"/>
  <c r="Q245" i="275"/>
  <c r="M92" i="261"/>
  <c r="M245" i="275"/>
  <c r="I92" i="261"/>
  <c r="I245" i="275"/>
  <c r="U78" i="261"/>
  <c r="U329" i="275"/>
  <c r="Y78" i="261"/>
  <c r="Y329" i="275"/>
  <c r="Q78" i="261"/>
  <c r="Q329" i="275"/>
  <c r="M78" i="261"/>
  <c r="M329" i="275"/>
  <c r="I78" i="261"/>
  <c r="I329" i="275"/>
  <c r="U336" i="275"/>
  <c r="Y336" i="275"/>
  <c r="T86" i="261"/>
  <c r="T407" i="275"/>
  <c r="P86" i="261"/>
  <c r="P407" i="275"/>
  <c r="L86" i="261"/>
  <c r="L407" i="275"/>
  <c r="H414" i="275"/>
  <c r="W641" i="275"/>
  <c r="W46" i="259"/>
  <c r="S641" i="275"/>
  <c r="S46" i="259"/>
  <c r="O641" i="275"/>
  <c r="O46" i="259"/>
  <c r="K46" i="259"/>
  <c r="V658" i="259"/>
  <c r="V657" i="275"/>
  <c r="N658" i="259"/>
  <c r="N657" i="275"/>
  <c r="H371" i="275"/>
  <c r="H361" i="275"/>
  <c r="H386" i="275"/>
  <c r="H308" i="275"/>
  <c r="H283" i="275"/>
  <c r="H768" i="275"/>
  <c r="Z488" i="275"/>
  <c r="V488" i="275"/>
  <c r="V38" i="259"/>
  <c r="Z510" i="275"/>
  <c r="V510" i="275"/>
  <c r="R38" i="259"/>
  <c r="R510" i="275"/>
  <c r="N38" i="259"/>
  <c r="N510" i="275"/>
  <c r="J38" i="259"/>
  <c r="J38" i="275" s="1"/>
  <c r="J510" i="275"/>
  <c r="H599" i="275"/>
  <c r="Z663" i="275"/>
  <c r="V663" i="275"/>
  <c r="Z855" i="275"/>
  <c r="V855" i="275"/>
  <c r="H878" i="275"/>
  <c r="Z876" i="275"/>
  <c r="V876" i="275"/>
  <c r="J927" i="275"/>
  <c r="Z657" i="275"/>
  <c r="Z658" i="259"/>
  <c r="Z641" i="275"/>
  <c r="Z46" i="259"/>
  <c r="Z642" i="259"/>
  <c r="AY192" i="275"/>
  <c r="AZ192" i="275"/>
  <c r="AX60" i="262"/>
  <c r="AX202" i="275"/>
  <c r="AV61" i="262"/>
  <c r="AV207" i="275"/>
  <c r="AY384" i="275"/>
  <c r="AZ384" i="275"/>
  <c r="AZ529" i="275"/>
  <c r="AY529" i="275"/>
  <c r="AZ574" i="275"/>
  <c r="AY574" i="275"/>
  <c r="AZ578" i="275"/>
  <c r="AY578" i="275"/>
  <c r="AZ587" i="275"/>
  <c r="AY587" i="275"/>
  <c r="AY596" i="275"/>
  <c r="AZ596" i="275"/>
  <c r="AW8" i="262"/>
  <c r="AW538" i="275"/>
  <c r="AV9" i="262"/>
  <c r="AV548" i="275"/>
  <c r="AY10" i="262"/>
  <c r="AY558" i="275"/>
  <c r="AX81" i="262"/>
  <c r="AX749" i="275"/>
  <c r="AW82" i="262"/>
  <c r="AW750" i="275"/>
  <c r="AZ759" i="275"/>
  <c r="AY759" i="275"/>
  <c r="AZ763" i="275"/>
  <c r="AY763" i="275"/>
  <c r="BA204" i="275"/>
  <c r="BB204" i="275"/>
  <c r="BA238" i="275"/>
  <c r="BB238" i="275"/>
  <c r="AY243" i="275"/>
  <c r="AY64" i="262"/>
  <c r="AX244" i="275"/>
  <c r="AX69" i="262"/>
  <c r="H1017" i="275"/>
  <c r="U1021" i="275"/>
  <c r="Y1021" i="275"/>
  <c r="H1022" i="275"/>
  <c r="U1026" i="275"/>
  <c r="Y1026" i="275"/>
  <c r="H1027" i="275"/>
  <c r="U1042" i="275"/>
  <c r="Y1042" i="275"/>
  <c r="I1042" i="275"/>
  <c r="J1051" i="275"/>
  <c r="N1051" i="275"/>
  <c r="R1051" i="275"/>
  <c r="V1051" i="275"/>
  <c r="Z1051" i="275"/>
  <c r="U1054" i="275"/>
  <c r="Y1054" i="275"/>
  <c r="U1053" i="275"/>
  <c r="Y1053" i="275"/>
  <c r="U1052" i="275"/>
  <c r="Y1052" i="275"/>
  <c r="Z972" i="275"/>
  <c r="V972" i="275"/>
  <c r="Z977" i="275"/>
  <c r="V977" i="275"/>
  <c r="Z993" i="275"/>
  <c r="V993" i="275"/>
  <c r="AZ240" i="275"/>
  <c r="AY270" i="275"/>
  <c r="AZ270" i="275"/>
  <c r="AY343" i="275"/>
  <c r="AZ343" i="275"/>
  <c r="AX344" i="275"/>
  <c r="AX65" i="262"/>
  <c r="AV422" i="275"/>
  <c r="AV66" i="262"/>
  <c r="AV73" i="262" s="1"/>
  <c r="AZ425" i="275"/>
  <c r="AY425" i="275"/>
  <c r="AV153" i="261"/>
  <c r="AV478" i="275"/>
  <c r="AV40" i="262"/>
  <c r="AY1611" i="259"/>
  <c r="AY481" i="275"/>
  <c r="AX1610" i="259"/>
  <c r="AX482" i="275"/>
  <c r="AV484" i="275"/>
  <c r="AV42" i="262"/>
  <c r="AX1617" i="259"/>
  <c r="AX281" i="262" s="1"/>
  <c r="AX494" i="275"/>
  <c r="AW1618" i="259"/>
  <c r="AW282" i="262" s="1"/>
  <c r="AW496" i="275"/>
  <c r="AZ517" i="275"/>
  <c r="AY517" i="275"/>
  <c r="BA612" i="275"/>
  <c r="BB612" i="275"/>
  <c r="AW39" i="259"/>
  <c r="AW638" i="275"/>
  <c r="AW639" i="275"/>
  <c r="AY717" i="275"/>
  <c r="AZ717" i="275"/>
  <c r="AV54" i="262"/>
  <c r="AV835" i="275"/>
  <c r="AV178" i="262"/>
  <c r="AU55" i="262"/>
  <c r="AU179" i="262"/>
  <c r="AY55" i="262"/>
  <c r="AY836" i="275"/>
  <c r="AY179" i="262"/>
  <c r="AW1130" i="259"/>
  <c r="AW1136" i="259" s="1"/>
  <c r="AW841" i="275"/>
  <c r="AV167" i="262"/>
  <c r="AV842" i="275"/>
  <c r="AX172" i="262"/>
  <c r="AX859" i="275"/>
  <c r="F7" i="263"/>
  <c r="AY887" i="275"/>
  <c r="AZ934" i="275"/>
  <c r="AY934" i="275"/>
  <c r="AZ941" i="275"/>
  <c r="AY941" i="275"/>
  <c r="AX438" i="259"/>
  <c r="AX436" i="275"/>
  <c r="AZ439" i="275"/>
  <c r="AY439" i="275"/>
  <c r="AX183" i="262"/>
  <c r="AX457" i="275"/>
  <c r="AU244" i="262"/>
  <c r="AU324" i="261"/>
  <c r="AY244" i="262"/>
  <c r="AY324" i="261"/>
  <c r="T178" i="259"/>
  <c r="T431" i="259" s="1"/>
  <c r="T432" i="259" s="1"/>
  <c r="T174" i="275"/>
  <c r="H430" i="259"/>
  <c r="H430" i="275" s="1"/>
  <c r="H174" i="275"/>
  <c r="F10" i="263"/>
  <c r="H10" i="263" s="1"/>
  <c r="AY755" i="275"/>
  <c r="U1069" i="259"/>
  <c r="U1073" i="259" s="1"/>
  <c r="U41" i="275"/>
  <c r="H39" i="275"/>
  <c r="Z801" i="275"/>
  <c r="V801" i="275"/>
  <c r="H506" i="259"/>
  <c r="H1547" i="259" s="1"/>
  <c r="H75" i="259" s="1"/>
  <c r="H505" i="275"/>
  <c r="T506" i="259"/>
  <c r="T505" i="275"/>
  <c r="P506" i="259"/>
  <c r="P505" i="275"/>
  <c r="L506" i="259"/>
  <c r="L505" i="275"/>
  <c r="Z777" i="275"/>
  <c r="V777" i="275"/>
  <c r="X58" i="275"/>
  <c r="X140" i="262"/>
  <c r="X132" i="275"/>
  <c r="X131" i="262"/>
  <c r="X136" i="259"/>
  <c r="X117" i="275"/>
  <c r="X263" i="259"/>
  <c r="X24" i="261" s="1"/>
  <c r="X180" i="275"/>
  <c r="X157" i="275"/>
  <c r="X967" i="259"/>
  <c r="X232" i="275"/>
  <c r="X320" i="259"/>
  <c r="X28" i="261" s="1"/>
  <c r="X302" i="275"/>
  <c r="X283" i="275"/>
  <c r="X386" i="275"/>
  <c r="X371" i="275"/>
  <c r="X978" i="259"/>
  <c r="X414" i="275"/>
  <c r="X458" i="275"/>
  <c r="X505" i="275"/>
  <c r="X1612" i="259"/>
  <c r="X1605" i="259" s="1"/>
  <c r="X472" i="275"/>
  <c r="Y567" i="259"/>
  <c r="Y201" i="261" s="1"/>
  <c r="E39" i="273"/>
  <c r="X16" i="262"/>
  <c r="X582" i="259"/>
  <c r="X579" i="275"/>
  <c r="X623" i="275"/>
  <c r="Y161" i="261"/>
  <c r="X650" i="275"/>
  <c r="X719" i="259"/>
  <c r="X718" i="275"/>
  <c r="X777" i="275"/>
  <c r="X751" i="275"/>
  <c r="X837" i="275"/>
  <c r="Y885" i="259"/>
  <c r="Y886" i="259"/>
  <c r="X180" i="262"/>
  <c r="X893" i="275"/>
  <c r="X921" i="275"/>
  <c r="X917" i="275"/>
  <c r="X944" i="275"/>
  <c r="X1027" i="275"/>
  <c r="X1017" i="275"/>
  <c r="X816" i="275"/>
  <c r="P126" i="275"/>
  <c r="W6" i="259"/>
  <c r="W126" i="275"/>
  <c r="W196" i="275"/>
  <c r="L723" i="259"/>
  <c r="L723" i="275" s="1"/>
  <c r="L725" i="275"/>
  <c r="J968" i="275"/>
  <c r="R1032" i="275"/>
  <c r="V107" i="262"/>
  <c r="Z799" i="275"/>
  <c r="V799" i="275"/>
  <c r="AX1508" i="259"/>
  <c r="AX115" i="261" s="1"/>
  <c r="Z1032" i="275"/>
  <c r="V1032" i="275"/>
  <c r="N1240" i="259"/>
  <c r="N785" i="259" s="1"/>
  <c r="N146" i="262"/>
  <c r="AW1507" i="259"/>
  <c r="AW114" i="261" s="1"/>
  <c r="AW336" i="275"/>
  <c r="AX35" i="262"/>
  <c r="AV837" i="275"/>
  <c r="AV180" i="262"/>
  <c r="O723" i="259"/>
  <c r="O725" i="275"/>
  <c r="O95" i="262"/>
  <c r="O784" i="275"/>
  <c r="V263" i="259"/>
  <c r="V24" i="261" s="1"/>
  <c r="V180" i="275"/>
  <c r="X1415" i="259"/>
  <c r="U126" i="275"/>
  <c r="Y126" i="275"/>
  <c r="I126" i="275"/>
  <c r="Q126" i="275"/>
  <c r="H126" i="275"/>
  <c r="AX283" i="275"/>
  <c r="AW582" i="259"/>
  <c r="AW579" i="275"/>
  <c r="AY1507" i="259"/>
  <c r="AY114" i="261" s="1"/>
  <c r="AY277" i="275"/>
  <c r="AX872" i="259"/>
  <c r="O6" i="259"/>
  <c r="O126" i="275"/>
  <c r="R126" i="275"/>
  <c r="AX85" i="262"/>
  <c r="AX765" i="275"/>
  <c r="P178" i="275"/>
  <c r="U1032" i="275"/>
  <c r="Y1032" i="275"/>
  <c r="AX132" i="262"/>
  <c r="M979" i="259"/>
  <c r="M978" i="275"/>
  <c r="J974" i="259"/>
  <c r="BB599" i="275"/>
  <c r="N107" i="262"/>
  <c r="N799" i="275"/>
  <c r="BE18" i="275"/>
  <c r="R430" i="275"/>
  <c r="Y196" i="275"/>
  <c r="I927" i="275"/>
  <c r="W927" i="275"/>
  <c r="AY196" i="259"/>
  <c r="AY174" i="275"/>
  <c r="AY718" i="275"/>
  <c r="AZ718" i="275"/>
  <c r="AY1612" i="259"/>
  <c r="AY16" i="262"/>
  <c r="AX414" i="275"/>
  <c r="AX614" i="275"/>
  <c r="AV171" i="262"/>
  <c r="AV855" i="275"/>
  <c r="T1032" i="275"/>
  <c r="AV1612" i="259"/>
  <c r="AV472" i="275"/>
  <c r="AV16" i="262"/>
  <c r="AW1052" i="275"/>
  <c r="AX1054" i="275"/>
  <c r="AV1021" i="275"/>
  <c r="AX371" i="275"/>
  <c r="P927" i="275"/>
  <c r="AV937" i="275"/>
  <c r="AX293" i="275"/>
  <c r="AX875" i="259"/>
  <c r="AX833" i="275"/>
  <c r="AV522" i="275"/>
  <c r="R107" i="262"/>
  <c r="R799" i="275"/>
  <c r="AY522" i="275"/>
  <c r="S1031" i="259"/>
  <c r="W872" i="259"/>
  <c r="W873" i="275"/>
  <c r="T872" i="259"/>
  <c r="T872" i="275" s="1"/>
  <c r="T873" i="275"/>
  <c r="R872" i="259"/>
  <c r="R873" i="275"/>
  <c r="H95" i="262"/>
  <c r="U168" i="275"/>
  <c r="Y168" i="275"/>
  <c r="U262" i="259"/>
  <c r="U23" i="261" s="1"/>
  <c r="U179" i="275"/>
  <c r="Y179" i="275"/>
  <c r="Q262" i="259"/>
  <c r="Q23" i="261" s="1"/>
  <c r="Q179" i="275"/>
  <c r="M262" i="259"/>
  <c r="M23" i="261" s="1"/>
  <c r="M179" i="275"/>
  <c r="I262" i="259"/>
  <c r="I23" i="261" s="1"/>
  <c r="I179" i="275"/>
  <c r="U263" i="259"/>
  <c r="U24" i="261" s="1"/>
  <c r="U180" i="275"/>
  <c r="Y180" i="275"/>
  <c r="Q263" i="259"/>
  <c r="Q24" i="261" s="1"/>
  <c r="Q180" i="275"/>
  <c r="M263" i="259"/>
  <c r="M24" i="261" s="1"/>
  <c r="M180" i="275"/>
  <c r="I263" i="259"/>
  <c r="I24" i="261" s="1"/>
  <c r="I180" i="275"/>
  <c r="V140" i="259"/>
  <c r="Z277" i="275"/>
  <c r="V277" i="275"/>
  <c r="R1507" i="259"/>
  <c r="R114" i="261" s="1"/>
  <c r="R277" i="275"/>
  <c r="N140" i="259"/>
  <c r="N277" i="275"/>
  <c r="J285" i="259"/>
  <c r="J85" i="259" s="1"/>
  <c r="J277" i="275"/>
  <c r="U303" i="259"/>
  <c r="U298" i="275"/>
  <c r="Y298" i="275"/>
  <c r="Q303" i="259"/>
  <c r="Q298" i="275"/>
  <c r="M303" i="259"/>
  <c r="M298" i="275"/>
  <c r="I303" i="259"/>
  <c r="I303" i="275" s="1"/>
  <c r="I298" i="275"/>
  <c r="W320" i="259"/>
  <c r="W28" i="261" s="1"/>
  <c r="W302" i="275"/>
  <c r="S320" i="259"/>
  <c r="S28" i="261" s="1"/>
  <c r="S302" i="275"/>
  <c r="O320" i="259"/>
  <c r="O28" i="261" s="1"/>
  <c r="O302" i="275"/>
  <c r="K320" i="259"/>
  <c r="K28" i="261" s="1"/>
  <c r="K302" i="275"/>
  <c r="Z301" i="275"/>
  <c r="V301" i="275"/>
  <c r="V141" i="259"/>
  <c r="Z355" i="275"/>
  <c r="V355" i="275"/>
  <c r="S1508" i="259"/>
  <c r="S115" i="261" s="1"/>
  <c r="S355" i="275"/>
  <c r="O141" i="259"/>
  <c r="O355" i="275"/>
  <c r="K363" i="259"/>
  <c r="K355" i="275"/>
  <c r="H376" i="275"/>
  <c r="L398" i="259"/>
  <c r="L32" i="261" s="1"/>
  <c r="L380" i="275"/>
  <c r="H398" i="259"/>
  <c r="H32" i="261" s="1"/>
  <c r="H380" i="275"/>
  <c r="W1506" i="259"/>
  <c r="W113" i="261" s="1"/>
  <c r="W151" i="275"/>
  <c r="S1506" i="259"/>
  <c r="S113" i="261" s="1"/>
  <c r="S151" i="275"/>
  <c r="P1414" i="259"/>
  <c r="P151" i="275"/>
  <c r="L1414" i="259"/>
  <c r="L151" i="275"/>
  <c r="H1506" i="259"/>
  <c r="H113" i="261" s="1"/>
  <c r="H151" i="275"/>
  <c r="H187" i="275"/>
  <c r="U114" i="275"/>
  <c r="Y114" i="275"/>
  <c r="Q44" i="259"/>
  <c r="Q114" i="275"/>
  <c r="M44" i="259"/>
  <c r="M114" i="275"/>
  <c r="I44" i="259"/>
  <c r="I114" i="275"/>
  <c r="P37" i="259"/>
  <c r="P113" i="275"/>
  <c r="L37" i="259"/>
  <c r="L113" i="275"/>
  <c r="H113" i="275"/>
  <c r="T56" i="259"/>
  <c r="X56" i="275" s="1"/>
  <c r="T117" i="275"/>
  <c r="P56" i="259"/>
  <c r="P117" i="275"/>
  <c r="H56" i="259"/>
  <c r="H117" i="275"/>
  <c r="V62" i="259"/>
  <c r="Z119" i="275"/>
  <c r="V119" i="275"/>
  <c r="R62" i="259"/>
  <c r="R65" i="259" s="1"/>
  <c r="R119" i="275"/>
  <c r="Z120" i="275"/>
  <c r="V120" i="275"/>
  <c r="W133" i="275"/>
  <c r="W132" i="262"/>
  <c r="S133" i="275"/>
  <c r="S132" i="262"/>
  <c r="O133" i="275"/>
  <c r="O132" i="262"/>
  <c r="K133" i="275"/>
  <c r="K132" i="262"/>
  <c r="Z132" i="275"/>
  <c r="V132" i="275"/>
  <c r="V131" i="262"/>
  <c r="V136" i="259"/>
  <c r="R132" i="275"/>
  <c r="R131" i="262"/>
  <c r="N132" i="275"/>
  <c r="N131" i="262"/>
  <c r="J132" i="275"/>
  <c r="J131" i="262"/>
  <c r="H444" i="275"/>
  <c r="AX443" i="259"/>
  <c r="S443" i="275"/>
  <c r="AV443" i="259"/>
  <c r="K443" i="275"/>
  <c r="Z442" i="275"/>
  <c r="V442" i="275"/>
  <c r="Z455" i="275"/>
  <c r="V455" i="275"/>
  <c r="Z456" i="275"/>
  <c r="V456" i="275"/>
  <c r="Z451" i="275"/>
  <c r="V451" i="275"/>
  <c r="Z458" i="275"/>
  <c r="V458" i="275"/>
  <c r="Z570" i="259"/>
  <c r="Z207" i="261" s="1"/>
  <c r="Z472" i="275"/>
  <c r="V472" i="275"/>
  <c r="V16" i="262"/>
  <c r="R1612" i="259"/>
  <c r="R1605" i="259" s="1"/>
  <c r="R472" i="275"/>
  <c r="R16" i="262"/>
  <c r="N472" i="275"/>
  <c r="N16" i="262"/>
  <c r="J472" i="275"/>
  <c r="J16" i="262"/>
  <c r="Z485" i="275"/>
  <c r="V485" i="275"/>
  <c r="V582" i="259"/>
  <c r="Z579" i="275"/>
  <c r="V579" i="275"/>
  <c r="R582" i="259"/>
  <c r="R579" i="275"/>
  <c r="N582" i="259"/>
  <c r="N579" i="275"/>
  <c r="J582" i="259"/>
  <c r="J582" i="275" s="1"/>
  <c r="J579" i="275"/>
  <c r="Z498" i="275"/>
  <c r="V498" i="275"/>
  <c r="U522" i="259"/>
  <c r="U520" i="275"/>
  <c r="Y520" i="275"/>
  <c r="Q522" i="259"/>
  <c r="Q30" i="262" s="1"/>
  <c r="Q520" i="275"/>
  <c r="M522" i="259"/>
  <c r="M520" i="275"/>
  <c r="I522" i="259"/>
  <c r="I522" i="275" s="1"/>
  <c r="I520" i="275"/>
  <c r="U526" i="275"/>
  <c r="Y526" i="275"/>
  <c r="U534" i="259"/>
  <c r="U532" i="275"/>
  <c r="Y532" i="275"/>
  <c r="Q534" i="259"/>
  <c r="Q532" i="275"/>
  <c r="M534" i="259"/>
  <c r="M532" i="275"/>
  <c r="I534" i="259"/>
  <c r="I532" i="275"/>
  <c r="U1419" i="259"/>
  <c r="U589" i="275"/>
  <c r="Y589" i="275"/>
  <c r="Q1419" i="259"/>
  <c r="Q1420" i="259" s="1"/>
  <c r="Q332" i="261" s="1"/>
  <c r="Q589" i="275"/>
  <c r="M1419" i="259"/>
  <c r="M589" i="275"/>
  <c r="U598" i="275"/>
  <c r="Y598" i="275"/>
  <c r="U614" i="275"/>
  <c r="Y614" i="275"/>
  <c r="Z561" i="275"/>
  <c r="Z564" i="259"/>
  <c r="Z206" i="261" s="1"/>
  <c r="V561" i="275"/>
  <c r="R15" i="262"/>
  <c r="R561" i="275"/>
  <c r="L14" i="262"/>
  <c r="L551" i="275"/>
  <c r="H14" i="262"/>
  <c r="H551" i="275"/>
  <c r="Z544" i="259"/>
  <c r="Z541" i="275"/>
  <c r="V541" i="275"/>
  <c r="U619" i="275"/>
  <c r="Y619" i="275"/>
  <c r="Z623" i="275"/>
  <c r="V623" i="275"/>
  <c r="W1511" i="259"/>
  <c r="W640" i="275"/>
  <c r="S1423" i="259"/>
  <c r="S1422" i="259" s="1"/>
  <c r="S640" i="275"/>
  <c r="O1423" i="259"/>
  <c r="O1422" i="259" s="1"/>
  <c r="O640" i="275"/>
  <c r="K1511" i="259"/>
  <c r="K640" i="275"/>
  <c r="V666" i="259"/>
  <c r="Z667" i="275"/>
  <c r="V667" i="275"/>
  <c r="R666" i="259"/>
  <c r="R667" i="275"/>
  <c r="N666" i="259"/>
  <c r="N667" i="275"/>
  <c r="J666" i="259"/>
  <c r="J666" i="275" s="1"/>
  <c r="J667" i="275"/>
  <c r="V680" i="259"/>
  <c r="Z681" i="275"/>
  <c r="V681" i="275"/>
  <c r="R680" i="259"/>
  <c r="R681" i="275"/>
  <c r="N680" i="259"/>
  <c r="N681" i="275"/>
  <c r="J680" i="259"/>
  <c r="J680" i="275" s="1"/>
  <c r="J681" i="275"/>
  <c r="V719" i="259"/>
  <c r="Z718" i="275"/>
  <c r="V718" i="275"/>
  <c r="R719" i="259"/>
  <c r="R718" i="275"/>
  <c r="N719" i="259"/>
  <c r="N718" i="275"/>
  <c r="J719" i="259"/>
  <c r="J719" i="275" s="1"/>
  <c r="J718" i="275"/>
  <c r="V989" i="259"/>
  <c r="Z704" i="275"/>
  <c r="V704" i="275"/>
  <c r="R705" i="259"/>
  <c r="R704" i="275"/>
  <c r="N989" i="259"/>
  <c r="N704" i="275"/>
  <c r="J989" i="259"/>
  <c r="J989" i="275" s="1"/>
  <c r="J704" i="275"/>
  <c r="V1038" i="259"/>
  <c r="Z690" i="275"/>
  <c r="V690" i="275"/>
  <c r="R1038" i="259"/>
  <c r="R690" i="275"/>
  <c r="N1038" i="259"/>
  <c r="N690" i="275"/>
  <c r="J691" i="259"/>
  <c r="J691" i="275" s="1"/>
  <c r="J690" i="275"/>
  <c r="Z741" i="275"/>
  <c r="V741" i="275"/>
  <c r="U948" i="259"/>
  <c r="U937" i="275"/>
  <c r="Y937" i="275"/>
  <c r="Q948" i="259"/>
  <c r="Q937" i="275"/>
  <c r="M948" i="259"/>
  <c r="M937" i="275"/>
  <c r="I948" i="259"/>
  <c r="I948" i="275" s="1"/>
  <c r="I937" i="275"/>
  <c r="U944" i="275"/>
  <c r="Y944" i="275"/>
  <c r="U1171" i="259"/>
  <c r="U1006" i="275"/>
  <c r="Y1006" i="275"/>
  <c r="Q1171" i="259"/>
  <c r="Q1006" i="275"/>
  <c r="M1171" i="259"/>
  <c r="M1006" i="275"/>
  <c r="I1171" i="259"/>
  <c r="I1006" i="275"/>
  <c r="U875" i="259"/>
  <c r="U833" i="275"/>
  <c r="Y833" i="275"/>
  <c r="Q875" i="259"/>
  <c r="Q833" i="275"/>
  <c r="M875" i="259"/>
  <c r="M833" i="275"/>
  <c r="I875" i="259"/>
  <c r="I875" i="275" s="1"/>
  <c r="I833" i="275"/>
  <c r="T837" i="275"/>
  <c r="T180" i="262"/>
  <c r="P56" i="262"/>
  <c r="P837" i="275"/>
  <c r="P180" i="262"/>
  <c r="L837" i="275"/>
  <c r="L180" i="262"/>
  <c r="T953" i="259"/>
  <c r="T901" i="275"/>
  <c r="X974" i="259"/>
  <c r="X189" i="262"/>
  <c r="X85" i="259"/>
  <c r="Z430" i="275"/>
  <c r="V430" i="275"/>
  <c r="Y262" i="261"/>
  <c r="AX506" i="259"/>
  <c r="AX505" i="275"/>
  <c r="X134" i="262"/>
  <c r="X723" i="259"/>
  <c r="X725" i="275"/>
  <c r="Z126" i="275"/>
  <c r="V126" i="275"/>
  <c r="J6" i="259"/>
  <c r="J126" i="275"/>
  <c r="N62" i="262"/>
  <c r="AX1506" i="259"/>
  <c r="AX113" i="261" s="1"/>
  <c r="AX151" i="275"/>
  <c r="AY283" i="275"/>
  <c r="AY1508" i="259"/>
  <c r="AY115" i="261" s="1"/>
  <c r="AY355" i="275"/>
  <c r="S126" i="275"/>
  <c r="M398" i="259"/>
  <c r="M32" i="261" s="1"/>
  <c r="AY765" i="275"/>
  <c r="AV41" i="275"/>
  <c r="V723" i="259"/>
  <c r="V725" i="275"/>
  <c r="AY41" i="275"/>
  <c r="M723" i="259"/>
  <c r="AY232" i="275"/>
  <c r="AY240" i="275"/>
  <c r="BC599" i="275"/>
  <c r="R969" i="259"/>
  <c r="R968" i="275"/>
  <c r="R1031" i="259"/>
  <c r="H110" i="262"/>
  <c r="Q107" i="262"/>
  <c r="Q799" i="275"/>
  <c r="AE1053" i="275"/>
  <c r="AY18" i="275"/>
  <c r="AW681" i="275"/>
  <c r="Q723" i="259"/>
  <c r="Q723" i="275" s="1"/>
  <c r="Q725" i="275"/>
  <c r="AW174" i="275"/>
  <c r="T430" i="275"/>
  <c r="M1240" i="259"/>
  <c r="M785" i="259" s="1"/>
  <c r="M146" i="262"/>
  <c r="M927" i="275"/>
  <c r="AW896" i="275"/>
  <c r="U210" i="259"/>
  <c r="U178" i="275"/>
  <c r="Y178" i="275"/>
  <c r="G1055" i="259"/>
  <c r="K430" i="275"/>
  <c r="Q1123" i="259"/>
  <c r="AW522" i="275"/>
  <c r="W1032" i="275"/>
  <c r="AV619" i="275"/>
  <c r="AU1612" i="259"/>
  <c r="AU16" i="262"/>
  <c r="AY640" i="275"/>
  <c r="AX876" i="275"/>
  <c r="AV944" i="275"/>
  <c r="AZ520" i="275"/>
  <c r="AY520" i="275"/>
  <c r="L1032" i="275"/>
  <c r="AX532" i="275"/>
  <c r="AW718" i="275"/>
  <c r="AW1612" i="259"/>
  <c r="AW472" i="275"/>
  <c r="AW16" i="262"/>
  <c r="AY308" i="275"/>
  <c r="T927" i="275"/>
  <c r="AX171" i="262"/>
  <c r="AX855" i="275"/>
  <c r="AV127" i="261"/>
  <c r="AV1684" i="259"/>
  <c r="AV35" i="262"/>
  <c r="AV534" i="275"/>
  <c r="AY878" i="275"/>
  <c r="AX937" i="275"/>
  <c r="K723" i="259"/>
  <c r="K723" i="275" s="1"/>
  <c r="K725" i="275"/>
  <c r="AW127" i="261"/>
  <c r="AW1684" i="259"/>
  <c r="N969" i="259"/>
  <c r="N968" i="275"/>
  <c r="S872" i="259"/>
  <c r="S873" i="275"/>
  <c r="Q872" i="259"/>
  <c r="Q873" i="275"/>
  <c r="I872" i="259"/>
  <c r="I873" i="275"/>
  <c r="U872" i="259"/>
  <c r="U873" i="275"/>
  <c r="Y873" i="275"/>
  <c r="N927" i="275"/>
  <c r="N872" i="259"/>
  <c r="N873" i="275"/>
  <c r="H168" i="275"/>
  <c r="X1685" i="259"/>
  <c r="P262" i="259"/>
  <c r="P23" i="261" s="1"/>
  <c r="P179" i="275"/>
  <c r="L262" i="259"/>
  <c r="L23" i="261" s="1"/>
  <c r="L179" i="275"/>
  <c r="H263" i="259"/>
  <c r="H24" i="261" s="1"/>
  <c r="H180" i="275"/>
  <c r="U285" i="259"/>
  <c r="U277" i="275"/>
  <c r="E36" i="273"/>
  <c r="Y277" i="275"/>
  <c r="Q1507" i="259"/>
  <c r="Q114" i="261" s="1"/>
  <c r="Q277" i="275"/>
  <c r="I285" i="259"/>
  <c r="I277" i="275"/>
  <c r="H298" i="275"/>
  <c r="V320" i="259"/>
  <c r="V28" i="261" s="1"/>
  <c r="Z302" i="275"/>
  <c r="V302" i="275"/>
  <c r="R320" i="259"/>
  <c r="R28" i="261" s="1"/>
  <c r="R302" i="275"/>
  <c r="U301" i="275"/>
  <c r="Y301" i="275"/>
  <c r="U355" i="275"/>
  <c r="Y355" i="275"/>
  <c r="Z376" i="275"/>
  <c r="V376" i="275"/>
  <c r="J376" i="275"/>
  <c r="Z379" i="275"/>
  <c r="V379" i="275"/>
  <c r="Z152" i="259"/>
  <c r="Z151" i="275"/>
  <c r="V151" i="275"/>
  <c r="W187" i="275"/>
  <c r="T44" i="259"/>
  <c r="T114" i="275"/>
  <c r="H44" i="259"/>
  <c r="H114" i="275"/>
  <c r="O37" i="259"/>
  <c r="O113" i="275"/>
  <c r="W56" i="259"/>
  <c r="W117" i="275"/>
  <c r="S56" i="259"/>
  <c r="S117" i="275"/>
  <c r="O56" i="259"/>
  <c r="O117" i="275"/>
  <c r="K56" i="259"/>
  <c r="K117" i="275"/>
  <c r="Z157" i="275"/>
  <c r="V157" i="275"/>
  <c r="U119" i="275"/>
  <c r="Y119" i="275"/>
  <c r="U120" i="275"/>
  <c r="Y120" i="275"/>
  <c r="Z133" i="275"/>
  <c r="V133" i="275"/>
  <c r="V132" i="262"/>
  <c r="R133" i="275"/>
  <c r="R132" i="262"/>
  <c r="N133" i="275"/>
  <c r="N132" i="262"/>
  <c r="J133" i="275"/>
  <c r="J132" i="262"/>
  <c r="U132" i="275"/>
  <c r="E33" i="273"/>
  <c r="Y132" i="275"/>
  <c r="U131" i="262"/>
  <c r="U136" i="259"/>
  <c r="Q132" i="275"/>
  <c r="Q131" i="262"/>
  <c r="M132" i="275"/>
  <c r="M131" i="262"/>
  <c r="I132" i="275"/>
  <c r="I131" i="262"/>
  <c r="AY444" i="259"/>
  <c r="W444" i="275"/>
  <c r="AW444" i="259"/>
  <c r="O444" i="275"/>
  <c r="Z443" i="275"/>
  <c r="V443" i="275"/>
  <c r="U442" i="275"/>
  <c r="Y442" i="275"/>
  <c r="U455" i="275"/>
  <c r="Y455" i="275"/>
  <c r="U456" i="275"/>
  <c r="Y456" i="275"/>
  <c r="U451" i="275"/>
  <c r="Y451" i="275"/>
  <c r="U458" i="275"/>
  <c r="Y458" i="275"/>
  <c r="U1612" i="259"/>
  <c r="U1605" i="259" s="1"/>
  <c r="U472" i="275"/>
  <c r="E40" i="273"/>
  <c r="Y570" i="259"/>
  <c r="Y207" i="261" s="1"/>
  <c r="Y472" i="275"/>
  <c r="U16" i="262"/>
  <c r="Q472" i="275"/>
  <c r="Q16" i="262"/>
  <c r="M1612" i="259"/>
  <c r="M1605" i="259" s="1"/>
  <c r="M472" i="275"/>
  <c r="M16" i="262"/>
  <c r="I472" i="275"/>
  <c r="I16" i="262"/>
  <c r="U485" i="275"/>
  <c r="Y485" i="275"/>
  <c r="U582" i="259"/>
  <c r="U579" i="275"/>
  <c r="Y579" i="275"/>
  <c r="Q582" i="259"/>
  <c r="Q579" i="275"/>
  <c r="M582" i="259"/>
  <c r="M579" i="275"/>
  <c r="I582" i="259"/>
  <c r="I582" i="275" s="1"/>
  <c r="I579" i="275"/>
  <c r="U498" i="275"/>
  <c r="Y498" i="275"/>
  <c r="T522" i="259"/>
  <c r="T520" i="275"/>
  <c r="P522" i="259"/>
  <c r="P520" i="275"/>
  <c r="L522" i="259"/>
  <c r="L520" i="275"/>
  <c r="H522" i="259"/>
  <c r="H31" i="262" s="1"/>
  <c r="H520" i="275"/>
  <c r="H526" i="275"/>
  <c r="T534" i="259"/>
  <c r="T532" i="275"/>
  <c r="P534" i="259"/>
  <c r="P532" i="275"/>
  <c r="L534" i="259"/>
  <c r="L532" i="275"/>
  <c r="H534" i="259"/>
  <c r="H532" i="275"/>
  <c r="H589" i="275"/>
  <c r="D600" i="259"/>
  <c r="H598" i="275"/>
  <c r="H614" i="275"/>
  <c r="U15" i="262"/>
  <c r="U561" i="275"/>
  <c r="Y564" i="259"/>
  <c r="Y206" i="261" s="1"/>
  <c r="Y561" i="275"/>
  <c r="Q15" i="262"/>
  <c r="Q561" i="275"/>
  <c r="I15" i="262"/>
  <c r="I561" i="275"/>
  <c r="O14" i="262"/>
  <c r="O551" i="275"/>
  <c r="K14" i="262"/>
  <c r="K551" i="275"/>
  <c r="U541" i="275"/>
  <c r="Y544" i="259"/>
  <c r="Y541" i="275"/>
  <c r="M13" i="262"/>
  <c r="M541" i="275"/>
  <c r="I13" i="262"/>
  <c r="I541" i="275"/>
  <c r="H619" i="275"/>
  <c r="U623" i="275"/>
  <c r="Y623" i="275"/>
  <c r="Z640" i="275"/>
  <c r="V640" i="275"/>
  <c r="R1423" i="259"/>
  <c r="R1422" i="259" s="1"/>
  <c r="R640" i="275"/>
  <c r="J1423" i="259"/>
  <c r="J1422" i="259" s="1"/>
  <c r="J640" i="275"/>
  <c r="F642" i="259"/>
  <c r="Z650" i="275"/>
  <c r="V650" i="275"/>
  <c r="U666" i="259"/>
  <c r="U667" i="275"/>
  <c r="Y667" i="275"/>
  <c r="Q666" i="259"/>
  <c r="Q667" i="275"/>
  <c r="M666" i="259"/>
  <c r="M667" i="275"/>
  <c r="I666" i="259"/>
  <c r="I666" i="275" s="1"/>
  <c r="I667" i="275"/>
  <c r="U680" i="259"/>
  <c r="U681" i="275"/>
  <c r="Y681" i="275"/>
  <c r="Q680" i="259"/>
  <c r="Q681" i="275"/>
  <c r="M680" i="259"/>
  <c r="M681" i="275"/>
  <c r="I680" i="259"/>
  <c r="I680" i="275" s="1"/>
  <c r="I681" i="275"/>
  <c r="U719" i="259"/>
  <c r="U718" i="275"/>
  <c r="Y718" i="275"/>
  <c r="Q719" i="259"/>
  <c r="Q718" i="275"/>
  <c r="M719" i="259"/>
  <c r="M718" i="275"/>
  <c r="I719" i="259"/>
  <c r="I719" i="275" s="1"/>
  <c r="I718" i="275"/>
  <c r="U704" i="275"/>
  <c r="Y704" i="275"/>
  <c r="U690" i="275"/>
  <c r="Y690" i="275"/>
  <c r="U741" i="275"/>
  <c r="Y741" i="275"/>
  <c r="H948" i="259"/>
  <c r="H948" i="275" s="1"/>
  <c r="H937" i="275"/>
  <c r="H944" i="275"/>
  <c r="T1171" i="259"/>
  <c r="T1006" i="275"/>
  <c r="P1171" i="259"/>
  <c r="P1006" i="275"/>
  <c r="L1171" i="259"/>
  <c r="L1006" i="275"/>
  <c r="H1171" i="259"/>
  <c r="H1006" i="275"/>
  <c r="P875" i="259"/>
  <c r="P833" i="275"/>
  <c r="H833" i="275"/>
  <c r="W837" i="275"/>
  <c r="W180" i="262"/>
  <c r="S837" i="275"/>
  <c r="S180" i="262"/>
  <c r="O837" i="275"/>
  <c r="O180" i="262"/>
  <c r="K837" i="275"/>
  <c r="K180" i="262"/>
  <c r="W174" i="262"/>
  <c r="W868" i="275"/>
  <c r="S174" i="262"/>
  <c r="S868" i="275"/>
  <c r="O174" i="262"/>
  <c r="O868" i="275"/>
  <c r="K174" i="262"/>
  <c r="K868" i="275"/>
  <c r="H174" i="262"/>
  <c r="H868" i="275"/>
  <c r="H185" i="262"/>
  <c r="H888" i="275"/>
  <c r="L185" i="262"/>
  <c r="L888" i="275"/>
  <c r="P185" i="262"/>
  <c r="P888" i="275"/>
  <c r="T185" i="262"/>
  <c r="T888" i="275"/>
  <c r="W953" i="259"/>
  <c r="W901" i="275"/>
  <c r="U900" i="275"/>
  <c r="Y900" i="275"/>
  <c r="I900" i="275"/>
  <c r="U893" i="275"/>
  <c r="Y893" i="275"/>
  <c r="Z920" i="275"/>
  <c r="V920" i="275"/>
  <c r="Z918" i="275"/>
  <c r="V918" i="275"/>
  <c r="Z916" i="275"/>
  <c r="V916" i="275"/>
  <c r="T88" i="262"/>
  <c r="T767" i="275"/>
  <c r="O88" i="262"/>
  <c r="O767" i="275"/>
  <c r="K88" i="262"/>
  <c r="K767" i="275"/>
  <c r="AV780" i="275"/>
  <c r="T58" i="275"/>
  <c r="T140" i="262"/>
  <c r="P58" i="275"/>
  <c r="P140" i="262"/>
  <c r="L58" i="275"/>
  <c r="L140" i="262"/>
  <c r="H58" i="275"/>
  <c r="H140" i="262"/>
  <c r="W57" i="275"/>
  <c r="W139" i="262"/>
  <c r="S57" i="275"/>
  <c r="S139" i="262"/>
  <c r="O57" i="275"/>
  <c r="O139" i="262"/>
  <c r="K57" i="275"/>
  <c r="K139" i="262"/>
  <c r="T64" i="275"/>
  <c r="T144" i="262"/>
  <c r="P64" i="275"/>
  <c r="P144" i="262"/>
  <c r="L64" i="275"/>
  <c r="L144" i="262"/>
  <c r="H64" i="275"/>
  <c r="H144" i="262"/>
  <c r="W63" i="275"/>
  <c r="W143" i="262"/>
  <c r="S63" i="275"/>
  <c r="S143" i="262"/>
  <c r="O63" i="275"/>
  <c r="O143" i="262"/>
  <c r="K63" i="275"/>
  <c r="K143" i="262"/>
  <c r="S110" i="262"/>
  <c r="S802" i="275"/>
  <c r="O110" i="262"/>
  <c r="O802" i="275"/>
  <c r="T795" i="275"/>
  <c r="P795" i="275"/>
  <c r="L795" i="275"/>
  <c r="H795" i="275"/>
  <c r="W103" i="262"/>
  <c r="W794" i="275"/>
  <c r="O103" i="262"/>
  <c r="O794" i="275"/>
  <c r="K103" i="262"/>
  <c r="K794" i="275"/>
  <c r="V607" i="275"/>
  <c r="Z607" i="275"/>
  <c r="J182" i="262"/>
  <c r="J607" i="275"/>
  <c r="H219" i="275"/>
  <c r="L234" i="259"/>
  <c r="L228" i="275"/>
  <c r="H228" i="275"/>
  <c r="T967" i="259"/>
  <c r="T232" i="275"/>
  <c r="P967" i="259"/>
  <c r="P232" i="275"/>
  <c r="L967" i="259"/>
  <c r="L232" i="275"/>
  <c r="H967" i="259"/>
  <c r="H967" i="275" s="1"/>
  <c r="H232" i="275"/>
  <c r="H240" i="275"/>
  <c r="H245" i="275"/>
  <c r="L78" i="261"/>
  <c r="L329" i="275"/>
  <c r="H329" i="275"/>
  <c r="P973" i="259"/>
  <c r="P336" i="275"/>
  <c r="H973" i="259"/>
  <c r="H336" i="275"/>
  <c r="K1028" i="259"/>
  <c r="K1028" i="275" s="1"/>
  <c r="K407" i="275"/>
  <c r="S978" i="259"/>
  <c r="S414" i="275"/>
  <c r="K978" i="259"/>
  <c r="K414" i="275"/>
  <c r="V641" i="275"/>
  <c r="V46" i="259"/>
  <c r="R641" i="275"/>
  <c r="R46" i="259"/>
  <c r="N641" i="275"/>
  <c r="N46" i="259"/>
  <c r="J641" i="275"/>
  <c r="J46" i="259"/>
  <c r="J46" i="275" s="1"/>
  <c r="E651" i="259"/>
  <c r="E46" i="259"/>
  <c r="U658" i="259"/>
  <c r="U657" i="275"/>
  <c r="Q658" i="259"/>
  <c r="Q657" i="275"/>
  <c r="M658" i="259"/>
  <c r="M657" i="275"/>
  <c r="I658" i="259"/>
  <c r="I657" i="275"/>
  <c r="Z293" i="275"/>
  <c r="V293" i="275"/>
  <c r="U488" i="275"/>
  <c r="Y488" i="275"/>
  <c r="U38" i="259"/>
  <c r="U510" i="275"/>
  <c r="Y510" i="275"/>
  <c r="Q38" i="259"/>
  <c r="Q510" i="275"/>
  <c r="M38" i="259"/>
  <c r="M510" i="275"/>
  <c r="I38" i="259"/>
  <c r="I38" i="275" s="1"/>
  <c r="I510" i="275"/>
  <c r="U663" i="275"/>
  <c r="Y663" i="275"/>
  <c r="AW663" i="259"/>
  <c r="M663" i="275"/>
  <c r="AV663" i="259"/>
  <c r="I663" i="275"/>
  <c r="U855" i="275"/>
  <c r="Y855" i="275"/>
  <c r="Z877" i="275"/>
  <c r="V877" i="275"/>
  <c r="U876" i="275"/>
  <c r="Y876" i="275"/>
  <c r="AC110" i="262"/>
  <c r="AC802" i="275"/>
  <c r="X110" i="262"/>
  <c r="X802" i="275"/>
  <c r="Y658" i="259"/>
  <c r="Y657" i="275"/>
  <c r="Y641" i="275"/>
  <c r="Y46" i="259"/>
  <c r="Y642" i="259"/>
  <c r="AY11" i="275"/>
  <c r="AX12" i="275"/>
  <c r="AW19" i="275"/>
  <c r="AX149" i="275"/>
  <c r="AW150" i="275"/>
  <c r="AV153" i="275"/>
  <c r="AY155" i="275"/>
  <c r="AX156" i="275"/>
  <c r="AW165" i="275"/>
  <c r="AV166" i="275"/>
  <c r="AY133" i="259"/>
  <c r="AY167" i="275"/>
  <c r="AX171" i="275"/>
  <c r="AW257" i="259"/>
  <c r="AW9" i="261" s="1"/>
  <c r="AW172" i="275"/>
  <c r="AV173" i="275"/>
  <c r="AY184" i="275"/>
  <c r="AZ184" i="275"/>
  <c r="AX185" i="275"/>
  <c r="AW186" i="275"/>
  <c r="AV192" i="275"/>
  <c r="AY60" i="262"/>
  <c r="AY202" i="275"/>
  <c r="AX205" i="275"/>
  <c r="AW61" i="262"/>
  <c r="AW207" i="275"/>
  <c r="AV275" i="275"/>
  <c r="AY276" i="275"/>
  <c r="AX279" i="275"/>
  <c r="AW281" i="275"/>
  <c r="AV282" i="275"/>
  <c r="AY291" i="275"/>
  <c r="AX292" i="275"/>
  <c r="AW296" i="275"/>
  <c r="AV297" i="275"/>
  <c r="AY306" i="275"/>
  <c r="AZ306" i="275"/>
  <c r="AX307" i="275"/>
  <c r="AW353" i="275"/>
  <c r="AV354" i="275"/>
  <c r="AY357" i="275"/>
  <c r="AX359" i="275"/>
  <c r="AW360" i="275"/>
  <c r="AV369" i="275"/>
  <c r="AY370" i="275"/>
  <c r="AX374" i="275"/>
  <c r="AW375" i="275"/>
  <c r="AV384" i="275"/>
  <c r="AY385" i="275"/>
  <c r="AZ385" i="275"/>
  <c r="AX524" i="275"/>
  <c r="AW525" i="275"/>
  <c r="AV529" i="275"/>
  <c r="AZ530" i="275"/>
  <c r="AY530" i="275"/>
  <c r="AX531" i="275"/>
  <c r="AW533" i="275"/>
  <c r="AV574" i="275"/>
  <c r="AZ575" i="275"/>
  <c r="AY575" i="275"/>
  <c r="AX576" i="275"/>
  <c r="AW577" i="275"/>
  <c r="AV578" i="275"/>
  <c r="AZ581" i="275"/>
  <c r="AY581" i="275"/>
  <c r="AX585" i="275"/>
  <c r="AW586" i="275"/>
  <c r="AV355" i="275"/>
  <c r="AU127" i="261"/>
  <c r="AU1684" i="259"/>
  <c r="AV875" i="259"/>
  <c r="AV875" i="275" s="1"/>
  <c r="AV833" i="275"/>
  <c r="AW171" i="262"/>
  <c r="AW855" i="275"/>
  <c r="AX526" i="275"/>
  <c r="AV257" i="259"/>
  <c r="AV9" i="261" s="1"/>
  <c r="AW944" i="275"/>
  <c r="U107" i="262"/>
  <c r="U799" i="275"/>
  <c r="Y799" i="275"/>
  <c r="W107" i="262"/>
  <c r="W799" i="275"/>
  <c r="AV877" i="275"/>
  <c r="AW1511" i="259"/>
  <c r="AW244" i="261" s="1"/>
  <c r="W723" i="259"/>
  <c r="W725" i="275"/>
  <c r="AX219" i="275"/>
  <c r="Q927" i="275"/>
  <c r="O872" i="259"/>
  <c r="O873" i="275"/>
  <c r="K872" i="259"/>
  <c r="K873" i="275"/>
  <c r="H872" i="259"/>
  <c r="H873" i="275"/>
  <c r="V872" i="259"/>
  <c r="Z873" i="275"/>
  <c r="V873" i="275"/>
  <c r="J872" i="259"/>
  <c r="J873" i="275"/>
  <c r="M872" i="259"/>
  <c r="M873" i="275"/>
  <c r="U1123" i="259"/>
  <c r="S1685" i="259"/>
  <c r="W262" i="259"/>
  <c r="W23" i="261" s="1"/>
  <c r="W179" i="275"/>
  <c r="S262" i="259"/>
  <c r="S23" i="261" s="1"/>
  <c r="S179" i="275"/>
  <c r="O262" i="259"/>
  <c r="O23" i="261" s="1"/>
  <c r="O179" i="275"/>
  <c r="K262" i="259"/>
  <c r="K23" i="261" s="1"/>
  <c r="K179" i="275"/>
  <c r="W263" i="259"/>
  <c r="W24" i="261" s="1"/>
  <c r="W180" i="275"/>
  <c r="O263" i="259"/>
  <c r="O24" i="261" s="1"/>
  <c r="O180" i="275"/>
  <c r="K263" i="259"/>
  <c r="K24" i="261" s="1"/>
  <c r="K180" i="275"/>
  <c r="T285" i="259"/>
  <c r="T277" i="275"/>
  <c r="P1507" i="259"/>
  <c r="P114" i="261" s="1"/>
  <c r="P277" i="275"/>
  <c r="L285" i="259"/>
  <c r="L277" i="275"/>
  <c r="H285" i="259"/>
  <c r="AV285" i="259" s="1"/>
  <c r="H277" i="275"/>
  <c r="K298" i="275"/>
  <c r="U320" i="259"/>
  <c r="U28" i="261" s="1"/>
  <c r="U302" i="275"/>
  <c r="Y302" i="275"/>
  <c r="M320" i="259"/>
  <c r="M28" i="261" s="1"/>
  <c r="M302" i="275"/>
  <c r="I320" i="259"/>
  <c r="I28" i="261" s="1"/>
  <c r="I302" i="275"/>
  <c r="T301" i="275"/>
  <c r="H301" i="275"/>
  <c r="T1508" i="259"/>
  <c r="T115" i="261" s="1"/>
  <c r="T355" i="275"/>
  <c r="Q1508" i="259"/>
  <c r="Q115" i="261" s="1"/>
  <c r="Q355" i="275"/>
  <c r="M1508" i="259"/>
  <c r="M115" i="261" s="1"/>
  <c r="M355" i="275"/>
  <c r="I1508" i="259"/>
  <c r="I115" i="261" s="1"/>
  <c r="I355" i="275"/>
  <c r="U376" i="275"/>
  <c r="Y376" i="275"/>
  <c r="I376" i="275"/>
  <c r="Z380" i="275"/>
  <c r="V380" i="275"/>
  <c r="J398" i="259"/>
  <c r="J32" i="261" s="1"/>
  <c r="J380" i="275"/>
  <c r="U379" i="275"/>
  <c r="Y379" i="275"/>
  <c r="U159" i="259"/>
  <c r="U151" i="275"/>
  <c r="Y152" i="259"/>
  <c r="Y151" i="275"/>
  <c r="R159" i="259"/>
  <c r="R151" i="275"/>
  <c r="N159" i="259"/>
  <c r="N151" i="275"/>
  <c r="J1506" i="259"/>
  <c r="J113" i="261" s="1"/>
  <c r="J151" i="275"/>
  <c r="Z187" i="275"/>
  <c r="V187" i="275"/>
  <c r="W44" i="259"/>
  <c r="W114" i="275"/>
  <c r="S44" i="259"/>
  <c r="S114" i="275"/>
  <c r="V37" i="259"/>
  <c r="Z113" i="275"/>
  <c r="V113" i="275"/>
  <c r="R37" i="259"/>
  <c r="R113" i="275"/>
  <c r="J37" i="259"/>
  <c r="J37" i="275" s="1"/>
  <c r="J113" i="275"/>
  <c r="V56" i="259"/>
  <c r="Z117" i="275"/>
  <c r="V117" i="275"/>
  <c r="R56" i="259"/>
  <c r="R59" i="259" s="1"/>
  <c r="R117" i="275"/>
  <c r="N56" i="259"/>
  <c r="N117" i="275"/>
  <c r="J56" i="259"/>
  <c r="AV56" i="259" s="1"/>
  <c r="J117" i="275"/>
  <c r="U157" i="275"/>
  <c r="Y157" i="275"/>
  <c r="T62" i="259"/>
  <c r="T119" i="275"/>
  <c r="P121" i="259"/>
  <c r="P119" i="275"/>
  <c r="H62" i="259"/>
  <c r="H65" i="259" s="1"/>
  <c r="H119" i="275"/>
  <c r="H120" i="275"/>
  <c r="U133" i="275"/>
  <c r="Y133" i="275"/>
  <c r="U132" i="262"/>
  <c r="Q133" i="275"/>
  <c r="Q132" i="262"/>
  <c r="M133" i="275"/>
  <c r="M132" i="262"/>
  <c r="I133" i="275"/>
  <c r="I132" i="262"/>
  <c r="T132" i="275"/>
  <c r="T131" i="262"/>
  <c r="T136" i="259"/>
  <c r="P132" i="275"/>
  <c r="P131" i="262"/>
  <c r="L132" i="275"/>
  <c r="L131" i="262"/>
  <c r="H132" i="275"/>
  <c r="H131" i="262"/>
  <c r="Z444" i="275"/>
  <c r="V444" i="275"/>
  <c r="U443" i="275"/>
  <c r="Y443" i="275"/>
  <c r="H442" i="275"/>
  <c r="H455" i="275"/>
  <c r="H456" i="275"/>
  <c r="H451" i="275"/>
  <c r="H458" i="275"/>
  <c r="T472" i="275"/>
  <c r="T16" i="262"/>
  <c r="P472" i="275"/>
  <c r="P16" i="262"/>
  <c r="L472" i="275"/>
  <c r="L16" i="262"/>
  <c r="H472" i="275"/>
  <c r="H16" i="262"/>
  <c r="H485" i="275"/>
  <c r="T582" i="259"/>
  <c r="T579" i="275"/>
  <c r="P582" i="259"/>
  <c r="P579" i="275"/>
  <c r="L582" i="259"/>
  <c r="L579" i="275"/>
  <c r="H582" i="259"/>
  <c r="H582" i="275" s="1"/>
  <c r="H579" i="275"/>
  <c r="H498" i="275"/>
  <c r="W522" i="259"/>
  <c r="W30" i="262" s="1"/>
  <c r="W520" i="275"/>
  <c r="S522" i="259"/>
  <c r="S520" i="275"/>
  <c r="O522" i="259"/>
  <c r="O520" i="275"/>
  <c r="K522" i="259"/>
  <c r="K522" i="275" s="1"/>
  <c r="K520" i="275"/>
  <c r="W534" i="259"/>
  <c r="W532" i="275"/>
  <c r="S534" i="259"/>
  <c r="S532" i="275"/>
  <c r="O534" i="259"/>
  <c r="O532" i="275"/>
  <c r="K534" i="259"/>
  <c r="K532" i="275"/>
  <c r="K1419" i="259"/>
  <c r="K589" i="275"/>
  <c r="W600" i="259"/>
  <c r="BB600" i="259" s="1"/>
  <c r="BB598" i="259" s="1"/>
  <c r="W598" i="275"/>
  <c r="S600" i="259"/>
  <c r="S598" i="275"/>
  <c r="O600" i="259"/>
  <c r="O598" i="275"/>
  <c r="K600" i="259"/>
  <c r="K600" i="275" s="1"/>
  <c r="K598" i="275"/>
  <c r="L15" i="262"/>
  <c r="L561" i="275"/>
  <c r="H15" i="262"/>
  <c r="H561" i="275"/>
  <c r="V552" i="259"/>
  <c r="V25" i="262" s="1"/>
  <c r="Z554" i="259"/>
  <c r="Z205" i="261" s="1"/>
  <c r="Z551" i="275"/>
  <c r="V551" i="275"/>
  <c r="R552" i="259"/>
  <c r="R25" i="262" s="1"/>
  <c r="R551" i="275"/>
  <c r="N14" i="262"/>
  <c r="N551" i="275"/>
  <c r="T13" i="262"/>
  <c r="T541" i="275"/>
  <c r="P13" i="262"/>
  <c r="P541" i="275"/>
  <c r="H541" i="275"/>
  <c r="Z622" i="275"/>
  <c r="V622" i="275"/>
  <c r="U1511" i="259"/>
  <c r="U244" i="261" s="1"/>
  <c r="U640" i="275"/>
  <c r="Y640" i="275"/>
  <c r="M1423" i="259"/>
  <c r="M1422" i="259" s="1"/>
  <c r="M640" i="275"/>
  <c r="I1511" i="259"/>
  <c r="I244" i="261" s="1"/>
  <c r="I640" i="275"/>
  <c r="U650" i="275"/>
  <c r="Y650" i="275"/>
  <c r="T680" i="259"/>
  <c r="AY680" i="259" s="1"/>
  <c r="T681" i="275"/>
  <c r="P680" i="259"/>
  <c r="P681" i="275"/>
  <c r="L680" i="259"/>
  <c r="AW680" i="259" s="1"/>
  <c r="L681" i="275"/>
  <c r="H680" i="259"/>
  <c r="H680" i="275" s="1"/>
  <c r="H681" i="275"/>
  <c r="T719" i="259"/>
  <c r="T718" i="275"/>
  <c r="P719" i="259"/>
  <c r="P718" i="275"/>
  <c r="L719" i="259"/>
  <c r="L732" i="259" s="1"/>
  <c r="L718" i="275"/>
  <c r="H719" i="259"/>
  <c r="H719" i="275" s="1"/>
  <c r="H718" i="275"/>
  <c r="T705" i="259"/>
  <c r="T704" i="275"/>
  <c r="P705" i="259"/>
  <c r="P704" i="275"/>
  <c r="L989" i="259"/>
  <c r="L704" i="275"/>
  <c r="H705" i="259"/>
  <c r="H704" i="275"/>
  <c r="P1038" i="259"/>
  <c r="P690" i="275"/>
  <c r="L691" i="259"/>
  <c r="L690" i="275"/>
  <c r="H690" i="275"/>
  <c r="W948" i="259"/>
  <c r="W937" i="275"/>
  <c r="S948" i="259"/>
  <c r="S937" i="275"/>
  <c r="O948" i="259"/>
  <c r="O937" i="275"/>
  <c r="O1171" i="259"/>
  <c r="O1006" i="275"/>
  <c r="W875" i="259"/>
  <c r="W833" i="275"/>
  <c r="S875" i="259"/>
  <c r="S833" i="275"/>
  <c r="O875" i="259"/>
  <c r="O833" i="275"/>
  <c r="K875" i="259"/>
  <c r="K875" i="275" s="1"/>
  <c r="K833" i="275"/>
  <c r="V56" i="262"/>
  <c r="Z837" i="275"/>
  <c r="V837" i="275"/>
  <c r="V180" i="262"/>
  <c r="R56" i="262"/>
  <c r="R837" i="275"/>
  <c r="R180" i="262"/>
  <c r="N56" i="262"/>
  <c r="N837" i="275"/>
  <c r="N180" i="262"/>
  <c r="J56" i="262"/>
  <c r="J837" i="275"/>
  <c r="J180" i="262"/>
  <c r="F56" i="262"/>
  <c r="F180" i="262"/>
  <c r="V870" i="259"/>
  <c r="V1351" i="259" s="1"/>
  <c r="Z868" i="275"/>
  <c r="V868" i="275"/>
  <c r="N1306" i="259"/>
  <c r="N868" i="275"/>
  <c r="I888" i="275"/>
  <c r="M185" i="262"/>
  <c r="M888" i="275"/>
  <c r="Q185" i="262"/>
  <c r="Q888" i="275"/>
  <c r="U888" i="275"/>
  <c r="Y888" i="275"/>
  <c r="V953" i="259"/>
  <c r="V263" i="261" s="1"/>
  <c r="Z901" i="275"/>
  <c r="V901" i="275"/>
  <c r="R953" i="259"/>
  <c r="R901" i="275"/>
  <c r="N953" i="259"/>
  <c r="N901" i="275"/>
  <c r="J953" i="259"/>
  <c r="J953" i="275" s="1"/>
  <c r="J901" i="275"/>
  <c r="T952" i="259"/>
  <c r="T900" i="275"/>
  <c r="H952" i="259"/>
  <c r="H952" i="275" s="1"/>
  <c r="H900" i="275"/>
  <c r="Z894" i="275"/>
  <c r="V894" i="275"/>
  <c r="Z892" i="275"/>
  <c r="V892" i="275"/>
  <c r="U920" i="275"/>
  <c r="Y920" i="275"/>
  <c r="I920" i="275"/>
  <c r="U918" i="275"/>
  <c r="Y918" i="275"/>
  <c r="I918" i="275"/>
  <c r="U916" i="275"/>
  <c r="Y916" i="275"/>
  <c r="I916" i="275"/>
  <c r="V816" i="259"/>
  <c r="Z751" i="275"/>
  <c r="V751" i="275"/>
  <c r="R753" i="259"/>
  <c r="R751" i="275"/>
  <c r="N753" i="259"/>
  <c r="N751" i="275"/>
  <c r="J753" i="259"/>
  <c r="J753" i="275" s="1"/>
  <c r="J751" i="275"/>
  <c r="S107" i="262"/>
  <c r="S799" i="275"/>
  <c r="I107" i="262"/>
  <c r="I799" i="275"/>
  <c r="W769" i="259"/>
  <c r="W767" i="275"/>
  <c r="S767" i="275"/>
  <c r="N88" i="262"/>
  <c r="N767" i="275"/>
  <c r="I88" i="262"/>
  <c r="I767" i="275"/>
  <c r="W58" i="275"/>
  <c r="W140" i="262"/>
  <c r="S58" i="275"/>
  <c r="S140" i="262"/>
  <c r="O58" i="275"/>
  <c r="O140" i="262"/>
  <c r="K58" i="275"/>
  <c r="K140" i="262"/>
  <c r="Z57" i="275"/>
  <c r="V57" i="275"/>
  <c r="V139" i="262"/>
  <c r="R57" i="275"/>
  <c r="R139" i="262"/>
  <c r="N57" i="275"/>
  <c r="N139" i="262"/>
  <c r="J57" i="275"/>
  <c r="J139" i="262"/>
  <c r="W64" i="275"/>
  <c r="W144" i="262"/>
  <c r="S64" i="275"/>
  <c r="S144" i="262"/>
  <c r="O64" i="275"/>
  <c r="O144" i="262"/>
  <c r="K64" i="275"/>
  <c r="K144" i="262"/>
  <c r="Z63" i="275"/>
  <c r="V63" i="275"/>
  <c r="V143" i="262"/>
  <c r="R63" i="275"/>
  <c r="R143" i="262"/>
  <c r="N63" i="275"/>
  <c r="N143" i="262"/>
  <c r="J63" i="275"/>
  <c r="J143" i="262"/>
  <c r="V110" i="262"/>
  <c r="Z802" i="275"/>
  <c r="V802" i="275"/>
  <c r="R110" i="262"/>
  <c r="R802" i="275"/>
  <c r="N110" i="262"/>
  <c r="N802" i="275"/>
  <c r="J110" i="262"/>
  <c r="J802" i="275"/>
  <c r="W795" i="275"/>
  <c r="S795" i="275"/>
  <c r="O795" i="275"/>
  <c r="K795" i="275"/>
  <c r="V103" i="262"/>
  <c r="Z794" i="275"/>
  <c r="V794" i="275"/>
  <c r="R103" i="262"/>
  <c r="R794" i="275"/>
  <c r="N103" i="262"/>
  <c r="N794" i="275"/>
  <c r="J103" i="262"/>
  <c r="J794" i="275"/>
  <c r="U607" i="275"/>
  <c r="Y607" i="275"/>
  <c r="W968" i="259"/>
  <c r="W228" i="275"/>
  <c r="S968" i="259"/>
  <c r="S228" i="275"/>
  <c r="K968" i="259"/>
  <c r="K228" i="275"/>
  <c r="W967" i="259"/>
  <c r="W232" i="275"/>
  <c r="S967" i="259"/>
  <c r="S982" i="259" s="1"/>
  <c r="S232" i="275"/>
  <c r="O967" i="259"/>
  <c r="O232" i="275"/>
  <c r="K967" i="259"/>
  <c r="K967" i="275" s="1"/>
  <c r="K232" i="275"/>
  <c r="W240" i="275"/>
  <c r="S92" i="261"/>
  <c r="S245" i="275"/>
  <c r="O92" i="261"/>
  <c r="O245" i="275"/>
  <c r="K92" i="261"/>
  <c r="K245" i="275"/>
  <c r="W973" i="259"/>
  <c r="W336" i="275"/>
  <c r="S340" i="259"/>
  <c r="S336" i="275"/>
  <c r="O340" i="259"/>
  <c r="O336" i="275"/>
  <c r="K973" i="259"/>
  <c r="K336" i="275"/>
  <c r="Z407" i="275"/>
  <c r="Z86" i="261"/>
  <c r="V407" i="275"/>
  <c r="V978" i="259"/>
  <c r="Z414" i="275"/>
  <c r="V414" i="275"/>
  <c r="R978" i="259"/>
  <c r="R983" i="259" s="1"/>
  <c r="R414" i="275"/>
  <c r="J418" i="259"/>
  <c r="J414" i="275"/>
  <c r="F979" i="259"/>
  <c r="U641" i="275"/>
  <c r="U46" i="259"/>
  <c r="Q641" i="275"/>
  <c r="Q46" i="259"/>
  <c r="M641" i="275"/>
  <c r="M46" i="259"/>
  <c r="I641" i="275"/>
  <c r="I46" i="259"/>
  <c r="I46" i="275" s="1"/>
  <c r="H658" i="259"/>
  <c r="H657" i="275"/>
  <c r="T658" i="259"/>
  <c r="T658" i="275" s="1"/>
  <c r="T657" i="275"/>
  <c r="L658" i="259"/>
  <c r="L658" i="275" s="1"/>
  <c r="L657" i="275"/>
  <c r="U293" i="275"/>
  <c r="Y293" i="275"/>
  <c r="Z371" i="275"/>
  <c r="V371" i="275"/>
  <c r="Z361" i="275"/>
  <c r="V361" i="275"/>
  <c r="Z386" i="275"/>
  <c r="V386" i="275"/>
  <c r="Z308" i="275"/>
  <c r="V308" i="275"/>
  <c r="Z283" i="275"/>
  <c r="V283" i="275"/>
  <c r="Z768" i="275"/>
  <c r="V768" i="275"/>
  <c r="T38" i="259"/>
  <c r="T510" i="275"/>
  <c r="P38" i="259"/>
  <c r="P510" i="275"/>
  <c r="L38" i="259"/>
  <c r="L510" i="275"/>
  <c r="H38" i="259"/>
  <c r="H38" i="275" s="1"/>
  <c r="H510" i="275"/>
  <c r="Z590" i="275"/>
  <c r="V590" i="275"/>
  <c r="Z599" i="275"/>
  <c r="V599" i="275"/>
  <c r="H663" i="275"/>
  <c r="H855" i="275"/>
  <c r="Z878" i="275"/>
  <c r="V878" i="275"/>
  <c r="U877" i="275"/>
  <c r="Y877" i="275"/>
  <c r="H876" i="275"/>
  <c r="Z927" i="275"/>
  <c r="V927" i="275"/>
  <c r="AZ768" i="259"/>
  <c r="AB110" i="262"/>
  <c r="X658" i="259"/>
  <c r="X657" i="275"/>
  <c r="X46" i="259"/>
  <c r="AV289" i="261"/>
  <c r="AV11" i="275"/>
  <c r="AY151" i="259"/>
  <c r="AY151" i="275" s="1"/>
  <c r="AY149" i="275"/>
  <c r="AV133" i="259"/>
  <c r="AV167" i="275"/>
  <c r="AX257" i="259"/>
  <c r="AX9" i="261" s="1"/>
  <c r="AX172" i="275"/>
  <c r="AW258" i="259"/>
  <c r="AW10" i="261" s="1"/>
  <c r="AW173" i="275"/>
  <c r="AY185" i="275"/>
  <c r="AZ185" i="275"/>
  <c r="AV60" i="262"/>
  <c r="AV202" i="275"/>
  <c r="AX61" i="262"/>
  <c r="AX207" i="275"/>
  <c r="AY307" i="275"/>
  <c r="AZ307" i="275"/>
  <c r="AZ524" i="275"/>
  <c r="AY524" i="275"/>
  <c r="AZ531" i="275"/>
  <c r="AY531" i="275"/>
  <c r="AZ576" i="275"/>
  <c r="AY576" i="275"/>
  <c r="AZ585" i="275"/>
  <c r="AY585" i="275"/>
  <c r="AY594" i="275"/>
  <c r="AZ594" i="275"/>
  <c r="AY8" i="262"/>
  <c r="AY538" i="275"/>
  <c r="AX9" i="262"/>
  <c r="AX548" i="275"/>
  <c r="AW10" i="262"/>
  <c r="AW558" i="275"/>
  <c r="AV81" i="262"/>
  <c r="AV749" i="275"/>
  <c r="AY82" i="262"/>
  <c r="AZ750" i="275"/>
  <c r="AY750" i="275"/>
  <c r="AW588" i="275"/>
  <c r="AV594" i="275"/>
  <c r="AY595" i="275"/>
  <c r="AZ595" i="275"/>
  <c r="AX596" i="275"/>
  <c r="AW597" i="275"/>
  <c r="AV8" i="262"/>
  <c r="AV538" i="275"/>
  <c r="AY9" i="262"/>
  <c r="AY548" i="275"/>
  <c r="AX10" i="262"/>
  <c r="AX558" i="275"/>
  <c r="AW81" i="262"/>
  <c r="AW749" i="275"/>
  <c r="AV82" i="262"/>
  <c r="AV750" i="275"/>
  <c r="AZ758" i="275"/>
  <c r="AY758" i="275"/>
  <c r="AX759" i="275"/>
  <c r="AW760" i="275"/>
  <c r="AV761" i="275"/>
  <c r="AZ762" i="275"/>
  <c r="AY762" i="275"/>
  <c r="AX763" i="275"/>
  <c r="AW193" i="275"/>
  <c r="AV204" i="275"/>
  <c r="AZ204" i="275"/>
  <c r="AW225" i="275"/>
  <c r="AV226" i="275"/>
  <c r="AY227" i="275"/>
  <c r="AX230" i="275"/>
  <c r="AW231" i="275"/>
  <c r="AV238" i="275"/>
  <c r="AZ238" i="275"/>
  <c r="AW239" i="275"/>
  <c r="BA239" i="275"/>
  <c r="BB239" i="275"/>
  <c r="AX243" i="275"/>
  <c r="AX64" i="262"/>
  <c r="AW244" i="275"/>
  <c r="AW69" i="262"/>
  <c r="P725" i="259"/>
  <c r="T725" i="275" s="1"/>
  <c r="P148" i="262"/>
  <c r="U1017" i="275"/>
  <c r="Y1017" i="275"/>
  <c r="Z1021" i="275"/>
  <c r="V1021" i="275"/>
  <c r="U1022" i="275"/>
  <c r="Y1022" i="275"/>
  <c r="Z1026" i="275"/>
  <c r="V1026" i="275"/>
  <c r="U1027" i="275"/>
  <c r="Y1027" i="275"/>
  <c r="Z1042" i="275"/>
  <c r="V1042" i="275"/>
  <c r="H1040" i="275"/>
  <c r="I1051" i="275"/>
  <c r="M1051" i="275"/>
  <c r="Q1051" i="275"/>
  <c r="U1051" i="275"/>
  <c r="Y1051" i="275"/>
  <c r="V1054" i="275"/>
  <c r="Z1054" i="275"/>
  <c r="V1053" i="275"/>
  <c r="Z1053" i="275"/>
  <c r="Z1052" i="275"/>
  <c r="V1052" i="275"/>
  <c r="AY972" i="259"/>
  <c r="W972" i="275"/>
  <c r="AX972" i="259"/>
  <c r="S972" i="275"/>
  <c r="AW972" i="259"/>
  <c r="O972" i="275"/>
  <c r="AV972" i="259"/>
  <c r="AV972" i="275" s="1"/>
  <c r="K972" i="275"/>
  <c r="AY977" i="259"/>
  <c r="W977" i="275"/>
  <c r="AX977" i="259"/>
  <c r="S977" i="275"/>
  <c r="AW977" i="259"/>
  <c r="O977" i="275"/>
  <c r="AV977" i="259"/>
  <c r="AV977" i="275" s="1"/>
  <c r="K977" i="275"/>
  <c r="AY993" i="259"/>
  <c r="W993" i="275"/>
  <c r="AX993" i="259"/>
  <c r="S993" i="275"/>
  <c r="AW993" i="259"/>
  <c r="O993" i="275"/>
  <c r="AV993" i="259"/>
  <c r="AV993" i="275" s="1"/>
  <c r="K993" i="275"/>
  <c r="AZ205" i="275"/>
  <c r="AY266" i="275"/>
  <c r="AZ266" i="275"/>
  <c r="AV270" i="275"/>
  <c r="BB308" i="275"/>
  <c r="AX333" i="275"/>
  <c r="AW334" i="275"/>
  <c r="AV335" i="275"/>
  <c r="AY338" i="275"/>
  <c r="AX343" i="275"/>
  <c r="AW344" i="275"/>
  <c r="AW65" i="262"/>
  <c r="AV324" i="275"/>
  <c r="AY327" i="275"/>
  <c r="AV73" i="261"/>
  <c r="AV325" i="275"/>
  <c r="AW347" i="275"/>
  <c r="AX416" i="275"/>
  <c r="AY413" i="275"/>
  <c r="AV412" i="275"/>
  <c r="AW411" i="275"/>
  <c r="AV402" i="275"/>
  <c r="AY403" i="275"/>
  <c r="AX405" i="275"/>
  <c r="AV421" i="275"/>
  <c r="AY422" i="275"/>
  <c r="AY66" i="262"/>
  <c r="AX425" i="275"/>
  <c r="AW469" i="275"/>
  <c r="AV470" i="275"/>
  <c r="AY471" i="275"/>
  <c r="AX473" i="275"/>
  <c r="AW474" i="275"/>
  <c r="AV475" i="275"/>
  <c r="AY153" i="261"/>
  <c r="AY478" i="275"/>
  <c r="AY40" i="262"/>
  <c r="AX1611" i="259"/>
  <c r="AX481" i="275"/>
  <c r="AW1610" i="259"/>
  <c r="AW482" i="275"/>
  <c r="AV41" i="262"/>
  <c r="AV483" i="275"/>
  <c r="AY484" i="275"/>
  <c r="AY42" i="262"/>
  <c r="AX491" i="275"/>
  <c r="AW1617" i="259"/>
  <c r="AW281" i="262" s="1"/>
  <c r="AW494" i="275"/>
  <c r="AV1618" i="259"/>
  <c r="AV282" i="262" s="1"/>
  <c r="AV496" i="275"/>
  <c r="AY497" i="275"/>
  <c r="AX517" i="275"/>
  <c r="AW518" i="275"/>
  <c r="AV519" i="275"/>
  <c r="AZ521" i="275"/>
  <c r="AY521" i="275"/>
  <c r="AX603" i="275"/>
  <c r="AW606" i="275"/>
  <c r="AX605" i="275"/>
  <c r="AZ604" i="275"/>
  <c r="AY604" i="275"/>
  <c r="AX610" i="275"/>
  <c r="AY611" i="275"/>
  <c r="AV612" i="275"/>
  <c r="AZ612" i="275"/>
  <c r="AW613" i="275"/>
  <c r="BA613" i="275"/>
  <c r="BB613" i="275"/>
  <c r="AX619" i="259"/>
  <c r="AX619" i="275" s="1"/>
  <c r="AX617" i="275"/>
  <c r="AW618" i="275"/>
  <c r="AV39" i="259"/>
  <c r="AV39" i="275" s="1"/>
  <c r="AV638" i="275"/>
  <c r="AY644" i="275"/>
  <c r="AX648" i="275"/>
  <c r="AW649" i="275"/>
  <c r="AW662" i="275"/>
  <c r="AV665" i="275"/>
  <c r="AY679" i="275"/>
  <c r="AZ679" i="275"/>
  <c r="AX688" i="275"/>
  <c r="AW692" i="275"/>
  <c r="AX689" i="275"/>
  <c r="AY694" i="275"/>
  <c r="AX702" i="275"/>
  <c r="AW703" i="275"/>
  <c r="AV708" i="275"/>
  <c r="AY716" i="275"/>
  <c r="AZ716" i="275"/>
  <c r="AX717" i="275"/>
  <c r="AW722" i="275"/>
  <c r="AV742" i="275"/>
  <c r="AZ740" i="275"/>
  <c r="AV740" i="275"/>
  <c r="BB740" i="275"/>
  <c r="BB742" i="275"/>
  <c r="BC741" i="275"/>
  <c r="AZ776" i="275"/>
  <c r="AY776" i="275"/>
  <c r="AZ775" i="275"/>
  <c r="AY775" i="275"/>
  <c r="AZ774" i="275"/>
  <c r="AY774" i="275"/>
  <c r="AY772" i="275"/>
  <c r="AY828" i="275"/>
  <c r="AX829" i="275"/>
  <c r="AW831" i="275"/>
  <c r="AV832" i="275"/>
  <c r="AU54" i="262"/>
  <c r="AU178" i="262"/>
  <c r="AY54" i="262"/>
  <c r="AY835" i="275"/>
  <c r="AY178" i="262"/>
  <c r="AX55" i="262"/>
  <c r="AX836" i="275"/>
  <c r="AX179" i="262"/>
  <c r="AW838" i="275"/>
  <c r="AV1130" i="259"/>
  <c r="AV841" i="275"/>
  <c r="AY167" i="262"/>
  <c r="AY842" i="275"/>
  <c r="AV854" i="275"/>
  <c r="AY856" i="275"/>
  <c r="AX857" i="275"/>
  <c r="AW172" i="262"/>
  <c r="AW859" i="275"/>
  <c r="AV862" i="275"/>
  <c r="AX864" i="275"/>
  <c r="AW865" i="275"/>
  <c r="AV866" i="275"/>
  <c r="AY867" i="275"/>
  <c r="AV58" i="262"/>
  <c r="AV887" i="275"/>
  <c r="AX904" i="275"/>
  <c r="AV936" i="275"/>
  <c r="AZ940" i="275"/>
  <c r="AY940" i="275"/>
  <c r="AX995" i="275"/>
  <c r="AX1003" i="275"/>
  <c r="AV1005" i="275"/>
  <c r="AY438" i="259"/>
  <c r="AY436" i="275"/>
  <c r="AW183" i="262"/>
  <c r="AW457" i="275"/>
  <c r="AX244" i="262"/>
  <c r="AX324" i="261"/>
  <c r="BC768" i="275"/>
  <c r="U174" i="275"/>
  <c r="Y174" i="275"/>
  <c r="Q196" i="259"/>
  <c r="Q196" i="275" s="1"/>
  <c r="Q174" i="275"/>
  <c r="I196" i="259"/>
  <c r="I196" i="275" s="1"/>
  <c r="I174" i="275"/>
  <c r="AX755" i="275"/>
  <c r="AW23" i="275"/>
  <c r="V1069" i="259"/>
  <c r="V1073" i="259" s="1"/>
  <c r="V41" i="275"/>
  <c r="U39" i="275"/>
  <c r="Y39" i="275"/>
  <c r="U18" i="275"/>
  <c r="Y18" i="275"/>
  <c r="BA1054" i="275"/>
  <c r="BE1005" i="275"/>
  <c r="BD1005" i="275"/>
  <c r="BE1004" i="275"/>
  <c r="BD1004" i="275"/>
  <c r="BE1003" i="275"/>
  <c r="BD1003" i="275"/>
  <c r="BE1002" i="275"/>
  <c r="BD1002" i="275"/>
  <c r="I506" i="259"/>
  <c r="I505" i="275"/>
  <c r="U505" i="275"/>
  <c r="Y505" i="275"/>
  <c r="Q506" i="259"/>
  <c r="Q505" i="275"/>
  <c r="M506" i="259"/>
  <c r="M505" i="275"/>
  <c r="AY504" i="275"/>
  <c r="AV162" i="275"/>
  <c r="AY288" i="275"/>
  <c r="AX366" i="275"/>
  <c r="U764" i="275"/>
  <c r="Y764" i="275"/>
  <c r="W777" i="275"/>
  <c r="X63" i="275"/>
  <c r="X143" i="262"/>
  <c r="X133" i="275"/>
  <c r="X132" i="262"/>
  <c r="X62" i="259"/>
  <c r="X119" i="275"/>
  <c r="X187" i="275"/>
  <c r="X168" i="275"/>
  <c r="X219" i="275"/>
  <c r="Y41" i="261"/>
  <c r="X308" i="275"/>
  <c r="X293" i="275"/>
  <c r="X376" i="275"/>
  <c r="X407" i="275"/>
  <c r="Y59" i="261"/>
  <c r="X442" i="275"/>
  <c r="X451" i="275"/>
  <c r="X485" i="275"/>
  <c r="X1419" i="259"/>
  <c r="X1420" i="259" s="1"/>
  <c r="X332" i="261" s="1"/>
  <c r="X589" i="275"/>
  <c r="X522" i="259"/>
  <c r="X520" i="275"/>
  <c r="X614" i="275"/>
  <c r="X15" i="262"/>
  <c r="X561" i="275"/>
  <c r="Y563" i="259"/>
  <c r="Y200" i="261" s="1"/>
  <c r="X13" i="262"/>
  <c r="X541" i="275"/>
  <c r="Y543" i="259"/>
  <c r="X663" i="275"/>
  <c r="X741" i="275"/>
  <c r="X103" i="262"/>
  <c r="X794" i="275"/>
  <c r="X764" i="275"/>
  <c r="X855" i="275"/>
  <c r="X877" i="275"/>
  <c r="X894" i="275"/>
  <c r="X927" i="275"/>
  <c r="X918" i="275"/>
  <c r="X977" i="275"/>
  <c r="X1040" i="275"/>
  <c r="X1021" i="275"/>
  <c r="U31" i="275"/>
  <c r="Y31" i="275"/>
  <c r="AV587" i="275"/>
  <c r="AZ588" i="275"/>
  <c r="AY588" i="275"/>
  <c r="AX594" i="275"/>
  <c r="AW595" i="275"/>
  <c r="AV596" i="275"/>
  <c r="AY597" i="275"/>
  <c r="AZ597" i="275"/>
  <c r="AX8" i="262"/>
  <c r="AX538" i="275"/>
  <c r="AW9" i="262"/>
  <c r="AW548" i="275"/>
  <c r="AV10" i="262"/>
  <c r="AV558" i="275"/>
  <c r="AY81" i="262"/>
  <c r="AZ749" i="275"/>
  <c r="AY749" i="275"/>
  <c r="AX82" i="262"/>
  <c r="AX750" i="275"/>
  <c r="AW758" i="275"/>
  <c r="AV759" i="275"/>
  <c r="AZ760" i="275"/>
  <c r="AY760" i="275"/>
  <c r="AX761" i="275"/>
  <c r="AW762" i="275"/>
  <c r="AV763" i="275"/>
  <c r="AY193" i="275"/>
  <c r="AZ193" i="275"/>
  <c r="AX204" i="275"/>
  <c r="AY225" i="275"/>
  <c r="AX226" i="275"/>
  <c r="AW227" i="275"/>
  <c r="AV230" i="275"/>
  <c r="AY231" i="275"/>
  <c r="AX238" i="275"/>
  <c r="AY239" i="275"/>
  <c r="AV243" i="275"/>
  <c r="AV64" i="262"/>
  <c r="AY244" i="275"/>
  <c r="AY69" i="262"/>
  <c r="H1021" i="275"/>
  <c r="H1026" i="275"/>
  <c r="H1042" i="275"/>
  <c r="Z1040" i="275"/>
  <c r="V1040" i="275"/>
  <c r="K1051" i="275"/>
  <c r="O1051" i="275"/>
  <c r="S1051" i="275"/>
  <c r="U972" i="275"/>
  <c r="Y972" i="275"/>
  <c r="U977" i="275"/>
  <c r="Y977" i="275"/>
  <c r="U993" i="275"/>
  <c r="Y993" i="275"/>
  <c r="BA240" i="275"/>
  <c r="BB240" i="275"/>
  <c r="AW266" i="275"/>
  <c r="AX270" i="275"/>
  <c r="AZ308" i="275"/>
  <c r="AV333" i="275"/>
  <c r="AY334" i="275"/>
  <c r="AX335" i="275"/>
  <c r="AW338" i="275"/>
  <c r="AV343" i="275"/>
  <c r="AY344" i="275"/>
  <c r="AY65" i="262"/>
  <c r="AX324" i="275"/>
  <c r="AY347" i="275"/>
  <c r="AZ347" i="275"/>
  <c r="AX412" i="275"/>
  <c r="AX402" i="275"/>
  <c r="AW403" i="275"/>
  <c r="AV405" i="275"/>
  <c r="AX421" i="275"/>
  <c r="AW422" i="275"/>
  <c r="AW66" i="262"/>
  <c r="AV425" i="275"/>
  <c r="AY469" i="275"/>
  <c r="AX470" i="275"/>
  <c r="AW471" i="275"/>
  <c r="AV473" i="275"/>
  <c r="AY474" i="275"/>
  <c r="AX475" i="275"/>
  <c r="AW153" i="261"/>
  <c r="AW478" i="275"/>
  <c r="AW40" i="262"/>
  <c r="AV1611" i="259"/>
  <c r="AV481" i="275"/>
  <c r="AY1610" i="259"/>
  <c r="AY482" i="275"/>
  <c r="AX483" i="275"/>
  <c r="AW484" i="275"/>
  <c r="AW42" i="262"/>
  <c r="AV491" i="275"/>
  <c r="AY1617" i="259"/>
  <c r="AY281" i="262" s="1"/>
  <c r="AY494" i="275"/>
  <c r="AX1618" i="259"/>
  <c r="AX282" i="262" s="1"/>
  <c r="AX496" i="275"/>
  <c r="AW497" i="275"/>
  <c r="AV517" i="275"/>
  <c r="AZ518" i="275"/>
  <c r="AY518" i="275"/>
  <c r="AX519" i="275"/>
  <c r="AW521" i="275"/>
  <c r="AV603" i="275"/>
  <c r="AV605" i="275"/>
  <c r="AW604" i="275"/>
  <c r="AV610" i="275"/>
  <c r="AZ610" i="275"/>
  <c r="AW611" i="275"/>
  <c r="BA611" i="275"/>
  <c r="BB611" i="275"/>
  <c r="AX612" i="275"/>
  <c r="AY613" i="275"/>
  <c r="AV617" i="275"/>
  <c r="AY618" i="275"/>
  <c r="AX39" i="259"/>
  <c r="AX39" i="275" s="1"/>
  <c r="AX638" i="275"/>
  <c r="AX639" i="275"/>
  <c r="AW644" i="275"/>
  <c r="AV648" i="275"/>
  <c r="AY649" i="275"/>
  <c r="AY662" i="275"/>
  <c r="AZ662" i="275"/>
  <c r="AX665" i="275"/>
  <c r="AW679" i="275"/>
  <c r="AV688" i="275"/>
  <c r="AW694" i="275"/>
  <c r="AV702" i="275"/>
  <c r="AY703" i="275"/>
  <c r="AX708" i="275"/>
  <c r="AW716" i="275"/>
  <c r="AV717" i="275"/>
  <c r="AY722" i="275"/>
  <c r="AZ722" i="275"/>
  <c r="AX743" i="259"/>
  <c r="AX742" i="275"/>
  <c r="BE740" i="275"/>
  <c r="BD740" i="275"/>
  <c r="BE742" i="275"/>
  <c r="BD742" i="275"/>
  <c r="AZ742" i="275"/>
  <c r="AW775" i="275"/>
  <c r="AW774" i="275"/>
  <c r="AW772" i="275"/>
  <c r="AW828" i="275"/>
  <c r="AV829" i="275"/>
  <c r="AY831" i="275"/>
  <c r="AX832" i="275"/>
  <c r="AW54" i="262"/>
  <c r="AW835" i="275"/>
  <c r="AW178" i="262"/>
  <c r="AV55" i="262"/>
  <c r="AV836" i="275"/>
  <c r="AV179" i="262"/>
  <c r="AY838" i="275"/>
  <c r="AX1130" i="259"/>
  <c r="AX841" i="275"/>
  <c r="AW167" i="262"/>
  <c r="AW842" i="275"/>
  <c r="AV843" i="275"/>
  <c r="AY844" i="275"/>
  <c r="AX846" i="275"/>
  <c r="AW851" i="275"/>
  <c r="AV852" i="275"/>
  <c r="AY853" i="275"/>
  <c r="AX854" i="275"/>
  <c r="AW856" i="275"/>
  <c r="AV857" i="275"/>
  <c r="AY172" i="262"/>
  <c r="AY859" i="275"/>
  <c r="AX862" i="275"/>
  <c r="AW863" i="275"/>
  <c r="AV864" i="275"/>
  <c r="AY865" i="275"/>
  <c r="AX866" i="275"/>
  <c r="AW867" i="275"/>
  <c r="AY903" i="275"/>
  <c r="AW906" i="275"/>
  <c r="AV934" i="275"/>
  <c r="AZ935" i="275"/>
  <c r="AY935" i="275"/>
  <c r="AX936" i="275"/>
  <c r="AW940" i="275"/>
  <c r="AV941" i="275"/>
  <c r="AZ942" i="275"/>
  <c r="AY942" i="275"/>
  <c r="AX943" i="275"/>
  <c r="AW946" i="275"/>
  <c r="AV995" i="275"/>
  <c r="AZ995" i="275"/>
  <c r="AW1002" i="275"/>
  <c r="AV1003" i="275"/>
  <c r="AX1005" i="275"/>
  <c r="AX435" i="275"/>
  <c r="AW438" i="259"/>
  <c r="AW436" i="275"/>
  <c r="AV439" i="275"/>
  <c r="AY183" i="262"/>
  <c r="AY457" i="275"/>
  <c r="AV244" i="262"/>
  <c r="AV324" i="261"/>
  <c r="BC801" i="275"/>
  <c r="BB488" i="275"/>
  <c r="BC641" i="275"/>
  <c r="W430" i="259"/>
  <c r="W430" i="275" s="1"/>
  <c r="W174" i="275"/>
  <c r="S178" i="259"/>
  <c r="S431" i="259" s="1"/>
  <c r="S174" i="275"/>
  <c r="O178" i="259"/>
  <c r="AW178" i="259" s="1"/>
  <c r="O174" i="275"/>
  <c r="K196" i="259"/>
  <c r="K196" i="275" s="1"/>
  <c r="K174" i="275"/>
  <c r="AV117" i="262"/>
  <c r="AV755" i="275"/>
  <c r="AY23" i="275"/>
  <c r="T1069" i="259"/>
  <c r="T41" i="275"/>
  <c r="H41" i="275"/>
  <c r="AY223" i="262"/>
  <c r="AY34" i="277"/>
  <c r="U801" i="275"/>
  <c r="Y801" i="275"/>
  <c r="BA1052" i="275"/>
  <c r="BB1005" i="275"/>
  <c r="BB1004" i="275"/>
  <c r="BB1003" i="275"/>
  <c r="BB1002" i="275"/>
  <c r="AX656" i="275"/>
  <c r="W506" i="259"/>
  <c r="W1547" i="259" s="1"/>
  <c r="W75" i="259" s="1"/>
  <c r="W505" i="275"/>
  <c r="S506" i="259"/>
  <c r="S505" i="275"/>
  <c r="O506" i="259"/>
  <c r="O1547" i="259" s="1"/>
  <c r="O75" i="259" s="1"/>
  <c r="O505" i="275"/>
  <c r="K506" i="259"/>
  <c r="K505" i="275"/>
  <c r="AW504" i="275"/>
  <c r="AX162" i="275"/>
  <c r="AW288" i="275"/>
  <c r="AV366" i="275"/>
  <c r="W764" i="275"/>
  <c r="U777" i="275"/>
  <c r="Y777" i="275"/>
  <c r="X57" i="275"/>
  <c r="X139" i="262"/>
  <c r="X126" i="275"/>
  <c r="X114" i="275"/>
  <c r="X262" i="259"/>
  <c r="X23" i="261" s="1"/>
  <c r="X179" i="275"/>
  <c r="X1414" i="259"/>
  <c r="X151" i="275"/>
  <c r="X228" i="275"/>
  <c r="X240" i="275"/>
  <c r="X301" i="275"/>
  <c r="X1507" i="259"/>
  <c r="X114" i="261" s="1"/>
  <c r="X277" i="275"/>
  <c r="X398" i="259"/>
  <c r="X32" i="261" s="1"/>
  <c r="X380" i="275"/>
  <c r="X361" i="275"/>
  <c r="X444" i="275"/>
  <c r="X456" i="275"/>
  <c r="X498" i="275"/>
  <c r="X38" i="259"/>
  <c r="X38" i="275" s="1"/>
  <c r="X510" i="275"/>
  <c r="X534" i="259"/>
  <c r="X532" i="275"/>
  <c r="X622" i="275"/>
  <c r="Y160" i="261"/>
  <c r="X599" i="275"/>
  <c r="X14" i="262"/>
  <c r="X551" i="275"/>
  <c r="Y553" i="259"/>
  <c r="Y199" i="261" s="1"/>
  <c r="X680" i="259"/>
  <c r="AB680" i="275" s="1"/>
  <c r="X681" i="275"/>
  <c r="X1423" i="259"/>
  <c r="X1422" i="259" s="1"/>
  <c r="X640" i="275"/>
  <c r="X989" i="259"/>
  <c r="X704" i="275"/>
  <c r="X768" i="275"/>
  <c r="X872" i="259"/>
  <c r="X873" i="275"/>
  <c r="X875" i="259"/>
  <c r="X929" i="259" s="1"/>
  <c r="X833" i="275"/>
  <c r="X901" i="275"/>
  <c r="X892" i="275"/>
  <c r="X920" i="275"/>
  <c r="X916" i="275"/>
  <c r="X937" i="275"/>
  <c r="X1026" i="275"/>
  <c r="X1442" i="259"/>
  <c r="X339" i="261" s="1"/>
  <c r="Y1443" i="259"/>
  <c r="X888" i="275"/>
  <c r="Y258" i="261"/>
  <c r="AZ761" i="275"/>
  <c r="AY761" i="275"/>
  <c r="AW243" i="275"/>
  <c r="AW64" i="262"/>
  <c r="AV244" i="275"/>
  <c r="AV69" i="262"/>
  <c r="AV76" i="262" s="1"/>
  <c r="Z1017" i="275"/>
  <c r="V1017" i="275"/>
  <c r="Z1022" i="275"/>
  <c r="V1022" i="275"/>
  <c r="Z1027" i="275"/>
  <c r="V1027" i="275"/>
  <c r="AX1042" i="259"/>
  <c r="S1042" i="275"/>
  <c r="AW1042" i="259"/>
  <c r="O1042" i="275"/>
  <c r="U1040" i="275"/>
  <c r="Y1040" i="275"/>
  <c r="I1040" i="275"/>
  <c r="H1051" i="275"/>
  <c r="L1051" i="275"/>
  <c r="P1051" i="275"/>
  <c r="T1051" i="275"/>
  <c r="H972" i="275"/>
  <c r="H977" i="275"/>
  <c r="H993" i="275"/>
  <c r="BA205" i="275"/>
  <c r="BB205" i="275"/>
  <c r="AX267" i="259"/>
  <c r="AX266" i="275"/>
  <c r="AV334" i="275"/>
  <c r="AY335" i="275"/>
  <c r="AX338" i="275"/>
  <c r="AW343" i="275"/>
  <c r="AV344" i="275"/>
  <c r="AV65" i="262"/>
  <c r="AV347" i="275"/>
  <c r="AZ421" i="275"/>
  <c r="AY421" i="275"/>
  <c r="AX422" i="275"/>
  <c r="AX66" i="262"/>
  <c r="AX73" i="262" s="1"/>
  <c r="AX153" i="261"/>
  <c r="AX478" i="275"/>
  <c r="AX40" i="262"/>
  <c r="AW1611" i="259"/>
  <c r="AW481" i="275"/>
  <c r="AX484" i="275"/>
  <c r="AX42" i="262"/>
  <c r="AV1617" i="259"/>
  <c r="AV281" i="262" s="1"/>
  <c r="AV494" i="275"/>
  <c r="AY1618" i="259"/>
  <c r="AY282" i="262" s="1"/>
  <c r="AY496" i="275"/>
  <c r="AZ519" i="275"/>
  <c r="AY519" i="275"/>
  <c r="BA610" i="275"/>
  <c r="BB610" i="275"/>
  <c r="AY39" i="259"/>
  <c r="AY39" i="275" s="1"/>
  <c r="AY638" i="275"/>
  <c r="AY639" i="275"/>
  <c r="AY674" i="259"/>
  <c r="AY665" i="275"/>
  <c r="AZ665" i="275"/>
  <c r="AW688" i="275"/>
  <c r="AX674" i="259"/>
  <c r="AX694" i="275"/>
  <c r="AW704" i="259"/>
  <c r="AW704" i="275" s="1"/>
  <c r="AW702" i="275"/>
  <c r="AU743" i="259"/>
  <c r="AY742" i="275"/>
  <c r="BE741" i="275"/>
  <c r="BD741" i="275"/>
  <c r="AV776" i="275"/>
  <c r="AV775" i="275"/>
  <c r="AV774" i="275"/>
  <c r="AV772" i="275"/>
  <c r="AX54" i="262"/>
  <c r="AX835" i="275"/>
  <c r="AX178" i="262"/>
  <c r="AW55" i="262"/>
  <c r="AW836" i="275"/>
  <c r="AW179" i="262"/>
  <c r="AY1130" i="259"/>
  <c r="AY841" i="275"/>
  <c r="AX167" i="262"/>
  <c r="AX842" i="275"/>
  <c r="AV844" i="275"/>
  <c r="AY846" i="275"/>
  <c r="AX851" i="275"/>
  <c r="AW852" i="275"/>
  <c r="AV853" i="275"/>
  <c r="AV172" i="262"/>
  <c r="AV859" i="275"/>
  <c r="AV903" i="275"/>
  <c r="AZ936" i="275"/>
  <c r="AY936" i="275"/>
  <c r="AV942" i="275"/>
  <c r="AZ943" i="275"/>
  <c r="AY943" i="275"/>
  <c r="BB995" i="275"/>
  <c r="BA995" i="275"/>
  <c r="AY435" i="275"/>
  <c r="AV438" i="259"/>
  <c r="AV438" i="275" s="1"/>
  <c r="AV436" i="275"/>
  <c r="AW439" i="275"/>
  <c r="AV183" i="262"/>
  <c r="AV457" i="275"/>
  <c r="AW244" i="262"/>
  <c r="AW324" i="261"/>
  <c r="V196" i="259"/>
  <c r="V197" i="259" s="1"/>
  <c r="V108" i="261" s="1"/>
  <c r="Z174" i="275"/>
  <c r="V174" i="275"/>
  <c r="R178" i="259"/>
  <c r="R181" i="259" s="1"/>
  <c r="R174" i="275"/>
  <c r="W1069" i="259"/>
  <c r="W1073" i="259" s="1"/>
  <c r="W41" i="275"/>
  <c r="Z39" i="275"/>
  <c r="V39" i="275"/>
  <c r="Z18" i="275"/>
  <c r="V18" i="275"/>
  <c r="H801" i="275"/>
  <c r="BA1005" i="275"/>
  <c r="BA1004" i="275"/>
  <c r="BA1003" i="275"/>
  <c r="BA1002" i="275"/>
  <c r="V506" i="259"/>
  <c r="Z505" i="275"/>
  <c r="V505" i="275"/>
  <c r="R506" i="259"/>
  <c r="R1547" i="259" s="1"/>
  <c r="R75" i="259" s="1"/>
  <c r="R505" i="275"/>
  <c r="N506" i="259"/>
  <c r="N505" i="275"/>
  <c r="J506" i="259"/>
  <c r="J505" i="275"/>
  <c r="Z764" i="275"/>
  <c r="V764" i="275"/>
  <c r="H777" i="275"/>
  <c r="X64" i="275"/>
  <c r="X144" i="262"/>
  <c r="X39" i="275"/>
  <c r="X120" i="275"/>
  <c r="X37" i="259"/>
  <c r="X113" i="275"/>
  <c r="X430" i="259"/>
  <c r="X174" i="275"/>
  <c r="X298" i="275"/>
  <c r="X340" i="259"/>
  <c r="X336" i="275"/>
  <c r="X379" i="275"/>
  <c r="X1508" i="259"/>
  <c r="X115" i="261" s="1"/>
  <c r="X355" i="275"/>
  <c r="X443" i="275"/>
  <c r="X455" i="275"/>
  <c r="X488" i="275"/>
  <c r="X590" i="275"/>
  <c r="X526" i="275"/>
  <c r="X619" i="275"/>
  <c r="X598" i="275"/>
  <c r="X666" i="259"/>
  <c r="X667" i="275"/>
  <c r="X690" i="275"/>
  <c r="Y233" i="261"/>
  <c r="X795" i="275"/>
  <c r="X868" i="275"/>
  <c r="X878" i="275"/>
  <c r="X900" i="275"/>
  <c r="X891" i="275"/>
  <c r="X919" i="275"/>
  <c r="X910" i="275"/>
  <c r="X993" i="275"/>
  <c r="X1042" i="275"/>
  <c r="X1022" i="275"/>
  <c r="Z31" i="275"/>
  <c r="V31" i="275"/>
  <c r="BE641" i="275"/>
  <c r="BD641" i="275"/>
  <c r="BE1054" i="275"/>
  <c r="BD1054" i="275"/>
  <c r="BE1053" i="275"/>
  <c r="BD1053" i="275"/>
  <c r="BE1051" i="275"/>
  <c r="BD1051" i="275"/>
  <c r="BE657" i="275"/>
  <c r="BD657" i="275"/>
  <c r="BE1052" i="275"/>
  <c r="BD1052" i="275"/>
  <c r="BE308" i="275"/>
  <c r="BD308" i="275"/>
  <c r="BE768" i="275"/>
  <c r="BD768" i="275"/>
  <c r="BE801" i="275"/>
  <c r="BD801" i="275"/>
  <c r="BE488" i="275"/>
  <c r="BD488" i="275"/>
  <c r="BE505" i="275"/>
  <c r="BD505" i="275"/>
  <c r="AA234" i="262"/>
  <c r="BD547" i="275"/>
  <c r="BD200" i="275"/>
  <c r="Z1" i="262"/>
  <c r="Z4" i="262" s="1"/>
  <c r="Z222" i="261"/>
  <c r="Z1544" i="259"/>
  <c r="Z74" i="259" s="1"/>
  <c r="Z1248" i="259"/>
  <c r="Z126" i="261" s="1"/>
  <c r="Z1254" i="259"/>
  <c r="Z132" i="261" s="1"/>
  <c r="Z1260" i="259"/>
  <c r="Z138" i="261" s="1"/>
  <c r="Z1265" i="259"/>
  <c r="Z1273" i="259"/>
  <c r="Z1088" i="259"/>
  <c r="Z673" i="259"/>
  <c r="Z730" i="259"/>
  <c r="Z1259" i="259"/>
  <c r="Z137" i="261" s="1"/>
  <c r="Z1264" i="259"/>
  <c r="Z735" i="259"/>
  <c r="Z27" i="261"/>
  <c r="Z152" i="261"/>
  <c r="Z164" i="261"/>
  <c r="Z1541" i="259"/>
  <c r="Z1546" i="259"/>
  <c r="Z1249" i="259"/>
  <c r="Z1255" i="259"/>
  <c r="Z133" i="261" s="1"/>
  <c r="Z1262" i="259"/>
  <c r="Z1266" i="259"/>
  <c r="Z1063" i="259"/>
  <c r="Z674" i="259"/>
  <c r="Z731" i="259"/>
  <c r="Z743" i="259"/>
  <c r="Z462" i="259"/>
  <c r="Z1543" i="259"/>
  <c r="Z1253" i="259"/>
  <c r="Z131" i="261" s="1"/>
  <c r="Z447" i="259"/>
  <c r="Z1083" i="259" s="1"/>
  <c r="Z1542" i="259"/>
  <c r="Z1547" i="259"/>
  <c r="Z75" i="259" s="1"/>
  <c r="Z1250" i="259"/>
  <c r="Z128" i="261" s="1"/>
  <c r="Z1258" i="259"/>
  <c r="Z136" i="261" s="1"/>
  <c r="Z1269" i="259"/>
  <c r="Z216" i="261" s="1"/>
  <c r="Z1064" i="259"/>
  <c r="Z1087" i="259" s="1"/>
  <c r="Z733" i="259"/>
  <c r="Z397" i="259"/>
  <c r="Z31" i="261" s="1"/>
  <c r="Z261" i="259"/>
  <c r="Z22" i="261" s="1"/>
  <c r="Z211" i="259"/>
  <c r="Z1247" i="259"/>
  <c r="Z125" i="261" s="1"/>
  <c r="Z1065" i="259"/>
  <c r="Z729" i="259"/>
  <c r="Z671" i="259"/>
  <c r="Z514" i="259"/>
  <c r="Z197" i="259"/>
  <c r="Z108" i="261" s="1"/>
  <c r="Z1078" i="259"/>
  <c r="Z285" i="261" s="1"/>
  <c r="Z1076" i="259"/>
  <c r="Z283" i="261" s="1"/>
  <c r="Z1077" i="259"/>
  <c r="Z284" i="261" s="1"/>
  <c r="Z672" i="259"/>
  <c r="Z732" i="259"/>
  <c r="BD557" i="275"/>
  <c r="V1171" i="259"/>
  <c r="V1006" i="275"/>
  <c r="AZ1005" i="275"/>
  <c r="AY1005" i="275"/>
  <c r="AY1004" i="275"/>
  <c r="AZ1004" i="275"/>
  <c r="AZ1003" i="275"/>
  <c r="AY1003" i="275"/>
  <c r="AY1002" i="275"/>
  <c r="AZ1002" i="275"/>
  <c r="W1171" i="259"/>
  <c r="W1006" i="275"/>
  <c r="X1171" i="259"/>
  <c r="X1006" i="275"/>
  <c r="X1054" i="275"/>
  <c r="X1053" i="275"/>
  <c r="X1051" i="275"/>
  <c r="X607" i="275"/>
  <c r="Y151" i="261"/>
  <c r="W1054" i="275"/>
  <c r="W1053" i="275"/>
  <c r="W1051" i="275"/>
  <c r="W182" i="262"/>
  <c r="W607" i="275"/>
  <c r="AZ606" i="275"/>
  <c r="AY606" i="275"/>
  <c r="AZ1053" i="275"/>
  <c r="AZ605" i="275"/>
  <c r="AY605" i="275"/>
  <c r="AZ1051" i="275"/>
  <c r="AY603" i="275"/>
  <c r="AZ603" i="275"/>
  <c r="AD1053" i="275"/>
  <c r="AD1052" i="275"/>
  <c r="AD1051" i="275"/>
  <c r="AD1054" i="275"/>
  <c r="BA18" i="275"/>
  <c r="AZ18" i="275"/>
  <c r="AZ19" i="275"/>
  <c r="BA19" i="275"/>
  <c r="Z110" i="262"/>
  <c r="AD802" i="275"/>
  <c r="AB40" i="262"/>
  <c r="BB40" i="262"/>
  <c r="BD478" i="275"/>
  <c r="AC794" i="259"/>
  <c r="AG794" i="275" s="1"/>
  <c r="AC11" i="275"/>
  <c r="AA42" i="262"/>
  <c r="AZ903" i="259"/>
  <c r="AE478" i="275"/>
  <c r="AE40" i="262"/>
  <c r="AA40" i="262"/>
  <c r="Z234" i="262"/>
  <c r="BC478" i="275"/>
  <c r="BC40" i="262"/>
  <c r="AF794" i="275"/>
  <c r="AE799" i="259"/>
  <c r="AI799" i="275" s="1"/>
  <c r="AE16" i="275"/>
  <c r="AB64" i="262"/>
  <c r="AE243" i="259"/>
  <c r="AB66" i="262"/>
  <c r="Z42" i="262"/>
  <c r="AB65" i="262"/>
  <c r="AB42" i="262"/>
  <c r="AD478" i="275"/>
  <c r="AD40" i="262"/>
  <c r="Z40" i="262"/>
  <c r="AE794" i="259"/>
  <c r="AI794" i="275" s="1"/>
  <c r="AE11" i="275"/>
  <c r="AD799" i="259"/>
  <c r="AH799" i="275" s="1"/>
  <c r="AD16" i="275"/>
  <c r="AB41" i="262"/>
  <c r="AC478" i="275"/>
  <c r="AC40" i="262"/>
  <c r="AC799" i="259"/>
  <c r="AG799" i="275" s="1"/>
  <c r="AC16" i="275"/>
  <c r="AB69" i="262"/>
  <c r="W559" i="259"/>
  <c r="W21" i="262" s="1"/>
  <c r="W557" i="275"/>
  <c r="S559" i="259"/>
  <c r="S190" i="261" s="1"/>
  <c r="S557" i="275"/>
  <c r="O559" i="259"/>
  <c r="O21" i="262" s="1"/>
  <c r="O557" i="275"/>
  <c r="K559" i="259"/>
  <c r="K21" i="262" s="1"/>
  <c r="K557" i="275"/>
  <c r="V539" i="259"/>
  <c r="Z539" i="275" s="1"/>
  <c r="V537" i="275"/>
  <c r="R539" i="259"/>
  <c r="R537" i="275"/>
  <c r="N539" i="259"/>
  <c r="N19" i="262" s="1"/>
  <c r="N537" i="275"/>
  <c r="J539" i="259"/>
  <c r="J537" i="275"/>
  <c r="U549" i="259"/>
  <c r="U189" i="261" s="1"/>
  <c r="U547" i="275"/>
  <c r="Y547" i="275"/>
  <c r="Q549" i="259"/>
  <c r="Q20" i="262" s="1"/>
  <c r="Q547" i="275"/>
  <c r="M549" i="259"/>
  <c r="M20" i="262" s="1"/>
  <c r="M547" i="275"/>
  <c r="I549" i="259"/>
  <c r="I189" i="261" s="1"/>
  <c r="I547" i="275"/>
  <c r="BC537" i="275"/>
  <c r="K201" i="259"/>
  <c r="K200" i="275"/>
  <c r="O201" i="259"/>
  <c r="O200" i="275"/>
  <c r="S200" i="275"/>
  <c r="W201" i="259"/>
  <c r="W200" i="275"/>
  <c r="BC200" i="275"/>
  <c r="X201" i="259"/>
  <c r="X200" i="275"/>
  <c r="V559" i="259"/>
  <c r="V21" i="262" s="1"/>
  <c r="V557" i="275"/>
  <c r="R559" i="259"/>
  <c r="R21" i="262" s="1"/>
  <c r="R557" i="275"/>
  <c r="J559" i="259"/>
  <c r="J21" i="262" s="1"/>
  <c r="J557" i="275"/>
  <c r="U539" i="259"/>
  <c r="U537" i="275"/>
  <c r="Y537" i="275"/>
  <c r="Q539" i="259"/>
  <c r="Q188" i="261" s="1"/>
  <c r="Q537" i="275"/>
  <c r="M539" i="259"/>
  <c r="M188" i="261" s="1"/>
  <c r="M537" i="275"/>
  <c r="I539" i="259"/>
  <c r="I188" i="261" s="1"/>
  <c r="I537" i="275"/>
  <c r="T549" i="259"/>
  <c r="T189" i="261" s="1"/>
  <c r="T547" i="275"/>
  <c r="P549" i="259"/>
  <c r="P189" i="261" s="1"/>
  <c r="P547" i="275"/>
  <c r="L549" i="259"/>
  <c r="L189" i="261" s="1"/>
  <c r="L547" i="275"/>
  <c r="H549" i="259"/>
  <c r="H189" i="261" s="1"/>
  <c r="H547" i="275"/>
  <c r="H201" i="259"/>
  <c r="H200" i="275"/>
  <c r="L201" i="259"/>
  <c r="L200" i="275"/>
  <c r="P201" i="259"/>
  <c r="P200" i="275"/>
  <c r="T201" i="259"/>
  <c r="T200" i="275"/>
  <c r="AD200" i="275"/>
  <c r="X559" i="259"/>
  <c r="X21" i="262" s="1"/>
  <c r="X557" i="275"/>
  <c r="X539" i="259"/>
  <c r="X537" i="275"/>
  <c r="U559" i="259"/>
  <c r="U21" i="262" s="1"/>
  <c r="U557" i="275"/>
  <c r="Y557" i="275"/>
  <c r="Q559" i="259"/>
  <c r="Q190" i="261" s="1"/>
  <c r="Q557" i="275"/>
  <c r="M559" i="259"/>
  <c r="M557" i="275"/>
  <c r="I559" i="259"/>
  <c r="I190" i="261" s="1"/>
  <c r="I557" i="275"/>
  <c r="P539" i="259"/>
  <c r="P537" i="275"/>
  <c r="L539" i="259"/>
  <c r="L19" i="262" s="1"/>
  <c r="L537" i="275"/>
  <c r="H539" i="259"/>
  <c r="H537" i="275"/>
  <c r="W549" i="259"/>
  <c r="W20" i="262" s="1"/>
  <c r="W547" i="275"/>
  <c r="S549" i="259"/>
  <c r="S189" i="261" s="1"/>
  <c r="S547" i="275"/>
  <c r="O549" i="259"/>
  <c r="O189" i="261" s="1"/>
  <c r="O547" i="275"/>
  <c r="K549" i="259"/>
  <c r="K20" i="262" s="1"/>
  <c r="K547" i="275"/>
  <c r="I201" i="259"/>
  <c r="I200" i="275"/>
  <c r="M201" i="259"/>
  <c r="M200" i="275"/>
  <c r="Q201" i="259"/>
  <c r="Q200" i="275"/>
  <c r="U200" i="275"/>
  <c r="Y200" i="275"/>
  <c r="AE200" i="275"/>
  <c r="T559" i="259"/>
  <c r="T21" i="262" s="1"/>
  <c r="T557" i="275"/>
  <c r="P559" i="259"/>
  <c r="P190" i="261" s="1"/>
  <c r="P557" i="275"/>
  <c r="L559" i="259"/>
  <c r="L190" i="261" s="1"/>
  <c r="L557" i="275"/>
  <c r="H559" i="259"/>
  <c r="H190" i="261" s="1"/>
  <c r="H557" i="275"/>
  <c r="W539" i="259"/>
  <c r="AA539" i="275" s="1"/>
  <c r="W537" i="275"/>
  <c r="S539" i="259"/>
  <c r="S19" i="262" s="1"/>
  <c r="S537" i="275"/>
  <c r="O539" i="259"/>
  <c r="O188" i="261" s="1"/>
  <c r="O537" i="275"/>
  <c r="K539" i="259"/>
  <c r="K19" i="262" s="1"/>
  <c r="K537" i="275"/>
  <c r="V549" i="259"/>
  <c r="V20" i="262" s="1"/>
  <c r="V547" i="275"/>
  <c r="R549" i="259"/>
  <c r="R20" i="262" s="1"/>
  <c r="R547" i="275"/>
  <c r="N549" i="259"/>
  <c r="N189" i="261" s="1"/>
  <c r="N547" i="275"/>
  <c r="J549" i="259"/>
  <c r="J20" i="262" s="1"/>
  <c r="J547" i="275"/>
  <c r="BD537" i="275"/>
  <c r="BC547" i="275"/>
  <c r="J201" i="259"/>
  <c r="J200" i="275"/>
  <c r="N200" i="275"/>
  <c r="R201" i="259"/>
  <c r="R200" i="275"/>
  <c r="X549" i="259"/>
  <c r="X189" i="261" s="1"/>
  <c r="X547" i="275"/>
  <c r="Z1610" i="259"/>
  <c r="Z1603" i="259" s="1"/>
  <c r="G38" i="273"/>
  <c r="F38" i="273"/>
  <c r="Z1611" i="259"/>
  <c r="Z1604" i="259" s="1"/>
  <c r="Y1" i="262"/>
  <c r="Y4" i="262" s="1"/>
  <c r="Y1543" i="259"/>
  <c r="Y1250" i="259"/>
  <c r="Y128" i="261" s="1"/>
  <c r="Y1258" i="259"/>
  <c r="Y136" i="261" s="1"/>
  <c r="Y1264" i="259"/>
  <c r="Y1063" i="259"/>
  <c r="Y1077" i="259"/>
  <c r="Y284" i="261" s="1"/>
  <c r="Y729" i="259"/>
  <c r="Y735" i="259"/>
  <c r="Y27" i="261"/>
  <c r="Y1260" i="259"/>
  <c r="Y138" i="261" s="1"/>
  <c r="Y731" i="259"/>
  <c r="Y152" i="261"/>
  <c r="Y164" i="261"/>
  <c r="Y222" i="261"/>
  <c r="Y1544" i="259"/>
  <c r="Y74" i="259" s="1"/>
  <c r="Y1247" i="259"/>
  <c r="Y125" i="261" s="1"/>
  <c r="Y1253" i="259"/>
  <c r="Y131" i="261" s="1"/>
  <c r="Y1259" i="259"/>
  <c r="Y137" i="261" s="1"/>
  <c r="Y1265" i="259"/>
  <c r="Y1273" i="259"/>
  <c r="Y1064" i="259"/>
  <c r="Y1087" i="259" s="1"/>
  <c r="Y730" i="259"/>
  <c r="Y1541" i="259"/>
  <c r="Y1254" i="259"/>
  <c r="Y132" i="261" s="1"/>
  <c r="Y1065" i="259"/>
  <c r="Y1088" i="259"/>
  <c r="Y673" i="259"/>
  <c r="Y1542" i="259"/>
  <c r="Y1547" i="259"/>
  <c r="Y75" i="259" s="1"/>
  <c r="Y1249" i="259"/>
  <c r="Y1684" i="259" s="1"/>
  <c r="Y1255" i="259"/>
  <c r="Y133" i="261" s="1"/>
  <c r="Y1262" i="259"/>
  <c r="Y1269" i="259"/>
  <c r="Y674" i="259"/>
  <c r="Y733" i="259"/>
  <c r="Y1546" i="259"/>
  <c r="Y1248" i="259"/>
  <c r="Y126" i="261" s="1"/>
  <c r="Y1266" i="259"/>
  <c r="Y743" i="259"/>
  <c r="Y462" i="259"/>
  <c r="Y1076" i="259"/>
  <c r="Y283" i="261" s="1"/>
  <c r="Y261" i="259"/>
  <c r="Y22" i="261" s="1"/>
  <c r="Y397" i="259"/>
  <c r="Y31" i="261" s="1"/>
  <c r="Y447" i="259"/>
  <c r="Y1083" i="259" s="1"/>
  <c r="Y514" i="259"/>
  <c r="Y671" i="259"/>
  <c r="Y1078" i="259"/>
  <c r="Y285" i="261" s="1"/>
  <c r="Y211" i="259"/>
  <c r="Y732" i="259"/>
  <c r="Y197" i="259"/>
  <c r="Y108" i="261" s="1"/>
  <c r="Y672" i="259"/>
  <c r="H76" i="262"/>
  <c r="L76" i="262"/>
  <c r="P76" i="262"/>
  <c r="T76" i="262"/>
  <c r="H75" i="262"/>
  <c r="H71" i="262"/>
  <c r="I76" i="262"/>
  <c r="M76" i="262"/>
  <c r="Q76" i="262"/>
  <c r="U76" i="262"/>
  <c r="X76" i="262"/>
  <c r="J76" i="262"/>
  <c r="N76" i="262"/>
  <c r="R76" i="262"/>
  <c r="V76" i="262"/>
  <c r="K76" i="262"/>
  <c r="O76" i="262"/>
  <c r="S76" i="262"/>
  <c r="W76" i="262"/>
  <c r="F272" i="262"/>
  <c r="T272" i="262"/>
  <c r="Q731" i="259"/>
  <c r="D1265" i="259"/>
  <c r="D1686" i="259" s="1"/>
  <c r="P1543" i="259"/>
  <c r="L1541" i="259"/>
  <c r="P1159" i="259"/>
  <c r="AU893" i="259"/>
  <c r="AW1394" i="259"/>
  <c r="Q753" i="259"/>
  <c r="AV1247" i="259"/>
  <c r="AV125" i="261" s="1"/>
  <c r="AX1225" i="259"/>
  <c r="K1038" i="259"/>
  <c r="K1038" i="275" s="1"/>
  <c r="W258" i="261"/>
  <c r="O1511" i="259"/>
  <c r="O244" i="261" s="1"/>
  <c r="R691" i="259"/>
  <c r="E839" i="259"/>
  <c r="E845" i="259" s="1"/>
  <c r="T230" i="262"/>
  <c r="V691" i="259"/>
  <c r="V732" i="259" s="1"/>
  <c r="P1180" i="259"/>
  <c r="F85" i="259"/>
  <c r="F87" i="259" s="1"/>
  <c r="R140" i="259"/>
  <c r="R140" i="275" s="1"/>
  <c r="U591" i="259"/>
  <c r="V1508" i="259"/>
  <c r="V115" i="261" s="1"/>
  <c r="L552" i="259"/>
  <c r="L194" i="261" s="1"/>
  <c r="R624" i="259"/>
  <c r="N1312" i="259"/>
  <c r="N176" i="262" s="1"/>
  <c r="E188" i="262"/>
  <c r="T188" i="262"/>
  <c r="P188" i="262"/>
  <c r="L188" i="262"/>
  <c r="H188" i="262"/>
  <c r="V1185" i="259"/>
  <c r="V142" i="261" s="1"/>
  <c r="R1185" i="259"/>
  <c r="R142" i="261" s="1"/>
  <c r="V1202" i="259"/>
  <c r="V143" i="261" s="1"/>
  <c r="R1202" i="259"/>
  <c r="R143" i="261" s="1"/>
  <c r="N1202" i="259"/>
  <c r="N143" i="261" s="1"/>
  <c r="J1202" i="259"/>
  <c r="J143" i="261" s="1"/>
  <c r="F1202" i="259"/>
  <c r="F143" i="261" s="1"/>
  <c r="V1215" i="259"/>
  <c r="V144" i="261" s="1"/>
  <c r="R1215" i="259"/>
  <c r="R144" i="261" s="1"/>
  <c r="N1215" i="259"/>
  <c r="N144" i="261" s="1"/>
  <c r="J1215" i="259"/>
  <c r="J144" i="261" s="1"/>
  <c r="F1215" i="259"/>
  <c r="F144" i="261" s="1"/>
  <c r="V1232" i="259"/>
  <c r="V219" i="261" s="1"/>
  <c r="R1232" i="259"/>
  <c r="R219" i="261" s="1"/>
  <c r="N1232" i="259"/>
  <c r="N219" i="261" s="1"/>
  <c r="J1232" i="259"/>
  <c r="J219" i="261" s="1"/>
  <c r="F1232" i="259"/>
  <c r="F219" i="261" s="1"/>
  <c r="V1237" i="259"/>
  <c r="V253" i="261" s="1"/>
  <c r="N1237" i="259"/>
  <c r="N253" i="261" s="1"/>
  <c r="J1237" i="259"/>
  <c r="J253" i="261" s="1"/>
  <c r="F1237" i="259"/>
  <c r="F253" i="261" s="1"/>
  <c r="AY768" i="259"/>
  <c r="AZ768" i="275" s="1"/>
  <c r="AV768" i="259"/>
  <c r="AV768" i="275" s="1"/>
  <c r="AY488" i="259"/>
  <c r="AW488" i="259"/>
  <c r="AY663" i="259"/>
  <c r="AX663" i="259"/>
  <c r="AX663" i="275" s="1"/>
  <c r="BA768" i="259"/>
  <c r="BB768" i="275" s="1"/>
  <c r="AY1506" i="259"/>
  <c r="AY113" i="261" s="1"/>
  <c r="AY1201" i="259"/>
  <c r="AW1214" i="259"/>
  <c r="AY1236" i="259"/>
  <c r="AY148" i="262" s="1"/>
  <c r="AV74" i="261"/>
  <c r="AU1254" i="259"/>
  <c r="AU132" i="261" s="1"/>
  <c r="AY414" i="259"/>
  <c r="AY414" i="275" s="1"/>
  <c r="AU414" i="259"/>
  <c r="AV414" i="275" s="1"/>
  <c r="AV1389" i="259"/>
  <c r="AW1225" i="259"/>
  <c r="AW1262" i="259" s="1"/>
  <c r="V363" i="259"/>
  <c r="F562" i="259"/>
  <c r="J1038" i="259"/>
  <c r="T1338" i="259"/>
  <c r="T316" i="261" s="1"/>
  <c r="I886" i="259"/>
  <c r="W262" i="261"/>
  <c r="AU168" i="262"/>
  <c r="AY168" i="262"/>
  <c r="V902" i="259"/>
  <c r="M363" i="259"/>
  <c r="J139" i="259"/>
  <c r="L140" i="259"/>
  <c r="F543" i="259"/>
  <c r="F198" i="261" s="1"/>
  <c r="E642" i="259"/>
  <c r="E646" i="259" s="1"/>
  <c r="E652" i="259" s="1"/>
  <c r="E70" i="259" s="1"/>
  <c r="N902" i="259"/>
  <c r="AU1632" i="259"/>
  <c r="AU291" i="262" s="1"/>
  <c r="AU1225" i="259"/>
  <c r="AU1262" i="259" s="1"/>
  <c r="AY1225" i="259"/>
  <c r="AY1262" i="259" s="1"/>
  <c r="AY105" i="261"/>
  <c r="J159" i="259"/>
  <c r="R139" i="259"/>
  <c r="T1507" i="259"/>
  <c r="T114" i="261" s="1"/>
  <c r="K418" i="259"/>
  <c r="AV1632" i="259"/>
  <c r="AV291" i="262" s="1"/>
  <c r="AU674" i="259"/>
  <c r="K948" i="259"/>
  <c r="N839" i="259"/>
  <c r="W105" i="261"/>
  <c r="I363" i="259"/>
  <c r="I364" i="259" s="1"/>
  <c r="R1506" i="259"/>
  <c r="R113" i="261" s="1"/>
  <c r="P62" i="259"/>
  <c r="P65" i="259" s="1"/>
  <c r="J1338" i="259"/>
  <c r="J316" i="261" s="1"/>
  <c r="M889" i="259"/>
  <c r="M1065" i="259" s="1"/>
  <c r="L1023" i="259"/>
  <c r="R1144" i="259"/>
  <c r="D1129" i="259"/>
  <c r="W188" i="262"/>
  <c r="S188" i="262"/>
  <c r="O188" i="262"/>
  <c r="K188" i="262"/>
  <c r="G188" i="262"/>
  <c r="Q1202" i="259"/>
  <c r="Q143" i="261" s="1"/>
  <c r="M1202" i="259"/>
  <c r="M143" i="261" s="1"/>
  <c r="I1202" i="259"/>
  <c r="I143" i="261" s="1"/>
  <c r="U1215" i="259"/>
  <c r="U144" i="261" s="1"/>
  <c r="Q1215" i="259"/>
  <c r="Q144" i="261" s="1"/>
  <c r="M1215" i="259"/>
  <c r="M144" i="261" s="1"/>
  <c r="I1215" i="259"/>
  <c r="I144" i="261" s="1"/>
  <c r="I1232" i="259"/>
  <c r="I219" i="261" s="1"/>
  <c r="U1237" i="259"/>
  <c r="U253" i="261" s="1"/>
  <c r="M1237" i="259"/>
  <c r="M253" i="261" s="1"/>
  <c r="I1237" i="259"/>
  <c r="I253" i="261" s="1"/>
  <c r="E1237" i="259"/>
  <c r="E253" i="261" s="1"/>
  <c r="V570" i="259"/>
  <c r="V207" i="261" s="1"/>
  <c r="V1612" i="259"/>
  <c r="V1605" i="259" s="1"/>
  <c r="N570" i="259"/>
  <c r="N207" i="261" s="1"/>
  <c r="N1612" i="259"/>
  <c r="N1605" i="259" s="1"/>
  <c r="J570" i="259"/>
  <c r="J207" i="261" s="1"/>
  <c r="J1612" i="259"/>
  <c r="J1605" i="259" s="1"/>
  <c r="F476" i="259"/>
  <c r="F479" i="259" s="1"/>
  <c r="F1612" i="259"/>
  <c r="F1605" i="259" s="1"/>
  <c r="AU34" i="262"/>
  <c r="AU1610" i="259"/>
  <c r="AY1632" i="259"/>
  <c r="AY291" i="262" s="1"/>
  <c r="AX1658" i="259"/>
  <c r="Q570" i="259"/>
  <c r="Q207" i="261" s="1"/>
  <c r="Q1612" i="259"/>
  <c r="Q1605" i="259" s="1"/>
  <c r="I570" i="259"/>
  <c r="I207" i="261" s="1"/>
  <c r="I1612" i="259"/>
  <c r="I1605" i="259" s="1"/>
  <c r="E476" i="259"/>
  <c r="E479" i="259" s="1"/>
  <c r="E1612" i="259"/>
  <c r="E1605" i="259" s="1"/>
  <c r="AV34" i="262"/>
  <c r="AV1610" i="259"/>
  <c r="AY1658" i="259"/>
  <c r="K1383" i="259"/>
  <c r="K1407" i="259" s="1"/>
  <c r="K222" i="262" s="1"/>
  <c r="D476" i="259"/>
  <c r="D479" i="259" s="1"/>
  <c r="D487" i="259" s="1"/>
  <c r="D1612" i="259"/>
  <c r="D1605" i="259" s="1"/>
  <c r="T570" i="259"/>
  <c r="T207" i="261" s="1"/>
  <c r="T1612" i="259"/>
  <c r="T1605" i="259" s="1"/>
  <c r="P570" i="259"/>
  <c r="P207" i="261" s="1"/>
  <c r="P1612" i="259"/>
  <c r="P1605" i="259" s="1"/>
  <c r="L570" i="259"/>
  <c r="L207" i="261" s="1"/>
  <c r="L1612" i="259"/>
  <c r="L1605" i="259" s="1"/>
  <c r="H476" i="259"/>
  <c r="H1612" i="259"/>
  <c r="H1605" i="259" s="1"/>
  <c r="J624" i="259"/>
  <c r="AU591" i="259"/>
  <c r="AV277" i="259"/>
  <c r="AV277" i="275" s="1"/>
  <c r="AW298" i="259"/>
  <c r="AW355" i="259"/>
  <c r="AW355" i="275" s="1"/>
  <c r="AU532" i="259"/>
  <c r="AV532" i="275" s="1"/>
  <c r="AX579" i="259"/>
  <c r="AW589" i="259"/>
  <c r="AX1017" i="259"/>
  <c r="AX1017" i="275" s="1"/>
  <c r="AU1017" i="259"/>
  <c r="AX1021" i="259"/>
  <c r="AW1021" i="259"/>
  <c r="AW1021" i="275" s="1"/>
  <c r="AY1022" i="259"/>
  <c r="AX1022" i="259"/>
  <c r="AY1026" i="259"/>
  <c r="AX1026" i="259"/>
  <c r="AX1026" i="275" s="1"/>
  <c r="AY1027" i="259"/>
  <c r="AV1027" i="259"/>
  <c r="AW1027" i="275" s="1"/>
  <c r="AU1027" i="259"/>
  <c r="AY1042" i="259"/>
  <c r="AV1042" i="259"/>
  <c r="AV1042" i="275" s="1"/>
  <c r="AU1042" i="259"/>
  <c r="AV1051" i="259"/>
  <c r="AW1051" i="259"/>
  <c r="AY1054" i="259"/>
  <c r="AV1054" i="259"/>
  <c r="AV1054" i="275" s="1"/>
  <c r="AW1053" i="259"/>
  <c r="AW1053" i="275" s="1"/>
  <c r="AX1052" i="259"/>
  <c r="AX1052" i="275" s="1"/>
  <c r="AV82" i="261"/>
  <c r="P381" i="259"/>
  <c r="K570" i="259"/>
  <c r="K207" i="261" s="1"/>
  <c r="K1612" i="259"/>
  <c r="K1605" i="259" s="1"/>
  <c r="W233" i="261"/>
  <c r="T1159" i="259"/>
  <c r="H1159" i="259"/>
  <c r="P1144" i="259"/>
  <c r="L1144" i="259"/>
  <c r="AU29" i="262"/>
  <c r="AU1611" i="259"/>
  <c r="AX1632" i="259"/>
  <c r="AX291" i="262" s="1"/>
  <c r="AX1657" i="259"/>
  <c r="AW1658" i="259"/>
  <c r="AZ1604" i="259"/>
  <c r="AB34" i="262"/>
  <c r="AV1226" i="259"/>
  <c r="AV1227" i="259" s="1"/>
  <c r="I922" i="259"/>
  <c r="I189" i="262" s="1"/>
  <c r="O922" i="259"/>
  <c r="O191" i="262" s="1"/>
  <c r="H92" i="261"/>
  <c r="H1129" i="259"/>
  <c r="AW485" i="259"/>
  <c r="AW485" i="275" s="1"/>
  <c r="AU485" i="259"/>
  <c r="AV485" i="275" s="1"/>
  <c r="AW520" i="259"/>
  <c r="AX520" i="275" s="1"/>
  <c r="AV520" i="259"/>
  <c r="AV520" i="275" s="1"/>
  <c r="AV614" i="259"/>
  <c r="AV614" i="275" s="1"/>
  <c r="AW1226" i="259"/>
  <c r="AW1227" i="259" s="1"/>
  <c r="AW1265" i="259" s="1"/>
  <c r="AX1226" i="259"/>
  <c r="AX1227" i="259" s="1"/>
  <c r="T1073" i="259"/>
  <c r="AY1073" i="259" s="1"/>
  <c r="AU1226" i="259"/>
  <c r="AU1227" i="259" s="1"/>
  <c r="AU1265" i="259" s="1"/>
  <c r="AY1226" i="259"/>
  <c r="AY1227" i="259" s="1"/>
  <c r="G1419" i="259"/>
  <c r="G1420" i="259" s="1"/>
  <c r="G332" i="261" s="1"/>
  <c r="G591" i="259"/>
  <c r="AK44" i="264"/>
  <c r="AM44" i="264" s="1"/>
  <c r="AK8" i="264"/>
  <c r="AM8" i="264" s="1"/>
  <c r="X1023" i="259"/>
  <c r="X78" i="261"/>
  <c r="O105" i="261"/>
  <c r="G105" i="261"/>
  <c r="N769" i="259"/>
  <c r="N1497" i="259" s="1"/>
  <c r="N163" i="262" s="1"/>
  <c r="L562" i="259"/>
  <c r="L195" i="261" s="1"/>
  <c r="R1414" i="259"/>
  <c r="N1506" i="259"/>
  <c r="N113" i="261" s="1"/>
  <c r="F1506" i="259"/>
  <c r="F113" i="261" s="1"/>
  <c r="N139" i="259"/>
  <c r="T140" i="259"/>
  <c r="L1507" i="259"/>
  <c r="L114" i="261" s="1"/>
  <c r="P285" i="259"/>
  <c r="P285" i="275" s="1"/>
  <c r="Q230" i="262"/>
  <c r="U642" i="259"/>
  <c r="F64" i="264"/>
  <c r="H64" i="264" s="1"/>
  <c r="F1338" i="259"/>
  <c r="F316" i="261" s="1"/>
  <c r="V1320" i="259"/>
  <c r="V246" i="262" s="1"/>
  <c r="E1511" i="259"/>
  <c r="E244" i="261" s="1"/>
  <c r="L1038" i="259"/>
  <c r="L705" i="259"/>
  <c r="L968" i="259"/>
  <c r="Q1423" i="259"/>
  <c r="Q1422" i="259" s="1"/>
  <c r="Q642" i="259"/>
  <c r="T691" i="259"/>
  <c r="T1038" i="259"/>
  <c r="H1038" i="259"/>
  <c r="H1038" i="275" s="1"/>
  <c r="H691" i="259"/>
  <c r="Q268" i="262"/>
  <c r="Q272" i="262" s="1"/>
  <c r="Q1281" i="259"/>
  <c r="Q270" i="262" s="1"/>
  <c r="R1306" i="259"/>
  <c r="R870" i="259"/>
  <c r="R871" i="259" s="1"/>
  <c r="G174" i="262"/>
  <c r="G1306" i="259"/>
  <c r="G1312" i="259" s="1"/>
  <c r="G176" i="262" s="1"/>
  <c r="G1374" i="259"/>
  <c r="G1375" i="259" s="1"/>
  <c r="AU1375" i="259" s="1"/>
  <c r="G1297" i="259"/>
  <c r="H1291" i="259" s="1"/>
  <c r="AV1291" i="259" s="1"/>
  <c r="E185" i="262"/>
  <c r="E889" i="259"/>
  <c r="E1067" i="259" s="1"/>
  <c r="E164" i="262" s="1"/>
  <c r="I185" i="262"/>
  <c r="I889" i="259"/>
  <c r="P952" i="259"/>
  <c r="P902" i="259"/>
  <c r="L902" i="259"/>
  <c r="L952" i="259"/>
  <c r="V182" i="262"/>
  <c r="V1055" i="259"/>
  <c r="R182" i="262"/>
  <c r="R1055" i="259"/>
  <c r="N182" i="262"/>
  <c r="N1055" i="259"/>
  <c r="F182" i="262"/>
  <c r="F1055" i="259"/>
  <c r="D1016" i="259"/>
  <c r="D1031" i="259" s="1"/>
  <c r="D221" i="259"/>
  <c r="D1018" i="259" s="1"/>
  <c r="T68" i="261"/>
  <c r="T1016" i="259"/>
  <c r="T1685" i="259" s="1"/>
  <c r="T221" i="259"/>
  <c r="X221" i="275" s="1"/>
  <c r="P1016" i="259"/>
  <c r="P68" i="261"/>
  <c r="L1016" i="259"/>
  <c r="L68" i="261"/>
  <c r="L221" i="259"/>
  <c r="L1266" i="259" s="1"/>
  <c r="L150" i="262" s="1"/>
  <c r="H1016" i="259"/>
  <c r="H1685" i="259" s="1"/>
  <c r="H68" i="261"/>
  <c r="H221" i="259"/>
  <c r="T968" i="259"/>
  <c r="T234" i="259"/>
  <c r="T1023" i="259"/>
  <c r="T78" i="261"/>
  <c r="P78" i="261"/>
  <c r="P1023" i="259"/>
  <c r="P1023" i="275" s="1"/>
  <c r="H1023" i="259"/>
  <c r="H1023" i="275" s="1"/>
  <c r="H78" i="261"/>
  <c r="D340" i="259"/>
  <c r="D973" i="259"/>
  <c r="L340" i="259"/>
  <c r="L973" i="259"/>
  <c r="E59" i="261"/>
  <c r="D1028" i="259"/>
  <c r="S86" i="261"/>
  <c r="S1028" i="259"/>
  <c r="O86" i="261"/>
  <c r="O1028" i="259"/>
  <c r="O1028" i="275" s="1"/>
  <c r="K86" i="261"/>
  <c r="K59" i="261"/>
  <c r="W418" i="259"/>
  <c r="W978" i="259"/>
  <c r="O418" i="259"/>
  <c r="O978" i="259"/>
  <c r="G418" i="259"/>
  <c r="AU418" i="259" s="1"/>
  <c r="G978" i="259"/>
  <c r="G979" i="259" s="1"/>
  <c r="AU979" i="259" s="1"/>
  <c r="W267" i="262"/>
  <c r="N1185" i="259"/>
  <c r="N142" i="261" s="1"/>
  <c r="N1178" i="259"/>
  <c r="N1239" i="259" s="1"/>
  <c r="N784" i="259" s="1"/>
  <c r="J1185" i="259"/>
  <c r="J142" i="261" s="1"/>
  <c r="J1178" i="259"/>
  <c r="J1239" i="259" s="1"/>
  <c r="J784" i="259" s="1"/>
  <c r="AV784" i="259" s="1"/>
  <c r="W1028" i="259"/>
  <c r="W1028" i="275" s="1"/>
  <c r="W86" i="261"/>
  <c r="O38" i="259"/>
  <c r="O38" i="275" s="1"/>
  <c r="AW510" i="259"/>
  <c r="G38" i="259"/>
  <c r="AU510" i="259"/>
  <c r="AU38" i="259" s="1"/>
  <c r="AA110" i="262"/>
  <c r="AZ802" i="259"/>
  <c r="D242" i="262"/>
  <c r="J1018" i="259"/>
  <c r="H570" i="259"/>
  <c r="H207" i="261" s="1"/>
  <c r="AX1006" i="259"/>
  <c r="S1171" i="259"/>
  <c r="P476" i="259"/>
  <c r="V885" i="259"/>
  <c r="S105" i="261"/>
  <c r="L476" i="259"/>
  <c r="H562" i="259"/>
  <c r="H26" i="262" s="1"/>
  <c r="N552" i="259"/>
  <c r="N194" i="261" s="1"/>
  <c r="E363" i="259"/>
  <c r="E364" i="259" s="1"/>
  <c r="E365" i="259" s="1"/>
  <c r="E121" i="261" s="1"/>
  <c r="U139" i="259"/>
  <c r="I141" i="259"/>
  <c r="I141" i="275" s="1"/>
  <c r="D285" i="259"/>
  <c r="D286" i="259" s="1"/>
  <c r="D287" i="259" s="1"/>
  <c r="D120" i="261" s="1"/>
  <c r="H121" i="259"/>
  <c r="T121" i="259"/>
  <c r="T121" i="275" s="1"/>
  <c r="F139" i="259"/>
  <c r="J1414" i="259"/>
  <c r="H140" i="259"/>
  <c r="P140" i="259"/>
  <c r="G262" i="259"/>
  <c r="G23" i="261" s="1"/>
  <c r="E542" i="259"/>
  <c r="E24" i="262" s="1"/>
  <c r="N885" i="259"/>
  <c r="F902" i="259"/>
  <c r="F905" i="259" s="1"/>
  <c r="F273" i="261" s="1"/>
  <c r="N886" i="259"/>
  <c r="R1374" i="259"/>
  <c r="R1375" i="259" s="1"/>
  <c r="N1338" i="259"/>
  <c r="N316" i="261" s="1"/>
  <c r="N870" i="259"/>
  <c r="N871" i="259" s="1"/>
  <c r="G870" i="259"/>
  <c r="G1352" i="259" s="1"/>
  <c r="AW1006" i="259"/>
  <c r="I1423" i="259"/>
  <c r="I1422" i="259" s="1"/>
  <c r="P221" i="259"/>
  <c r="S418" i="259"/>
  <c r="AV1006" i="259"/>
  <c r="K1171" i="259"/>
  <c r="T476" i="259"/>
  <c r="K105" i="261"/>
  <c r="M141" i="259"/>
  <c r="T542" i="259"/>
  <c r="P542" i="259"/>
  <c r="E1508" i="259"/>
  <c r="E115" i="261" s="1"/>
  <c r="F1414" i="259"/>
  <c r="S181" i="259"/>
  <c r="D363" i="259"/>
  <c r="D364" i="259" s="1"/>
  <c r="H1507" i="259"/>
  <c r="H114" i="261" s="1"/>
  <c r="W839" i="259"/>
  <c r="R1338" i="259"/>
  <c r="R316" i="261" s="1"/>
  <c r="J1392" i="259"/>
  <c r="J213" i="262" s="1"/>
  <c r="AY1006" i="259"/>
  <c r="J1055" i="259"/>
  <c r="H340" i="259"/>
  <c r="AW476" i="259"/>
  <c r="AW567" i="259"/>
  <c r="AW201" i="261" s="1"/>
  <c r="AV1508" i="259"/>
  <c r="AV115" i="261" s="1"/>
  <c r="AW534" i="259"/>
  <c r="AX534" i="275" s="1"/>
  <c r="AV1253" i="259"/>
  <c r="AV131" i="261" s="1"/>
  <c r="H1260" i="259"/>
  <c r="H138" i="261" s="1"/>
  <c r="AG35" i="264"/>
  <c r="AI35" i="264" s="1"/>
  <c r="U476" i="259"/>
  <c r="U570" i="259"/>
  <c r="U207" i="261" s="1"/>
  <c r="M476" i="259"/>
  <c r="M570" i="259"/>
  <c r="M207" i="261" s="1"/>
  <c r="AY1298" i="259"/>
  <c r="AY1380" i="259" s="1"/>
  <c r="W1380" i="259"/>
  <c r="AX1298" i="259"/>
  <c r="AX1380" i="259" s="1"/>
  <c r="S1380" i="259"/>
  <c r="AW1298" i="259"/>
  <c r="AW1380" i="259" s="1"/>
  <c r="O1380" i="259"/>
  <c r="AV1298" i="259"/>
  <c r="AV1380" i="259" s="1"/>
  <c r="K1380" i="259"/>
  <c r="H86" i="261"/>
  <c r="AY74" i="261"/>
  <c r="AV76" i="261"/>
  <c r="AW73" i="261"/>
  <c r="AY82" i="261"/>
  <c r="AX81" i="261"/>
  <c r="AW1259" i="259"/>
  <c r="AW137" i="261" s="1"/>
  <c r="AW84" i="261"/>
  <c r="AW167" i="261"/>
  <c r="AV38" i="262"/>
  <c r="AV168" i="261"/>
  <c r="AY39" i="262"/>
  <c r="AY169" i="261"/>
  <c r="AW29" i="262"/>
  <c r="AW568" i="259"/>
  <c r="AY41" i="262"/>
  <c r="AU878" i="259"/>
  <c r="AV878" i="275" s="1"/>
  <c r="AK57" i="264"/>
  <c r="AY76" i="261"/>
  <c r="AY81" i="261"/>
  <c r="AX84" i="261"/>
  <c r="AX167" i="261"/>
  <c r="AW38" i="262"/>
  <c r="AW168" i="261"/>
  <c r="AV39" i="262"/>
  <c r="AV169" i="261"/>
  <c r="AX29" i="262"/>
  <c r="AX568" i="259"/>
  <c r="AW34" i="262"/>
  <c r="F104" i="264"/>
  <c r="H104" i="264" s="1"/>
  <c r="AU217" i="262"/>
  <c r="AU1596" i="259"/>
  <c r="AK38" i="264"/>
  <c r="AM38" i="264" s="1"/>
  <c r="AK56" i="264"/>
  <c r="AM56" i="264" s="1"/>
  <c r="X68" i="261"/>
  <c r="X86" i="261"/>
  <c r="AK66" i="264"/>
  <c r="S99" i="259"/>
  <c r="U381" i="259"/>
  <c r="E381" i="259"/>
  <c r="W65" i="259"/>
  <c r="T445" i="259"/>
  <c r="W476" i="259"/>
  <c r="W570" i="259"/>
  <c r="W207" i="261" s="1"/>
  <c r="S476" i="259"/>
  <c r="S570" i="259"/>
  <c r="S207" i="261" s="1"/>
  <c r="O476" i="259"/>
  <c r="O570" i="259"/>
  <c r="O207" i="261" s="1"/>
  <c r="N591" i="259"/>
  <c r="V600" i="259"/>
  <c r="R600" i="259"/>
  <c r="N600" i="259"/>
  <c r="J600" i="259"/>
  <c r="F600" i="259"/>
  <c r="AU741" i="259"/>
  <c r="U1159" i="259"/>
  <c r="M1159" i="259"/>
  <c r="I1159" i="259"/>
  <c r="O929" i="259"/>
  <c r="AU919" i="259"/>
  <c r="W221" i="259"/>
  <c r="W68" i="261"/>
  <c r="S221" i="259"/>
  <c r="S68" i="261"/>
  <c r="O221" i="259"/>
  <c r="O68" i="261"/>
  <c r="K221" i="259"/>
  <c r="K221" i="275" s="1"/>
  <c r="K68" i="261"/>
  <c r="W982" i="259"/>
  <c r="G982" i="259"/>
  <c r="G1116" i="259" s="1"/>
  <c r="W1023" i="259"/>
  <c r="W78" i="261"/>
  <c r="S1023" i="259"/>
  <c r="S78" i="261"/>
  <c r="O1023" i="259"/>
  <c r="O78" i="261"/>
  <c r="K1023" i="259"/>
  <c r="K1023" i="275" s="1"/>
  <c r="K78" i="261"/>
  <c r="V1028" i="259"/>
  <c r="V86" i="261"/>
  <c r="R1028" i="259"/>
  <c r="R86" i="261"/>
  <c r="N59" i="261"/>
  <c r="N86" i="261"/>
  <c r="J1028" i="259"/>
  <c r="J1028" i="275" s="1"/>
  <c r="J86" i="261"/>
  <c r="AW74" i="261"/>
  <c r="AX76" i="261"/>
  <c r="AY73" i="261"/>
  <c r="AW82" i="261"/>
  <c r="AV81" i="261"/>
  <c r="AY84" i="261"/>
  <c r="AY37" i="262"/>
  <c r="AY167" i="261"/>
  <c r="AX38" i="262"/>
  <c r="AX168" i="261"/>
  <c r="AW39" i="262"/>
  <c r="AW169" i="261"/>
  <c r="AY29" i="262"/>
  <c r="AY568" i="259"/>
  <c r="AX34" i="262"/>
  <c r="AW41" i="262"/>
  <c r="AK36" i="264"/>
  <c r="AM36" i="264" s="1"/>
  <c r="X570" i="259"/>
  <c r="X207" i="261" s="1"/>
  <c r="AY476" i="259"/>
  <c r="AV476" i="259"/>
  <c r="AV567" i="259"/>
  <c r="AV201" i="261" s="1"/>
  <c r="AY1254" i="259"/>
  <c r="AY132" i="261" s="1"/>
  <c r="AX1236" i="259"/>
  <c r="AX148" i="262" s="1"/>
  <c r="AV640" i="259"/>
  <c r="AW640" i="275" s="1"/>
  <c r="AU1183" i="259"/>
  <c r="R476" i="259"/>
  <c r="V476" i="275" s="1"/>
  <c r="R570" i="259"/>
  <c r="R207" i="261" s="1"/>
  <c r="W244" i="261"/>
  <c r="V221" i="259"/>
  <c r="V68" i="261"/>
  <c r="R1023" i="259"/>
  <c r="R1023" i="275" s="1"/>
  <c r="R78" i="261"/>
  <c r="J1023" i="259"/>
  <c r="J1023" i="275" s="1"/>
  <c r="J78" i="261"/>
  <c r="U1028" i="259"/>
  <c r="U86" i="261"/>
  <c r="Q1028" i="259"/>
  <c r="Q1028" i="275" s="1"/>
  <c r="Q86" i="261"/>
  <c r="H1185" i="259"/>
  <c r="H142" i="261" s="1"/>
  <c r="D1202" i="259"/>
  <c r="D143" i="261" s="1"/>
  <c r="L1202" i="259"/>
  <c r="L143" i="261" s="1"/>
  <c r="T1215" i="259"/>
  <c r="T144" i="261" s="1"/>
  <c r="P1215" i="259"/>
  <c r="P144" i="261" s="1"/>
  <c r="H1215" i="259"/>
  <c r="H144" i="261" s="1"/>
  <c r="D1232" i="259"/>
  <c r="D219" i="261" s="1"/>
  <c r="H1232" i="259"/>
  <c r="H219" i="261" s="1"/>
  <c r="AX74" i="261"/>
  <c r="AW76" i="261"/>
  <c r="AX73" i="261"/>
  <c r="AX82" i="261"/>
  <c r="AW81" i="261"/>
  <c r="AV84" i="261"/>
  <c r="AV37" i="262"/>
  <c r="AV167" i="261"/>
  <c r="AY38" i="262"/>
  <c r="AY168" i="261"/>
  <c r="AX39" i="262"/>
  <c r="AX169" i="261"/>
  <c r="AV29" i="262"/>
  <c r="AV568" i="259"/>
  <c r="AY34" i="262"/>
  <c r="AX41" i="262"/>
  <c r="AK59" i="264"/>
  <c r="AK64" i="264"/>
  <c r="AM64" i="264" s="1"/>
  <c r="X1254" i="259"/>
  <c r="X132" i="261" s="1"/>
  <c r="T1" i="262"/>
  <c r="T4" i="262" s="1"/>
  <c r="AX168" i="262"/>
  <c r="AY1286" i="259"/>
  <c r="AW168" i="262"/>
  <c r="AY68" i="261"/>
  <c r="Z41" i="262"/>
  <c r="AW221" i="259"/>
  <c r="AW68" i="261"/>
  <c r="AC244" i="259"/>
  <c r="AA66" i="262"/>
  <c r="AA73" i="262" s="1"/>
  <c r="AS104" i="264"/>
  <c r="AU104" i="264" s="1"/>
  <c r="AO103" i="264"/>
  <c r="AQ103" i="264" s="1"/>
  <c r="AW267" i="262"/>
  <c r="AS28" i="263"/>
  <c r="AA64" i="262"/>
  <c r="Z65" i="262"/>
  <c r="AV68" i="261"/>
  <c r="AX68" i="261"/>
  <c r="AE481" i="259"/>
  <c r="AX267" i="262"/>
  <c r="AO28" i="263"/>
  <c r="AO14" i="264" s="1"/>
  <c r="AQ14" i="264" s="1"/>
  <c r="AA69" i="262"/>
  <c r="AA76" i="262" s="1"/>
  <c r="Y65" i="262"/>
  <c r="Y66" i="262"/>
  <c r="Y73" i="262" s="1"/>
  <c r="AW103" i="264"/>
  <c r="AY103" i="264" s="1"/>
  <c r="P1546" i="259"/>
  <c r="E21" i="262"/>
  <c r="T1543" i="259"/>
  <c r="AK14" i="264"/>
  <c r="AM14" i="264" s="1"/>
  <c r="AK15" i="264"/>
  <c r="AM15" i="264" s="1"/>
  <c r="AG20" i="264"/>
  <c r="AK20" i="264"/>
  <c r="Y64" i="262"/>
  <c r="AO96" i="264"/>
  <c r="AQ96" i="264" s="1"/>
  <c r="AO126" i="264"/>
  <c r="AQ126" i="264" s="1"/>
  <c r="AO127" i="264"/>
  <c r="AQ127" i="264" s="1"/>
  <c r="F44" i="262"/>
  <c r="G44" i="262"/>
  <c r="E44" i="262"/>
  <c r="AV313" i="261"/>
  <c r="AV220" i="262"/>
  <c r="F195" i="261"/>
  <c r="F26" i="262"/>
  <c r="Y168" i="262"/>
  <c r="T8" i="259"/>
  <c r="T96" i="259"/>
  <c r="V1339" i="259"/>
  <c r="V238" i="262" s="1"/>
  <c r="AY927" i="259"/>
  <c r="AY187" i="262"/>
  <c r="AY160" i="262"/>
  <c r="AV1537" i="259"/>
  <c r="AV1529" i="259" s="1"/>
  <c r="AV160" i="262"/>
  <c r="AV187" i="262"/>
  <c r="Y173" i="262"/>
  <c r="AU319" i="261"/>
  <c r="AU171" i="262"/>
  <c r="AX1281" i="259"/>
  <c r="AX270" i="262" s="1"/>
  <c r="AX268" i="262"/>
  <c r="AU1281" i="259"/>
  <c r="AU270" i="262" s="1"/>
  <c r="AU268" i="262"/>
  <c r="AU272" i="262" s="1"/>
  <c r="AV30" i="262"/>
  <c r="AV31" i="262"/>
  <c r="AW1281" i="259"/>
  <c r="AW270" i="262" s="1"/>
  <c r="AW268" i="262"/>
  <c r="Y167" i="262"/>
  <c r="H230" i="262"/>
  <c r="H216" i="262"/>
  <c r="T313" i="261"/>
  <c r="T220" i="262"/>
  <c r="R313" i="261"/>
  <c r="R220" i="262"/>
  <c r="L230" i="262"/>
  <c r="L216" i="262"/>
  <c r="G230" i="262"/>
  <c r="G216" i="262"/>
  <c r="S1383" i="259"/>
  <c r="S216" i="262"/>
  <c r="H1250" i="259"/>
  <c r="H128" i="261" s="1"/>
  <c r="M562" i="259"/>
  <c r="M15" i="262"/>
  <c r="W554" i="259"/>
  <c r="W205" i="261" s="1"/>
  <c r="W14" i="262"/>
  <c r="S552" i="259"/>
  <c r="S14" i="262"/>
  <c r="U542" i="259"/>
  <c r="U13" i="262"/>
  <c r="Q542" i="259"/>
  <c r="Q13" i="262"/>
  <c r="N1281" i="259"/>
  <c r="N270" i="262" s="1"/>
  <c r="N268" i="262"/>
  <c r="J1281" i="259"/>
  <c r="J270" i="262" s="1"/>
  <c r="J268" i="262"/>
  <c r="U188" i="262"/>
  <c r="Q188" i="262"/>
  <c r="M188" i="262"/>
  <c r="I188" i="262"/>
  <c r="L954" i="259"/>
  <c r="L954" i="275" s="1"/>
  <c r="W317" i="261"/>
  <c r="W247" i="262"/>
  <c r="S317" i="261"/>
  <c r="S247" i="262"/>
  <c r="O317" i="261"/>
  <c r="O247" i="262"/>
  <c r="K317" i="261"/>
  <c r="K247" i="262"/>
  <c r="E1123" i="259"/>
  <c r="E1129" i="259" s="1"/>
  <c r="D267" i="262"/>
  <c r="D272" i="262" s="1"/>
  <c r="H1136" i="259"/>
  <c r="H267" i="262"/>
  <c r="W858" i="259"/>
  <c r="W171" i="262"/>
  <c r="S858" i="259"/>
  <c r="S171" i="262"/>
  <c r="O858" i="259"/>
  <c r="O171" i="262"/>
  <c r="K858" i="259"/>
  <c r="K171" i="262"/>
  <c r="G858" i="259"/>
  <c r="AU858" i="259" s="1"/>
  <c r="G171" i="262"/>
  <c r="Y234" i="262"/>
  <c r="AV168" i="262"/>
  <c r="AX170" i="262"/>
  <c r="AX169" i="262"/>
  <c r="AX1473" i="259"/>
  <c r="AX173" i="262"/>
  <c r="AX245" i="262"/>
  <c r="AV314" i="261"/>
  <c r="AV234" i="262"/>
  <c r="AV229" i="262"/>
  <c r="AV218" i="262"/>
  <c r="AD243" i="259"/>
  <c r="Z64" i="262"/>
  <c r="D764" i="259"/>
  <c r="H764" i="275" s="1"/>
  <c r="D85" i="262"/>
  <c r="AK8" i="263"/>
  <c r="AK9" i="263" s="1"/>
  <c r="AM9" i="263" s="1"/>
  <c r="X185" i="262"/>
  <c r="Y185" i="262"/>
  <c r="X1339" i="259"/>
  <c r="X238" i="262" s="1"/>
  <c r="X246" i="262"/>
  <c r="AU313" i="261"/>
  <c r="AU220" i="262"/>
  <c r="R88" i="262"/>
  <c r="AU767" i="259"/>
  <c r="AU88" i="262" s="1"/>
  <c r="AU85" i="262"/>
  <c r="AX31" i="262"/>
  <c r="AX30" i="262"/>
  <c r="AW2" i="262"/>
  <c r="AW2" i="261"/>
  <c r="O924" i="259"/>
  <c r="O189" i="262"/>
  <c r="S1033" i="259"/>
  <c r="K230" i="262"/>
  <c r="K216" i="262"/>
  <c r="P313" i="261"/>
  <c r="P220" i="262"/>
  <c r="L313" i="261"/>
  <c r="L220" i="262"/>
  <c r="V313" i="261"/>
  <c r="V220" i="262"/>
  <c r="I313" i="261"/>
  <c r="I220" i="262"/>
  <c r="Q1383" i="259"/>
  <c r="Q216" i="262"/>
  <c r="T562" i="259"/>
  <c r="T15" i="262"/>
  <c r="P562" i="259"/>
  <c r="P15" i="262"/>
  <c r="V554" i="259"/>
  <c r="V205" i="261" s="1"/>
  <c r="V14" i="262"/>
  <c r="R554" i="259"/>
  <c r="R205" i="261" s="1"/>
  <c r="R14" i="262"/>
  <c r="J552" i="259"/>
  <c r="J14" i="262"/>
  <c r="L542" i="259"/>
  <c r="L13" i="262"/>
  <c r="H542" i="259"/>
  <c r="H13" i="262"/>
  <c r="U1281" i="259"/>
  <c r="U270" i="262" s="1"/>
  <c r="U268" i="262"/>
  <c r="U272" i="262" s="1"/>
  <c r="M1281" i="259"/>
  <c r="M270" i="262" s="1"/>
  <c r="M268" i="262"/>
  <c r="M272" i="262" s="1"/>
  <c r="I1281" i="259"/>
  <c r="I270" i="262" s="1"/>
  <c r="I268" i="262"/>
  <c r="I272" i="262" s="1"/>
  <c r="E1281" i="259"/>
  <c r="E270" i="262" s="1"/>
  <c r="E268" i="262"/>
  <c r="E272" i="262" s="1"/>
  <c r="V1306" i="259"/>
  <c r="V1312" i="259" s="1"/>
  <c r="V174" i="262"/>
  <c r="R1297" i="259"/>
  <c r="R174" i="262"/>
  <c r="N1374" i="259"/>
  <c r="N1375" i="259" s="1"/>
  <c r="N174" i="262"/>
  <c r="J230" i="262"/>
  <c r="J216" i="262"/>
  <c r="U185" i="262"/>
  <c r="W954" i="259"/>
  <c r="S954" i="259"/>
  <c r="S954" i="275" s="1"/>
  <c r="O954" i="259"/>
  <c r="K954" i="259"/>
  <c r="G954" i="259"/>
  <c r="AG14" i="263"/>
  <c r="AG12" i="263" s="1"/>
  <c r="AI12" i="263" s="1"/>
  <c r="W88" i="262"/>
  <c r="S88" i="262"/>
  <c r="V317" i="261"/>
  <c r="V247" i="262"/>
  <c r="R317" i="261"/>
  <c r="R247" i="262"/>
  <c r="N317" i="261"/>
  <c r="N247" i="262"/>
  <c r="J317" i="261"/>
  <c r="J247" i="262"/>
  <c r="S1136" i="259"/>
  <c r="S267" i="262"/>
  <c r="O1136" i="259"/>
  <c r="O267" i="262"/>
  <c r="G1136" i="259"/>
  <c r="G267" i="262"/>
  <c r="G272" i="262" s="1"/>
  <c r="M8" i="259"/>
  <c r="M96" i="259"/>
  <c r="AC481" i="259"/>
  <c r="AO101" i="264"/>
  <c r="V858" i="259"/>
  <c r="V171" i="262"/>
  <c r="R858" i="259"/>
  <c r="R171" i="262"/>
  <c r="N858" i="259"/>
  <c r="N171" i="262"/>
  <c r="J858" i="259"/>
  <c r="J171" i="262"/>
  <c r="F858" i="259"/>
  <c r="F171" i="262"/>
  <c r="AW37" i="262"/>
  <c r="F77" i="264"/>
  <c r="H77" i="264" s="1"/>
  <c r="AY267" i="262"/>
  <c r="AU170" i="262"/>
  <c r="AU169" i="262"/>
  <c r="AY873" i="259"/>
  <c r="AY873" i="275" s="1"/>
  <c r="AY169" i="262"/>
  <c r="AY170" i="262"/>
  <c r="AY1473" i="259"/>
  <c r="AY173" i="262"/>
  <c r="AU245" i="262"/>
  <c r="AY245" i="262"/>
  <c r="AW314" i="261"/>
  <c r="AW234" i="262"/>
  <c r="AU317" i="261"/>
  <c r="AU247" i="262"/>
  <c r="AW229" i="262"/>
  <c r="AW218" i="262"/>
  <c r="F764" i="259"/>
  <c r="J764" i="275" s="1"/>
  <c r="F85" i="262"/>
  <c r="X1297" i="259"/>
  <c r="Y1291" i="259" s="1"/>
  <c r="X174" i="262"/>
  <c r="AK77" i="264"/>
  <c r="AM77" i="264" s="1"/>
  <c r="X267" i="262"/>
  <c r="X317" i="261"/>
  <c r="Y318" i="261" s="1"/>
  <c r="X247" i="262"/>
  <c r="AX250" i="262"/>
  <c r="X193" i="261"/>
  <c r="X24" i="262"/>
  <c r="N25" i="262"/>
  <c r="L8" i="259"/>
  <c r="L96" i="259"/>
  <c r="D8" i="259"/>
  <c r="D136" i="262" s="1"/>
  <c r="D96" i="259"/>
  <c r="AY767" i="259"/>
  <c r="AY85" i="262"/>
  <c r="AW767" i="259"/>
  <c r="AW85" i="262"/>
  <c r="Y245" i="262"/>
  <c r="Y246" i="262"/>
  <c r="AX1537" i="259"/>
  <c r="AX1529" i="259" s="1"/>
  <c r="AX160" i="262"/>
  <c r="AX187" i="262"/>
  <c r="AW1537" i="259"/>
  <c r="AW1529" i="259" s="1"/>
  <c r="AW187" i="262"/>
  <c r="AW160" i="262"/>
  <c r="AU1537" i="259"/>
  <c r="AU1529" i="259" s="1"/>
  <c r="AU187" i="262"/>
  <c r="AY31" i="262"/>
  <c r="AY30" i="262"/>
  <c r="AU30" i="262"/>
  <c r="AU31" i="262"/>
  <c r="M1383" i="259"/>
  <c r="M216" i="262"/>
  <c r="S313" i="261"/>
  <c r="S220" i="262"/>
  <c r="K313" i="261"/>
  <c r="K220" i="262"/>
  <c r="W313" i="261"/>
  <c r="W220" i="262"/>
  <c r="G313" i="261"/>
  <c r="G220" i="262"/>
  <c r="J313" i="261"/>
  <c r="J220" i="262"/>
  <c r="Q313" i="261"/>
  <c r="Q220" i="262"/>
  <c r="W1392" i="259"/>
  <c r="W213" i="262" s="1"/>
  <c r="W216" i="262"/>
  <c r="V1392" i="259"/>
  <c r="V213" i="262" s="1"/>
  <c r="V216" i="262"/>
  <c r="D194" i="261"/>
  <c r="D25" i="262"/>
  <c r="W564" i="259"/>
  <c r="W206" i="261" s="1"/>
  <c r="W15" i="262"/>
  <c r="S562" i="259"/>
  <c r="S15" i="262"/>
  <c r="U554" i="259"/>
  <c r="U205" i="261" s="1"/>
  <c r="U14" i="262"/>
  <c r="AX551" i="259"/>
  <c r="Q14" i="262"/>
  <c r="I552" i="259"/>
  <c r="I14" i="262"/>
  <c r="AW541" i="259"/>
  <c r="O13" i="262"/>
  <c r="P1281" i="259"/>
  <c r="P270" i="262" s="1"/>
  <c r="P268" i="262"/>
  <c r="L1281" i="259"/>
  <c r="L270" i="262" s="1"/>
  <c r="L268" i="262"/>
  <c r="L272" i="262" s="1"/>
  <c r="H1286" i="259"/>
  <c r="H268" i="262"/>
  <c r="U870" i="259"/>
  <c r="U174" i="262"/>
  <c r="Q1297" i="259"/>
  <c r="Q1302" i="259" s="1"/>
  <c r="Q1303" i="259" s="1"/>
  <c r="Q174" i="262"/>
  <c r="M870" i="259"/>
  <c r="M174" i="262"/>
  <c r="J1374" i="259"/>
  <c r="J1375" i="259" s="1"/>
  <c r="J174" i="262"/>
  <c r="F889" i="259"/>
  <c r="F185" i="262"/>
  <c r="N889" i="259"/>
  <c r="N185" i="262"/>
  <c r="V185" i="262"/>
  <c r="E954" i="259"/>
  <c r="V954" i="259"/>
  <c r="R954" i="259"/>
  <c r="N954" i="259"/>
  <c r="J954" i="259"/>
  <c r="F954" i="259"/>
  <c r="D1339" i="259"/>
  <c r="D238" i="262" s="1"/>
  <c r="D246" i="262"/>
  <c r="V88" i="262"/>
  <c r="Q88" i="262"/>
  <c r="H769" i="259"/>
  <c r="H88" i="262"/>
  <c r="U317" i="261"/>
  <c r="U247" i="262"/>
  <c r="Q317" i="261"/>
  <c r="Q247" i="262"/>
  <c r="M317" i="261"/>
  <c r="M247" i="262"/>
  <c r="U151" i="261"/>
  <c r="U182" i="262"/>
  <c r="Q151" i="261"/>
  <c r="Q182" i="262"/>
  <c r="M1055" i="259"/>
  <c r="M182" i="262"/>
  <c r="I1055" i="259"/>
  <c r="I182" i="262"/>
  <c r="E1055" i="259"/>
  <c r="E182" i="262"/>
  <c r="V1136" i="259"/>
  <c r="V267" i="262"/>
  <c r="V272" i="262" s="1"/>
  <c r="R1136" i="259"/>
  <c r="R267" i="262"/>
  <c r="R272" i="262" s="1"/>
  <c r="N1136" i="259"/>
  <c r="N267" i="262"/>
  <c r="K1123" i="259"/>
  <c r="K1129" i="259" s="1"/>
  <c r="J267" i="262"/>
  <c r="AV91" i="259"/>
  <c r="AU1230" i="259"/>
  <c r="Y34" i="262"/>
  <c r="AO102" i="264"/>
  <c r="AV591" i="259"/>
  <c r="U858" i="259"/>
  <c r="U171" i="262"/>
  <c r="Q858" i="259"/>
  <c r="Q171" i="262"/>
  <c r="M858" i="259"/>
  <c r="M171" i="262"/>
  <c r="I858" i="259"/>
  <c r="I171" i="262"/>
  <c r="E858" i="259"/>
  <c r="E171" i="262"/>
  <c r="AX37" i="262"/>
  <c r="AW1123" i="259"/>
  <c r="AV267" i="262"/>
  <c r="AV170" i="262"/>
  <c r="AV169" i="262"/>
  <c r="AV1473" i="259"/>
  <c r="AV173" i="262"/>
  <c r="AV245" i="262"/>
  <c r="AX314" i="261"/>
  <c r="AX234" i="262"/>
  <c r="AX229" i="262"/>
  <c r="AX218" i="262"/>
  <c r="AE344" i="259"/>
  <c r="AA65" i="262"/>
  <c r="E764" i="259"/>
  <c r="I764" i="275" s="1"/>
  <c r="E85" i="262"/>
  <c r="X858" i="259"/>
  <c r="X171" i="262"/>
  <c r="X1281" i="259"/>
  <c r="X270" i="262" s="1"/>
  <c r="X268" i="262"/>
  <c r="AU123" i="262"/>
  <c r="AU250" i="262"/>
  <c r="AY123" i="262"/>
  <c r="AY250" i="262"/>
  <c r="X195" i="261"/>
  <c r="X26" i="262"/>
  <c r="X194" i="261"/>
  <c r="X25" i="262"/>
  <c r="Z173" i="262"/>
  <c r="P24" i="262"/>
  <c r="J769" i="259"/>
  <c r="J88" i="262"/>
  <c r="P8" i="259"/>
  <c r="P96" i="259"/>
  <c r="AZ1537" i="259"/>
  <c r="AZ1529" i="259" s="1"/>
  <c r="AZ160" i="262"/>
  <c r="AZ187" i="262"/>
  <c r="AW30" i="262"/>
  <c r="AW31" i="262"/>
  <c r="AY317" i="261"/>
  <c r="AY247" i="262"/>
  <c r="W118" i="262"/>
  <c r="W87" i="262"/>
  <c r="AY1281" i="259"/>
  <c r="AY270" i="262" s="1"/>
  <c r="AY268" i="262"/>
  <c r="AV1281" i="259"/>
  <c r="AV270" i="262" s="1"/>
  <c r="AV268" i="262"/>
  <c r="O313" i="261"/>
  <c r="O220" i="262"/>
  <c r="H313" i="261"/>
  <c r="H220" i="262"/>
  <c r="M313" i="261"/>
  <c r="M220" i="262"/>
  <c r="U313" i="261"/>
  <c r="U220" i="262"/>
  <c r="N313" i="261"/>
  <c r="N220" i="262"/>
  <c r="R1383" i="259"/>
  <c r="R1407" i="259" s="1"/>
  <c r="R222" i="262" s="1"/>
  <c r="R216" i="262"/>
  <c r="V562" i="259"/>
  <c r="V15" i="262"/>
  <c r="N562" i="259"/>
  <c r="N15" i="262"/>
  <c r="J562" i="259"/>
  <c r="J15" i="262"/>
  <c r="T552" i="259"/>
  <c r="T14" i="262"/>
  <c r="P552" i="259"/>
  <c r="P14" i="262"/>
  <c r="V542" i="259"/>
  <c r="V13" i="262"/>
  <c r="R542" i="259"/>
  <c r="R13" i="262"/>
  <c r="N542" i="259"/>
  <c r="N13" i="262"/>
  <c r="J542" i="259"/>
  <c r="J13" i="262"/>
  <c r="W1281" i="259"/>
  <c r="W270" i="262" s="1"/>
  <c r="W268" i="262"/>
  <c r="S1281" i="259"/>
  <c r="S270" i="262" s="1"/>
  <c r="S268" i="262"/>
  <c r="O1281" i="259"/>
  <c r="O270" i="262" s="1"/>
  <c r="O268" i="262"/>
  <c r="K1286" i="259"/>
  <c r="K268" i="262"/>
  <c r="K272" i="262" s="1"/>
  <c r="T870" i="259"/>
  <c r="T174" i="262"/>
  <c r="P1374" i="259"/>
  <c r="P1375" i="259" s="1"/>
  <c r="P174" i="262"/>
  <c r="L1374" i="259"/>
  <c r="L1375" i="259" s="1"/>
  <c r="L174" i="262"/>
  <c r="I1374" i="259"/>
  <c r="I1375" i="259" s="1"/>
  <c r="I174" i="262"/>
  <c r="E1297" i="259"/>
  <c r="E174" i="262"/>
  <c r="G889" i="259"/>
  <c r="G185" i="262"/>
  <c r="K889" i="259"/>
  <c r="K185" i="262"/>
  <c r="O889" i="259"/>
  <c r="O185" i="262"/>
  <c r="S185" i="262"/>
  <c r="AG8" i="263"/>
  <c r="AG9" i="263" s="1"/>
  <c r="AI9" i="263" s="1"/>
  <c r="W185" i="262"/>
  <c r="H902" i="259"/>
  <c r="V188" i="262"/>
  <c r="R188" i="262"/>
  <c r="N188" i="262"/>
  <c r="J188" i="262"/>
  <c r="F188" i="262"/>
  <c r="U954" i="259"/>
  <c r="V264" i="261" s="1"/>
  <c r="Q954" i="259"/>
  <c r="M954" i="259"/>
  <c r="I954" i="259"/>
  <c r="U88" i="262"/>
  <c r="P88" i="262"/>
  <c r="I317" i="261"/>
  <c r="I318" i="261" s="1"/>
  <c r="I247" i="262"/>
  <c r="T317" i="261"/>
  <c r="T247" i="262"/>
  <c r="P317" i="261"/>
  <c r="P247" i="262"/>
  <c r="L317" i="261"/>
  <c r="L247" i="262"/>
  <c r="D1055" i="259"/>
  <c r="D182" i="262"/>
  <c r="T1055" i="259"/>
  <c r="T182" i="262"/>
  <c r="P1055" i="259"/>
  <c r="P182" i="262"/>
  <c r="L1055" i="259"/>
  <c r="L182" i="262"/>
  <c r="H1055" i="259"/>
  <c r="H1055" i="275" s="1"/>
  <c r="H182" i="262"/>
  <c r="D858" i="259"/>
  <c r="D171" i="262"/>
  <c r="T858" i="259"/>
  <c r="T171" i="262"/>
  <c r="P858" i="259"/>
  <c r="P171" i="262"/>
  <c r="L858" i="259"/>
  <c r="L171" i="262"/>
  <c r="H858" i="259"/>
  <c r="H858" i="275" s="1"/>
  <c r="H171" i="262"/>
  <c r="AV2" i="262"/>
  <c r="AV2" i="261"/>
  <c r="AW169" i="262"/>
  <c r="AW170" i="262"/>
  <c r="AW1473" i="259"/>
  <c r="AW1474" i="259" s="1"/>
  <c r="AW345" i="261" s="1"/>
  <c r="AW173" i="262"/>
  <c r="AW245" i="262"/>
  <c r="AU314" i="261"/>
  <c r="AU234" i="262"/>
  <c r="AY314" i="261"/>
  <c r="AY234" i="262"/>
  <c r="AU229" i="262"/>
  <c r="AU218" i="262"/>
  <c r="AY229" i="262"/>
  <c r="AY218" i="262"/>
  <c r="AD422" i="259"/>
  <c r="Z66" i="262"/>
  <c r="Z73" i="262" s="1"/>
  <c r="AO104" i="264"/>
  <c r="AQ104" i="264" s="1"/>
  <c r="X1055" i="259"/>
  <c r="X1055" i="275" s="1"/>
  <c r="X182" i="262"/>
  <c r="X188" i="262"/>
  <c r="X1392" i="259"/>
  <c r="X216" i="262"/>
  <c r="X313" i="261"/>
  <c r="X220" i="262"/>
  <c r="AV123" i="262"/>
  <c r="AV250" i="262"/>
  <c r="G45" i="262"/>
  <c r="G48" i="262"/>
  <c r="H1264" i="259"/>
  <c r="H156" i="262" s="1"/>
  <c r="T222" i="261"/>
  <c r="P1264" i="259"/>
  <c r="P156" i="262" s="1"/>
  <c r="L447" i="259"/>
  <c r="L1083" i="259" s="1"/>
  <c r="X1262" i="259"/>
  <c r="P735" i="259"/>
  <c r="T729" i="259"/>
  <c r="L1247" i="259"/>
  <c r="L125" i="261" s="1"/>
  <c r="AQ3" i="267"/>
  <c r="AO91" i="267"/>
  <c r="AL44" i="267"/>
  <c r="AM4" i="267"/>
  <c r="U1548" i="259"/>
  <c r="U76" i="259" s="1"/>
  <c r="V1548" i="259"/>
  <c r="V76" i="259" s="1"/>
  <c r="N1548" i="259"/>
  <c r="N76" i="259" s="1"/>
  <c r="M1548" i="259"/>
  <c r="M76" i="259" s="1"/>
  <c r="U731" i="259"/>
  <c r="D1548" i="259"/>
  <c r="D76" i="259" s="1"/>
  <c r="T1548" i="259"/>
  <c r="T76" i="259" s="1"/>
  <c r="P1548" i="259"/>
  <c r="P76" i="259" s="1"/>
  <c r="L1548" i="259"/>
  <c r="L76" i="259" s="1"/>
  <c r="H1548" i="259"/>
  <c r="H76" i="259" s="1"/>
  <c r="Q1548" i="259"/>
  <c r="Q76" i="259" s="1"/>
  <c r="I1548" i="259"/>
  <c r="I76" i="259" s="1"/>
  <c r="G1548" i="259"/>
  <c r="G76" i="259" s="1"/>
  <c r="AX1438" i="259"/>
  <c r="T1088" i="259"/>
  <c r="P1253" i="259"/>
  <c r="P131" i="261" s="1"/>
  <c r="G1265" i="259"/>
  <c r="M731" i="259"/>
  <c r="W989" i="259"/>
  <c r="X43" i="261"/>
  <c r="X233" i="261"/>
  <c r="M101" i="259"/>
  <c r="AX58" i="259"/>
  <c r="AY126" i="261"/>
  <c r="U59" i="259"/>
  <c r="AY92" i="262"/>
  <c r="E902" i="259"/>
  <c r="E905" i="259" s="1"/>
  <c r="E273" i="261" s="1"/>
  <c r="W1038" i="259"/>
  <c r="L1286" i="259"/>
  <c r="J1297" i="259"/>
  <c r="J1299" i="259" s="1"/>
  <c r="W59" i="261"/>
  <c r="J151" i="261"/>
  <c r="S233" i="261"/>
  <c r="R59" i="261"/>
  <c r="K41" i="261"/>
  <c r="S59" i="261"/>
  <c r="U1297" i="259"/>
  <c r="U1302" i="259" s="1"/>
  <c r="U1303" i="259" s="1"/>
  <c r="F418" i="259"/>
  <c r="G1016" i="259"/>
  <c r="G1031" i="259" s="1"/>
  <c r="AY1438" i="259"/>
  <c r="I1320" i="259"/>
  <c r="I246" i="262" s="1"/>
  <c r="G233" i="261"/>
  <c r="L51" i="261"/>
  <c r="W51" i="261"/>
  <c r="F59" i="261"/>
  <c r="R151" i="261"/>
  <c r="G973" i="259"/>
  <c r="G974" i="259" s="1"/>
  <c r="AU974" i="259" s="1"/>
  <c r="AU967" i="259"/>
  <c r="Q1055" i="259"/>
  <c r="N115" i="259"/>
  <c r="M839" i="259"/>
  <c r="X41" i="261"/>
  <c r="AY967" i="259"/>
  <c r="W43" i="261"/>
  <c r="T563" i="259"/>
  <c r="T200" i="261" s="1"/>
  <c r="Q885" i="259"/>
  <c r="V258" i="261"/>
  <c r="J886" i="259"/>
  <c r="AX802" i="259"/>
  <c r="AV910" i="259"/>
  <c r="W41" i="261"/>
  <c r="V886" i="259"/>
  <c r="S705" i="259"/>
  <c r="S705" i="275" s="1"/>
  <c r="E151" i="261"/>
  <c r="T51" i="261"/>
  <c r="P41" i="261"/>
  <c r="T41" i="261"/>
  <c r="V151" i="261"/>
  <c r="S51" i="261"/>
  <c r="S973" i="259"/>
  <c r="O982" i="259"/>
  <c r="W340" i="259"/>
  <c r="U1055" i="259"/>
  <c r="K1423" i="259"/>
  <c r="K1422" i="259" s="1"/>
  <c r="P1129" i="259"/>
  <c r="AY430" i="259"/>
  <c r="T922" i="259"/>
  <c r="F955" i="259"/>
  <c r="F911" i="259" s="1"/>
  <c r="H43" i="261"/>
  <c r="L1159" i="259"/>
  <c r="N197" i="259"/>
  <c r="N108" i="261" s="1"/>
  <c r="K476" i="259"/>
  <c r="V591" i="259"/>
  <c r="F115" i="259"/>
  <c r="F1505" i="259" s="1"/>
  <c r="X563" i="259"/>
  <c r="X200" i="261" s="1"/>
  <c r="AW58" i="259"/>
  <c r="AY127" i="261"/>
  <c r="S1414" i="259"/>
  <c r="S1426" i="259" s="1"/>
  <c r="H1383" i="259"/>
  <c r="M885" i="259"/>
  <c r="N1507" i="259"/>
  <c r="N114" i="261" s="1"/>
  <c r="M886" i="259"/>
  <c r="U886" i="259"/>
  <c r="F591" i="259"/>
  <c r="D1334" i="259"/>
  <c r="D1294" i="259" s="1"/>
  <c r="D243" i="262" s="1"/>
  <c r="O233" i="261"/>
  <c r="S41" i="261"/>
  <c r="K705" i="259"/>
  <c r="R989" i="259"/>
  <c r="V705" i="259"/>
  <c r="W902" i="259"/>
  <c r="AU63" i="259"/>
  <c r="AU143" i="262" s="1"/>
  <c r="J59" i="261"/>
  <c r="O41" i="261"/>
  <c r="G51" i="261"/>
  <c r="N258" i="261"/>
  <c r="G59" i="261"/>
  <c r="K51" i="261"/>
  <c r="I151" i="261"/>
  <c r="E1232" i="259"/>
  <c r="E219" i="261" s="1"/>
  <c r="O973" i="259"/>
  <c r="H1320" i="259"/>
  <c r="H246" i="262" s="1"/>
  <c r="W1016" i="259"/>
  <c r="L1297" i="259"/>
  <c r="G968" i="259"/>
  <c r="AU968" i="259" s="1"/>
  <c r="I1414" i="259"/>
  <c r="I1426" i="259" s="1"/>
  <c r="I115" i="259"/>
  <c r="W141" i="259"/>
  <c r="Q1269" i="259"/>
  <c r="Q151" i="262" s="1"/>
  <c r="P1544" i="259"/>
  <c r="P74" i="259" s="1"/>
  <c r="N59" i="259"/>
  <c r="J476" i="259"/>
  <c r="N476" i="275" s="1"/>
  <c r="I139" i="259"/>
  <c r="I139" i="275" s="1"/>
  <c r="O121" i="259"/>
  <c r="I105" i="261"/>
  <c r="Q1506" i="259"/>
  <c r="Q113" i="261" s="1"/>
  <c r="W1414" i="259"/>
  <c r="F1507" i="259"/>
  <c r="F114" i="261" s="1"/>
  <c r="Q1320" i="259"/>
  <c r="Q246" i="262" s="1"/>
  <c r="G705" i="259"/>
  <c r="G990" i="259" s="1"/>
  <c r="J1507" i="259"/>
  <c r="J114" i="261" s="1"/>
  <c r="F121" i="259"/>
  <c r="F839" i="259"/>
  <c r="F845" i="259" s="1"/>
  <c r="J1306" i="259"/>
  <c r="J1312" i="259" s="1"/>
  <c r="J176" i="262" s="1"/>
  <c r="U1374" i="259"/>
  <c r="U1375" i="259" s="1"/>
  <c r="K141" i="259"/>
  <c r="S1038" i="259"/>
  <c r="S1038" i="275" s="1"/>
  <c r="O642" i="259"/>
  <c r="O52" i="259" s="1"/>
  <c r="G691" i="259"/>
  <c r="G1039" i="259" s="1"/>
  <c r="P1286" i="259"/>
  <c r="S121" i="259"/>
  <c r="V839" i="259"/>
  <c r="AY795" i="259"/>
  <c r="T902" i="259"/>
  <c r="L41" i="261"/>
  <c r="N151" i="261"/>
  <c r="H51" i="261"/>
  <c r="F151" i="261"/>
  <c r="J978" i="259"/>
  <c r="J978" i="275" s="1"/>
  <c r="K642" i="259"/>
  <c r="I1297" i="259"/>
  <c r="I1299" i="259" s="1"/>
  <c r="K340" i="259"/>
  <c r="T600" i="259"/>
  <c r="P600" i="259"/>
  <c r="L600" i="259"/>
  <c r="H600" i="259"/>
  <c r="S21" i="262"/>
  <c r="T673" i="259"/>
  <c r="T1544" i="259"/>
  <c r="T74" i="259" s="1"/>
  <c r="AV589" i="259"/>
  <c r="AV589" i="275" s="1"/>
  <c r="AU1201" i="259"/>
  <c r="AX2" i="259"/>
  <c r="O1180" i="259"/>
  <c r="AX105" i="261"/>
  <c r="J62" i="262"/>
  <c r="M189" i="261"/>
  <c r="G190" i="261"/>
  <c r="I20" i="262"/>
  <c r="J19" i="262"/>
  <c r="F188" i="261"/>
  <c r="E20" i="262"/>
  <c r="R19" i="262"/>
  <c r="K190" i="261"/>
  <c r="X924" i="259"/>
  <c r="V753" i="259"/>
  <c r="V1501" i="259"/>
  <c r="V161" i="262" s="1"/>
  <c r="V1502" i="259"/>
  <c r="R816" i="259"/>
  <c r="R1501" i="259"/>
  <c r="R161" i="262" s="1"/>
  <c r="R1502" i="259"/>
  <c r="N816" i="259"/>
  <c r="N1501" i="259"/>
  <c r="N161" i="262" s="1"/>
  <c r="N1502" i="259"/>
  <c r="J816" i="259"/>
  <c r="J1501" i="259"/>
  <c r="J161" i="262" s="1"/>
  <c r="J1502" i="259"/>
  <c r="F816" i="259"/>
  <c r="F1501" i="259"/>
  <c r="F161" i="262" s="1"/>
  <c r="F1502" i="259"/>
  <c r="AW91" i="262"/>
  <c r="U753" i="259"/>
  <c r="U1501" i="259"/>
  <c r="U161" i="262" s="1"/>
  <c r="U1502" i="259"/>
  <c r="Q1501" i="259"/>
  <c r="Q161" i="262" s="1"/>
  <c r="Q1502" i="259"/>
  <c r="M753" i="259"/>
  <c r="M1501" i="259"/>
  <c r="M161" i="262" s="1"/>
  <c r="M1502" i="259"/>
  <c r="I753" i="259"/>
  <c r="I1501" i="259"/>
  <c r="I161" i="262" s="1"/>
  <c r="I1502" i="259"/>
  <c r="E753" i="259"/>
  <c r="E1501" i="259"/>
  <c r="E161" i="262" s="1"/>
  <c r="E1502" i="259"/>
  <c r="AV91" i="262"/>
  <c r="X1501" i="259"/>
  <c r="X161" i="262" s="1"/>
  <c r="X1502" i="259"/>
  <c r="AW778" i="259"/>
  <c r="D816" i="259"/>
  <c r="D1502" i="259"/>
  <c r="D1501" i="259"/>
  <c r="D161" i="262" s="1"/>
  <c r="T753" i="259"/>
  <c r="T1501" i="259"/>
  <c r="T161" i="262" s="1"/>
  <c r="T1502" i="259"/>
  <c r="P816" i="259"/>
  <c r="P1501" i="259"/>
  <c r="P161" i="262" s="1"/>
  <c r="P1502" i="259"/>
  <c r="L816" i="259"/>
  <c r="L1501" i="259"/>
  <c r="L161" i="262" s="1"/>
  <c r="L1502" i="259"/>
  <c r="H753" i="259"/>
  <c r="H1501" i="259"/>
  <c r="H161" i="262" s="1"/>
  <c r="H1502" i="259"/>
  <c r="AY91" i="262"/>
  <c r="W1501" i="259"/>
  <c r="W161" i="262" s="1"/>
  <c r="W1502" i="259"/>
  <c r="S1501" i="259"/>
  <c r="S161" i="262" s="1"/>
  <c r="S1502" i="259"/>
  <c r="O1501" i="259"/>
  <c r="O161" i="262" s="1"/>
  <c r="O1502" i="259"/>
  <c r="K1501" i="259"/>
  <c r="K161" i="262" s="1"/>
  <c r="K1502" i="259"/>
  <c r="G816" i="259"/>
  <c r="G1501" i="259"/>
  <c r="G161" i="262" s="1"/>
  <c r="G1502" i="259"/>
  <c r="AV92" i="262"/>
  <c r="AX91" i="262"/>
  <c r="W729" i="259"/>
  <c r="S1542" i="259"/>
  <c r="K1249" i="259"/>
  <c r="K1684" i="259" s="1"/>
  <c r="G673" i="259"/>
  <c r="V1543" i="259"/>
  <c r="R1269" i="259"/>
  <c r="R151" i="262" s="1"/>
  <c r="N1067" i="259"/>
  <c r="N164" i="262" s="1"/>
  <c r="F1542" i="259"/>
  <c r="Q1259" i="259"/>
  <c r="Q137" i="261" s="1"/>
  <c r="M1258" i="259"/>
  <c r="M136" i="261" s="1"/>
  <c r="D1" i="262"/>
  <c r="D4" i="262" s="1"/>
  <c r="X1" i="262"/>
  <c r="X4" i="262" s="1"/>
  <c r="P1255" i="259"/>
  <c r="P133" i="261" s="1"/>
  <c r="H1249" i="259"/>
  <c r="AY1445" i="259"/>
  <c r="R1259" i="259"/>
  <c r="R137" i="261" s="1"/>
  <c r="F62" i="262"/>
  <c r="Q139" i="259"/>
  <c r="M159" i="259"/>
  <c r="E398" i="259"/>
  <c r="E32" i="261" s="1"/>
  <c r="G62" i="259"/>
  <c r="G142" i="262" s="1"/>
  <c r="H363" i="259"/>
  <c r="H1508" i="259"/>
  <c r="H115" i="261" s="1"/>
  <c r="T1414" i="259"/>
  <c r="T159" i="259"/>
  <c r="E1506" i="259"/>
  <c r="E113" i="261" s="1"/>
  <c r="E1414" i="259"/>
  <c r="R44" i="259"/>
  <c r="R44" i="275" s="1"/>
  <c r="R115" i="259"/>
  <c r="O544" i="259"/>
  <c r="P543" i="259"/>
  <c r="W691" i="259"/>
  <c r="AY690" i="259"/>
  <c r="O691" i="259"/>
  <c r="O732" i="259" s="1"/>
  <c r="P233" i="261"/>
  <c r="D1286" i="259"/>
  <c r="D1281" i="259"/>
  <c r="D270" i="262" s="1"/>
  <c r="T1281" i="259"/>
  <c r="T270" i="262" s="1"/>
  <c r="T1286" i="259"/>
  <c r="R885" i="259"/>
  <c r="R885" i="275" s="1"/>
  <c r="Q839" i="259"/>
  <c r="I56" i="262"/>
  <c r="J885" i="259"/>
  <c r="Q870" i="259"/>
  <c r="Q1351" i="259" s="1"/>
  <c r="Q1306" i="259"/>
  <c r="Q1312" i="259" s="1"/>
  <c r="Q176" i="262" s="1"/>
  <c r="F1306" i="259"/>
  <c r="F1312" i="259" s="1"/>
  <c r="F176" i="262" s="1"/>
  <c r="F870" i="259"/>
  <c r="F871" i="259" s="1"/>
  <c r="J889" i="259"/>
  <c r="J1067" i="259" s="1"/>
  <c r="J164" i="262" s="1"/>
  <c r="J258" i="261"/>
  <c r="R258" i="261"/>
  <c r="S258" i="261"/>
  <c r="U1338" i="259"/>
  <c r="U316" i="261" s="1"/>
  <c r="U1320" i="259"/>
  <c r="U1339" i="259" s="1"/>
  <c r="U238" i="262" s="1"/>
  <c r="R62" i="262"/>
  <c r="D1506" i="259"/>
  <c r="D113" i="261" s="1"/>
  <c r="U398" i="259"/>
  <c r="U32" i="261" s="1"/>
  <c r="AU927" i="259"/>
  <c r="D1414" i="259"/>
  <c r="D1426" i="259" s="1"/>
  <c r="P363" i="259"/>
  <c r="T139" i="259"/>
  <c r="AU31" i="259"/>
  <c r="AV1445" i="259"/>
  <c r="S1180" i="259"/>
  <c r="T1129" i="259"/>
  <c r="H41" i="261"/>
  <c r="M151" i="261"/>
  <c r="O51" i="261"/>
  <c r="G41" i="261"/>
  <c r="P51" i="261"/>
  <c r="V418" i="259"/>
  <c r="J1136" i="259"/>
  <c r="O1016" i="259"/>
  <c r="O1685" i="259" s="1"/>
  <c r="S234" i="259"/>
  <c r="H989" i="259"/>
  <c r="W234" i="259"/>
  <c r="U1255" i="259"/>
  <c r="U133" i="261" s="1"/>
  <c r="I1260" i="259"/>
  <c r="I138" i="261" s="1"/>
  <c r="E1264" i="259"/>
  <c r="E156" i="262" s="1"/>
  <c r="T553" i="259"/>
  <c r="T199" i="261" s="1"/>
  <c r="AY1338" i="259"/>
  <c r="AY316" i="261" s="1"/>
  <c r="AY1394" i="259"/>
  <c r="X642" i="259"/>
  <c r="AV196" i="259"/>
  <c r="AX927" i="259"/>
  <c r="AW1028" i="259"/>
  <c r="AU1023" i="259"/>
  <c r="M381" i="259"/>
  <c r="AX84" i="259"/>
  <c r="AY101" i="261"/>
  <c r="M102" i="261"/>
  <c r="H543" i="259"/>
  <c r="H161" i="261"/>
  <c r="L233" i="261"/>
  <c r="AZ1524" i="259"/>
  <c r="AW1585" i="259"/>
  <c r="F624" i="259"/>
  <c r="T624" i="259"/>
  <c r="P624" i="259"/>
  <c r="H624" i="259"/>
  <c r="H624" i="275" s="1"/>
  <c r="G1144" i="259"/>
  <c r="Q99" i="259"/>
  <c r="X102" i="261"/>
  <c r="AY1443" i="259"/>
  <c r="I514" i="259"/>
  <c r="I1085" i="259" s="1"/>
  <c r="E730" i="259"/>
  <c r="E1544" i="259"/>
  <c r="E74" i="259" s="1"/>
  <c r="M222" i="261"/>
  <c r="AV873" i="259"/>
  <c r="AV1286" i="259"/>
  <c r="M99" i="259"/>
  <c r="AY90" i="259"/>
  <c r="AU90" i="259"/>
  <c r="I1542" i="259"/>
  <c r="E1542" i="259"/>
  <c r="Q674" i="259"/>
  <c r="U1273" i="259"/>
  <c r="U261" i="262" s="1"/>
  <c r="E99" i="259"/>
  <c r="P101" i="259"/>
  <c r="E743" i="259"/>
  <c r="M152" i="261"/>
  <c r="AV1471" i="259"/>
  <c r="AV1136" i="259"/>
  <c r="Q730" i="259"/>
  <c r="E447" i="259"/>
  <c r="E1083" i="259" s="1"/>
  <c r="Q1260" i="259"/>
  <c r="Q138" i="261" s="1"/>
  <c r="I1543" i="259"/>
  <c r="H101" i="259"/>
  <c r="K1259" i="259"/>
  <c r="K137" i="261" s="1"/>
  <c r="AE483" i="259"/>
  <c r="AX1470" i="259"/>
  <c r="AX344" i="261" s="1"/>
  <c r="W99" i="259"/>
  <c r="AX1389" i="259"/>
  <c r="O99" i="259"/>
  <c r="AE244" i="259"/>
  <c r="AX1471" i="259"/>
  <c r="AX1636" i="259" s="1"/>
  <c r="AX1644" i="259" s="1"/>
  <c r="AX295" i="262" s="1"/>
  <c r="X286" i="259"/>
  <c r="K431" i="259"/>
  <c r="K181" i="259"/>
  <c r="K181" i="275" s="1"/>
  <c r="AX127" i="261"/>
  <c r="R1291" i="259"/>
  <c r="W1497" i="259"/>
  <c r="W163" i="262" s="1"/>
  <c r="W230" i="262"/>
  <c r="Q159" i="259"/>
  <c r="AV298" i="259"/>
  <c r="AV298" i="275" s="1"/>
  <c r="AU308" i="259"/>
  <c r="AV308" i="275" s="1"/>
  <c r="AY371" i="259"/>
  <c r="AY371" i="275" s="1"/>
  <c r="AV386" i="259"/>
  <c r="AV386" i="275" s="1"/>
  <c r="G431" i="259"/>
  <c r="G432" i="259" s="1"/>
  <c r="G131" i="259" s="1"/>
  <c r="G130" i="262" s="1"/>
  <c r="E115" i="259"/>
  <c r="E50" i="259" s="1"/>
  <c r="E126" i="262" s="1"/>
  <c r="L445" i="259"/>
  <c r="Q553" i="259"/>
  <c r="Q199" i="261" s="1"/>
  <c r="W161" i="261"/>
  <c r="AV927" i="259"/>
  <c r="AY1537" i="259"/>
  <c r="AY1529" i="259" s="1"/>
  <c r="W1498" i="259"/>
  <c r="AY92" i="261"/>
  <c r="D7" i="259"/>
  <c r="D135" i="262" s="1"/>
  <c r="D1547" i="259"/>
  <c r="D75" i="259" s="1"/>
  <c r="V1334" i="259"/>
  <c r="V1294" i="259" s="1"/>
  <c r="V243" i="262" s="1"/>
  <c r="AW1159" i="259"/>
  <c r="I1248" i="259"/>
  <c r="I152" i="261"/>
  <c r="I1253" i="259"/>
  <c r="I131" i="261" s="1"/>
  <c r="E729" i="259"/>
  <c r="E731" i="259"/>
  <c r="U1264" i="259"/>
  <c r="U156" i="262" s="1"/>
  <c r="U261" i="259"/>
  <c r="U22" i="261" s="1"/>
  <c r="U1546" i="259"/>
  <c r="I1505" i="259"/>
  <c r="M730" i="259"/>
  <c r="U1259" i="259"/>
  <c r="U137" i="261" s="1"/>
  <c r="AW1286" i="259"/>
  <c r="AU126" i="261"/>
  <c r="Q105" i="261"/>
  <c r="J733" i="259"/>
  <c r="G1392" i="259"/>
  <c r="G213" i="262" s="1"/>
  <c r="G1383" i="259"/>
  <c r="AU1383" i="259" s="1"/>
  <c r="M1249" i="259"/>
  <c r="F140" i="259"/>
  <c r="J140" i="259"/>
  <c r="L1383" i="259"/>
  <c r="P1508" i="259"/>
  <c r="P115" i="261" s="1"/>
  <c r="V121" i="259"/>
  <c r="P159" i="259"/>
  <c r="P123" i="259" s="1"/>
  <c r="M452" i="259"/>
  <c r="H141" i="259"/>
  <c r="H141" i="275" s="1"/>
  <c r="AU973" i="259"/>
  <c r="W1383" i="259"/>
  <c r="W1407" i="259" s="1"/>
  <c r="W222" i="262" s="1"/>
  <c r="L1392" i="259"/>
  <c r="L213" i="262" s="1"/>
  <c r="S769" i="259"/>
  <c r="S782" i="259" s="1"/>
  <c r="AU488" i="259"/>
  <c r="AV598" i="259"/>
  <c r="K432" i="259"/>
  <c r="E452" i="259"/>
  <c r="E453" i="259" s="1"/>
  <c r="Q1159" i="259"/>
  <c r="U839" i="259"/>
  <c r="R886" i="259"/>
  <c r="F885" i="259"/>
  <c r="AU952" i="259"/>
  <c r="AX751" i="259"/>
  <c r="O1250" i="259"/>
  <c r="O128" i="261" s="1"/>
  <c r="AU407" i="259"/>
  <c r="AU1260" i="259" s="1"/>
  <c r="AU138" i="261" s="1"/>
  <c r="AV599" i="275"/>
  <c r="AY256" i="259"/>
  <c r="AY8" i="261" s="1"/>
  <c r="AV293" i="259"/>
  <c r="AV293" i="275" s="1"/>
  <c r="AY293" i="259"/>
  <c r="AY293" i="275" s="1"/>
  <c r="AX311" i="259"/>
  <c r="AX13" i="261" s="1"/>
  <c r="AY1184" i="259"/>
  <c r="AV1201" i="259"/>
  <c r="AX1051" i="259"/>
  <c r="AX1051" i="275" s="1"/>
  <c r="AW271" i="259"/>
  <c r="AX472" i="259"/>
  <c r="AY472" i="275" s="1"/>
  <c r="AW730" i="259"/>
  <c r="AV868" i="259"/>
  <c r="AX1143" i="259"/>
  <c r="AX1144" i="259" s="1"/>
  <c r="AV1158" i="259"/>
  <c r="AV1159" i="259" s="1"/>
  <c r="AX1248" i="259"/>
  <c r="AX1683" i="259" s="1"/>
  <c r="AV1524" i="259"/>
  <c r="U1088" i="259"/>
  <c r="Q1262" i="259"/>
  <c r="Q1542" i="259"/>
  <c r="E1546" i="259"/>
  <c r="U1543" i="259"/>
  <c r="F65" i="259"/>
  <c r="M1253" i="259"/>
  <c r="M131" i="261" s="1"/>
  <c r="U1260" i="259"/>
  <c r="U138" i="261" s="1"/>
  <c r="V62" i="262"/>
  <c r="U105" i="261"/>
  <c r="AW126" i="261"/>
  <c r="AV105" i="261"/>
  <c r="Q1088" i="259"/>
  <c r="Q729" i="259"/>
  <c r="Q1254" i="259"/>
  <c r="Q132" i="261" s="1"/>
  <c r="G452" i="259"/>
  <c r="G453" i="259" s="1"/>
  <c r="AW927" i="259"/>
  <c r="AW927" i="275" s="1"/>
  <c r="V563" i="259"/>
  <c r="V200" i="261" s="1"/>
  <c r="F563" i="259"/>
  <c r="F200" i="261" s="1"/>
  <c r="S1511" i="259"/>
  <c r="S244" i="261" s="1"/>
  <c r="M1542" i="259"/>
  <c r="J181" i="259"/>
  <c r="N285" i="259"/>
  <c r="R285" i="259"/>
  <c r="K563" i="259"/>
  <c r="K200" i="261" s="1"/>
  <c r="AW315" i="259"/>
  <c r="L1506" i="259"/>
  <c r="L113" i="261" s="1"/>
  <c r="I452" i="259"/>
  <c r="U452" i="259"/>
  <c r="U453" i="259" s="1"/>
  <c r="AU1585" i="259"/>
  <c r="AV1028" i="259"/>
  <c r="F1178" i="259"/>
  <c r="F1239" i="259" s="1"/>
  <c r="F784" i="259" s="1"/>
  <c r="F95" i="262" s="1"/>
  <c r="F1185" i="259"/>
  <c r="F142" i="261" s="1"/>
  <c r="AV1023" i="259"/>
  <c r="M139" i="259"/>
  <c r="M139" i="275" s="1"/>
  <c r="M1506" i="259"/>
  <c r="M113" i="261" s="1"/>
  <c r="M1297" i="259"/>
  <c r="M1306" i="259"/>
  <c r="M1312" i="259" s="1"/>
  <c r="O234" i="259"/>
  <c r="O968" i="259"/>
  <c r="N1028" i="259"/>
  <c r="N1028" i="275" s="1"/>
  <c r="O59" i="261"/>
  <c r="N978" i="259"/>
  <c r="N418" i="259"/>
  <c r="N418" i="275" s="1"/>
  <c r="Q1185" i="259"/>
  <c r="Q142" i="261" s="1"/>
  <c r="Q1178" i="259"/>
  <c r="AX488" i="259"/>
  <c r="AX488" i="275" s="1"/>
  <c r="AW393" i="259"/>
  <c r="L85" i="259"/>
  <c r="L100" i="259" s="1"/>
  <c r="AX244" i="261"/>
  <c r="AY175" i="259"/>
  <c r="D431" i="259"/>
  <c r="D432" i="259" s="1"/>
  <c r="D131" i="259" s="1"/>
  <c r="D130" i="262" s="1"/>
  <c r="AX1263" i="259"/>
  <c r="AX155" i="262" s="1"/>
  <c r="W121" i="259"/>
  <c r="W121" i="275" s="1"/>
  <c r="E59" i="259"/>
  <c r="E820" i="259" s="1"/>
  <c r="L431" i="259"/>
  <c r="AX1028" i="259"/>
  <c r="AX1028" i="275" s="1"/>
  <c r="M1320" i="259"/>
  <c r="M1334" i="259" s="1"/>
  <c r="D870" i="259"/>
  <c r="D871" i="259" s="1"/>
  <c r="D1297" i="259"/>
  <c r="E1291" i="259" s="1"/>
  <c r="S922" i="259"/>
  <c r="S922" i="275" s="1"/>
  <c r="U922" i="259"/>
  <c r="U191" i="262" s="1"/>
  <c r="L1320" i="259"/>
  <c r="AW1318" i="259"/>
  <c r="AW1338" i="259" s="1"/>
  <c r="AW316" i="261" s="1"/>
  <c r="N221" i="259"/>
  <c r="R221" i="275" s="1"/>
  <c r="N1016" i="259"/>
  <c r="F1016" i="259"/>
  <c r="F1031" i="259" s="1"/>
  <c r="F1033" i="259" s="1"/>
  <c r="F221" i="259"/>
  <c r="F1018" i="259" s="1"/>
  <c r="D1033" i="259"/>
  <c r="AW973" i="259"/>
  <c r="V730" i="259"/>
  <c r="J115" i="259"/>
  <c r="J50" i="259" s="1"/>
  <c r="E159" i="259"/>
  <c r="W1508" i="259"/>
  <c r="W115" i="261" s="1"/>
  <c r="I159" i="259"/>
  <c r="M1374" i="259"/>
  <c r="M1375" i="259" s="1"/>
  <c r="Q1240" i="259"/>
  <c r="Q785" i="259" s="1"/>
  <c r="Q785" i="275" s="1"/>
  <c r="Q886" i="259"/>
  <c r="L210" i="259"/>
  <c r="V769" i="259"/>
  <c r="D159" i="259"/>
  <c r="D160" i="259" s="1"/>
  <c r="D161" i="259" s="1"/>
  <c r="D119" i="261" s="1"/>
  <c r="J1407" i="259"/>
  <c r="J222" i="262" s="1"/>
  <c r="G258" i="261"/>
  <c r="Q1374" i="259"/>
  <c r="Q1375" i="259" s="1"/>
  <c r="H233" i="261"/>
  <c r="F886" i="259"/>
  <c r="F1297" i="259"/>
  <c r="O258" i="261"/>
  <c r="K1508" i="259"/>
  <c r="K115" i="261" s="1"/>
  <c r="Q181" i="259"/>
  <c r="R839" i="259"/>
  <c r="J839" i="259"/>
  <c r="I59" i="259"/>
  <c r="S1286" i="259"/>
  <c r="F258" i="261"/>
  <c r="AU910" i="259"/>
  <c r="J870" i="259"/>
  <c r="H955" i="259"/>
  <c r="M816" i="259"/>
  <c r="M816" i="275" s="1"/>
  <c r="K1016" i="259"/>
  <c r="R902" i="259"/>
  <c r="P870" i="259"/>
  <c r="K234" i="259"/>
  <c r="T514" i="259"/>
  <c r="T149" i="261" s="1"/>
  <c r="L1262" i="259"/>
  <c r="T303" i="259"/>
  <c r="P303" i="259"/>
  <c r="L303" i="259"/>
  <c r="H303" i="259"/>
  <c r="G40" i="259"/>
  <c r="F769" i="259"/>
  <c r="I725" i="259"/>
  <c r="AU151" i="259"/>
  <c r="AU1506" i="259" s="1"/>
  <c r="AU113" i="261" s="1"/>
  <c r="AV256" i="259"/>
  <c r="AV8" i="261" s="1"/>
  <c r="AY376" i="259"/>
  <c r="AY376" i="275" s="1"/>
  <c r="AV240" i="259"/>
  <c r="AV240" i="275" s="1"/>
  <c r="AW1506" i="259"/>
  <c r="AW113" i="261" s="1"/>
  <c r="H262" i="261"/>
  <c r="P262" i="261"/>
  <c r="AX1329" i="259"/>
  <c r="AW837" i="259"/>
  <c r="AX837" i="275" s="1"/>
  <c r="AU1236" i="259"/>
  <c r="AU148" i="262" s="1"/>
  <c r="AX1231" i="259"/>
  <c r="AX147" i="262" s="1"/>
  <c r="AV245" i="259"/>
  <c r="AW245" i="275" s="1"/>
  <c r="H974" i="259"/>
  <c r="D974" i="259"/>
  <c r="S1269" i="259"/>
  <c r="S151" i="262" s="1"/>
  <c r="O1264" i="259"/>
  <c r="O156" i="262" s="1"/>
  <c r="D303" i="259"/>
  <c r="D982" i="259"/>
  <c r="T982" i="259"/>
  <c r="L982" i="259"/>
  <c r="L1116" i="259" s="1"/>
  <c r="P974" i="259"/>
  <c r="U1144" i="259"/>
  <c r="Q1144" i="259"/>
  <c r="I1144" i="259"/>
  <c r="L769" i="259"/>
  <c r="Q94" i="259"/>
  <c r="M94" i="259"/>
  <c r="I94" i="259"/>
  <c r="E94" i="259"/>
  <c r="R99" i="259"/>
  <c r="AV1443" i="259"/>
  <c r="V381" i="259"/>
  <c r="N381" i="259"/>
  <c r="F381" i="259"/>
  <c r="V445" i="259"/>
  <c r="O553" i="259"/>
  <c r="O199" i="261" s="1"/>
  <c r="M161" i="261"/>
  <c r="W160" i="261"/>
  <c r="I233" i="261"/>
  <c r="W1159" i="259"/>
  <c r="S1159" i="259"/>
  <c r="O1159" i="259"/>
  <c r="K1159" i="259"/>
  <c r="G1159" i="259"/>
  <c r="V1159" i="259"/>
  <c r="R1159" i="259"/>
  <c r="D769" i="259"/>
  <c r="D782" i="259" s="1"/>
  <c r="D257" i="262" s="1"/>
  <c r="AZ488" i="259"/>
  <c r="AV151" i="259"/>
  <c r="AW151" i="275" s="1"/>
  <c r="AX386" i="259"/>
  <c r="AX386" i="275" s="1"/>
  <c r="AW1443" i="259"/>
  <c r="AE548" i="259"/>
  <c r="AI548" i="275" s="1"/>
  <c r="I261" i="259"/>
  <c r="I22" i="261" s="1"/>
  <c r="I1249" i="259"/>
  <c r="E1" i="262"/>
  <c r="E4" i="262" s="1"/>
  <c r="E1249" i="259"/>
  <c r="E1684" i="259" s="1"/>
  <c r="E1259" i="259"/>
  <c r="E137" i="261" s="1"/>
  <c r="E1254" i="259"/>
  <c r="E132" i="261" s="1"/>
  <c r="E1260" i="259"/>
  <c r="E138" i="261" s="1"/>
  <c r="E197" i="259"/>
  <c r="E108" i="261" s="1"/>
  <c r="E397" i="259"/>
  <c r="E31" i="261" s="1"/>
  <c r="E1258" i="259"/>
  <c r="E136" i="261" s="1"/>
  <c r="E1262" i="259"/>
  <c r="I1262" i="259"/>
  <c r="E1248" i="259"/>
  <c r="E1683" i="259" s="1"/>
  <c r="E152" i="261"/>
  <c r="I1547" i="259"/>
  <c r="I75" i="259" s="1"/>
  <c r="Q733" i="259"/>
  <c r="Q447" i="259"/>
  <c r="Q1083" i="259" s="1"/>
  <c r="Q261" i="259"/>
  <c r="Q22" i="261" s="1"/>
  <c r="Q1247" i="259"/>
  <c r="Q125" i="261" s="1"/>
  <c r="Q1265" i="259"/>
  <c r="Q152" i="261"/>
  <c r="Q1258" i="259"/>
  <c r="Q136" i="261" s="1"/>
  <c r="U397" i="259"/>
  <c r="U31" i="261" s="1"/>
  <c r="U729" i="259"/>
  <c r="U222" i="261"/>
  <c r="U1542" i="259"/>
  <c r="U1541" i="259"/>
  <c r="I1546" i="259"/>
  <c r="E1541" i="259"/>
  <c r="M1543" i="259"/>
  <c r="I1544" i="259"/>
  <c r="I74" i="259" s="1"/>
  <c r="I1247" i="259"/>
  <c r="I125" i="261" s="1"/>
  <c r="M261" i="259"/>
  <c r="M22" i="261" s="1"/>
  <c r="M729" i="259"/>
  <c r="M1254" i="259"/>
  <c r="M132" i="261" s="1"/>
  <c r="M1247" i="259"/>
  <c r="M125" i="261" s="1"/>
  <c r="M1259" i="259"/>
  <c r="M137" i="261" s="1"/>
  <c r="M733" i="259"/>
  <c r="U674" i="259"/>
  <c r="U1262" i="259"/>
  <c r="AY1136" i="259"/>
  <c r="E1065" i="259"/>
  <c r="Q673" i="259"/>
  <c r="E1255" i="259"/>
  <c r="E133" i="261" s="1"/>
  <c r="Q1" i="262"/>
  <c r="Q4" i="262" s="1"/>
  <c r="Q397" i="259"/>
  <c r="Q31" i="261" s="1"/>
  <c r="M1" i="262"/>
  <c r="M4" i="262" s="1"/>
  <c r="F99" i="259"/>
  <c r="AY1442" i="259"/>
  <c r="AY339" i="261" s="1"/>
  <c r="E514" i="259"/>
  <c r="E1085" i="259" s="1"/>
  <c r="I462" i="259"/>
  <c r="I1084" i="259" s="1"/>
  <c r="E211" i="259"/>
  <c r="I1088" i="259"/>
  <c r="E674" i="259"/>
  <c r="E462" i="259"/>
  <c r="E1084" i="259" s="1"/>
  <c r="I197" i="259"/>
  <c r="I108" i="261" s="1"/>
  <c r="E1088" i="259"/>
  <c r="E733" i="259"/>
  <c r="I733" i="259"/>
  <c r="E1253" i="259"/>
  <c r="E131" i="261" s="1"/>
  <c r="I731" i="259"/>
  <c r="E261" i="259"/>
  <c r="E22" i="261" s="1"/>
  <c r="I1541" i="259"/>
  <c r="E671" i="259"/>
  <c r="Q514" i="259"/>
  <c r="Q149" i="261" s="1"/>
  <c r="Q1255" i="259"/>
  <c r="Q133" i="261" s="1"/>
  <c r="U1248" i="259"/>
  <c r="U1" i="262"/>
  <c r="U4" i="262" s="1"/>
  <c r="Q671" i="259"/>
  <c r="U1254" i="259"/>
  <c r="U132" i="261" s="1"/>
  <c r="U733" i="259"/>
  <c r="U743" i="259"/>
  <c r="Q1543" i="259"/>
  <c r="M1546" i="259"/>
  <c r="E101" i="259"/>
  <c r="I101" i="259"/>
  <c r="I673" i="259"/>
  <c r="I1258" i="259"/>
  <c r="I136" i="261" s="1"/>
  <c r="M1248" i="259"/>
  <c r="M1063" i="259"/>
  <c r="M671" i="259"/>
  <c r="M735" i="259"/>
  <c r="M673" i="259"/>
  <c r="M674" i="259"/>
  <c r="U730" i="259"/>
  <c r="U1247" i="259"/>
  <c r="U125" i="261" s="1"/>
  <c r="U447" i="259"/>
  <c r="U1083" i="259" s="1"/>
  <c r="AZ1123" i="259"/>
  <c r="I1255" i="259"/>
  <c r="I133" i="261" s="1"/>
  <c r="M197" i="259"/>
  <c r="M108" i="261" s="1"/>
  <c r="M1088" i="259"/>
  <c r="Q1248" i="259"/>
  <c r="Q1683" i="259" s="1"/>
  <c r="M1262" i="259"/>
  <c r="E222" i="261"/>
  <c r="M1541" i="259"/>
  <c r="AY1471" i="259"/>
  <c r="AY1636" i="259" s="1"/>
  <c r="AY1644" i="259" s="1"/>
  <c r="AY295" i="262" s="1"/>
  <c r="AY1470" i="259"/>
  <c r="AY344" i="261" s="1"/>
  <c r="I447" i="259"/>
  <c r="I1083" i="259" s="1"/>
  <c r="E1269" i="259"/>
  <c r="E151" i="262" s="1"/>
  <c r="I729" i="259"/>
  <c r="I743" i="259"/>
  <c r="I730" i="259"/>
  <c r="E1547" i="259"/>
  <c r="E75" i="259" s="1"/>
  <c r="I1254" i="259"/>
  <c r="I132" i="261" s="1"/>
  <c r="I735" i="259"/>
  <c r="E1265" i="259"/>
  <c r="E735" i="259"/>
  <c r="I1264" i="259"/>
  <c r="I156" i="262" s="1"/>
  <c r="E1063" i="259"/>
  <c r="I1269" i="259"/>
  <c r="I151" i="262" s="1"/>
  <c r="I222" i="261"/>
  <c r="I1" i="262"/>
  <c r="I4" i="262" s="1"/>
  <c r="E1543" i="259"/>
  <c r="H20" i="262"/>
  <c r="Q222" i="261"/>
  <c r="U1265" i="259"/>
  <c r="Q735" i="259"/>
  <c r="U1258" i="259"/>
  <c r="U136" i="261" s="1"/>
  <c r="Q743" i="259"/>
  <c r="U673" i="259"/>
  <c r="U1249" i="259"/>
  <c r="U1684" i="259" s="1"/>
  <c r="U197" i="259"/>
  <c r="U108" i="261" s="1"/>
  <c r="Q1541" i="259"/>
  <c r="Q1547" i="259"/>
  <c r="Q75" i="259" s="1"/>
  <c r="Q1546" i="259"/>
  <c r="J99" i="259"/>
  <c r="E1247" i="259"/>
  <c r="E125" i="261" s="1"/>
  <c r="M1269" i="259"/>
  <c r="M151" i="262" s="1"/>
  <c r="M743" i="259"/>
  <c r="M1255" i="259"/>
  <c r="M133" i="261" s="1"/>
  <c r="M397" i="259"/>
  <c r="M31" i="261" s="1"/>
  <c r="M1264" i="259"/>
  <c r="M156" i="262" s="1"/>
  <c r="U1269" i="259"/>
  <c r="U151" i="262" s="1"/>
  <c r="U1253" i="259"/>
  <c r="U131" i="261" s="1"/>
  <c r="U514" i="259"/>
  <c r="U1085" i="259" s="1"/>
  <c r="AU873" i="259"/>
  <c r="AU872" i="259" s="1"/>
  <c r="AU175" i="262" s="1"/>
  <c r="M211" i="259"/>
  <c r="I1259" i="259"/>
  <c r="I137" i="261" s="1"/>
  <c r="Q1264" i="259"/>
  <c r="Q156" i="262" s="1"/>
  <c r="M514" i="259"/>
  <c r="M1085" i="259" s="1"/>
  <c r="AY1389" i="259"/>
  <c r="W94" i="259"/>
  <c r="AW92" i="259"/>
  <c r="AU868" i="259"/>
  <c r="AY868" i="259"/>
  <c r="AX868" i="259"/>
  <c r="AW868" i="259"/>
  <c r="AW868" i="275" s="1"/>
  <c r="AX1371" i="259"/>
  <c r="AY1371" i="259"/>
  <c r="AY216" i="262" s="1"/>
  <c r="AU1371" i="259"/>
  <c r="G188" i="261"/>
  <c r="W1249" i="259"/>
  <c r="X20" i="262"/>
  <c r="S152" i="261"/>
  <c r="G27" i="261"/>
  <c r="AW1389" i="259"/>
  <c r="O1247" i="259"/>
  <c r="O125" i="261" s="1"/>
  <c r="S27" i="261"/>
  <c r="S743" i="259"/>
  <c r="G1253" i="259"/>
  <c r="G131" i="261" s="1"/>
  <c r="U101" i="259"/>
  <c r="O730" i="259"/>
  <c r="D21" i="262"/>
  <c r="F20" i="262"/>
  <c r="K1265" i="259"/>
  <c r="K1262" i="259"/>
  <c r="W735" i="259"/>
  <c r="R94" i="259"/>
  <c r="T94" i="259"/>
  <c r="H94" i="259"/>
  <c r="AV1371" i="259"/>
  <c r="AW1371" i="259"/>
  <c r="X222" i="261"/>
  <c r="X1542" i="259"/>
  <c r="X743" i="259"/>
  <c r="L1543" i="259"/>
  <c r="L152" i="261"/>
  <c r="W1269" i="259"/>
  <c r="W151" i="262" s="1"/>
  <c r="O1269" i="259"/>
  <c r="O151" i="262" s="1"/>
  <c r="L1542" i="259"/>
  <c r="O1258" i="259"/>
  <c r="O136" i="261" s="1"/>
  <c r="T447" i="259"/>
  <c r="T1083" i="259" s="1"/>
  <c r="P1259" i="259"/>
  <c r="P137" i="261" s="1"/>
  <c r="T1259" i="259"/>
  <c r="T137" i="261" s="1"/>
  <c r="G1249" i="259"/>
  <c r="G1684" i="259" s="1"/>
  <c r="L261" i="259"/>
  <c r="L22" i="261" s="1"/>
  <c r="T1262" i="259"/>
  <c r="K1253" i="259"/>
  <c r="K131" i="261" s="1"/>
  <c r="K674" i="259"/>
  <c r="K673" i="259"/>
  <c r="W673" i="259"/>
  <c r="D1260" i="259"/>
  <c r="D138" i="261" s="1"/>
  <c r="AD344" i="259"/>
  <c r="AW119" i="262"/>
  <c r="K101" i="259"/>
  <c r="AW1442" i="259"/>
  <c r="AW339" i="261" s="1"/>
  <c r="AW1471" i="259"/>
  <c r="AW1636" i="259" s="1"/>
  <c r="AW1644" i="259" s="1"/>
  <c r="AW295" i="262" s="1"/>
  <c r="X729" i="259"/>
  <c r="X1259" i="259"/>
  <c r="X137" i="261" s="1"/>
  <c r="P27" i="261"/>
  <c r="H27" i="261"/>
  <c r="W1255" i="259"/>
  <c r="W133" i="261" s="1"/>
  <c r="W1546" i="259"/>
  <c r="T1541" i="259"/>
  <c r="H729" i="259"/>
  <c r="P1541" i="259"/>
  <c r="W1" i="262"/>
  <c r="W4" i="262" s="1"/>
  <c r="G1258" i="259"/>
  <c r="G136" i="261" s="1"/>
  <c r="G397" i="259"/>
  <c r="G31" i="261" s="1"/>
  <c r="L1" i="262"/>
  <c r="L4" i="262" s="1"/>
  <c r="AW873" i="259"/>
  <c r="AW1470" i="259"/>
  <c r="AW344" i="261" s="1"/>
  <c r="AW1579" i="259"/>
  <c r="AW1590" i="259" s="1"/>
  <c r="I27" i="261"/>
  <c r="E27" i="261"/>
  <c r="U462" i="259"/>
  <c r="U461" i="259" s="1"/>
  <c r="Q462" i="259"/>
  <c r="Q1084" i="259" s="1"/>
  <c r="M462" i="259"/>
  <c r="M461" i="259" s="1"/>
  <c r="AY723" i="259"/>
  <c r="G1286" i="259"/>
  <c r="AU900" i="259"/>
  <c r="G769" i="259"/>
  <c r="G782" i="259" s="1"/>
  <c r="G257" i="262" s="1"/>
  <c r="P1265" i="259"/>
  <c r="H197" i="259"/>
  <c r="H108" i="261" s="1"/>
  <c r="AY301" i="259"/>
  <c r="AW119" i="259"/>
  <c r="AU120" i="259"/>
  <c r="U445" i="259"/>
  <c r="I445" i="259"/>
  <c r="E445" i="259"/>
  <c r="I624" i="259"/>
  <c r="G624" i="259"/>
  <c r="H162" i="261" s="1"/>
  <c r="AU680" i="259"/>
  <c r="AW719" i="259"/>
  <c r="AU719" i="259"/>
  <c r="AU720" i="259" s="1"/>
  <c r="U671" i="259"/>
  <c r="AW741" i="259"/>
  <c r="AV741" i="259"/>
  <c r="AV741" i="275" s="1"/>
  <c r="T1144" i="259"/>
  <c r="H1144" i="259"/>
  <c r="J1159" i="259"/>
  <c r="F1159" i="259"/>
  <c r="V1144" i="259"/>
  <c r="N1144" i="259"/>
  <c r="J1144" i="259"/>
  <c r="F1144" i="259"/>
  <c r="E895" i="259"/>
  <c r="AX894" i="259"/>
  <c r="AV894" i="259"/>
  <c r="AY893" i="259"/>
  <c r="AX892" i="259"/>
  <c r="AV892" i="259"/>
  <c r="AX920" i="259"/>
  <c r="AV920" i="259"/>
  <c r="F922" i="259"/>
  <c r="F191" i="262" s="1"/>
  <c r="AX916" i="259"/>
  <c r="AV916" i="259"/>
  <c r="AX910" i="259"/>
  <c r="O769" i="259"/>
  <c r="K769" i="259"/>
  <c r="AV58" i="259"/>
  <c r="AY63" i="259"/>
  <c r="AY802" i="259"/>
  <c r="Q982" i="259"/>
  <c r="M982" i="259"/>
  <c r="M1101" i="259" s="1"/>
  <c r="I982" i="259"/>
  <c r="E982" i="259"/>
  <c r="E1101" i="259" s="1"/>
  <c r="E974" i="259"/>
  <c r="AX407" i="259"/>
  <c r="AX1200" i="259"/>
  <c r="AX1202" i="259" s="1"/>
  <c r="AX143" i="261" s="1"/>
  <c r="AX1235" i="259"/>
  <c r="AX1262" i="259"/>
  <c r="U769" i="259"/>
  <c r="U118" i="262" s="1"/>
  <c r="Q769" i="259"/>
  <c r="M769" i="259"/>
  <c r="I769" i="259"/>
  <c r="E769" i="259"/>
  <c r="E87" i="262" s="1"/>
  <c r="I40" i="259"/>
  <c r="AX132" i="259"/>
  <c r="AU187" i="259"/>
  <c r="AV187" i="275" s="1"/>
  <c r="AW132" i="259"/>
  <c r="AU579" i="259"/>
  <c r="AU582" i="259" s="1"/>
  <c r="AY579" i="259"/>
  <c r="AU598" i="259"/>
  <c r="X1249" i="259"/>
  <c r="X462" i="259"/>
  <c r="X461" i="259" s="1"/>
  <c r="X1269" i="259"/>
  <c r="X151" i="262" s="1"/>
  <c r="X514" i="259"/>
  <c r="X1085" i="259" s="1"/>
  <c r="X1253" i="259"/>
  <c r="X131" i="261" s="1"/>
  <c r="X730" i="259"/>
  <c r="X1248" i="259"/>
  <c r="X1683" i="259" s="1"/>
  <c r="X731" i="259"/>
  <c r="X261" i="259"/>
  <c r="X22" i="261" s="1"/>
  <c r="H1258" i="259"/>
  <c r="H136" i="261" s="1"/>
  <c r="T1258" i="259"/>
  <c r="T136" i="261" s="1"/>
  <c r="P1249" i="259"/>
  <c r="H1259" i="259"/>
  <c r="H137" i="261" s="1"/>
  <c r="L222" i="261"/>
  <c r="L1250" i="259"/>
  <c r="L128" i="261" s="1"/>
  <c r="T397" i="259"/>
  <c r="T31" i="261" s="1"/>
  <c r="T671" i="259"/>
  <c r="L674" i="259"/>
  <c r="P152" i="261"/>
  <c r="P1088" i="259"/>
  <c r="H152" i="261"/>
  <c r="H1255" i="259"/>
  <c r="H133" i="261" s="1"/>
  <c r="L1253" i="259"/>
  <c r="L131" i="261" s="1"/>
  <c r="L1254" i="259"/>
  <c r="L132" i="261" s="1"/>
  <c r="P1542" i="259"/>
  <c r="L514" i="259"/>
  <c r="L149" i="261" s="1"/>
  <c r="T735" i="259"/>
  <c r="T1255" i="259"/>
  <c r="T133" i="261" s="1"/>
  <c r="P1262" i="259"/>
  <c r="T1249" i="259"/>
  <c r="X671" i="259"/>
  <c r="T743" i="259"/>
  <c r="L1258" i="259"/>
  <c r="L136" i="261" s="1"/>
  <c r="H1546" i="259"/>
  <c r="D1546" i="259"/>
  <c r="L1544" i="259"/>
  <c r="L74" i="259" s="1"/>
  <c r="H1543" i="259"/>
  <c r="D211" i="259"/>
  <c r="T105" i="261"/>
  <c r="D62" i="262"/>
  <c r="H673" i="259"/>
  <c r="I1507" i="259"/>
  <c r="I114" i="261" s="1"/>
  <c r="I671" i="259"/>
  <c r="G115" i="259"/>
  <c r="G1505" i="259" s="1"/>
  <c r="D62" i="259"/>
  <c r="D142" i="262" s="1"/>
  <c r="D121" i="259"/>
  <c r="U230" i="262"/>
  <c r="U1392" i="259"/>
  <c r="U1383" i="259"/>
  <c r="P62" i="262"/>
  <c r="P105" i="261"/>
  <c r="L105" i="261"/>
  <c r="L62" i="262"/>
  <c r="D222" i="261"/>
  <c r="D1249" i="259"/>
  <c r="D1684" i="259" s="1"/>
  <c r="D1258" i="259"/>
  <c r="D136" i="261" s="1"/>
  <c r="D1255" i="259"/>
  <c r="D133" i="261" s="1"/>
  <c r="D730" i="259"/>
  <c r="D447" i="259"/>
  <c r="D1083" i="259" s="1"/>
  <c r="D673" i="259"/>
  <c r="D733" i="259"/>
  <c r="D462" i="259"/>
  <c r="D461" i="259" s="1"/>
  <c r="D1269" i="259"/>
  <c r="D151" i="262" s="1"/>
  <c r="D1253" i="259"/>
  <c r="D131" i="261" s="1"/>
  <c r="D1254" i="259"/>
  <c r="D132" i="261" s="1"/>
  <c r="D1259" i="259"/>
  <c r="D137" i="261" s="1"/>
  <c r="D735" i="259"/>
  <c r="D1088" i="259"/>
  <c r="T1260" i="259"/>
  <c r="T138" i="261" s="1"/>
  <c r="T1269" i="259"/>
  <c r="T151" i="262" s="1"/>
  <c r="P733" i="259"/>
  <c r="P1269" i="259"/>
  <c r="P151" i="262" s="1"/>
  <c r="P743" i="259"/>
  <c r="P730" i="259"/>
  <c r="P1247" i="259"/>
  <c r="P125" i="261" s="1"/>
  <c r="P671" i="259"/>
  <c r="L462" i="259"/>
  <c r="L461" i="259" s="1"/>
  <c r="L730" i="259"/>
  <c r="L1269" i="259"/>
  <c r="L151" i="262" s="1"/>
  <c r="L197" i="259"/>
  <c r="L108" i="261" s="1"/>
  <c r="L731" i="259"/>
  <c r="L673" i="259"/>
  <c r="L1265" i="259"/>
  <c r="L733" i="259"/>
  <c r="H1262" i="259"/>
  <c r="H1254" i="259"/>
  <c r="H132" i="261" s="1"/>
  <c r="H1088" i="259"/>
  <c r="H1266" i="259"/>
  <c r="H150" i="262" s="1"/>
  <c r="H1265" i="259"/>
  <c r="H514" i="259"/>
  <c r="H149" i="261" s="1"/>
  <c r="H261" i="259"/>
  <c r="H22" i="261" s="1"/>
  <c r="H674" i="259"/>
  <c r="H743" i="259"/>
  <c r="H671" i="259"/>
  <c r="H447" i="259"/>
  <c r="H1083" i="259" s="1"/>
  <c r="H733" i="259"/>
  <c r="T262" i="259"/>
  <c r="T23" i="261" s="1"/>
  <c r="H262" i="259"/>
  <c r="H23" i="261" s="1"/>
  <c r="AV179" i="259"/>
  <c r="H181" i="259"/>
  <c r="U1507" i="259"/>
  <c r="U114" i="261" s="1"/>
  <c r="U140" i="259"/>
  <c r="M285" i="259"/>
  <c r="M140" i="259"/>
  <c r="AW140" i="259" s="1"/>
  <c r="M1507" i="259"/>
  <c r="M114" i="261" s="1"/>
  <c r="J320" i="259"/>
  <c r="J28" i="261" s="1"/>
  <c r="J452" i="259"/>
  <c r="AW301" i="259"/>
  <c r="M431" i="259"/>
  <c r="U1508" i="259"/>
  <c r="U115" i="261" s="1"/>
  <c r="U363" i="259"/>
  <c r="R1508" i="259"/>
  <c r="R115" i="261" s="1"/>
  <c r="R363" i="259"/>
  <c r="N363" i="259"/>
  <c r="N141" i="259"/>
  <c r="N1508" i="259"/>
  <c r="N115" i="261" s="1"/>
  <c r="J141" i="259"/>
  <c r="J363" i="259"/>
  <c r="J1508" i="259"/>
  <c r="J115" i="261" s="1"/>
  <c r="F363" i="259"/>
  <c r="F364" i="259" s="1"/>
  <c r="F365" i="259" s="1"/>
  <c r="F121" i="261" s="1"/>
  <c r="F141" i="259"/>
  <c r="F1508" i="259"/>
  <c r="F115" i="261" s="1"/>
  <c r="W398" i="259"/>
  <c r="W32" i="261" s="1"/>
  <c r="W452" i="259"/>
  <c r="W381" i="259"/>
  <c r="AY380" i="259"/>
  <c r="S398" i="259"/>
  <c r="S32" i="261" s="1"/>
  <c r="AX380" i="259"/>
  <c r="S452" i="259"/>
  <c r="O398" i="259"/>
  <c r="O32" i="261" s="1"/>
  <c r="O452" i="259"/>
  <c r="K398" i="259"/>
  <c r="K32" i="261" s="1"/>
  <c r="AV380" i="259"/>
  <c r="G398" i="259"/>
  <c r="G32" i="261" s="1"/>
  <c r="G381" i="259"/>
  <c r="R431" i="259"/>
  <c r="R381" i="259"/>
  <c r="R381" i="275" s="1"/>
  <c r="AV379" i="259"/>
  <c r="J381" i="259"/>
  <c r="V139" i="259"/>
  <c r="V142" i="259" s="1"/>
  <c r="V1414" i="259"/>
  <c r="V1506" i="259"/>
  <c r="V113" i="261" s="1"/>
  <c r="V159" i="259"/>
  <c r="O159" i="259"/>
  <c r="O139" i="259"/>
  <c r="O1506" i="259"/>
  <c r="O113" i="261" s="1"/>
  <c r="K1506" i="259"/>
  <c r="K113" i="261" s="1"/>
  <c r="K159" i="259"/>
  <c r="K139" i="259"/>
  <c r="G139" i="259"/>
  <c r="G159" i="259"/>
  <c r="G160" i="259" s="1"/>
  <c r="G161" i="259" s="1"/>
  <c r="G119" i="261" s="1"/>
  <c r="G1414" i="259"/>
  <c r="G1426" i="259" s="1"/>
  <c r="P44" i="259"/>
  <c r="P115" i="259"/>
  <c r="L44" i="259"/>
  <c r="L44" i="275" s="1"/>
  <c r="L115" i="259"/>
  <c r="W37" i="259"/>
  <c r="W115" i="259"/>
  <c r="K37" i="259"/>
  <c r="AV113" i="259"/>
  <c r="G59" i="259"/>
  <c r="G820" i="259" s="1"/>
  <c r="U62" i="259"/>
  <c r="AY119" i="259"/>
  <c r="Q62" i="259"/>
  <c r="Q121" i="259"/>
  <c r="M62" i="259"/>
  <c r="M121" i="259"/>
  <c r="I62" i="259"/>
  <c r="AV119" i="259"/>
  <c r="I121" i="259"/>
  <c r="E121" i="259"/>
  <c r="E62" i="259"/>
  <c r="S445" i="259"/>
  <c r="AX444" i="259"/>
  <c r="AX444" i="275" s="1"/>
  <c r="K445" i="259"/>
  <c r="AV444" i="259"/>
  <c r="AV444" i="275" s="1"/>
  <c r="Q476" i="259"/>
  <c r="D31" i="262"/>
  <c r="D30" i="262"/>
  <c r="L30" i="262"/>
  <c r="L31" i="262"/>
  <c r="D1419" i="259"/>
  <c r="D1420" i="259" s="1"/>
  <c r="D332" i="261" s="1"/>
  <c r="D591" i="259"/>
  <c r="T1419" i="259"/>
  <c r="T1420" i="259" s="1"/>
  <c r="T332" i="261" s="1"/>
  <c r="T591" i="259"/>
  <c r="X591" i="275" s="1"/>
  <c r="L591" i="259"/>
  <c r="L1419" i="259"/>
  <c r="L1420" i="259" s="1"/>
  <c r="L332" i="261" s="1"/>
  <c r="H1419" i="259"/>
  <c r="H1420" i="259" s="1"/>
  <c r="H332" i="261" s="1"/>
  <c r="H591" i="259"/>
  <c r="D542" i="259"/>
  <c r="E543" i="259"/>
  <c r="E198" i="261" s="1"/>
  <c r="D13" i="262"/>
  <c r="E552" i="259"/>
  <c r="U562" i="259"/>
  <c r="U563" i="259"/>
  <c r="U200" i="261" s="1"/>
  <c r="I562" i="259"/>
  <c r="J563" i="259"/>
  <c r="J200" i="261" s="1"/>
  <c r="AV561" i="259"/>
  <c r="K552" i="259"/>
  <c r="L553" i="259"/>
  <c r="L199" i="261" s="1"/>
  <c r="U544" i="259"/>
  <c r="U543" i="259"/>
  <c r="M542" i="259"/>
  <c r="N543" i="259"/>
  <c r="I542" i="259"/>
  <c r="I542" i="275" s="1"/>
  <c r="I543" i="259"/>
  <c r="J543" i="259"/>
  <c r="U161" i="261"/>
  <c r="AY623" i="259"/>
  <c r="K160" i="261"/>
  <c r="K624" i="259"/>
  <c r="V1423" i="259"/>
  <c r="V1422" i="259" s="1"/>
  <c r="V642" i="259"/>
  <c r="N1423" i="259"/>
  <c r="N1511" i="259"/>
  <c r="N642" i="259"/>
  <c r="U705" i="259"/>
  <c r="U989" i="259"/>
  <c r="Q989" i="259"/>
  <c r="Q705" i="259"/>
  <c r="M705" i="259"/>
  <c r="M989" i="259"/>
  <c r="I989" i="259"/>
  <c r="I705" i="259"/>
  <c r="E705" i="259"/>
  <c r="E990" i="259" s="1"/>
  <c r="E989" i="259"/>
  <c r="U1038" i="259"/>
  <c r="U691" i="259"/>
  <c r="U233" i="261"/>
  <c r="Q1038" i="259"/>
  <c r="AX690" i="259"/>
  <c r="Q691" i="259"/>
  <c r="Q233" i="261"/>
  <c r="M1038" i="259"/>
  <c r="M233" i="261"/>
  <c r="M691" i="259"/>
  <c r="E1038" i="259"/>
  <c r="F233" i="261"/>
  <c r="E233" i="261"/>
  <c r="AU690" i="259"/>
  <c r="AU671" i="259" s="1"/>
  <c r="E691" i="259"/>
  <c r="E1039" i="259" s="1"/>
  <c r="V1281" i="259"/>
  <c r="V270" i="262" s="1"/>
  <c r="V1286" i="259"/>
  <c r="R1281" i="259"/>
  <c r="R270" i="262" s="1"/>
  <c r="R1286" i="259"/>
  <c r="F1281" i="259"/>
  <c r="F270" i="262" s="1"/>
  <c r="F1286" i="259"/>
  <c r="D839" i="259"/>
  <c r="D845" i="259" s="1"/>
  <c r="D848" i="259" s="1"/>
  <c r="E885" i="259"/>
  <c r="T875" i="259"/>
  <c r="T839" i="259"/>
  <c r="L875" i="259"/>
  <c r="M929" i="259" s="1"/>
  <c r="L839" i="259"/>
  <c r="H875" i="259"/>
  <c r="H839" i="259"/>
  <c r="W56" i="262"/>
  <c r="W886" i="259"/>
  <c r="W885" i="259"/>
  <c r="S56" i="262"/>
  <c r="S886" i="259"/>
  <c r="S839" i="259"/>
  <c r="S885" i="259"/>
  <c r="O56" i="262"/>
  <c r="O885" i="259"/>
  <c r="O886" i="259"/>
  <c r="K56" i="262"/>
  <c r="K885" i="259"/>
  <c r="K886" i="259"/>
  <c r="K839" i="259"/>
  <c r="G56" i="262"/>
  <c r="G886" i="259"/>
  <c r="G885" i="259"/>
  <c r="G839" i="259"/>
  <c r="G845" i="259" s="1"/>
  <c r="AU845" i="259" s="1"/>
  <c r="W870" i="259"/>
  <c r="W1374" i="259"/>
  <c r="W1297" i="259"/>
  <c r="W1302" i="259" s="1"/>
  <c r="S870" i="259"/>
  <c r="S1306" i="259"/>
  <c r="AX1306" i="259" s="1"/>
  <c r="AX1312" i="259" s="1"/>
  <c r="AX176" i="262" s="1"/>
  <c r="S1374" i="259"/>
  <c r="S1297" i="259"/>
  <c r="S1302" i="259" s="1"/>
  <c r="S1303" i="259" s="1"/>
  <c r="O1374" i="259"/>
  <c r="AW1374" i="259" s="1"/>
  <c r="O1297" i="259"/>
  <c r="O1299" i="259" s="1"/>
  <c r="O870" i="259"/>
  <c r="O1306" i="259"/>
  <c r="AW1306" i="259" s="1"/>
  <c r="AW1312" i="259" s="1"/>
  <c r="AW176" i="262" s="1"/>
  <c r="K1297" i="259"/>
  <c r="K870" i="259"/>
  <c r="K1306" i="259"/>
  <c r="AV1306" i="259" s="1"/>
  <c r="AV1312" i="259" s="1"/>
  <c r="H870" i="259"/>
  <c r="H1374" i="259"/>
  <c r="H1375" i="259" s="1"/>
  <c r="H1297" i="259"/>
  <c r="H1306" i="259"/>
  <c r="H1312" i="259" s="1"/>
  <c r="H176" i="262" s="1"/>
  <c r="E258" i="261"/>
  <c r="D889" i="259"/>
  <c r="AU888" i="259"/>
  <c r="H889" i="259"/>
  <c r="I258" i="261"/>
  <c r="H258" i="261"/>
  <c r="L889" i="259"/>
  <c r="L895" i="259" s="1"/>
  <c r="L258" i="261"/>
  <c r="M258" i="261"/>
  <c r="AW888" i="259"/>
  <c r="Q258" i="261"/>
  <c r="P258" i="261"/>
  <c r="AX888" i="259"/>
  <c r="U258" i="261"/>
  <c r="T889" i="259"/>
  <c r="AY888" i="259"/>
  <c r="S902" i="259"/>
  <c r="AX901" i="259"/>
  <c r="S953" i="259"/>
  <c r="O902" i="259"/>
  <c r="O953" i="259"/>
  <c r="AW901" i="259"/>
  <c r="K902" i="259"/>
  <c r="K953" i="259"/>
  <c r="G902" i="259"/>
  <c r="G905" i="259" s="1"/>
  <c r="G953" i="259"/>
  <c r="H263" i="261" s="1"/>
  <c r="U952" i="259"/>
  <c r="AY900" i="259"/>
  <c r="U902" i="259"/>
  <c r="Q902" i="259"/>
  <c r="AX900" i="259"/>
  <c r="Q952" i="259"/>
  <c r="M952" i="259"/>
  <c r="M952" i="275" s="1"/>
  <c r="AW900" i="259"/>
  <c r="M902" i="259"/>
  <c r="I952" i="259"/>
  <c r="I902" i="259"/>
  <c r="AV900" i="259"/>
  <c r="AV900" i="275" s="1"/>
  <c r="N320" i="259"/>
  <c r="N28" i="261" s="1"/>
  <c r="AW302" i="259"/>
  <c r="D1544" i="259"/>
  <c r="D74" i="259" s="1"/>
  <c r="X733" i="259"/>
  <c r="X1541" i="259"/>
  <c r="X735" i="259"/>
  <c r="X397" i="259"/>
  <c r="X31" i="261" s="1"/>
  <c r="X1264" i="259"/>
  <c r="X156" i="262" s="1"/>
  <c r="X1544" i="259"/>
  <c r="X74" i="259" s="1"/>
  <c r="X1260" i="259"/>
  <c r="X138" i="261" s="1"/>
  <c r="H1542" i="259"/>
  <c r="H1" i="262"/>
  <c r="H4" i="262" s="1"/>
  <c r="P397" i="259"/>
  <c r="P31" i="261" s="1"/>
  <c r="P222" i="261"/>
  <c r="P1" i="262"/>
  <c r="P4" i="262" s="1"/>
  <c r="T1542" i="259"/>
  <c r="T152" i="261"/>
  <c r="L671" i="259"/>
  <c r="T1248" i="259"/>
  <c r="T1683" i="259" s="1"/>
  <c r="P447" i="259"/>
  <c r="P1083" i="259" s="1"/>
  <c r="P1258" i="259"/>
  <c r="P136" i="261" s="1"/>
  <c r="P1248" i="259"/>
  <c r="P1683" i="259" s="1"/>
  <c r="P729" i="259"/>
  <c r="H1269" i="259"/>
  <c r="H151" i="262" s="1"/>
  <c r="L397" i="259"/>
  <c r="L31" i="261" s="1"/>
  <c r="H397" i="259"/>
  <c r="H31" i="261" s="1"/>
  <c r="P1547" i="259"/>
  <c r="P75" i="259" s="1"/>
  <c r="L743" i="259"/>
  <c r="L1088" i="259"/>
  <c r="L735" i="259"/>
  <c r="T674" i="259"/>
  <c r="P261" i="259"/>
  <c r="P22" i="261" s="1"/>
  <c r="T1250" i="259"/>
  <c r="T128" i="261" s="1"/>
  <c r="P514" i="259"/>
  <c r="T1265" i="259"/>
  <c r="T1253" i="259"/>
  <c r="T131" i="261" s="1"/>
  <c r="L1248" i="259"/>
  <c r="L1683" i="259" s="1"/>
  <c r="T733" i="259"/>
  <c r="D1543" i="259"/>
  <c r="D1542" i="259"/>
  <c r="D1541" i="259"/>
  <c r="T672" i="259"/>
  <c r="D1248" i="259"/>
  <c r="D1683" i="259" s="1"/>
  <c r="K1414" i="259"/>
  <c r="H462" i="259"/>
  <c r="H461" i="259" s="1"/>
  <c r="D1262" i="259"/>
  <c r="D1273" i="259"/>
  <c r="D261" i="262" s="1"/>
  <c r="U121" i="259"/>
  <c r="O1414" i="259"/>
  <c r="Q285" i="259"/>
  <c r="J431" i="259"/>
  <c r="R141" i="259"/>
  <c r="X1546" i="259"/>
  <c r="X673" i="259"/>
  <c r="X1258" i="259"/>
  <c r="X136" i="261" s="1"/>
  <c r="X674" i="259"/>
  <c r="X27" i="261"/>
  <c r="X1247" i="259"/>
  <c r="X125" i="261" s="1"/>
  <c r="X1088" i="259"/>
  <c r="X1543" i="259"/>
  <c r="X1265" i="259"/>
  <c r="H1253" i="259"/>
  <c r="H131" i="261" s="1"/>
  <c r="P462" i="259"/>
  <c r="P461" i="259" s="1"/>
  <c r="H211" i="259"/>
  <c r="T730" i="259"/>
  <c r="L1249" i="259"/>
  <c r="L1684" i="259" s="1"/>
  <c r="T27" i="261"/>
  <c r="H731" i="259"/>
  <c r="P674" i="259"/>
  <c r="T1546" i="259"/>
  <c r="L729" i="259"/>
  <c r="L1260" i="259"/>
  <c r="L138" i="261" s="1"/>
  <c r="H1541" i="259"/>
  <c r="H1247" i="259"/>
  <c r="H125" i="261" s="1"/>
  <c r="H730" i="259"/>
  <c r="T197" i="259"/>
  <c r="T108" i="261" s="1"/>
  <c r="P1254" i="259"/>
  <c r="P132" i="261" s="1"/>
  <c r="T1247" i="259"/>
  <c r="T125" i="261" s="1"/>
  <c r="L672" i="259"/>
  <c r="T462" i="259"/>
  <c r="T461" i="259" s="1"/>
  <c r="T731" i="259"/>
  <c r="P731" i="259"/>
  <c r="P673" i="259"/>
  <c r="T1547" i="259"/>
  <c r="T75" i="259" s="1"/>
  <c r="L1255" i="259"/>
  <c r="L133" i="261" s="1"/>
  <c r="T1264" i="259"/>
  <c r="T156" i="262" s="1"/>
  <c r="L1546" i="259"/>
  <c r="M27" i="261"/>
  <c r="D152" i="261"/>
  <c r="O59" i="259"/>
  <c r="H62" i="262"/>
  <c r="L1264" i="259"/>
  <c r="L156" i="262" s="1"/>
  <c r="H735" i="259"/>
  <c r="D674" i="259"/>
  <c r="K452" i="259"/>
  <c r="V543" i="259"/>
  <c r="U141" i="259"/>
  <c r="AW690" i="259"/>
  <c r="F1351" i="259"/>
  <c r="D1497" i="259"/>
  <c r="P1202" i="259"/>
  <c r="P143" i="261" s="1"/>
  <c r="AW802" i="259"/>
  <c r="G753" i="259"/>
  <c r="E340" i="259"/>
  <c r="AW893" i="259"/>
  <c r="R922" i="259"/>
  <c r="R191" i="262" s="1"/>
  <c r="AX918" i="259"/>
  <c r="J922" i="259"/>
  <c r="J191" i="262" s="1"/>
  <c r="L922" i="259"/>
  <c r="L191" i="262" s="1"/>
  <c r="T954" i="259"/>
  <c r="AY910" i="259"/>
  <c r="W1320" i="259"/>
  <c r="W246" i="262" s="1"/>
  <c r="W1338" i="259"/>
  <c r="W316" i="261" s="1"/>
  <c r="S1338" i="259"/>
  <c r="S316" i="261" s="1"/>
  <c r="S1320" i="259"/>
  <c r="K1338" i="259"/>
  <c r="K316" i="261" s="1"/>
  <c r="K1320" i="259"/>
  <c r="K246" i="262" s="1"/>
  <c r="G1338" i="259"/>
  <c r="G316" i="261" s="1"/>
  <c r="G1320" i="259"/>
  <c r="G246" i="262" s="1"/>
  <c r="W816" i="259"/>
  <c r="AY751" i="259"/>
  <c r="W753" i="259"/>
  <c r="S753" i="259"/>
  <c r="S816" i="259"/>
  <c r="O753" i="259"/>
  <c r="O816" i="259"/>
  <c r="AW751" i="259"/>
  <c r="K816" i="259"/>
  <c r="K816" i="275" s="1"/>
  <c r="K753" i="259"/>
  <c r="AV751" i="259"/>
  <c r="T769" i="259"/>
  <c r="AY58" i="259"/>
  <c r="AG36" i="264"/>
  <c r="AI36" i="264" s="1"/>
  <c r="AY57" i="259"/>
  <c r="AX57" i="259"/>
  <c r="AW57" i="259"/>
  <c r="AV57" i="259"/>
  <c r="AU57" i="259"/>
  <c r="AU139" i="262" s="1"/>
  <c r="AU64" i="259"/>
  <c r="AU144" i="262" s="1"/>
  <c r="AY64" i="259"/>
  <c r="AV64" i="259"/>
  <c r="AX63" i="259"/>
  <c r="AW63" i="259"/>
  <c r="O65" i="259"/>
  <c r="K110" i="262"/>
  <c r="AV802" i="259"/>
  <c r="G110" i="262"/>
  <c r="AU802" i="259"/>
  <c r="AU110" i="262" s="1"/>
  <c r="AX795" i="259"/>
  <c r="AV795" i="259"/>
  <c r="S103" i="262"/>
  <c r="AX794" i="259"/>
  <c r="AU794" i="259"/>
  <c r="AU103" i="262" s="1"/>
  <c r="G103" i="262"/>
  <c r="AU1298" i="259"/>
  <c r="AU1380" i="259" s="1"/>
  <c r="X151" i="261"/>
  <c r="W1055" i="259"/>
  <c r="W151" i="261"/>
  <c r="AY607" i="259"/>
  <c r="S1055" i="259"/>
  <c r="T151" i="261"/>
  <c r="S151" i="261"/>
  <c r="P151" i="261"/>
  <c r="O1055" i="259"/>
  <c r="K1055" i="259"/>
  <c r="K1055" i="275" s="1"/>
  <c r="AV607" i="259"/>
  <c r="L151" i="261"/>
  <c r="K151" i="261"/>
  <c r="G151" i="261"/>
  <c r="AU607" i="259"/>
  <c r="H151" i="261"/>
  <c r="I1227" i="259"/>
  <c r="U1016" i="259"/>
  <c r="U221" i="259"/>
  <c r="U41" i="261"/>
  <c r="V41" i="261"/>
  <c r="Q221" i="259"/>
  <c r="Q1016" i="259"/>
  <c r="Q41" i="261"/>
  <c r="N41" i="261"/>
  <c r="M41" i="261"/>
  <c r="I1016" i="259"/>
  <c r="I221" i="259"/>
  <c r="J41" i="261"/>
  <c r="I41" i="261"/>
  <c r="E1016" i="259"/>
  <c r="E1031" i="259" s="1"/>
  <c r="E221" i="259"/>
  <c r="E1250" i="259" s="1"/>
  <c r="E128" i="261" s="1"/>
  <c r="F41" i="261"/>
  <c r="E41" i="261"/>
  <c r="U968" i="259"/>
  <c r="U234" i="259"/>
  <c r="Q968" i="259"/>
  <c r="Q234" i="259"/>
  <c r="M968" i="259"/>
  <c r="M234" i="259"/>
  <c r="I234" i="259"/>
  <c r="I968" i="259"/>
  <c r="U1023" i="259"/>
  <c r="V51" i="261"/>
  <c r="U51" i="261"/>
  <c r="AX329" i="259"/>
  <c r="Q51" i="261"/>
  <c r="Q1023" i="259"/>
  <c r="R51" i="261"/>
  <c r="M1023" i="259"/>
  <c r="M51" i="261"/>
  <c r="N51" i="261"/>
  <c r="AW329" i="259"/>
  <c r="I51" i="261"/>
  <c r="J51" i="261"/>
  <c r="AV329" i="259"/>
  <c r="I1023" i="259"/>
  <c r="E1023" i="259"/>
  <c r="E51" i="261"/>
  <c r="U340" i="259"/>
  <c r="U973" i="259"/>
  <c r="M973" i="259"/>
  <c r="M340" i="259"/>
  <c r="I340" i="259"/>
  <c r="I973" i="259"/>
  <c r="T1028" i="259"/>
  <c r="U59" i="261"/>
  <c r="T59" i="261"/>
  <c r="AY407" i="259"/>
  <c r="P1028" i="259"/>
  <c r="Q59" i="261"/>
  <c r="P59" i="261"/>
  <c r="L1028" i="259"/>
  <c r="L59" i="261"/>
  <c r="M59" i="261"/>
  <c r="H1028" i="259"/>
  <c r="I59" i="261"/>
  <c r="H59" i="261"/>
  <c r="AV407" i="259"/>
  <c r="D418" i="259"/>
  <c r="D978" i="259"/>
  <c r="D979" i="259" s="1"/>
  <c r="T418" i="259"/>
  <c r="T978" i="259"/>
  <c r="P978" i="259"/>
  <c r="P418" i="259"/>
  <c r="L418" i="259"/>
  <c r="L978" i="259"/>
  <c r="H978" i="259"/>
  <c r="H418" i="259"/>
  <c r="U1136" i="259"/>
  <c r="V1123" i="259"/>
  <c r="V1129" i="259" s="1"/>
  <c r="R1123" i="259"/>
  <c r="R1129" i="259" s="1"/>
  <c r="Q1136" i="259"/>
  <c r="Q1286" i="259"/>
  <c r="N1123" i="259"/>
  <c r="N1129" i="259" s="1"/>
  <c r="M1286" i="259"/>
  <c r="I1286" i="259"/>
  <c r="J1123" i="259"/>
  <c r="J1129" i="259" s="1"/>
  <c r="I1136" i="259"/>
  <c r="F1123" i="259"/>
  <c r="F1129" i="259" s="1"/>
  <c r="E1136" i="259"/>
  <c r="E1286" i="259"/>
  <c r="T1185" i="259"/>
  <c r="T142" i="261" s="1"/>
  <c r="T1178" i="259"/>
  <c r="T1239" i="259" s="1"/>
  <c r="T784" i="259" s="1"/>
  <c r="AY1183" i="259"/>
  <c r="L1178" i="259"/>
  <c r="L1239" i="259" s="1"/>
  <c r="L784" i="259" s="1"/>
  <c r="L1185" i="259"/>
  <c r="L142" i="261" s="1"/>
  <c r="T1202" i="259"/>
  <c r="T143" i="261" s="1"/>
  <c r="AY1200" i="259"/>
  <c r="AY1202" i="259" s="1"/>
  <c r="AY143" i="261" s="1"/>
  <c r="H1202" i="259"/>
  <c r="H143" i="261" s="1"/>
  <c r="AV1200" i="259"/>
  <c r="AU1213" i="259"/>
  <c r="AU1215" i="259" s="1"/>
  <c r="AU144" i="261" s="1"/>
  <c r="D1215" i="259"/>
  <c r="D144" i="261" s="1"/>
  <c r="AW1213" i="259"/>
  <c r="L1215" i="259"/>
  <c r="L144" i="261" s="1"/>
  <c r="T1232" i="259"/>
  <c r="T219" i="261" s="1"/>
  <c r="AY1230" i="259"/>
  <c r="AY1232" i="259" s="1"/>
  <c r="AY219" i="261" s="1"/>
  <c r="P1232" i="259"/>
  <c r="P219" i="261" s="1"/>
  <c r="AX1230" i="259"/>
  <c r="AW1230" i="259"/>
  <c r="AW1232" i="259" s="1"/>
  <c r="AW219" i="261" s="1"/>
  <c r="L1232" i="259"/>
  <c r="L219" i="261" s="1"/>
  <c r="AU1235" i="259"/>
  <c r="D1237" i="259"/>
  <c r="D253" i="261" s="1"/>
  <c r="AY1235" i="259"/>
  <c r="AY1237" i="259" s="1"/>
  <c r="AY253" i="261" s="1"/>
  <c r="T1237" i="259"/>
  <c r="T253" i="261" s="1"/>
  <c r="L1237" i="259"/>
  <c r="L253" i="261" s="1"/>
  <c r="AW1235" i="259"/>
  <c r="AW1237" i="259" s="1"/>
  <c r="AW253" i="261" s="1"/>
  <c r="AV1235" i="259"/>
  <c r="AV1237" i="259" s="1"/>
  <c r="AV253" i="261" s="1"/>
  <c r="H1237" i="259"/>
  <c r="H253" i="261" s="1"/>
  <c r="W1227" i="259"/>
  <c r="S1227" i="259"/>
  <c r="S1265" i="259" s="1"/>
  <c r="AV1568" i="259"/>
  <c r="AV1569" i="259" s="1"/>
  <c r="H641" i="259"/>
  <c r="T641" i="259"/>
  <c r="AY1568" i="259"/>
  <c r="AY1569" i="259" s="1"/>
  <c r="AX1568" i="259"/>
  <c r="AX1569" i="259" s="1"/>
  <c r="P641" i="259"/>
  <c r="L641" i="259"/>
  <c r="AW1568" i="259"/>
  <c r="AW1569" i="259" s="1"/>
  <c r="G641" i="259"/>
  <c r="G46" i="259" s="1"/>
  <c r="AU1568" i="259"/>
  <c r="AU1569" i="259" s="1"/>
  <c r="W657" i="259"/>
  <c r="AY1573" i="259"/>
  <c r="AY1574" i="259" s="1"/>
  <c r="AY801" i="259" s="1"/>
  <c r="S657" i="259"/>
  <c r="AX1573" i="259"/>
  <c r="AX1574" i="259" s="1"/>
  <c r="AX801" i="259" s="1"/>
  <c r="O657" i="259"/>
  <c r="AW1573" i="259"/>
  <c r="AW1574" i="259" s="1"/>
  <c r="AW801" i="259" s="1"/>
  <c r="K657" i="259"/>
  <c r="K657" i="275" s="1"/>
  <c r="AV1573" i="259"/>
  <c r="AV1574" i="259" s="1"/>
  <c r="AV801" i="259" s="1"/>
  <c r="I1498" i="259"/>
  <c r="M1016" i="259"/>
  <c r="AV794" i="259"/>
  <c r="AW64" i="259"/>
  <c r="AW910" i="259"/>
  <c r="AX607" i="259"/>
  <c r="AW917" i="259"/>
  <c r="AU795" i="259"/>
  <c r="AX64" i="259"/>
  <c r="F51" i="261"/>
  <c r="O151" i="261"/>
  <c r="H1180" i="259"/>
  <c r="AV1230" i="259"/>
  <c r="AV1232" i="259" s="1"/>
  <c r="AV219" i="261" s="1"/>
  <c r="M221" i="259"/>
  <c r="AV918" i="259"/>
  <c r="AW875" i="259"/>
  <c r="AW875" i="275" s="1"/>
  <c r="P1237" i="259"/>
  <c r="P253" i="261" s="1"/>
  <c r="P1185" i="259"/>
  <c r="P142" i="261" s="1"/>
  <c r="AW794" i="259"/>
  <c r="AV63" i="259"/>
  <c r="R41" i="261"/>
  <c r="R101" i="259"/>
  <c r="L101" i="259"/>
  <c r="G65" i="259"/>
  <c r="G821" i="259" s="1"/>
  <c r="S65" i="259"/>
  <c r="R1312" i="259"/>
  <c r="R176" i="262" s="1"/>
  <c r="D197" i="259"/>
  <c r="D108" i="261" s="1"/>
  <c r="Q1129" i="259"/>
  <c r="BC590" i="275"/>
  <c r="AU1573" i="259"/>
  <c r="AU1574" i="259" s="1"/>
  <c r="AU801" i="259" s="1"/>
  <c r="AY394" i="259"/>
  <c r="AW168" i="259"/>
  <c r="AW168" i="275" s="1"/>
  <c r="D1178" i="259"/>
  <c r="U115" i="259"/>
  <c r="U1420" i="259"/>
  <c r="U332" i="261" s="1"/>
  <c r="M1420" i="259"/>
  <c r="M332" i="261" s="1"/>
  <c r="N161" i="261"/>
  <c r="P160" i="261"/>
  <c r="AY741" i="259"/>
  <c r="T886" i="259"/>
  <c r="L886" i="259"/>
  <c r="L886" i="275" s="1"/>
  <c r="H885" i="259"/>
  <c r="H885" i="275" s="1"/>
  <c r="AU916" i="259"/>
  <c r="AU91" i="259"/>
  <c r="M1129" i="259"/>
  <c r="AX768" i="259"/>
  <c r="AX768" i="275" s="1"/>
  <c r="AV1507" i="259"/>
  <c r="AV114" i="261" s="1"/>
  <c r="AU208" i="259"/>
  <c r="J658" i="259"/>
  <c r="BA1573" i="259"/>
  <c r="BA1574" i="259" s="1"/>
  <c r="BA801" i="259" s="1"/>
  <c r="BA801" i="275" s="1"/>
  <c r="AW208" i="259"/>
  <c r="R303" i="259"/>
  <c r="Q40" i="259"/>
  <c r="F1420" i="259"/>
  <c r="F332" i="261" s="1"/>
  <c r="AU196" i="259"/>
  <c r="AU197" i="259" s="1"/>
  <c r="AU108" i="261" s="1"/>
  <c r="AX430" i="259"/>
  <c r="AY157" i="259"/>
  <c r="F445" i="259"/>
  <c r="V624" i="259"/>
  <c r="F161" i="261"/>
  <c r="AV690" i="259"/>
  <c r="S1144" i="259"/>
  <c r="O1144" i="259"/>
  <c r="K1144" i="259"/>
  <c r="AV888" i="259"/>
  <c r="AW891" i="259"/>
  <c r="AU901" i="259"/>
  <c r="AY919" i="259"/>
  <c r="W922" i="259"/>
  <c r="W191" i="262" s="1"/>
  <c r="AW918" i="259"/>
  <c r="K922" i="259"/>
  <c r="K191" i="262" s="1"/>
  <c r="G922" i="259"/>
  <c r="G191" i="262" s="1"/>
  <c r="AY917" i="259"/>
  <c r="Q922" i="259"/>
  <c r="M922" i="259"/>
  <c r="AV1262" i="259"/>
  <c r="AW407" i="259"/>
  <c r="AX91" i="259"/>
  <c r="AW1183" i="259"/>
  <c r="AW1185" i="259" s="1"/>
  <c r="AW142" i="261" s="1"/>
  <c r="AW1200" i="259"/>
  <c r="AW1202" i="259" s="1"/>
  <c r="AW143" i="261" s="1"/>
  <c r="AU1200" i="259"/>
  <c r="AY1213" i="259"/>
  <c r="AY1215" i="259" s="1"/>
  <c r="AY144" i="261" s="1"/>
  <c r="AX1213" i="259"/>
  <c r="AX1215" i="259" s="1"/>
  <c r="AX144" i="261" s="1"/>
  <c r="AV1213" i="259"/>
  <c r="AV1215" i="259" s="1"/>
  <c r="AV144" i="261" s="1"/>
  <c r="AX361" i="259"/>
  <c r="AX361" i="275" s="1"/>
  <c r="AX764" i="259"/>
  <c r="D85" i="259"/>
  <c r="Q1299" i="259"/>
  <c r="J432" i="259"/>
  <c r="AV315" i="259"/>
  <c r="W1116" i="259"/>
  <c r="T65" i="259"/>
  <c r="E52" i="259"/>
  <c r="E128" i="262" s="1"/>
  <c r="I210" i="259"/>
  <c r="I210" i="275" s="1"/>
  <c r="I181" i="259"/>
  <c r="E262" i="259"/>
  <c r="E23" i="261" s="1"/>
  <c r="E181" i="259"/>
  <c r="V1507" i="259"/>
  <c r="V114" i="261" s="1"/>
  <c r="V285" i="259"/>
  <c r="T37" i="259"/>
  <c r="T115" i="259"/>
  <c r="X115" i="275" s="1"/>
  <c r="J121" i="259"/>
  <c r="J62" i="259"/>
  <c r="AY443" i="259"/>
  <c r="AY443" i="275" s="1"/>
  <c r="W445" i="259"/>
  <c r="AW443" i="259"/>
  <c r="AW443" i="275" s="1"/>
  <c r="O445" i="259"/>
  <c r="AU443" i="259"/>
  <c r="G445" i="259"/>
  <c r="AU445" i="259" s="1"/>
  <c r="Q929" i="259"/>
  <c r="X210" i="259"/>
  <c r="E562" i="259"/>
  <c r="E31" i="262"/>
  <c r="N233" i="261"/>
  <c r="J233" i="261"/>
  <c r="M181" i="259"/>
  <c r="R233" i="261"/>
  <c r="J705" i="259"/>
  <c r="AX1183" i="259"/>
  <c r="AX1185" i="259" s="1"/>
  <c r="AX142" i="261" s="1"/>
  <c r="AV1183" i="259"/>
  <c r="P753" i="259"/>
  <c r="P753" i="275" s="1"/>
  <c r="D753" i="259"/>
  <c r="G1511" i="259"/>
  <c r="L1338" i="259"/>
  <c r="L316" i="261" s="1"/>
  <c r="T1320" i="259"/>
  <c r="AW607" i="259"/>
  <c r="AW1055" i="259" s="1"/>
  <c r="W1423" i="259"/>
  <c r="W1422" i="259" s="1"/>
  <c r="W1426" i="259" s="1"/>
  <c r="AY794" i="259"/>
  <c r="E953" i="259"/>
  <c r="E955" i="259" s="1"/>
  <c r="E911" i="259" s="1"/>
  <c r="I870" i="259"/>
  <c r="L870" i="259"/>
  <c r="P1297" i="259"/>
  <c r="Q1291" i="259" s="1"/>
  <c r="T1297" i="259"/>
  <c r="T1302" i="259" s="1"/>
  <c r="T1303" i="259" s="1"/>
  <c r="T885" i="259"/>
  <c r="G1281" i="259"/>
  <c r="G270" i="262" s="1"/>
  <c r="V340" i="259"/>
  <c r="I1185" i="259"/>
  <c r="I142" i="261" s="1"/>
  <c r="N1286" i="259"/>
  <c r="O1123" i="259"/>
  <c r="O1129" i="259" s="1"/>
  <c r="W543" i="259"/>
  <c r="K543" i="259"/>
  <c r="S262" i="261"/>
  <c r="F140" i="264"/>
  <c r="H140" i="264" s="1"/>
  <c r="AV1474" i="259"/>
  <c r="AV345" i="261" s="1"/>
  <c r="AV59" i="261"/>
  <c r="V233" i="261"/>
  <c r="N705" i="259"/>
  <c r="AY901" i="259"/>
  <c r="E1338" i="259"/>
  <c r="E316" i="261" s="1"/>
  <c r="AV1318" i="259"/>
  <c r="AV1338" i="259" s="1"/>
  <c r="AV316" i="261" s="1"/>
  <c r="P1320" i="259"/>
  <c r="N691" i="259"/>
  <c r="AU58" i="259"/>
  <c r="AU140" i="262" s="1"/>
  <c r="W889" i="259"/>
  <c r="I1306" i="259"/>
  <c r="I1312" i="259" s="1"/>
  <c r="L1306" i="259"/>
  <c r="L1312" i="259" s="1"/>
  <c r="L176" i="262" s="1"/>
  <c r="P1306" i="259"/>
  <c r="P1312" i="259" s="1"/>
  <c r="P176" i="262" s="1"/>
  <c r="D1306" i="259"/>
  <c r="D1312" i="259" s="1"/>
  <c r="D176" i="262" s="1"/>
  <c r="O1286" i="259"/>
  <c r="V1016" i="259"/>
  <c r="I418" i="259"/>
  <c r="I418" i="275" s="1"/>
  <c r="V968" i="259"/>
  <c r="W1123" i="259"/>
  <c r="W1129" i="259" s="1"/>
  <c r="T1306" i="259"/>
  <c r="T1312" i="259" s="1"/>
  <c r="W642" i="259"/>
  <c r="M591" i="259"/>
  <c r="Q591" i="259"/>
  <c r="F1038" i="259"/>
  <c r="T258" i="261"/>
  <c r="K258" i="261"/>
  <c r="M447" i="259"/>
  <c r="M1083" i="259" s="1"/>
  <c r="AU751" i="259"/>
  <c r="J1286" i="259"/>
  <c r="P769" i="259"/>
  <c r="P769" i="275" s="1"/>
  <c r="AX1318" i="259"/>
  <c r="AX1338" i="259" s="1"/>
  <c r="AX316" i="261" s="1"/>
  <c r="AW795" i="259"/>
  <c r="S889" i="259"/>
  <c r="E1306" i="259"/>
  <c r="E1312" i="259" s="1"/>
  <c r="E176" i="262" s="1"/>
  <c r="Q418" i="259"/>
  <c r="Q418" i="275" s="1"/>
  <c r="S1123" i="259"/>
  <c r="S1129" i="259" s="1"/>
  <c r="U1185" i="259"/>
  <c r="U142" i="261" s="1"/>
  <c r="K303" i="259"/>
  <c r="F40" i="259"/>
  <c r="K1420" i="259"/>
  <c r="K332" i="261" s="1"/>
  <c r="N1159" i="259"/>
  <c r="AW389" i="259"/>
  <c r="AW17" i="261" s="1"/>
  <c r="E1334" i="259"/>
  <c r="E1294" i="259" s="1"/>
  <c r="E243" i="262" s="1"/>
  <c r="E1339" i="259"/>
  <c r="E238" i="262" s="1"/>
  <c r="AW317" i="261"/>
  <c r="X1255" i="259"/>
  <c r="X133" i="261" s="1"/>
  <c r="U85" i="259"/>
  <c r="U100" i="259" s="1"/>
  <c r="AZ1320" i="259"/>
  <c r="X51" i="261"/>
  <c r="E672" i="259"/>
  <c r="E1144" i="259"/>
  <c r="AV317" i="261"/>
  <c r="E553" i="259"/>
  <c r="E199" i="261" s="1"/>
  <c r="G543" i="259"/>
  <c r="G198" i="261" s="1"/>
  <c r="AX623" i="259"/>
  <c r="P161" i="261"/>
  <c r="AU623" i="259"/>
  <c r="U160" i="261"/>
  <c r="Q624" i="259"/>
  <c r="M160" i="261"/>
  <c r="I160" i="261"/>
  <c r="X889" i="259"/>
  <c r="AC484" i="259"/>
  <c r="T102" i="261"/>
  <c r="AU101" i="261"/>
  <c r="AD482" i="259"/>
  <c r="F102" i="261"/>
  <c r="AW101" i="261"/>
  <c r="I102" i="261"/>
  <c r="Q102" i="261"/>
  <c r="U102" i="261"/>
  <c r="L102" i="261"/>
  <c r="E6" i="259"/>
  <c r="E134" i="262" s="1"/>
  <c r="F487" i="259"/>
  <c r="AZ867" i="259"/>
  <c r="AZ867" i="275" s="1"/>
  <c r="AG21" i="263"/>
  <c r="AI21" i="263" s="1"/>
  <c r="W95" i="262"/>
  <c r="W1101" i="259"/>
  <c r="AY222" i="261"/>
  <c r="R1033" i="259"/>
  <c r="AV1585" i="259"/>
  <c r="AV1032" i="259"/>
  <c r="Q381" i="259"/>
  <c r="Q381" i="275" s="1"/>
  <c r="E431" i="259"/>
  <c r="E432" i="259" s="1"/>
  <c r="E131" i="259" s="1"/>
  <c r="E130" i="262" s="1"/>
  <c r="AY113" i="259"/>
  <c r="AX120" i="259"/>
  <c r="R445" i="259"/>
  <c r="N445" i="259"/>
  <c r="Q445" i="259"/>
  <c r="M445" i="259"/>
  <c r="M445" i="275" s="1"/>
  <c r="H445" i="259"/>
  <c r="AW451" i="259"/>
  <c r="W1144" i="259"/>
  <c r="E1159" i="259"/>
  <c r="M1144" i="259"/>
  <c r="F135" i="264"/>
  <c r="H135" i="264" s="1"/>
  <c r="AY1110" i="259"/>
  <c r="AY1112" i="259" s="1"/>
  <c r="W178" i="259"/>
  <c r="W261" i="259" s="1"/>
  <c r="W22" i="261" s="1"/>
  <c r="V102" i="261"/>
  <c r="AZ422" i="259"/>
  <c r="W821" i="259"/>
  <c r="T381" i="259"/>
  <c r="T381" i="275" s="1"/>
  <c r="N487" i="259"/>
  <c r="AV178" i="259"/>
  <c r="S1239" i="259"/>
  <c r="S784" i="259" s="1"/>
  <c r="W784" i="275" s="1"/>
  <c r="V871" i="259"/>
  <c r="N27" i="261"/>
  <c r="P553" i="259"/>
  <c r="P199" i="261" s="1"/>
  <c r="X100" i="259"/>
  <c r="X87" i="259"/>
  <c r="X102" i="259" s="1"/>
  <c r="X106" i="259" s="1"/>
  <c r="AG8" i="264"/>
  <c r="AI8" i="264" s="1"/>
  <c r="X181" i="259"/>
  <c r="X1505" i="259"/>
  <c r="X50" i="259"/>
  <c r="D107" i="262"/>
  <c r="AU799" i="259"/>
  <c r="AU107" i="262" s="1"/>
  <c r="G9" i="259"/>
  <c r="G28" i="259" s="1"/>
  <c r="AU487" i="259"/>
  <c r="T244" i="261"/>
  <c r="D201" i="259"/>
  <c r="AU200" i="259"/>
  <c r="AU201" i="259" s="1"/>
  <c r="AY2" i="259"/>
  <c r="AY1600" i="259" s="1"/>
  <c r="AV1590" i="259"/>
  <c r="AW622" i="259"/>
  <c r="J591" i="259"/>
  <c r="AY561" i="259"/>
  <c r="AY622" i="259"/>
  <c r="AV622" i="259"/>
  <c r="AY551" i="259"/>
  <c r="AY886" i="259"/>
  <c r="AX839" i="259"/>
  <c r="M624" i="259"/>
  <c r="L1511" i="259"/>
  <c r="O543" i="259"/>
  <c r="V160" i="261"/>
  <c r="G563" i="259"/>
  <c r="G200" i="261" s="1"/>
  <c r="O542" i="259"/>
  <c r="N30" i="262"/>
  <c r="AU393" i="259"/>
  <c r="N398" i="259"/>
  <c r="N32" i="261" s="1"/>
  <c r="AW380" i="259"/>
  <c r="I397" i="259"/>
  <c r="I31" i="261" s="1"/>
  <c r="I381" i="259"/>
  <c r="I381" i="275" s="1"/>
  <c r="O44" i="259"/>
  <c r="AW114" i="259"/>
  <c r="L121" i="259"/>
  <c r="L62" i="259"/>
  <c r="P1018" i="259"/>
  <c r="L363" i="259"/>
  <c r="L141" i="259"/>
  <c r="L141" i="275" s="1"/>
  <c r="V31" i="262"/>
  <c r="V30" i="262"/>
  <c r="O564" i="259"/>
  <c r="O206" i="261" s="1"/>
  <c r="O562" i="259"/>
  <c r="K564" i="259"/>
  <c r="K206" i="261" s="1"/>
  <c r="L563" i="259"/>
  <c r="L200" i="261" s="1"/>
  <c r="K562" i="259"/>
  <c r="Q554" i="259"/>
  <c r="Q205" i="261" s="1"/>
  <c r="Q552" i="259"/>
  <c r="R553" i="259"/>
  <c r="R199" i="261" s="1"/>
  <c r="M554" i="259"/>
  <c r="M205" i="261" s="1"/>
  <c r="N553" i="259"/>
  <c r="N199" i="261" s="1"/>
  <c r="W544" i="259"/>
  <c r="S544" i="259"/>
  <c r="T543" i="259"/>
  <c r="S542" i="259"/>
  <c r="K544" i="259"/>
  <c r="G542" i="259"/>
  <c r="S624" i="259"/>
  <c r="T161" i="261"/>
  <c r="AV623" i="259"/>
  <c r="L161" i="261"/>
  <c r="P1511" i="259"/>
  <c r="P1423" i="259"/>
  <c r="P1422" i="259" s="1"/>
  <c r="P1426" i="259" s="1"/>
  <c r="M553" i="259"/>
  <c r="M199" i="261" s="1"/>
  <c r="AW561" i="259"/>
  <c r="S563" i="259"/>
  <c r="S200" i="261" s="1"/>
  <c r="AX622" i="259"/>
  <c r="D642" i="259"/>
  <c r="D52" i="259" s="1"/>
  <c r="D128" i="262" s="1"/>
  <c r="K161" i="261"/>
  <c r="W542" i="259"/>
  <c r="D14" i="262"/>
  <c r="D44" i="262" s="1"/>
  <c r="U552" i="259"/>
  <c r="T1423" i="259"/>
  <c r="T1422" i="259" s="1"/>
  <c r="M552" i="259"/>
  <c r="L543" i="259"/>
  <c r="AV1263" i="259"/>
  <c r="AV155" i="262" s="1"/>
  <c r="F66" i="264"/>
  <c r="F262" i="259"/>
  <c r="F23" i="261" s="1"/>
  <c r="AU179" i="259"/>
  <c r="AU262" i="259" s="1"/>
  <c r="AU23" i="261" s="1"/>
  <c r="AX1443" i="259"/>
  <c r="AX1445" i="259"/>
  <c r="W624" i="259"/>
  <c r="W624" i="275" s="1"/>
  <c r="R591" i="259"/>
  <c r="R591" i="275" s="1"/>
  <c r="AV551" i="259"/>
  <c r="U786" i="259"/>
  <c r="U1180" i="259"/>
  <c r="AW623" i="259"/>
  <c r="V553" i="259"/>
  <c r="V199" i="261" s="1"/>
  <c r="D1511" i="259"/>
  <c r="N160" i="261"/>
  <c r="S161" i="261"/>
  <c r="K542" i="259"/>
  <c r="J31" i="262"/>
  <c r="W263" i="261"/>
  <c r="AV541" i="259"/>
  <c r="J553" i="259"/>
  <c r="J199" i="261" s="1"/>
  <c r="R160" i="261"/>
  <c r="O43" i="261"/>
  <c r="AY571" i="259"/>
  <c r="AW296" i="261"/>
  <c r="F318" i="261"/>
  <c r="V1445" i="259"/>
  <c r="U982" i="259"/>
  <c r="AX296" i="261"/>
  <c r="U1286" i="259"/>
  <c r="D691" i="259"/>
  <c r="T989" i="259"/>
  <c r="L43" i="261"/>
  <c r="U889" i="259"/>
  <c r="K591" i="259"/>
  <c r="K591" i="275" s="1"/>
  <c r="I642" i="259"/>
  <c r="I642" i="275" s="1"/>
  <c r="J902" i="259"/>
  <c r="O1320" i="259"/>
  <c r="O246" i="262" s="1"/>
  <c r="D989" i="259"/>
  <c r="D991" i="259" s="1"/>
  <c r="D997" i="259" s="1"/>
  <c r="I591" i="259"/>
  <c r="E591" i="259"/>
  <c r="M600" i="259"/>
  <c r="G161" i="261"/>
  <c r="P1031" i="259"/>
  <c r="AX93" i="259"/>
  <c r="O94" i="259"/>
  <c r="K94" i="259"/>
  <c r="AY92" i="259"/>
  <c r="AX92" i="259"/>
  <c r="N94" i="259"/>
  <c r="J94" i="259"/>
  <c r="U94" i="259"/>
  <c r="P94" i="259"/>
  <c r="L94" i="259"/>
  <c r="AV90" i="259"/>
  <c r="AW571" i="259"/>
  <c r="AU296" i="261"/>
  <c r="AY296" i="261"/>
  <c r="G318" i="261"/>
  <c r="K447" i="259"/>
  <c r="K1083" i="259" s="1"/>
  <c r="N1297" i="259"/>
  <c r="V1374" i="259"/>
  <c r="V1375" i="259" s="1"/>
  <c r="P691" i="259"/>
  <c r="D140" i="259"/>
  <c r="D142" i="259" s="1"/>
  <c r="AY180" i="259"/>
  <c r="AY379" i="259"/>
  <c r="O381" i="259"/>
  <c r="K381" i="259"/>
  <c r="K381" i="275" s="1"/>
  <c r="AU379" i="259"/>
  <c r="AU397" i="259" s="1"/>
  <c r="AU31" i="261" s="1"/>
  <c r="AY114" i="259"/>
  <c r="AX113" i="259"/>
  <c r="AY117" i="259"/>
  <c r="AX157" i="259"/>
  <c r="AW157" i="259"/>
  <c r="AV157" i="259"/>
  <c r="AU157" i="259"/>
  <c r="AX119" i="259"/>
  <c r="J445" i="259"/>
  <c r="I563" i="259"/>
  <c r="I200" i="261" s="1"/>
  <c r="F160" i="261"/>
  <c r="Q161" i="261"/>
  <c r="I161" i="261"/>
  <c r="S160" i="261"/>
  <c r="G160" i="261"/>
  <c r="AG128" i="264"/>
  <c r="AI128" i="264" s="1"/>
  <c r="F134" i="264"/>
  <c r="H134" i="264" s="1"/>
  <c r="AX571" i="259"/>
  <c r="AV296" i="261"/>
  <c r="R102" i="261"/>
  <c r="V200" i="259"/>
  <c r="Z200" i="275" s="1"/>
  <c r="Y30" i="262"/>
  <c r="AZ101" i="261"/>
  <c r="Y238" i="262"/>
  <c r="Y29" i="262"/>
  <c r="Z34" i="262"/>
  <c r="BA101" i="261"/>
  <c r="Y41" i="262"/>
  <c r="AZ344" i="259"/>
  <c r="P263" i="259"/>
  <c r="P24" i="261" s="1"/>
  <c r="AX180" i="259"/>
  <c r="D181" i="259"/>
  <c r="W139" i="259"/>
  <c r="W159" i="259"/>
  <c r="H1414" i="259"/>
  <c r="H159" i="259"/>
  <c r="AX114" i="259"/>
  <c r="Q115" i="259"/>
  <c r="E44" i="259"/>
  <c r="AU114" i="259"/>
  <c r="AU44" i="259" s="1"/>
  <c r="H37" i="259"/>
  <c r="H115" i="259"/>
  <c r="AW117" i="259"/>
  <c r="L56" i="259"/>
  <c r="N121" i="259"/>
  <c r="N62" i="259"/>
  <c r="P30" i="262"/>
  <c r="P31" i="262"/>
  <c r="Q562" i="259"/>
  <c r="Q563" i="259"/>
  <c r="Q200" i="261" s="1"/>
  <c r="M564" i="259"/>
  <c r="M206" i="261" s="1"/>
  <c r="K554" i="259"/>
  <c r="K205" i="261" s="1"/>
  <c r="K553" i="259"/>
  <c r="K199" i="261" s="1"/>
  <c r="Q544" i="259"/>
  <c r="V161" i="261"/>
  <c r="U624" i="259"/>
  <c r="R1511" i="259"/>
  <c r="R642" i="259"/>
  <c r="F1511" i="259"/>
  <c r="F1423" i="259"/>
  <c r="F1422" i="259" s="1"/>
  <c r="F1426" i="259" s="1"/>
  <c r="K99" i="259"/>
  <c r="Q101" i="259"/>
  <c r="F262" i="261"/>
  <c r="AW570" i="259"/>
  <c r="AW207" i="261" s="1"/>
  <c r="H264" i="261"/>
  <c r="O552" i="259"/>
  <c r="U567" i="259"/>
  <c r="U201" i="261" s="1"/>
  <c r="N567" i="259"/>
  <c r="N201" i="261" s="1"/>
  <c r="J567" i="259"/>
  <c r="J201" i="261" s="1"/>
  <c r="F567" i="259"/>
  <c r="F201" i="261" s="1"/>
  <c r="X262" i="261"/>
  <c r="I263" i="261"/>
  <c r="AX1585" i="259"/>
  <c r="T398" i="259"/>
  <c r="T32" i="261" s="1"/>
  <c r="G1180" i="259"/>
  <c r="W552" i="259"/>
  <c r="V1511" i="259"/>
  <c r="AY120" i="259"/>
  <c r="AW120" i="259"/>
  <c r="AV120" i="259"/>
  <c r="W567" i="259"/>
  <c r="W201" i="261" s="1"/>
  <c r="S567" i="259"/>
  <c r="S201" i="261" s="1"/>
  <c r="P567" i="259"/>
  <c r="P201" i="261" s="1"/>
  <c r="L567" i="259"/>
  <c r="L201" i="261" s="1"/>
  <c r="H567" i="259"/>
  <c r="H201" i="261" s="1"/>
  <c r="AV498" i="259"/>
  <c r="AV667" i="259"/>
  <c r="AV488" i="259"/>
  <c r="AZ590" i="275"/>
  <c r="D666" i="259"/>
  <c r="AU666" i="259" s="1"/>
  <c r="AU667" i="259"/>
  <c r="AY1293" i="259"/>
  <c r="AY242" i="262" s="1"/>
  <c r="X954" i="259"/>
  <c r="W562" i="259"/>
  <c r="L234" i="261"/>
  <c r="O563" i="259"/>
  <c r="O200" i="261" s="1"/>
  <c r="U431" i="259"/>
  <c r="S983" i="259"/>
  <c r="AV570" i="259"/>
  <c r="AV207" i="261" s="1"/>
  <c r="F705" i="259"/>
  <c r="F990" i="259" s="1"/>
  <c r="F991" i="259" s="1"/>
  <c r="F997" i="259" s="1"/>
  <c r="F712" i="259" s="1"/>
  <c r="F710" i="259" s="1"/>
  <c r="O115" i="259"/>
  <c r="V567" i="259"/>
  <c r="V201" i="261" s="1"/>
  <c r="R567" i="259"/>
  <c r="R201" i="261" s="1"/>
  <c r="O567" i="259"/>
  <c r="O201" i="261" s="1"/>
  <c r="K567" i="259"/>
  <c r="K201" i="261" s="1"/>
  <c r="G567" i="259"/>
  <c r="G201" i="261" s="1"/>
  <c r="W563" i="259"/>
  <c r="W200" i="261" s="1"/>
  <c r="N563" i="259"/>
  <c r="N200" i="261" s="1"/>
  <c r="R161" i="261"/>
  <c r="J161" i="261"/>
  <c r="T160" i="261"/>
  <c r="R263" i="261"/>
  <c r="J263" i="261"/>
  <c r="W264" i="261"/>
  <c r="G264" i="261"/>
  <c r="X476" i="259"/>
  <c r="X567" i="259"/>
  <c r="X201" i="261" s="1"/>
  <c r="U263" i="261"/>
  <c r="Q263" i="261"/>
  <c r="M263" i="261"/>
  <c r="K262" i="261"/>
  <c r="G262" i="261"/>
  <c r="F264" i="261"/>
  <c r="W101" i="259"/>
  <c r="G101" i="259"/>
  <c r="AV571" i="259"/>
  <c r="L1443" i="259"/>
  <c r="X953" i="259"/>
  <c r="AU839" i="259"/>
  <c r="O263" i="261"/>
  <c r="P445" i="259"/>
  <c r="P445" i="275" s="1"/>
  <c r="T567" i="259"/>
  <c r="T201" i="261" s="1"/>
  <c r="Q567" i="259"/>
  <c r="Q201" i="261" s="1"/>
  <c r="M567" i="259"/>
  <c r="M201" i="261" s="1"/>
  <c r="I567" i="259"/>
  <c r="I201" i="261" s="1"/>
  <c r="E567" i="259"/>
  <c r="E201" i="261" s="1"/>
  <c r="Q543" i="259"/>
  <c r="M543" i="259"/>
  <c r="E624" i="259"/>
  <c r="T666" i="259"/>
  <c r="AY667" i="259"/>
  <c r="P666" i="259"/>
  <c r="AX667" i="259"/>
  <c r="L666" i="259"/>
  <c r="AW667" i="259"/>
  <c r="AW667" i="275" s="1"/>
  <c r="H666" i="259"/>
  <c r="AU920" i="259"/>
  <c r="I264" i="261"/>
  <c r="AM29" i="263"/>
  <c r="AC548" i="259"/>
  <c r="AV547" i="259"/>
  <c r="F94" i="259"/>
  <c r="R729" i="259"/>
  <c r="V1254" i="259"/>
  <c r="V132" i="261" s="1"/>
  <c r="AY93" i="259"/>
  <c r="AW90" i="259"/>
  <c r="AU92" i="259"/>
  <c r="V94" i="259"/>
  <c r="H99" i="259"/>
  <c r="G94" i="259"/>
  <c r="K189" i="261"/>
  <c r="AX537" i="259"/>
  <c r="AV537" i="259"/>
  <c r="AC483" i="259"/>
  <c r="AV93" i="259"/>
  <c r="AW93" i="259"/>
  <c r="S94" i="259"/>
  <c r="AV92" i="259"/>
  <c r="AF558" i="275"/>
  <c r="P99" i="259"/>
  <c r="D19" i="262"/>
  <c r="J1543" i="259"/>
  <c r="AU93" i="259"/>
  <c r="AX90" i="259"/>
  <c r="AY91" i="259"/>
  <c r="O101" i="259"/>
  <c r="AX778" i="259"/>
  <c r="AX778" i="275" s="1"/>
  <c r="AU1579" i="259"/>
  <c r="AU1590" i="259" s="1"/>
  <c r="AU778" i="259"/>
  <c r="AV119" i="262"/>
  <c r="AV778" i="259"/>
  <c r="AV778" i="275" s="1"/>
  <c r="F16" i="263"/>
  <c r="AY778" i="259"/>
  <c r="U735" i="259"/>
  <c r="M1260" i="259"/>
  <c r="M138" i="261" s="1"/>
  <c r="I674" i="259"/>
  <c r="E673" i="259"/>
  <c r="X152" i="261"/>
  <c r="T1254" i="259"/>
  <c r="T132" i="261" s="1"/>
  <c r="P1260" i="259"/>
  <c r="P138" i="261" s="1"/>
  <c r="L27" i="261"/>
  <c r="H222" i="261"/>
  <c r="G102" i="261"/>
  <c r="W152" i="261"/>
  <c r="S1" i="262"/>
  <c r="S4" i="262" s="1"/>
  <c r="O1542" i="259"/>
  <c r="K1" i="262"/>
  <c r="K4" i="262" s="1"/>
  <c r="G1260" i="259"/>
  <c r="G138" i="261" s="1"/>
  <c r="R397" i="259"/>
  <c r="R31" i="261" s="1"/>
  <c r="N447" i="259"/>
  <c r="N1083" i="259" s="1"/>
  <c r="F152" i="261"/>
  <c r="Y35" i="262"/>
  <c r="AC482" i="259"/>
  <c r="E102" i="261"/>
  <c r="E318" i="261"/>
  <c r="Y147" i="262"/>
  <c r="AV101" i="261"/>
  <c r="O102" i="261"/>
  <c r="S102" i="261"/>
  <c r="W102" i="261"/>
  <c r="D102" i="261"/>
  <c r="P102" i="261"/>
  <c r="Z180" i="275"/>
  <c r="Y103" i="262"/>
  <c r="AM28" i="263"/>
  <c r="J1546" i="259"/>
  <c r="N1542" i="259"/>
  <c r="R1248" i="259"/>
  <c r="N673" i="259"/>
  <c r="F673" i="259"/>
  <c r="F743" i="259"/>
  <c r="J211" i="259"/>
  <c r="J743" i="259"/>
  <c r="N462" i="259"/>
  <c r="N1084" i="259" s="1"/>
  <c r="R447" i="259"/>
  <c r="R1083" i="259" s="1"/>
  <c r="V1" i="262"/>
  <c r="V4" i="262" s="1"/>
  <c r="F733" i="259"/>
  <c r="V1247" i="259"/>
  <c r="V125" i="261" s="1"/>
  <c r="J514" i="259"/>
  <c r="J149" i="261" s="1"/>
  <c r="F1541" i="259"/>
  <c r="V672" i="259"/>
  <c r="R1258" i="259"/>
  <c r="R136" i="261" s="1"/>
  <c r="AW557" i="259"/>
  <c r="BA537" i="259"/>
  <c r="BB537" i="275" s="1"/>
  <c r="BA557" i="259"/>
  <c r="H19" i="262"/>
  <c r="P188" i="261"/>
  <c r="V261" i="259"/>
  <c r="V22" i="261" s="1"/>
  <c r="S20" i="262"/>
  <c r="AY557" i="259"/>
  <c r="N731" i="259"/>
  <c r="R671" i="259"/>
  <c r="F1260" i="259"/>
  <c r="F138" i="261" s="1"/>
  <c r="J27" i="261"/>
  <c r="R672" i="259"/>
  <c r="V1255" i="259"/>
  <c r="V133" i="261" s="1"/>
  <c r="K1254" i="259"/>
  <c r="K132" i="261" s="1"/>
  <c r="S1544" i="259"/>
  <c r="S74" i="259" s="1"/>
  <c r="V447" i="259"/>
  <c r="V1083" i="259" s="1"/>
  <c r="N1" i="262"/>
  <c r="N4" i="262" s="1"/>
  <c r="N743" i="259"/>
  <c r="N729" i="259"/>
  <c r="F1547" i="259"/>
  <c r="F75" i="259" s="1"/>
  <c r="N1541" i="259"/>
  <c r="R1247" i="259"/>
  <c r="R125" i="261" s="1"/>
  <c r="AC243" i="259"/>
  <c r="F514" i="259"/>
  <c r="J730" i="259"/>
  <c r="J1088" i="259"/>
  <c r="V674" i="259"/>
  <c r="F1264" i="259"/>
  <c r="F156" i="262" s="1"/>
  <c r="F462" i="259"/>
  <c r="R190" i="261"/>
  <c r="AX557" i="259"/>
  <c r="O1262" i="259"/>
  <c r="O1259" i="259"/>
  <c r="O137" i="261" s="1"/>
  <c r="W1541" i="259"/>
  <c r="O735" i="259"/>
  <c r="S222" i="261"/>
  <c r="W1250" i="259"/>
  <c r="W128" i="261" s="1"/>
  <c r="O447" i="259"/>
  <c r="O1083" i="259" s="1"/>
  <c r="W447" i="259"/>
  <c r="W1083" i="259" s="1"/>
  <c r="W197" i="259"/>
  <c r="W108" i="261" s="1"/>
  <c r="S397" i="259"/>
  <c r="S31" i="261" s="1"/>
  <c r="W1542" i="259"/>
  <c r="O674" i="259"/>
  <c r="S1247" i="259"/>
  <c r="S125" i="261" s="1"/>
  <c r="S735" i="259"/>
  <c r="W1544" i="259"/>
  <c r="W74" i="259" s="1"/>
  <c r="S672" i="259"/>
  <c r="S197" i="259"/>
  <c r="S108" i="261" s="1"/>
  <c r="AV557" i="259"/>
  <c r="AX547" i="259"/>
  <c r="K1542" i="259"/>
  <c r="O743" i="259"/>
  <c r="W743" i="259"/>
  <c r="O1255" i="259"/>
  <c r="O133" i="261" s="1"/>
  <c r="K462" i="259"/>
  <c r="K1084" i="259" s="1"/>
  <c r="W1266" i="259"/>
  <c r="W150" i="262" s="1"/>
  <c r="S1088" i="259"/>
  <c r="S674" i="259"/>
  <c r="O673" i="259"/>
  <c r="K1248" i="259"/>
  <c r="K1250" i="259"/>
  <c r="K128" i="261" s="1"/>
  <c r="K1543" i="259"/>
  <c r="G1088" i="259"/>
  <c r="G197" i="259"/>
  <c r="G108" i="261" s="1"/>
  <c r="K1067" i="259"/>
  <c r="K164" i="262" s="1"/>
  <c r="O1088" i="259"/>
  <c r="G733" i="259"/>
  <c r="W1248" i="259"/>
  <c r="W1683" i="259" s="1"/>
  <c r="G1547" i="259"/>
  <c r="G75" i="259" s="1"/>
  <c r="N559" i="259"/>
  <c r="N190" i="261" s="1"/>
  <c r="O729" i="259"/>
  <c r="AW537" i="259"/>
  <c r="S1264" i="259"/>
  <c r="S156" i="262" s="1"/>
  <c r="O152" i="261"/>
  <c r="AU557" i="259"/>
  <c r="AU559" i="259" s="1"/>
  <c r="AU21" i="262" s="1"/>
  <c r="O1546" i="259"/>
  <c r="S1546" i="259"/>
  <c r="O514" i="259"/>
  <c r="O149" i="261" s="1"/>
  <c r="S729" i="259"/>
  <c r="S1262" i="259"/>
  <c r="S1254" i="259"/>
  <c r="S132" i="261" s="1"/>
  <c r="O1" i="262"/>
  <c r="O4" i="262" s="1"/>
  <c r="W1247" i="259"/>
  <c r="W125" i="261" s="1"/>
  <c r="O733" i="259"/>
  <c r="S1253" i="259"/>
  <c r="S131" i="261" s="1"/>
  <c r="W671" i="259"/>
  <c r="O1253" i="259"/>
  <c r="O131" i="261" s="1"/>
  <c r="AU537" i="259"/>
  <c r="AU539" i="259" s="1"/>
  <c r="AU19" i="262" s="1"/>
  <c r="W731" i="259"/>
  <c r="K672" i="259"/>
  <c r="O197" i="259"/>
  <c r="O108" i="261" s="1"/>
  <c r="S1541" i="259"/>
  <c r="G447" i="259"/>
  <c r="G1083" i="259" s="1"/>
  <c r="O1543" i="259"/>
  <c r="W1258" i="259"/>
  <c r="W136" i="261" s="1"/>
  <c r="O462" i="259"/>
  <c r="O461" i="259" s="1"/>
  <c r="O1249" i="259"/>
  <c r="K729" i="259"/>
  <c r="K733" i="259"/>
  <c r="K735" i="259"/>
  <c r="K1255" i="259"/>
  <c r="K133" i="261" s="1"/>
  <c r="K671" i="259"/>
  <c r="G1266" i="259"/>
  <c r="G150" i="262" s="1"/>
  <c r="G222" i="261"/>
  <c r="G1248" i="259"/>
  <c r="G1683" i="259" s="1"/>
  <c r="G1546" i="259"/>
  <c r="G462" i="259"/>
  <c r="G461" i="259" s="1"/>
  <c r="K1063" i="259"/>
  <c r="S1259" i="259"/>
  <c r="S137" i="261" s="1"/>
  <c r="K1260" i="259"/>
  <c r="K138" i="261" s="1"/>
  <c r="G261" i="259"/>
  <c r="G22" i="261" s="1"/>
  <c r="W1262" i="259"/>
  <c r="W1254" i="259"/>
  <c r="W132" i="261" s="1"/>
  <c r="S514" i="259"/>
  <c r="O1260" i="259"/>
  <c r="O138" i="261" s="1"/>
  <c r="AY547" i="259"/>
  <c r="S1249" i="259"/>
  <c r="S1684" i="259" s="1"/>
  <c r="W1253" i="259"/>
  <c r="W131" i="261" s="1"/>
  <c r="S261" i="259"/>
  <c r="S22" i="261" s="1"/>
  <c r="W514" i="259"/>
  <c r="AW547" i="259"/>
  <c r="W674" i="259"/>
  <c r="O397" i="259"/>
  <c r="O31" i="261" s="1"/>
  <c r="W733" i="259"/>
  <c r="O1544" i="259"/>
  <c r="O74" i="259" s="1"/>
  <c r="O1265" i="259"/>
  <c r="S1248" i="259"/>
  <c r="S1683" i="259" s="1"/>
  <c r="D20" i="262"/>
  <c r="K732" i="259"/>
  <c r="O1063" i="259"/>
  <c r="S1258" i="259"/>
  <c r="S136" i="261" s="1"/>
  <c r="G672" i="259"/>
  <c r="W730" i="259"/>
  <c r="S462" i="259"/>
  <c r="S447" i="259"/>
  <c r="S1083" i="259" s="1"/>
  <c r="K731" i="259"/>
  <c r="K261" i="259"/>
  <c r="K22" i="261" s="1"/>
  <c r="K1247" i="259"/>
  <c r="K125" i="261" s="1"/>
  <c r="K27" i="261"/>
  <c r="G731" i="259"/>
  <c r="G514" i="259"/>
  <c r="G1085" i="259" s="1"/>
  <c r="G743" i="259"/>
  <c r="G1" i="262"/>
  <c r="G4" i="262" s="1"/>
  <c r="K1065" i="259"/>
  <c r="G730" i="259"/>
  <c r="K1088" i="259"/>
  <c r="S1250" i="259"/>
  <c r="S128" i="261" s="1"/>
  <c r="F190" i="261"/>
  <c r="F21" i="262"/>
  <c r="W1259" i="259"/>
  <c r="W137" i="261" s="1"/>
  <c r="G1250" i="259"/>
  <c r="G128" i="261" s="1"/>
  <c r="G729" i="259"/>
  <c r="G674" i="259"/>
  <c r="K730" i="259"/>
  <c r="K743" i="259"/>
  <c r="O1254" i="259"/>
  <c r="O132" i="261" s="1"/>
  <c r="O731" i="259"/>
  <c r="S731" i="259"/>
  <c r="S733" i="259"/>
  <c r="S671" i="259"/>
  <c r="W1543" i="259"/>
  <c r="K1269" i="259"/>
  <c r="K151" i="262" s="1"/>
  <c r="S1266" i="259"/>
  <c r="S150" i="262" s="1"/>
  <c r="K514" i="259"/>
  <c r="G211" i="259"/>
  <c r="G1254" i="259"/>
  <c r="G132" i="261" s="1"/>
  <c r="BA547" i="259"/>
  <c r="AZ547" i="259"/>
  <c r="AZ478" i="259"/>
  <c r="AZ478" i="275" s="1"/>
  <c r="AV103" i="261"/>
  <c r="AW103" i="261"/>
  <c r="AY103" i="261"/>
  <c r="S673" i="259"/>
  <c r="K1546" i="259"/>
  <c r="K1541" i="259"/>
  <c r="G1262" i="259"/>
  <c r="G1247" i="259"/>
  <c r="G125" i="261" s="1"/>
  <c r="G1255" i="259"/>
  <c r="G133" i="261" s="1"/>
  <c r="G1543" i="259"/>
  <c r="G671" i="259"/>
  <c r="K211" i="259"/>
  <c r="K1264" i="259"/>
  <c r="K156" i="262" s="1"/>
  <c r="O1266" i="259"/>
  <c r="O150" i="262" s="1"/>
  <c r="O671" i="259"/>
  <c r="S1260" i="259"/>
  <c r="S138" i="261" s="1"/>
  <c r="S1255" i="259"/>
  <c r="S133" i="261" s="1"/>
  <c r="G1542" i="259"/>
  <c r="O1541" i="259"/>
  <c r="G1541" i="259"/>
  <c r="G1269" i="259"/>
  <c r="G151" i="262" s="1"/>
  <c r="O1248" i="259"/>
  <c r="O1683" i="259" s="1"/>
  <c r="G1264" i="259"/>
  <c r="G156" i="262" s="1"/>
  <c r="G735" i="259"/>
  <c r="G1259" i="259"/>
  <c r="G137" i="261" s="1"/>
  <c r="K1258" i="259"/>
  <c r="K136" i="261" s="1"/>
  <c r="K152" i="261"/>
  <c r="K397" i="259"/>
  <c r="K31" i="261" s="1"/>
  <c r="O27" i="261"/>
  <c r="O222" i="261"/>
  <c r="S730" i="259"/>
  <c r="S1543" i="259"/>
  <c r="W1088" i="259"/>
  <c r="AA29" i="262"/>
  <c r="G152" i="261"/>
  <c r="K222" i="261"/>
  <c r="F1259" i="259"/>
  <c r="F137" i="261" s="1"/>
  <c r="V1264" i="259"/>
  <c r="V156" i="262" s="1"/>
  <c r="V731" i="259"/>
  <c r="V152" i="261"/>
  <c r="V514" i="259"/>
  <c r="V1085" i="259" s="1"/>
  <c r="V1265" i="259"/>
  <c r="V27" i="261"/>
  <c r="V1258" i="259"/>
  <c r="V136" i="261" s="1"/>
  <c r="V462" i="259"/>
  <c r="V1541" i="259"/>
  <c r="V1253" i="259"/>
  <c r="V131" i="261" s="1"/>
  <c r="V673" i="259"/>
  <c r="V1088" i="259"/>
  <c r="V1250" i="259"/>
  <c r="V128" i="261" s="1"/>
  <c r="V1249" i="259"/>
  <c r="V1684" i="259" s="1"/>
  <c r="V743" i="259"/>
  <c r="V729" i="259"/>
  <c r="V735" i="259"/>
  <c r="V1546" i="259"/>
  <c r="V733" i="259"/>
  <c r="V671" i="259"/>
  <c r="V1269" i="259"/>
  <c r="V151" i="262" s="1"/>
  <c r="V1248" i="259"/>
  <c r="V1683" i="259" s="1"/>
  <c r="V397" i="259"/>
  <c r="V31" i="261" s="1"/>
  <c r="V1260" i="259"/>
  <c r="V138" i="261" s="1"/>
  <c r="V1259" i="259"/>
  <c r="V137" i="261" s="1"/>
  <c r="V222" i="261"/>
  <c r="V1262" i="259"/>
  <c r="V1542" i="259"/>
  <c r="V1547" i="259"/>
  <c r="V75" i="259" s="1"/>
  <c r="R732" i="259"/>
  <c r="R1" i="262"/>
  <c r="R4" i="262" s="1"/>
  <c r="R1266" i="259"/>
  <c r="R150" i="262" s="1"/>
  <c r="R1249" i="259"/>
  <c r="R1684" i="259" s="1"/>
  <c r="R462" i="259"/>
  <c r="R1543" i="259"/>
  <c r="R1253" i="259"/>
  <c r="R131" i="261" s="1"/>
  <c r="R735" i="259"/>
  <c r="R1546" i="259"/>
  <c r="R152" i="261"/>
  <c r="R1260" i="259"/>
  <c r="R138" i="261" s="1"/>
  <c r="R1255" i="259"/>
  <c r="R133" i="261" s="1"/>
  <c r="R730" i="259"/>
  <c r="R222" i="261"/>
  <c r="R743" i="259"/>
  <c r="R733" i="259"/>
  <c r="R514" i="259"/>
  <c r="R27" i="261"/>
  <c r="R1541" i="259"/>
  <c r="R1250" i="259"/>
  <c r="R128" i="261" s="1"/>
  <c r="R1265" i="259"/>
  <c r="R674" i="259"/>
  <c r="R1254" i="259"/>
  <c r="R132" i="261" s="1"/>
  <c r="R673" i="259"/>
  <c r="R1262" i="259"/>
  <c r="R1264" i="259"/>
  <c r="R156" i="262" s="1"/>
  <c r="R1088" i="259"/>
  <c r="R731" i="259"/>
  <c r="R1542" i="259"/>
  <c r="R197" i="259"/>
  <c r="R108" i="261" s="1"/>
  <c r="N1255" i="259"/>
  <c r="N133" i="261" s="1"/>
  <c r="N152" i="261"/>
  <c r="N1254" i="259"/>
  <c r="N132" i="261" s="1"/>
  <c r="N735" i="259"/>
  <c r="N1258" i="259"/>
  <c r="N136" i="261" s="1"/>
  <c r="N1259" i="259"/>
  <c r="N137" i="261" s="1"/>
  <c r="N1264" i="259"/>
  <c r="N156" i="262" s="1"/>
  <c r="N1547" i="259"/>
  <c r="N75" i="259" s="1"/>
  <c r="N1249" i="259"/>
  <c r="N1684" i="259" s="1"/>
  <c r="N1088" i="259"/>
  <c r="N674" i="259"/>
  <c r="N1063" i="259"/>
  <c r="N1248" i="259"/>
  <c r="N1683" i="259" s="1"/>
  <c r="N514" i="259"/>
  <c r="N1064" i="259"/>
  <c r="N1087" i="259" s="1"/>
  <c r="N733" i="259"/>
  <c r="N1065" i="259"/>
  <c r="N1253" i="259"/>
  <c r="N131" i="261" s="1"/>
  <c r="N1543" i="259"/>
  <c r="N1269" i="259"/>
  <c r="N151" i="262" s="1"/>
  <c r="N1262" i="259"/>
  <c r="N397" i="259"/>
  <c r="N31" i="261" s="1"/>
  <c r="N1265" i="259"/>
  <c r="N1260" i="259"/>
  <c r="N138" i="261" s="1"/>
  <c r="N671" i="259"/>
  <c r="N754" i="259"/>
  <c r="N279" i="261" s="1"/>
  <c r="N1546" i="259"/>
  <c r="N222" i="261"/>
  <c r="N730" i="259"/>
  <c r="N1247" i="259"/>
  <c r="N125" i="261" s="1"/>
  <c r="J1541" i="259"/>
  <c r="J1249" i="259"/>
  <c r="J1684" i="259" s="1"/>
  <c r="J1262" i="259"/>
  <c r="J197" i="259"/>
  <c r="J108" i="261" s="1"/>
  <c r="J735" i="259"/>
  <c r="J462" i="259"/>
  <c r="J1269" i="259"/>
  <c r="J151" i="262" s="1"/>
  <c r="J732" i="259"/>
  <c r="J1253" i="259"/>
  <c r="J131" i="261" s="1"/>
  <c r="J1264" i="259"/>
  <c r="J156" i="262" s="1"/>
  <c r="J1247" i="259"/>
  <c r="J125" i="261" s="1"/>
  <c r="J731" i="259"/>
  <c r="J261" i="259"/>
  <c r="J22" i="261" s="1"/>
  <c r="J1258" i="259"/>
  <c r="J136" i="261" s="1"/>
  <c r="J1260" i="259"/>
  <c r="J138" i="261" s="1"/>
  <c r="J397" i="259"/>
  <c r="J31" i="261" s="1"/>
  <c r="J152" i="261"/>
  <c r="J1542" i="259"/>
  <c r="J1" i="262"/>
  <c r="J4" i="262" s="1"/>
  <c r="J671" i="259"/>
  <c r="J1265" i="259"/>
  <c r="J1248" i="259"/>
  <c r="J1683" i="259" s="1"/>
  <c r="J1259" i="259"/>
  <c r="J137" i="261" s="1"/>
  <c r="J673" i="259"/>
  <c r="J729" i="259"/>
  <c r="J674" i="259"/>
  <c r="J1255" i="259"/>
  <c r="J133" i="261" s="1"/>
  <c r="J1254" i="259"/>
  <c r="J132" i="261" s="1"/>
  <c r="J222" i="261"/>
  <c r="J672" i="259"/>
  <c r="F1255" i="259"/>
  <c r="F133" i="261" s="1"/>
  <c r="F397" i="259"/>
  <c r="F31" i="261" s="1"/>
  <c r="F1265" i="259"/>
  <c r="F735" i="259"/>
  <c r="F671" i="259"/>
  <c r="F27" i="261"/>
  <c r="F1088" i="259"/>
  <c r="F1262" i="259"/>
  <c r="F222" i="261"/>
  <c r="F1543" i="259"/>
  <c r="F1249" i="259"/>
  <c r="F1684" i="259" s="1"/>
  <c r="F1" i="262"/>
  <c r="F4" i="262" s="1"/>
  <c r="F732" i="259"/>
  <c r="F674" i="259"/>
  <c r="F1248" i="259"/>
  <c r="F1683" i="259" s="1"/>
  <c r="F1258" i="259"/>
  <c r="F136" i="261" s="1"/>
  <c r="F1254" i="259"/>
  <c r="F132" i="261" s="1"/>
  <c r="F1253" i="259"/>
  <c r="F131" i="261" s="1"/>
  <c r="F1247" i="259"/>
  <c r="F125" i="261" s="1"/>
  <c r="F672" i="259"/>
  <c r="F730" i="259"/>
  <c r="F1063" i="259"/>
  <c r="F731" i="259"/>
  <c r="F729" i="259"/>
  <c r="F447" i="259"/>
  <c r="F1083" i="259" s="1"/>
  <c r="F1546" i="259"/>
  <c r="M21" i="262"/>
  <c r="M190" i="261"/>
  <c r="T539" i="259"/>
  <c r="T539" i="275" s="1"/>
  <c r="AY537" i="259"/>
  <c r="G549" i="259"/>
  <c r="AU547" i="259"/>
  <c r="AU549" i="259" s="1"/>
  <c r="AU20" i="262" s="1"/>
  <c r="AW104" i="264"/>
  <c r="AY104" i="264" s="1"/>
  <c r="AZ484" i="259"/>
  <c r="AS103" i="264"/>
  <c r="AU103" i="264" s="1"/>
  <c r="AD483" i="259"/>
  <c r="F1269" i="259"/>
  <c r="F151" i="262" s="1"/>
  <c r="N1544" i="259"/>
  <c r="N74" i="259" s="1"/>
  <c r="R1544" i="259"/>
  <c r="R74" i="259" s="1"/>
  <c r="AX200" i="259"/>
  <c r="J447" i="259"/>
  <c r="J1083" i="259" s="1"/>
  <c r="D1510" i="259"/>
  <c r="D210" i="261" s="1"/>
  <c r="U1446" i="259"/>
  <c r="U1315" i="259"/>
  <c r="U256" i="262" s="1"/>
  <c r="M1352" i="259"/>
  <c r="P1383" i="259"/>
  <c r="P1407" i="259" s="1"/>
  <c r="P222" i="262" s="1"/>
  <c r="P230" i="262"/>
  <c r="R1392" i="259"/>
  <c r="R213" i="262" s="1"/>
  <c r="R230" i="262"/>
  <c r="V1383" i="259"/>
  <c r="V230" i="262"/>
  <c r="E1507" i="259"/>
  <c r="E114" i="261" s="1"/>
  <c r="E140" i="259"/>
  <c r="E142" i="259" s="1"/>
  <c r="Q363" i="259"/>
  <c r="Q141" i="259"/>
  <c r="Q141" i="275" s="1"/>
  <c r="P398" i="259"/>
  <c r="P32" i="261" s="1"/>
  <c r="P452" i="259"/>
  <c r="S139" i="259"/>
  <c r="S139" i="275" s="1"/>
  <c r="S159" i="259"/>
  <c r="K1240" i="259"/>
  <c r="G141" i="259"/>
  <c r="AV180" i="259"/>
  <c r="AU113" i="259"/>
  <c r="AU37" i="259" s="1"/>
  <c r="AU40" i="259" s="1"/>
  <c r="L159" i="259"/>
  <c r="L159" i="275" s="1"/>
  <c r="AW379" i="259"/>
  <c r="R121" i="259"/>
  <c r="M115" i="259"/>
  <c r="M115" i="275" s="1"/>
  <c r="U44" i="259"/>
  <c r="L139" i="259"/>
  <c r="L139" i="275" s="1"/>
  <c r="P1506" i="259"/>
  <c r="P113" i="261" s="1"/>
  <c r="AX379" i="259"/>
  <c r="T363" i="259"/>
  <c r="AY179" i="259"/>
  <c r="AU119" i="259"/>
  <c r="AW705" i="259"/>
  <c r="P59" i="259"/>
  <c r="L452" i="259"/>
  <c r="Q140" i="259"/>
  <c r="AU1263" i="259"/>
  <c r="AU155" i="262" s="1"/>
  <c r="S37" i="259"/>
  <c r="S115" i="259"/>
  <c r="S115" i="275" s="1"/>
  <c r="T30" i="262"/>
  <c r="T31" i="262"/>
  <c r="M30" i="262"/>
  <c r="M31" i="262"/>
  <c r="R562" i="259"/>
  <c r="R563" i="259"/>
  <c r="R200" i="261" s="1"/>
  <c r="H552" i="259"/>
  <c r="I553" i="259"/>
  <c r="I199" i="261" s="1"/>
  <c r="AX541" i="259"/>
  <c r="AX541" i="275" s="1"/>
  <c r="S543" i="259"/>
  <c r="R543" i="259"/>
  <c r="F542" i="259"/>
  <c r="AU541" i="259"/>
  <c r="AU13" i="262" s="1"/>
  <c r="L624" i="259"/>
  <c r="L624" i="275" s="1"/>
  <c r="L160" i="261"/>
  <c r="N181" i="259"/>
  <c r="N181" i="275" s="1"/>
  <c r="AV1179" i="259"/>
  <c r="AV146" i="262" s="1"/>
  <c r="AX1016" i="259"/>
  <c r="P1240" i="259"/>
  <c r="T141" i="259"/>
  <c r="T1383" i="259"/>
  <c r="T1392" i="259"/>
  <c r="T213" i="262" s="1"/>
  <c r="W285" i="259"/>
  <c r="W1507" i="259"/>
  <c r="W114" i="261" s="1"/>
  <c r="S285" i="259"/>
  <c r="S140" i="259"/>
  <c r="S140" i="275" s="1"/>
  <c r="O285" i="259"/>
  <c r="O1507" i="259"/>
  <c r="O114" i="261" s="1"/>
  <c r="K1507" i="259"/>
  <c r="K114" i="261" s="1"/>
  <c r="K140" i="259"/>
  <c r="G1507" i="259"/>
  <c r="G114" i="261" s="1"/>
  <c r="G140" i="259"/>
  <c r="S363" i="259"/>
  <c r="S141" i="259"/>
  <c r="S141" i="275" s="1"/>
  <c r="O1508" i="259"/>
  <c r="O115" i="261" s="1"/>
  <c r="O363" i="259"/>
  <c r="O363" i="275" s="1"/>
  <c r="R398" i="259"/>
  <c r="R32" i="261" s="1"/>
  <c r="R452" i="259"/>
  <c r="W31" i="262"/>
  <c r="AU885" i="259"/>
  <c r="N261" i="259"/>
  <c r="N22" i="261" s="1"/>
  <c r="L983" i="259"/>
  <c r="I140" i="259"/>
  <c r="G969" i="259"/>
  <c r="AU969" i="259" s="1"/>
  <c r="H1018" i="259"/>
  <c r="H1248" i="259"/>
  <c r="H1683" i="259" s="1"/>
  <c r="S381" i="259"/>
  <c r="S381" i="275" s="1"/>
  <c r="L181" i="259"/>
  <c r="O979" i="259"/>
  <c r="K1180" i="259"/>
  <c r="G363" i="259"/>
  <c r="P139" i="259"/>
  <c r="AX117" i="259"/>
  <c r="AV117" i="259"/>
  <c r="H85" i="259"/>
  <c r="AY302" i="259"/>
  <c r="L381" i="259"/>
  <c r="L1240" i="259"/>
  <c r="AX1179" i="259"/>
  <c r="AX146" i="262" s="1"/>
  <c r="I85" i="259"/>
  <c r="I100" i="259" s="1"/>
  <c r="AU1306" i="259"/>
  <c r="AU1312" i="259" s="1"/>
  <c r="AU176" i="262" s="1"/>
  <c r="R30" i="262"/>
  <c r="R31" i="262"/>
  <c r="W1419" i="259"/>
  <c r="W591" i="259"/>
  <c r="O591" i="259"/>
  <c r="O1419" i="259"/>
  <c r="O1420" i="259" s="1"/>
  <c r="O332" i="261" s="1"/>
  <c r="AU917" i="259"/>
  <c r="BA478" i="259"/>
  <c r="BA1330" i="259"/>
  <c r="AX1293" i="259"/>
  <c r="AX242" i="262" s="1"/>
  <c r="AW177" i="261"/>
  <c r="AW184" i="261"/>
  <c r="AX178" i="259"/>
  <c r="AU723" i="259"/>
  <c r="AV1185" i="259"/>
  <c r="AV142" i="261" s="1"/>
  <c r="K233" i="261"/>
  <c r="AG132" i="264"/>
  <c r="AI132" i="264" s="1"/>
  <c r="AW1293" i="259"/>
  <c r="AW242" i="262" s="1"/>
  <c r="T1179" i="259"/>
  <c r="T146" i="262" s="1"/>
  <c r="AX177" i="261"/>
  <c r="AX184" i="261"/>
  <c r="X1374" i="259"/>
  <c r="X1375" i="259" s="1"/>
  <c r="BA641" i="259"/>
  <c r="BB641" i="275" s="1"/>
  <c r="AY177" i="261"/>
  <c r="AY184" i="261"/>
  <c r="S234" i="261"/>
  <c r="AU657" i="259"/>
  <c r="AV177" i="261"/>
  <c r="AV184" i="261"/>
  <c r="Z29" i="262"/>
  <c r="AZ483" i="259"/>
  <c r="AZ483" i="275" s="1"/>
  <c r="AB29" i="262"/>
  <c r="AA41" i="262"/>
  <c r="H102" i="261"/>
  <c r="Z21" i="262"/>
  <c r="J102" i="261"/>
  <c r="AZ1330" i="259"/>
  <c r="AU103" i="261"/>
  <c r="K102" i="261"/>
  <c r="AX103" i="261"/>
  <c r="AV200" i="259"/>
  <c r="AX101" i="261"/>
  <c r="AW139" i="264"/>
  <c r="AY139" i="264" s="1"/>
  <c r="AZ16" i="259"/>
  <c r="AS139" i="264"/>
  <c r="AU139" i="264" s="1"/>
  <c r="AW131" i="264"/>
  <c r="AY131" i="264" s="1"/>
  <c r="J1384" i="259"/>
  <c r="J1468" i="259"/>
  <c r="J226" i="262" s="1"/>
  <c r="F929" i="259"/>
  <c r="G929" i="259"/>
  <c r="AU1286" i="259"/>
  <c r="AV1123" i="259"/>
  <c r="F31" i="262"/>
  <c r="F30" i="262"/>
  <c r="AC1364" i="259"/>
  <c r="AD1364" i="259" s="1"/>
  <c r="AE1364" i="259" s="1"/>
  <c r="AZ1364" i="259"/>
  <c r="K244" i="261"/>
  <c r="R658" i="259"/>
  <c r="AX1136" i="259"/>
  <c r="AX1286" i="259"/>
  <c r="AY1123" i="259"/>
  <c r="X59" i="259"/>
  <c r="AK35" i="264"/>
  <c r="AM35" i="264" s="1"/>
  <c r="Y39" i="262"/>
  <c r="AO147" i="264"/>
  <c r="AQ147" i="264" s="1"/>
  <c r="W1180" i="259"/>
  <c r="AG63" i="264"/>
  <c r="AU301" i="259"/>
  <c r="AU319" i="259" s="1"/>
  <c r="AU27" i="261" s="1"/>
  <c r="AS102" i="264"/>
  <c r="AU102" i="264" s="1"/>
  <c r="F138" i="264"/>
  <c r="H138" i="264" s="1"/>
  <c r="F152" i="264"/>
  <c r="H152" i="264" s="1"/>
  <c r="F146" i="264"/>
  <c r="H146" i="264" s="1"/>
  <c r="F151" i="264"/>
  <c r="H151" i="264" s="1"/>
  <c r="F145" i="264"/>
  <c r="H145" i="264" s="1"/>
  <c r="F96" i="264"/>
  <c r="H96" i="264" s="1"/>
  <c r="F102" i="264"/>
  <c r="F121" i="264"/>
  <c r="H121" i="264" s="1"/>
  <c r="H7" i="263"/>
  <c r="Y69" i="262"/>
  <c r="Y76" i="262" s="1"/>
  <c r="AO131" i="264"/>
  <c r="AQ131" i="264" s="1"/>
  <c r="AE422" i="259"/>
  <c r="AW151" i="264"/>
  <c r="AY151" i="264" s="1"/>
  <c r="AW145" i="264"/>
  <c r="AY145" i="264" s="1"/>
  <c r="AM59" i="264"/>
  <c r="X196" i="259"/>
  <c r="AB196" i="275" s="1"/>
  <c r="X839" i="259"/>
  <c r="AI28" i="263"/>
  <c r="AG14" i="264"/>
  <c r="Y8" i="262"/>
  <c r="AO134" i="264"/>
  <c r="AQ134" i="264" s="1"/>
  <c r="AO138" i="264"/>
  <c r="AQ138" i="264" s="1"/>
  <c r="F132" i="264"/>
  <c r="H132" i="264" s="1"/>
  <c r="AU622" i="259"/>
  <c r="AU164" i="261" s="1"/>
  <c r="AG59" i="264"/>
  <c r="AG57" i="264"/>
  <c r="S642" i="259"/>
  <c r="O303" i="259"/>
  <c r="Q600" i="259"/>
  <c r="F131" i="264"/>
  <c r="H131" i="264" s="1"/>
  <c r="AG64" i="264"/>
  <c r="AI64" i="264" s="1"/>
  <c r="F150" i="264"/>
  <c r="H150" i="264" s="1"/>
  <c r="F144" i="264"/>
  <c r="H144" i="264" s="1"/>
  <c r="F90" i="264"/>
  <c r="F103" i="264"/>
  <c r="H103" i="264" s="1"/>
  <c r="AW130" i="264"/>
  <c r="AY130" i="264" s="1"/>
  <c r="AS151" i="264"/>
  <c r="AU151" i="264" s="1"/>
  <c r="AS145" i="264"/>
  <c r="AU145" i="264" s="1"/>
  <c r="AK128" i="264"/>
  <c r="AM128" i="264" s="1"/>
  <c r="AI29" i="263"/>
  <c r="AG15" i="264"/>
  <c r="AI15" i="264" s="1"/>
  <c r="X1123" i="259"/>
  <c r="X1129" i="259" s="1"/>
  <c r="AZ1129" i="259" s="1"/>
  <c r="AG77" i="264"/>
  <c r="AW101" i="264"/>
  <c r="AY101" i="264" s="1"/>
  <c r="F126" i="264"/>
  <c r="H126" i="264" s="1"/>
  <c r="AX271" i="259"/>
  <c r="AG66" i="264"/>
  <c r="F139" i="264"/>
  <c r="H139" i="264" s="1"/>
  <c r="F92" i="264"/>
  <c r="H92" i="264" s="1"/>
  <c r="F94" i="264"/>
  <c r="H94" i="264" s="1"/>
  <c r="F122" i="264"/>
  <c r="H122" i="264" s="1"/>
  <c r="F101" i="264"/>
  <c r="AZ243" i="259"/>
  <c r="AS130" i="264"/>
  <c r="AU130" i="264" s="1"/>
  <c r="AC344" i="259"/>
  <c r="AO139" i="264"/>
  <c r="AQ139" i="264" s="1"/>
  <c r="AC422" i="259"/>
  <c r="AO151" i="264"/>
  <c r="AQ151" i="264" s="1"/>
  <c r="AO145" i="264"/>
  <c r="AQ145" i="264" s="1"/>
  <c r="X141" i="259"/>
  <c r="X141" i="275" s="1"/>
  <c r="AK132" i="264"/>
  <c r="AM132" i="264" s="1"/>
  <c r="X948" i="259"/>
  <c r="X1144" i="259"/>
  <c r="AO146" i="264"/>
  <c r="AQ146" i="264" s="1"/>
  <c r="AX41" i="261"/>
  <c r="AX92" i="261"/>
  <c r="AY41" i="261"/>
  <c r="F128" i="264"/>
  <c r="H128" i="264" s="1"/>
  <c r="AX221" i="259"/>
  <c r="AX221" i="275" s="1"/>
  <c r="AG56" i="264"/>
  <c r="AG44" i="264"/>
  <c r="AI44" i="264" s="1"/>
  <c r="AV901" i="259"/>
  <c r="AW894" i="259"/>
  <c r="AU894" i="259"/>
  <c r="AX893" i="259"/>
  <c r="AW892" i="259"/>
  <c r="AW892" i="275" s="1"/>
  <c r="AU892" i="259"/>
  <c r="AU188" i="262" s="1"/>
  <c r="AU921" i="259"/>
  <c r="AY921" i="259"/>
  <c r="AX921" i="259"/>
  <c r="AV919" i="259"/>
  <c r="AU918" i="259"/>
  <c r="AX917" i="259"/>
  <c r="AG38" i="264"/>
  <c r="AW102" i="264"/>
  <c r="AY102" i="264" s="1"/>
  <c r="AS101" i="264"/>
  <c r="AU101" i="264" s="1"/>
  <c r="F127" i="264"/>
  <c r="H127" i="264" s="1"/>
  <c r="F130" i="264"/>
  <c r="H130" i="264" s="1"/>
  <c r="F141" i="264"/>
  <c r="H141" i="264" s="1"/>
  <c r="F153" i="264"/>
  <c r="H153" i="264" s="1"/>
  <c r="F147" i="264"/>
  <c r="H147" i="264" s="1"/>
  <c r="F91" i="264"/>
  <c r="H91" i="264" s="1"/>
  <c r="F95" i="264"/>
  <c r="H95" i="264" s="1"/>
  <c r="AX1123" i="259"/>
  <c r="AF799" i="275"/>
  <c r="BA16" i="259"/>
  <c r="AD244" i="259"/>
  <c r="AS131" i="264"/>
  <c r="AU131" i="264" s="1"/>
  <c r="AO130" i="264"/>
  <c r="AQ130" i="264" s="1"/>
  <c r="AV777" i="259"/>
  <c r="X363" i="259"/>
  <c r="AX799" i="259"/>
  <c r="AW799" i="259"/>
  <c r="AW200" i="259"/>
  <c r="Z69" i="262"/>
  <c r="Z76" i="262" s="1"/>
  <c r="AZ244" i="259"/>
  <c r="Z179" i="275"/>
  <c r="N99" i="259"/>
  <c r="Q1339" i="259"/>
  <c r="Q238" i="262" s="1"/>
  <c r="Q1334" i="259"/>
  <c r="Q1294" i="259" s="1"/>
  <c r="Q243" i="262" s="1"/>
  <c r="AW84" i="259"/>
  <c r="L87" i="259"/>
  <c r="L99" i="259"/>
  <c r="G99" i="259"/>
  <c r="AU84" i="259"/>
  <c r="I487" i="259"/>
  <c r="AE20" i="262"/>
  <c r="X1250" i="259"/>
  <c r="X128" i="261" s="1"/>
  <c r="X1018" i="259"/>
  <c r="X244" i="261"/>
  <c r="V431" i="259"/>
  <c r="AY27" i="261"/>
  <c r="AV767" i="259"/>
  <c r="AV767" i="275" s="1"/>
  <c r="AU705" i="259"/>
  <c r="AU706" i="259" s="1"/>
  <c r="V181" i="259"/>
  <c r="V101" i="259"/>
  <c r="T101" i="259"/>
  <c r="AY86" i="259"/>
  <c r="H1544" i="259"/>
  <c r="H74" i="259" s="1"/>
  <c r="H6" i="259"/>
  <c r="D489" i="259"/>
  <c r="D1607" i="259" s="1"/>
  <c r="D500" i="259"/>
  <c r="D512" i="259"/>
  <c r="D511" i="259" s="1"/>
  <c r="D45" i="259" s="1"/>
  <c r="M1463" i="259"/>
  <c r="M1465" i="259" s="1"/>
  <c r="M1407" i="259"/>
  <c r="M222" i="262" s="1"/>
  <c r="AU86" i="259"/>
  <c r="D492" i="259"/>
  <c r="V487" i="259"/>
  <c r="L1426" i="259"/>
  <c r="J1240" i="259"/>
  <c r="H782" i="259"/>
  <c r="AV18" i="261"/>
  <c r="AV393" i="259"/>
  <c r="Q1249" i="259"/>
  <c r="Q1684" i="259" s="1"/>
  <c r="Q1253" i="259"/>
  <c r="Q131" i="261" s="1"/>
  <c r="R262" i="259"/>
  <c r="R23" i="261" s="1"/>
  <c r="N262" i="259"/>
  <c r="N23" i="261" s="1"/>
  <c r="AW179" i="259"/>
  <c r="AW179" i="275" s="1"/>
  <c r="L263" i="259"/>
  <c r="L24" i="261" s="1"/>
  <c r="AW180" i="259"/>
  <c r="D263" i="259"/>
  <c r="D24" i="261" s="1"/>
  <c r="AU180" i="259"/>
  <c r="AU263" i="259" s="1"/>
  <c r="AU24" i="261" s="1"/>
  <c r="J1334" i="259"/>
  <c r="J1294" i="259" s="1"/>
  <c r="J243" i="262" s="1"/>
  <c r="J1339" i="259"/>
  <c r="J238" i="262" s="1"/>
  <c r="R1334" i="259"/>
  <c r="R1294" i="259" s="1"/>
  <c r="R243" i="262" s="1"/>
  <c r="R1339" i="259"/>
  <c r="R238" i="262" s="1"/>
  <c r="AY664" i="259"/>
  <c r="AW1263" i="259"/>
  <c r="AW155" i="262" s="1"/>
  <c r="M230" i="262"/>
  <c r="M1392" i="259"/>
  <c r="M213" i="262" s="1"/>
  <c r="AU285" i="259"/>
  <c r="AU286" i="259" s="1"/>
  <c r="AU287" i="259" s="1"/>
  <c r="AU120" i="261" s="1"/>
  <c r="AU886" i="259"/>
  <c r="J1039" i="259"/>
  <c r="J1039" i="275" s="1"/>
  <c r="AY221" i="259"/>
  <c r="AY221" i="275" s="1"/>
  <c r="K286" i="259"/>
  <c r="T107" i="262"/>
  <c r="AY799" i="259"/>
  <c r="AU14" i="261"/>
  <c r="AU315" i="259"/>
  <c r="G1018" i="259"/>
  <c r="AY315" i="259"/>
  <c r="K234" i="261"/>
  <c r="F1273" i="259"/>
  <c r="F261" i="262" s="1"/>
  <c r="F785" i="259"/>
  <c r="AX56" i="262"/>
  <c r="S1312" i="259"/>
  <c r="S176" i="262" s="1"/>
  <c r="T340" i="259"/>
  <c r="T973" i="259"/>
  <c r="U600" i="259"/>
  <c r="I1038" i="259"/>
  <c r="I691" i="259"/>
  <c r="T948" i="259"/>
  <c r="L56" i="262"/>
  <c r="L885" i="259"/>
  <c r="E234" i="259"/>
  <c r="E968" i="259"/>
  <c r="S1240" i="259"/>
  <c r="AW1144" i="259"/>
  <c r="AU430" i="259"/>
  <c r="AU447" i="259" s="1"/>
  <c r="AU1083" i="259" s="1"/>
  <c r="U1423" i="259"/>
  <c r="L1339" i="259"/>
  <c r="L238" i="262" s="1"/>
  <c r="W553" i="259"/>
  <c r="W199" i="261" s="1"/>
  <c r="AU329" i="259"/>
  <c r="AU1255" i="259" s="1"/>
  <c r="AU133" i="261" s="1"/>
  <c r="J1511" i="259"/>
  <c r="AY329" i="259"/>
  <c r="K1374" i="259"/>
  <c r="K1375" i="259" s="1"/>
  <c r="AV1375" i="259" s="1"/>
  <c r="E870" i="259"/>
  <c r="E871" i="259" s="1"/>
  <c r="P886" i="259"/>
  <c r="F552" i="259"/>
  <c r="G303" i="259"/>
  <c r="AV680" i="259"/>
  <c r="AV680" i="275" s="1"/>
  <c r="D234" i="259"/>
  <c r="D968" i="259"/>
  <c r="P234" i="259"/>
  <c r="P234" i="275" s="1"/>
  <c r="P968" i="259"/>
  <c r="H234" i="259"/>
  <c r="H234" i="275" s="1"/>
  <c r="H968" i="259"/>
  <c r="H968" i="275" s="1"/>
  <c r="N973" i="259"/>
  <c r="N973" i="275" s="1"/>
  <c r="N340" i="259"/>
  <c r="N340" i="275" s="1"/>
  <c r="F973" i="259"/>
  <c r="J973" i="275" s="1"/>
  <c r="F340" i="259"/>
  <c r="J340" i="275" s="1"/>
  <c r="G1123" i="259"/>
  <c r="G1129" i="259" s="1"/>
  <c r="F1136" i="259"/>
  <c r="M1185" i="259"/>
  <c r="M142" i="261" s="1"/>
  <c r="M1178" i="259"/>
  <c r="M1180" i="259" s="1"/>
  <c r="E1185" i="259"/>
  <c r="E142" i="261" s="1"/>
  <c r="E1178" i="259"/>
  <c r="E1239" i="259" s="1"/>
  <c r="E784" i="259" s="1"/>
  <c r="I784" i="275" s="1"/>
  <c r="AY1263" i="259"/>
  <c r="AY155" i="262" s="1"/>
  <c r="AU664" i="259"/>
  <c r="N431" i="259"/>
  <c r="U181" i="259"/>
  <c r="AW1032" i="259"/>
  <c r="O839" i="259"/>
  <c r="Q1511" i="259"/>
  <c r="F553" i="259"/>
  <c r="F199" i="261" s="1"/>
  <c r="P839" i="259"/>
  <c r="P340" i="259"/>
  <c r="P885" i="259"/>
  <c r="W303" i="259"/>
  <c r="J40" i="259"/>
  <c r="J40" i="275" s="1"/>
  <c r="E886" i="259"/>
  <c r="F895" i="259"/>
  <c r="V92" i="261"/>
  <c r="Q340" i="259"/>
  <c r="Q340" i="275" s="1"/>
  <c r="Q973" i="259"/>
  <c r="AX336" i="259"/>
  <c r="AX336" i="275" s="1"/>
  <c r="S303" i="259"/>
  <c r="S303" i="275" s="1"/>
  <c r="S101" i="259"/>
  <c r="E40" i="259"/>
  <c r="I600" i="259"/>
  <c r="E600" i="259"/>
  <c r="AU600" i="259" s="1"/>
  <c r="AU650" i="259"/>
  <c r="E658" i="259"/>
  <c r="AX316" i="259"/>
  <c r="AX123" i="262"/>
  <c r="I1129" i="259"/>
  <c r="U1129" i="259"/>
  <c r="U152" i="261"/>
  <c r="H381" i="259"/>
  <c r="T233" i="261"/>
  <c r="V1178" i="259"/>
  <c r="V1239" i="259" s="1"/>
  <c r="V784" i="259" s="1"/>
  <c r="R1178" i="259"/>
  <c r="AX1178" i="259" s="1"/>
  <c r="AX1442" i="259"/>
  <c r="AX339" i="261" s="1"/>
  <c r="AY764" i="259"/>
  <c r="AW764" i="259"/>
  <c r="AV764" i="259"/>
  <c r="X691" i="259"/>
  <c r="AZ904" i="259"/>
  <c r="AD558" i="259"/>
  <c r="AH558" i="275" s="1"/>
  <c r="AF202" i="275"/>
  <c r="U201" i="259"/>
  <c r="Z20" i="262"/>
  <c r="S201" i="259"/>
  <c r="S564" i="259"/>
  <c r="S206" i="261" s="1"/>
  <c r="H564" i="259"/>
  <c r="H206" i="261" s="1"/>
  <c r="S554" i="259"/>
  <c r="S205" i="261" s="1"/>
  <c r="O554" i="259"/>
  <c r="O205" i="261" s="1"/>
  <c r="M544" i="259"/>
  <c r="I544" i="259"/>
  <c r="V564" i="259"/>
  <c r="V206" i="261" s="1"/>
  <c r="R564" i="259"/>
  <c r="R206" i="261" s="1"/>
  <c r="N564" i="259"/>
  <c r="N206" i="261" s="1"/>
  <c r="J564" i="259"/>
  <c r="J206" i="261" s="1"/>
  <c r="N554" i="259"/>
  <c r="N205" i="261" s="1"/>
  <c r="J554" i="259"/>
  <c r="J205" i="261" s="1"/>
  <c r="T544" i="259"/>
  <c r="P544" i="259"/>
  <c r="L544" i="259"/>
  <c r="H544" i="259"/>
  <c r="X554" i="259"/>
  <c r="X205" i="261" s="1"/>
  <c r="U564" i="259"/>
  <c r="U206" i="261" s="1"/>
  <c r="Q564" i="259"/>
  <c r="Q206" i="261" s="1"/>
  <c r="I564" i="259"/>
  <c r="I206" i="261" s="1"/>
  <c r="I554" i="259"/>
  <c r="I205" i="261" s="1"/>
  <c r="Y9" i="262"/>
  <c r="T564" i="259"/>
  <c r="T206" i="261" s="1"/>
  <c r="P563" i="259"/>
  <c r="P200" i="261" s="1"/>
  <c r="P564" i="259"/>
  <c r="P206" i="261" s="1"/>
  <c r="L564" i="259"/>
  <c r="L206" i="261" s="1"/>
  <c r="T554" i="259"/>
  <c r="T205" i="261" s="1"/>
  <c r="P554" i="259"/>
  <c r="P205" i="261" s="1"/>
  <c r="L554" i="259"/>
  <c r="L205" i="261" s="1"/>
  <c r="H554" i="259"/>
  <c r="H205" i="261" s="1"/>
  <c r="V544" i="259"/>
  <c r="R544" i="259"/>
  <c r="N544" i="259"/>
  <c r="J544" i="259"/>
  <c r="N102" i="261"/>
  <c r="X564" i="259"/>
  <c r="X206" i="261" s="1"/>
  <c r="X544" i="259"/>
  <c r="AC558" i="259"/>
  <c r="AG558" i="275" s="1"/>
  <c r="AD201" i="259"/>
  <c r="AD202" i="259" s="1"/>
  <c r="AF538" i="275"/>
  <c r="U19" i="262"/>
  <c r="U188" i="261"/>
  <c r="E19" i="262"/>
  <c r="E188" i="261"/>
  <c r="AC20" i="262"/>
  <c r="AF548" i="275"/>
  <c r="L1259" i="259"/>
  <c r="L137" i="261" s="1"/>
  <c r="AD548" i="259"/>
  <c r="M1273" i="259"/>
  <c r="M261" i="262" s="1"/>
  <c r="AD484" i="259"/>
  <c r="H318" i="261"/>
  <c r="AE201" i="259"/>
  <c r="AE202" i="259" s="1"/>
  <c r="AI202" i="275" s="1"/>
  <c r="AC201" i="259"/>
  <c r="AB21" i="262"/>
  <c r="AA20" i="262"/>
  <c r="AC394" i="259"/>
  <c r="AO8" i="263"/>
  <c r="AQ8" i="263" s="1"/>
  <c r="AE558" i="259"/>
  <c r="AI558" i="275" s="1"/>
  <c r="AA19" i="262"/>
  <c r="AA21" i="262"/>
  <c r="AC389" i="259"/>
  <c r="I99" i="259"/>
  <c r="AV84" i="259"/>
  <c r="D365" i="259"/>
  <c r="D121" i="261" s="1"/>
  <c r="P210" i="259"/>
  <c r="P181" i="259"/>
  <c r="P181" i="275" s="1"/>
  <c r="P431" i="259"/>
  <c r="R1018" i="259"/>
  <c r="S43" i="261"/>
  <c r="S1334" i="259"/>
  <c r="S1294" i="259" s="1"/>
  <c r="S243" i="262" s="1"/>
  <c r="R1240" i="259"/>
  <c r="AY1511" i="259"/>
  <c r="AW92" i="262"/>
  <c r="H431" i="259"/>
  <c r="R1463" i="259"/>
  <c r="R1465" i="259" s="1"/>
  <c r="AV38" i="259"/>
  <c r="I1240" i="259"/>
  <c r="I1180" i="259"/>
  <c r="H1240" i="259"/>
  <c r="AX973" i="259"/>
  <c r="AX973" i="275" s="1"/>
  <c r="S974" i="259"/>
  <c r="U929" i="259"/>
  <c r="V929" i="259"/>
  <c r="F1334" i="259"/>
  <c r="F1339" i="259"/>
  <c r="F238" i="262" s="1"/>
  <c r="AU1320" i="259"/>
  <c r="AU246" i="262" s="1"/>
  <c r="N1334" i="259"/>
  <c r="N1294" i="259" s="1"/>
  <c r="N243" i="262" s="1"/>
  <c r="N1339" i="259"/>
  <c r="N238" i="262" s="1"/>
  <c r="J983" i="259"/>
  <c r="J979" i="259"/>
  <c r="AX393" i="259"/>
  <c r="AX18" i="261"/>
  <c r="AV430" i="259"/>
  <c r="J1033" i="259"/>
  <c r="M754" i="259"/>
  <c r="M279" i="261" s="1"/>
  <c r="V164" i="261"/>
  <c r="R164" i="261"/>
  <c r="N164" i="261"/>
  <c r="J160" i="261"/>
  <c r="J164" i="261"/>
  <c r="F164" i="261"/>
  <c r="P948" i="259"/>
  <c r="P948" i="275" s="1"/>
  <c r="U164" i="261"/>
  <c r="Q160" i="261"/>
  <c r="Q164" i="261"/>
  <c r="M164" i="261"/>
  <c r="I164" i="261"/>
  <c r="AY891" i="259"/>
  <c r="AU1032" i="259"/>
  <c r="U553" i="259"/>
  <c r="U199" i="261" s="1"/>
  <c r="E164" i="261"/>
  <c r="T164" i="261"/>
  <c r="P164" i="261"/>
  <c r="L164" i="261"/>
  <c r="H164" i="261"/>
  <c r="G1033" i="259"/>
  <c r="W164" i="261"/>
  <c r="S164" i="261"/>
  <c r="O164" i="261"/>
  <c r="K164" i="261"/>
  <c r="G164" i="261"/>
  <c r="AX741" i="259"/>
  <c r="AY920" i="259"/>
  <c r="AY916" i="259"/>
  <c r="AW916" i="259"/>
  <c r="AV164" i="261"/>
  <c r="AU639" i="259"/>
  <c r="AV639" i="275" s="1"/>
  <c r="AY777" i="259"/>
  <c r="AV31" i="259"/>
  <c r="AV31" i="275" s="1"/>
  <c r="V1443" i="259"/>
  <c r="AX777" i="259"/>
  <c r="AU777" i="259"/>
  <c r="X1202" i="259"/>
  <c r="X143" i="261" s="1"/>
  <c r="X164" i="261"/>
  <c r="N895" i="259"/>
  <c r="AV891" i="259"/>
  <c r="AW921" i="259"/>
  <c r="AV921" i="259"/>
  <c r="F658" i="259"/>
  <c r="F1548" i="259" s="1"/>
  <c r="F76" i="259" s="1"/>
  <c r="AV505" i="259"/>
  <c r="X303" i="259"/>
  <c r="X303" i="275" s="1"/>
  <c r="X1159" i="259"/>
  <c r="X1232" i="259"/>
  <c r="X219" i="261" s="1"/>
  <c r="AZ537" i="259"/>
  <c r="AU257" i="259"/>
  <c r="AU9" i="261" s="1"/>
  <c r="AY257" i="259"/>
  <c r="AY9" i="261" s="1"/>
  <c r="AU1127" i="259"/>
  <c r="AU1128" i="259" s="1"/>
  <c r="AU656" i="259"/>
  <c r="AV656" i="275" s="1"/>
  <c r="X1032" i="259"/>
  <c r="L1129" i="259"/>
  <c r="AD481" i="259"/>
  <c r="AZ482" i="259"/>
  <c r="AE482" i="259"/>
  <c r="AZ481" i="259"/>
  <c r="AA34" i="262"/>
  <c r="X1446" i="259"/>
  <c r="X1447" i="259" s="1"/>
  <c r="Y1451" i="259" s="1"/>
  <c r="X1353" i="259"/>
  <c r="X210" i="262" s="1"/>
  <c r="X1354" i="259"/>
  <c r="X211" i="262" s="1"/>
  <c r="X1315" i="259"/>
  <c r="X256" i="262" s="1"/>
  <c r="G95" i="262"/>
  <c r="U95" i="262"/>
  <c r="M286" i="259"/>
  <c r="AW902" i="259"/>
  <c r="Q210" i="259"/>
  <c r="AU1232" i="259"/>
  <c r="AU219" i="261" s="1"/>
  <c r="E929" i="259"/>
  <c r="P1392" i="259"/>
  <c r="AW591" i="259"/>
  <c r="U27" i="261"/>
  <c r="AY769" i="259"/>
  <c r="AY1585" i="259"/>
  <c r="AZ927" i="259"/>
  <c r="M1426" i="259"/>
  <c r="AX302" i="259"/>
  <c r="AU561" i="259"/>
  <c r="AU15" i="262" s="1"/>
  <c r="G553" i="259"/>
  <c r="G199" i="261" s="1"/>
  <c r="AX650" i="259"/>
  <c r="AW650" i="259"/>
  <c r="V889" i="259"/>
  <c r="AV893" i="259"/>
  <c r="AV893" i="275" s="1"/>
  <c r="E922" i="259"/>
  <c r="E191" i="262" s="1"/>
  <c r="AW920" i="259"/>
  <c r="V922" i="259"/>
  <c r="V191" i="262" s="1"/>
  <c r="AY918" i="259"/>
  <c r="AY918" i="275" s="1"/>
  <c r="P922" i="259"/>
  <c r="P191" i="262" s="1"/>
  <c r="AY1295" i="259"/>
  <c r="J642" i="259"/>
  <c r="J642" i="275" s="1"/>
  <c r="AY650" i="259"/>
  <c r="AX891" i="259"/>
  <c r="AX919" i="259"/>
  <c r="AW919" i="259"/>
  <c r="N922" i="259"/>
  <c r="AV917" i="259"/>
  <c r="AW1295" i="259"/>
  <c r="AX451" i="259"/>
  <c r="AV451" i="259"/>
  <c r="AU451" i="259"/>
  <c r="AU462" i="259" s="1"/>
  <c r="AU1084" i="259" s="1"/>
  <c r="AY498" i="259"/>
  <c r="AX498" i="259"/>
  <c r="H563" i="259"/>
  <c r="H200" i="261" s="1"/>
  <c r="O161" i="261"/>
  <c r="O160" i="261"/>
  <c r="H160" i="261"/>
  <c r="AU891" i="259"/>
  <c r="AY894" i="259"/>
  <c r="AY894" i="275" s="1"/>
  <c r="AY892" i="259"/>
  <c r="U92" i="261"/>
  <c r="AY839" i="259"/>
  <c r="AY839" i="275" s="1"/>
  <c r="AE484" i="259"/>
  <c r="AW1325" i="259"/>
  <c r="BA657" i="259"/>
  <c r="BA657" i="275" s="1"/>
  <c r="AV267" i="259"/>
  <c r="AV1470" i="259"/>
  <c r="AV344" i="261" s="1"/>
  <c r="X445" i="259"/>
  <c r="E1179" i="259"/>
  <c r="E146" i="262" s="1"/>
  <c r="AW123" i="262"/>
  <c r="AY1474" i="259"/>
  <c r="AY345" i="261" s="1"/>
  <c r="AZ200" i="259"/>
  <c r="X799" i="259"/>
  <c r="X799" i="275" s="1"/>
  <c r="X968" i="259"/>
  <c r="X234" i="259"/>
  <c r="X234" i="275" s="1"/>
  <c r="X506" i="259"/>
  <c r="X506" i="275" s="1"/>
  <c r="AZ505" i="259"/>
  <c r="X1237" i="259"/>
  <c r="X253" i="261" s="1"/>
  <c r="W1445" i="259"/>
  <c r="AV1543" i="259"/>
  <c r="X139" i="259"/>
  <c r="X139" i="275" s="1"/>
  <c r="X1299" i="259"/>
  <c r="U1445" i="259"/>
  <c r="X159" i="259"/>
  <c r="X159" i="275" s="1"/>
  <c r="X624" i="259"/>
  <c r="X1178" i="259"/>
  <c r="X1239" i="259" s="1"/>
  <c r="X784" i="259" s="1"/>
  <c r="AU1325" i="259"/>
  <c r="AV1438" i="259"/>
  <c r="AU505" i="259"/>
  <c r="AU506" i="259" s="1"/>
  <c r="AU1547" i="259" s="1"/>
  <c r="AU75" i="259" s="1"/>
  <c r="X870" i="259"/>
  <c r="X1215" i="259"/>
  <c r="X144" i="261" s="1"/>
  <c r="AV1325" i="259"/>
  <c r="BD549" i="259"/>
  <c r="BD20" i="262" s="1"/>
  <c r="BC549" i="259"/>
  <c r="BC20" i="262" s="1"/>
  <c r="X99" i="259"/>
  <c r="AY875" i="259"/>
  <c r="AY875" i="275" s="1"/>
  <c r="X8" i="259"/>
  <c r="AD794" i="259"/>
  <c r="AH794" i="275" s="1"/>
  <c r="BA11" i="259"/>
  <c r="AZ11" i="259"/>
  <c r="AW28" i="263"/>
  <c r="AX56" i="259"/>
  <c r="H59" i="259"/>
  <c r="K59" i="259"/>
  <c r="W59" i="259"/>
  <c r="AW56" i="259"/>
  <c r="M59" i="259"/>
  <c r="F59" i="259"/>
  <c r="F820" i="259" s="1"/>
  <c r="AY56" i="259"/>
  <c r="AW777" i="259"/>
  <c r="AX119" i="262"/>
  <c r="AX92" i="262"/>
  <c r="R769" i="259"/>
  <c r="H8" i="259"/>
  <c r="AW86" i="259"/>
  <c r="AX86" i="259"/>
  <c r="S6" i="259"/>
  <c r="K1544" i="259"/>
  <c r="K74" i="259" s="1"/>
  <c r="G1544" i="259"/>
  <c r="G74" i="259" s="1"/>
  <c r="AU126" i="259"/>
  <c r="AU1544" i="259" s="1"/>
  <c r="AU74" i="259" s="1"/>
  <c r="AV86" i="259"/>
  <c r="AX126" i="259"/>
  <c r="D6" i="259"/>
  <c r="D134" i="262" s="1"/>
  <c r="L6" i="259"/>
  <c r="J1544" i="259"/>
  <c r="J74" i="259" s="1"/>
  <c r="G793" i="259"/>
  <c r="G102" i="262" s="1"/>
  <c r="P6" i="259"/>
  <c r="F287" i="259"/>
  <c r="F120" i="261" s="1"/>
  <c r="R6" i="259"/>
  <c r="N6" i="259"/>
  <c r="F1544" i="259"/>
  <c r="F74" i="259" s="1"/>
  <c r="AC539" i="259"/>
  <c r="BB25" i="262"/>
  <c r="Y21" i="262"/>
  <c r="Y10" i="262"/>
  <c r="Y26" i="262"/>
  <c r="Y24" i="262"/>
  <c r="X1427" i="259"/>
  <c r="X1416" i="259"/>
  <c r="X331" i="261" s="1"/>
  <c r="E487" i="259"/>
  <c r="E1614" i="259" s="1"/>
  <c r="R1426" i="259"/>
  <c r="W990" i="259"/>
  <c r="AY705" i="259"/>
  <c r="E286" i="259"/>
  <c r="E287" i="259" s="1"/>
  <c r="E120" i="261" s="1"/>
  <c r="E85" i="259"/>
  <c r="AU92" i="262"/>
  <c r="AU119" i="262"/>
  <c r="T286" i="259"/>
  <c r="T85" i="259"/>
  <c r="AX38" i="259"/>
  <c r="AX514" i="259"/>
  <c r="AW430" i="259"/>
  <c r="AW430" i="275" s="1"/>
  <c r="N201" i="259"/>
  <c r="L1407" i="259"/>
  <c r="L222" i="262" s="1"/>
  <c r="L1463" i="259"/>
  <c r="L1465" i="259" s="1"/>
  <c r="Q782" i="259"/>
  <c r="S118" i="262"/>
  <c r="S1497" i="259"/>
  <c r="S163" i="262" s="1"/>
  <c r="H244" i="261"/>
  <c r="AY1306" i="259"/>
  <c r="AY1312" i="259" s="1"/>
  <c r="W1312" i="259"/>
  <c r="M1265" i="259"/>
  <c r="K95" i="262"/>
  <c r="AV126" i="261"/>
  <c r="J1498" i="259"/>
  <c r="J162" i="262" s="1"/>
  <c r="H1423" i="259"/>
  <c r="R1505" i="259"/>
  <c r="R1415" i="259"/>
  <c r="J1426" i="259"/>
  <c r="V118" i="262"/>
  <c r="S1463" i="259"/>
  <c r="S1407" i="259"/>
  <c r="S222" i="262" s="1"/>
  <c r="AX1383" i="259"/>
  <c r="AX1407" i="259" s="1"/>
  <c r="AX222" i="262" s="1"/>
  <c r="S732" i="259"/>
  <c r="T234" i="261"/>
  <c r="N955" i="259"/>
  <c r="AW664" i="259"/>
  <c r="H107" i="262"/>
  <c r="AV799" i="259"/>
  <c r="V1266" i="259"/>
  <c r="V150" i="262" s="1"/>
  <c r="E1422" i="259"/>
  <c r="I646" i="259"/>
  <c r="I52" i="259"/>
  <c r="AY1392" i="259"/>
  <c r="AY213" i="262" s="1"/>
  <c r="U160" i="259"/>
  <c r="AX767" i="259"/>
  <c r="E270" i="261"/>
  <c r="AW769" i="259"/>
  <c r="I1291" i="259"/>
  <c r="N452" i="259"/>
  <c r="N452" i="275" s="1"/>
  <c r="AY56" i="262"/>
  <c r="AY885" i="259"/>
  <c r="N1180" i="259"/>
  <c r="AW1179" i="259"/>
  <c r="AW146" i="262" s="1"/>
  <c r="E1033" i="259"/>
  <c r="AW41" i="261"/>
  <c r="AV221" i="259"/>
  <c r="AV41" i="261"/>
  <c r="AU1250" i="259"/>
  <c r="AU128" i="261" s="1"/>
  <c r="I1383" i="259"/>
  <c r="I230" i="262"/>
  <c r="I1392" i="259"/>
  <c r="I213" i="262" s="1"/>
  <c r="O1383" i="259"/>
  <c r="O1392" i="259"/>
  <c r="O213" i="262" s="1"/>
  <c r="O230" i="262"/>
  <c r="E62" i="262"/>
  <c r="E105" i="261"/>
  <c r="F320" i="259"/>
  <c r="F28" i="261" s="1"/>
  <c r="F452" i="259"/>
  <c r="F453" i="259" s="1"/>
  <c r="AU302" i="259"/>
  <c r="Q431" i="259"/>
  <c r="Q431" i="275" s="1"/>
  <c r="AX301" i="259"/>
  <c r="Q27" i="261"/>
  <c r="I431" i="259"/>
  <c r="AV301" i="259"/>
  <c r="AV301" i="275" s="1"/>
  <c r="D398" i="259"/>
  <c r="D32" i="261" s="1"/>
  <c r="D452" i="259"/>
  <c r="D381" i="259"/>
  <c r="AU380" i="259"/>
  <c r="N37" i="259"/>
  <c r="AW113" i="259"/>
  <c r="D56" i="259"/>
  <c r="D138" i="262" s="1"/>
  <c r="AU117" i="259"/>
  <c r="AY451" i="259"/>
  <c r="G476" i="259"/>
  <c r="G479" i="259" s="1"/>
  <c r="U30" i="262"/>
  <c r="U31" i="262"/>
  <c r="S31" i="262"/>
  <c r="S30" i="262"/>
  <c r="K31" i="262"/>
  <c r="K30" i="262"/>
  <c r="I30" i="262"/>
  <c r="I31" i="262"/>
  <c r="P732" i="259"/>
  <c r="F52" i="259"/>
  <c r="F128" i="262" s="1"/>
  <c r="F646" i="259"/>
  <c r="F652" i="259" s="1"/>
  <c r="W974" i="259"/>
  <c r="AY973" i="259"/>
  <c r="D1239" i="259"/>
  <c r="D784" i="259" s="1"/>
  <c r="H784" i="275" s="1"/>
  <c r="D1180" i="259"/>
  <c r="Q1239" i="259"/>
  <c r="Q784" i="259" s="1"/>
  <c r="U784" i="275" s="1"/>
  <c r="Q1180" i="259"/>
  <c r="N1383" i="259"/>
  <c r="N1392" i="259"/>
  <c r="N213" i="262" s="1"/>
  <c r="N230" i="262"/>
  <c r="D1264" i="259"/>
  <c r="D156" i="262" s="1"/>
  <c r="D1266" i="259"/>
  <c r="D150" i="262" s="1"/>
  <c r="D729" i="259"/>
  <c r="D514" i="259"/>
  <c r="D671" i="259"/>
  <c r="D397" i="259"/>
  <c r="D31" i="261" s="1"/>
  <c r="D731" i="259"/>
  <c r="D1247" i="259"/>
  <c r="D125" i="261" s="1"/>
  <c r="D27" i="261"/>
  <c r="W222" i="261"/>
  <c r="W1264" i="259"/>
  <c r="W156" i="262" s="1"/>
  <c r="W1260" i="259"/>
  <c r="W138" i="261" s="1"/>
  <c r="W397" i="259"/>
  <c r="W31" i="261" s="1"/>
  <c r="W462" i="259"/>
  <c r="Q320" i="259"/>
  <c r="Q28" i="261" s="1"/>
  <c r="Q452" i="259"/>
  <c r="Q452" i="275" s="1"/>
  <c r="H320" i="259"/>
  <c r="H28" i="261" s="1"/>
  <c r="H452" i="259"/>
  <c r="K44" i="259"/>
  <c r="K44" i="275" s="1"/>
  <c r="K115" i="259"/>
  <c r="K115" i="275" s="1"/>
  <c r="S1419" i="259"/>
  <c r="S591" i="259"/>
  <c r="S591" i="275" s="1"/>
  <c r="P1419" i="259"/>
  <c r="P591" i="259"/>
  <c r="D15" i="262"/>
  <c r="E563" i="259"/>
  <c r="E200" i="261" s="1"/>
  <c r="D562" i="259"/>
  <c r="M1511" i="259"/>
  <c r="M642" i="259"/>
  <c r="M642" i="275" s="1"/>
  <c r="D261" i="259"/>
  <c r="D22" i="261" s="1"/>
  <c r="E160" i="259"/>
  <c r="H553" i="259"/>
  <c r="H199" i="261" s="1"/>
  <c r="AV302" i="259"/>
  <c r="AV114" i="259"/>
  <c r="AV114" i="275" s="1"/>
  <c r="P286" i="259"/>
  <c r="P85" i="259"/>
  <c r="I95" i="262"/>
  <c r="U1353" i="259"/>
  <c r="U210" i="262" s="1"/>
  <c r="U1354" i="259"/>
  <c r="U211" i="262" s="1"/>
  <c r="V1240" i="259"/>
  <c r="S1039" i="259"/>
  <c r="G85" i="259"/>
  <c r="G286" i="259"/>
  <c r="J1250" i="259"/>
  <c r="J128" i="261" s="1"/>
  <c r="J1266" i="259"/>
  <c r="J150" i="262" s="1"/>
  <c r="O1494" i="259"/>
  <c r="O196" i="262" s="1"/>
  <c r="P1239" i="259"/>
  <c r="P784" i="259" s="1"/>
  <c r="AW1023" i="259"/>
  <c r="AW1023" i="275" s="1"/>
  <c r="AX317" i="261"/>
  <c r="L782" i="259"/>
  <c r="O1498" i="259"/>
  <c r="V95" i="262"/>
  <c r="V1299" i="259"/>
  <c r="W1291" i="259"/>
  <c r="V1302" i="259"/>
  <c r="V1303" i="259" s="1"/>
  <c r="G552" i="259"/>
  <c r="P955" i="259"/>
  <c r="D1351" i="259"/>
  <c r="N929" i="259"/>
  <c r="AV978" i="259"/>
  <c r="AX978" i="259"/>
  <c r="S979" i="259"/>
  <c r="T969" i="259"/>
  <c r="AU141" i="259"/>
  <c r="AV989" i="259"/>
  <c r="AV989" i="275" s="1"/>
  <c r="AW196" i="259"/>
  <c r="AW175" i="259"/>
  <c r="AW175" i="275" s="1"/>
  <c r="N95" i="262"/>
  <c r="AV885" i="259"/>
  <c r="AV885" i="275" s="1"/>
  <c r="AV839" i="259"/>
  <c r="AV839" i="275" s="1"/>
  <c r="AV56" i="262"/>
  <c r="AV886" i="259"/>
  <c r="AV886" i="275" s="1"/>
  <c r="G1240" i="259"/>
  <c r="O785" i="259"/>
  <c r="O1273" i="259"/>
  <c r="O261" i="262" s="1"/>
  <c r="AX175" i="259"/>
  <c r="AX196" i="259"/>
  <c r="T263" i="259"/>
  <c r="T24" i="261" s="1"/>
  <c r="T452" i="259"/>
  <c r="V398" i="259"/>
  <c r="V32" i="261" s="1"/>
  <c r="V452" i="259"/>
  <c r="U1506" i="259"/>
  <c r="U113" i="261" s="1"/>
  <c r="U1414" i="259"/>
  <c r="V59" i="259"/>
  <c r="E1116" i="259"/>
  <c r="W1240" i="259"/>
  <c r="O1018" i="259"/>
  <c r="P43" i="261"/>
  <c r="S1392" i="259"/>
  <c r="S213" i="262" s="1"/>
  <c r="S230" i="262"/>
  <c r="J59" i="259"/>
  <c r="K62" i="259"/>
  <c r="K121" i="259"/>
  <c r="AU551" i="259"/>
  <c r="AU14" i="262" s="1"/>
  <c r="AU44" i="262" s="1"/>
  <c r="AY541" i="259"/>
  <c r="N624" i="259"/>
  <c r="N624" i="275" s="1"/>
  <c r="Q59" i="259"/>
  <c r="S553" i="259"/>
  <c r="S199" i="261" s="1"/>
  <c r="W27" i="261"/>
  <c r="AU498" i="259"/>
  <c r="AW498" i="259"/>
  <c r="AW498" i="275" s="1"/>
  <c r="M563" i="259"/>
  <c r="M200" i="261" s="1"/>
  <c r="G562" i="259"/>
  <c r="O624" i="259"/>
  <c r="O624" i="275" s="1"/>
  <c r="AW551" i="259"/>
  <c r="AX561" i="259"/>
  <c r="G1506" i="259"/>
  <c r="G113" i="261" s="1"/>
  <c r="D115" i="259"/>
  <c r="D44" i="259"/>
  <c r="V115" i="259"/>
  <c r="I885" i="259"/>
  <c r="H56" i="262"/>
  <c r="Q889" i="259"/>
  <c r="AX179" i="259"/>
  <c r="D445" i="259"/>
  <c r="AV650" i="259"/>
  <c r="AV650" i="275" s="1"/>
  <c r="T56" i="262"/>
  <c r="U885" i="259"/>
  <c r="R889" i="259"/>
  <c r="P889" i="259"/>
  <c r="K929" i="259"/>
  <c r="K929" i="275" s="1"/>
  <c r="AY1579" i="259"/>
  <c r="AY1590" i="259" s="1"/>
  <c r="P92" i="261"/>
  <c r="AZ557" i="259"/>
  <c r="F29" i="263"/>
  <c r="AY290" i="261"/>
  <c r="AU1136" i="259"/>
  <c r="AW289" i="261"/>
  <c r="AX58" i="262"/>
  <c r="H922" i="259"/>
  <c r="H922" i="275" s="1"/>
  <c r="AX1579" i="259"/>
  <c r="AX1590" i="259" s="1"/>
  <c r="AX289" i="261"/>
  <c r="AW290" i="261"/>
  <c r="F28" i="263"/>
  <c r="AY289" i="261"/>
  <c r="AX290" i="261"/>
  <c r="BB19" i="275"/>
  <c r="AX117" i="262"/>
  <c r="AW31" i="259"/>
  <c r="AW31" i="275" s="1"/>
  <c r="AW1095" i="259"/>
  <c r="AX1474" i="259"/>
  <c r="AX345" i="261" s="1"/>
  <c r="T1443" i="259"/>
  <c r="S1442" i="259"/>
  <c r="S339" i="261" s="1"/>
  <c r="S1443" i="259"/>
  <c r="AY1095" i="259"/>
  <c r="F196" i="259"/>
  <c r="F197" i="259" s="1"/>
  <c r="F108" i="261" s="1"/>
  <c r="F178" i="259"/>
  <c r="J178" i="275" s="1"/>
  <c r="J1442" i="259"/>
  <c r="J339" i="261" s="1"/>
  <c r="J1443" i="259"/>
  <c r="AY58" i="262"/>
  <c r="AW58" i="262"/>
  <c r="AY31" i="259"/>
  <c r="AY31" i="275" s="1"/>
  <c r="L1442" i="259"/>
  <c r="L339" i="261" s="1"/>
  <c r="M1443" i="259"/>
  <c r="BA505" i="259"/>
  <c r="BB505" i="275" s="1"/>
  <c r="AY505" i="259"/>
  <c r="U506" i="259"/>
  <c r="AX31" i="259"/>
  <c r="AX31" i="275" s="1"/>
  <c r="R1443" i="259"/>
  <c r="Q1442" i="259"/>
  <c r="Q339" i="261" s="1"/>
  <c r="AY1541" i="259"/>
  <c r="X452" i="259"/>
  <c r="X1179" i="259"/>
  <c r="X146" i="262" s="1"/>
  <c r="AY1325" i="259"/>
  <c r="F33" i="263"/>
  <c r="AX1325" i="259"/>
  <c r="X1383" i="259"/>
  <c r="AU1442" i="259"/>
  <c r="AU1445" i="259"/>
  <c r="X1334" i="259"/>
  <c r="X1294" i="259" s="1"/>
  <c r="X243" i="262" s="1"/>
  <c r="U6" i="259"/>
  <c r="U1544" i="259"/>
  <c r="U74" i="259" s="1"/>
  <c r="AV126" i="259"/>
  <c r="I6" i="259"/>
  <c r="Q6" i="259"/>
  <c r="Q1544" i="259"/>
  <c r="Q74" i="259" s="1"/>
  <c r="AY126" i="259"/>
  <c r="T6" i="259"/>
  <c r="X6" i="275" s="1"/>
  <c r="M1544" i="259"/>
  <c r="M74" i="259" s="1"/>
  <c r="M6" i="259"/>
  <c r="AW126" i="259"/>
  <c r="T99" i="259"/>
  <c r="AY84" i="259"/>
  <c r="AX1541" i="259"/>
  <c r="V6" i="259"/>
  <c r="V1544" i="259"/>
  <c r="V74" i="259" s="1"/>
  <c r="AI7" i="263"/>
  <c r="AM7" i="263"/>
  <c r="AF72" i="262" l="1"/>
  <c r="X19" i="262"/>
  <c r="AB539" i="275"/>
  <c r="AB127" i="261"/>
  <c r="AB1263" i="259"/>
  <c r="AB149" i="261"/>
  <c r="AB1085" i="259"/>
  <c r="AF75" i="275"/>
  <c r="AB74" i="275"/>
  <c r="AF74" i="275"/>
  <c r="AF76" i="275"/>
  <c r="AB461" i="259"/>
  <c r="AB1084" i="259"/>
  <c r="X430" i="275"/>
  <c r="AB430" i="275"/>
  <c r="AU1264" i="259"/>
  <c r="AU156" i="262" s="1"/>
  <c r="AW1264" i="259"/>
  <c r="AW156" i="262" s="1"/>
  <c r="AB201" i="259"/>
  <c r="AB200" i="275"/>
  <c r="AF200" i="275"/>
  <c r="AF456" i="275"/>
  <c r="U190" i="261"/>
  <c r="T20" i="262"/>
  <c r="Q189" i="261"/>
  <c r="Q76" i="275"/>
  <c r="T76" i="275"/>
  <c r="L20" i="262"/>
  <c r="BA200" i="259"/>
  <c r="BA200" i="275" s="1"/>
  <c r="O19" i="262"/>
  <c r="W19" i="262"/>
  <c r="N20" i="262"/>
  <c r="AC202" i="259"/>
  <c r="AG202" i="275" s="1"/>
  <c r="W188" i="261"/>
  <c r="V189" i="261"/>
  <c r="X190" i="261"/>
  <c r="T190" i="261"/>
  <c r="L21" i="262"/>
  <c r="AA75" i="275"/>
  <c r="AA74" i="275"/>
  <c r="AC456" i="259"/>
  <c r="AC456" i="275" s="1"/>
  <c r="AD456" i="259"/>
  <c r="AD456" i="275" s="1"/>
  <c r="AE456" i="259"/>
  <c r="AE456" i="275" s="1"/>
  <c r="AA1263" i="259"/>
  <c r="AA127" i="261"/>
  <c r="AA1684" i="259"/>
  <c r="AE75" i="275"/>
  <c r="AA1085" i="259"/>
  <c r="AA149" i="261"/>
  <c r="I74" i="275"/>
  <c r="AA461" i="259"/>
  <c r="AA1084" i="259"/>
  <c r="AA1683" i="259"/>
  <c r="AA126" i="261"/>
  <c r="AZ927" i="275"/>
  <c r="AZ547" i="275"/>
  <c r="V188" i="261"/>
  <c r="AW1022" i="275"/>
  <c r="H452" i="275"/>
  <c r="M181" i="275"/>
  <c r="H591" i="275"/>
  <c r="AX680" i="259"/>
  <c r="T262" i="261"/>
  <c r="R929" i="259"/>
  <c r="U40" i="259"/>
  <c r="AW723" i="259"/>
  <c r="K886" i="275"/>
  <c r="O885" i="275"/>
  <c r="AW303" i="259"/>
  <c r="AW952" i="259"/>
  <c r="AX719" i="259"/>
  <c r="AU1185" i="259"/>
  <c r="AU142" i="261" s="1"/>
  <c r="M1032" i="275"/>
  <c r="AU1028" i="259"/>
  <c r="AX954" i="259"/>
  <c r="R181" i="275"/>
  <c r="K983" i="259"/>
  <c r="T732" i="259"/>
  <c r="W542" i="275"/>
  <c r="J100" i="259"/>
  <c r="J87" i="259"/>
  <c r="N210" i="275"/>
  <c r="N211" i="259"/>
  <c r="W1299" i="259"/>
  <c r="D1352" i="259"/>
  <c r="G1351" i="259"/>
  <c r="AW1032" i="275"/>
  <c r="L885" i="275"/>
  <c r="L181" i="275"/>
  <c r="R261" i="259"/>
  <c r="R22" i="261" s="1"/>
  <c r="V190" i="261"/>
  <c r="O261" i="259"/>
  <c r="O22" i="261" s="1"/>
  <c r="N262" i="261"/>
  <c r="AY120" i="275"/>
  <c r="AY953" i="259"/>
  <c r="H286" i="259"/>
  <c r="S65" i="275"/>
  <c r="AW910" i="275"/>
  <c r="T261" i="259"/>
  <c r="T22" i="261" s="1"/>
  <c r="T181" i="259"/>
  <c r="X181" i="275" s="1"/>
  <c r="V194" i="261"/>
  <c r="R194" i="261"/>
  <c r="O181" i="259"/>
  <c r="S181" i="275" s="1"/>
  <c r="AX1022" i="275"/>
  <c r="AV1017" i="275"/>
  <c r="J723" i="259"/>
  <c r="J723" i="275" s="1"/>
  <c r="D118" i="262"/>
  <c r="AV719" i="259"/>
  <c r="AV1178" i="259"/>
  <c r="AU1016" i="259"/>
  <c r="AU1031" i="259" s="1"/>
  <c r="N1273" i="259"/>
  <c r="N261" i="262" s="1"/>
  <c r="AV488" i="275"/>
  <c r="V955" i="259"/>
  <c r="AV1419" i="259"/>
  <c r="AV1420" i="259" s="1"/>
  <c r="AV332" i="261" s="1"/>
  <c r="O1426" i="259"/>
  <c r="N1315" i="259"/>
  <c r="N256" i="262" s="1"/>
  <c r="P197" i="259"/>
  <c r="P108" i="261" s="1"/>
  <c r="P140" i="275"/>
  <c r="AU1293" i="259"/>
  <c r="AU242" i="262" s="1"/>
  <c r="W983" i="259"/>
  <c r="Q1426" i="259"/>
  <c r="N969" i="275"/>
  <c r="AV1026" i="275"/>
  <c r="N178" i="275"/>
  <c r="P196" i="275"/>
  <c r="V723" i="275"/>
  <c r="T953" i="275"/>
  <c r="S1032" i="275"/>
  <c r="R234" i="275"/>
  <c r="O46" i="275"/>
  <c r="W582" i="275"/>
  <c r="R725" i="275"/>
  <c r="AX301" i="275"/>
  <c r="AZ921" i="259"/>
  <c r="AZ921" i="275" s="1"/>
  <c r="J1033" i="275"/>
  <c r="J979" i="275"/>
  <c r="P340" i="275"/>
  <c r="O234" i="261"/>
  <c r="F123" i="259"/>
  <c r="F68" i="259" s="1"/>
  <c r="O431" i="259"/>
  <c r="R303" i="275"/>
  <c r="AU139" i="259"/>
  <c r="N1446" i="259"/>
  <c r="N1445" i="259" s="1"/>
  <c r="N1447" i="259" s="1"/>
  <c r="AX599" i="275"/>
  <c r="Q197" i="259"/>
  <c r="Q108" i="261" s="1"/>
  <c r="L816" i="275"/>
  <c r="X447" i="259"/>
  <c r="X1083" i="259" s="1"/>
  <c r="T175" i="262"/>
  <c r="H195" i="261"/>
  <c r="E193" i="261"/>
  <c r="J1055" i="275"/>
  <c r="T1038" i="275"/>
  <c r="N139" i="275"/>
  <c r="AV1051" i="275"/>
  <c r="Q1032" i="275"/>
  <c r="Z658" i="275"/>
  <c r="H725" i="275"/>
  <c r="AW1017" i="275"/>
  <c r="AY650" i="275"/>
  <c r="Y658" i="275"/>
  <c r="AG200" i="275"/>
  <c r="P430" i="275"/>
  <c r="AW921" i="275"/>
  <c r="L418" i="275"/>
  <c r="T418" i="275"/>
  <c r="P1028" i="275"/>
  <c r="M1023" i="275"/>
  <c r="AX329" i="275"/>
  <c r="W1055" i="275"/>
  <c r="BA1364" i="259"/>
  <c r="AF1364" i="259"/>
  <c r="AG1364" i="259" s="1"/>
  <c r="AH1364" i="259" s="1"/>
  <c r="AI1364" i="259" s="1"/>
  <c r="BB1364" i="259" s="1"/>
  <c r="AV161" i="261"/>
  <c r="N816" i="275"/>
  <c r="L955" i="259"/>
  <c r="L955" i="275" s="1"/>
  <c r="J142" i="259"/>
  <c r="AX175" i="275"/>
  <c r="I121" i="275"/>
  <c r="AU954" i="259"/>
  <c r="H142" i="259"/>
  <c r="AX1023" i="259"/>
  <c r="AC641" i="275"/>
  <c r="AG641" i="275"/>
  <c r="BC1368" i="259"/>
  <c r="BD1368" i="259" s="1"/>
  <c r="BE1368" i="259" s="1"/>
  <c r="BC1365" i="259"/>
  <c r="BD1365" i="259" s="1"/>
  <c r="BE1365" i="259" s="1"/>
  <c r="AF177" i="261"/>
  <c r="AI484" i="259"/>
  <c r="BM104" i="264"/>
  <c r="BO104" i="264" s="1"/>
  <c r="BI103" i="264"/>
  <c r="BK103" i="264" s="1"/>
  <c r="AH483" i="259"/>
  <c r="BI145" i="264"/>
  <c r="BK145" i="264" s="1"/>
  <c r="AH422" i="259"/>
  <c r="BI151" i="264"/>
  <c r="BK151" i="264" s="1"/>
  <c r="BM139" i="264"/>
  <c r="BO139" i="264" s="1"/>
  <c r="AI344" i="259"/>
  <c r="BE101" i="264"/>
  <c r="AG481" i="259"/>
  <c r="AE481" i="275"/>
  <c r="BM101" i="264"/>
  <c r="AI481" i="259"/>
  <c r="AF68" i="262"/>
  <c r="BI14" i="264"/>
  <c r="BK14" i="264" s="1"/>
  <c r="BK28" i="263"/>
  <c r="AF526" i="275"/>
  <c r="AC539" i="275"/>
  <c r="AG539" i="275"/>
  <c r="BM102" i="264"/>
  <c r="AI482" i="259"/>
  <c r="AG422" i="259"/>
  <c r="BE145" i="264"/>
  <c r="BG145" i="264" s="1"/>
  <c r="BE151" i="264"/>
  <c r="BG151" i="264" s="1"/>
  <c r="BI139" i="264"/>
  <c r="BK139" i="264" s="1"/>
  <c r="AH344" i="259"/>
  <c r="BM131" i="264"/>
  <c r="BO131" i="264" s="1"/>
  <c r="AI244" i="259"/>
  <c r="AF92" i="261"/>
  <c r="AF245" i="275"/>
  <c r="AF67" i="262"/>
  <c r="BM14" i="264"/>
  <c r="BO14" i="264" s="1"/>
  <c r="BO28" i="263"/>
  <c r="AF173" i="261"/>
  <c r="AF522" i="275"/>
  <c r="AF30" i="262"/>
  <c r="AF31" i="262"/>
  <c r="BI101" i="264"/>
  <c r="AH481" i="259"/>
  <c r="BI104" i="264"/>
  <c r="BK104" i="264" s="1"/>
  <c r="AH484" i="259"/>
  <c r="BM151" i="264"/>
  <c r="BO151" i="264" s="1"/>
  <c r="BM145" i="264"/>
  <c r="BO145" i="264" s="1"/>
  <c r="AI422" i="259"/>
  <c r="BE103" i="264"/>
  <c r="BG103" i="264" s="1"/>
  <c r="AG483" i="259"/>
  <c r="BI102" i="264"/>
  <c r="AH482" i="259"/>
  <c r="AC484" i="275"/>
  <c r="BE104" i="264"/>
  <c r="BG104" i="264" s="1"/>
  <c r="AG484" i="259"/>
  <c r="BM103" i="264"/>
  <c r="BO103" i="264" s="1"/>
  <c r="AI483" i="259"/>
  <c r="BE131" i="264"/>
  <c r="BG131" i="264" s="1"/>
  <c r="AG244" i="259"/>
  <c r="AF485" i="275"/>
  <c r="AF174" i="261"/>
  <c r="AF34" i="262"/>
  <c r="AF534" i="259"/>
  <c r="AF1610" i="259"/>
  <c r="AF1603" i="259" s="1"/>
  <c r="AF482" i="275"/>
  <c r="AD244" i="275"/>
  <c r="BI131" i="264"/>
  <c r="BK131" i="264" s="1"/>
  <c r="AH244" i="259"/>
  <c r="AG344" i="259"/>
  <c r="BE139" i="264"/>
  <c r="BG139" i="264" s="1"/>
  <c r="BE130" i="264"/>
  <c r="BG130" i="264" s="1"/>
  <c r="AG243" i="259"/>
  <c r="BE102" i="264"/>
  <c r="AG482" i="259"/>
  <c r="BI130" i="264"/>
  <c r="BK130" i="264" s="1"/>
  <c r="AH243" i="259"/>
  <c r="AE179" i="259"/>
  <c r="AE179" i="275" s="1"/>
  <c r="BM130" i="264"/>
  <c r="BO130" i="264" s="1"/>
  <c r="AI243" i="259"/>
  <c r="BG28" i="263"/>
  <c r="BE14" i="264"/>
  <c r="BG14" i="264" s="1"/>
  <c r="AF176" i="261"/>
  <c r="AF452" i="259"/>
  <c r="BA14" i="264"/>
  <c r="BC14" i="264" s="1"/>
  <c r="BC28" i="263"/>
  <c r="AF175" i="261"/>
  <c r="AF184" i="261"/>
  <c r="AF568" i="259"/>
  <c r="P272" i="262"/>
  <c r="AB73" i="262"/>
  <c r="AF73" i="262"/>
  <c r="AB71" i="262"/>
  <c r="AF71" i="262"/>
  <c r="AB76" i="262"/>
  <c r="AF76" i="262"/>
  <c r="AD202" i="275"/>
  <c r="AH202" i="275"/>
  <c r="AD548" i="275"/>
  <c r="AH548" i="275"/>
  <c r="AC548" i="275"/>
  <c r="AG548" i="275"/>
  <c r="N922" i="275"/>
  <c r="N191" i="262"/>
  <c r="AU1501" i="259"/>
  <c r="AU161" i="262" s="1"/>
  <c r="AU816" i="259"/>
  <c r="D100" i="259"/>
  <c r="D87" i="259"/>
  <c r="D102" i="259" s="1"/>
  <c r="D104" i="259" s="1"/>
  <c r="M922" i="275"/>
  <c r="M191" i="262"/>
  <c r="O657" i="275"/>
  <c r="W657" i="275"/>
  <c r="Q234" i="275"/>
  <c r="AY514" i="259"/>
  <c r="AY1269" i="259"/>
  <c r="AY151" i="262" s="1"/>
  <c r="O769" i="275"/>
  <c r="O1497" i="259"/>
  <c r="O163" i="262" s="1"/>
  <c r="O118" i="262"/>
  <c r="F50" i="259"/>
  <c r="F126" i="262" s="1"/>
  <c r="F1415" i="259"/>
  <c r="F1427" i="259" s="1"/>
  <c r="F1428" i="259" s="1"/>
  <c r="F335" i="261" s="1"/>
  <c r="N50" i="259"/>
  <c r="N50" i="275" s="1"/>
  <c r="N1415" i="259"/>
  <c r="N1427" i="259" s="1"/>
  <c r="AY152" i="261"/>
  <c r="AU753" i="259"/>
  <c r="AU7" i="259"/>
  <c r="AU8" i="277" s="1"/>
  <c r="AW916" i="275"/>
  <c r="AY920" i="275"/>
  <c r="AX1414" i="259"/>
  <c r="W1499" i="259"/>
  <c r="AV901" i="275"/>
  <c r="AY667" i="275"/>
  <c r="O646" i="259"/>
  <c r="O652" i="259" s="1"/>
  <c r="O70" i="259" s="1"/>
  <c r="AX622" i="275"/>
  <c r="AX164" i="261"/>
  <c r="O953" i="275"/>
  <c r="AW953" i="259"/>
  <c r="P263" i="261"/>
  <c r="H1299" i="259"/>
  <c r="H1302" i="259"/>
  <c r="H1303" i="259" s="1"/>
  <c r="Q886" i="275"/>
  <c r="X922" i="275"/>
  <c r="T191" i="262"/>
  <c r="L719" i="275"/>
  <c r="T719" i="275"/>
  <c r="L680" i="275"/>
  <c r="T680" i="275"/>
  <c r="O600" i="275"/>
  <c r="W600" i="275"/>
  <c r="M875" i="275"/>
  <c r="M948" i="275"/>
  <c r="N989" i="275"/>
  <c r="R680" i="275"/>
  <c r="Q44" i="275"/>
  <c r="N38" i="275"/>
  <c r="Q967" i="275"/>
  <c r="S952" i="275"/>
  <c r="Q953" i="275"/>
  <c r="R875" i="275"/>
  <c r="N303" i="275"/>
  <c r="H191" i="262"/>
  <c r="I242" i="262"/>
  <c r="AV1293" i="259"/>
  <c r="AV242" i="262" s="1"/>
  <c r="I191" i="262"/>
  <c r="L858" i="275"/>
  <c r="T858" i="275"/>
  <c r="P1055" i="275"/>
  <c r="M1055" i="275"/>
  <c r="N784" i="275"/>
  <c r="R1055" i="275"/>
  <c r="AX179" i="275"/>
  <c r="P955" i="275"/>
  <c r="G871" i="259"/>
  <c r="AU871" i="259" s="1"/>
  <c r="P784" i="275"/>
  <c r="P591" i="275"/>
  <c r="AY973" i="275"/>
  <c r="AW113" i="275"/>
  <c r="E123" i="259"/>
  <c r="E68" i="259" s="1"/>
  <c r="AW777" i="275"/>
  <c r="X968" i="275"/>
  <c r="AY892" i="275"/>
  <c r="AV917" i="275"/>
  <c r="P922" i="275"/>
  <c r="AX650" i="275"/>
  <c r="AW591" i="275"/>
  <c r="AU764" i="259"/>
  <c r="AV764" i="275" s="1"/>
  <c r="AV921" i="275"/>
  <c r="AY916" i="275"/>
  <c r="AX741" i="275"/>
  <c r="G1302" i="259"/>
  <c r="G1303" i="259" s="1"/>
  <c r="G258" i="262" s="1"/>
  <c r="P885" i="275"/>
  <c r="N431" i="275"/>
  <c r="P968" i="275"/>
  <c r="P886" i="275"/>
  <c r="J1180" i="259"/>
  <c r="D1606" i="259"/>
  <c r="H74" i="275"/>
  <c r="AX917" i="275"/>
  <c r="AV919" i="275"/>
  <c r="AW894" i="275"/>
  <c r="S642" i="275"/>
  <c r="O591" i="275"/>
  <c r="AX117" i="275"/>
  <c r="AU363" i="259"/>
  <c r="AU364" i="259" s="1"/>
  <c r="AU365" i="259" s="1"/>
  <c r="AU121" i="261" s="1"/>
  <c r="H1018" i="275"/>
  <c r="Q140" i="275"/>
  <c r="T363" i="275"/>
  <c r="S159" i="275"/>
  <c r="E143" i="259"/>
  <c r="F100" i="259"/>
  <c r="R642" i="275"/>
  <c r="AX119" i="275"/>
  <c r="AV623" i="275"/>
  <c r="L121" i="275"/>
  <c r="J591" i="275"/>
  <c r="J121" i="275"/>
  <c r="T65" i="275"/>
  <c r="Q922" i="275"/>
  <c r="AW918" i="275"/>
  <c r="M221" i="275"/>
  <c r="H418" i="275"/>
  <c r="AV407" i="275"/>
  <c r="L1028" i="275"/>
  <c r="AY407" i="275"/>
  <c r="M340" i="275"/>
  <c r="AW329" i="275"/>
  <c r="O816" i="275"/>
  <c r="W753" i="275"/>
  <c r="J922" i="275"/>
  <c r="M895" i="259"/>
  <c r="D1250" i="259"/>
  <c r="D128" i="261" s="1"/>
  <c r="W886" i="275"/>
  <c r="K624" i="275"/>
  <c r="F142" i="259"/>
  <c r="F143" i="259" s="1"/>
  <c r="N1353" i="259"/>
  <c r="N210" i="262" s="1"/>
  <c r="N1354" i="259"/>
  <c r="N211" i="262" s="1"/>
  <c r="I769" i="275"/>
  <c r="Q982" i="275"/>
  <c r="M1064" i="259"/>
  <c r="M1087" i="259" s="1"/>
  <c r="E1064" i="259"/>
  <c r="E1087" i="259" s="1"/>
  <c r="M1067" i="259"/>
  <c r="M164" i="262" s="1"/>
  <c r="L303" i="275"/>
  <c r="R886" i="275"/>
  <c r="AV927" i="275"/>
  <c r="T624" i="275"/>
  <c r="E754" i="259"/>
  <c r="E279" i="261" s="1"/>
  <c r="T600" i="275"/>
  <c r="K1397" i="259"/>
  <c r="J858" i="275"/>
  <c r="R858" i="275"/>
  <c r="L25" i="262"/>
  <c r="S1023" i="275"/>
  <c r="H340" i="275"/>
  <c r="M141" i="275"/>
  <c r="AX1042" i="275"/>
  <c r="AX993" i="275"/>
  <c r="P582" i="275"/>
  <c r="M680" i="275"/>
  <c r="P522" i="275"/>
  <c r="M582" i="275"/>
  <c r="R719" i="275"/>
  <c r="N666" i="275"/>
  <c r="R582" i="275"/>
  <c r="Q303" i="275"/>
  <c r="W46" i="275"/>
  <c r="L953" i="275"/>
  <c r="R948" i="275"/>
  <c r="O680" i="275"/>
  <c r="R196" i="275"/>
  <c r="Q191" i="262"/>
  <c r="S191" i="262"/>
  <c r="AW73" i="262"/>
  <c r="AY76" i="262"/>
  <c r="H782" i="275"/>
  <c r="W285" i="275"/>
  <c r="AW117" i="275"/>
  <c r="O542" i="275"/>
  <c r="M591" i="275"/>
  <c r="AY741" i="275"/>
  <c r="T1028" i="275"/>
  <c r="Q221" i="275"/>
  <c r="M769" i="275"/>
  <c r="P303" i="275"/>
  <c r="I753" i="275"/>
  <c r="AX2" i="261"/>
  <c r="AX1600" i="259"/>
  <c r="Q885" i="275"/>
  <c r="H769" i="275"/>
  <c r="AY767" i="275"/>
  <c r="H542" i="275"/>
  <c r="Q542" i="275"/>
  <c r="T445" i="275"/>
  <c r="X1023" i="275"/>
  <c r="AU1419" i="259"/>
  <c r="AU1420" i="259" s="1"/>
  <c r="AU332" i="261" s="1"/>
  <c r="J139" i="275"/>
  <c r="D1685" i="259"/>
  <c r="AX977" i="275"/>
  <c r="AX972" i="275"/>
  <c r="L38" i="275"/>
  <c r="T38" i="275"/>
  <c r="R753" i="275"/>
  <c r="T952" i="275"/>
  <c r="N953" i="275"/>
  <c r="O875" i="275"/>
  <c r="W875" i="275"/>
  <c r="AW590" i="275"/>
  <c r="AY451" i="275"/>
  <c r="AY891" i="275"/>
  <c r="AV801" i="275"/>
  <c r="AX801" i="275"/>
  <c r="AY868" i="275"/>
  <c r="J769" i="275"/>
  <c r="W983" i="275"/>
  <c r="T234" i="275"/>
  <c r="L1023" i="275"/>
  <c r="R624" i="275"/>
  <c r="AY719" i="259"/>
  <c r="AY719" i="275" s="1"/>
  <c r="AY444" i="275"/>
  <c r="O37" i="275"/>
  <c r="T44" i="275"/>
  <c r="N1038" i="275"/>
  <c r="AV443" i="275"/>
  <c r="H816" i="275"/>
  <c r="T816" i="275"/>
  <c r="N952" i="275"/>
  <c r="S666" i="275"/>
  <c r="J1016" i="275"/>
  <c r="X452" i="275"/>
  <c r="AX919" i="275"/>
  <c r="AX777" i="275"/>
  <c r="H381" i="275"/>
  <c r="Q445" i="275"/>
  <c r="AX623" i="275"/>
  <c r="K922" i="275"/>
  <c r="M989" i="275"/>
  <c r="W115" i="275"/>
  <c r="N363" i="275"/>
  <c r="AV598" i="275"/>
  <c r="J140" i="275"/>
  <c r="O121" i="275"/>
  <c r="M955" i="259"/>
  <c r="N600" i="275"/>
  <c r="P1016" i="275"/>
  <c r="AY1026" i="275"/>
  <c r="AX1021" i="275"/>
  <c r="I886" i="275"/>
  <c r="AW488" i="275"/>
  <c r="AZ1603" i="259"/>
  <c r="M38" i="275"/>
  <c r="R46" i="275"/>
  <c r="Q719" i="275"/>
  <c r="M666" i="275"/>
  <c r="V181" i="275"/>
  <c r="AX157" i="275"/>
  <c r="N445" i="275"/>
  <c r="Q929" i="275"/>
  <c r="AX764" i="275"/>
  <c r="AW891" i="275"/>
  <c r="AV607" i="275"/>
  <c r="R922" i="275"/>
  <c r="AW900" i="275"/>
  <c r="AW901" i="275"/>
  <c r="O886" i="275"/>
  <c r="AU1038" i="259"/>
  <c r="AY623" i="275"/>
  <c r="AV119" i="275"/>
  <c r="Q121" i="275"/>
  <c r="P44" i="275"/>
  <c r="AV920" i="275"/>
  <c r="AY893" i="275"/>
  <c r="AW719" i="275"/>
  <c r="I624" i="275"/>
  <c r="L600" i="275"/>
  <c r="R542" i="275"/>
  <c r="I858" i="275"/>
  <c r="Q858" i="275"/>
  <c r="S221" i="275"/>
  <c r="O929" i="275"/>
  <c r="H221" i="275"/>
  <c r="P952" i="275"/>
  <c r="AW438" i="275"/>
  <c r="M46" i="275"/>
  <c r="U46" i="275"/>
  <c r="M658" i="275"/>
  <c r="N1023" i="275"/>
  <c r="S691" i="275"/>
  <c r="AX458" i="275"/>
  <c r="AZ557" i="275"/>
  <c r="I21" i="262"/>
  <c r="P20" i="262"/>
  <c r="M74" i="275"/>
  <c r="BA547" i="275"/>
  <c r="J50" i="275"/>
  <c r="J126" i="262"/>
  <c r="AX982" i="259"/>
  <c r="S982" i="275"/>
  <c r="S1101" i="259"/>
  <c r="S1116" i="259"/>
  <c r="S432" i="259"/>
  <c r="S431" i="275"/>
  <c r="AX15" i="262"/>
  <c r="AX45" i="262" s="1"/>
  <c r="AX561" i="275"/>
  <c r="I52" i="275"/>
  <c r="I128" i="262"/>
  <c r="P6" i="275"/>
  <c r="P134" i="262"/>
  <c r="W820" i="259"/>
  <c r="Z922" i="275"/>
  <c r="V922" i="275"/>
  <c r="X1033" i="259"/>
  <c r="X1032" i="275"/>
  <c r="AV447" i="259"/>
  <c r="AV1083" i="259" s="1"/>
  <c r="AV430" i="275"/>
  <c r="W303" i="275"/>
  <c r="AZ600" i="259"/>
  <c r="U600" i="275"/>
  <c r="Y600" i="275"/>
  <c r="P1033" i="259"/>
  <c r="Z955" i="275"/>
  <c r="H287" i="259"/>
  <c r="H120" i="261" s="1"/>
  <c r="H286" i="275"/>
  <c r="L95" i="262"/>
  <c r="L784" i="275"/>
  <c r="AV795" i="275"/>
  <c r="AW185" i="262"/>
  <c r="AW888" i="275"/>
  <c r="S1352" i="259"/>
  <c r="S870" i="275"/>
  <c r="M990" i="259"/>
  <c r="M705" i="275"/>
  <c r="Q479" i="259"/>
  <c r="Q487" i="259" s="1"/>
  <c r="Q476" i="275"/>
  <c r="P50" i="259"/>
  <c r="P115" i="275"/>
  <c r="AX910" i="275"/>
  <c r="AZ723" i="275"/>
  <c r="AV234" i="259"/>
  <c r="AV234" i="275" s="1"/>
  <c r="K234" i="275"/>
  <c r="AX753" i="259"/>
  <c r="AX754" i="259" s="1"/>
  <c r="AX279" i="261" s="1"/>
  <c r="AX751" i="275"/>
  <c r="Z418" i="275"/>
  <c r="V418" i="275"/>
  <c r="Q871" i="259"/>
  <c r="Q870" i="275"/>
  <c r="AW982" i="259"/>
  <c r="AW1116" i="259" s="1"/>
  <c r="AX110" i="262"/>
  <c r="AX802" i="275"/>
  <c r="Q6" i="275"/>
  <c r="Q134" i="262"/>
  <c r="U6" i="275"/>
  <c r="Y6" i="275"/>
  <c r="U134" i="262"/>
  <c r="U506" i="275"/>
  <c r="Y506" i="275"/>
  <c r="Q889" i="275"/>
  <c r="Q186" i="262"/>
  <c r="AY13" i="262"/>
  <c r="AY541" i="275"/>
  <c r="J820" i="259"/>
  <c r="J59" i="275"/>
  <c r="L257" i="262"/>
  <c r="L782" i="275"/>
  <c r="Y453" i="275"/>
  <c r="N40" i="259"/>
  <c r="N40" i="275" s="1"/>
  <c r="N37" i="275"/>
  <c r="F270" i="261"/>
  <c r="Y160" i="275"/>
  <c r="Q257" i="262"/>
  <c r="Z142" i="275"/>
  <c r="AU1374" i="259"/>
  <c r="AX705" i="259"/>
  <c r="AY705" i="275" s="1"/>
  <c r="L6" i="275"/>
  <c r="L134" i="262"/>
  <c r="S6" i="275"/>
  <c r="S134" i="262"/>
  <c r="H8" i="275"/>
  <c r="H136" i="262"/>
  <c r="AW56" i="275"/>
  <c r="AW138" i="262"/>
  <c r="H820" i="259"/>
  <c r="X445" i="275"/>
  <c r="AY498" i="275"/>
  <c r="AW919" i="275"/>
  <c r="Q211" i="259"/>
  <c r="Q210" i="275"/>
  <c r="AV891" i="275"/>
  <c r="AZ777" i="275"/>
  <c r="AY777" i="275"/>
  <c r="V1291" i="259"/>
  <c r="U929" i="275"/>
  <c r="R204" i="261"/>
  <c r="R544" i="275"/>
  <c r="T204" i="261"/>
  <c r="T544" i="275"/>
  <c r="M204" i="261"/>
  <c r="M544" i="275"/>
  <c r="X691" i="275"/>
  <c r="Y234" i="261"/>
  <c r="AX719" i="275"/>
  <c r="P845" i="259"/>
  <c r="P839" i="275"/>
  <c r="AV1038" i="259"/>
  <c r="I1038" i="275"/>
  <c r="AX664" i="259"/>
  <c r="AX664" i="275" s="1"/>
  <c r="W301" i="261"/>
  <c r="H6" i="275"/>
  <c r="H134" i="262"/>
  <c r="V432" i="259"/>
  <c r="Z431" i="275"/>
  <c r="V431" i="275"/>
  <c r="I1614" i="259"/>
  <c r="I1616" i="259" s="1"/>
  <c r="I280" i="262" s="1"/>
  <c r="I487" i="275"/>
  <c r="AX107" i="262"/>
  <c r="AX799" i="275"/>
  <c r="O303" i="275"/>
  <c r="X197" i="259"/>
  <c r="X108" i="261" s="1"/>
  <c r="X196" i="275"/>
  <c r="W1505" i="259"/>
  <c r="X820" i="259"/>
  <c r="E41" i="273"/>
  <c r="Q1352" i="259"/>
  <c r="W591" i="275"/>
  <c r="AV117" i="275"/>
  <c r="I142" i="259"/>
  <c r="I140" i="275"/>
  <c r="S364" i="259"/>
  <c r="S363" i="275"/>
  <c r="S285" i="275"/>
  <c r="AX1031" i="259"/>
  <c r="R198" i="261"/>
  <c r="R543" i="275"/>
  <c r="S40" i="259"/>
  <c r="S37" i="275"/>
  <c r="P820" i="259"/>
  <c r="U44" i="275"/>
  <c r="Y44" i="275"/>
  <c r="AW261" i="259"/>
  <c r="AW22" i="261" s="1"/>
  <c r="AW178" i="275"/>
  <c r="AW720" i="259"/>
  <c r="AW725" i="259" s="1"/>
  <c r="Q123" i="259"/>
  <c r="Q363" i="275"/>
  <c r="AV666" i="259"/>
  <c r="AV666" i="275" s="1"/>
  <c r="H666" i="275"/>
  <c r="AX666" i="259"/>
  <c r="P666" i="275"/>
  <c r="M198" i="261"/>
  <c r="M543" i="275"/>
  <c r="X263" i="261"/>
  <c r="X953" i="275"/>
  <c r="Y263" i="261"/>
  <c r="S264" i="261"/>
  <c r="AV498" i="275"/>
  <c r="N263" i="261"/>
  <c r="U162" i="261"/>
  <c r="U624" i="275"/>
  <c r="Y624" i="275"/>
  <c r="L56" i="275"/>
  <c r="L138" i="262"/>
  <c r="H159" i="275"/>
  <c r="AY263" i="259"/>
  <c r="AY24" i="261" s="1"/>
  <c r="AY180" i="275"/>
  <c r="M600" i="275"/>
  <c r="U889" i="275"/>
  <c r="Y889" i="275"/>
  <c r="U186" i="262"/>
  <c r="AU978" i="259"/>
  <c r="AV978" i="275" s="1"/>
  <c r="U1299" i="259"/>
  <c r="T162" i="261"/>
  <c r="S624" i="275"/>
  <c r="T198" i="261"/>
  <c r="T543" i="275"/>
  <c r="L364" i="259"/>
  <c r="L363" i="275"/>
  <c r="O198" i="261"/>
  <c r="O543" i="275"/>
  <c r="AY15" i="262"/>
  <c r="AY45" i="262" s="1"/>
  <c r="AY561" i="275"/>
  <c r="AV286" i="259"/>
  <c r="AV285" i="275"/>
  <c r="AY37" i="259"/>
  <c r="AY113" i="275"/>
  <c r="X889" i="275"/>
  <c r="X186" i="262"/>
  <c r="Q162" i="261"/>
  <c r="Q624" i="275"/>
  <c r="Q591" i="275"/>
  <c r="V1031" i="259"/>
  <c r="Z1016" i="275"/>
  <c r="V1016" i="275"/>
  <c r="N1039" i="259"/>
  <c r="N1039" i="275" s="1"/>
  <c r="N691" i="275"/>
  <c r="AY901" i="275"/>
  <c r="W198" i="261"/>
  <c r="W543" i="275"/>
  <c r="Z340" i="275"/>
  <c r="V340" i="275"/>
  <c r="AY103" i="262"/>
  <c r="AY794" i="275"/>
  <c r="R929" i="275"/>
  <c r="AW445" i="259"/>
  <c r="O445" i="275"/>
  <c r="J62" i="275"/>
  <c r="J142" i="262"/>
  <c r="V286" i="259"/>
  <c r="Z285" i="275"/>
  <c r="V285" i="275"/>
  <c r="I181" i="275"/>
  <c r="Z624" i="275"/>
  <c r="V624" i="275"/>
  <c r="M40" i="259"/>
  <c r="M40" i="275" s="1"/>
  <c r="AW1508" i="259"/>
  <c r="AW115" i="261" s="1"/>
  <c r="T886" i="275"/>
  <c r="BB590" i="275"/>
  <c r="H821" i="259"/>
  <c r="AX607" i="275"/>
  <c r="M1031" i="259"/>
  <c r="M1016" i="275"/>
  <c r="AW801" i="275"/>
  <c r="AY801" i="275"/>
  <c r="L979" i="259"/>
  <c r="L978" i="275"/>
  <c r="T979" i="259"/>
  <c r="T978" i="275"/>
  <c r="U1023" i="275"/>
  <c r="Y1023" i="275"/>
  <c r="M968" i="275"/>
  <c r="U969" i="259"/>
  <c r="U968" i="275"/>
  <c r="Y968" i="275"/>
  <c r="I1016" i="275"/>
  <c r="Q1031" i="259"/>
  <c r="Q1016" i="275"/>
  <c r="U221" i="275"/>
  <c r="Y70" i="261"/>
  <c r="Y221" i="275"/>
  <c r="AY607" i="275"/>
  <c r="AW63" i="275"/>
  <c r="AW143" i="262"/>
  <c r="AX57" i="275"/>
  <c r="AX139" i="262"/>
  <c r="T769" i="275"/>
  <c r="AW753" i="259"/>
  <c r="AW754" i="259" s="1"/>
  <c r="AW279" i="261" s="1"/>
  <c r="AW751" i="275"/>
  <c r="S753" i="275"/>
  <c r="AY910" i="275"/>
  <c r="AX918" i="275"/>
  <c r="V198" i="261"/>
  <c r="V543" i="275"/>
  <c r="Z543" i="275"/>
  <c r="M905" i="259"/>
  <c r="M902" i="275"/>
  <c r="AX900" i="275"/>
  <c r="U262" i="261"/>
  <c r="U952" i="275"/>
  <c r="Y952" i="275"/>
  <c r="K905" i="259"/>
  <c r="K905" i="275" s="1"/>
  <c r="K902" i="275"/>
  <c r="T263" i="261"/>
  <c r="S953" i="275"/>
  <c r="T1081" i="259"/>
  <c r="T1077" i="259" s="1"/>
  <c r="T284" i="261" s="1"/>
  <c r="T889" i="275"/>
  <c r="T186" i="262"/>
  <c r="L889" i="275"/>
  <c r="L186" i="262"/>
  <c r="K871" i="259"/>
  <c r="K870" i="275"/>
  <c r="W870" i="275"/>
  <c r="S885" i="275"/>
  <c r="W885" i="275"/>
  <c r="I929" i="259"/>
  <c r="I929" i="275" s="1"/>
  <c r="H875" i="275"/>
  <c r="T929" i="259"/>
  <c r="X929" i="275" s="1"/>
  <c r="T875" i="275"/>
  <c r="M1038" i="275"/>
  <c r="AX1038" i="259"/>
  <c r="Q1038" i="275"/>
  <c r="U989" i="275"/>
  <c r="Y989" i="275"/>
  <c r="I198" i="261"/>
  <c r="I543" i="275"/>
  <c r="U198" i="261"/>
  <c r="U543" i="275"/>
  <c r="AV561" i="275"/>
  <c r="L591" i="275"/>
  <c r="M62" i="275"/>
  <c r="M142" i="262"/>
  <c r="AY62" i="259"/>
  <c r="F56" i="264" s="1"/>
  <c r="H56" i="264" s="1"/>
  <c r="U62" i="275"/>
  <c r="Y62" i="275"/>
  <c r="U142" i="262"/>
  <c r="K40" i="259"/>
  <c r="K40" i="275" s="1"/>
  <c r="K37" i="275"/>
  <c r="V160" i="259"/>
  <c r="Z159" i="275"/>
  <c r="V159" i="275"/>
  <c r="J381" i="275"/>
  <c r="O453" i="259"/>
  <c r="O452" i="275"/>
  <c r="N142" i="259"/>
  <c r="N142" i="275" s="1"/>
  <c r="N141" i="275"/>
  <c r="U364" i="259"/>
  <c r="U363" i="275"/>
  <c r="Y363" i="275"/>
  <c r="J453" i="259"/>
  <c r="J453" i="275" s="1"/>
  <c r="J452" i="275"/>
  <c r="M85" i="259"/>
  <c r="M87" i="259" s="1"/>
  <c r="M102" i="259" s="1"/>
  <c r="M285" i="275"/>
  <c r="AV262" i="259"/>
  <c r="AV23" i="261" s="1"/>
  <c r="AV179" i="275"/>
  <c r="AY582" i="259"/>
  <c r="AY579" i="275"/>
  <c r="AX132" i="275"/>
  <c r="AX131" i="262"/>
  <c r="AY591" i="259"/>
  <c r="AY590" i="275"/>
  <c r="AX262" i="262"/>
  <c r="AX154" i="262"/>
  <c r="AX407" i="275"/>
  <c r="M1116" i="259"/>
  <c r="M982" i="275"/>
  <c r="AY110" i="262"/>
  <c r="AY802" i="275"/>
  <c r="AX892" i="275"/>
  <c r="U445" i="275"/>
  <c r="Y445" i="275"/>
  <c r="P929" i="259"/>
  <c r="Z445" i="275"/>
  <c r="V445" i="275"/>
  <c r="K1031" i="259"/>
  <c r="K1016" i="275"/>
  <c r="J1351" i="259"/>
  <c r="J870" i="275"/>
  <c r="I820" i="259"/>
  <c r="I59" i="275"/>
  <c r="L210" i="275"/>
  <c r="N1031" i="259"/>
  <c r="R1031" i="275" s="1"/>
  <c r="N1016" i="275"/>
  <c r="U922" i="275"/>
  <c r="Y922" i="275"/>
  <c r="AY175" i="275"/>
  <c r="O968" i="275"/>
  <c r="U452" i="275"/>
  <c r="Y452" i="275"/>
  <c r="K131" i="259"/>
  <c r="K432" i="275"/>
  <c r="M453" i="259"/>
  <c r="M452" i="275"/>
  <c r="L445" i="275"/>
  <c r="X287" i="259"/>
  <c r="X120" i="261" s="1"/>
  <c r="X286" i="275"/>
  <c r="AV872" i="259"/>
  <c r="AV873" i="275"/>
  <c r="P624" i="275"/>
  <c r="M381" i="275"/>
  <c r="AV197" i="259"/>
  <c r="AV108" i="261" s="1"/>
  <c r="AV196" i="275"/>
  <c r="AY234" i="259"/>
  <c r="W234" i="275"/>
  <c r="P364" i="259"/>
  <c r="P363" i="275"/>
  <c r="O1101" i="259"/>
  <c r="Q845" i="259"/>
  <c r="Q839" i="275"/>
  <c r="AY671" i="259"/>
  <c r="AY690" i="275"/>
  <c r="R50" i="259"/>
  <c r="R115" i="275"/>
  <c r="T160" i="259"/>
  <c r="T159" i="275"/>
  <c r="P816" i="275"/>
  <c r="M753" i="275"/>
  <c r="J816" i="275"/>
  <c r="H600" i="275"/>
  <c r="AV340" i="259"/>
  <c r="AV340" i="275" s="1"/>
  <c r="K340" i="275"/>
  <c r="T905" i="259"/>
  <c r="X905" i="275" s="1"/>
  <c r="T902" i="275"/>
  <c r="K141" i="275"/>
  <c r="N820" i="259"/>
  <c r="N59" i="275"/>
  <c r="I1415" i="259"/>
  <c r="I115" i="275"/>
  <c r="W1031" i="259"/>
  <c r="W1016" i="275"/>
  <c r="S969" i="259"/>
  <c r="AV705" i="259"/>
  <c r="AW705" i="275" s="1"/>
  <c r="K705" i="275"/>
  <c r="M885" i="275"/>
  <c r="T922" i="275"/>
  <c r="J929" i="259"/>
  <c r="J929" i="275" s="1"/>
  <c r="AV967" i="259"/>
  <c r="AV967" i="275" s="1"/>
  <c r="AV910" i="275"/>
  <c r="Q1055" i="275"/>
  <c r="AX58" i="275"/>
  <c r="AX140" i="262"/>
  <c r="AY989" i="259"/>
  <c r="W989" i="275"/>
  <c r="J264" i="261"/>
  <c r="I954" i="275"/>
  <c r="K1081" i="259"/>
  <c r="K889" i="275"/>
  <c r="K186" i="262"/>
  <c r="T871" i="259"/>
  <c r="T870" i="275"/>
  <c r="N542" i="275"/>
  <c r="Z542" i="275"/>
  <c r="V542" i="275"/>
  <c r="X858" i="275"/>
  <c r="O264" i="261"/>
  <c r="N954" i="275"/>
  <c r="F1067" i="259"/>
  <c r="F164" i="262" s="1"/>
  <c r="F186" i="262"/>
  <c r="M1351" i="259"/>
  <c r="M870" i="275"/>
  <c r="U1351" i="259"/>
  <c r="U870" i="275"/>
  <c r="Y870" i="275"/>
  <c r="AW13" i="262"/>
  <c r="AW541" i="275"/>
  <c r="AX14" i="262"/>
  <c r="AX44" i="262" s="1"/>
  <c r="AX551" i="275"/>
  <c r="N858" i="275"/>
  <c r="Z858" i="275"/>
  <c r="V858" i="275"/>
  <c r="M136" i="262"/>
  <c r="P264" i="261"/>
  <c r="O954" i="275"/>
  <c r="AV858" i="259"/>
  <c r="AV858" i="275" s="1"/>
  <c r="K858" i="275"/>
  <c r="AX858" i="259"/>
  <c r="S858" i="275"/>
  <c r="AY927" i="275"/>
  <c r="O20" i="262"/>
  <c r="Z1028" i="275"/>
  <c r="V1028" i="275"/>
  <c r="O1023" i="275"/>
  <c r="W1023" i="275"/>
  <c r="R600" i="275"/>
  <c r="O479" i="259"/>
  <c r="O476" i="275"/>
  <c r="W479" i="259"/>
  <c r="W476" i="275"/>
  <c r="U381" i="275"/>
  <c r="Y381" i="275"/>
  <c r="U479" i="259"/>
  <c r="U476" i="275"/>
  <c r="Y476" i="275"/>
  <c r="AW35" i="262"/>
  <c r="AW534" i="275"/>
  <c r="P193" i="261"/>
  <c r="P542" i="275"/>
  <c r="T479" i="259"/>
  <c r="T476" i="275"/>
  <c r="AX418" i="259"/>
  <c r="S418" i="275"/>
  <c r="N886" i="275"/>
  <c r="P479" i="259"/>
  <c r="P476" i="275"/>
  <c r="J1018" i="275"/>
  <c r="AW38" i="259"/>
  <c r="AW38" i="275" s="1"/>
  <c r="AW510" i="275"/>
  <c r="J95" i="262"/>
  <c r="J784" i="275"/>
  <c r="AW418" i="259"/>
  <c r="O418" i="275"/>
  <c r="L340" i="275"/>
  <c r="T1023" i="275"/>
  <c r="L1031" i="259"/>
  <c r="P1031" i="275" s="1"/>
  <c r="L1016" i="275"/>
  <c r="T1031" i="259"/>
  <c r="T1016" i="275"/>
  <c r="L262" i="261"/>
  <c r="L952" i="275"/>
  <c r="I1081" i="259"/>
  <c r="I889" i="275"/>
  <c r="I186" i="262"/>
  <c r="R1352" i="259"/>
  <c r="R870" i="275"/>
  <c r="H1039" i="259"/>
  <c r="H691" i="275"/>
  <c r="Q646" i="259"/>
  <c r="Q642" i="275"/>
  <c r="L1038" i="275"/>
  <c r="AY1069" i="259"/>
  <c r="I924" i="259"/>
  <c r="I922" i="275"/>
  <c r="AW1657" i="259"/>
  <c r="AV1027" i="275"/>
  <c r="H479" i="259"/>
  <c r="H476" i="275"/>
  <c r="AY1657" i="259"/>
  <c r="M1081" i="259"/>
  <c r="M889" i="275"/>
  <c r="M186" i="262"/>
  <c r="I363" i="275"/>
  <c r="R139" i="275"/>
  <c r="M364" i="259"/>
  <c r="M363" i="275"/>
  <c r="AZ599" i="275"/>
  <c r="AY768" i="275"/>
  <c r="U591" i="275"/>
  <c r="Y591" i="275"/>
  <c r="V1039" i="259"/>
  <c r="Z691" i="275"/>
  <c r="V691" i="275"/>
  <c r="R1039" i="259"/>
  <c r="R1039" i="275" s="1"/>
  <c r="R691" i="275"/>
  <c r="Q753" i="275"/>
  <c r="L1685" i="259"/>
  <c r="Y1548" i="259"/>
  <c r="Y76" i="259" s="1"/>
  <c r="Y76" i="275" s="1"/>
  <c r="AY1051" i="275"/>
  <c r="BA641" i="275"/>
  <c r="BA768" i="275"/>
  <c r="Z506" i="275"/>
  <c r="V506" i="275"/>
  <c r="V7" i="259"/>
  <c r="X1426" i="259"/>
  <c r="X1428" i="259" s="1"/>
  <c r="AX1685" i="259"/>
  <c r="X522" i="275"/>
  <c r="X30" i="262"/>
  <c r="X31" i="262"/>
  <c r="X45" i="262" s="1"/>
  <c r="I506" i="275"/>
  <c r="I7" i="259"/>
  <c r="AZ438" i="275"/>
  <c r="AY438" i="275"/>
  <c r="AW72" i="262"/>
  <c r="AW67" i="262"/>
  <c r="AX71" i="262"/>
  <c r="AX68" i="262"/>
  <c r="P38" i="275"/>
  <c r="V979" i="259"/>
  <c r="Z978" i="275"/>
  <c r="V978" i="275"/>
  <c r="Z816" i="275"/>
  <c r="V816" i="275"/>
  <c r="L1039" i="259"/>
  <c r="L691" i="275"/>
  <c r="H990" i="259"/>
  <c r="H990" i="275" s="1"/>
  <c r="H705" i="275"/>
  <c r="P990" i="259"/>
  <c r="P705" i="275"/>
  <c r="P719" i="275"/>
  <c r="P680" i="275"/>
  <c r="S600" i="275"/>
  <c r="O35" i="262"/>
  <c r="O44" i="262" s="1"/>
  <c r="O534" i="275"/>
  <c r="P121" i="275"/>
  <c r="N56" i="275"/>
  <c r="N138" i="262"/>
  <c r="V40" i="259"/>
  <c r="Z37" i="275"/>
  <c r="V37" i="275"/>
  <c r="W44" i="275"/>
  <c r="R160" i="259"/>
  <c r="R159" i="275"/>
  <c r="U159" i="275"/>
  <c r="Y159" i="275"/>
  <c r="T431" i="275"/>
  <c r="L286" i="259"/>
  <c r="L285" i="275"/>
  <c r="T285" i="275"/>
  <c r="K1685" i="259"/>
  <c r="J175" i="262"/>
  <c r="J872" i="275"/>
  <c r="I96" i="259"/>
  <c r="I658" i="275"/>
  <c r="I8" i="259"/>
  <c r="M8" i="275" s="1"/>
  <c r="Q96" i="259"/>
  <c r="Q658" i="275"/>
  <c r="Q8" i="259"/>
  <c r="S978" i="275"/>
  <c r="H973" i="275"/>
  <c r="M719" i="275"/>
  <c r="Q666" i="275"/>
  <c r="H35" i="262"/>
  <c r="H44" i="262" s="1"/>
  <c r="H534" i="275"/>
  <c r="P35" i="262"/>
  <c r="P44" i="262" s="1"/>
  <c r="P534" i="275"/>
  <c r="AX704" i="275"/>
  <c r="AY1021" i="275"/>
  <c r="AY336" i="275"/>
  <c r="L948" i="275"/>
  <c r="X952" i="275"/>
  <c r="Q875" i="275"/>
  <c r="Q948" i="275"/>
  <c r="R990" i="259"/>
  <c r="R991" i="259" s="1"/>
  <c r="R705" i="275"/>
  <c r="Z719" i="275"/>
  <c r="V719" i="275"/>
  <c r="N680" i="275"/>
  <c r="M522" i="275"/>
  <c r="Z582" i="275"/>
  <c r="V582" i="275"/>
  <c r="P40" i="259"/>
  <c r="P37" i="275"/>
  <c r="M44" i="275"/>
  <c r="O141" i="275"/>
  <c r="U303" i="275"/>
  <c r="Y303" i="275"/>
  <c r="N140" i="275"/>
  <c r="E1685" i="259"/>
  <c r="U196" i="275"/>
  <c r="AX510" i="275"/>
  <c r="AX175" i="262"/>
  <c r="AW582" i="275"/>
  <c r="AW598" i="275"/>
  <c r="L430" i="275"/>
  <c r="P658" i="275"/>
  <c r="X978" i="275"/>
  <c r="X979" i="259"/>
  <c r="X979" i="275" s="1"/>
  <c r="T178" i="275"/>
  <c r="T210" i="259"/>
  <c r="X210" i="275" s="1"/>
  <c r="AX72" i="262"/>
  <c r="AX67" i="262"/>
  <c r="AY68" i="262"/>
  <c r="AY71" i="262"/>
  <c r="BE599" i="275"/>
  <c r="N96" i="259"/>
  <c r="N658" i="275"/>
  <c r="N8" i="259"/>
  <c r="K641" i="275"/>
  <c r="M967" i="275"/>
  <c r="P953" i="275"/>
  <c r="O990" i="259"/>
  <c r="O705" i="275"/>
  <c r="X273" i="261"/>
  <c r="Y270" i="261"/>
  <c r="W705" i="275"/>
  <c r="O666" i="275"/>
  <c r="Z522" i="275"/>
  <c r="V522" i="275"/>
  <c r="AY458" i="275"/>
  <c r="AV456" i="275"/>
  <c r="AV455" i="275"/>
  <c r="AX455" i="275"/>
  <c r="W364" i="259"/>
  <c r="W363" i="275"/>
  <c r="O140" i="275"/>
  <c r="AY386" i="275"/>
  <c r="V1023" i="275"/>
  <c r="AW240" i="275"/>
  <c r="I479" i="275"/>
  <c r="Q816" i="275"/>
  <c r="U953" i="275"/>
  <c r="Y953" i="275"/>
  <c r="Z875" i="275"/>
  <c r="V875" i="275"/>
  <c r="N948" i="275"/>
  <c r="W680" i="275"/>
  <c r="V35" i="262"/>
  <c r="V44" i="262" s="1"/>
  <c r="Z534" i="275"/>
  <c r="V534" i="275"/>
  <c r="R522" i="275"/>
  <c r="S582" i="275"/>
  <c r="AZ455" i="275"/>
  <c r="AY455" i="275"/>
  <c r="AW442" i="275"/>
  <c r="W62" i="275"/>
  <c r="W142" i="262"/>
  <c r="Q56" i="275"/>
  <c r="Q138" i="262"/>
  <c r="P175" i="262"/>
  <c r="P872" i="275"/>
  <c r="M210" i="275"/>
  <c r="AV579" i="275"/>
  <c r="AW1547" i="259"/>
  <c r="AW75" i="259" s="1"/>
  <c r="X178" i="275"/>
  <c r="U723" i="275"/>
  <c r="X44" i="275"/>
  <c r="J221" i="275"/>
  <c r="X600" i="275"/>
  <c r="AW87" i="262"/>
  <c r="AY56" i="275"/>
  <c r="AY138" i="262"/>
  <c r="Z889" i="275"/>
  <c r="V889" i="275"/>
  <c r="V186" i="262"/>
  <c r="AW905" i="259"/>
  <c r="AX974" i="259"/>
  <c r="AY680" i="275"/>
  <c r="AZ680" i="275"/>
  <c r="L1115" i="259"/>
  <c r="AX381" i="259"/>
  <c r="AX379" i="275"/>
  <c r="X264" i="261"/>
  <c r="X954" i="275"/>
  <c r="Y264" i="261"/>
  <c r="U809" i="259"/>
  <c r="AW15" i="262"/>
  <c r="AW561" i="275"/>
  <c r="S204" i="261"/>
  <c r="S544" i="275"/>
  <c r="V1378" i="259"/>
  <c r="V1379" i="259" s="1"/>
  <c r="Z871" i="275"/>
  <c r="V871" i="275"/>
  <c r="N990" i="259"/>
  <c r="N705" i="275"/>
  <c r="Q40" i="275"/>
  <c r="AX63" i="275"/>
  <c r="AX143" i="262"/>
  <c r="D1064" i="259"/>
  <c r="D1087" i="259" s="1"/>
  <c r="D186" i="262"/>
  <c r="K845" i="259"/>
  <c r="K839" i="275"/>
  <c r="V646" i="259"/>
  <c r="V642" i="275"/>
  <c r="AX445" i="259"/>
  <c r="S445" i="275"/>
  <c r="AY398" i="259"/>
  <c r="AY32" i="261" s="1"/>
  <c r="AY380" i="275"/>
  <c r="J364" i="259"/>
  <c r="J364" i="275" s="1"/>
  <c r="J363" i="275"/>
  <c r="BA590" i="275"/>
  <c r="AY63" i="275"/>
  <c r="AY143" i="262"/>
  <c r="AW234" i="259"/>
  <c r="AW234" i="275" s="1"/>
  <c r="O234" i="275"/>
  <c r="R85" i="259"/>
  <c r="R285" i="275"/>
  <c r="U845" i="259"/>
  <c r="U839" i="275"/>
  <c r="Y839" i="275"/>
  <c r="W905" i="259"/>
  <c r="W902" i="275"/>
  <c r="M264" i="261"/>
  <c r="M954" i="275"/>
  <c r="R955" i="259"/>
  <c r="R954" i="275"/>
  <c r="U1028" i="275"/>
  <c r="Y1028" i="275"/>
  <c r="AV1511" i="259"/>
  <c r="AV244" i="261" s="1"/>
  <c r="AV479" i="259"/>
  <c r="AV476" i="275"/>
  <c r="Z600" i="275"/>
  <c r="V600" i="275"/>
  <c r="W845" i="259"/>
  <c r="W839" i="275"/>
  <c r="T193" i="261"/>
  <c r="T542" i="275"/>
  <c r="P1250" i="259"/>
  <c r="P128" i="261" s="1"/>
  <c r="P221" i="275"/>
  <c r="N1351" i="259"/>
  <c r="N870" i="275"/>
  <c r="U139" i="275"/>
  <c r="Y139" i="275"/>
  <c r="L479" i="259"/>
  <c r="L476" i="275"/>
  <c r="AY978" i="259"/>
  <c r="AY978" i="275" s="1"/>
  <c r="W978" i="275"/>
  <c r="H1031" i="259"/>
  <c r="H1016" i="275"/>
  <c r="L905" i="259"/>
  <c r="L270" i="261" s="1"/>
  <c r="L902" i="275"/>
  <c r="U646" i="259"/>
  <c r="U642" i="275"/>
  <c r="N769" i="275"/>
  <c r="AY1028" i="259"/>
  <c r="AY1028" i="275" s="1"/>
  <c r="AY1027" i="275"/>
  <c r="AY1023" i="259"/>
  <c r="AY1023" i="275" s="1"/>
  <c r="AY1022" i="275"/>
  <c r="J160" i="259"/>
  <c r="J159" i="275"/>
  <c r="Z363" i="275"/>
  <c r="V363" i="275"/>
  <c r="X666" i="275"/>
  <c r="J7" i="259"/>
  <c r="J506" i="275"/>
  <c r="R506" i="275"/>
  <c r="R7" i="259"/>
  <c r="Z196" i="275"/>
  <c r="V196" i="275"/>
  <c r="AZ741" i="275"/>
  <c r="X875" i="275"/>
  <c r="Y929" i="259"/>
  <c r="Y929" i="275" s="1"/>
  <c r="K506" i="275"/>
  <c r="K7" i="259"/>
  <c r="S506" i="275"/>
  <c r="S7" i="259"/>
  <c r="S178" i="275"/>
  <c r="S210" i="259"/>
  <c r="X62" i="275"/>
  <c r="X142" i="262"/>
  <c r="X65" i="259"/>
  <c r="X821" i="259" s="1"/>
  <c r="M506" i="275"/>
  <c r="M7" i="259"/>
  <c r="BB657" i="275"/>
  <c r="AY73" i="262"/>
  <c r="P723" i="259"/>
  <c r="P725" i="275"/>
  <c r="AV133" i="275"/>
  <c r="AV132" i="262"/>
  <c r="X96" i="259"/>
  <c r="X658" i="275"/>
  <c r="R979" i="259"/>
  <c r="R978" i="275"/>
  <c r="AV973" i="259"/>
  <c r="AV973" i="275" s="1"/>
  <c r="K973" i="275"/>
  <c r="AX340" i="259"/>
  <c r="S340" i="275"/>
  <c r="AX967" i="259"/>
  <c r="S967" i="275"/>
  <c r="AV968" i="259"/>
  <c r="AV968" i="275" s="1"/>
  <c r="K968" i="275"/>
  <c r="AY968" i="259"/>
  <c r="W968" i="275"/>
  <c r="AW948" i="259"/>
  <c r="O948" i="275"/>
  <c r="AY948" i="259"/>
  <c r="W948" i="275"/>
  <c r="W35" i="262"/>
  <c r="W48" i="262" s="1"/>
  <c r="W534" i="275"/>
  <c r="O30" i="262"/>
  <c r="O522" i="275"/>
  <c r="Z56" i="275"/>
  <c r="V56" i="275"/>
  <c r="V138" i="262"/>
  <c r="R40" i="259"/>
  <c r="R40" i="275" s="1"/>
  <c r="R37" i="275"/>
  <c r="H175" i="262"/>
  <c r="H872" i="275"/>
  <c r="O175" i="262"/>
  <c r="O872" i="275"/>
  <c r="Y646" i="259"/>
  <c r="Y642" i="275"/>
  <c r="Y52" i="259"/>
  <c r="AV664" i="259"/>
  <c r="AV663" i="275"/>
  <c r="P967" i="275"/>
  <c r="P982" i="259"/>
  <c r="T982" i="275" s="1"/>
  <c r="U719" i="275"/>
  <c r="Y719" i="275"/>
  <c r="Y544" i="275"/>
  <c r="Y204" i="261"/>
  <c r="H30" i="262"/>
  <c r="H522" i="275"/>
  <c r="K56" i="275"/>
  <c r="K138" i="262"/>
  <c r="S56" i="275"/>
  <c r="S138" i="262"/>
  <c r="U286" i="259"/>
  <c r="U124" i="259" s="1"/>
  <c r="U285" i="275"/>
  <c r="Y285" i="275"/>
  <c r="N175" i="262"/>
  <c r="N872" i="275"/>
  <c r="U175" i="262"/>
  <c r="U872" i="275"/>
  <c r="Y872" i="275"/>
  <c r="Q175" i="262"/>
  <c r="Q872" i="275"/>
  <c r="U210" i="275"/>
  <c r="Y210" i="275"/>
  <c r="R969" i="275"/>
  <c r="X418" i="275"/>
  <c r="Z680" i="275"/>
  <c r="V680" i="275"/>
  <c r="Z204" i="261"/>
  <c r="Z544" i="275"/>
  <c r="M35" i="262"/>
  <c r="M44" i="262" s="1"/>
  <c r="M534" i="275"/>
  <c r="U522" i="275"/>
  <c r="Y522" i="275"/>
  <c r="Z62" i="275"/>
  <c r="V62" i="275"/>
  <c r="V142" i="262"/>
  <c r="P56" i="275"/>
  <c r="P138" i="262"/>
  <c r="Z141" i="275"/>
  <c r="V141" i="275"/>
  <c r="Z140" i="275"/>
  <c r="Z144" i="259"/>
  <c r="V140" i="275"/>
  <c r="I1685" i="259"/>
  <c r="R175" i="262"/>
  <c r="R872" i="275"/>
  <c r="W175" i="262"/>
  <c r="W872" i="275"/>
  <c r="AY197" i="259"/>
  <c r="AY108" i="261" s="1"/>
  <c r="AY196" i="275"/>
  <c r="O196" i="275"/>
  <c r="O723" i="275"/>
  <c r="J196" i="275"/>
  <c r="L506" i="275"/>
  <c r="L7" i="259"/>
  <c r="T506" i="275"/>
  <c r="T7" i="259"/>
  <c r="BB801" i="275"/>
  <c r="U967" i="275"/>
  <c r="Y967" i="275"/>
  <c r="AV1387" i="259"/>
  <c r="AV1394" i="259"/>
  <c r="AW1399" i="259" s="1"/>
  <c r="J35" i="262"/>
  <c r="J44" i="262" s="1"/>
  <c r="J534" i="275"/>
  <c r="R35" i="262"/>
  <c r="R44" i="262" s="1"/>
  <c r="R534" i="275"/>
  <c r="N31" i="262"/>
  <c r="N45" i="262" s="1"/>
  <c r="N522" i="275"/>
  <c r="S62" i="275"/>
  <c r="S142" i="262"/>
  <c r="S723" i="275"/>
  <c r="T723" i="275"/>
  <c r="X121" i="275"/>
  <c r="AW133" i="275"/>
  <c r="AW132" i="262"/>
  <c r="S38" i="275"/>
  <c r="Q978" i="275"/>
  <c r="Q979" i="259"/>
  <c r="Q979" i="275" s="1"/>
  <c r="V974" i="259"/>
  <c r="Z973" i="275"/>
  <c r="V973" i="275"/>
  <c r="N982" i="259"/>
  <c r="N967" i="275"/>
  <c r="I953" i="275"/>
  <c r="I845" i="259"/>
  <c r="I845" i="275" s="1"/>
  <c r="I839" i="275"/>
  <c r="Z948" i="275"/>
  <c r="V948" i="275"/>
  <c r="K1039" i="259"/>
  <c r="K1039" i="275" s="1"/>
  <c r="K691" i="275"/>
  <c r="AW989" i="259"/>
  <c r="AW989" i="275" s="1"/>
  <c r="O989" i="275"/>
  <c r="U37" i="275"/>
  <c r="Y37" i="275"/>
  <c r="P141" i="275"/>
  <c r="W140" i="275"/>
  <c r="AV582" i="275"/>
  <c r="X432" i="259"/>
  <c r="X431" i="275"/>
  <c r="X542" i="275"/>
  <c r="R973" i="275"/>
  <c r="U979" i="275"/>
  <c r="Y979" i="275"/>
  <c r="AY38" i="275"/>
  <c r="X381" i="275"/>
  <c r="V453" i="259"/>
  <c r="Z452" i="275"/>
  <c r="V452" i="275"/>
  <c r="AW197" i="259"/>
  <c r="AW108" i="261" s="1"/>
  <c r="AW196" i="275"/>
  <c r="AY706" i="259"/>
  <c r="R820" i="259"/>
  <c r="R59" i="275"/>
  <c r="P211" i="259"/>
  <c r="P210" i="275"/>
  <c r="V204" i="261"/>
  <c r="V544" i="275"/>
  <c r="H204" i="261"/>
  <c r="H544" i="275"/>
  <c r="X364" i="259"/>
  <c r="X363" i="275"/>
  <c r="L381" i="275"/>
  <c r="AW979" i="259"/>
  <c r="S198" i="261"/>
  <c r="S543" i="275"/>
  <c r="P453" i="259"/>
  <c r="P452" i="275"/>
  <c r="Q198" i="261"/>
  <c r="Q543" i="275"/>
  <c r="AX263" i="259"/>
  <c r="AX24" i="261" s="1"/>
  <c r="AX180" i="275"/>
  <c r="AW398" i="259"/>
  <c r="AW32" i="261" s="1"/>
  <c r="AW380" i="275"/>
  <c r="AY14" i="262"/>
  <c r="AY44" i="262" s="1"/>
  <c r="AY551" i="275"/>
  <c r="N51" i="259"/>
  <c r="N126" i="262"/>
  <c r="H142" i="275"/>
  <c r="U1031" i="259"/>
  <c r="U1016" i="275"/>
  <c r="Y1016" i="275"/>
  <c r="AV753" i="259"/>
  <c r="AV753" i="275" s="1"/>
  <c r="AV751" i="275"/>
  <c r="Q286" i="259"/>
  <c r="Q285" i="275"/>
  <c r="Q905" i="259"/>
  <c r="Q905" i="275" s="1"/>
  <c r="Q902" i="275"/>
  <c r="S845" i="259"/>
  <c r="S839" i="275"/>
  <c r="AY140" i="259"/>
  <c r="U140" i="275"/>
  <c r="E35" i="273"/>
  <c r="Y140" i="275"/>
  <c r="J845" i="259"/>
  <c r="J845" i="275" s="1"/>
  <c r="J839" i="275"/>
  <c r="I160" i="259"/>
  <c r="I160" i="275" s="1"/>
  <c r="I159" i="275"/>
  <c r="R70" i="261"/>
  <c r="N221" i="275"/>
  <c r="H991" i="259"/>
  <c r="H989" i="275"/>
  <c r="J1081" i="259"/>
  <c r="J889" i="275"/>
  <c r="J186" i="262"/>
  <c r="U753" i="275"/>
  <c r="V753" i="275"/>
  <c r="AY795" i="275"/>
  <c r="U886" i="275"/>
  <c r="Z591" i="275"/>
  <c r="V591" i="275"/>
  <c r="H905" i="259"/>
  <c r="H270" i="261" s="1"/>
  <c r="H902" i="275"/>
  <c r="L8" i="275"/>
  <c r="L136" i="262"/>
  <c r="V905" i="259"/>
  <c r="Z902" i="275"/>
  <c r="V902" i="275"/>
  <c r="Z6" i="275"/>
  <c r="V6" i="275"/>
  <c r="V134" i="262"/>
  <c r="AW1544" i="259"/>
  <c r="AW74" i="259" s="1"/>
  <c r="AW126" i="275"/>
  <c r="AY1544" i="259"/>
  <c r="AY74" i="259" s="1"/>
  <c r="AY126" i="275"/>
  <c r="AV1544" i="259"/>
  <c r="AV74" i="259" s="1"/>
  <c r="AV74" i="275" s="1"/>
  <c r="AV126" i="275"/>
  <c r="R1081" i="259"/>
  <c r="R889" i="275"/>
  <c r="R186" i="262"/>
  <c r="I885" i="275"/>
  <c r="AW14" i="262"/>
  <c r="AW551" i="275"/>
  <c r="Q820" i="259"/>
  <c r="Q59" i="275"/>
  <c r="AV121" i="259"/>
  <c r="K121" i="275"/>
  <c r="V820" i="259"/>
  <c r="Z59" i="275"/>
  <c r="V59" i="275"/>
  <c r="J162" i="261"/>
  <c r="R123" i="259"/>
  <c r="AY974" i="259"/>
  <c r="AY974" i="275" s="1"/>
  <c r="W974" i="275"/>
  <c r="I431" i="275"/>
  <c r="AX816" i="259"/>
  <c r="N782" i="259"/>
  <c r="I652" i="259"/>
  <c r="I652" i="275" s="1"/>
  <c r="I646" i="275"/>
  <c r="AW889" i="259"/>
  <c r="V364" i="259"/>
  <c r="J118" i="262"/>
  <c r="AY176" i="262"/>
  <c r="AY20" i="277"/>
  <c r="AY18" i="277" s="1"/>
  <c r="T286" i="275"/>
  <c r="D1063" i="259"/>
  <c r="N6" i="275"/>
  <c r="N134" i="262"/>
  <c r="AX1544" i="259"/>
  <c r="AX74" i="259" s="1"/>
  <c r="AX74" i="275" s="1"/>
  <c r="AX126" i="275"/>
  <c r="K820" i="259"/>
  <c r="K59" i="275"/>
  <c r="AX56" i="275"/>
  <c r="AX138" i="262"/>
  <c r="X871" i="259"/>
  <c r="X870" i="275"/>
  <c r="AK21" i="263"/>
  <c r="AM21" i="263" s="1"/>
  <c r="X784" i="275"/>
  <c r="AV462" i="259"/>
  <c r="AV1084" i="259" s="1"/>
  <c r="AV451" i="275"/>
  <c r="AX891" i="275"/>
  <c r="AW920" i="275"/>
  <c r="AW650" i="275"/>
  <c r="AX320" i="259"/>
  <c r="AX28" i="261" s="1"/>
  <c r="AX302" i="275"/>
  <c r="G1101" i="259"/>
  <c r="R871" i="275"/>
  <c r="M287" i="259"/>
  <c r="M120" i="261" s="1"/>
  <c r="AZ537" i="275"/>
  <c r="AV514" i="259"/>
  <c r="AV149" i="261" s="1"/>
  <c r="J204" i="261"/>
  <c r="J544" i="275"/>
  <c r="L204" i="261"/>
  <c r="L544" i="275"/>
  <c r="AW764" i="275"/>
  <c r="I600" i="275"/>
  <c r="U181" i="275"/>
  <c r="Y181" i="275"/>
  <c r="K43" i="261"/>
  <c r="T948" i="275"/>
  <c r="T974" i="259"/>
  <c r="T974" i="275" s="1"/>
  <c r="T973" i="275"/>
  <c r="AW263" i="259"/>
  <c r="AW24" i="261" s="1"/>
  <c r="AW180" i="275"/>
  <c r="M118" i="262"/>
  <c r="H118" i="262"/>
  <c r="V1614" i="259"/>
  <c r="Z487" i="275"/>
  <c r="AV777" i="275"/>
  <c r="AX921" i="275"/>
  <c r="X948" i="275"/>
  <c r="AY320" i="259"/>
  <c r="AY28" i="261" s="1"/>
  <c r="AY302" i="275"/>
  <c r="P142" i="259"/>
  <c r="P139" i="275"/>
  <c r="O85" i="259"/>
  <c r="O100" i="259" s="1"/>
  <c r="O285" i="275"/>
  <c r="T142" i="259"/>
  <c r="T142" i="275" s="1"/>
  <c r="T141" i="275"/>
  <c r="AX121" i="259"/>
  <c r="R121" i="275"/>
  <c r="AV263" i="259"/>
  <c r="AV24" i="261" s="1"/>
  <c r="AV180" i="275"/>
  <c r="N1266" i="259"/>
  <c r="N150" i="262" s="1"/>
  <c r="Q21" i="262"/>
  <c r="AY778" i="275"/>
  <c r="AW666" i="259"/>
  <c r="AW666" i="275" s="1"/>
  <c r="L666" i="275"/>
  <c r="AY666" i="259"/>
  <c r="T666" i="275"/>
  <c r="X479" i="259"/>
  <c r="X479" i="275" s="1"/>
  <c r="X476" i="275"/>
  <c r="O115" i="275"/>
  <c r="S984" i="259"/>
  <c r="AV120" i="275"/>
  <c r="Q204" i="261"/>
  <c r="Q544" i="275"/>
  <c r="N65" i="259"/>
  <c r="N62" i="275"/>
  <c r="N142" i="262"/>
  <c r="H115" i="275"/>
  <c r="Q115" i="275"/>
  <c r="W160" i="259"/>
  <c r="W159" i="275"/>
  <c r="AV157" i="275"/>
  <c r="AX37" i="259"/>
  <c r="AX113" i="275"/>
  <c r="O381" i="275"/>
  <c r="P1039" i="259"/>
  <c r="P1039" i="275" s="1"/>
  <c r="P691" i="275"/>
  <c r="AW680" i="275"/>
  <c r="I591" i="275"/>
  <c r="T989" i="275"/>
  <c r="U982" i="275"/>
  <c r="Y982" i="275"/>
  <c r="N1018" i="259"/>
  <c r="N1018" i="275" s="1"/>
  <c r="K542" i="275"/>
  <c r="AV14" i="262"/>
  <c r="AV44" i="262" s="1"/>
  <c r="AV551" i="275"/>
  <c r="S1018" i="259"/>
  <c r="S1018" i="275" s="1"/>
  <c r="L198" i="261"/>
  <c r="L543" i="275"/>
  <c r="K204" i="261"/>
  <c r="K544" i="275"/>
  <c r="W204" i="261"/>
  <c r="W544" i="275"/>
  <c r="O44" i="275"/>
  <c r="M624" i="275"/>
  <c r="AV622" i="275"/>
  <c r="J1302" i="259"/>
  <c r="J1303" i="259" s="1"/>
  <c r="S95" i="262"/>
  <c r="S784" i="275"/>
  <c r="H445" i="275"/>
  <c r="R445" i="275"/>
  <c r="E732" i="259"/>
  <c r="S1081" i="259"/>
  <c r="S889" i="275"/>
  <c r="S186" i="262"/>
  <c r="W646" i="259"/>
  <c r="W642" i="275"/>
  <c r="V983" i="259"/>
  <c r="V1100" i="259" s="1"/>
  <c r="Z968" i="275"/>
  <c r="V968" i="275"/>
  <c r="W1081" i="259"/>
  <c r="W1076" i="259" s="1"/>
  <c r="W283" i="261" s="1"/>
  <c r="W889" i="275"/>
  <c r="W186" i="262"/>
  <c r="T885" i="275"/>
  <c r="I871" i="259"/>
  <c r="I870" i="275"/>
  <c r="AW222" i="261"/>
  <c r="AW607" i="275"/>
  <c r="D754" i="259"/>
  <c r="D279" i="261" s="1"/>
  <c r="X211" i="259"/>
  <c r="AY445" i="259"/>
  <c r="AY445" i="275" s="1"/>
  <c r="W445" i="275"/>
  <c r="T50" i="259"/>
  <c r="T115" i="275"/>
  <c r="J131" i="259"/>
  <c r="AX59" i="261"/>
  <c r="AW407" i="275"/>
  <c r="AY917" i="275"/>
  <c r="W922" i="275"/>
  <c r="AV185" i="262"/>
  <c r="AV888" i="275"/>
  <c r="AV671" i="259"/>
  <c r="AV690" i="275"/>
  <c r="AY157" i="275"/>
  <c r="U40" i="275"/>
  <c r="Y40" i="275"/>
  <c r="J658" i="275"/>
  <c r="AV591" i="275"/>
  <c r="AV63" i="275"/>
  <c r="AV143" i="262"/>
  <c r="AW64" i="275"/>
  <c r="AW144" i="262"/>
  <c r="AX641" i="259"/>
  <c r="P641" i="275"/>
  <c r="P46" i="259"/>
  <c r="AV641" i="259"/>
  <c r="H641" i="275"/>
  <c r="H46" i="259"/>
  <c r="H46" i="275" s="1"/>
  <c r="P418" i="275"/>
  <c r="I974" i="259"/>
  <c r="I974" i="275" s="1"/>
  <c r="I973" i="275"/>
  <c r="U974" i="259"/>
  <c r="U973" i="275"/>
  <c r="Y973" i="275"/>
  <c r="I1023" i="275"/>
  <c r="I234" i="275"/>
  <c r="Q969" i="259"/>
  <c r="Q968" i="275"/>
  <c r="AX795" i="275"/>
  <c r="AV64" i="275"/>
  <c r="AV144" i="262"/>
  <c r="AV57" i="275"/>
  <c r="AV139" i="262"/>
  <c r="K753" i="275"/>
  <c r="O753" i="275"/>
  <c r="AY753" i="259"/>
  <c r="AY751" i="275"/>
  <c r="L922" i="275"/>
  <c r="AW893" i="275"/>
  <c r="AW110" i="262"/>
  <c r="AW802" i="275"/>
  <c r="AW671" i="259"/>
  <c r="AW690" i="275"/>
  <c r="O820" i="259"/>
  <c r="O59" i="275"/>
  <c r="I905" i="259"/>
  <c r="I902" i="275"/>
  <c r="U905" i="259"/>
  <c r="U902" i="275"/>
  <c r="Y902" i="275"/>
  <c r="S905" i="259"/>
  <c r="S902" i="275"/>
  <c r="AX888" i="275"/>
  <c r="H1351" i="259"/>
  <c r="H870" i="275"/>
  <c r="S886" i="275"/>
  <c r="L929" i="259"/>
  <c r="L875" i="275"/>
  <c r="M732" i="259"/>
  <c r="M691" i="275"/>
  <c r="Q732" i="259"/>
  <c r="Q691" i="275"/>
  <c r="U1039" i="259"/>
  <c r="U691" i="275"/>
  <c r="Y691" i="275"/>
  <c r="I990" i="259"/>
  <c r="I990" i="275" s="1"/>
  <c r="I705" i="275"/>
  <c r="Q990" i="259"/>
  <c r="Q991" i="259" s="1"/>
  <c r="Q705" i="275"/>
  <c r="N646" i="259"/>
  <c r="N642" i="275"/>
  <c r="N198" i="261"/>
  <c r="N543" i="275"/>
  <c r="E65" i="259"/>
  <c r="E142" i="262"/>
  <c r="I62" i="275"/>
  <c r="I142" i="262"/>
  <c r="Q62" i="275"/>
  <c r="Q142" i="262"/>
  <c r="S59" i="259"/>
  <c r="W59" i="275" s="1"/>
  <c r="W40" i="259"/>
  <c r="W40" i="275" s="1"/>
  <c r="W37" i="275"/>
  <c r="K139" i="275"/>
  <c r="O142" i="259"/>
  <c r="O143" i="259" s="1"/>
  <c r="O139" i="275"/>
  <c r="AV398" i="259"/>
  <c r="AV32" i="261" s="1"/>
  <c r="AV380" i="275"/>
  <c r="S453" i="259"/>
  <c r="S453" i="275" s="1"/>
  <c r="S452" i="275"/>
  <c r="W381" i="275"/>
  <c r="J141" i="275"/>
  <c r="R364" i="259"/>
  <c r="R363" i="275"/>
  <c r="M432" i="259"/>
  <c r="M431" i="275"/>
  <c r="T181" i="275"/>
  <c r="L1547" i="259"/>
  <c r="L75" i="259" s="1"/>
  <c r="P75" i="275" s="1"/>
  <c r="AW132" i="275"/>
  <c r="AW131" i="262"/>
  <c r="AY599" i="275"/>
  <c r="I40" i="275"/>
  <c r="Q769" i="275"/>
  <c r="AW262" i="262"/>
  <c r="AW154" i="262"/>
  <c r="AV58" i="275"/>
  <c r="AV140" i="262"/>
  <c r="AV916" i="275"/>
  <c r="AX920" i="275"/>
  <c r="AV894" i="275"/>
  <c r="AW741" i="275"/>
  <c r="AW119" i="275"/>
  <c r="AW872" i="259"/>
  <c r="AX872" i="275" s="1"/>
  <c r="AW873" i="275"/>
  <c r="H21" i="262"/>
  <c r="U211" i="259"/>
  <c r="AU262" i="262"/>
  <c r="AU154" i="262"/>
  <c r="N381" i="275"/>
  <c r="L1498" i="259"/>
  <c r="L302" i="261" s="1"/>
  <c r="L769" i="275"/>
  <c r="H974" i="275"/>
  <c r="AW56" i="262"/>
  <c r="AW837" i="275"/>
  <c r="AW180" i="262"/>
  <c r="O40" i="259"/>
  <c r="T303" i="275"/>
  <c r="P870" i="275"/>
  <c r="R845" i="259"/>
  <c r="R839" i="275"/>
  <c r="U871" i="259"/>
  <c r="AV1023" i="275"/>
  <c r="AV1028" i="275"/>
  <c r="N286" i="259"/>
  <c r="N285" i="275"/>
  <c r="AV868" i="275"/>
  <c r="Z121" i="275"/>
  <c r="V121" i="275"/>
  <c r="G983" i="259"/>
  <c r="G1115" i="259" s="1"/>
  <c r="AW1028" i="275"/>
  <c r="AX234" i="259"/>
  <c r="S234" i="275"/>
  <c r="J885" i="275"/>
  <c r="P198" i="261"/>
  <c r="P543" i="275"/>
  <c r="M160" i="259"/>
  <c r="M124" i="259" s="1"/>
  <c r="M159" i="275"/>
  <c r="H753" i="275"/>
  <c r="R816" i="275"/>
  <c r="X1494" i="259"/>
  <c r="X196" i="262" s="1"/>
  <c r="W979" i="259"/>
  <c r="P600" i="275"/>
  <c r="K52" i="259"/>
  <c r="O52" i="275" s="1"/>
  <c r="V845" i="259"/>
  <c r="Z839" i="275"/>
  <c r="V839" i="275"/>
  <c r="O642" i="275"/>
  <c r="O974" i="259"/>
  <c r="O973" i="275"/>
  <c r="V990" i="259"/>
  <c r="Z705" i="275"/>
  <c r="V705" i="275"/>
  <c r="M886" i="275"/>
  <c r="W969" i="259"/>
  <c r="V65" i="259"/>
  <c r="V821" i="259" s="1"/>
  <c r="K479" i="259"/>
  <c r="K476" i="275"/>
  <c r="AY447" i="259"/>
  <c r="AY1083" i="259" s="1"/>
  <c r="AY430" i="275"/>
  <c r="U1055" i="275"/>
  <c r="Y1055" i="275"/>
  <c r="S973" i="275"/>
  <c r="V886" i="275"/>
  <c r="Z886" i="275"/>
  <c r="J886" i="275"/>
  <c r="M845" i="259"/>
  <c r="M845" i="275" s="1"/>
  <c r="M839" i="275"/>
  <c r="K974" i="259"/>
  <c r="U820" i="259"/>
  <c r="U59" i="275"/>
  <c r="Y59" i="275"/>
  <c r="H76" i="275"/>
  <c r="X1548" i="259"/>
  <c r="X76" i="259" s="1"/>
  <c r="AB76" i="275" s="1"/>
  <c r="Q264" i="261"/>
  <c r="Q954" i="275"/>
  <c r="O1064" i="259"/>
  <c r="O1087" i="259" s="1"/>
  <c r="O889" i="275"/>
  <c r="O186" i="262"/>
  <c r="G1067" i="259"/>
  <c r="G164" i="262" s="1"/>
  <c r="G186" i="262"/>
  <c r="J542" i="275"/>
  <c r="M858" i="275"/>
  <c r="U858" i="275"/>
  <c r="Y858" i="275"/>
  <c r="Z954" i="275"/>
  <c r="V954" i="275"/>
  <c r="N889" i="275"/>
  <c r="N186" i="262"/>
  <c r="W955" i="259"/>
  <c r="W954" i="275"/>
  <c r="AW858" i="259"/>
  <c r="AW858" i="275" s="1"/>
  <c r="O858" i="275"/>
  <c r="AY858" i="259"/>
  <c r="AY858" i="275" s="1"/>
  <c r="W858" i="275"/>
  <c r="T8" i="275"/>
  <c r="T136" i="262"/>
  <c r="N87" i="262"/>
  <c r="R479" i="259"/>
  <c r="V479" i="275" s="1"/>
  <c r="R476" i="275"/>
  <c r="AY479" i="259"/>
  <c r="R1028" i="275"/>
  <c r="K982" i="259"/>
  <c r="O982" i="275" s="1"/>
  <c r="S929" i="259"/>
  <c r="S929" i="275" s="1"/>
  <c r="J600" i="275"/>
  <c r="N591" i="275"/>
  <c r="S479" i="259"/>
  <c r="S476" i="275"/>
  <c r="W65" i="275"/>
  <c r="M479" i="259"/>
  <c r="M476" i="275"/>
  <c r="O181" i="275"/>
  <c r="N885" i="275"/>
  <c r="H140" i="275"/>
  <c r="H121" i="275"/>
  <c r="AX1171" i="259"/>
  <c r="AX1006" i="275"/>
  <c r="AY418" i="259"/>
  <c r="W418" i="275"/>
  <c r="T968" i="275"/>
  <c r="L221" i="275"/>
  <c r="N1055" i="275"/>
  <c r="V1055" i="275"/>
  <c r="Z1055" i="275"/>
  <c r="P905" i="259"/>
  <c r="P902" i="275"/>
  <c r="E1081" i="259"/>
  <c r="E186" i="262"/>
  <c r="L969" i="259"/>
  <c r="L968" i="275"/>
  <c r="T140" i="275"/>
  <c r="AW520" i="275"/>
  <c r="P381" i="275"/>
  <c r="AW1051" i="275"/>
  <c r="AY1042" i="275"/>
  <c r="AW589" i="275"/>
  <c r="AW298" i="275"/>
  <c r="J624" i="275"/>
  <c r="P62" i="275"/>
  <c r="P142" i="262"/>
  <c r="N845" i="259"/>
  <c r="N845" i="275" s="1"/>
  <c r="N839" i="275"/>
  <c r="AV418" i="259"/>
  <c r="AV418" i="275" s="1"/>
  <c r="K418" i="275"/>
  <c r="AX1394" i="259"/>
  <c r="AY1399" i="259" s="1"/>
  <c r="L140" i="275"/>
  <c r="AY663" i="275"/>
  <c r="AZ663" i="275"/>
  <c r="AY488" i="275"/>
  <c r="H982" i="259"/>
  <c r="F1116" i="259"/>
  <c r="P1685" i="259"/>
  <c r="Q1685" i="259"/>
  <c r="Z1548" i="259"/>
  <c r="Z76" i="259" s="1"/>
  <c r="X340" i="275"/>
  <c r="R210" i="259"/>
  <c r="AX210" i="259" s="1"/>
  <c r="R178" i="275"/>
  <c r="AV67" i="262"/>
  <c r="AV74" i="262" s="1"/>
  <c r="AV72" i="262"/>
  <c r="AW68" i="262"/>
  <c r="AW71" i="262"/>
  <c r="X989" i="275"/>
  <c r="X680" i="275"/>
  <c r="AY67" i="262"/>
  <c r="AY72" i="262"/>
  <c r="AW76" i="262"/>
  <c r="H96" i="259"/>
  <c r="H658" i="275"/>
  <c r="Z953" i="275"/>
  <c r="V953" i="275"/>
  <c r="V1352" i="259"/>
  <c r="Z870" i="275"/>
  <c r="V870" i="275"/>
  <c r="P1038" i="275"/>
  <c r="L989" i="275"/>
  <c r="T990" i="259"/>
  <c r="T990" i="275" s="1"/>
  <c r="T705" i="275"/>
  <c r="K35" i="262"/>
  <c r="K44" i="262" s="1"/>
  <c r="K534" i="275"/>
  <c r="S35" i="262"/>
  <c r="S44" i="262" s="1"/>
  <c r="S534" i="275"/>
  <c r="W522" i="275"/>
  <c r="H62" i="275"/>
  <c r="H142" i="262"/>
  <c r="T62" i="275"/>
  <c r="T142" i="262"/>
  <c r="J56" i="275"/>
  <c r="J138" i="262"/>
  <c r="R56" i="275"/>
  <c r="R138" i="262"/>
  <c r="S44" i="275"/>
  <c r="N160" i="259"/>
  <c r="N159" i="275"/>
  <c r="H285" i="275"/>
  <c r="M175" i="262"/>
  <c r="M872" i="275"/>
  <c r="AY133" i="275"/>
  <c r="AY132" i="262"/>
  <c r="Y46" i="275"/>
  <c r="U38" i="275"/>
  <c r="Y38" i="275"/>
  <c r="U96" i="259"/>
  <c r="U658" i="275"/>
  <c r="U8" i="259"/>
  <c r="K979" i="259"/>
  <c r="O979" i="275" s="1"/>
  <c r="K978" i="275"/>
  <c r="P973" i="275"/>
  <c r="L234" i="275"/>
  <c r="W953" i="275"/>
  <c r="U680" i="275"/>
  <c r="Y680" i="275"/>
  <c r="L35" i="262"/>
  <c r="L44" i="262" s="1"/>
  <c r="L534" i="275"/>
  <c r="T35" i="262"/>
  <c r="T44" i="262" s="1"/>
  <c r="T534" i="275"/>
  <c r="U582" i="275"/>
  <c r="Y582" i="275"/>
  <c r="AY1052" i="275"/>
  <c r="AX589" i="275"/>
  <c r="R1016" i="275"/>
  <c r="J6" i="275"/>
  <c r="J134" i="262"/>
  <c r="X723" i="275"/>
  <c r="AX1547" i="259"/>
  <c r="AX75" i="259" s="1"/>
  <c r="AX506" i="275"/>
  <c r="Z1038" i="275"/>
  <c r="V1038" i="275"/>
  <c r="Z666" i="275"/>
  <c r="V666" i="275"/>
  <c r="U35" i="262"/>
  <c r="U44" i="262" s="1"/>
  <c r="U534" i="275"/>
  <c r="Y534" i="275"/>
  <c r="Q31" i="262"/>
  <c r="Q45" i="262" s="1"/>
  <c r="Q522" i="275"/>
  <c r="R62" i="275"/>
  <c r="R142" i="262"/>
  <c r="L40" i="259"/>
  <c r="L37" i="275"/>
  <c r="I44" i="275"/>
  <c r="K364" i="259"/>
  <c r="K363" i="275"/>
  <c r="J286" i="259"/>
  <c r="J124" i="259" s="1"/>
  <c r="J285" i="275"/>
  <c r="M1685" i="259"/>
  <c r="AX875" i="275"/>
  <c r="AX1053" i="275"/>
  <c r="M196" i="275"/>
  <c r="O6" i="275"/>
  <c r="O134" i="262"/>
  <c r="AW386" i="275"/>
  <c r="AY619" i="275"/>
  <c r="AW277" i="275"/>
  <c r="AX355" i="275"/>
  <c r="W6" i="275"/>
  <c r="W134" i="262"/>
  <c r="X885" i="275"/>
  <c r="Y886" i="275"/>
  <c r="X719" i="275"/>
  <c r="AW39" i="275"/>
  <c r="AX76" i="262"/>
  <c r="Z52" i="259"/>
  <c r="Z642" i="275"/>
  <c r="Z646" i="259"/>
  <c r="Z38" i="275"/>
  <c r="V38" i="275"/>
  <c r="V96" i="259"/>
  <c r="V658" i="275"/>
  <c r="V8" i="259"/>
  <c r="Z952" i="275"/>
  <c r="V952" i="275"/>
  <c r="AZ801" i="275"/>
  <c r="X886" i="275"/>
  <c r="AW455" i="275"/>
  <c r="U56" i="275"/>
  <c r="U138" i="262"/>
  <c r="Y56" i="275"/>
  <c r="Z303" i="275"/>
  <c r="V303" i="275"/>
  <c r="N1685" i="259"/>
  <c r="AW614" i="275"/>
  <c r="AW1054" i="275"/>
  <c r="J1031" i="275"/>
  <c r="AV510" i="275"/>
  <c r="AW293" i="275"/>
  <c r="V178" i="275"/>
  <c r="V982" i="259"/>
  <c r="Z967" i="275"/>
  <c r="V967" i="275"/>
  <c r="W719" i="275"/>
  <c r="W666" i="275"/>
  <c r="J30" i="262"/>
  <c r="J522" i="275"/>
  <c r="AY442" i="275"/>
  <c r="O62" i="275"/>
  <c r="O142" i="262"/>
  <c r="I56" i="275"/>
  <c r="I138" i="262"/>
  <c r="M37" i="275"/>
  <c r="F1685" i="259"/>
  <c r="AY361" i="275"/>
  <c r="U785" i="275"/>
  <c r="X1028" i="275"/>
  <c r="X705" i="275"/>
  <c r="X1016" i="275"/>
  <c r="AX485" i="275"/>
  <c r="X140" i="275"/>
  <c r="AY132" i="275"/>
  <c r="T6" i="275"/>
  <c r="T134" i="262"/>
  <c r="I6" i="275"/>
  <c r="I134" i="262"/>
  <c r="AY506" i="259"/>
  <c r="AY506" i="275" s="1"/>
  <c r="AY505" i="275"/>
  <c r="AV320" i="259"/>
  <c r="AV28" i="261" s="1"/>
  <c r="AV302" i="275"/>
  <c r="AV107" i="262"/>
  <c r="AV799" i="275"/>
  <c r="S257" i="262"/>
  <c r="R87" i="262"/>
  <c r="R769" i="275"/>
  <c r="AY87" i="262"/>
  <c r="K287" i="259"/>
  <c r="K120" i="261" s="1"/>
  <c r="K286" i="275"/>
  <c r="O432" i="259"/>
  <c r="O431" i="275"/>
  <c r="AX261" i="259"/>
  <c r="AX22" i="261" s="1"/>
  <c r="AX178" i="275"/>
  <c r="AW706" i="259"/>
  <c r="AY117" i="275"/>
  <c r="J905" i="259"/>
  <c r="J902" i="275"/>
  <c r="AW44" i="259"/>
  <c r="AW114" i="275"/>
  <c r="AW462" i="259"/>
  <c r="AW1084" i="259" s="1"/>
  <c r="AW451" i="275"/>
  <c r="K303" i="275"/>
  <c r="L871" i="259"/>
  <c r="L870" i="275"/>
  <c r="R1100" i="259"/>
  <c r="AX64" i="275"/>
  <c r="AX144" i="262"/>
  <c r="AW641" i="259"/>
  <c r="L641" i="275"/>
  <c r="L46" i="259"/>
  <c r="L46" i="275" s="1"/>
  <c r="AY641" i="259"/>
  <c r="T641" i="275"/>
  <c r="T46" i="259"/>
  <c r="T46" i="275" s="1"/>
  <c r="M974" i="259"/>
  <c r="M973" i="275"/>
  <c r="I969" i="259"/>
  <c r="I968" i="275"/>
  <c r="AV110" i="262"/>
  <c r="AV802" i="275"/>
  <c r="AY57" i="275"/>
  <c r="AY139" i="262"/>
  <c r="U264" i="261"/>
  <c r="T954" i="275"/>
  <c r="K453" i="259"/>
  <c r="K453" i="275" s="1"/>
  <c r="K452" i="275"/>
  <c r="AX901" i="275"/>
  <c r="L845" i="259"/>
  <c r="L839" i="275"/>
  <c r="U990" i="259"/>
  <c r="U991" i="259" s="1"/>
  <c r="U705" i="275"/>
  <c r="Y705" i="275"/>
  <c r="U204" i="261"/>
  <c r="U544" i="275"/>
  <c r="T591" i="275"/>
  <c r="AV397" i="259"/>
  <c r="AV31" i="261" s="1"/>
  <c r="AV379" i="275"/>
  <c r="J1415" i="259"/>
  <c r="J1427" i="259" s="1"/>
  <c r="J115" i="275"/>
  <c r="N979" i="259"/>
  <c r="N979" i="275" s="1"/>
  <c r="N978" i="275"/>
  <c r="I453" i="259"/>
  <c r="I453" i="275" s="1"/>
  <c r="I452" i="275"/>
  <c r="AX472" i="275"/>
  <c r="AX16" i="262"/>
  <c r="P160" i="259"/>
  <c r="P159" i="275"/>
  <c r="W672" i="259"/>
  <c r="W691" i="275"/>
  <c r="AW58" i="275"/>
  <c r="AW140" i="262"/>
  <c r="M6" i="275"/>
  <c r="M134" i="262"/>
  <c r="P889" i="275"/>
  <c r="P186" i="262"/>
  <c r="U885" i="275"/>
  <c r="Z115" i="275"/>
  <c r="V115" i="275"/>
  <c r="K62" i="275"/>
  <c r="K142" i="262"/>
  <c r="T452" i="275"/>
  <c r="AX197" i="259"/>
  <c r="AX108" i="261" s="1"/>
  <c r="AX196" i="275"/>
  <c r="AX979" i="259"/>
  <c r="AX979" i="275" s="1"/>
  <c r="S979" i="275"/>
  <c r="N929" i="275"/>
  <c r="N1352" i="259"/>
  <c r="P286" i="275"/>
  <c r="R286" i="259"/>
  <c r="AV70" i="261"/>
  <c r="AV221" i="275"/>
  <c r="AX88" i="262"/>
  <c r="AX767" i="275"/>
  <c r="F234" i="261"/>
  <c r="AW673" i="259"/>
  <c r="AW664" i="275"/>
  <c r="I365" i="259"/>
  <c r="I121" i="261" s="1"/>
  <c r="I364" i="275"/>
  <c r="AW263" i="262"/>
  <c r="AW1686" i="259"/>
  <c r="AX40" i="259"/>
  <c r="AX38" i="275"/>
  <c r="I162" i="261"/>
  <c r="S990" i="259"/>
  <c r="S990" i="275" s="1"/>
  <c r="R6" i="275"/>
  <c r="R134" i="262"/>
  <c r="M820" i="259"/>
  <c r="M59" i="275"/>
  <c r="AV138" i="262"/>
  <c r="X8" i="275"/>
  <c r="X136" i="262"/>
  <c r="X624" i="275"/>
  <c r="Y162" i="261"/>
  <c r="AX498" i="275"/>
  <c r="AX462" i="259"/>
  <c r="AX1084" i="259" s="1"/>
  <c r="AX451" i="275"/>
  <c r="S871" i="259"/>
  <c r="AX1032" i="259"/>
  <c r="AX1032" i="275" s="1"/>
  <c r="AV506" i="259"/>
  <c r="AW506" i="275" s="1"/>
  <c r="AV505" i="275"/>
  <c r="V929" i="275"/>
  <c r="Z929" i="275"/>
  <c r="AV38" i="275"/>
  <c r="H432" i="259"/>
  <c r="H431" i="275"/>
  <c r="P432" i="259"/>
  <c r="T432" i="275" s="1"/>
  <c r="P431" i="275"/>
  <c r="D124" i="259"/>
  <c r="X204" i="261"/>
  <c r="X544" i="275"/>
  <c r="N204" i="261"/>
  <c r="N544" i="275"/>
  <c r="P204" i="261"/>
  <c r="P544" i="275"/>
  <c r="I204" i="261"/>
  <c r="I544" i="275"/>
  <c r="AZ764" i="275"/>
  <c r="AY764" i="275"/>
  <c r="Q973" i="275"/>
  <c r="O845" i="259"/>
  <c r="O839" i="275"/>
  <c r="AV720" i="259"/>
  <c r="AV719" i="275"/>
  <c r="AY329" i="275"/>
  <c r="J234" i="261"/>
  <c r="I691" i="275"/>
  <c r="T340" i="275"/>
  <c r="G984" i="259"/>
  <c r="G1117" i="259" s="1"/>
  <c r="AY107" i="262"/>
  <c r="AY799" i="275"/>
  <c r="AY664" i="275"/>
  <c r="AZ664" i="275"/>
  <c r="H1498" i="259"/>
  <c r="U52" i="259"/>
  <c r="AW107" i="262"/>
  <c r="AW799" i="275"/>
  <c r="AY921" i="275"/>
  <c r="AX188" i="262"/>
  <c r="AX893" i="275"/>
  <c r="AX600" i="259"/>
  <c r="Q600" i="275"/>
  <c r="X845" i="259"/>
  <c r="X839" i="275"/>
  <c r="R1548" i="259"/>
  <c r="R76" i="259" s="1"/>
  <c r="R76" i="275" s="1"/>
  <c r="R658" i="275"/>
  <c r="R453" i="259"/>
  <c r="R452" i="275"/>
  <c r="K140" i="275"/>
  <c r="L453" i="259"/>
  <c r="L452" i="275"/>
  <c r="AY262" i="259"/>
  <c r="AY23" i="261" s="1"/>
  <c r="AY179" i="275"/>
  <c r="AW379" i="275"/>
  <c r="J754" i="259"/>
  <c r="J279" i="261" s="1"/>
  <c r="J1547" i="259"/>
  <c r="J75" i="259" s="1"/>
  <c r="J75" i="275" s="1"/>
  <c r="J189" i="261"/>
  <c r="K1547" i="259"/>
  <c r="K75" i="259" s="1"/>
  <c r="K75" i="275" s="1"/>
  <c r="P21" i="262"/>
  <c r="K1266" i="259"/>
  <c r="K150" i="262" s="1"/>
  <c r="K197" i="259"/>
  <c r="K108" i="261" s="1"/>
  <c r="W189" i="261"/>
  <c r="AX667" i="275"/>
  <c r="U432" i="259"/>
  <c r="U431" i="275"/>
  <c r="Y431" i="275"/>
  <c r="AV667" i="275"/>
  <c r="AW120" i="275"/>
  <c r="O128" i="262"/>
  <c r="N121" i="275"/>
  <c r="H40" i="259"/>
  <c r="H40" i="275" s="1"/>
  <c r="H37" i="275"/>
  <c r="AX44" i="259"/>
  <c r="AX44" i="275" s="1"/>
  <c r="AX114" i="275"/>
  <c r="W142" i="259"/>
  <c r="W139" i="275"/>
  <c r="J445" i="275"/>
  <c r="AW157" i="275"/>
  <c r="AY44" i="259"/>
  <c r="AY114" i="275"/>
  <c r="AY379" i="275"/>
  <c r="AV541" i="275"/>
  <c r="AW623" i="275"/>
  <c r="N1498" i="259"/>
  <c r="T43" i="261"/>
  <c r="S542" i="275"/>
  <c r="L62" i="275"/>
  <c r="L142" i="262"/>
  <c r="AY164" i="261"/>
  <c r="AY622" i="275"/>
  <c r="AW164" i="261"/>
  <c r="AW622" i="275"/>
  <c r="X50" i="275"/>
  <c r="X126" i="262"/>
  <c r="AV261" i="259"/>
  <c r="AV22" i="261" s="1"/>
  <c r="W178" i="275"/>
  <c r="AX120" i="275"/>
  <c r="AV1032" i="275"/>
  <c r="AW795" i="275"/>
  <c r="K198" i="261"/>
  <c r="K543" i="275"/>
  <c r="J990" i="259"/>
  <c r="J705" i="275"/>
  <c r="S1351" i="259"/>
  <c r="T40" i="259"/>
  <c r="T40" i="275" s="1"/>
  <c r="T37" i="275"/>
  <c r="AV262" i="262"/>
  <c r="AV154" i="262"/>
  <c r="AY919" i="275"/>
  <c r="AX447" i="259"/>
  <c r="AX1083" i="259" s="1"/>
  <c r="AX430" i="275"/>
  <c r="U1415" i="259"/>
  <c r="U115" i="275"/>
  <c r="Y115" i="275"/>
  <c r="AW103" i="262"/>
  <c r="AW794" i="275"/>
  <c r="AV918" i="275"/>
  <c r="AW917" i="275"/>
  <c r="AV103" i="262"/>
  <c r="AV794" i="275"/>
  <c r="S658" i="259"/>
  <c r="S8" i="259" s="1"/>
  <c r="S9" i="259" s="1"/>
  <c r="S657" i="275"/>
  <c r="T95" i="262"/>
  <c r="T784" i="275"/>
  <c r="H979" i="259"/>
  <c r="H979" i="275" s="1"/>
  <c r="H978" i="275"/>
  <c r="P979" i="259"/>
  <c r="P979" i="275" s="1"/>
  <c r="P978" i="275"/>
  <c r="H1028" i="275"/>
  <c r="I340" i="275"/>
  <c r="U340" i="275"/>
  <c r="Y340" i="275"/>
  <c r="AV329" i="275"/>
  <c r="Q1023" i="275"/>
  <c r="M234" i="275"/>
  <c r="U234" i="275"/>
  <c r="Y234" i="275"/>
  <c r="I221" i="275"/>
  <c r="AV1264" i="259"/>
  <c r="AV156" i="262" s="1"/>
  <c r="O1055" i="275"/>
  <c r="S1055" i="275"/>
  <c r="AX103" i="262"/>
  <c r="AX794" i="275"/>
  <c r="O821" i="259"/>
  <c r="AY64" i="275"/>
  <c r="AY144" i="262"/>
  <c r="AW57" i="275"/>
  <c r="AW139" i="262"/>
  <c r="AY58" i="275"/>
  <c r="AY140" i="262"/>
  <c r="S816" i="275"/>
  <c r="W816" i="275"/>
  <c r="U141" i="275"/>
  <c r="Y141" i="275"/>
  <c r="R142" i="259"/>
  <c r="R141" i="275"/>
  <c r="U121" i="275"/>
  <c r="Y121" i="275"/>
  <c r="K1426" i="259"/>
  <c r="AW320" i="259"/>
  <c r="AW28" i="261" s="1"/>
  <c r="AW302" i="275"/>
  <c r="AV952" i="259"/>
  <c r="AV952" i="275" s="1"/>
  <c r="I952" i="275"/>
  <c r="Q955" i="259"/>
  <c r="Q952" i="275"/>
  <c r="AY900" i="275"/>
  <c r="K263" i="261"/>
  <c r="K953" i="275"/>
  <c r="O905" i="259"/>
  <c r="O273" i="261" s="1"/>
  <c r="O902" i="275"/>
  <c r="AY888" i="275"/>
  <c r="H1081" i="259"/>
  <c r="H889" i="275"/>
  <c r="H186" i="262"/>
  <c r="O871" i="259"/>
  <c r="O871" i="275" s="1"/>
  <c r="O870" i="275"/>
  <c r="K885" i="275"/>
  <c r="H845" i="259"/>
  <c r="H845" i="275" s="1"/>
  <c r="H839" i="275"/>
  <c r="T845" i="259"/>
  <c r="T845" i="275" s="1"/>
  <c r="T839" i="275"/>
  <c r="AY233" i="261"/>
  <c r="AX690" i="275"/>
  <c r="AY1038" i="259"/>
  <c r="U1038" i="275"/>
  <c r="Y1038" i="275"/>
  <c r="I989" i="275"/>
  <c r="Q989" i="275"/>
  <c r="J198" i="261"/>
  <c r="J543" i="275"/>
  <c r="M542" i="275"/>
  <c r="AV445" i="259"/>
  <c r="AV445" i="275" s="1"/>
  <c r="K445" i="275"/>
  <c r="M121" i="275"/>
  <c r="AY119" i="275"/>
  <c r="AV37" i="259"/>
  <c r="AV37" i="275" s="1"/>
  <c r="AV113" i="275"/>
  <c r="L115" i="275"/>
  <c r="K160" i="259"/>
  <c r="K159" i="275"/>
  <c r="O160" i="259"/>
  <c r="O159" i="275"/>
  <c r="Z139" i="275"/>
  <c r="V139" i="275"/>
  <c r="R432" i="259"/>
  <c r="R431" i="275"/>
  <c r="AX398" i="259"/>
  <c r="AX32" i="261" s="1"/>
  <c r="AX380" i="275"/>
  <c r="W453" i="259"/>
  <c r="W452" i="275"/>
  <c r="AW319" i="259"/>
  <c r="AW27" i="261" s="1"/>
  <c r="AW301" i="275"/>
  <c r="M140" i="275"/>
  <c r="H181" i="275"/>
  <c r="AX591" i="259"/>
  <c r="AX591" i="275" s="1"/>
  <c r="AX590" i="275"/>
  <c r="U1498" i="259"/>
  <c r="U302" i="261" s="1"/>
  <c r="U769" i="275"/>
  <c r="I1116" i="259"/>
  <c r="I982" i="275"/>
  <c r="K769" i="275"/>
  <c r="AX916" i="275"/>
  <c r="AV892" i="275"/>
  <c r="AX894" i="275"/>
  <c r="AX680" i="275"/>
  <c r="I445" i="275"/>
  <c r="AY301" i="275"/>
  <c r="AU902" i="259"/>
  <c r="AU905" i="259" s="1"/>
  <c r="AU273" i="261" s="1"/>
  <c r="S1547" i="259"/>
  <c r="S75" i="259" s="1"/>
  <c r="S75" i="275" s="1"/>
  <c r="R189" i="261"/>
  <c r="AX868" i="275"/>
  <c r="M1547" i="259"/>
  <c r="M75" i="259" s="1"/>
  <c r="M75" i="275" s="1"/>
  <c r="AV1506" i="259"/>
  <c r="AV113" i="261" s="1"/>
  <c r="AV151" i="275"/>
  <c r="Z381" i="275"/>
  <c r="V381" i="275"/>
  <c r="L1101" i="259"/>
  <c r="L982" i="275"/>
  <c r="AV92" i="261"/>
  <c r="AV245" i="275"/>
  <c r="I723" i="259"/>
  <c r="I725" i="275"/>
  <c r="H303" i="275"/>
  <c r="R905" i="259"/>
  <c r="R902" i="275"/>
  <c r="H911" i="259"/>
  <c r="H911" i="275" s="1"/>
  <c r="H955" i="275"/>
  <c r="Q181" i="275"/>
  <c r="V769" i="275"/>
  <c r="L432" i="259"/>
  <c r="L431" i="275"/>
  <c r="J782" i="259"/>
  <c r="J94" i="262" s="1"/>
  <c r="AY872" i="259"/>
  <c r="S769" i="275"/>
  <c r="AX1023" i="275"/>
  <c r="R65" i="275"/>
  <c r="Q160" i="259"/>
  <c r="U160" i="275" s="1"/>
  <c r="Q159" i="275"/>
  <c r="T131" i="259"/>
  <c r="K431" i="275"/>
  <c r="H198" i="261"/>
  <c r="H543" i="275"/>
  <c r="AX927" i="275"/>
  <c r="O1031" i="259"/>
  <c r="S1031" i="275" s="1"/>
  <c r="O1016" i="275"/>
  <c r="T139" i="275"/>
  <c r="O1039" i="259"/>
  <c r="O1039" i="275" s="1"/>
  <c r="O691" i="275"/>
  <c r="O204" i="261"/>
  <c r="O544" i="275"/>
  <c r="H364" i="259"/>
  <c r="H363" i="275"/>
  <c r="Q139" i="275"/>
  <c r="T753" i="275"/>
  <c r="AW778" i="275"/>
  <c r="S121" i="275"/>
  <c r="K969" i="259"/>
  <c r="J479" i="259"/>
  <c r="J476" i="275"/>
  <c r="W141" i="275"/>
  <c r="R989" i="275"/>
  <c r="AY340" i="259"/>
  <c r="W340" i="275"/>
  <c r="N1505" i="259"/>
  <c r="N112" i="261" s="1"/>
  <c r="N115" i="275"/>
  <c r="W1038" i="275"/>
  <c r="P858" i="275"/>
  <c r="L1055" i="275"/>
  <c r="T1055" i="275"/>
  <c r="U954" i="275"/>
  <c r="Y954" i="275"/>
  <c r="P8" i="275"/>
  <c r="P136" i="262"/>
  <c r="T24" i="262"/>
  <c r="AV590" i="275"/>
  <c r="I1055" i="275"/>
  <c r="J955" i="259"/>
  <c r="J954" i="275"/>
  <c r="AW88" i="262"/>
  <c r="AW767" i="275"/>
  <c r="K264" i="261"/>
  <c r="K954" i="275"/>
  <c r="L542" i="275"/>
  <c r="U542" i="275"/>
  <c r="Y542" i="275"/>
  <c r="N118" i="262"/>
  <c r="AW1250" i="259"/>
  <c r="AW128" i="261" s="1"/>
  <c r="AW221" i="275"/>
  <c r="Z221" i="275"/>
  <c r="Z70" i="261"/>
  <c r="V221" i="275"/>
  <c r="AY982" i="259"/>
  <c r="W982" i="275"/>
  <c r="O221" i="275"/>
  <c r="W221" i="275"/>
  <c r="W929" i="259"/>
  <c r="W929" i="275" s="1"/>
  <c r="AW479" i="259"/>
  <c r="AW476" i="275"/>
  <c r="AV1171" i="259"/>
  <c r="AV1006" i="275"/>
  <c r="AW1171" i="259"/>
  <c r="AW1006" i="275"/>
  <c r="V885" i="275"/>
  <c r="Z885" i="275"/>
  <c r="AW978" i="259"/>
  <c r="AW978" i="275" s="1"/>
  <c r="O978" i="275"/>
  <c r="S1028" i="275"/>
  <c r="L974" i="259"/>
  <c r="L974" i="275" s="1"/>
  <c r="L973" i="275"/>
  <c r="X70" i="261"/>
  <c r="T221" i="275"/>
  <c r="T1039" i="259"/>
  <c r="T691" i="275"/>
  <c r="L990" i="259"/>
  <c r="L705" i="275"/>
  <c r="O31" i="262"/>
  <c r="O45" i="262" s="1"/>
  <c r="AU263" i="262"/>
  <c r="AU1686" i="259"/>
  <c r="O922" i="275"/>
  <c r="AW1632" i="259"/>
  <c r="AW291" i="262" s="1"/>
  <c r="AX582" i="259"/>
  <c r="AX582" i="275" s="1"/>
  <c r="AX579" i="275"/>
  <c r="AV948" i="259"/>
  <c r="AV948" i="275" s="1"/>
  <c r="K948" i="275"/>
  <c r="AY262" i="262"/>
  <c r="AY154" i="262"/>
  <c r="N905" i="259"/>
  <c r="N270" i="261" s="1"/>
  <c r="N902" i="275"/>
  <c r="J1038" i="275"/>
  <c r="AW599" i="275"/>
  <c r="X37" i="275"/>
  <c r="X40" i="259"/>
  <c r="N7" i="259"/>
  <c r="N9" i="259" s="1"/>
  <c r="N506" i="275"/>
  <c r="AU1685" i="259"/>
  <c r="AW1042" i="275"/>
  <c r="X175" i="262"/>
  <c r="X872" i="275"/>
  <c r="X35" i="262"/>
  <c r="X44" i="262" s="1"/>
  <c r="X534" i="275"/>
  <c r="O506" i="275"/>
  <c r="O7" i="259"/>
  <c r="W506" i="275"/>
  <c r="W7" i="259"/>
  <c r="O178" i="275"/>
  <c r="O210" i="259"/>
  <c r="AV68" i="262"/>
  <c r="AV71" i="262"/>
  <c r="Y543" i="275"/>
  <c r="Y198" i="261"/>
  <c r="Q7" i="259"/>
  <c r="Q506" i="275"/>
  <c r="AW993" i="275"/>
  <c r="AY993" i="275"/>
  <c r="AW977" i="275"/>
  <c r="AY977" i="275"/>
  <c r="AW972" i="275"/>
  <c r="AY972" i="275"/>
  <c r="X641" i="275"/>
  <c r="Q46" i="275"/>
  <c r="J418" i="275"/>
  <c r="AW340" i="259"/>
  <c r="O340" i="275"/>
  <c r="W973" i="275"/>
  <c r="AW967" i="259"/>
  <c r="O967" i="275"/>
  <c r="W967" i="275"/>
  <c r="AX968" i="259"/>
  <c r="S968" i="275"/>
  <c r="W769" i="275"/>
  <c r="W782" i="259"/>
  <c r="N753" i="275"/>
  <c r="R953" i="275"/>
  <c r="S875" i="275"/>
  <c r="AX948" i="259"/>
  <c r="AX948" i="275" s="1"/>
  <c r="S948" i="275"/>
  <c r="S522" i="275"/>
  <c r="L582" i="275"/>
  <c r="T582" i="275"/>
  <c r="G1685" i="259"/>
  <c r="W1685" i="259"/>
  <c r="V175" i="262"/>
  <c r="Z872" i="275"/>
  <c r="V872" i="275"/>
  <c r="K175" i="262"/>
  <c r="K872" i="275"/>
  <c r="P989" i="275"/>
  <c r="W723" i="275"/>
  <c r="AW663" i="275"/>
  <c r="Q38" i="275"/>
  <c r="N46" i="275"/>
  <c r="V46" i="275"/>
  <c r="L967" i="275"/>
  <c r="T967" i="275"/>
  <c r="P875" i="275"/>
  <c r="Q680" i="275"/>
  <c r="U666" i="275"/>
  <c r="Y666" i="275"/>
  <c r="L522" i="275"/>
  <c r="T522" i="275"/>
  <c r="Q582" i="275"/>
  <c r="AW444" i="275"/>
  <c r="O56" i="275"/>
  <c r="O138" i="262"/>
  <c r="W56" i="275"/>
  <c r="W138" i="262"/>
  <c r="H44" i="275"/>
  <c r="I286" i="259"/>
  <c r="M286" i="275" s="1"/>
  <c r="I285" i="275"/>
  <c r="I175" i="262"/>
  <c r="I872" i="275"/>
  <c r="S175" i="262"/>
  <c r="S872" i="275"/>
  <c r="M96" i="262"/>
  <c r="M418" i="275"/>
  <c r="AX298" i="275"/>
  <c r="M725" i="275"/>
  <c r="X285" i="275"/>
  <c r="X973" i="275"/>
  <c r="U875" i="275"/>
  <c r="Y875" i="275"/>
  <c r="U948" i="275"/>
  <c r="Y948" i="275"/>
  <c r="R1038" i="275"/>
  <c r="Z989" i="275"/>
  <c r="V989" i="275"/>
  <c r="N719" i="275"/>
  <c r="R666" i="275"/>
  <c r="I35" i="262"/>
  <c r="I44" i="262" s="1"/>
  <c r="I534" i="275"/>
  <c r="Q35" i="262"/>
  <c r="Q44" i="262" s="1"/>
  <c r="Q534" i="275"/>
  <c r="N582" i="275"/>
  <c r="AX443" i="275"/>
  <c r="H56" i="275"/>
  <c r="H138" i="262"/>
  <c r="T59" i="259"/>
  <c r="T56" i="275"/>
  <c r="T138" i="262"/>
  <c r="M303" i="275"/>
  <c r="U1685" i="259"/>
  <c r="S1016" i="275"/>
  <c r="R418" i="275"/>
  <c r="AX873" i="275"/>
  <c r="X1038" i="275"/>
  <c r="P954" i="275"/>
  <c r="AX168" i="275"/>
  <c r="Y885" i="275"/>
  <c r="X582" i="275"/>
  <c r="X967" i="275"/>
  <c r="X982" i="259"/>
  <c r="P506" i="275"/>
  <c r="P7" i="259"/>
  <c r="H506" i="275"/>
  <c r="H7" i="259"/>
  <c r="H9" i="259" s="1"/>
  <c r="AX438" i="275"/>
  <c r="Z46" i="275"/>
  <c r="R38" i="275"/>
  <c r="K46" i="275"/>
  <c r="S46" i="275"/>
  <c r="L753" i="275"/>
  <c r="R952" i="275"/>
  <c r="Z479" i="275"/>
  <c r="K6" i="275"/>
  <c r="K134" i="262"/>
  <c r="X902" i="275"/>
  <c r="N35" i="262"/>
  <c r="N44" i="262" s="1"/>
  <c r="N534" i="275"/>
  <c r="M56" i="275"/>
  <c r="M138" i="262"/>
  <c r="Z44" i="275"/>
  <c r="V44" i="275"/>
  <c r="V1685" i="259"/>
  <c r="L175" i="262"/>
  <c r="L872" i="275"/>
  <c r="R340" i="275"/>
  <c r="I476" i="275"/>
  <c r="Z210" i="275"/>
  <c r="V210" i="275"/>
  <c r="K38" i="275"/>
  <c r="W38" i="275"/>
  <c r="I978" i="275"/>
  <c r="I979" i="259"/>
  <c r="I979" i="275" s="1"/>
  <c r="J982" i="259"/>
  <c r="J967" i="275"/>
  <c r="R982" i="259"/>
  <c r="R984" i="259" s="1"/>
  <c r="R967" i="275"/>
  <c r="Z234" i="275"/>
  <c r="V234" i="275"/>
  <c r="U816" i="275"/>
  <c r="Y816" i="275"/>
  <c r="O952" i="275"/>
  <c r="W952" i="275"/>
  <c r="M953" i="275"/>
  <c r="N875" i="275"/>
  <c r="O1038" i="275"/>
  <c r="AX989" i="259"/>
  <c r="S989" i="275"/>
  <c r="O719" i="275"/>
  <c r="K85" i="259"/>
  <c r="AV85" i="259" s="1"/>
  <c r="AV87" i="259" s="1"/>
  <c r="K285" i="275"/>
  <c r="AY1017" i="275"/>
  <c r="U418" i="275"/>
  <c r="AW505" i="275"/>
  <c r="X543" i="275"/>
  <c r="X991" i="259"/>
  <c r="X1031" i="275"/>
  <c r="AW768" i="275"/>
  <c r="N723" i="275"/>
  <c r="BA599" i="275"/>
  <c r="AB68" i="262"/>
  <c r="AB67" i="262"/>
  <c r="AB72" i="262"/>
  <c r="M76" i="275"/>
  <c r="K74" i="275"/>
  <c r="R74" i="275"/>
  <c r="L74" i="275"/>
  <c r="O539" i="275"/>
  <c r="P74" i="275"/>
  <c r="V74" i="275"/>
  <c r="N74" i="275"/>
  <c r="N75" i="275"/>
  <c r="O74" i="275"/>
  <c r="T75" i="275"/>
  <c r="O190" i="261"/>
  <c r="W190" i="261"/>
  <c r="X76" i="275"/>
  <c r="AC75" i="275"/>
  <c r="Z74" i="275"/>
  <c r="AD74" i="275"/>
  <c r="Y1683" i="259"/>
  <c r="R75" i="275"/>
  <c r="V75" i="275"/>
  <c r="J190" i="261"/>
  <c r="S74" i="275"/>
  <c r="U76" i="275"/>
  <c r="L76" i="275"/>
  <c r="Z1085" i="259"/>
  <c r="Z149" i="261"/>
  <c r="Z461" i="259"/>
  <c r="Z1084" i="259"/>
  <c r="Z127" i="261"/>
  <c r="Z1263" i="259"/>
  <c r="Z75" i="275"/>
  <c r="AD75" i="275"/>
  <c r="Q74" i="275"/>
  <c r="U74" i="275"/>
  <c r="J74" i="275"/>
  <c r="W74" i="275"/>
  <c r="H75" i="275"/>
  <c r="X74" i="275"/>
  <c r="I75" i="275"/>
  <c r="U20" i="262"/>
  <c r="T74" i="275"/>
  <c r="P76" i="275"/>
  <c r="Y74" i="275"/>
  <c r="AC74" i="275"/>
  <c r="Z76" i="275"/>
  <c r="AD76" i="275"/>
  <c r="AY1171" i="259"/>
  <c r="AY1006" i="275"/>
  <c r="AZ864" i="259"/>
  <c r="AZ864" i="275" s="1"/>
  <c r="AY1054" i="275"/>
  <c r="AZ1054" i="275"/>
  <c r="BD590" i="275"/>
  <c r="BA488" i="275"/>
  <c r="AZ488" i="275"/>
  <c r="AZ505" i="275"/>
  <c r="BA505" i="275"/>
  <c r="AZ110" i="262"/>
  <c r="BA802" i="275"/>
  <c r="AZ802" i="275"/>
  <c r="BA794" i="259"/>
  <c r="AD794" i="275"/>
  <c r="AC66" i="262"/>
  <c r="AC422" i="275"/>
  <c r="AZ64" i="262"/>
  <c r="AZ71" i="262" s="1"/>
  <c r="AZ243" i="275"/>
  <c r="AC64" i="262"/>
  <c r="AC243" i="275"/>
  <c r="AB35" i="262"/>
  <c r="AE41" i="262"/>
  <c r="AE483" i="275"/>
  <c r="AD66" i="262"/>
  <c r="AD422" i="275"/>
  <c r="AD64" i="262"/>
  <c r="AD243" i="275"/>
  <c r="AA103" i="262"/>
  <c r="AD484" i="275"/>
  <c r="AD42" i="262"/>
  <c r="AZ269" i="261"/>
  <c r="AZ904" i="275"/>
  <c r="AE66" i="262"/>
  <c r="AE422" i="275"/>
  <c r="BA153" i="261"/>
  <c r="BA478" i="275"/>
  <c r="BA40" i="262"/>
  <c r="AZ42" i="262"/>
  <c r="AZ484" i="275"/>
  <c r="Z103" i="262"/>
  <c r="AD65" i="262"/>
  <c r="AD344" i="275"/>
  <c r="AC522" i="259"/>
  <c r="AC30" i="262" s="1"/>
  <c r="AC481" i="275"/>
  <c r="Z107" i="262"/>
  <c r="AE64" i="262"/>
  <c r="AE243" i="275"/>
  <c r="AA107" i="262"/>
  <c r="AB103" i="262"/>
  <c r="AZ11" i="275"/>
  <c r="AA264" i="262"/>
  <c r="AA151" i="262"/>
  <c r="AB264" i="262"/>
  <c r="AB151" i="262"/>
  <c r="AC65" i="262"/>
  <c r="AC344" i="275"/>
  <c r="AZ268" i="261"/>
  <c r="AZ903" i="275"/>
  <c r="AZ65" i="262"/>
  <c r="AZ72" i="262" s="1"/>
  <c r="AZ344" i="275"/>
  <c r="AZ66" i="262"/>
  <c r="AZ73" i="262" s="1"/>
  <c r="AZ422" i="275"/>
  <c r="AC107" i="262"/>
  <c r="AC799" i="275"/>
  <c r="E30" i="272"/>
  <c r="BA11" i="275"/>
  <c r="AE484" i="275"/>
  <c r="AE42" i="262"/>
  <c r="Z182" i="262"/>
  <c r="BA293" i="261"/>
  <c r="BA16" i="275"/>
  <c r="AZ293" i="261"/>
  <c r="AZ16" i="275"/>
  <c r="AD41" i="262"/>
  <c r="AD483" i="275"/>
  <c r="AC175" i="261"/>
  <c r="AC483" i="275"/>
  <c r="AE65" i="262"/>
  <c r="AE344" i="275"/>
  <c r="AD107" i="262"/>
  <c r="AD799" i="275"/>
  <c r="AE103" i="262"/>
  <c r="AE794" i="275"/>
  <c r="AE107" i="262"/>
  <c r="AE799" i="275"/>
  <c r="AC103" i="262"/>
  <c r="AC794" i="275"/>
  <c r="BB478" i="275"/>
  <c r="AC69" i="262"/>
  <c r="AC244" i="275"/>
  <c r="AZ69" i="262"/>
  <c r="AZ76" i="262" s="1"/>
  <c r="AZ244" i="275"/>
  <c r="AE69" i="262"/>
  <c r="AE244" i="275"/>
  <c r="AB8" i="262"/>
  <c r="AC10" i="262"/>
  <c r="AC558" i="275"/>
  <c r="AD10" i="262"/>
  <c r="AD558" i="275"/>
  <c r="AW549" i="259"/>
  <c r="AW20" i="262" s="1"/>
  <c r="AW547" i="275"/>
  <c r="BA557" i="275"/>
  <c r="AV539" i="259"/>
  <c r="AV188" i="261" s="1"/>
  <c r="AV537" i="275"/>
  <c r="H188" i="261"/>
  <c r="H539" i="275"/>
  <c r="P19" i="262"/>
  <c r="P539" i="275"/>
  <c r="BB547" i="275"/>
  <c r="I19" i="262"/>
  <c r="I539" i="275"/>
  <c r="Q19" i="262"/>
  <c r="Q539" i="275"/>
  <c r="BB557" i="275"/>
  <c r="AE10" i="262"/>
  <c r="AE558" i="275"/>
  <c r="AB9" i="262"/>
  <c r="AB60" i="262"/>
  <c r="AX201" i="259"/>
  <c r="AX200" i="275"/>
  <c r="AY549" i="259"/>
  <c r="AY20" i="262" s="1"/>
  <c r="AY547" i="275"/>
  <c r="AY559" i="259"/>
  <c r="AY21" i="262" s="1"/>
  <c r="AY557" i="275"/>
  <c r="BA537" i="275"/>
  <c r="AX539" i="259"/>
  <c r="AX19" i="262" s="1"/>
  <c r="AX537" i="275"/>
  <c r="AV549" i="259"/>
  <c r="AV20" i="262" s="1"/>
  <c r="AV547" i="275"/>
  <c r="AA9" i="262"/>
  <c r="AA10" i="262"/>
  <c r="W539" i="275"/>
  <c r="J188" i="261"/>
  <c r="J539" i="275"/>
  <c r="R188" i="261"/>
  <c r="R539" i="275"/>
  <c r="Z8" i="262"/>
  <c r="AY539" i="259"/>
  <c r="AY537" i="275"/>
  <c r="AW539" i="259"/>
  <c r="AW188" i="261" s="1"/>
  <c r="AW537" i="275"/>
  <c r="AX549" i="259"/>
  <c r="AX20" i="262" s="1"/>
  <c r="AX547" i="275"/>
  <c r="AX559" i="259"/>
  <c r="AX21" i="262" s="1"/>
  <c r="AX557" i="275"/>
  <c r="AW559" i="259"/>
  <c r="AW21" i="262" s="1"/>
  <c r="AW557" i="275"/>
  <c r="AB10" i="262"/>
  <c r="V201" i="259"/>
  <c r="V200" i="275"/>
  <c r="BB9" i="262"/>
  <c r="Z10" i="262"/>
  <c r="L188" i="261"/>
  <c r="L539" i="275"/>
  <c r="M19" i="262"/>
  <c r="M539" i="275"/>
  <c r="AE60" i="262"/>
  <c r="AE202" i="275"/>
  <c r="AW201" i="259"/>
  <c r="AW200" i="275"/>
  <c r="AV201" i="259"/>
  <c r="AV200" i="275"/>
  <c r="AV559" i="259"/>
  <c r="AV21" i="262" s="1"/>
  <c r="AV557" i="275"/>
  <c r="AE9" i="262"/>
  <c r="AE548" i="275"/>
  <c r="Z9" i="262"/>
  <c r="AA8" i="262"/>
  <c r="K188" i="261"/>
  <c r="K539" i="275"/>
  <c r="S188" i="261"/>
  <c r="S539" i="275"/>
  <c r="X188" i="261"/>
  <c r="X539" i="275"/>
  <c r="U539" i="275"/>
  <c r="Y539" i="275"/>
  <c r="N188" i="261"/>
  <c r="N539" i="275"/>
  <c r="V19" i="262"/>
  <c r="V539" i="275"/>
  <c r="AC482" i="275"/>
  <c r="AE1610" i="259"/>
  <c r="AE1603" i="259" s="1"/>
  <c r="AE482" i="275"/>
  <c r="AA35" i="262"/>
  <c r="Z35" i="262"/>
  <c r="AD482" i="275"/>
  <c r="AZ1610" i="259"/>
  <c r="AZ482" i="275"/>
  <c r="AA30" i="262"/>
  <c r="AZ1611" i="259"/>
  <c r="AZ481" i="275"/>
  <c r="AD1611" i="259"/>
  <c r="AD1604" i="259" s="1"/>
  <c r="AD481" i="275"/>
  <c r="D263" i="262"/>
  <c r="R262" i="262"/>
  <c r="R154" i="262"/>
  <c r="W262" i="262"/>
  <c r="W154" i="262"/>
  <c r="H262" i="262"/>
  <c r="H154" i="262"/>
  <c r="K262" i="262"/>
  <c r="K154" i="262"/>
  <c r="Y461" i="259"/>
  <c r="Y1084" i="259"/>
  <c r="Y216" i="261"/>
  <c r="Y151" i="262"/>
  <c r="Y264" i="262"/>
  <c r="J262" i="262"/>
  <c r="J154" i="262"/>
  <c r="N262" i="262"/>
  <c r="N154" i="262"/>
  <c r="V262" i="262"/>
  <c r="V154" i="262"/>
  <c r="D262" i="262"/>
  <c r="D154" i="262"/>
  <c r="T262" i="262"/>
  <c r="T154" i="262"/>
  <c r="U262" i="262"/>
  <c r="U154" i="262"/>
  <c r="I262" i="262"/>
  <c r="I154" i="262"/>
  <c r="L262" i="262"/>
  <c r="L154" i="262"/>
  <c r="Q262" i="262"/>
  <c r="Q154" i="262"/>
  <c r="X262" i="262"/>
  <c r="X154" i="262"/>
  <c r="Y1085" i="259"/>
  <c r="Y149" i="261"/>
  <c r="Z61" i="262"/>
  <c r="P262" i="262"/>
  <c r="P154" i="262"/>
  <c r="F262" i="262"/>
  <c r="F154" i="262"/>
  <c r="G262" i="262"/>
  <c r="G154" i="262"/>
  <c r="S262" i="262"/>
  <c r="S154" i="262"/>
  <c r="O262" i="262"/>
  <c r="O154" i="262"/>
  <c r="M262" i="262"/>
  <c r="M154" i="262"/>
  <c r="E262" i="262"/>
  <c r="E154" i="262"/>
  <c r="Y1263" i="259"/>
  <c r="Y155" i="262" s="1"/>
  <c r="Y127" i="261"/>
  <c r="X213" i="262"/>
  <c r="Y1397" i="259"/>
  <c r="AC176" i="261"/>
  <c r="AC42" i="262"/>
  <c r="AZ153" i="261"/>
  <c r="AZ40" i="262"/>
  <c r="Y71" i="262"/>
  <c r="Y68" i="262"/>
  <c r="Y75" i="262" s="1"/>
  <c r="AA71" i="262"/>
  <c r="AA68" i="262"/>
  <c r="AA75" i="262" s="1"/>
  <c r="Y72" i="262"/>
  <c r="Y67" i="262"/>
  <c r="Y74" i="262" s="1"/>
  <c r="AA72" i="262"/>
  <c r="AA67" i="262"/>
  <c r="AA74" i="262" s="1"/>
  <c r="Z71" i="262"/>
  <c r="Z68" i="262"/>
  <c r="Z75" i="262" s="1"/>
  <c r="Z72" i="262"/>
  <c r="Z67" i="262"/>
  <c r="Z74" i="262" s="1"/>
  <c r="N272" i="262"/>
  <c r="J272" i="262"/>
  <c r="O272" i="262"/>
  <c r="AX272" i="262"/>
  <c r="AY272" i="262"/>
  <c r="AW272" i="262"/>
  <c r="X272" i="262"/>
  <c r="AV272" i="262"/>
  <c r="S272" i="262"/>
  <c r="H272" i="262"/>
  <c r="W272" i="262"/>
  <c r="O1263" i="259"/>
  <c r="O155" i="262" s="1"/>
  <c r="O1684" i="259"/>
  <c r="H263" i="262"/>
  <c r="H1686" i="259"/>
  <c r="T1263" i="259"/>
  <c r="T155" i="262" s="1"/>
  <c r="T1684" i="259"/>
  <c r="P1263" i="259"/>
  <c r="P155" i="262" s="1"/>
  <c r="P1684" i="259"/>
  <c r="I126" i="261"/>
  <c r="I1683" i="259"/>
  <c r="G263" i="262"/>
  <c r="G1686" i="259"/>
  <c r="F263" i="262"/>
  <c r="F1686" i="259"/>
  <c r="J263" i="262"/>
  <c r="J1686" i="259"/>
  <c r="N263" i="262"/>
  <c r="N1686" i="259"/>
  <c r="R263" i="262"/>
  <c r="R1686" i="259"/>
  <c r="V263" i="262"/>
  <c r="V1686" i="259"/>
  <c r="S263" i="262"/>
  <c r="S1686" i="259"/>
  <c r="W127" i="261"/>
  <c r="W1684" i="259"/>
  <c r="E263" i="262"/>
  <c r="E1686" i="259"/>
  <c r="U126" i="261"/>
  <c r="U1683" i="259"/>
  <c r="Q263" i="262"/>
  <c r="Q1686" i="259"/>
  <c r="M263" i="262"/>
  <c r="M1686" i="259"/>
  <c r="O263" i="262"/>
  <c r="O1686" i="259"/>
  <c r="R126" i="261"/>
  <c r="R1683" i="259"/>
  <c r="T263" i="262"/>
  <c r="T1686" i="259"/>
  <c r="L263" i="262"/>
  <c r="L1686" i="259"/>
  <c r="P263" i="262"/>
  <c r="P1686" i="259"/>
  <c r="K263" i="262"/>
  <c r="K1686" i="259"/>
  <c r="M126" i="261"/>
  <c r="M1683" i="259"/>
  <c r="H127" i="261"/>
  <c r="H1684" i="259"/>
  <c r="K126" i="261"/>
  <c r="K1683" i="259"/>
  <c r="X263" i="262"/>
  <c r="X1686" i="259"/>
  <c r="X127" i="261"/>
  <c r="X1684" i="259"/>
  <c r="U263" i="262"/>
  <c r="U1686" i="259"/>
  <c r="I127" i="261"/>
  <c r="I1684" i="259"/>
  <c r="M1263" i="259"/>
  <c r="M155" i="262" s="1"/>
  <c r="M1684" i="259"/>
  <c r="AY1264" i="259"/>
  <c r="AY156" i="262" s="1"/>
  <c r="G1299" i="259"/>
  <c r="G754" i="259"/>
  <c r="G279" i="261" s="1"/>
  <c r="I1101" i="259"/>
  <c r="L118" i="262"/>
  <c r="AU1018" i="259"/>
  <c r="AV188" i="262"/>
  <c r="W52" i="259"/>
  <c r="AG31" i="264" s="1"/>
  <c r="G1065" i="259"/>
  <c r="S1065" i="259"/>
  <c r="G1063" i="259"/>
  <c r="O1067" i="259"/>
  <c r="O164" i="262" s="1"/>
  <c r="AV954" i="259"/>
  <c r="AV954" i="275" s="1"/>
  <c r="G895" i="259"/>
  <c r="AX1399" i="259"/>
  <c r="AW885" i="259"/>
  <c r="AW885" i="275" s="1"/>
  <c r="K1334" i="259"/>
  <c r="AY230" i="262"/>
  <c r="U782" i="259"/>
  <c r="U789" i="259" s="1"/>
  <c r="AV600" i="259"/>
  <c r="AV600" i="275" s="1"/>
  <c r="K990" i="259"/>
  <c r="AY816" i="259"/>
  <c r="G1064" i="259"/>
  <c r="G1087" i="259" s="1"/>
  <c r="L264" i="261"/>
  <c r="AY1032" i="259"/>
  <c r="AY1032" i="275" s="1"/>
  <c r="M262" i="261"/>
  <c r="Q1315" i="259"/>
  <c r="Q256" i="262" s="1"/>
  <c r="Q1353" i="259"/>
  <c r="Q210" i="262" s="1"/>
  <c r="H642" i="259"/>
  <c r="H234" i="261"/>
  <c r="AY1129" i="259"/>
  <c r="P1446" i="259"/>
  <c r="P1445" i="259" s="1"/>
  <c r="P1447" i="259" s="1"/>
  <c r="P234" i="261"/>
  <c r="J1063" i="259"/>
  <c r="M871" i="259"/>
  <c r="F1064" i="259"/>
  <c r="F1087" i="259" s="1"/>
  <c r="F754" i="259"/>
  <c r="F279" i="261" s="1"/>
  <c r="P642" i="259"/>
  <c r="P646" i="259" s="1"/>
  <c r="G234" i="261"/>
  <c r="AY1265" i="259"/>
  <c r="AW1215" i="259"/>
  <c r="AW144" i="261" s="1"/>
  <c r="O754" i="259"/>
  <c r="O279" i="261" s="1"/>
  <c r="H672" i="259"/>
  <c r="H732" i="259"/>
  <c r="O895" i="259"/>
  <c r="AW1038" i="259"/>
  <c r="AW1038" i="275" s="1"/>
  <c r="J270" i="261"/>
  <c r="W1397" i="259"/>
  <c r="F1065" i="259"/>
  <c r="J1065" i="259"/>
  <c r="O1065" i="259"/>
  <c r="G732" i="259"/>
  <c r="AW600" i="259"/>
  <c r="AW600" i="275" s="1"/>
  <c r="J1291" i="259"/>
  <c r="AV1383" i="259"/>
  <c r="AV1407" i="259" s="1"/>
  <c r="AV222" i="262" s="1"/>
  <c r="AX1264" i="259"/>
  <c r="AX156" i="262" s="1"/>
  <c r="K1463" i="259"/>
  <c r="K1465" i="259" s="1"/>
  <c r="AV1465" i="259" s="1"/>
  <c r="AV1468" i="259" s="1"/>
  <c r="AV226" i="262" s="1"/>
  <c r="J102" i="259"/>
  <c r="J106" i="259" s="1"/>
  <c r="AX2" i="262"/>
  <c r="R264" i="261"/>
  <c r="AY161" i="261"/>
  <c r="O1375" i="259"/>
  <c r="AW1375" i="259" s="1"/>
  <c r="K754" i="259"/>
  <c r="K279" i="261" s="1"/>
  <c r="K895" i="259"/>
  <c r="K162" i="261"/>
  <c r="AU982" i="259"/>
  <c r="AW1605" i="259"/>
  <c r="AW1653" i="259"/>
  <c r="AW302" i="262" s="1"/>
  <c r="AW1642" i="259"/>
  <c r="AW294" i="262" s="1"/>
  <c r="K1064" i="259"/>
  <c r="K1087" i="259" s="1"/>
  <c r="I1067" i="259"/>
  <c r="I164" i="262" s="1"/>
  <c r="AX1653" i="259"/>
  <c r="AX302" i="262" s="1"/>
  <c r="AX1642" i="259"/>
  <c r="AX294" i="262" s="1"/>
  <c r="Q52" i="259"/>
  <c r="I754" i="259"/>
  <c r="I279" i="261" s="1"/>
  <c r="X1397" i="259"/>
  <c r="AX1605" i="259"/>
  <c r="AU1605" i="259"/>
  <c r="E234" i="261"/>
  <c r="O955" i="259"/>
  <c r="AV139" i="259"/>
  <c r="AV139" i="275" s="1"/>
  <c r="AY1653" i="259"/>
  <c r="AY302" i="262" s="1"/>
  <c r="AY1642" i="259"/>
  <c r="AY294" i="262" s="1"/>
  <c r="AY1605" i="259"/>
  <c r="AV1605" i="259"/>
  <c r="V1613" i="259"/>
  <c r="V1616" i="259"/>
  <c r="V280" i="262" s="1"/>
  <c r="K1339" i="259"/>
  <c r="K238" i="262" s="1"/>
  <c r="D646" i="259"/>
  <c r="D652" i="259" s="1"/>
  <c r="G1354" i="259"/>
  <c r="G211" i="262" s="1"/>
  <c r="N1510" i="259"/>
  <c r="N210" i="261" s="1"/>
  <c r="AU492" i="259"/>
  <c r="AU1614" i="259"/>
  <c r="AY567" i="259"/>
  <c r="AY201" i="261" s="1"/>
  <c r="AX1612" i="259"/>
  <c r="D51" i="259"/>
  <c r="D127" i="262" s="1"/>
  <c r="D1614" i="259"/>
  <c r="H1315" i="259"/>
  <c r="H256" i="262" s="1"/>
  <c r="K1312" i="259"/>
  <c r="K176" i="262" s="1"/>
  <c r="I1351" i="259"/>
  <c r="W1265" i="259"/>
  <c r="F489" i="259"/>
  <c r="F1607" i="259" s="1"/>
  <c r="F1606" i="259" s="1"/>
  <c r="F1614" i="259"/>
  <c r="J262" i="261"/>
  <c r="E1613" i="259"/>
  <c r="E1616" i="259"/>
  <c r="E280" i="262" s="1"/>
  <c r="N500" i="259"/>
  <c r="N1614" i="259"/>
  <c r="AV1320" i="259"/>
  <c r="AV246" i="262" s="1"/>
  <c r="I1352" i="259"/>
  <c r="V318" i="261"/>
  <c r="AD34" i="262"/>
  <c r="AD1610" i="259"/>
  <c r="AD1603" i="259" s="1"/>
  <c r="AC526" i="259"/>
  <c r="AC526" i="275" s="1"/>
  <c r="AC1611" i="259"/>
  <c r="AC1604" i="259" s="1"/>
  <c r="AE522" i="259"/>
  <c r="AE1611" i="259"/>
  <c r="AE1604" i="259" s="1"/>
  <c r="AC34" i="262"/>
  <c r="AC1610" i="259"/>
  <c r="AC1603" i="259" s="1"/>
  <c r="AW1101" i="259"/>
  <c r="I1302" i="259"/>
  <c r="I1303" i="259" s="1"/>
  <c r="I258" i="262" s="1"/>
  <c r="K1291" i="259"/>
  <c r="AW954" i="259"/>
  <c r="I1065" i="259"/>
  <c r="R1351" i="259"/>
  <c r="I50" i="259"/>
  <c r="O1116" i="259"/>
  <c r="AY70" i="261"/>
  <c r="AW886" i="259"/>
  <c r="AW886" i="275" s="1"/>
  <c r="I1339" i="259"/>
  <c r="I238" i="262" s="1"/>
  <c r="AX552" i="259"/>
  <c r="P1266" i="259"/>
  <c r="P150" i="262" s="1"/>
  <c r="AV141" i="259"/>
  <c r="AV141" i="275" s="1"/>
  <c r="AX1237" i="259"/>
  <c r="AX253" i="261" s="1"/>
  <c r="I895" i="259"/>
  <c r="I895" i="275" s="1"/>
  <c r="G162" i="261"/>
  <c r="I1064" i="259"/>
  <c r="I1087" i="259" s="1"/>
  <c r="L26" i="262"/>
  <c r="O70" i="261"/>
  <c r="AY141" i="259"/>
  <c r="G1315" i="259"/>
  <c r="G256" i="262" s="1"/>
  <c r="I1334" i="259"/>
  <c r="I1294" i="259" s="1"/>
  <c r="I243" i="262" s="1"/>
  <c r="I1063" i="259"/>
  <c r="AW542" i="259"/>
  <c r="U1352" i="259"/>
  <c r="AC173" i="261"/>
  <c r="M149" i="261"/>
  <c r="AC29" i="262"/>
  <c r="AG19" i="263"/>
  <c r="AI19" i="263" s="1"/>
  <c r="X318" i="261"/>
  <c r="AK73" i="264"/>
  <c r="AK71" i="264"/>
  <c r="AM71" i="264" s="1"/>
  <c r="W318" i="261"/>
  <c r="AK60" i="264"/>
  <c r="AM60" i="264" s="1"/>
  <c r="AM57" i="264"/>
  <c r="AI14" i="263"/>
  <c r="AE526" i="259"/>
  <c r="AE526" i="275" s="1"/>
  <c r="AE29" i="262"/>
  <c r="AQ28" i="263"/>
  <c r="AW102" i="261"/>
  <c r="AK63" i="264"/>
  <c r="AK70" i="264" s="1"/>
  <c r="P159" i="262"/>
  <c r="P1081" i="259"/>
  <c r="AG67" i="264"/>
  <c r="K123" i="259"/>
  <c r="AW59" i="261"/>
  <c r="AW86" i="261"/>
  <c r="AX1255" i="259"/>
  <c r="AX133" i="261" s="1"/>
  <c r="AX78" i="261"/>
  <c r="Q43" i="261"/>
  <c r="Q70" i="261"/>
  <c r="E159" i="262"/>
  <c r="D1081" i="259"/>
  <c r="AX1260" i="259"/>
  <c r="AX138" i="261" s="1"/>
  <c r="AX86" i="261"/>
  <c r="E1505" i="259"/>
  <c r="E112" i="261" s="1"/>
  <c r="O159" i="262"/>
  <c r="O1081" i="259"/>
  <c r="G159" i="262"/>
  <c r="G1081" i="259"/>
  <c r="W1075" i="259"/>
  <c r="W282" i="261" s="1"/>
  <c r="W1018" i="259"/>
  <c r="W1018" i="275" s="1"/>
  <c r="W70" i="261"/>
  <c r="P70" i="261"/>
  <c r="V159" i="262"/>
  <c r="V1081" i="259"/>
  <c r="AY1423" i="259"/>
  <c r="J217" i="262"/>
  <c r="J1596" i="259"/>
  <c r="V52" i="259"/>
  <c r="M1018" i="259"/>
  <c r="M70" i="261"/>
  <c r="AY1260" i="259"/>
  <c r="AY138" i="261" s="1"/>
  <c r="AY86" i="261"/>
  <c r="AW1255" i="259"/>
  <c r="AW133" i="261" s="1"/>
  <c r="AW78" i="261"/>
  <c r="F59" i="264"/>
  <c r="H59" i="264" s="1"/>
  <c r="F38" i="264"/>
  <c r="H38" i="264" s="1"/>
  <c r="AX476" i="259"/>
  <c r="AY476" i="275" s="1"/>
  <c r="AX567" i="259"/>
  <c r="AX201" i="261" s="1"/>
  <c r="N159" i="262"/>
  <c r="N1081" i="259"/>
  <c r="W1079" i="259"/>
  <c r="W286" i="261" s="1"/>
  <c r="W1077" i="259"/>
  <c r="W284" i="261" s="1"/>
  <c r="K1018" i="259"/>
  <c r="K1018" i="275" s="1"/>
  <c r="K70" i="261"/>
  <c r="S70" i="261"/>
  <c r="J70" i="261"/>
  <c r="X159" i="262"/>
  <c r="X1081" i="259"/>
  <c r="AV78" i="261"/>
  <c r="I43" i="261"/>
  <c r="I70" i="261"/>
  <c r="AW188" i="262"/>
  <c r="AY188" i="262"/>
  <c r="W1078" i="259"/>
  <c r="W285" i="261" s="1"/>
  <c r="T1078" i="259"/>
  <c r="T285" i="261" s="1"/>
  <c r="L1018" i="259"/>
  <c r="L1018" i="275" s="1"/>
  <c r="L70" i="261"/>
  <c r="F35" i="264"/>
  <c r="H35" i="264" s="1"/>
  <c r="Q159" i="262"/>
  <c r="Q1081" i="259"/>
  <c r="AX59" i="259"/>
  <c r="F44" i="264"/>
  <c r="H44" i="264" s="1"/>
  <c r="AY1255" i="259"/>
  <c r="AY133" i="261" s="1"/>
  <c r="AY78" i="261"/>
  <c r="AG42" i="264"/>
  <c r="AI42" i="264" s="1"/>
  <c r="U159" i="262"/>
  <c r="U1081" i="259"/>
  <c r="U955" i="259"/>
  <c r="AV1260" i="259"/>
  <c r="AV138" i="261" s="1"/>
  <c r="AV86" i="261"/>
  <c r="U70" i="261"/>
  <c r="F36" i="264"/>
  <c r="H36" i="264" s="1"/>
  <c r="E1497" i="259"/>
  <c r="E163" i="262" s="1"/>
  <c r="L159" i="262"/>
  <c r="L1081" i="259"/>
  <c r="E1415" i="259"/>
  <c r="E1427" i="259" s="1"/>
  <c r="N1250" i="259"/>
  <c r="N128" i="261" s="1"/>
  <c r="N70" i="261"/>
  <c r="K646" i="259"/>
  <c r="O646" i="275" s="1"/>
  <c r="F159" i="262"/>
  <c r="F1081" i="259"/>
  <c r="V1018" i="259"/>
  <c r="V70" i="261"/>
  <c r="H70" i="261"/>
  <c r="T1018" i="259"/>
  <c r="T1018" i="275" s="1"/>
  <c r="T70" i="261"/>
  <c r="P318" i="261"/>
  <c r="AU28" i="263"/>
  <c r="AS14" i="264"/>
  <c r="AU14" i="264" s="1"/>
  <c r="AU769" i="259"/>
  <c r="AU87" i="262" s="1"/>
  <c r="AZ862" i="259"/>
  <c r="AV318" i="261"/>
  <c r="AX70" i="261"/>
  <c r="AD179" i="259"/>
  <c r="AD179" i="275" s="1"/>
  <c r="AC180" i="259"/>
  <c r="AC180" i="275" s="1"/>
  <c r="L318" i="261"/>
  <c r="T318" i="261"/>
  <c r="K318" i="261"/>
  <c r="AM8" i="263"/>
  <c r="AD245" i="259"/>
  <c r="BI132" i="264" s="1"/>
  <c r="BK132" i="264" s="1"/>
  <c r="Y220" i="262"/>
  <c r="AZ90" i="261"/>
  <c r="AZ41" i="262"/>
  <c r="J139" i="264"/>
  <c r="L139" i="264" s="1"/>
  <c r="BA289" i="261"/>
  <c r="AZ34" i="262"/>
  <c r="J145" i="264"/>
  <c r="L145" i="264" s="1"/>
  <c r="AW70" i="261"/>
  <c r="J104" i="264"/>
  <c r="L104" i="264" s="1"/>
  <c r="AO132" i="264"/>
  <c r="AQ132" i="264" s="1"/>
  <c r="AY102" i="261"/>
  <c r="AO64" i="264"/>
  <c r="AQ64" i="264" s="1"/>
  <c r="F20" i="264"/>
  <c r="F15" i="264"/>
  <c r="H15" i="264" s="1"/>
  <c r="AW14" i="264"/>
  <c r="AY14" i="264" s="1"/>
  <c r="F14" i="264"/>
  <c r="H14" i="264" s="1"/>
  <c r="AZ29" i="262"/>
  <c r="AZ568" i="259"/>
  <c r="AS134" i="264"/>
  <c r="AU134" i="264" s="1"/>
  <c r="AO152" i="264"/>
  <c r="AQ152" i="264" s="1"/>
  <c r="AC571" i="259"/>
  <c r="AO128" i="264"/>
  <c r="AQ128" i="264" s="1"/>
  <c r="O318" i="261"/>
  <c r="M318" i="261"/>
  <c r="U318" i="261"/>
  <c r="AG17" i="263"/>
  <c r="AI17" i="263" s="1"/>
  <c r="N318" i="261"/>
  <c r="Q318" i="261"/>
  <c r="R318" i="261"/>
  <c r="S318" i="261"/>
  <c r="J318" i="261"/>
  <c r="AI8" i="263"/>
  <c r="H258" i="262"/>
  <c r="H255" i="262"/>
  <c r="N924" i="259"/>
  <c r="N189" i="262"/>
  <c r="P924" i="259"/>
  <c r="P189" i="262"/>
  <c r="E924" i="259"/>
  <c r="E1494" i="259" s="1"/>
  <c r="E196" i="262" s="1"/>
  <c r="E189" i="262"/>
  <c r="E8" i="259"/>
  <c r="E136" i="262" s="1"/>
  <c r="E96" i="259"/>
  <c r="AZ314" i="261"/>
  <c r="AZ234" i="262"/>
  <c r="AU782" i="259"/>
  <c r="F193" i="261"/>
  <c r="F24" i="262"/>
  <c r="W194" i="261"/>
  <c r="W25" i="262"/>
  <c r="Q195" i="261"/>
  <c r="Q26" i="262"/>
  <c r="K195" i="261"/>
  <c r="K26" i="262"/>
  <c r="P1497" i="259"/>
  <c r="P163" i="262" s="1"/>
  <c r="P87" i="262"/>
  <c r="T1353" i="259"/>
  <c r="T210" i="262" s="1"/>
  <c r="T176" i="262"/>
  <c r="AW514" i="259"/>
  <c r="AW149" i="261" s="1"/>
  <c r="AW182" i="262"/>
  <c r="M924" i="259"/>
  <c r="M189" i="262"/>
  <c r="K924" i="259"/>
  <c r="K189" i="262"/>
  <c r="J8" i="259"/>
  <c r="J96" i="259"/>
  <c r="I302" i="261"/>
  <c r="I162" i="262"/>
  <c r="T1497" i="259"/>
  <c r="T163" i="262" s="1"/>
  <c r="T87" i="262"/>
  <c r="J924" i="259"/>
  <c r="J189" i="262"/>
  <c r="AY258" i="261"/>
  <c r="AY185" i="262"/>
  <c r="AX889" i="259"/>
  <c r="AX185" i="262"/>
  <c r="S258" i="262"/>
  <c r="S255" i="262"/>
  <c r="I195" i="261"/>
  <c r="I26" i="262"/>
  <c r="M1498" i="259"/>
  <c r="M162" i="262" s="1"/>
  <c r="M87" i="262"/>
  <c r="O782" i="259"/>
  <c r="O87" i="262"/>
  <c r="F924" i="259"/>
  <c r="F1494" i="259" s="1"/>
  <c r="F196" i="262" s="1"/>
  <c r="F189" i="262"/>
  <c r="AY870" i="259"/>
  <c r="AY174" i="262"/>
  <c r="V1497" i="259"/>
  <c r="V163" i="262" s="1"/>
  <c r="V87" i="262"/>
  <c r="U924" i="259"/>
  <c r="U189" i="262"/>
  <c r="M1339" i="259"/>
  <c r="M238" i="262" s="1"/>
  <c r="M246" i="262"/>
  <c r="U1334" i="259"/>
  <c r="U1294" i="259" s="1"/>
  <c r="U243" i="262" s="1"/>
  <c r="U246" i="262"/>
  <c r="J1497" i="259"/>
  <c r="J1499" i="259" s="1"/>
  <c r="J87" i="262"/>
  <c r="H1497" i="259"/>
  <c r="H87" i="262"/>
  <c r="N264" i="261"/>
  <c r="S195" i="261"/>
  <c r="S26" i="262"/>
  <c r="X1302" i="259"/>
  <c r="X1303" i="259" s="1"/>
  <c r="L193" i="261"/>
  <c r="L24" i="262"/>
  <c r="P195" i="261"/>
  <c r="P26" i="262"/>
  <c r="O302" i="261"/>
  <c r="O162" i="262"/>
  <c r="L162" i="262"/>
  <c r="X1313" i="259"/>
  <c r="X190" i="262" s="1"/>
  <c r="W176" i="262"/>
  <c r="H302" i="261"/>
  <c r="H162" i="262"/>
  <c r="BA314" i="261"/>
  <c r="BA234" i="262"/>
  <c r="H194" i="261"/>
  <c r="H25" i="262"/>
  <c r="AB173" i="262"/>
  <c r="O194" i="261"/>
  <c r="O25" i="262"/>
  <c r="M194" i="261"/>
  <c r="M25" i="262"/>
  <c r="W193" i="261"/>
  <c r="W24" i="262"/>
  <c r="G193" i="261"/>
  <c r="G24" i="262"/>
  <c r="O193" i="261"/>
  <c r="O24" i="262"/>
  <c r="G288" i="261"/>
  <c r="G21" i="259"/>
  <c r="G1489" i="259" s="1"/>
  <c r="S1063" i="259"/>
  <c r="S159" i="262"/>
  <c r="T258" i="262"/>
  <c r="T255" i="262"/>
  <c r="T1334" i="259"/>
  <c r="T1294" i="259" s="1"/>
  <c r="T243" i="262" s="1"/>
  <c r="T246" i="262"/>
  <c r="AX194" i="261"/>
  <c r="AX25" i="262"/>
  <c r="Q924" i="259"/>
  <c r="Q189" i="262"/>
  <c r="AY1055" i="259"/>
  <c r="AY182" i="262"/>
  <c r="S1339" i="259"/>
  <c r="S238" i="262" s="1"/>
  <c r="S246" i="262"/>
  <c r="T895" i="259"/>
  <c r="T159" i="262"/>
  <c r="H895" i="259"/>
  <c r="H895" i="275" s="1"/>
  <c r="H159" i="262"/>
  <c r="AV1353" i="259"/>
  <c r="AV210" i="262" s="1"/>
  <c r="AV176" i="262"/>
  <c r="M193" i="261"/>
  <c r="M24" i="262"/>
  <c r="K194" i="261"/>
  <c r="K25" i="262"/>
  <c r="Q118" i="262"/>
  <c r="Q87" i="262"/>
  <c r="AX1392" i="259"/>
  <c r="AX213" i="262" s="1"/>
  <c r="AX216" i="262"/>
  <c r="AU870" i="259"/>
  <c r="AU1351" i="259" s="1"/>
  <c r="AU174" i="262"/>
  <c r="AY313" i="261"/>
  <c r="AY220" i="262"/>
  <c r="L1497" i="259"/>
  <c r="L87" i="262"/>
  <c r="F118" i="262"/>
  <c r="F87" i="262"/>
  <c r="S924" i="259"/>
  <c r="S189" i="262"/>
  <c r="J895" i="259"/>
  <c r="J895" i="275" s="1"/>
  <c r="J159" i="262"/>
  <c r="J193" i="261"/>
  <c r="J24" i="262"/>
  <c r="R193" i="261"/>
  <c r="R24" i="262"/>
  <c r="P194" i="261"/>
  <c r="P25" i="262"/>
  <c r="J195" i="261"/>
  <c r="J26" i="262"/>
  <c r="V195" i="261"/>
  <c r="V26" i="262"/>
  <c r="Y251" i="262"/>
  <c r="Y252" i="262"/>
  <c r="F14" i="263"/>
  <c r="AY88" i="262"/>
  <c r="Q193" i="261"/>
  <c r="Q24" i="262"/>
  <c r="S194" i="261"/>
  <c r="S25" i="262"/>
  <c r="M195" i="261"/>
  <c r="M26" i="262"/>
  <c r="G194" i="261"/>
  <c r="G25" i="262"/>
  <c r="U162" i="262"/>
  <c r="V924" i="259"/>
  <c r="V189" i="262"/>
  <c r="F8" i="259"/>
  <c r="F96" i="259"/>
  <c r="R8" i="259"/>
  <c r="R96" i="259"/>
  <c r="W195" i="261"/>
  <c r="W26" i="262"/>
  <c r="U258" i="262"/>
  <c r="U255" i="262"/>
  <c r="AW544" i="259"/>
  <c r="AV13" i="262"/>
  <c r="K193" i="261"/>
  <c r="K24" i="262"/>
  <c r="Q194" i="261"/>
  <c r="Q25" i="262"/>
  <c r="J258" i="262"/>
  <c r="J255" i="262"/>
  <c r="J1313" i="259"/>
  <c r="J190" i="262" s="1"/>
  <c r="I176" i="262"/>
  <c r="P1339" i="259"/>
  <c r="P238" i="262" s="1"/>
  <c r="P246" i="262"/>
  <c r="W924" i="259"/>
  <c r="W189" i="262"/>
  <c r="S96" i="259"/>
  <c r="AU514" i="259"/>
  <c r="AU149" i="261" s="1"/>
  <c r="AU182" i="262"/>
  <c r="AV152" i="261"/>
  <c r="AV182" i="262"/>
  <c r="R924" i="259"/>
  <c r="R189" i="262"/>
  <c r="D301" i="261"/>
  <c r="D163" i="262"/>
  <c r="AU889" i="259"/>
  <c r="AU185" i="262"/>
  <c r="AV562" i="259"/>
  <c r="AV15" i="262"/>
  <c r="AV45" i="262" s="1"/>
  <c r="U195" i="261"/>
  <c r="U26" i="262"/>
  <c r="D193" i="261"/>
  <c r="D24" i="262"/>
  <c r="U1497" i="259"/>
  <c r="U87" i="262"/>
  <c r="Z168" i="262"/>
  <c r="AW230" i="262"/>
  <c r="AW216" i="262"/>
  <c r="AW870" i="259"/>
  <c r="AW174" i="262"/>
  <c r="D1498" i="259"/>
  <c r="D87" i="262"/>
  <c r="M1353" i="259"/>
  <c r="M210" i="262" s="1"/>
  <c r="M176" i="262"/>
  <c r="AV870" i="259"/>
  <c r="AV870" i="275" s="1"/>
  <c r="AV174" i="262"/>
  <c r="W302" i="261"/>
  <c r="W162" i="262"/>
  <c r="T924" i="259"/>
  <c r="X924" i="275" s="1"/>
  <c r="T189" i="262"/>
  <c r="Q258" i="262"/>
  <c r="Q255" i="262"/>
  <c r="I194" i="261"/>
  <c r="I25" i="262"/>
  <c r="AU45" i="262"/>
  <c r="S1291" i="259"/>
  <c r="R1302" i="259"/>
  <c r="R1303" i="259" s="1"/>
  <c r="R1299" i="259"/>
  <c r="H193" i="261"/>
  <c r="H24" i="262"/>
  <c r="J194" i="261"/>
  <c r="J25" i="262"/>
  <c r="T195" i="261"/>
  <c r="T26" i="262"/>
  <c r="Q1463" i="259"/>
  <c r="Q1465" i="259" s="1"/>
  <c r="Q1407" i="259"/>
  <c r="Q222" i="262" s="1"/>
  <c r="M159" i="262"/>
  <c r="I159" i="262"/>
  <c r="H924" i="259"/>
  <c r="H189" i="262"/>
  <c r="R159" i="262"/>
  <c r="G195" i="261"/>
  <c r="G26" i="262"/>
  <c r="V258" i="262"/>
  <c r="V255" i="262"/>
  <c r="AY264" i="262"/>
  <c r="D195" i="261"/>
  <c r="D26" i="262"/>
  <c r="Q1397" i="259"/>
  <c r="P213" i="262"/>
  <c r="Z185" i="262"/>
  <c r="F194" i="261"/>
  <c r="F25" i="262"/>
  <c r="H94" i="262"/>
  <c r="H257" i="262"/>
  <c r="AV769" i="259"/>
  <c r="AV769" i="275" s="1"/>
  <c r="AV88" i="262"/>
  <c r="AU48" i="262"/>
  <c r="AX544" i="259"/>
  <c r="AX13" i="262"/>
  <c r="R195" i="261"/>
  <c r="R26" i="262"/>
  <c r="N302" i="261"/>
  <c r="N162" i="262"/>
  <c r="I255" i="262"/>
  <c r="U194" i="261"/>
  <c r="U25" i="262"/>
  <c r="S193" i="261"/>
  <c r="S24" i="262"/>
  <c r="O195" i="261"/>
  <c r="O26" i="262"/>
  <c r="AY2" i="262"/>
  <c r="AY2" i="261"/>
  <c r="W895" i="259"/>
  <c r="W159" i="262"/>
  <c r="E195" i="261"/>
  <c r="E26" i="262"/>
  <c r="G924" i="259"/>
  <c r="G1494" i="259" s="1"/>
  <c r="G196" i="262" s="1"/>
  <c r="G189" i="262"/>
  <c r="AY151" i="261"/>
  <c r="AX182" i="262"/>
  <c r="L924" i="259"/>
  <c r="L189" i="262"/>
  <c r="I193" i="261"/>
  <c r="I24" i="262"/>
  <c r="E194" i="261"/>
  <c r="E25" i="262"/>
  <c r="V1397" i="259"/>
  <c r="U213" i="262"/>
  <c r="I118" i="262"/>
  <c r="I87" i="262"/>
  <c r="V1313" i="259"/>
  <c r="V190" i="262" s="1"/>
  <c r="V176" i="262"/>
  <c r="K1498" i="259"/>
  <c r="K87" i="262"/>
  <c r="G1497" i="259"/>
  <c r="G87" i="262"/>
  <c r="AA173" i="262"/>
  <c r="AV230" i="262"/>
  <c r="AV216" i="262"/>
  <c r="AW313" i="261"/>
  <c r="AW220" i="262"/>
  <c r="AU1392" i="259"/>
  <c r="AU213" i="262" s="1"/>
  <c r="AU216" i="262"/>
  <c r="AX870" i="259"/>
  <c r="AX174" i="262"/>
  <c r="L1334" i="259"/>
  <c r="L1294" i="259" s="1"/>
  <c r="L243" i="262" s="1"/>
  <c r="L246" i="262"/>
  <c r="S1498" i="259"/>
  <c r="S1499" i="259" s="1"/>
  <c r="S87" i="262"/>
  <c r="AX313" i="261"/>
  <c r="AX220" i="262"/>
  <c r="Z167" i="262"/>
  <c r="J1548" i="259"/>
  <c r="J76" i="259" s="1"/>
  <c r="J76" i="275" s="1"/>
  <c r="E1548" i="259"/>
  <c r="E76" i="259" s="1"/>
  <c r="I76" i="275" s="1"/>
  <c r="K159" i="262"/>
  <c r="F1291" i="259"/>
  <c r="E1299" i="259"/>
  <c r="E1302" i="259"/>
  <c r="E1303" i="259" s="1"/>
  <c r="T1352" i="259"/>
  <c r="T1351" i="259"/>
  <c r="N193" i="261"/>
  <c r="N24" i="262"/>
  <c r="V193" i="261"/>
  <c r="V24" i="262"/>
  <c r="T194" i="261"/>
  <c r="T25" i="262"/>
  <c r="N195" i="261"/>
  <c r="N26" i="262"/>
  <c r="AW45" i="262"/>
  <c r="U193" i="261"/>
  <c r="U24" i="262"/>
  <c r="Y38" i="262"/>
  <c r="AO95" i="264"/>
  <c r="AQ95" i="264" s="1"/>
  <c r="F216" i="261"/>
  <c r="F264" i="262"/>
  <c r="G216" i="261"/>
  <c r="G264" i="262"/>
  <c r="AX188" i="261"/>
  <c r="AV189" i="261"/>
  <c r="L216" i="261"/>
  <c r="L264" i="262"/>
  <c r="D216" i="261"/>
  <c r="D264" i="262"/>
  <c r="M216" i="261"/>
  <c r="M264" i="262"/>
  <c r="N216" i="261"/>
  <c r="N264" i="262"/>
  <c r="AX189" i="261"/>
  <c r="H216" i="261"/>
  <c r="H264" i="262"/>
  <c r="T216" i="261"/>
  <c r="T264" i="262"/>
  <c r="O216" i="261"/>
  <c r="O264" i="262"/>
  <c r="S216" i="261"/>
  <c r="S264" i="262"/>
  <c r="R216" i="261"/>
  <c r="R264" i="262"/>
  <c r="AV190" i="261"/>
  <c r="AY190" i="261"/>
  <c r="W216" i="261"/>
  <c r="W264" i="262"/>
  <c r="U216" i="261"/>
  <c r="U264" i="262"/>
  <c r="J216" i="261"/>
  <c r="J264" i="262"/>
  <c r="V216" i="261"/>
  <c r="V264" i="262"/>
  <c r="K216" i="261"/>
  <c r="K264" i="262"/>
  <c r="P216" i="261"/>
  <c r="P264" i="262"/>
  <c r="X216" i="261"/>
  <c r="X264" i="262"/>
  <c r="I216" i="261"/>
  <c r="I264" i="262"/>
  <c r="E216" i="261"/>
  <c r="E264" i="262"/>
  <c r="Q216" i="261"/>
  <c r="Q264" i="262"/>
  <c r="U45" i="262"/>
  <c r="U48" i="262"/>
  <c r="T45" i="262"/>
  <c r="J45" i="262"/>
  <c r="H45" i="262"/>
  <c r="K45" i="262"/>
  <c r="R45" i="262"/>
  <c r="E45" i="262"/>
  <c r="E48" i="262"/>
  <c r="I45" i="262"/>
  <c r="M45" i="262"/>
  <c r="P45" i="262"/>
  <c r="P48" i="262"/>
  <c r="L45" i="262"/>
  <c r="S45" i="262"/>
  <c r="F45" i="262"/>
  <c r="F48" i="262"/>
  <c r="W45" i="262"/>
  <c r="V45" i="262"/>
  <c r="D48" i="262"/>
  <c r="D45" i="262"/>
  <c r="AD551" i="259"/>
  <c r="AD9" i="262"/>
  <c r="AC551" i="259"/>
  <c r="AC9" i="262"/>
  <c r="K1263" i="259"/>
  <c r="K155" i="262" s="1"/>
  <c r="K127" i="261"/>
  <c r="AR3" i="267"/>
  <c r="AP91" i="267"/>
  <c r="AM44" i="267"/>
  <c r="AN4" i="267"/>
  <c r="G1503" i="259"/>
  <c r="T1503" i="259"/>
  <c r="L1302" i="259"/>
  <c r="L1303" i="259" s="1"/>
  <c r="L1299" i="259"/>
  <c r="M1291" i="259"/>
  <c r="W162" i="261"/>
  <c r="H1339" i="259"/>
  <c r="H238" i="262" s="1"/>
  <c r="H1334" i="259"/>
  <c r="H1294" i="259" s="1"/>
  <c r="H243" i="262" s="1"/>
  <c r="AU1414" i="259"/>
  <c r="R1503" i="259"/>
  <c r="Y60" i="262"/>
  <c r="AU1422" i="259"/>
  <c r="N492" i="259"/>
  <c r="H1352" i="259"/>
  <c r="D1299" i="259"/>
  <c r="K1468" i="259"/>
  <c r="K226" i="262" s="1"/>
  <c r="O672" i="259"/>
  <c r="AY1185" i="259"/>
  <c r="AY142" i="261" s="1"/>
  <c r="V162" i="261"/>
  <c r="AU1423" i="259"/>
  <c r="AX397" i="259"/>
  <c r="AX31" i="261" s="1"/>
  <c r="P1302" i="259"/>
  <c r="P1303" i="259" s="1"/>
  <c r="U983" i="259"/>
  <c r="U1115" i="259" s="1"/>
  <c r="AV159" i="259"/>
  <c r="E461" i="259"/>
  <c r="M1313" i="259"/>
  <c r="M190" i="262" s="1"/>
  <c r="AU1202" i="259"/>
  <c r="AU143" i="261" s="1"/>
  <c r="AY121" i="259"/>
  <c r="P1315" i="259"/>
  <c r="P256" i="262" s="1"/>
  <c r="Q1313" i="259"/>
  <c r="Q190" i="262" s="1"/>
  <c r="P1353" i="259"/>
  <c r="P210" i="262" s="1"/>
  <c r="V123" i="259"/>
  <c r="J1428" i="259"/>
  <c r="J335" i="261" s="1"/>
  <c r="I123" i="259"/>
  <c r="Q1497" i="259"/>
  <c r="Q163" i="262" s="1"/>
  <c r="J1505" i="259"/>
  <c r="T118" i="262"/>
  <c r="T1354" i="259"/>
  <c r="T211" i="262" s="1"/>
  <c r="G43" i="261"/>
  <c r="J1416" i="259"/>
  <c r="J331" i="261" s="1"/>
  <c r="V925" i="259"/>
  <c r="AV140" i="259"/>
  <c r="AV142" i="259" s="1"/>
  <c r="AW159" i="259"/>
  <c r="F1250" i="259"/>
  <c r="F128" i="261" s="1"/>
  <c r="G244" i="261"/>
  <c r="M1039" i="259"/>
  <c r="E1313" i="259"/>
  <c r="E190" i="262" s="1"/>
  <c r="J1446" i="259"/>
  <c r="J1445" i="259" s="1"/>
  <c r="J1447" i="259" s="1"/>
  <c r="AW839" i="259"/>
  <c r="AW839" i="275" s="1"/>
  <c r="N85" i="259"/>
  <c r="N100" i="259" s="1"/>
  <c r="H1503" i="259"/>
  <c r="D1503" i="259"/>
  <c r="I1503" i="259"/>
  <c r="U1503" i="259"/>
  <c r="E1354" i="259"/>
  <c r="E211" i="262" s="1"/>
  <c r="F1313" i="259"/>
  <c r="F190" i="262" s="1"/>
  <c r="AX952" i="259"/>
  <c r="AX952" i="275" s="1"/>
  <c r="J143" i="259"/>
  <c r="U234" i="261"/>
  <c r="H160" i="259"/>
  <c r="Q65" i="259"/>
  <c r="Q821" i="259" s="1"/>
  <c r="AX886" i="259"/>
  <c r="AX886" i="275" s="1"/>
  <c r="AX691" i="259"/>
  <c r="AX657" i="259"/>
  <c r="G1353" i="259"/>
  <c r="G210" i="262" s="1"/>
  <c r="H1313" i="259"/>
  <c r="H190" i="262" s="1"/>
  <c r="L1180" i="259"/>
  <c r="F1266" i="259"/>
  <c r="F150" i="262" s="1"/>
  <c r="F162" i="261"/>
  <c r="R265" i="261"/>
  <c r="I955" i="259"/>
  <c r="I265" i="261" s="1"/>
  <c r="D1302" i="259"/>
  <c r="D1303" i="259" s="1"/>
  <c r="AY902" i="259"/>
  <c r="G1313" i="259"/>
  <c r="G190" i="262" s="1"/>
  <c r="AV233" i="261"/>
  <c r="F1180" i="259"/>
  <c r="S1313" i="259"/>
  <c r="S190" i="262" s="1"/>
  <c r="F1352" i="259"/>
  <c r="H1446" i="259"/>
  <c r="I1313" i="259"/>
  <c r="I190" i="262" s="1"/>
  <c r="O1503" i="259"/>
  <c r="W1503" i="259"/>
  <c r="N1503" i="259"/>
  <c r="S1353" i="259"/>
  <c r="S210" i="262" s="1"/>
  <c r="T1313" i="259"/>
  <c r="T190" i="262" s="1"/>
  <c r="T1446" i="259"/>
  <c r="T1445" i="259" s="1"/>
  <c r="T1447" i="259" s="1"/>
  <c r="U1313" i="259"/>
  <c r="U190" i="262" s="1"/>
  <c r="AW92" i="261"/>
  <c r="P1354" i="259"/>
  <c r="P211" i="262" s="1"/>
  <c r="R43" i="261"/>
  <c r="K1315" i="259"/>
  <c r="K256" i="262" s="1"/>
  <c r="L1313" i="259"/>
  <c r="L190" i="262" s="1"/>
  <c r="H871" i="259"/>
  <c r="L1351" i="259"/>
  <c r="M672" i="259"/>
  <c r="AW141" i="259"/>
  <c r="AW141" i="275" s="1"/>
  <c r="N52" i="259"/>
  <c r="O1312" i="259"/>
  <c r="O176" i="262" s="1"/>
  <c r="AV953" i="259"/>
  <c r="K1384" i="259"/>
  <c r="K1596" i="259" s="1"/>
  <c r="M1446" i="259"/>
  <c r="N1313" i="259"/>
  <c r="N190" i="262" s="1"/>
  <c r="AU159" i="259"/>
  <c r="AU160" i="259" s="1"/>
  <c r="AU161" i="259" s="1"/>
  <c r="AU119" i="261" s="1"/>
  <c r="V1315" i="259"/>
  <c r="V256" i="262" s="1"/>
  <c r="W1313" i="259"/>
  <c r="W190" i="262" s="1"/>
  <c r="R1313" i="259"/>
  <c r="R190" i="262" s="1"/>
  <c r="M1503" i="259"/>
  <c r="Q461" i="259"/>
  <c r="AV1374" i="259"/>
  <c r="X95" i="262"/>
  <c r="V969" i="259"/>
  <c r="M273" i="261"/>
  <c r="K273" i="261"/>
  <c r="AX1502" i="259"/>
  <c r="K1503" i="259"/>
  <c r="S1503" i="259"/>
  <c r="P1503" i="259"/>
  <c r="X1503" i="259"/>
  <c r="Q1503" i="259"/>
  <c r="AW1502" i="259"/>
  <c r="F1503" i="259"/>
  <c r="V1503" i="259"/>
  <c r="Q270" i="261"/>
  <c r="AX1501" i="259"/>
  <c r="AX161" i="262" s="1"/>
  <c r="L1503" i="259"/>
  <c r="AW1501" i="259"/>
  <c r="AW161" i="262" s="1"/>
  <c r="AY1501" i="259"/>
  <c r="AY161" i="262" s="1"/>
  <c r="G270" i="261"/>
  <c r="G273" i="261"/>
  <c r="AV1501" i="259"/>
  <c r="AV161" i="262" s="1"/>
  <c r="AU1502" i="259"/>
  <c r="P1299" i="259"/>
  <c r="N21" i="262"/>
  <c r="O270" i="261"/>
  <c r="AY1502" i="259"/>
  <c r="AV1502" i="259"/>
  <c r="E1503" i="259"/>
  <c r="J1503" i="259"/>
  <c r="V149" i="261"/>
  <c r="H1263" i="259"/>
  <c r="H155" i="262" s="1"/>
  <c r="W1263" i="259"/>
  <c r="W155" i="262" s="1"/>
  <c r="I149" i="261"/>
  <c r="X1084" i="259"/>
  <c r="AE180" i="259"/>
  <c r="AE180" i="275" s="1"/>
  <c r="AV102" i="261"/>
  <c r="Y61" i="262"/>
  <c r="AE551" i="259"/>
  <c r="AE245" i="259"/>
  <c r="BM132" i="264" s="1"/>
  <c r="BO132" i="264" s="1"/>
  <c r="AW161" i="261"/>
  <c r="Q1354" i="259"/>
  <c r="Q211" i="262" s="1"/>
  <c r="Q1446" i="259"/>
  <c r="Q1445" i="259" s="1"/>
  <c r="Q1447" i="259" s="1"/>
  <c r="J1064" i="259"/>
  <c r="J1087" i="259" s="1"/>
  <c r="X646" i="259"/>
  <c r="X52" i="259"/>
  <c r="W1039" i="259"/>
  <c r="W234" i="261"/>
  <c r="W732" i="259"/>
  <c r="P1334" i="259"/>
  <c r="P1294" i="259" s="1"/>
  <c r="P243" i="262" s="1"/>
  <c r="U1447" i="259"/>
  <c r="R1115" i="259"/>
  <c r="I461" i="259"/>
  <c r="T1415" i="259"/>
  <c r="T1427" i="259" s="1"/>
  <c r="Q1273" i="259"/>
  <c r="Q261" i="262" s="1"/>
  <c r="S754" i="259"/>
  <c r="S279" i="261" s="1"/>
  <c r="AX902" i="259"/>
  <c r="AU121" i="259"/>
  <c r="AX624" i="259"/>
  <c r="H1397" i="259"/>
  <c r="AU102" i="261"/>
  <c r="AW1039" i="259"/>
  <c r="AX564" i="259"/>
  <c r="AX206" i="261" s="1"/>
  <c r="AW152" i="261"/>
  <c r="M1354" i="259"/>
  <c r="M211" i="262" s="1"/>
  <c r="S1354" i="259"/>
  <c r="S211" i="262" s="1"/>
  <c r="Q1498" i="259"/>
  <c r="X142" i="259"/>
  <c r="U1291" i="259"/>
  <c r="U50" i="259"/>
  <c r="AW1352" i="259"/>
  <c r="AX671" i="259"/>
  <c r="H929" i="259"/>
  <c r="H929" i="275" s="1"/>
  <c r="N512" i="259"/>
  <c r="AV816" i="259"/>
  <c r="AV902" i="259"/>
  <c r="AW902" i="275" s="1"/>
  <c r="F57" i="264"/>
  <c r="H57" i="264" s="1"/>
  <c r="K142" i="259"/>
  <c r="AX159" i="259"/>
  <c r="L59" i="259"/>
  <c r="P59" i="275" s="1"/>
  <c r="AZ842" i="259"/>
  <c r="AZ842" i="275" s="1"/>
  <c r="T1505" i="259"/>
  <c r="T112" i="261" s="1"/>
  <c r="N732" i="259"/>
  <c r="AY570" i="259"/>
  <c r="AY207" i="261" s="1"/>
  <c r="AW816" i="259"/>
  <c r="AV1414" i="259"/>
  <c r="AY59" i="261"/>
  <c r="AU983" i="259"/>
  <c r="J123" i="259"/>
  <c r="AV1463" i="259"/>
  <c r="I112" i="261"/>
  <c r="L211" i="259"/>
  <c r="X105" i="259"/>
  <c r="AW554" i="259"/>
  <c r="AW205" i="261" s="1"/>
  <c r="AV554" i="259"/>
  <c r="AV205" i="261" s="1"/>
  <c r="AX51" i="261"/>
  <c r="AW1269" i="259"/>
  <c r="AW151" i="262" s="1"/>
  <c r="M1315" i="259"/>
  <c r="M256" i="262" s="1"/>
  <c r="E1018" i="259"/>
  <c r="S162" i="261"/>
  <c r="K124" i="259"/>
  <c r="T1299" i="259"/>
  <c r="U1505" i="259"/>
  <c r="F786" i="259"/>
  <c r="F809" i="259" s="1"/>
  <c r="F812" i="259" s="1"/>
  <c r="G142" i="259"/>
  <c r="G143" i="259" s="1"/>
  <c r="D123" i="259"/>
  <c r="D68" i="259" s="1"/>
  <c r="AY952" i="259"/>
  <c r="N489" i="259"/>
  <c r="AX1320" i="259"/>
  <c r="AX246" i="262" s="1"/>
  <c r="G1100" i="259"/>
  <c r="N672" i="259"/>
  <c r="AX570" i="259"/>
  <c r="AX207" i="261" s="1"/>
  <c r="M1250" i="259"/>
  <c r="M128" i="261" s="1"/>
  <c r="G134" i="259"/>
  <c r="AU1237" i="259"/>
  <c r="AU253" i="261" s="1"/>
  <c r="F821" i="259"/>
  <c r="AW924" i="259"/>
  <c r="D126" i="261"/>
  <c r="AX318" i="261"/>
  <c r="BA483" i="259"/>
  <c r="BA483" i="275" s="1"/>
  <c r="AX140" i="259"/>
  <c r="AX140" i="275" s="1"/>
  <c r="AW101" i="259"/>
  <c r="H16" i="263"/>
  <c r="BA243" i="259"/>
  <c r="G1263" i="259"/>
  <c r="G155" i="262" s="1"/>
  <c r="AZ844" i="259"/>
  <c r="AZ844" i="275" s="1"/>
  <c r="H1084" i="259"/>
  <c r="G127" i="261"/>
  <c r="M1084" i="259"/>
  <c r="F17" i="263"/>
  <c r="H17" i="263" s="1"/>
  <c r="AZ548" i="259"/>
  <c r="E149" i="261"/>
  <c r="E126" i="261"/>
  <c r="AY159" i="259"/>
  <c r="AU62" i="259"/>
  <c r="AU142" i="262" s="1"/>
  <c r="AW51" i="261"/>
  <c r="AV1202" i="259"/>
  <c r="AV143" i="261" s="1"/>
  <c r="H143" i="259"/>
  <c r="AX99" i="259"/>
  <c r="X1291" i="259"/>
  <c r="AZ1291" i="259" s="1"/>
  <c r="Z16" i="267" s="1"/>
  <c r="E1353" i="259"/>
  <c r="E210" i="262" s="1"/>
  <c r="E43" i="261"/>
  <c r="P301" i="261"/>
  <c r="AX895" i="259"/>
  <c r="AX1018" i="259"/>
  <c r="AV181" i="259"/>
  <c r="I1266" i="259"/>
  <c r="I150" i="262" s="1"/>
  <c r="S1299" i="259"/>
  <c r="AY889" i="259"/>
  <c r="S127" i="261"/>
  <c r="AW564" i="259"/>
  <c r="AW206" i="261" s="1"/>
  <c r="M123" i="259"/>
  <c r="AW563" i="259"/>
  <c r="AW200" i="261" s="1"/>
  <c r="L1084" i="259"/>
  <c r="AC179" i="259"/>
  <c r="AC179" i="275" s="1"/>
  <c r="AY363" i="259"/>
  <c r="U87" i="259"/>
  <c r="U102" i="259" s="1"/>
  <c r="U104" i="259" s="1"/>
  <c r="AU94" i="259"/>
  <c r="I262" i="261"/>
  <c r="AX1302" i="259"/>
  <c r="F782" i="259"/>
  <c r="F257" i="262" s="1"/>
  <c r="J871" i="259"/>
  <c r="K955" i="259"/>
  <c r="N234" i="261"/>
  <c r="Q85" i="259"/>
  <c r="I1497" i="259"/>
  <c r="I983" i="259"/>
  <c r="AY1320" i="259"/>
  <c r="AY246" i="262" s="1"/>
  <c r="V234" i="261"/>
  <c r="F8" i="263"/>
  <c r="F9" i="263" s="1"/>
  <c r="H9" i="263" s="1"/>
  <c r="T1315" i="259"/>
  <c r="T256" i="262" s="1"/>
  <c r="V1353" i="259"/>
  <c r="V210" i="262" s="1"/>
  <c r="L1352" i="259"/>
  <c r="G118" i="262"/>
  <c r="M234" i="261"/>
  <c r="J1352" i="259"/>
  <c r="AV1255" i="259"/>
  <c r="AV133" i="261" s="1"/>
  <c r="O1085" i="259"/>
  <c r="M127" i="261"/>
  <c r="T127" i="261"/>
  <c r="J43" i="261"/>
  <c r="L642" i="259"/>
  <c r="L642" i="275" s="1"/>
  <c r="V1354" i="259"/>
  <c r="V211" i="262" s="1"/>
  <c r="AU230" i="262"/>
  <c r="L1397" i="259"/>
  <c r="Q1039" i="259"/>
  <c r="Q1039" i="275" s="1"/>
  <c r="I782" i="259"/>
  <c r="M142" i="259"/>
  <c r="M142" i="275" s="1"/>
  <c r="AX126" i="261"/>
  <c r="AU101" i="259"/>
  <c r="G1498" i="259"/>
  <c r="E1315" i="259"/>
  <c r="E256" i="262" s="1"/>
  <c r="D672" i="259"/>
  <c r="U123" i="259"/>
  <c r="U68" i="259" s="1"/>
  <c r="F43" i="261"/>
  <c r="AV564" i="259"/>
  <c r="AV206" i="261" s="1"/>
  <c r="T1291" i="259"/>
  <c r="AY1291" i="259" s="1"/>
  <c r="AW1016" i="259"/>
  <c r="R234" i="261"/>
  <c r="AW691" i="259"/>
  <c r="AU1033" i="259"/>
  <c r="AX94" i="259"/>
  <c r="AV94" i="259"/>
  <c r="R262" i="261"/>
  <c r="L263" i="261"/>
  <c r="Q262" i="261"/>
  <c r="V85" i="259"/>
  <c r="AX161" i="261"/>
  <c r="Q672" i="259"/>
  <c r="AW233" i="261"/>
  <c r="AX62" i="259"/>
  <c r="U142" i="259"/>
  <c r="U1084" i="259"/>
  <c r="AY1383" i="259"/>
  <c r="AY1407" i="259" s="1"/>
  <c r="W1463" i="259"/>
  <c r="K991" i="259"/>
  <c r="AY51" i="261"/>
  <c r="P1397" i="259"/>
  <c r="V1180" i="259"/>
  <c r="AW190" i="261"/>
  <c r="F1497" i="259"/>
  <c r="F163" i="262" s="1"/>
  <c r="AU1129" i="259"/>
  <c r="AV1446" i="259"/>
  <c r="AV1447" i="259" s="1"/>
  <c r="T782" i="259"/>
  <c r="H1353" i="259"/>
  <c r="H210" i="262" s="1"/>
  <c r="I87" i="259"/>
  <c r="I102" i="259" s="1"/>
  <c r="I105" i="259" s="1"/>
  <c r="AW431" i="259"/>
  <c r="AW432" i="259" s="1"/>
  <c r="P1463" i="259"/>
  <c r="P1465" i="259" s="1"/>
  <c r="P1384" i="259" s="1"/>
  <c r="P1393" i="259" s="1"/>
  <c r="P214" i="262" s="1"/>
  <c r="AV1055" i="259"/>
  <c r="AW1055" i="275" s="1"/>
  <c r="L984" i="259"/>
  <c r="T1085" i="259"/>
  <c r="Q364" i="259"/>
  <c r="P1505" i="259"/>
  <c r="P112" i="261" s="1"/>
  <c r="K782" i="259"/>
  <c r="K782" i="275" s="1"/>
  <c r="AW1414" i="259"/>
  <c r="AV1269" i="259"/>
  <c r="AV151" i="262" s="1"/>
  <c r="W143" i="259"/>
  <c r="AW1320" i="259"/>
  <c r="AW246" i="262" s="1"/>
  <c r="AY160" i="261"/>
  <c r="S821" i="259"/>
  <c r="D134" i="259"/>
  <c r="D135" i="259" s="1"/>
  <c r="AX1232" i="259"/>
  <c r="AX219" i="261" s="1"/>
  <c r="M983" i="259"/>
  <c r="T1116" i="259"/>
  <c r="T1101" i="259"/>
  <c r="AX885" i="259"/>
  <c r="AX885" i="275" s="1"/>
  <c r="F1302" i="259"/>
  <c r="F1303" i="259" s="1"/>
  <c r="F1299" i="259"/>
  <c r="G1291" i="259"/>
  <c r="M1299" i="259"/>
  <c r="N1291" i="259"/>
  <c r="M1302" i="259"/>
  <c r="M1303" i="259" s="1"/>
  <c r="D1101" i="259"/>
  <c r="D1116" i="259"/>
  <c r="AW968" i="259"/>
  <c r="O969" i="259"/>
  <c r="K270" i="261"/>
  <c r="W265" i="261"/>
  <c r="V1446" i="259"/>
  <c r="V1447" i="259" s="1"/>
  <c r="F1498" i="259"/>
  <c r="P1415" i="259"/>
  <c r="P1416" i="259" s="1"/>
  <c r="P331" i="261" s="1"/>
  <c r="AV258" i="261"/>
  <c r="V1426" i="259"/>
  <c r="V1498" i="259"/>
  <c r="V782" i="259"/>
  <c r="X1352" i="259"/>
  <c r="E1180" i="259"/>
  <c r="AZ95" i="261"/>
  <c r="AV544" i="259"/>
  <c r="W1063" i="259"/>
  <c r="X1351" i="259"/>
  <c r="AX953" i="259"/>
  <c r="AY953" i="275" s="1"/>
  <c r="AW151" i="261"/>
  <c r="U1397" i="259"/>
  <c r="H123" i="259"/>
  <c r="H123" i="275" s="1"/>
  <c r="AV363" i="259"/>
  <c r="R162" i="261"/>
  <c r="AV624" i="259"/>
  <c r="AU624" i="259"/>
  <c r="AY1016" i="259"/>
  <c r="AV1354" i="259"/>
  <c r="AV211" i="262" s="1"/>
  <c r="T1498" i="259"/>
  <c r="H1354" i="259"/>
  <c r="H211" i="262" s="1"/>
  <c r="AD176" i="261"/>
  <c r="AV542" i="259"/>
  <c r="L1100" i="259"/>
  <c r="AV264" i="261"/>
  <c r="O983" i="259"/>
  <c r="K118" i="262"/>
  <c r="W1067" i="259"/>
  <c r="AG6" i="263" s="1"/>
  <c r="AI6" i="263" s="1"/>
  <c r="F102" i="259"/>
  <c r="F105" i="259" s="1"/>
  <c r="V262" i="261"/>
  <c r="L102" i="259"/>
  <c r="L106" i="259" s="1"/>
  <c r="W754" i="259"/>
  <c r="W279" i="261" s="1"/>
  <c r="K1497" i="259"/>
  <c r="K163" i="262" s="1"/>
  <c r="P1351" i="259"/>
  <c r="P871" i="259"/>
  <c r="P1352" i="259"/>
  <c r="G112" i="261"/>
  <c r="H124" i="259"/>
  <c r="O286" i="259"/>
  <c r="P118" i="262"/>
  <c r="W1064" i="259"/>
  <c r="W1087" i="259" s="1"/>
  <c r="W1065" i="259"/>
  <c r="P1291" i="259"/>
  <c r="AX1291" i="259" s="1"/>
  <c r="AY139" i="259"/>
  <c r="T642" i="259"/>
  <c r="T646" i="259" s="1"/>
  <c r="AV381" i="259"/>
  <c r="AU953" i="259"/>
  <c r="AX151" i="261"/>
  <c r="AX1265" i="259"/>
  <c r="H789" i="259"/>
  <c r="AW1419" i="259"/>
  <c r="AW1420" i="259" s="1"/>
  <c r="AW332" i="261" s="1"/>
  <c r="J1100" i="259"/>
  <c r="P1498" i="259"/>
  <c r="Q1085" i="259"/>
  <c r="X126" i="261"/>
  <c r="X104" i="259"/>
  <c r="R1397" i="259"/>
  <c r="S1100" i="259"/>
  <c r="AV1239" i="259"/>
  <c r="P782" i="259"/>
  <c r="P782" i="275" s="1"/>
  <c r="O1302" i="259"/>
  <c r="O1303" i="259" s="1"/>
  <c r="T1339" i="259"/>
  <c r="T238" i="262" s="1"/>
  <c r="I1263" i="259"/>
  <c r="I155" i="262" s="1"/>
  <c r="T821" i="259"/>
  <c r="AV101" i="259"/>
  <c r="U127" i="261"/>
  <c r="X1263" i="259"/>
  <c r="X155" i="262" s="1"/>
  <c r="L127" i="261"/>
  <c r="L1263" i="259"/>
  <c r="L155" i="262" s="1"/>
  <c r="U149" i="261"/>
  <c r="L1085" i="259"/>
  <c r="AC41" i="262"/>
  <c r="AU99" i="259"/>
  <c r="E1263" i="259"/>
  <c r="E155" i="262" s="1"/>
  <c r="AZ863" i="259"/>
  <c r="AZ863" i="275" s="1"/>
  <c r="U1263" i="259"/>
  <c r="U155" i="262" s="1"/>
  <c r="Q126" i="261"/>
  <c r="E127" i="261"/>
  <c r="AC245" i="259"/>
  <c r="BE132" i="264" s="1"/>
  <c r="BG132" i="264" s="1"/>
  <c r="K461" i="259"/>
  <c r="AX230" i="262"/>
  <c r="AW1392" i="259"/>
  <c r="AW213" i="262" s="1"/>
  <c r="AV1392" i="259"/>
  <c r="AV213" i="262" s="1"/>
  <c r="AW318" i="261"/>
  <c r="AE174" i="261"/>
  <c r="D127" i="261"/>
  <c r="AW132" i="264"/>
  <c r="AY132" i="264" s="1"/>
  <c r="H1085" i="259"/>
  <c r="X149" i="261"/>
  <c r="D1263" i="259"/>
  <c r="D155" i="262" s="1"/>
  <c r="T126" i="261"/>
  <c r="AD534" i="259"/>
  <c r="AZ182" i="261"/>
  <c r="L126" i="261"/>
  <c r="P1084" i="259"/>
  <c r="D1084" i="259"/>
  <c r="AZ98" i="261"/>
  <c r="S1263" i="259"/>
  <c r="S155" i="262" s="1"/>
  <c r="T1084" i="259"/>
  <c r="AY94" i="259"/>
  <c r="E1498" i="259"/>
  <c r="E782" i="259"/>
  <c r="E118" i="262"/>
  <c r="E991" i="259"/>
  <c r="E997" i="259" s="1"/>
  <c r="E712" i="259" s="1"/>
  <c r="E710" i="259" s="1"/>
  <c r="F696" i="259" s="1"/>
  <c r="F1044" i="259" s="1"/>
  <c r="M991" i="259"/>
  <c r="M782" i="259"/>
  <c r="M782" i="275" s="1"/>
  <c r="M1497" i="259"/>
  <c r="Q1101" i="259"/>
  <c r="Q1116" i="259"/>
  <c r="O94" i="262"/>
  <c r="O789" i="259"/>
  <c r="AY43" i="261"/>
  <c r="AU922" i="259"/>
  <c r="AU189" i="262" s="1"/>
  <c r="AW62" i="262"/>
  <c r="AW105" i="261"/>
  <c r="AU62" i="262"/>
  <c r="AU105" i="261"/>
  <c r="AY393" i="259"/>
  <c r="AY18" i="261"/>
  <c r="AX222" i="261"/>
  <c r="AX1055" i="259"/>
  <c r="AX1055" i="275" s="1"/>
  <c r="AX152" i="261"/>
  <c r="AX1269" i="259"/>
  <c r="AX151" i="262" s="1"/>
  <c r="O658" i="259"/>
  <c r="AW657" i="259"/>
  <c r="W658" i="259"/>
  <c r="W658" i="275" s="1"/>
  <c r="AY657" i="259"/>
  <c r="I1018" i="259"/>
  <c r="I1018" i="275" s="1"/>
  <c r="I1250" i="259"/>
  <c r="I128" i="261" s="1"/>
  <c r="T264" i="261"/>
  <c r="T955" i="259"/>
  <c r="AY954" i="259"/>
  <c r="AY954" i="275" s="1"/>
  <c r="S263" i="261"/>
  <c r="S955" i="259"/>
  <c r="T1064" i="259"/>
  <c r="T1087" i="259" s="1"/>
  <c r="T1063" i="259"/>
  <c r="T1067" i="259"/>
  <c r="T1065" i="259"/>
  <c r="T754" i="259"/>
  <c r="T279" i="261" s="1"/>
  <c r="H1063" i="259"/>
  <c r="H1067" i="259"/>
  <c r="H164" i="262" s="1"/>
  <c r="H1065" i="259"/>
  <c r="H754" i="259"/>
  <c r="H279" i="261" s="1"/>
  <c r="H1064" i="259"/>
  <c r="H1087" i="259" s="1"/>
  <c r="O1352" i="259"/>
  <c r="O1351" i="259"/>
  <c r="AX1374" i="259"/>
  <c r="S1375" i="259"/>
  <c r="AX1375" i="259" s="1"/>
  <c r="W1375" i="259"/>
  <c r="AY1375" i="259" s="1"/>
  <c r="AY1374" i="259"/>
  <c r="AX233" i="261"/>
  <c r="I991" i="259"/>
  <c r="N244" i="261"/>
  <c r="W50" i="259"/>
  <c r="W1415" i="259"/>
  <c r="W1416" i="259" s="1"/>
  <c r="W331" i="261" s="1"/>
  <c r="J365" i="259"/>
  <c r="J121" i="261" s="1"/>
  <c r="N364" i="259"/>
  <c r="N364" i="275" s="1"/>
  <c r="N123" i="259"/>
  <c r="D65" i="259"/>
  <c r="H65" i="275" s="1"/>
  <c r="J1315" i="259"/>
  <c r="J256" i="262" s="1"/>
  <c r="J1354" i="259"/>
  <c r="J211" i="262" s="1"/>
  <c r="J1353" i="259"/>
  <c r="J210" i="262" s="1"/>
  <c r="I1031" i="259"/>
  <c r="AV1016" i="259"/>
  <c r="U43" i="261"/>
  <c r="V43" i="261"/>
  <c r="U1250" i="259"/>
  <c r="U128" i="261" s="1"/>
  <c r="U1018" i="259"/>
  <c r="U1266" i="259"/>
  <c r="U150" i="262" s="1"/>
  <c r="P1085" i="259"/>
  <c r="P149" i="261"/>
  <c r="G263" i="261"/>
  <c r="G955" i="259"/>
  <c r="AU955" i="259" s="1"/>
  <c r="L1067" i="259"/>
  <c r="L164" i="262" s="1"/>
  <c r="L1064" i="259"/>
  <c r="L1087" i="259" s="1"/>
  <c r="L754" i="259"/>
  <c r="L279" i="261" s="1"/>
  <c r="L1065" i="259"/>
  <c r="L1063" i="259"/>
  <c r="K1352" i="259"/>
  <c r="K1351" i="259"/>
  <c r="W1351" i="259"/>
  <c r="W1352" i="259"/>
  <c r="N1422" i="259"/>
  <c r="AW1423" i="259"/>
  <c r="M65" i="259"/>
  <c r="U65" i="259"/>
  <c r="AW1260" i="259"/>
  <c r="AW138" i="261" s="1"/>
  <c r="M969" i="259"/>
  <c r="M969" i="275" s="1"/>
  <c r="K658" i="259"/>
  <c r="K658" i="275" s="1"/>
  <c r="AV657" i="259"/>
  <c r="AU641" i="259"/>
  <c r="AU46" i="259" s="1"/>
  <c r="G642" i="259"/>
  <c r="K642" i="275" s="1"/>
  <c r="Q1018" i="259"/>
  <c r="Q1018" i="275" s="1"/>
  <c r="Q1266" i="259"/>
  <c r="Q150" i="262" s="1"/>
  <c r="Q1250" i="259"/>
  <c r="Q128" i="261" s="1"/>
  <c r="AU222" i="261"/>
  <c r="AU1055" i="259"/>
  <c r="AU1269" i="259"/>
  <c r="AU151" i="262" s="1"/>
  <c r="AV222" i="261"/>
  <c r="AV151" i="261"/>
  <c r="W1339" i="259"/>
  <c r="W238" i="262" s="1"/>
  <c r="W1334" i="259"/>
  <c r="P126" i="261"/>
  <c r="D1065" i="259"/>
  <c r="D1067" i="259"/>
  <c r="D164" i="262" s="1"/>
  <c r="K1302" i="259"/>
  <c r="K1299" i="259"/>
  <c r="L1291" i="259"/>
  <c r="AW1291" i="259" s="1"/>
  <c r="L50" i="259"/>
  <c r="L1415" i="259"/>
  <c r="L1505" i="259"/>
  <c r="W871" i="259"/>
  <c r="G1415" i="259"/>
  <c r="G50" i="259"/>
  <c r="G126" i="262" s="1"/>
  <c r="P127" i="261"/>
  <c r="AV922" i="259"/>
  <c r="AV191" i="262" s="1"/>
  <c r="AX363" i="259"/>
  <c r="R1446" i="259"/>
  <c r="R1445" i="259" s="1"/>
  <c r="R1447" i="259" s="1"/>
  <c r="R1315" i="259"/>
  <c r="R256" i="262" s="1"/>
  <c r="R1354" i="259"/>
  <c r="R211" i="262" s="1"/>
  <c r="R1353" i="259"/>
  <c r="R210" i="262" s="1"/>
  <c r="M1266" i="259"/>
  <c r="M150" i="262" s="1"/>
  <c r="M43" i="261"/>
  <c r="N43" i="261"/>
  <c r="AV1265" i="259"/>
  <c r="I1265" i="259"/>
  <c r="G1334" i="259"/>
  <c r="G1294" i="259" s="1"/>
  <c r="G243" i="262" s="1"/>
  <c r="G1339" i="259"/>
  <c r="G238" i="262" s="1"/>
  <c r="AX258" i="261"/>
  <c r="AY1302" i="259"/>
  <c r="W1303" i="259"/>
  <c r="U732" i="259"/>
  <c r="U672" i="259"/>
  <c r="AY691" i="259"/>
  <c r="I65" i="259"/>
  <c r="U1463" i="259"/>
  <c r="U1465" i="259" s="1"/>
  <c r="U1407" i="259"/>
  <c r="U222" i="262" s="1"/>
  <c r="AV1129" i="259"/>
  <c r="F263" i="261"/>
  <c r="J134" i="259"/>
  <c r="AV889" i="259"/>
  <c r="AW258" i="261"/>
  <c r="N432" i="259"/>
  <c r="V984" i="259"/>
  <c r="D1315" i="259"/>
  <c r="D256" i="262" s="1"/>
  <c r="D1353" i="259"/>
  <c r="D210" i="262" s="1"/>
  <c r="D1354" i="259"/>
  <c r="D211" i="262" s="1"/>
  <c r="F1354" i="259"/>
  <c r="F211" i="262" s="1"/>
  <c r="F1315" i="259"/>
  <c r="F256" i="262" s="1"/>
  <c r="F1353" i="259"/>
  <c r="F210" i="262" s="1"/>
  <c r="AX1129" i="259"/>
  <c r="J65" i="259"/>
  <c r="S895" i="259"/>
  <c r="S895" i="275" s="1"/>
  <c r="S1064" i="259"/>
  <c r="S1087" i="259" s="1"/>
  <c r="S1067" i="259"/>
  <c r="I1446" i="259"/>
  <c r="I1445" i="259" s="1"/>
  <c r="I1447" i="259" s="1"/>
  <c r="I1315" i="259"/>
  <c r="I256" i="262" s="1"/>
  <c r="I1354" i="259"/>
  <c r="I211" i="262" s="1"/>
  <c r="I1353" i="259"/>
  <c r="I210" i="262" s="1"/>
  <c r="AV210" i="259"/>
  <c r="I211" i="259"/>
  <c r="X1063" i="259"/>
  <c r="X1065" i="259"/>
  <c r="X1064" i="259"/>
  <c r="X1087" i="259" s="1"/>
  <c r="X895" i="259"/>
  <c r="X895" i="275" s="1"/>
  <c r="AV1180" i="259"/>
  <c r="AX141" i="259"/>
  <c r="AX141" i="275" s="1"/>
  <c r="AV160" i="261"/>
  <c r="AW94" i="259"/>
  <c r="AA31" i="262"/>
  <c r="Y31" i="262"/>
  <c r="J151" i="264"/>
  <c r="L151" i="264" s="1"/>
  <c r="Q127" i="261"/>
  <c r="G1084" i="259"/>
  <c r="AX101" i="259"/>
  <c r="W210" i="259"/>
  <c r="W431" i="259"/>
  <c r="F1510" i="259"/>
  <c r="F51" i="259"/>
  <c r="F512" i="259"/>
  <c r="F511" i="259" s="1"/>
  <c r="F45" i="259" s="1"/>
  <c r="F47" i="259" s="1"/>
  <c r="F492" i="259"/>
  <c r="AX983" i="259"/>
  <c r="W112" i="261"/>
  <c r="AY178" i="259"/>
  <c r="AW99" i="259"/>
  <c r="F500" i="259"/>
  <c r="F501" i="259" s="1"/>
  <c r="N1416" i="259"/>
  <c r="N331" i="261" s="1"/>
  <c r="J1085" i="259"/>
  <c r="D47" i="259"/>
  <c r="E1426" i="259"/>
  <c r="J1115" i="259"/>
  <c r="AU1178" i="259"/>
  <c r="AU1239" i="259" s="1"/>
  <c r="AV1266" i="259"/>
  <c r="AV150" i="262" s="1"/>
  <c r="N265" i="261"/>
  <c r="AY1178" i="259"/>
  <c r="AY1239" i="259" s="1"/>
  <c r="AY624" i="259"/>
  <c r="AY624" i="275" s="1"/>
  <c r="S1115" i="259"/>
  <c r="F124" i="259"/>
  <c r="F125" i="259" s="1"/>
  <c r="F118" i="261" s="1"/>
  <c r="AZ179" i="259"/>
  <c r="AZ183" i="261"/>
  <c r="AY115" i="259"/>
  <c r="AW121" i="259"/>
  <c r="AW121" i="275" s="1"/>
  <c r="W181" i="259"/>
  <c r="W181" i="275" s="1"/>
  <c r="AX1446" i="259"/>
  <c r="AX1447" i="259" s="1"/>
  <c r="AX1354" i="259"/>
  <c r="AX211" i="262" s="1"/>
  <c r="E925" i="259"/>
  <c r="F925" i="259"/>
  <c r="T983" i="259"/>
  <c r="T984" i="259" s="1"/>
  <c r="AX1240" i="259"/>
  <c r="AC485" i="259"/>
  <c r="AC485" i="275" s="1"/>
  <c r="F96" i="262"/>
  <c r="AX115" i="259"/>
  <c r="AZ176" i="261"/>
  <c r="AW62" i="259"/>
  <c r="O1291" i="259"/>
  <c r="N1302" i="259"/>
  <c r="N1303" i="259" s="1"/>
  <c r="N1299" i="259"/>
  <c r="AW543" i="259"/>
  <c r="AW562" i="259"/>
  <c r="L244" i="261"/>
  <c r="AY562" i="259"/>
  <c r="Q96" i="262"/>
  <c r="AX102" i="261"/>
  <c r="D1039" i="259"/>
  <c r="AU1039" i="259" s="1"/>
  <c r="D732" i="259"/>
  <c r="AU691" i="259"/>
  <c r="L65" i="259"/>
  <c r="AY552" i="259"/>
  <c r="AY553" i="259"/>
  <c r="AY199" i="261" s="1"/>
  <c r="AX160" i="261"/>
  <c r="AW160" i="261"/>
  <c r="AY544" i="259"/>
  <c r="K1353" i="259"/>
  <c r="K210" i="262" s="1"/>
  <c r="AU115" i="259"/>
  <c r="AU1505" i="259" s="1"/>
  <c r="AU112" i="261" s="1"/>
  <c r="AX922" i="259"/>
  <c r="AX191" i="262" s="1"/>
  <c r="AU929" i="259"/>
  <c r="AY1250" i="259"/>
  <c r="AY128" i="261" s="1"/>
  <c r="AY554" i="259"/>
  <c r="AY205" i="261" s="1"/>
  <c r="AY200" i="259"/>
  <c r="AZ200" i="275" s="1"/>
  <c r="AX1423" i="259"/>
  <c r="AC184" i="261"/>
  <c r="AX139" i="259"/>
  <c r="Q142" i="259"/>
  <c r="Q234" i="261"/>
  <c r="P672" i="259"/>
  <c r="U895" i="259"/>
  <c r="U1064" i="259"/>
  <c r="U1087" i="259" s="1"/>
  <c r="U1063" i="259"/>
  <c r="U1067" i="259"/>
  <c r="U754" i="259"/>
  <c r="U279" i="261" s="1"/>
  <c r="U1065" i="259"/>
  <c r="D244" i="261"/>
  <c r="L52" i="259"/>
  <c r="P244" i="261"/>
  <c r="V265" i="261"/>
  <c r="V911" i="259"/>
  <c r="AU1510" i="259"/>
  <c r="AU489" i="259"/>
  <c r="O1334" i="259"/>
  <c r="O1294" i="259" s="1"/>
  <c r="O243" i="262" s="1"/>
  <c r="O1339" i="259"/>
  <c r="O238" i="262" s="1"/>
  <c r="H52" i="259"/>
  <c r="AX1422" i="259"/>
  <c r="AY397" i="259"/>
  <c r="AY31" i="261" s="1"/>
  <c r="AY381" i="259"/>
  <c r="AY381" i="275" s="1"/>
  <c r="U1116" i="259"/>
  <c r="U1101" i="259"/>
  <c r="AV552" i="259"/>
  <c r="AK42" i="264"/>
  <c r="AM42" i="264" s="1"/>
  <c r="X112" i="261"/>
  <c r="AZ180" i="259"/>
  <c r="X955" i="259"/>
  <c r="H50" i="259"/>
  <c r="H1415" i="259"/>
  <c r="H1416" i="259" s="1"/>
  <c r="H331" i="261" s="1"/>
  <c r="H1505" i="259"/>
  <c r="Q1415" i="259"/>
  <c r="Q50" i="259"/>
  <c r="Q1505" i="259"/>
  <c r="O50" i="259"/>
  <c r="O1415" i="259"/>
  <c r="O1416" i="259" s="1"/>
  <c r="O331" i="261" s="1"/>
  <c r="O1505" i="259"/>
  <c r="AX984" i="259"/>
  <c r="S1102" i="259"/>
  <c r="S1117" i="259"/>
  <c r="V244" i="261"/>
  <c r="F244" i="261"/>
  <c r="R646" i="259"/>
  <c r="R52" i="259"/>
  <c r="AW624" i="259"/>
  <c r="AW624" i="275" s="1"/>
  <c r="M265" i="261"/>
  <c r="Q265" i="261"/>
  <c r="F265" i="261"/>
  <c r="R244" i="261"/>
  <c r="AU188" i="261"/>
  <c r="AC174" i="261"/>
  <c r="AV99" i="259"/>
  <c r="G149" i="261"/>
  <c r="N461" i="259"/>
  <c r="AD174" i="261"/>
  <c r="O127" i="261"/>
  <c r="AC534" i="259"/>
  <c r="F126" i="261"/>
  <c r="AC177" i="261"/>
  <c r="AC568" i="259"/>
  <c r="AZ794" i="259"/>
  <c r="AZ571" i="259"/>
  <c r="AZ302" i="259"/>
  <c r="AD571" i="259"/>
  <c r="AD568" i="259"/>
  <c r="AE571" i="259"/>
  <c r="AE568" i="259"/>
  <c r="F1084" i="259"/>
  <c r="F461" i="259"/>
  <c r="F149" i="261"/>
  <c r="F1085" i="259"/>
  <c r="O1084" i="259"/>
  <c r="S1084" i="259"/>
  <c r="S461" i="259"/>
  <c r="W149" i="261"/>
  <c r="W1085" i="259"/>
  <c r="S1085" i="259"/>
  <c r="S149" i="261"/>
  <c r="G126" i="261"/>
  <c r="AX190" i="261"/>
  <c r="AU190" i="261"/>
  <c r="S126" i="261"/>
  <c r="AE175" i="261"/>
  <c r="AD175" i="261"/>
  <c r="W126" i="261"/>
  <c r="N1263" i="259"/>
  <c r="N155" i="262" s="1"/>
  <c r="N127" i="261"/>
  <c r="Q1263" i="259"/>
  <c r="Q155" i="262" s="1"/>
  <c r="AG73" i="264"/>
  <c r="K149" i="261"/>
  <c r="K1085" i="259"/>
  <c r="O126" i="261"/>
  <c r="AY188" i="261"/>
  <c r="N1085" i="259"/>
  <c r="N149" i="261"/>
  <c r="R127" i="261"/>
  <c r="R1263" i="259"/>
  <c r="R155" i="262" s="1"/>
  <c r="V1263" i="259"/>
  <c r="V155" i="262" s="1"/>
  <c r="V127" i="261"/>
  <c r="T188" i="261"/>
  <c r="T19" i="262"/>
  <c r="J461" i="259"/>
  <c r="J1084" i="259"/>
  <c r="J127" i="261"/>
  <c r="J1263" i="259"/>
  <c r="J155" i="262" s="1"/>
  <c r="AU189" i="261"/>
  <c r="J126" i="261"/>
  <c r="N126" i="261"/>
  <c r="R1085" i="259"/>
  <c r="R149" i="261"/>
  <c r="V1084" i="259"/>
  <c r="V461" i="259"/>
  <c r="G189" i="261"/>
  <c r="G20" i="262"/>
  <c r="F1263" i="259"/>
  <c r="F155" i="262" s="1"/>
  <c r="F127" i="261"/>
  <c r="R461" i="259"/>
  <c r="R1084" i="259"/>
  <c r="V126" i="261"/>
  <c r="AE103" i="261"/>
  <c r="BA344" i="259"/>
  <c r="BA422" i="259"/>
  <c r="AK39" i="264"/>
  <c r="AM39" i="264" s="1"/>
  <c r="AZ177" i="261"/>
  <c r="M162" i="261"/>
  <c r="L162" i="261"/>
  <c r="T364" i="259"/>
  <c r="T123" i="259"/>
  <c r="L160" i="259"/>
  <c r="L160" i="275" s="1"/>
  <c r="L123" i="259"/>
  <c r="S160" i="259"/>
  <c r="S160" i="275" s="1"/>
  <c r="S123" i="259"/>
  <c r="AU140" i="259"/>
  <c r="AU142" i="259" s="1"/>
  <c r="AE177" i="261"/>
  <c r="AU1446" i="259"/>
  <c r="AU1447" i="259" s="1"/>
  <c r="AU1354" i="259"/>
  <c r="AU211" i="262" s="1"/>
  <c r="AU1353" i="259"/>
  <c r="AU210" i="262" s="1"/>
  <c r="H126" i="261"/>
  <c r="S286" i="259"/>
  <c r="S85" i="259"/>
  <c r="AX285" i="259"/>
  <c r="T1463" i="259"/>
  <c r="T1465" i="259" s="1"/>
  <c r="T1407" i="259"/>
  <c r="T222" i="262" s="1"/>
  <c r="P785" i="259"/>
  <c r="P1273" i="259"/>
  <c r="P261" i="262" s="1"/>
  <c r="AU542" i="259"/>
  <c r="AV543" i="259"/>
  <c r="AX542" i="259"/>
  <c r="AX542" i="275" s="1"/>
  <c r="AX543" i="259"/>
  <c r="M1415" i="259"/>
  <c r="M50" i="259"/>
  <c r="M1505" i="259"/>
  <c r="S142" i="259"/>
  <c r="T1240" i="259"/>
  <c r="T1180" i="259"/>
  <c r="T1266" i="259"/>
  <c r="T150" i="262" s="1"/>
  <c r="AY1179" i="259"/>
  <c r="AY146" i="262" s="1"/>
  <c r="W1420" i="259"/>
  <c r="W332" i="261" s="1"/>
  <c r="AY1419" i="259"/>
  <c r="AY1420" i="259" s="1"/>
  <c r="AY332" i="261" s="1"/>
  <c r="L785" i="259"/>
  <c r="AW785" i="259" s="1"/>
  <c r="L1273" i="259"/>
  <c r="L261" i="262" s="1"/>
  <c r="H100" i="259"/>
  <c r="H87" i="259"/>
  <c r="H102" i="259" s="1"/>
  <c r="H106" i="259" s="1"/>
  <c r="O364" i="259"/>
  <c r="AW363" i="259"/>
  <c r="AU1498" i="259"/>
  <c r="AU1497" i="259"/>
  <c r="AU163" i="262" s="1"/>
  <c r="AU118" i="262"/>
  <c r="S1505" i="259"/>
  <c r="S50" i="259"/>
  <c r="S1415" i="259"/>
  <c r="S1416" i="259" s="1"/>
  <c r="S331" i="261" s="1"/>
  <c r="K785" i="259"/>
  <c r="O785" i="275" s="1"/>
  <c r="K1273" i="259"/>
  <c r="K261" i="262" s="1"/>
  <c r="V1407" i="259"/>
  <c r="V222" i="262" s="1"/>
  <c r="V1463" i="259"/>
  <c r="V1465" i="259" s="1"/>
  <c r="M143" i="259"/>
  <c r="AD184" i="261"/>
  <c r="AD177" i="261"/>
  <c r="AC1375" i="259"/>
  <c r="AD1375" i="259" s="1"/>
  <c r="AE1375" i="259" s="1"/>
  <c r="AZ1375" i="259"/>
  <c r="G364" i="259"/>
  <c r="G365" i="259" s="1"/>
  <c r="G121" i="261" s="1"/>
  <c r="G123" i="259"/>
  <c r="G68" i="259" s="1"/>
  <c r="O123" i="259"/>
  <c r="AW285" i="259"/>
  <c r="W286" i="259"/>
  <c r="W85" i="259"/>
  <c r="W123" i="259"/>
  <c r="AY285" i="259"/>
  <c r="AV1240" i="259"/>
  <c r="AV1273" i="259" s="1"/>
  <c r="AV261" i="262" s="1"/>
  <c r="L142" i="259"/>
  <c r="AW139" i="259"/>
  <c r="AW139" i="275" s="1"/>
  <c r="AW397" i="259"/>
  <c r="AW31" i="261" s="1"/>
  <c r="AW381" i="259"/>
  <c r="AW381" i="275" s="1"/>
  <c r="N96" i="262"/>
  <c r="N786" i="259"/>
  <c r="AY303" i="259"/>
  <c r="AE534" i="259"/>
  <c r="J103" i="264"/>
  <c r="L103" i="264" s="1"/>
  <c r="AZ175" i="261"/>
  <c r="AE184" i="261"/>
  <c r="AZ184" i="261"/>
  <c r="AS127" i="264"/>
  <c r="AU127" i="264" s="1"/>
  <c r="AA60" i="262"/>
  <c r="AD69" i="262"/>
  <c r="Z220" i="262"/>
  <c r="AZ538" i="259"/>
  <c r="AZ538" i="275" s="1"/>
  <c r="AO135" i="264"/>
  <c r="AQ135" i="264" s="1"/>
  <c r="AO141" i="264"/>
  <c r="AQ141" i="264" s="1"/>
  <c r="J131" i="264"/>
  <c r="L131" i="264" s="1"/>
  <c r="F112" i="264"/>
  <c r="F110" i="264"/>
  <c r="H110" i="264" s="1"/>
  <c r="F105" i="264"/>
  <c r="H101" i="264"/>
  <c r="AG60" i="264"/>
  <c r="AI59" i="264"/>
  <c r="F113" i="264"/>
  <c r="H113" i="264" s="1"/>
  <c r="H102" i="264"/>
  <c r="AS147" i="264"/>
  <c r="AU147" i="264" s="1"/>
  <c r="AK11" i="264"/>
  <c r="Z39" i="262"/>
  <c r="AS96" i="264"/>
  <c r="AU96" i="264" s="1"/>
  <c r="J101" i="264"/>
  <c r="AD180" i="259"/>
  <c r="AD180" i="275" s="1"/>
  <c r="BA244" i="259"/>
  <c r="J130" i="264"/>
  <c r="L130" i="264" s="1"/>
  <c r="AI77" i="264"/>
  <c r="S646" i="259"/>
  <c r="S52" i="259"/>
  <c r="AS113" i="264"/>
  <c r="AU113" i="264" s="1"/>
  <c r="AW1446" i="259"/>
  <c r="AW1447" i="259" s="1"/>
  <c r="AW1354" i="259"/>
  <c r="AW211" i="262" s="1"/>
  <c r="AW1353" i="259"/>
  <c r="AW210" i="262" s="1"/>
  <c r="AO150" i="264"/>
  <c r="AQ150" i="264" s="1"/>
  <c r="AO144" i="264"/>
  <c r="AQ144" i="264" s="1"/>
  <c r="J102" i="264"/>
  <c r="BC293" i="261"/>
  <c r="AW113" i="264"/>
  <c r="AY113" i="264" s="1"/>
  <c r="AC867" i="259"/>
  <c r="AC867" i="275" s="1"/>
  <c r="AG71" i="264"/>
  <c r="AI71" i="264" s="1"/>
  <c r="AI57" i="264"/>
  <c r="AO110" i="264"/>
  <c r="AQ110" i="264" s="1"/>
  <c r="AO105" i="264"/>
  <c r="AQ105" i="264" s="1"/>
  <c r="AO112" i="264"/>
  <c r="AQ101" i="264"/>
  <c r="Q1378" i="259"/>
  <c r="Q1379" i="259" s="1"/>
  <c r="AS138" i="264"/>
  <c r="AU138" i="264" s="1"/>
  <c r="AO140" i="264"/>
  <c r="AQ140" i="264" s="1"/>
  <c r="AS146" i="264"/>
  <c r="AU146" i="264" s="1"/>
  <c r="AS132" i="264"/>
  <c r="AU132" i="264" s="1"/>
  <c r="AB107" i="262"/>
  <c r="BA799" i="259"/>
  <c r="AS105" i="264"/>
  <c r="AU105" i="264" s="1"/>
  <c r="AS110" i="264"/>
  <c r="AU110" i="264" s="1"/>
  <c r="AS112" i="264"/>
  <c r="AG39" i="264"/>
  <c r="AI38" i="264"/>
  <c r="AG70" i="264"/>
  <c r="AI56" i="264"/>
  <c r="AX43" i="261"/>
  <c r="AX1250" i="259"/>
  <c r="AX128" i="261" s="1"/>
  <c r="AW110" i="264"/>
  <c r="AY110" i="264" s="1"/>
  <c r="AW105" i="264"/>
  <c r="AY105" i="264" s="1"/>
  <c r="AW112" i="264"/>
  <c r="F109" i="264"/>
  <c r="H109" i="264" s="1"/>
  <c r="F93" i="264"/>
  <c r="F97" i="264" s="1"/>
  <c r="H90" i="264"/>
  <c r="AO113" i="264"/>
  <c r="AQ113" i="264" s="1"/>
  <c r="AQ102" i="264"/>
  <c r="AI14" i="264"/>
  <c r="AX1266" i="259"/>
  <c r="AX150" i="262" s="1"/>
  <c r="AO153" i="264"/>
  <c r="AQ153" i="264" s="1"/>
  <c r="J1408" i="259"/>
  <c r="J1393" i="259"/>
  <c r="J214" i="262" s="1"/>
  <c r="J1385" i="259"/>
  <c r="J1409" i="259" s="1"/>
  <c r="AZ245" i="259"/>
  <c r="AZ245" i="275" s="1"/>
  <c r="AZ91" i="261"/>
  <c r="D501" i="259"/>
  <c r="D69" i="259"/>
  <c r="L9" i="259"/>
  <c r="AS8" i="263"/>
  <c r="AU8" i="263" s="1"/>
  <c r="AY101" i="259"/>
  <c r="X732" i="259"/>
  <c r="X672" i="259"/>
  <c r="X1039" i="259"/>
  <c r="X234" i="261"/>
  <c r="AY784" i="259"/>
  <c r="AU673" i="259"/>
  <c r="M1239" i="259"/>
  <c r="M784" i="259" s="1"/>
  <c r="M784" i="275" s="1"/>
  <c r="AW1178" i="259"/>
  <c r="AW1239" i="259" s="1"/>
  <c r="H969" i="259"/>
  <c r="H983" i="259"/>
  <c r="D969" i="259"/>
  <c r="D983" i="259"/>
  <c r="U1422" i="259"/>
  <c r="AY1422" i="259" s="1"/>
  <c r="U1427" i="259"/>
  <c r="I1039" i="259"/>
  <c r="I234" i="261"/>
  <c r="AV691" i="259"/>
  <c r="I672" i="259"/>
  <c r="I732" i="259"/>
  <c r="W1115" i="259"/>
  <c r="W984" i="259"/>
  <c r="W984" i="275" s="1"/>
  <c r="AY983" i="259"/>
  <c r="AY983" i="275" s="1"/>
  <c r="W1100" i="259"/>
  <c r="S1446" i="259"/>
  <c r="S1315" i="259"/>
  <c r="S256" i="262" s="1"/>
  <c r="E653" i="259"/>
  <c r="E654" i="259" s="1"/>
  <c r="E247" i="261" s="1"/>
  <c r="J785" i="259"/>
  <c r="J785" i="275" s="1"/>
  <c r="J1273" i="259"/>
  <c r="J261" i="262" s="1"/>
  <c r="V492" i="259"/>
  <c r="V489" i="259"/>
  <c r="V500" i="259"/>
  <c r="V1510" i="259"/>
  <c r="V51" i="259"/>
  <c r="V512" i="259"/>
  <c r="F1416" i="259"/>
  <c r="F331" i="261" s="1"/>
  <c r="AB30" i="262"/>
  <c r="AB31" i="262"/>
  <c r="L1353" i="259"/>
  <c r="L210" i="262" s="1"/>
  <c r="L1446" i="259"/>
  <c r="L1445" i="259" s="1"/>
  <c r="L1447" i="259" s="1"/>
  <c r="L1315" i="259"/>
  <c r="L256" i="262" s="1"/>
  <c r="L1354" i="259"/>
  <c r="L211" i="262" s="1"/>
  <c r="F112" i="261"/>
  <c r="AV1497" i="259"/>
  <c r="AW6" i="259"/>
  <c r="AW1085" i="259"/>
  <c r="AY895" i="259"/>
  <c r="AY895" i="275" s="1"/>
  <c r="AX720" i="259"/>
  <c r="AX14" i="261"/>
  <c r="AX315" i="259"/>
  <c r="E95" i="262"/>
  <c r="E821" i="259"/>
  <c r="P969" i="259"/>
  <c r="P969" i="275" s="1"/>
  <c r="P983" i="259"/>
  <c r="P983" i="275" s="1"/>
  <c r="S785" i="259"/>
  <c r="S785" i="275" s="1"/>
  <c r="S1273" i="259"/>
  <c r="S261" i="262" s="1"/>
  <c r="AU984" i="259"/>
  <c r="G1102" i="259"/>
  <c r="AV51" i="261"/>
  <c r="AW262" i="259"/>
  <c r="AW23" i="261" s="1"/>
  <c r="AW181" i="259"/>
  <c r="AW181" i="275" s="1"/>
  <c r="AX673" i="259"/>
  <c r="AA62" i="262"/>
  <c r="M1468" i="259"/>
  <c r="M226" i="262" s="1"/>
  <c r="M1384" i="259"/>
  <c r="AU990" i="259"/>
  <c r="G991" i="259"/>
  <c r="I492" i="259"/>
  <c r="I489" i="259"/>
  <c r="I1510" i="259"/>
  <c r="I512" i="259"/>
  <c r="I500" i="259"/>
  <c r="I51" i="259"/>
  <c r="F974" i="259"/>
  <c r="J974" i="275" s="1"/>
  <c r="F983" i="259"/>
  <c r="J983" i="275" s="1"/>
  <c r="M1397" i="259"/>
  <c r="AY162" i="261"/>
  <c r="AX1294" i="259"/>
  <c r="AX243" i="262" s="1"/>
  <c r="AZ181" i="261"/>
  <c r="AY922" i="259"/>
  <c r="AY191" i="262" s="1"/>
  <c r="R1239" i="259"/>
  <c r="R784" i="259" s="1"/>
  <c r="R1180" i="259"/>
  <c r="Q974" i="259"/>
  <c r="Q974" i="275" s="1"/>
  <c r="Q983" i="259"/>
  <c r="Q983" i="275" s="1"/>
  <c r="Q244" i="261"/>
  <c r="N974" i="259"/>
  <c r="N974" i="275" s="1"/>
  <c r="N983" i="259"/>
  <c r="N983" i="275" s="1"/>
  <c r="E1352" i="259"/>
  <c r="E1351" i="259"/>
  <c r="J244" i="261"/>
  <c r="E969" i="259"/>
  <c r="E983" i="259"/>
  <c r="AY600" i="259"/>
  <c r="AY600" i="275" s="1"/>
  <c r="AY673" i="259"/>
  <c r="AX1321" i="259"/>
  <c r="AX1339" i="259"/>
  <c r="AX238" i="262" s="1"/>
  <c r="AD261" i="259"/>
  <c r="AE261" i="259"/>
  <c r="BA558" i="259"/>
  <c r="AC261" i="259"/>
  <c r="AZ103" i="261"/>
  <c r="AZ102" i="261" s="1"/>
  <c r="AE34" i="262"/>
  <c r="Z60" i="262"/>
  <c r="AZ534" i="259"/>
  <c r="AZ202" i="259"/>
  <c r="AX554" i="259"/>
  <c r="AX205" i="261" s="1"/>
  <c r="Y14" i="262"/>
  <c r="AY564" i="259"/>
  <c r="AY206" i="261" s="1"/>
  <c r="AZ380" i="259"/>
  <c r="BA548" i="259"/>
  <c r="AW922" i="259"/>
  <c r="AW191" i="262" s="1"/>
  <c r="AW1129" i="259"/>
  <c r="AU640" i="259"/>
  <c r="AV640" i="275" s="1"/>
  <c r="AU681" i="259"/>
  <c r="AV681" i="275" s="1"/>
  <c r="R1384" i="259"/>
  <c r="R1468" i="259"/>
  <c r="R226" i="262" s="1"/>
  <c r="BA482" i="259"/>
  <c r="BA181" i="261" s="1"/>
  <c r="Y1618" i="259"/>
  <c r="Y282" i="262" s="1"/>
  <c r="F1294" i="259"/>
  <c r="H785" i="259"/>
  <c r="H785" i="275" s="1"/>
  <c r="H1273" i="259"/>
  <c r="H261" i="262" s="1"/>
  <c r="AY244" i="261"/>
  <c r="AD60" i="262"/>
  <c r="AD103" i="261"/>
  <c r="AX1353" i="259"/>
  <c r="AX210" i="262" s="1"/>
  <c r="I785" i="259"/>
  <c r="I1273" i="259"/>
  <c r="I261" i="262" s="1"/>
  <c r="AV1085" i="259"/>
  <c r="M911" i="259"/>
  <c r="R785" i="259"/>
  <c r="R785" i="275" s="1"/>
  <c r="R1273" i="259"/>
  <c r="R261" i="262" s="1"/>
  <c r="D712" i="259"/>
  <c r="D710" i="259" s="1"/>
  <c r="AU658" i="259"/>
  <c r="AU1548" i="259" s="1"/>
  <c r="AU76" i="259" s="1"/>
  <c r="AU1339" i="259"/>
  <c r="AU238" i="262" s="1"/>
  <c r="AU1321" i="259"/>
  <c r="AY1063" i="259"/>
  <c r="AY1065" i="259"/>
  <c r="U112" i="261"/>
  <c r="AD389" i="259"/>
  <c r="AE389" i="259"/>
  <c r="AD394" i="259"/>
  <c r="AE394" i="259"/>
  <c r="AC1269" i="259"/>
  <c r="AZ522" i="259"/>
  <c r="AZ522" i="275" s="1"/>
  <c r="AZ173" i="261"/>
  <c r="AZ485" i="259"/>
  <c r="AZ485" i="275" s="1"/>
  <c r="AZ526" i="259"/>
  <c r="AZ526" i="275" s="1"/>
  <c r="AZ180" i="261"/>
  <c r="AZ174" i="261"/>
  <c r="AD522" i="259"/>
  <c r="AD522" i="275" s="1"/>
  <c r="BA481" i="259"/>
  <c r="AD526" i="259"/>
  <c r="AD526" i="275" s="1"/>
  <c r="AD173" i="261"/>
  <c r="AD485" i="259"/>
  <c r="AD485" i="275" s="1"/>
  <c r="AD29" i="262"/>
  <c r="AE173" i="261"/>
  <c r="Z31" i="262"/>
  <c r="Z30" i="262"/>
  <c r="AZ918" i="259"/>
  <c r="AZ918" i="275" s="1"/>
  <c r="X1378" i="259"/>
  <c r="X1379" i="259" s="1"/>
  <c r="AC1379" i="259" s="1"/>
  <c r="AD1379" i="259" s="1"/>
  <c r="AE1379" i="259" s="1"/>
  <c r="AF1379" i="259" s="1"/>
  <c r="AG1379" i="259" s="1"/>
  <c r="AH1379" i="259" s="1"/>
  <c r="AI1379" i="259" s="1"/>
  <c r="X7" i="259"/>
  <c r="X1547" i="259"/>
  <c r="X75" i="259" s="1"/>
  <c r="AB75" i="275" s="1"/>
  <c r="AE176" i="261"/>
  <c r="AE485" i="259"/>
  <c r="AE485" i="275" s="1"/>
  <c r="J52" i="259"/>
  <c r="J646" i="259"/>
  <c r="V895" i="259"/>
  <c r="V754" i="259"/>
  <c r="V279" i="261" s="1"/>
  <c r="V1064" i="259"/>
  <c r="V1087" i="259" s="1"/>
  <c r="V1063" i="259"/>
  <c r="V1065" i="259"/>
  <c r="V1067" i="259"/>
  <c r="AY1497" i="259"/>
  <c r="AY163" i="262" s="1"/>
  <c r="AY782" i="259"/>
  <c r="AY1498" i="259"/>
  <c r="AY118" i="262"/>
  <c r="R1378" i="259"/>
  <c r="R1379" i="259" s="1"/>
  <c r="R925" i="259"/>
  <c r="S925" i="259"/>
  <c r="M100" i="259"/>
  <c r="X162" i="261"/>
  <c r="AV563" i="259"/>
  <c r="AV200" i="261" s="1"/>
  <c r="AU562" i="259"/>
  <c r="N1378" i="259"/>
  <c r="N1379" i="259" s="1"/>
  <c r="N925" i="259"/>
  <c r="L925" i="259"/>
  <c r="K1378" i="259"/>
  <c r="AV871" i="259"/>
  <c r="K925" i="259"/>
  <c r="BA484" i="259"/>
  <c r="Z1683" i="259"/>
  <c r="AC319" i="259"/>
  <c r="X160" i="259"/>
  <c r="X160" i="275" s="1"/>
  <c r="X123" i="259"/>
  <c r="X983" i="259"/>
  <c r="X983" i="275" s="1"/>
  <c r="X969" i="259"/>
  <c r="X969" i="275" s="1"/>
  <c r="O1378" i="259"/>
  <c r="AU733" i="259"/>
  <c r="AU725" i="259"/>
  <c r="Z1684" i="259"/>
  <c r="AW929" i="259"/>
  <c r="X107" i="262"/>
  <c r="AZ799" i="259"/>
  <c r="E1240" i="259"/>
  <c r="AU1179" i="259"/>
  <c r="AU146" i="262" s="1"/>
  <c r="E1266" i="259"/>
  <c r="E150" i="262" s="1"/>
  <c r="AX1067" i="259"/>
  <c r="AX1065" i="259"/>
  <c r="AX1064" i="259"/>
  <c r="AX1087" i="259" s="1"/>
  <c r="AX1063" i="259"/>
  <c r="E134" i="259"/>
  <c r="S1378" i="259"/>
  <c r="AX871" i="259"/>
  <c r="V1117" i="259"/>
  <c r="BC548" i="259"/>
  <c r="BD548" i="259"/>
  <c r="AC316" i="259"/>
  <c r="N28" i="263"/>
  <c r="AD103" i="262"/>
  <c r="J28" i="263"/>
  <c r="AZ289" i="261"/>
  <c r="AY28" i="263"/>
  <c r="AY59" i="259"/>
  <c r="AW59" i="259"/>
  <c r="AV59" i="259"/>
  <c r="R118" i="262"/>
  <c r="R1498" i="259"/>
  <c r="R1497" i="259"/>
  <c r="R163" i="262" s="1"/>
  <c r="R782" i="259"/>
  <c r="G22" i="259"/>
  <c r="R9" i="259"/>
  <c r="P9" i="259"/>
  <c r="D9" i="259"/>
  <c r="AU6" i="259"/>
  <c r="D50" i="259"/>
  <c r="D126" i="262" s="1"/>
  <c r="D143" i="259"/>
  <c r="D1415" i="259"/>
  <c r="AX562" i="259"/>
  <c r="AY563" i="259"/>
  <c r="AY200" i="261" s="1"/>
  <c r="AX563" i="259"/>
  <c r="AX200" i="261" s="1"/>
  <c r="AY543" i="259"/>
  <c r="AY542" i="259"/>
  <c r="AY542" i="275" s="1"/>
  <c r="AX262" i="261"/>
  <c r="O301" i="261"/>
  <c r="AX1180" i="259"/>
  <c r="AX1239" i="259"/>
  <c r="V785" i="259"/>
  <c r="V1273" i="259"/>
  <c r="V261" i="262" s="1"/>
  <c r="P100" i="259"/>
  <c r="P87" i="259"/>
  <c r="P102" i="259" s="1"/>
  <c r="E124" i="259"/>
  <c r="E161" i="259"/>
  <c r="E119" i="261" s="1"/>
  <c r="M244" i="261"/>
  <c r="K1505" i="259"/>
  <c r="K50" i="259"/>
  <c r="K1415" i="259"/>
  <c r="Q453" i="259"/>
  <c r="Q453" i="275" s="1"/>
  <c r="AX452" i="259"/>
  <c r="N1397" i="259"/>
  <c r="D95" i="262"/>
  <c r="D821" i="259"/>
  <c r="D786" i="259"/>
  <c r="AU784" i="259"/>
  <c r="AV784" i="275" s="1"/>
  <c r="AU398" i="259"/>
  <c r="AU32" i="261" s="1"/>
  <c r="AU381" i="259"/>
  <c r="AV319" i="259"/>
  <c r="AV27" i="261" s="1"/>
  <c r="AV303" i="259"/>
  <c r="AX431" i="259"/>
  <c r="Q432" i="259"/>
  <c r="AW1383" i="259"/>
  <c r="AW1407" i="259" s="1"/>
  <c r="AW222" i="262" s="1"/>
  <c r="O1463" i="259"/>
  <c r="O1407" i="259"/>
  <c r="O222" i="262" s="1"/>
  <c r="AX769" i="259"/>
  <c r="AY1397" i="259"/>
  <c r="I653" i="259"/>
  <c r="AW895" i="259"/>
  <c r="AW1064" i="259"/>
  <c r="AW1087" i="259" s="1"/>
  <c r="AW1063" i="259"/>
  <c r="AW1065" i="259"/>
  <c r="AW1067" i="259"/>
  <c r="AY1085" i="259"/>
  <c r="AY149" i="261"/>
  <c r="V365" i="259"/>
  <c r="V121" i="261" s="1"/>
  <c r="H1422" i="259"/>
  <c r="AV1423" i="259"/>
  <c r="H1427" i="259"/>
  <c r="J302" i="261"/>
  <c r="P1385" i="259"/>
  <c r="P1409" i="259" s="1"/>
  <c r="P1408" i="259"/>
  <c r="S94" i="262"/>
  <c r="S789" i="259"/>
  <c r="S789" i="275" s="1"/>
  <c r="J112" i="261"/>
  <c r="AX1085" i="259"/>
  <c r="AX149" i="261"/>
  <c r="T287" i="259"/>
  <c r="T120" i="261" s="1"/>
  <c r="Y242" i="262"/>
  <c r="E51" i="259"/>
  <c r="E127" i="262" s="1"/>
  <c r="E489" i="259"/>
  <c r="E1607" i="259" s="1"/>
  <c r="E1606" i="259" s="1"/>
  <c r="E1510" i="259"/>
  <c r="E512" i="259"/>
  <c r="E511" i="259" s="1"/>
  <c r="E500" i="259"/>
  <c r="E492" i="259"/>
  <c r="AC538" i="259"/>
  <c r="AG538" i="275" s="1"/>
  <c r="AC19" i="262"/>
  <c r="X1407" i="259"/>
  <c r="X222" i="262" s="1"/>
  <c r="X1463" i="259"/>
  <c r="X1465" i="259" s="1"/>
  <c r="F210" i="259"/>
  <c r="J210" i="275" s="1"/>
  <c r="F181" i="259"/>
  <c r="J181" i="275" s="1"/>
  <c r="F431" i="259"/>
  <c r="J431" i="275" s="1"/>
  <c r="AU178" i="259"/>
  <c r="AV178" i="275" s="1"/>
  <c r="F261" i="259"/>
  <c r="F22" i="261" s="1"/>
  <c r="AW1097" i="259"/>
  <c r="AX262" i="259"/>
  <c r="AX23" i="261" s="1"/>
  <c r="AX181" i="259"/>
  <c r="AW552" i="259"/>
  <c r="AW553" i="259"/>
  <c r="AW199" i="261" s="1"/>
  <c r="AX553" i="259"/>
  <c r="AX199" i="261" s="1"/>
  <c r="AU552" i="259"/>
  <c r="AV553" i="259"/>
  <c r="AV199" i="261" s="1"/>
  <c r="AY1414" i="259"/>
  <c r="U1416" i="259"/>
  <c r="U331" i="261" s="1"/>
  <c r="T453" i="259"/>
  <c r="AY452" i="259"/>
  <c r="O96" i="262"/>
  <c r="K1294" i="259"/>
  <c r="P911" i="259"/>
  <c r="L94" i="262"/>
  <c r="L789" i="259"/>
  <c r="L789" i="275" s="1"/>
  <c r="P821" i="259"/>
  <c r="P95" i="262"/>
  <c r="P786" i="259"/>
  <c r="Y183" i="262"/>
  <c r="D653" i="259"/>
  <c r="D654" i="259" s="1"/>
  <c r="D247" i="261" s="1"/>
  <c r="D70" i="259"/>
  <c r="P287" i="259"/>
  <c r="P120" i="261" s="1"/>
  <c r="P1420" i="259"/>
  <c r="P332" i="261" s="1"/>
  <c r="AX1419" i="259"/>
  <c r="AX1420" i="259" s="1"/>
  <c r="AX332" i="261" s="1"/>
  <c r="N1407" i="259"/>
  <c r="N222" i="262" s="1"/>
  <c r="N1463" i="259"/>
  <c r="N1465" i="259" s="1"/>
  <c r="O786" i="259"/>
  <c r="G487" i="259"/>
  <c r="G1614" i="259" s="1"/>
  <c r="AY462" i="259"/>
  <c r="AY1084" i="259" s="1"/>
  <c r="AU56" i="259"/>
  <c r="AU138" i="262" s="1"/>
  <c r="D59" i="259"/>
  <c r="D820" i="259" s="1"/>
  <c r="I432" i="259"/>
  <c r="AV431" i="259"/>
  <c r="AU320" i="259"/>
  <c r="AU28" i="261" s="1"/>
  <c r="AU303" i="259"/>
  <c r="AW1321" i="259"/>
  <c r="I1407" i="259"/>
  <c r="I222" i="262" s="1"/>
  <c r="I1463" i="259"/>
  <c r="I1465" i="259" s="1"/>
  <c r="N453" i="259"/>
  <c r="N453" i="275" s="1"/>
  <c r="AW452" i="259"/>
  <c r="P68" i="259"/>
  <c r="AY318" i="261"/>
  <c r="W1354" i="259"/>
  <c r="W211" i="262" s="1"/>
  <c r="W1353" i="259"/>
  <c r="W210" i="262" s="1"/>
  <c r="W1315" i="259"/>
  <c r="W256" i="262" s="1"/>
  <c r="W1446" i="259"/>
  <c r="W1447" i="259" s="1"/>
  <c r="E87" i="259"/>
  <c r="E102" i="259" s="1"/>
  <c r="E100" i="259"/>
  <c r="AU85" i="259"/>
  <c r="AU87" i="259" s="1"/>
  <c r="AX264" i="261"/>
  <c r="AY264" i="261"/>
  <c r="AY990" i="259"/>
  <c r="W991" i="259"/>
  <c r="AZ558" i="259"/>
  <c r="X1240" i="259"/>
  <c r="X1266" i="259"/>
  <c r="X150" i="262" s="1"/>
  <c r="X1180" i="259"/>
  <c r="U7" i="259"/>
  <c r="U1547" i="259"/>
  <c r="U75" i="259" s="1"/>
  <c r="U75" i="275" s="1"/>
  <c r="BC19" i="259"/>
  <c r="BC19" i="275" s="1"/>
  <c r="H29" i="263"/>
  <c r="Q895" i="259"/>
  <c r="Q1067" i="259"/>
  <c r="Q1063" i="259"/>
  <c r="Q1064" i="259"/>
  <c r="Q1087" i="259" s="1"/>
  <c r="Q1065" i="259"/>
  <c r="Q754" i="259"/>
  <c r="Q279" i="261" s="1"/>
  <c r="V1505" i="259"/>
  <c r="V50" i="259"/>
  <c r="V1415" i="259"/>
  <c r="V143" i="259"/>
  <c r="O162" i="261"/>
  <c r="P162" i="261"/>
  <c r="W1273" i="259"/>
  <c r="W261" i="262" s="1"/>
  <c r="W785" i="259"/>
  <c r="D94" i="262"/>
  <c r="D789" i="259"/>
  <c r="G785" i="259"/>
  <c r="G1273" i="259"/>
  <c r="G261" i="262" s="1"/>
  <c r="K984" i="259"/>
  <c r="K984" i="275" s="1"/>
  <c r="K1100" i="259"/>
  <c r="AV983" i="259"/>
  <c r="AV983" i="275" s="1"/>
  <c r="K1115" i="259"/>
  <c r="G1499" i="259"/>
  <c r="G287" i="259"/>
  <c r="G120" i="261" s="1"/>
  <c r="AV44" i="259"/>
  <c r="AV44" i="275" s="1"/>
  <c r="AV115" i="259"/>
  <c r="H453" i="259"/>
  <c r="AV452" i="259"/>
  <c r="W1084" i="259"/>
  <c r="W461" i="259"/>
  <c r="AW37" i="259"/>
  <c r="AW115" i="259"/>
  <c r="D453" i="259"/>
  <c r="AU452" i="259"/>
  <c r="AU453" i="259" s="1"/>
  <c r="M1294" i="259"/>
  <c r="M243" i="262" s="1"/>
  <c r="AW1497" i="259"/>
  <c r="AW163" i="262" s="1"/>
  <c r="AW782" i="259"/>
  <c r="AW118" i="262"/>
  <c r="AW1498" i="259"/>
  <c r="N1499" i="259"/>
  <c r="N301" i="261"/>
  <c r="N911" i="259"/>
  <c r="R1416" i="259"/>
  <c r="R331" i="261" s="1"/>
  <c r="R1427" i="259"/>
  <c r="R1428" i="259" s="1"/>
  <c r="T1426" i="259"/>
  <c r="AY1446" i="259"/>
  <c r="AY1447" i="259" s="1"/>
  <c r="AY1354" i="259"/>
  <c r="AY211" i="262" s="1"/>
  <c r="AY1353" i="259"/>
  <c r="AY210" i="262" s="1"/>
  <c r="L1468" i="259"/>
  <c r="L226" i="262" s="1"/>
  <c r="L1384" i="259"/>
  <c r="AW447" i="259"/>
  <c r="AW1083" i="259" s="1"/>
  <c r="AX162" i="261"/>
  <c r="BC552" i="259"/>
  <c r="BC25" i="262" s="1"/>
  <c r="BD552" i="259"/>
  <c r="BD25" i="262" s="1"/>
  <c r="X453" i="259"/>
  <c r="X453" i="275" s="1"/>
  <c r="AY1097" i="259"/>
  <c r="H28" i="263"/>
  <c r="P895" i="259"/>
  <c r="P895" i="275" s="1"/>
  <c r="P1064" i="259"/>
  <c r="P1087" i="259" s="1"/>
  <c r="P1065" i="259"/>
  <c r="P1067" i="259"/>
  <c r="P754" i="259"/>
  <c r="P279" i="261" s="1"/>
  <c r="P1063" i="259"/>
  <c r="R895" i="259"/>
  <c r="R895" i="275" s="1"/>
  <c r="R1067" i="259"/>
  <c r="R754" i="259"/>
  <c r="R279" i="261" s="1"/>
  <c r="R1065" i="259"/>
  <c r="R1064" i="259"/>
  <c r="R1087" i="259" s="1"/>
  <c r="R1063" i="259"/>
  <c r="N162" i="261"/>
  <c r="K65" i="259"/>
  <c r="AV62" i="259"/>
  <c r="T1397" i="259"/>
  <c r="S1397" i="259"/>
  <c r="G94" i="262"/>
  <c r="G789" i="259"/>
  <c r="G1378" i="259"/>
  <c r="G100" i="259"/>
  <c r="G87" i="259"/>
  <c r="G102" i="259" s="1"/>
  <c r="R287" i="259"/>
  <c r="R120" i="261" s="1"/>
  <c r="M52" i="259"/>
  <c r="M646" i="259"/>
  <c r="S1420" i="259"/>
  <c r="S332" i="261" s="1"/>
  <c r="D149" i="261"/>
  <c r="D1085" i="259"/>
  <c r="Q95" i="262"/>
  <c r="Q786" i="259"/>
  <c r="F653" i="259"/>
  <c r="F654" i="259" s="1"/>
  <c r="F247" i="261" s="1"/>
  <c r="F70" i="259"/>
  <c r="AX1039" i="259"/>
  <c r="D1505" i="259"/>
  <c r="AX27" i="261"/>
  <c r="AX303" i="259"/>
  <c r="AX303" i="275" s="1"/>
  <c r="O1397" i="259"/>
  <c r="J1397" i="259"/>
  <c r="I1397" i="259"/>
  <c r="AV43" i="261"/>
  <c r="AV1250" i="259"/>
  <c r="AV128" i="261" s="1"/>
  <c r="AW43" i="261"/>
  <c r="AW1266" i="259"/>
  <c r="AW150" i="262" s="1"/>
  <c r="AW1240" i="259"/>
  <c r="U161" i="259"/>
  <c r="U119" i="261" s="1"/>
  <c r="N94" i="262"/>
  <c r="N789" i="259"/>
  <c r="S1465" i="259"/>
  <c r="AX1463" i="259"/>
  <c r="R112" i="261"/>
  <c r="AV95" i="262"/>
  <c r="I161" i="259"/>
  <c r="I119" i="261" s="1"/>
  <c r="S301" i="261"/>
  <c r="Q94" i="262"/>
  <c r="Q789" i="259"/>
  <c r="T100" i="259"/>
  <c r="T87" i="259"/>
  <c r="T102" i="259" s="1"/>
  <c r="T106" i="259" s="1"/>
  <c r="L911" i="259"/>
  <c r="AW955" i="259"/>
  <c r="AX1426" i="259"/>
  <c r="AD539" i="259"/>
  <c r="AE539" i="259"/>
  <c r="AY99" i="259"/>
  <c r="AX6" i="259"/>
  <c r="Q9" i="259"/>
  <c r="AY6" i="259"/>
  <c r="T9" i="259"/>
  <c r="AV6" i="259"/>
  <c r="M9" i="259"/>
  <c r="BB200" i="275" l="1"/>
  <c r="J104" i="259"/>
  <c r="D106" i="259"/>
  <c r="AC103" i="261"/>
  <c r="BA103" i="261" s="1"/>
  <c r="BA102" i="261" s="1"/>
  <c r="BA202" i="259"/>
  <c r="BA60" i="262" s="1"/>
  <c r="AC60" i="262"/>
  <c r="AW189" i="261"/>
  <c r="AC202" i="275"/>
  <c r="BA456" i="259"/>
  <c r="BA456" i="275" s="1"/>
  <c r="AI456" i="259"/>
  <c r="AI456" i="275" s="1"/>
  <c r="AG456" i="259"/>
  <c r="AG456" i="275" s="1"/>
  <c r="AH456" i="259"/>
  <c r="AH456" i="275" s="1"/>
  <c r="V76" i="275"/>
  <c r="AC76" i="275"/>
  <c r="T9" i="275"/>
  <c r="AZ1464" i="259"/>
  <c r="M925" i="259"/>
  <c r="V785" i="275"/>
  <c r="I9" i="259"/>
  <c r="M9" i="275" s="1"/>
  <c r="U925" i="259"/>
  <c r="AX181" i="275"/>
  <c r="AW816" i="275"/>
  <c r="AW262" i="261"/>
  <c r="F698" i="259"/>
  <c r="AX1334" i="259"/>
  <c r="X1039" i="275"/>
  <c r="AY65" i="259"/>
  <c r="O1353" i="259"/>
  <c r="O210" i="262" s="1"/>
  <c r="AU1503" i="259"/>
  <c r="G255" i="262"/>
  <c r="AW967" i="275"/>
  <c r="O40" i="275"/>
  <c r="L1039" i="275"/>
  <c r="S991" i="259"/>
  <c r="Q301" i="261"/>
  <c r="T453" i="275"/>
  <c r="AV1339" i="259"/>
  <c r="AV238" i="262" s="1"/>
  <c r="T925" i="259"/>
  <c r="J105" i="259"/>
  <c r="O87" i="259"/>
  <c r="O102" i="259" s="1"/>
  <c r="AV691" i="275"/>
  <c r="AX929" i="259"/>
  <c r="J257" i="262"/>
  <c r="N143" i="259"/>
  <c r="W75" i="275"/>
  <c r="W453" i="275"/>
  <c r="AU135" i="262"/>
  <c r="M974" i="275"/>
  <c r="AZ719" i="275"/>
  <c r="U94" i="262"/>
  <c r="AV115" i="275"/>
  <c r="W785" i="275"/>
  <c r="P9" i="275"/>
  <c r="X487" i="259"/>
  <c r="AU1302" i="259"/>
  <c r="AV262" i="261"/>
  <c r="I1613" i="259"/>
  <c r="AX989" i="275"/>
  <c r="AY1038" i="275"/>
  <c r="P124" i="259"/>
  <c r="K895" i="275"/>
  <c r="BB482" i="259"/>
  <c r="BB181" i="261" s="1"/>
  <c r="AW115" i="275"/>
  <c r="BC1364" i="259"/>
  <c r="BD1364" i="259" s="1"/>
  <c r="BE1364" i="259" s="1"/>
  <c r="BA1375" i="259"/>
  <c r="AF1375" i="259"/>
  <c r="AG1375" i="259" s="1"/>
  <c r="AH1375" i="259" s="1"/>
  <c r="AI1375" i="259" s="1"/>
  <c r="BB1375" i="259" s="1"/>
  <c r="R124" i="259"/>
  <c r="M270" i="261"/>
  <c r="AX1033" i="259"/>
  <c r="V9" i="259"/>
  <c r="V9" i="275" s="1"/>
  <c r="V124" i="259"/>
  <c r="V125" i="259" s="1"/>
  <c r="V118" i="261" s="1"/>
  <c r="AD539" i="275"/>
  <c r="AH539" i="275"/>
  <c r="AF380" i="275"/>
  <c r="BE113" i="264"/>
  <c r="BG113" i="264" s="1"/>
  <c r="BG102" i="264"/>
  <c r="AG344" i="275"/>
  <c r="AG65" i="262"/>
  <c r="AG72" i="262" s="1"/>
  <c r="AG302" i="259"/>
  <c r="BB344" i="259"/>
  <c r="BB95" i="261" s="1"/>
  <c r="AF534" i="275"/>
  <c r="AF35" i="262"/>
  <c r="AF44" i="262" s="1"/>
  <c r="AH482" i="275"/>
  <c r="AH34" i="262"/>
  <c r="AH1610" i="259"/>
  <c r="AH1603" i="259" s="1"/>
  <c r="AH534" i="259"/>
  <c r="AH174" i="261"/>
  <c r="AI66" i="262"/>
  <c r="AI73" i="262" s="1"/>
  <c r="AI422" i="275"/>
  <c r="AI380" i="259"/>
  <c r="AF302" i="275"/>
  <c r="AI34" i="262"/>
  <c r="AI534" i="259"/>
  <c r="AI482" i="275"/>
  <c r="AI1610" i="259"/>
  <c r="AI1603" i="259" s="1"/>
  <c r="AI174" i="261"/>
  <c r="AH483" i="275"/>
  <c r="AH41" i="262"/>
  <c r="AH175" i="261"/>
  <c r="AH64" i="262"/>
  <c r="AH243" i="275"/>
  <c r="AH245" i="259"/>
  <c r="AH179" i="259"/>
  <c r="AH179" i="275" s="1"/>
  <c r="AG64" i="262"/>
  <c r="AG71" i="262" s="1"/>
  <c r="AG243" i="275"/>
  <c r="AG245" i="259"/>
  <c r="AG179" i="259"/>
  <c r="BB243" i="259"/>
  <c r="BB90" i="261" s="1"/>
  <c r="AH244" i="275"/>
  <c r="AH69" i="262"/>
  <c r="AH76" i="262" s="1"/>
  <c r="AH180" i="259"/>
  <c r="AH180" i="275" s="1"/>
  <c r="AG244" i="275"/>
  <c r="AG69" i="262"/>
  <c r="AG76" i="262" s="1"/>
  <c r="AG180" i="259"/>
  <c r="BB244" i="259"/>
  <c r="R131" i="264" s="1"/>
  <c r="T131" i="264" s="1"/>
  <c r="AG176" i="261"/>
  <c r="AG42" i="262"/>
  <c r="AG484" i="275"/>
  <c r="BB484" i="259"/>
  <c r="BI113" i="264"/>
  <c r="BK113" i="264" s="1"/>
  <c r="BK102" i="264"/>
  <c r="AH481" i="275"/>
  <c r="AH29" i="262"/>
  <c r="AH571" i="259"/>
  <c r="AH1611" i="259"/>
  <c r="AH1604" i="259" s="1"/>
  <c r="AH485" i="259"/>
  <c r="AH522" i="259"/>
  <c r="AH526" i="259"/>
  <c r="AH526" i="275" s="1"/>
  <c r="AH177" i="261"/>
  <c r="AH184" i="261"/>
  <c r="AH568" i="259"/>
  <c r="AH173" i="261"/>
  <c r="AI244" i="275"/>
  <c r="AI69" i="262"/>
  <c r="AI76" i="262" s="1"/>
  <c r="AI180" i="259"/>
  <c r="AI180" i="275" s="1"/>
  <c r="BM113" i="264"/>
  <c r="BO113" i="264" s="1"/>
  <c r="BO102" i="264"/>
  <c r="AG481" i="275"/>
  <c r="AG29" i="262"/>
  <c r="AG485" i="259"/>
  <c r="AG522" i="259"/>
  <c r="AG526" i="259"/>
  <c r="AG526" i="275" s="1"/>
  <c r="AG571" i="259"/>
  <c r="AG1611" i="259"/>
  <c r="AG1604" i="259" s="1"/>
  <c r="AG184" i="261"/>
  <c r="AG568" i="259"/>
  <c r="AG177" i="261"/>
  <c r="AG173" i="261"/>
  <c r="BB481" i="259"/>
  <c r="BB102" i="261"/>
  <c r="AI64" i="262"/>
  <c r="AI71" i="262" s="1"/>
  <c r="AI243" i="275"/>
  <c r="AI245" i="259"/>
  <c r="AI179" i="259"/>
  <c r="AI179" i="275" s="1"/>
  <c r="AG483" i="275"/>
  <c r="AG41" i="262"/>
  <c r="AG175" i="261"/>
  <c r="BB483" i="259"/>
  <c r="BI112" i="264"/>
  <c r="BI110" i="264"/>
  <c r="BK110" i="264" s="1"/>
  <c r="BI105" i="264"/>
  <c r="BK105" i="264" s="1"/>
  <c r="BK101" i="264"/>
  <c r="AI481" i="275"/>
  <c r="AI29" i="262"/>
  <c r="AI485" i="259"/>
  <c r="AI522" i="259"/>
  <c r="AI526" i="259"/>
  <c r="AI526" i="275" s="1"/>
  <c r="AI571" i="259"/>
  <c r="AI1611" i="259"/>
  <c r="AI1604" i="259" s="1"/>
  <c r="AI177" i="261"/>
  <c r="AI184" i="261"/>
  <c r="AI173" i="261"/>
  <c r="AI568" i="259"/>
  <c r="BE112" i="264"/>
  <c r="BG101" i="264"/>
  <c r="BE105" i="264"/>
  <c r="BG105" i="264" s="1"/>
  <c r="BE110" i="264"/>
  <c r="BG110" i="264" s="1"/>
  <c r="AH422" i="275"/>
  <c r="AH66" i="262"/>
  <c r="AH73" i="262" s="1"/>
  <c r="AH380" i="259"/>
  <c r="AE539" i="275"/>
  <c r="AI539" i="275"/>
  <c r="AG34" i="262"/>
  <c r="AG482" i="275"/>
  <c r="AG534" i="259"/>
  <c r="AG1610" i="259"/>
  <c r="AG1603" i="259" s="1"/>
  <c r="AG174" i="261"/>
  <c r="AI175" i="261"/>
  <c r="AI41" i="262"/>
  <c r="AI483" i="275"/>
  <c r="AH42" i="262"/>
  <c r="AH484" i="275"/>
  <c r="AH176" i="261"/>
  <c r="AF45" i="262"/>
  <c r="AH344" i="275"/>
  <c r="AH65" i="262"/>
  <c r="AH302" i="259"/>
  <c r="AG422" i="275"/>
  <c r="AG66" i="262"/>
  <c r="AG73" i="262" s="1"/>
  <c r="AG380" i="259"/>
  <c r="BB422" i="259"/>
  <c r="BM112" i="264"/>
  <c r="BO101" i="264"/>
  <c r="BM110" i="264"/>
  <c r="BO110" i="264" s="1"/>
  <c r="BM105" i="264"/>
  <c r="BO105" i="264" s="1"/>
  <c r="AI344" i="275"/>
  <c r="AI65" i="262"/>
  <c r="AI72" i="262" s="1"/>
  <c r="AI302" i="259"/>
  <c r="AI176" i="261"/>
  <c r="AI42" i="262"/>
  <c r="AI484" i="275"/>
  <c r="AY74" i="262"/>
  <c r="W44" i="262"/>
  <c r="R48" i="262"/>
  <c r="AY75" i="262"/>
  <c r="AD76" i="262"/>
  <c r="AE71" i="262"/>
  <c r="AE76" i="262"/>
  <c r="AD67" i="262"/>
  <c r="AE73" i="262"/>
  <c r="AD73" i="262"/>
  <c r="AC73" i="262"/>
  <c r="AB74" i="262"/>
  <c r="AF74" i="262"/>
  <c r="AE67" i="262"/>
  <c r="AC67" i="262"/>
  <c r="AB75" i="262"/>
  <c r="AF75" i="262"/>
  <c r="AC76" i="262"/>
  <c r="AD71" i="262"/>
  <c r="AH71" i="262"/>
  <c r="AC71" i="262"/>
  <c r="AG554" i="259"/>
  <c r="AG205" i="261" s="1"/>
  <c r="AG551" i="275"/>
  <c r="AH554" i="259"/>
  <c r="AH205" i="261" s="1"/>
  <c r="AH551" i="275"/>
  <c r="AF554" i="259"/>
  <c r="AF205" i="261" s="1"/>
  <c r="AF551" i="275"/>
  <c r="AI554" i="259"/>
  <c r="AI205" i="261" s="1"/>
  <c r="AF553" i="259"/>
  <c r="AF199" i="261" s="1"/>
  <c r="AI551" i="275"/>
  <c r="R1102" i="259"/>
  <c r="R1117" i="259"/>
  <c r="AX8" i="259"/>
  <c r="AX9" i="277" s="1"/>
  <c r="Q489" i="259"/>
  <c r="Q1607" i="259" s="1"/>
  <c r="Q1606" i="259" s="1"/>
  <c r="Q512" i="259"/>
  <c r="L911" i="275"/>
  <c r="I124" i="259"/>
  <c r="I125" i="259" s="1"/>
  <c r="I118" i="261" s="1"/>
  <c r="G925" i="259"/>
  <c r="G926" i="259" s="1"/>
  <c r="G913" i="259" s="1"/>
  <c r="AX990" i="259"/>
  <c r="Q1499" i="259"/>
  <c r="Q895" i="275"/>
  <c r="AY1547" i="259"/>
  <c r="AY75" i="259" s="1"/>
  <c r="AY75" i="275" s="1"/>
  <c r="AV1334" i="259"/>
  <c r="I70" i="259"/>
  <c r="I70" i="275" s="1"/>
  <c r="O1499" i="259"/>
  <c r="AY262" i="261"/>
  <c r="AW871" i="259"/>
  <c r="AW871" i="275" s="1"/>
  <c r="O925" i="259"/>
  <c r="S925" i="275" s="1"/>
  <c r="D105" i="259"/>
  <c r="AY929" i="259"/>
  <c r="AY929" i="275" s="1"/>
  <c r="AV782" i="259"/>
  <c r="AV782" i="275" s="1"/>
  <c r="AC844" i="259"/>
  <c r="AD844" i="259" s="1"/>
  <c r="H983" i="275"/>
  <c r="AV929" i="259"/>
  <c r="AV929" i="275" s="1"/>
  <c r="W286" i="275"/>
  <c r="W1427" i="259"/>
  <c r="W1428" i="259" s="1"/>
  <c r="W1431" i="259" s="1"/>
  <c r="L646" i="259"/>
  <c r="P646" i="275" s="1"/>
  <c r="AU1040" i="259"/>
  <c r="E926" i="259"/>
  <c r="E913" i="259" s="1"/>
  <c r="E912" i="259" s="1"/>
  <c r="E274" i="261" s="1"/>
  <c r="O1315" i="259"/>
  <c r="O256" i="262" s="1"/>
  <c r="AC862" i="259"/>
  <c r="AC862" i="275" s="1"/>
  <c r="W210" i="275"/>
  <c r="V1115" i="259"/>
  <c r="AU65" i="259"/>
  <c r="H124" i="275"/>
  <c r="E9" i="259"/>
  <c r="E28" i="259" s="1"/>
  <c r="AW968" i="275"/>
  <c r="M983" i="275"/>
  <c r="K1385" i="259"/>
  <c r="K1409" i="259" s="1"/>
  <c r="AY952" i="275"/>
  <c r="T143" i="259"/>
  <c r="AV816" i="275"/>
  <c r="AW264" i="261"/>
  <c r="Q273" i="261"/>
  <c r="AY189" i="261"/>
  <c r="AY121" i="275"/>
  <c r="AY216" i="261"/>
  <c r="U1499" i="259"/>
  <c r="L1499" i="259"/>
  <c r="T1079" i="259"/>
  <c r="T286" i="261" s="1"/>
  <c r="T1076" i="259"/>
  <c r="T283" i="261" s="1"/>
  <c r="T1075" i="259"/>
  <c r="T282" i="261" s="1"/>
  <c r="AW954" i="275"/>
  <c r="AY816" i="275"/>
  <c r="T270" i="261"/>
  <c r="U270" i="261"/>
  <c r="L75" i="275"/>
  <c r="X990" i="275"/>
  <c r="AW340" i="275"/>
  <c r="X40" i="275"/>
  <c r="T1039" i="275"/>
  <c r="AY340" i="275"/>
  <c r="R286" i="275"/>
  <c r="AW456" i="275"/>
  <c r="AX75" i="275"/>
  <c r="AY418" i="275"/>
  <c r="AX234" i="275"/>
  <c r="Q990" i="275"/>
  <c r="AY753" i="275"/>
  <c r="AX445" i="275"/>
  <c r="K871" i="275"/>
  <c r="AV1038" i="275"/>
  <c r="AY720" i="259"/>
  <c r="AY720" i="275" s="1"/>
  <c r="J142" i="275"/>
  <c r="AU191" i="262"/>
  <c r="AZ856" i="259"/>
  <c r="AZ856" i="275" s="1"/>
  <c r="AC72" i="262"/>
  <c r="AW44" i="262"/>
  <c r="AX48" i="262"/>
  <c r="AE68" i="262"/>
  <c r="AD72" i="262"/>
  <c r="AE72" i="262"/>
  <c r="AZ67" i="262"/>
  <c r="AZ74" i="262" s="1"/>
  <c r="V48" i="262"/>
  <c r="H48" i="262"/>
  <c r="J48" i="262"/>
  <c r="AY48" i="262"/>
  <c r="O48" i="262"/>
  <c r="AD68" i="262"/>
  <c r="AZ68" i="262"/>
  <c r="AZ75" i="262" s="1"/>
  <c r="AW48" i="262"/>
  <c r="S48" i="262"/>
  <c r="L48" i="262"/>
  <c r="M48" i="262"/>
  <c r="I48" i="262"/>
  <c r="K48" i="262"/>
  <c r="T48" i="262"/>
  <c r="Q48" i="262"/>
  <c r="AX74" i="262"/>
  <c r="O75" i="275"/>
  <c r="AY7" i="277"/>
  <c r="AY38" i="277" s="1"/>
  <c r="AY6" i="275"/>
  <c r="AY134" i="262"/>
  <c r="U125" i="259"/>
  <c r="U118" i="261" s="1"/>
  <c r="Y124" i="275"/>
  <c r="Q809" i="259"/>
  <c r="R125" i="259"/>
  <c r="R118" i="261" s="1"/>
  <c r="AV62" i="275"/>
  <c r="AV142" i="262"/>
  <c r="AW131" i="259"/>
  <c r="AW134" i="259" s="1"/>
  <c r="AW257" i="262"/>
  <c r="AW453" i="259"/>
  <c r="AW452" i="275"/>
  <c r="I654" i="259"/>
  <c r="I653" i="275"/>
  <c r="AV303" i="275"/>
  <c r="AY198" i="261"/>
  <c r="AY543" i="275"/>
  <c r="R9" i="275"/>
  <c r="AW820" i="259"/>
  <c r="AW59" i="275"/>
  <c r="X68" i="259"/>
  <c r="X123" i="275"/>
  <c r="AX211" i="259"/>
  <c r="AY189" i="262"/>
  <c r="AY922" i="275"/>
  <c r="I53" i="259"/>
  <c r="I51" i="275"/>
  <c r="I127" i="262"/>
  <c r="I1607" i="259"/>
  <c r="I1606" i="259" s="1"/>
  <c r="I489" i="275"/>
  <c r="V511" i="259"/>
  <c r="Z512" i="275"/>
  <c r="V1607" i="259"/>
  <c r="V1606" i="259" s="1"/>
  <c r="Z489" i="275"/>
  <c r="S652" i="259"/>
  <c r="S652" i="275" s="1"/>
  <c r="S646" i="275"/>
  <c r="N809" i="259"/>
  <c r="W68" i="259"/>
  <c r="W123" i="275"/>
  <c r="O68" i="259"/>
  <c r="O123" i="275"/>
  <c r="L785" i="275"/>
  <c r="L68" i="259"/>
  <c r="L123" i="275"/>
  <c r="X1614" i="259"/>
  <c r="X1613" i="259" s="1"/>
  <c r="L52" i="275"/>
  <c r="L128" i="262"/>
  <c r="U895" i="275"/>
  <c r="Y895" i="275"/>
  <c r="AX139" i="275"/>
  <c r="AX189" i="262"/>
  <c r="AX922" i="275"/>
  <c r="L821" i="259"/>
  <c r="L65" i="275"/>
  <c r="T1100" i="259"/>
  <c r="T983" i="275"/>
  <c r="AX1115" i="259"/>
  <c r="N131" i="259"/>
  <c r="N432" i="275"/>
  <c r="I821" i="259"/>
  <c r="I65" i="275"/>
  <c r="AV263" i="262"/>
  <c r="AV1686" i="259"/>
  <c r="AV658" i="259"/>
  <c r="AV657" i="275"/>
  <c r="U821" i="259"/>
  <c r="U65" i="275"/>
  <c r="Y65" i="275"/>
  <c r="Q997" i="259"/>
  <c r="Q991" i="275"/>
  <c r="AW658" i="259"/>
  <c r="AW657" i="275"/>
  <c r="H99" i="262"/>
  <c r="H789" i="275"/>
  <c r="AV381" i="275"/>
  <c r="O287" i="259"/>
  <c r="O120" i="261" s="1"/>
  <c r="O286" i="275"/>
  <c r="AW969" i="259"/>
  <c r="O969" i="275"/>
  <c r="AW431" i="275"/>
  <c r="AX62" i="275"/>
  <c r="AX142" i="262"/>
  <c r="I257" i="262"/>
  <c r="I782" i="275"/>
  <c r="J1378" i="259"/>
  <c r="J1379" i="259" s="1"/>
  <c r="J871" i="275"/>
  <c r="AY160" i="259"/>
  <c r="AY159" i="275"/>
  <c r="AV142" i="275"/>
  <c r="X143" i="259"/>
  <c r="X142" i="275"/>
  <c r="AY1039" i="259"/>
  <c r="W1039" i="275"/>
  <c r="Z969" i="275"/>
  <c r="V969" i="275"/>
  <c r="N53" i="259"/>
  <c r="N52" i="275"/>
  <c r="N128" i="262"/>
  <c r="I925" i="259"/>
  <c r="H871" i="275"/>
  <c r="AY905" i="259"/>
  <c r="AY902" i="275"/>
  <c r="J265" i="261"/>
  <c r="I955" i="275"/>
  <c r="AX672" i="259"/>
  <c r="AX691" i="275"/>
  <c r="V926" i="259"/>
  <c r="V925" i="275"/>
  <c r="Z925" i="275"/>
  <c r="V68" i="259"/>
  <c r="Z123" i="275"/>
  <c r="V123" i="275"/>
  <c r="AV160" i="259"/>
  <c r="AV159" i="275"/>
  <c r="AX1352" i="259"/>
  <c r="AX870" i="275"/>
  <c r="L1494" i="259"/>
  <c r="L196" i="262" s="1"/>
  <c r="L924" i="275"/>
  <c r="W895" i="275"/>
  <c r="S136" i="262"/>
  <c r="R8" i="275"/>
  <c r="R136" i="262"/>
  <c r="V1494" i="259"/>
  <c r="V196" i="262" s="1"/>
  <c r="Z924" i="275"/>
  <c r="V924" i="275"/>
  <c r="U1494" i="259"/>
  <c r="U196" i="262" s="1"/>
  <c r="U924" i="275"/>
  <c r="Y924" i="275"/>
  <c r="AY870" i="275"/>
  <c r="O257" i="262"/>
  <c r="O782" i="275"/>
  <c r="AX889" i="275"/>
  <c r="AX186" i="262"/>
  <c r="J1494" i="259"/>
  <c r="J196" i="262" s="1"/>
  <c r="J924" i="275"/>
  <c r="K1494" i="259"/>
  <c r="K196" i="262" s="1"/>
  <c r="K924" i="275"/>
  <c r="V52" i="275"/>
  <c r="V128" i="262"/>
  <c r="I50" i="275"/>
  <c r="I126" i="262"/>
  <c r="Q52" i="275"/>
  <c r="Q128" i="262"/>
  <c r="P52" i="259"/>
  <c r="AX52" i="259" s="1"/>
  <c r="P642" i="275"/>
  <c r="U257" i="262"/>
  <c r="U782" i="275"/>
  <c r="W52" i="275"/>
  <c r="W128" i="262"/>
  <c r="K100" i="259"/>
  <c r="K87" i="259"/>
  <c r="K102" i="259" s="1"/>
  <c r="K106" i="259" s="1"/>
  <c r="J1116" i="259"/>
  <c r="J982" i="275"/>
  <c r="J1101" i="259"/>
  <c r="P7" i="275"/>
  <c r="P135" i="262"/>
  <c r="AX7" i="259"/>
  <c r="T820" i="259"/>
  <c r="T59" i="275"/>
  <c r="M785" i="275"/>
  <c r="AX968" i="275"/>
  <c r="W7" i="275"/>
  <c r="W135" i="262"/>
  <c r="AG9" i="264"/>
  <c r="AI9" i="264" s="1"/>
  <c r="AY982" i="275"/>
  <c r="AY1116" i="259"/>
  <c r="AY1101" i="259"/>
  <c r="J955" i="275"/>
  <c r="J911" i="259"/>
  <c r="J911" i="275" s="1"/>
  <c r="N48" i="262"/>
  <c r="R997" i="259"/>
  <c r="R999" i="259" s="1"/>
  <c r="AV969" i="259"/>
  <c r="AV969" i="275" s="1"/>
  <c r="K969" i="275"/>
  <c r="T130" i="262"/>
  <c r="T134" i="259"/>
  <c r="J789" i="259"/>
  <c r="N789" i="275" s="1"/>
  <c r="J782" i="275"/>
  <c r="AV723" i="259"/>
  <c r="I723" i="275"/>
  <c r="AY44" i="275"/>
  <c r="W142" i="275"/>
  <c r="U131" i="259"/>
  <c r="U432" i="275"/>
  <c r="Y432" i="275"/>
  <c r="AX600" i="275"/>
  <c r="L871" i="275"/>
  <c r="L1378" i="259"/>
  <c r="L1379" i="259" s="1"/>
  <c r="Z52" i="275"/>
  <c r="Z53" i="259"/>
  <c r="U8" i="275"/>
  <c r="U136" i="262"/>
  <c r="N161" i="259"/>
  <c r="N119" i="261" s="1"/>
  <c r="N160" i="275"/>
  <c r="H1101" i="259"/>
  <c r="H982" i="275"/>
  <c r="H1116" i="259"/>
  <c r="M487" i="259"/>
  <c r="M479" i="275"/>
  <c r="R487" i="259"/>
  <c r="R479" i="275"/>
  <c r="W911" i="259"/>
  <c r="W955" i="275"/>
  <c r="N287" i="259"/>
  <c r="N120" i="261" s="1"/>
  <c r="N286" i="275"/>
  <c r="Q75" i="275"/>
  <c r="U1039" i="275"/>
  <c r="Y1039" i="275"/>
  <c r="S273" i="261"/>
  <c r="S905" i="275"/>
  <c r="S270" i="261"/>
  <c r="AV641" i="275"/>
  <c r="AV642" i="259"/>
  <c r="AV46" i="259"/>
  <c r="AV46" i="275" s="1"/>
  <c r="T991" i="259"/>
  <c r="W990" i="275"/>
  <c r="R68" i="259"/>
  <c r="R123" i="275"/>
  <c r="H273" i="261"/>
  <c r="H905" i="275"/>
  <c r="AY140" i="275"/>
  <c r="N127" i="262"/>
  <c r="U287" i="259"/>
  <c r="U120" i="261" s="1"/>
  <c r="U286" i="275"/>
  <c r="Y286" i="275"/>
  <c r="AY948" i="275"/>
  <c r="AY968" i="275"/>
  <c r="AX967" i="275"/>
  <c r="P723" i="275"/>
  <c r="AX723" i="259"/>
  <c r="S210" i="275"/>
  <c r="S211" i="259"/>
  <c r="K7" i="275"/>
  <c r="K135" i="262"/>
  <c r="U652" i="259"/>
  <c r="U646" i="275"/>
  <c r="H1031" i="275"/>
  <c r="H1033" i="259"/>
  <c r="H1033" i="275" s="1"/>
  <c r="L487" i="259"/>
  <c r="L479" i="275"/>
  <c r="V652" i="259"/>
  <c r="V646" i="275"/>
  <c r="U812" i="259"/>
  <c r="U809" i="275"/>
  <c r="AX456" i="275"/>
  <c r="AW990" i="259"/>
  <c r="O990" i="275"/>
  <c r="O991" i="259"/>
  <c r="S991" i="275" s="1"/>
  <c r="N8" i="275"/>
  <c r="N136" i="262"/>
  <c r="T210" i="275"/>
  <c r="T211" i="259"/>
  <c r="X974" i="275"/>
  <c r="AX75" i="262"/>
  <c r="M365" i="259"/>
  <c r="M121" i="261" s="1"/>
  <c r="M364" i="275"/>
  <c r="H479" i="275"/>
  <c r="H487" i="259"/>
  <c r="I1494" i="259"/>
  <c r="I196" i="262" s="1"/>
  <c r="I924" i="275"/>
  <c r="Q652" i="259"/>
  <c r="Q646" i="275"/>
  <c r="P487" i="259"/>
  <c r="P479" i="275"/>
  <c r="U479" i="275"/>
  <c r="Y479" i="275"/>
  <c r="U487" i="259"/>
  <c r="W479" i="275"/>
  <c r="W487" i="259"/>
  <c r="AX858" i="275"/>
  <c r="W1033" i="259"/>
  <c r="W1033" i="275" s="1"/>
  <c r="W1031" i="275"/>
  <c r="P365" i="259"/>
  <c r="P121" i="261" s="1"/>
  <c r="P364" i="275"/>
  <c r="AV175" i="262"/>
  <c r="AV872" i="275"/>
  <c r="AW973" i="275"/>
  <c r="K1033" i="259"/>
  <c r="K1033" i="275" s="1"/>
  <c r="K1031" i="275"/>
  <c r="P929" i="275"/>
  <c r="AY591" i="275"/>
  <c r="AY582" i="275"/>
  <c r="M905" i="275"/>
  <c r="Q1031" i="275"/>
  <c r="Q1033" i="259"/>
  <c r="U969" i="275"/>
  <c r="Y969" i="275"/>
  <c r="V287" i="259"/>
  <c r="V120" i="261" s="1"/>
  <c r="Z286" i="275"/>
  <c r="V286" i="275"/>
  <c r="AW445" i="275"/>
  <c r="AY40" i="259"/>
  <c r="AY40" i="275" s="1"/>
  <c r="AY37" i="275"/>
  <c r="AW733" i="259"/>
  <c r="AW720" i="275"/>
  <c r="S40" i="275"/>
  <c r="AX1638" i="259"/>
  <c r="U453" i="275"/>
  <c r="AX978" i="275"/>
  <c r="Q871" i="275"/>
  <c r="AX753" i="275"/>
  <c r="AZ598" i="259"/>
  <c r="AZ598" i="275" s="1"/>
  <c r="AZ600" i="275"/>
  <c r="S1039" i="275"/>
  <c r="X48" i="262"/>
  <c r="M955" i="275"/>
  <c r="N871" i="275"/>
  <c r="Q9" i="275"/>
  <c r="I124" i="275"/>
  <c r="AX1040" i="259"/>
  <c r="AX1039" i="275"/>
  <c r="K821" i="259"/>
  <c r="K65" i="275"/>
  <c r="U9" i="259"/>
  <c r="U9" i="275" s="1"/>
  <c r="U7" i="275"/>
  <c r="U135" i="262"/>
  <c r="AV432" i="259"/>
  <c r="Z124" i="275"/>
  <c r="AX453" i="259"/>
  <c r="AX453" i="275" s="1"/>
  <c r="AX452" i="275"/>
  <c r="K50" i="275"/>
  <c r="K126" i="262"/>
  <c r="AU7" i="277"/>
  <c r="AU134" i="262"/>
  <c r="AY820" i="259"/>
  <c r="AY59" i="275"/>
  <c r="S926" i="259"/>
  <c r="Z895" i="275"/>
  <c r="V895" i="275"/>
  <c r="AW189" i="262"/>
  <c r="AW922" i="275"/>
  <c r="I500" i="275"/>
  <c r="I492" i="275"/>
  <c r="AX733" i="259"/>
  <c r="AX720" i="275"/>
  <c r="Z51" i="275"/>
  <c r="V127" i="262"/>
  <c r="Z492" i="275"/>
  <c r="AV1039" i="259"/>
  <c r="I1039" i="275"/>
  <c r="L143" i="259"/>
  <c r="L142" i="275"/>
  <c r="S50" i="275"/>
  <c r="S126" i="262"/>
  <c r="S143" i="259"/>
  <c r="S142" i="275"/>
  <c r="AX198" i="261"/>
  <c r="AX543" i="275"/>
  <c r="AX286" i="259"/>
  <c r="AX285" i="275"/>
  <c r="R52" i="275"/>
  <c r="R128" i="262"/>
  <c r="Q50" i="275"/>
  <c r="Q126" i="262"/>
  <c r="H50" i="275"/>
  <c r="H126" i="262"/>
  <c r="Z911" i="275"/>
  <c r="L652" i="259"/>
  <c r="L70" i="259" s="1"/>
  <c r="P652" i="259"/>
  <c r="T652" i="259"/>
  <c r="T653" i="259" s="1"/>
  <c r="T646" i="275"/>
  <c r="W432" i="259"/>
  <c r="W431" i="275"/>
  <c r="AV211" i="259"/>
  <c r="J821" i="259"/>
  <c r="J65" i="275"/>
  <c r="AX364" i="259"/>
  <c r="AX363" i="275"/>
  <c r="L50" i="275"/>
  <c r="L126" i="262"/>
  <c r="M65" i="275"/>
  <c r="N68" i="259"/>
  <c r="N123" i="275"/>
  <c r="I997" i="259"/>
  <c r="I991" i="275"/>
  <c r="O658" i="275"/>
  <c r="AX929" i="275"/>
  <c r="AX263" i="262"/>
  <c r="AX1686" i="259"/>
  <c r="T52" i="259"/>
  <c r="X52" i="275" s="1"/>
  <c r="T642" i="275"/>
  <c r="M925" i="275"/>
  <c r="P1378" i="259"/>
  <c r="P1379" i="259" s="1"/>
  <c r="P871" i="275"/>
  <c r="AV624" i="275"/>
  <c r="Q365" i="259"/>
  <c r="Q121" i="261" s="1"/>
  <c r="Q364" i="275"/>
  <c r="AY222" i="262"/>
  <c r="AY32" i="277"/>
  <c r="AW1018" i="259"/>
  <c r="AX1018" i="275" s="1"/>
  <c r="AW1016" i="275"/>
  <c r="AW1685" i="259"/>
  <c r="U123" i="275"/>
  <c r="Y123" i="275"/>
  <c r="AY1081" i="259"/>
  <c r="AY1079" i="259" s="1"/>
  <c r="AY286" i="261" s="1"/>
  <c r="AY889" i="275"/>
  <c r="AY186" i="262"/>
  <c r="AY1067" i="259"/>
  <c r="N1607" i="259"/>
  <c r="N1606" i="259" s="1"/>
  <c r="K125" i="259"/>
  <c r="K118" i="261" s="1"/>
  <c r="J68" i="259"/>
  <c r="J68" i="275" s="1"/>
  <c r="J123" i="275"/>
  <c r="K143" i="259"/>
  <c r="K142" i="275"/>
  <c r="AX905" i="259"/>
  <c r="AY270" i="261" s="1"/>
  <c r="AX902" i="275"/>
  <c r="X128" i="262"/>
  <c r="AW160" i="259"/>
  <c r="AW159" i="275"/>
  <c r="AW1351" i="259"/>
  <c r="AW870" i="275"/>
  <c r="T895" i="275"/>
  <c r="AY1055" i="275"/>
  <c r="P1494" i="259"/>
  <c r="P196" i="262" s="1"/>
  <c r="P924" i="275"/>
  <c r="K652" i="259"/>
  <c r="O652" i="275" s="1"/>
  <c r="U911" i="259"/>
  <c r="U955" i="275"/>
  <c r="Y955" i="275"/>
  <c r="AX820" i="259"/>
  <c r="AX59" i="275"/>
  <c r="AW24" i="262"/>
  <c r="AW542" i="275"/>
  <c r="O911" i="259"/>
  <c r="O955" i="275"/>
  <c r="O895" i="275"/>
  <c r="W257" i="262"/>
  <c r="W782" i="275"/>
  <c r="W789" i="259"/>
  <c r="W94" i="262"/>
  <c r="Q7" i="275"/>
  <c r="Q135" i="262"/>
  <c r="AW75" i="262"/>
  <c r="AV75" i="262"/>
  <c r="N273" i="261"/>
  <c r="N905" i="275"/>
  <c r="R273" i="261"/>
  <c r="R905" i="275"/>
  <c r="R270" i="261"/>
  <c r="R131" i="259"/>
  <c r="R432" i="275"/>
  <c r="O161" i="259"/>
  <c r="O119" i="261" s="1"/>
  <c r="O160" i="275"/>
  <c r="P270" i="261"/>
  <c r="O905" i="275"/>
  <c r="AW845" i="259"/>
  <c r="O845" i="275"/>
  <c r="H131" i="259"/>
  <c r="H432" i="275"/>
  <c r="S871" i="275"/>
  <c r="P161" i="259"/>
  <c r="P119" i="261" s="1"/>
  <c r="P160" i="275"/>
  <c r="U990" i="275"/>
  <c r="Y990" i="275"/>
  <c r="R983" i="275"/>
  <c r="AW44" i="275"/>
  <c r="V1101" i="259"/>
  <c r="Z982" i="275"/>
  <c r="V982" i="275"/>
  <c r="V1116" i="259"/>
  <c r="V8" i="275"/>
  <c r="V136" i="262"/>
  <c r="J287" i="259"/>
  <c r="J120" i="261" s="1"/>
  <c r="J286" i="275"/>
  <c r="L969" i="275"/>
  <c r="P273" i="261"/>
  <c r="P905" i="275"/>
  <c r="AV974" i="259"/>
  <c r="AV974" i="275" s="1"/>
  <c r="K974" i="275"/>
  <c r="K479" i="275"/>
  <c r="K487" i="259"/>
  <c r="AW974" i="259"/>
  <c r="AW974" i="275" s="1"/>
  <c r="O974" i="275"/>
  <c r="Z845" i="275"/>
  <c r="V845" i="275"/>
  <c r="AY979" i="259"/>
  <c r="AY979" i="275" s="1"/>
  <c r="W979" i="275"/>
  <c r="R845" i="275"/>
  <c r="P974" i="275"/>
  <c r="M131" i="259"/>
  <c r="M432" i="275"/>
  <c r="N652" i="259"/>
  <c r="N646" i="275"/>
  <c r="I273" i="261"/>
  <c r="I905" i="275"/>
  <c r="I270" i="261"/>
  <c r="Q969" i="275"/>
  <c r="P46" i="275"/>
  <c r="T50" i="275"/>
  <c r="T126" i="262"/>
  <c r="Z983" i="275"/>
  <c r="V983" i="275"/>
  <c r="AY666" i="275"/>
  <c r="AZ666" i="275"/>
  <c r="P143" i="259"/>
  <c r="P142" i="275"/>
  <c r="AV121" i="275"/>
  <c r="AW74" i="275"/>
  <c r="Z974" i="275"/>
  <c r="V974" i="275"/>
  <c r="L7" i="275"/>
  <c r="L135" i="262"/>
  <c r="AW7" i="259"/>
  <c r="Y652" i="259"/>
  <c r="Y646" i="275"/>
  <c r="X65" i="275"/>
  <c r="E42" i="273"/>
  <c r="J161" i="259"/>
  <c r="J119" i="261" s="1"/>
  <c r="J160" i="275"/>
  <c r="R955" i="275"/>
  <c r="R911" i="259"/>
  <c r="R911" i="275" s="1"/>
  <c r="W273" i="261"/>
  <c r="W905" i="275"/>
  <c r="X270" i="261"/>
  <c r="W270" i="261"/>
  <c r="U845" i="275"/>
  <c r="Y845" i="275"/>
  <c r="AX381" i="275"/>
  <c r="N895" i="275"/>
  <c r="AX954" i="275"/>
  <c r="P40" i="275"/>
  <c r="R990" i="275"/>
  <c r="P990" i="275"/>
  <c r="P991" i="259"/>
  <c r="Z7" i="275"/>
  <c r="V7" i="275"/>
  <c r="V135" i="262"/>
  <c r="L1031" i="275"/>
  <c r="L1033" i="259"/>
  <c r="L1033" i="275" s="1"/>
  <c r="AW418" i="275"/>
  <c r="T487" i="259"/>
  <c r="T479" i="275"/>
  <c r="AV706" i="259"/>
  <c r="AV706" i="275" s="1"/>
  <c r="AV705" i="275"/>
  <c r="R50" i="275"/>
  <c r="R126" i="262"/>
  <c r="Q845" i="275"/>
  <c r="M453" i="275"/>
  <c r="U365" i="259"/>
  <c r="U121" i="261" s="1"/>
  <c r="U364" i="275"/>
  <c r="Y364" i="275"/>
  <c r="O453" i="275"/>
  <c r="V161" i="259"/>
  <c r="V119" i="261" s="1"/>
  <c r="Z160" i="275"/>
  <c r="V160" i="275"/>
  <c r="AW753" i="275"/>
  <c r="T979" i="275"/>
  <c r="V1033" i="259"/>
  <c r="Z1031" i="275"/>
  <c r="V1031" i="275"/>
  <c r="AY886" i="275"/>
  <c r="L365" i="259"/>
  <c r="L121" i="261" s="1"/>
  <c r="L364" i="275"/>
  <c r="I143" i="259"/>
  <c r="I142" i="275"/>
  <c r="L895" i="275"/>
  <c r="AX706" i="259"/>
  <c r="AX706" i="275" s="1"/>
  <c r="AX705" i="275"/>
  <c r="Q782" i="275"/>
  <c r="Q479" i="275"/>
  <c r="K983" i="275"/>
  <c r="P123" i="275"/>
  <c r="AX7" i="277"/>
  <c r="AX6" i="275"/>
  <c r="AX134" i="262"/>
  <c r="M652" i="259"/>
  <c r="M652" i="275" s="1"/>
  <c r="M646" i="275"/>
  <c r="AX990" i="275"/>
  <c r="U789" i="275"/>
  <c r="Y68" i="275"/>
  <c r="AV453" i="259"/>
  <c r="AV453" i="275" s="1"/>
  <c r="AV452" i="275"/>
  <c r="BB110" i="262"/>
  <c r="BB802" i="275"/>
  <c r="W991" i="275"/>
  <c r="I131" i="259"/>
  <c r="I134" i="259" s="1"/>
  <c r="I134" i="275" s="1"/>
  <c r="I432" i="275"/>
  <c r="P911" i="275"/>
  <c r="AX87" i="262"/>
  <c r="AX769" i="275"/>
  <c r="Q131" i="259"/>
  <c r="Q134" i="259" s="1"/>
  <c r="Q432" i="275"/>
  <c r="H9" i="275"/>
  <c r="K926" i="259"/>
  <c r="O926" i="259"/>
  <c r="R926" i="259"/>
  <c r="R925" i="275"/>
  <c r="AY257" i="262"/>
  <c r="J652" i="259"/>
  <c r="J646" i="275"/>
  <c r="AX784" i="259"/>
  <c r="AY784" i="275" s="1"/>
  <c r="R784" i="275"/>
  <c r="I511" i="259"/>
  <c r="I512" i="275"/>
  <c r="AW364" i="259"/>
  <c r="AW363" i="275"/>
  <c r="AV100" i="259"/>
  <c r="P785" i="275"/>
  <c r="S68" i="259"/>
  <c r="S123" i="275"/>
  <c r="T68" i="259"/>
  <c r="T68" i="275" s="1"/>
  <c r="T123" i="275"/>
  <c r="R652" i="259"/>
  <c r="R70" i="259" s="1"/>
  <c r="R646" i="275"/>
  <c r="O50" i="275"/>
  <c r="O126" i="262"/>
  <c r="H52" i="275"/>
  <c r="H128" i="262"/>
  <c r="AX1505" i="259"/>
  <c r="AX115" i="275"/>
  <c r="Q511" i="259"/>
  <c r="AY1505" i="259"/>
  <c r="AY112" i="261" s="1"/>
  <c r="AY115" i="275"/>
  <c r="AY181" i="259"/>
  <c r="AY181" i="275" s="1"/>
  <c r="AY178" i="275"/>
  <c r="V1102" i="259"/>
  <c r="Z984" i="275"/>
  <c r="V984" i="275"/>
  <c r="AV1081" i="259"/>
  <c r="AV889" i="275"/>
  <c r="AV186" i="262"/>
  <c r="AV189" i="262"/>
  <c r="AV922" i="275"/>
  <c r="X925" i="259"/>
  <c r="W871" i="275"/>
  <c r="U1018" i="275"/>
  <c r="Y1018" i="275"/>
  <c r="AV1016" i="275"/>
  <c r="AV1685" i="259"/>
  <c r="W50" i="275"/>
  <c r="W126" i="262"/>
  <c r="U265" i="261"/>
  <c r="T955" i="275"/>
  <c r="AY658" i="259"/>
  <c r="AY657" i="275"/>
  <c r="AZ657" i="275"/>
  <c r="U997" i="259"/>
  <c r="U991" i="275"/>
  <c r="Y991" i="275"/>
  <c r="AY139" i="275"/>
  <c r="O1100" i="259"/>
  <c r="O983" i="275"/>
  <c r="AV542" i="275"/>
  <c r="AV204" i="261"/>
  <c r="AV544" i="275"/>
  <c r="V782" i="275"/>
  <c r="AV1055" i="275"/>
  <c r="K997" i="259"/>
  <c r="K991" i="275"/>
  <c r="AY364" i="259"/>
  <c r="AY363" i="275"/>
  <c r="M68" i="259"/>
  <c r="M123" i="275"/>
  <c r="AX895" i="275"/>
  <c r="AW1494" i="259"/>
  <c r="AW196" i="262" s="1"/>
  <c r="Q51" i="259"/>
  <c r="Q487" i="275"/>
  <c r="L820" i="259"/>
  <c r="L59" i="275"/>
  <c r="N511" i="259"/>
  <c r="U50" i="275"/>
  <c r="Y50" i="275"/>
  <c r="U126" i="262"/>
  <c r="AW1040" i="259"/>
  <c r="AW1039" i="275"/>
  <c r="X652" i="259"/>
  <c r="X653" i="259" s="1"/>
  <c r="X646" i="275"/>
  <c r="AW263" i="261"/>
  <c r="AV953" i="275"/>
  <c r="U926" i="259"/>
  <c r="Q65" i="275"/>
  <c r="M1039" i="275"/>
  <c r="AV140" i="275"/>
  <c r="I68" i="259"/>
  <c r="I68" i="275" s="1"/>
  <c r="I123" i="275"/>
  <c r="H1494" i="259"/>
  <c r="H196" i="262" s="1"/>
  <c r="H924" i="275"/>
  <c r="AU1081" i="259"/>
  <c r="AU186" i="262"/>
  <c r="R1494" i="259"/>
  <c r="R196" i="262" s="1"/>
  <c r="R924" i="275"/>
  <c r="W1494" i="259"/>
  <c r="W196" i="262" s="1"/>
  <c r="W924" i="275"/>
  <c r="AW204" i="261"/>
  <c r="AW544" i="275"/>
  <c r="F9" i="259"/>
  <c r="F21" i="259" s="1"/>
  <c r="F1489" i="259" s="1"/>
  <c r="F136" i="262"/>
  <c r="J9" i="259"/>
  <c r="J8" i="275"/>
  <c r="J136" i="262"/>
  <c r="M1494" i="259"/>
  <c r="M196" i="262" s="1"/>
  <c r="M924" i="275"/>
  <c r="Z1018" i="275"/>
  <c r="V1018" i="275"/>
  <c r="AY141" i="275"/>
  <c r="AY263" i="262"/>
  <c r="AY1686" i="259"/>
  <c r="H646" i="259"/>
  <c r="L646" i="275" s="1"/>
  <c r="H642" i="275"/>
  <c r="AV990" i="259"/>
  <c r="AV990" i="275" s="1"/>
  <c r="K990" i="275"/>
  <c r="X997" i="259"/>
  <c r="X991" i="275"/>
  <c r="R1116" i="259"/>
  <c r="R982" i="275"/>
  <c r="R1101" i="259"/>
  <c r="H7" i="275"/>
  <c r="H135" i="262"/>
  <c r="AV7" i="259"/>
  <c r="X1116" i="259"/>
  <c r="X982" i="275"/>
  <c r="X1101" i="259"/>
  <c r="O210" i="275"/>
  <c r="O211" i="259"/>
  <c r="O7" i="275"/>
  <c r="O135" i="262"/>
  <c r="L990" i="275"/>
  <c r="L991" i="259"/>
  <c r="H365" i="259"/>
  <c r="H121" i="261" s="1"/>
  <c r="H364" i="275"/>
  <c r="O1031" i="275"/>
  <c r="O1033" i="259"/>
  <c r="Q161" i="259"/>
  <c r="Q119" i="261" s="1"/>
  <c r="Q160" i="275"/>
  <c r="AY175" i="262"/>
  <c r="AY872" i="275"/>
  <c r="L131" i="259"/>
  <c r="L432" i="275"/>
  <c r="Q911" i="259"/>
  <c r="Q911" i="275" s="1"/>
  <c r="Q955" i="275"/>
  <c r="M895" i="275"/>
  <c r="J991" i="259"/>
  <c r="J990" i="275"/>
  <c r="AX839" i="275"/>
  <c r="N785" i="275"/>
  <c r="R453" i="275"/>
  <c r="X845" i="275"/>
  <c r="AV56" i="275"/>
  <c r="AW952" i="275"/>
  <c r="I969" i="275"/>
  <c r="AW642" i="259"/>
  <c r="AW641" i="275"/>
  <c r="AW46" i="259"/>
  <c r="AW46" i="275" s="1"/>
  <c r="O131" i="259"/>
  <c r="O432" i="275"/>
  <c r="AY769" i="275"/>
  <c r="S782" i="275"/>
  <c r="Z652" i="259"/>
  <c r="Z646" i="275"/>
  <c r="L40" i="275"/>
  <c r="X46" i="275"/>
  <c r="R210" i="275"/>
  <c r="R211" i="259"/>
  <c r="AY487" i="259"/>
  <c r="Z65" i="275"/>
  <c r="V65" i="275"/>
  <c r="L929" i="275"/>
  <c r="U974" i="275"/>
  <c r="Y974" i="275"/>
  <c r="I1378" i="259"/>
  <c r="I1379" i="259" s="1"/>
  <c r="I871" i="275"/>
  <c r="W161" i="259"/>
  <c r="W119" i="261" s="1"/>
  <c r="W160" i="275"/>
  <c r="R1018" i="275"/>
  <c r="Z364" i="275"/>
  <c r="V364" i="275"/>
  <c r="N257" i="262"/>
  <c r="N782" i="275"/>
  <c r="T969" i="275"/>
  <c r="H997" i="259"/>
  <c r="H991" i="275"/>
  <c r="AX845" i="259"/>
  <c r="S845" i="275"/>
  <c r="Q287" i="259"/>
  <c r="Q120" i="261" s="1"/>
  <c r="Q286" i="275"/>
  <c r="X365" i="259"/>
  <c r="X121" i="261" s="1"/>
  <c r="X364" i="275"/>
  <c r="Z453" i="275"/>
  <c r="V453" i="275"/>
  <c r="X131" i="259"/>
  <c r="X432" i="275"/>
  <c r="N1116" i="259"/>
  <c r="N982" i="275"/>
  <c r="N1101" i="259"/>
  <c r="AV673" i="259"/>
  <c r="AV664" i="275"/>
  <c r="AW948" i="275"/>
  <c r="AX340" i="275"/>
  <c r="R979" i="275"/>
  <c r="S7" i="275"/>
  <c r="S135" i="262"/>
  <c r="J7" i="275"/>
  <c r="J135" i="262"/>
  <c r="L273" i="261"/>
  <c r="L905" i="275"/>
  <c r="AY845" i="259"/>
  <c r="AY845" i="275" s="1"/>
  <c r="W845" i="275"/>
  <c r="AV479" i="275"/>
  <c r="AV487" i="259"/>
  <c r="X642" i="275"/>
  <c r="AV845" i="259"/>
  <c r="AV845" i="275" s="1"/>
  <c r="K845" i="275"/>
  <c r="N991" i="259"/>
  <c r="R991" i="275" s="1"/>
  <c r="N990" i="275"/>
  <c r="P1018" i="275"/>
  <c r="AW769" i="275"/>
  <c r="AZ456" i="275"/>
  <c r="AY456" i="275"/>
  <c r="W365" i="259"/>
  <c r="W121" i="261" s="1"/>
  <c r="W364" i="275"/>
  <c r="I8" i="275"/>
  <c r="I136" i="262"/>
  <c r="L287" i="259"/>
  <c r="L120" i="261" s="1"/>
  <c r="L286" i="275"/>
  <c r="Z979" i="275"/>
  <c r="V979" i="275"/>
  <c r="AW74" i="262"/>
  <c r="I7" i="275"/>
  <c r="I135" i="262"/>
  <c r="Z1039" i="275"/>
  <c r="V1039" i="275"/>
  <c r="H1039" i="275"/>
  <c r="O487" i="259"/>
  <c r="O479" i="275"/>
  <c r="AY989" i="275"/>
  <c r="AY967" i="275"/>
  <c r="AX969" i="259"/>
  <c r="S969" i="275"/>
  <c r="I1416" i="259"/>
  <c r="I331" i="261" s="1"/>
  <c r="I1427" i="259"/>
  <c r="I1428" i="259" s="1"/>
  <c r="I335" i="261" s="1"/>
  <c r="AY234" i="275"/>
  <c r="AW210" i="259"/>
  <c r="T929" i="275"/>
  <c r="AV287" i="259"/>
  <c r="AV120" i="261" s="1"/>
  <c r="AV286" i="275"/>
  <c r="X59" i="275"/>
  <c r="V131" i="259"/>
  <c r="Z432" i="275"/>
  <c r="V432" i="275"/>
  <c r="V955" i="275"/>
  <c r="S131" i="259"/>
  <c r="S432" i="275"/>
  <c r="AV7" i="277"/>
  <c r="AV6" i="275"/>
  <c r="AV134" i="262"/>
  <c r="M52" i="275"/>
  <c r="M128" i="262"/>
  <c r="AW40" i="259"/>
  <c r="AX40" i="275" s="1"/>
  <c r="AW37" i="275"/>
  <c r="H453" i="275"/>
  <c r="Z50" i="275"/>
  <c r="V50" i="275"/>
  <c r="V126" i="262"/>
  <c r="AY990" i="275"/>
  <c r="P68" i="275"/>
  <c r="O809" i="259"/>
  <c r="O812" i="259" s="1"/>
  <c r="AY453" i="259"/>
  <c r="AY452" i="275"/>
  <c r="AX432" i="259"/>
  <c r="AX431" i="275"/>
  <c r="R257" i="262"/>
  <c r="R782" i="275"/>
  <c r="AV820" i="259"/>
  <c r="T926" i="259"/>
  <c r="AV871" i="275"/>
  <c r="N926" i="259"/>
  <c r="J52" i="275"/>
  <c r="J128" i="262"/>
  <c r="X7" i="275"/>
  <c r="X135" i="262"/>
  <c r="AW7" i="277"/>
  <c r="AW6" i="275"/>
  <c r="AW134" i="262"/>
  <c r="Z500" i="275"/>
  <c r="H969" i="275"/>
  <c r="L28" i="259"/>
  <c r="L9" i="275"/>
  <c r="S52" i="275"/>
  <c r="S128" i="262"/>
  <c r="AY303" i="275"/>
  <c r="AY286" i="259"/>
  <c r="AY285" i="275"/>
  <c r="AW286" i="259"/>
  <c r="AW285" i="275"/>
  <c r="K785" i="275"/>
  <c r="O365" i="259"/>
  <c r="O121" i="261" s="1"/>
  <c r="O364" i="275"/>
  <c r="M50" i="275"/>
  <c r="M126" i="262"/>
  <c r="AV198" i="261"/>
  <c r="AV543" i="275"/>
  <c r="S287" i="259"/>
  <c r="S120" i="261" s="1"/>
  <c r="S286" i="275"/>
  <c r="T365" i="259"/>
  <c r="T121" i="261" s="1"/>
  <c r="T364" i="275"/>
  <c r="X955" i="275"/>
  <c r="Y265" i="261"/>
  <c r="Q143" i="259"/>
  <c r="Q142" i="275"/>
  <c r="AY204" i="261"/>
  <c r="AY544" i="275"/>
  <c r="AW198" i="261"/>
  <c r="AW543" i="275"/>
  <c r="AW62" i="275"/>
  <c r="AW142" i="262"/>
  <c r="F53" i="259"/>
  <c r="F819" i="259" s="1"/>
  <c r="F127" i="262"/>
  <c r="M124" i="275"/>
  <c r="AY234" i="261"/>
  <c r="AY691" i="275"/>
  <c r="I1033" i="259"/>
  <c r="I1033" i="275" s="1"/>
  <c r="I1031" i="275"/>
  <c r="J125" i="259"/>
  <c r="J118" i="261" s="1"/>
  <c r="J124" i="275"/>
  <c r="AX955" i="259"/>
  <c r="AX955" i="275" s="1"/>
  <c r="S955" i="275"/>
  <c r="M997" i="259"/>
  <c r="M997" i="275" s="1"/>
  <c r="M991" i="275"/>
  <c r="AY1016" i="275"/>
  <c r="AY1685" i="259"/>
  <c r="AV364" i="259"/>
  <c r="AV363" i="275"/>
  <c r="AX263" i="261"/>
  <c r="AX953" i="275"/>
  <c r="L1102" i="259"/>
  <c r="T257" i="262"/>
  <c r="T782" i="275"/>
  <c r="AX136" i="262"/>
  <c r="U143" i="259"/>
  <c r="U142" i="275"/>
  <c r="Y142" i="275"/>
  <c r="AW732" i="259"/>
  <c r="AW691" i="275"/>
  <c r="I984" i="259"/>
  <c r="I983" i="275"/>
  <c r="K265" i="261"/>
  <c r="K955" i="275"/>
  <c r="AX160" i="259"/>
  <c r="AX159" i="275"/>
  <c r="AV905" i="259"/>
  <c r="AW270" i="261" s="1"/>
  <c r="AV902" i="275"/>
  <c r="AX624" i="275"/>
  <c r="AX658" i="259"/>
  <c r="AX657" i="275"/>
  <c r="H161" i="259"/>
  <c r="H119" i="261" s="1"/>
  <c r="H160" i="275"/>
  <c r="S793" i="259"/>
  <c r="S102" i="262" s="1"/>
  <c r="U984" i="259"/>
  <c r="U1102" i="259" s="1"/>
  <c r="U983" i="275"/>
  <c r="Y983" i="275"/>
  <c r="AX204" i="261"/>
  <c r="AX544" i="275"/>
  <c r="T1494" i="259"/>
  <c r="T196" i="262" s="1"/>
  <c r="T924" i="275"/>
  <c r="S1494" i="259"/>
  <c r="S196" i="262" s="1"/>
  <c r="S924" i="275"/>
  <c r="Q1494" i="259"/>
  <c r="Q196" i="262" s="1"/>
  <c r="Q924" i="275"/>
  <c r="N1494" i="259"/>
  <c r="N196" i="262" s="1"/>
  <c r="N924" i="275"/>
  <c r="AX479" i="259"/>
  <c r="AY479" i="275" s="1"/>
  <c r="AX476" i="275"/>
  <c r="M1018" i="275"/>
  <c r="K68" i="259"/>
  <c r="K68" i="275" s="1"/>
  <c r="K123" i="275"/>
  <c r="M1378" i="259"/>
  <c r="M1379" i="259" s="1"/>
  <c r="M871" i="275"/>
  <c r="I287" i="259"/>
  <c r="I120" i="261" s="1"/>
  <c r="I286" i="275"/>
  <c r="N7" i="275"/>
  <c r="N135" i="262"/>
  <c r="AW479" i="275"/>
  <c r="AW487" i="259"/>
  <c r="J479" i="275"/>
  <c r="J487" i="259"/>
  <c r="P65" i="275"/>
  <c r="K160" i="275"/>
  <c r="K161" i="259"/>
  <c r="K119" i="261" s="1"/>
  <c r="R143" i="259"/>
  <c r="R142" i="275"/>
  <c r="O65" i="275"/>
  <c r="S1548" i="259"/>
  <c r="S76" i="259" s="1"/>
  <c r="S658" i="275"/>
  <c r="L453" i="275"/>
  <c r="U52" i="275"/>
  <c r="U128" i="262"/>
  <c r="AV733" i="259"/>
  <c r="AV720" i="275"/>
  <c r="P131" i="259"/>
  <c r="T131" i="275" s="1"/>
  <c r="P432" i="275"/>
  <c r="AV40" i="259"/>
  <c r="AV40" i="275" s="1"/>
  <c r="AV1547" i="259"/>
  <c r="AV75" i="259" s="1"/>
  <c r="AV75" i="275" s="1"/>
  <c r="AV506" i="275"/>
  <c r="L845" i="275"/>
  <c r="AY642" i="259"/>
  <c r="AY641" i="275"/>
  <c r="AY46" i="259"/>
  <c r="AZ641" i="275"/>
  <c r="J273" i="261"/>
  <c r="J905" i="275"/>
  <c r="N479" i="275"/>
  <c r="R974" i="275"/>
  <c r="M979" i="275"/>
  <c r="K365" i="259"/>
  <c r="K121" i="261" s="1"/>
  <c r="K364" i="275"/>
  <c r="AV979" i="259"/>
  <c r="AV979" i="275" s="1"/>
  <c r="K979" i="275"/>
  <c r="S479" i="275"/>
  <c r="S487" i="259"/>
  <c r="AV982" i="259"/>
  <c r="AW982" i="275" s="1"/>
  <c r="K982" i="275"/>
  <c r="K1101" i="259"/>
  <c r="K1116" i="259"/>
  <c r="AY969" i="259"/>
  <c r="W969" i="275"/>
  <c r="V991" i="259"/>
  <c r="Z990" i="275"/>
  <c r="V990" i="275"/>
  <c r="K128" i="262"/>
  <c r="M161" i="259"/>
  <c r="M119" i="261" s="1"/>
  <c r="M160" i="275"/>
  <c r="U1378" i="259"/>
  <c r="U1379" i="259" s="1"/>
  <c r="U871" i="275"/>
  <c r="Y871" i="275"/>
  <c r="AW175" i="262"/>
  <c r="AW872" i="275"/>
  <c r="R365" i="259"/>
  <c r="R121" i="261" s="1"/>
  <c r="R364" i="275"/>
  <c r="O142" i="275"/>
  <c r="S820" i="259"/>
  <c r="S59" i="275"/>
  <c r="U273" i="261"/>
  <c r="U905" i="275"/>
  <c r="Y905" i="275"/>
  <c r="AX642" i="259"/>
  <c r="AX641" i="275"/>
  <c r="AX46" i="259"/>
  <c r="J130" i="262"/>
  <c r="W652" i="259"/>
  <c r="W646" i="275"/>
  <c r="AX37" i="275"/>
  <c r="N821" i="259"/>
  <c r="N65" i="275"/>
  <c r="S983" i="275"/>
  <c r="AX121" i="275"/>
  <c r="X1018" i="275"/>
  <c r="AW303" i="275"/>
  <c r="V784" i="275"/>
  <c r="X871" i="275"/>
  <c r="Y925" i="259"/>
  <c r="AW1081" i="259"/>
  <c r="AW889" i="275"/>
  <c r="AW186" i="262"/>
  <c r="AX816" i="275"/>
  <c r="Q784" i="275"/>
  <c r="O1018" i="275"/>
  <c r="AY74" i="275"/>
  <c r="AZ74" i="275"/>
  <c r="V273" i="261"/>
  <c r="Z905" i="275"/>
  <c r="V905" i="275"/>
  <c r="V270" i="261"/>
  <c r="U1033" i="259"/>
  <c r="U1031" i="275"/>
  <c r="Y1031" i="275"/>
  <c r="AW953" i="275"/>
  <c r="P453" i="275"/>
  <c r="AW979" i="275"/>
  <c r="AW140" i="275"/>
  <c r="T7" i="275"/>
  <c r="T135" i="262"/>
  <c r="P1116" i="259"/>
  <c r="P982" i="275"/>
  <c r="P1101" i="259"/>
  <c r="Y52" i="275"/>
  <c r="Y128" i="262"/>
  <c r="Y53" i="259"/>
  <c r="M7" i="275"/>
  <c r="M135" i="262"/>
  <c r="R7" i="275"/>
  <c r="R135" i="262"/>
  <c r="R100" i="259"/>
  <c r="R105" i="259" s="1"/>
  <c r="R87" i="259"/>
  <c r="R102" i="259" s="1"/>
  <c r="R104" i="259" s="1"/>
  <c r="U786" i="275"/>
  <c r="L983" i="275"/>
  <c r="S974" i="275"/>
  <c r="AW273" i="261"/>
  <c r="AW905" i="275"/>
  <c r="M723" i="275"/>
  <c r="Q8" i="275"/>
  <c r="Q136" i="262"/>
  <c r="R161" i="259"/>
  <c r="R119" i="261" s="1"/>
  <c r="R160" i="275"/>
  <c r="Z40" i="275"/>
  <c r="V40" i="275"/>
  <c r="T1033" i="259"/>
  <c r="T1033" i="275" s="1"/>
  <c r="T1031" i="275"/>
  <c r="AX418" i="275"/>
  <c r="O924" i="275"/>
  <c r="T1378" i="259"/>
  <c r="T1379" i="259" s="1"/>
  <c r="T871" i="275"/>
  <c r="T273" i="261"/>
  <c r="T905" i="275"/>
  <c r="T161" i="259"/>
  <c r="T119" i="261" s="1"/>
  <c r="T160" i="275"/>
  <c r="K134" i="259"/>
  <c r="K131" i="275"/>
  <c r="K130" i="262"/>
  <c r="N1033" i="259"/>
  <c r="N1031" i="275"/>
  <c r="AY62" i="275"/>
  <c r="AY142" i="262"/>
  <c r="AX1038" i="275"/>
  <c r="L979" i="275"/>
  <c r="M1033" i="259"/>
  <c r="M1033" i="275" s="1"/>
  <c r="M1031" i="275"/>
  <c r="AX666" i="275"/>
  <c r="Q68" i="259"/>
  <c r="Q68" i="275" s="1"/>
  <c r="Q123" i="275"/>
  <c r="AX1016" i="275"/>
  <c r="S365" i="259"/>
  <c r="S121" i="261" s="1"/>
  <c r="S364" i="275"/>
  <c r="P845" i="275"/>
  <c r="H59" i="275"/>
  <c r="V142" i="275"/>
  <c r="N955" i="275"/>
  <c r="AY885" i="275"/>
  <c r="M929" i="275"/>
  <c r="P50" i="275"/>
  <c r="P126" i="262"/>
  <c r="M990" i="275"/>
  <c r="J984" i="259"/>
  <c r="AX982" i="275"/>
  <c r="AX1116" i="259"/>
  <c r="AX1101" i="259"/>
  <c r="BD9" i="262"/>
  <c r="BE548" i="275"/>
  <c r="Y75" i="275"/>
  <c r="N76" i="275"/>
  <c r="X75" i="275"/>
  <c r="AC68" i="262"/>
  <c r="AZ894" i="259"/>
  <c r="AZ894" i="275" s="1"/>
  <c r="AZ917" i="259"/>
  <c r="AZ917" i="275" s="1"/>
  <c r="AZ916" i="259"/>
  <c r="AZ916" i="275" s="1"/>
  <c r="AC864" i="259"/>
  <c r="AC844" i="275"/>
  <c r="AZ1308" i="259"/>
  <c r="AZ173" i="262"/>
  <c r="AZ862" i="275"/>
  <c r="BA66" i="262"/>
  <c r="BA73" i="262" s="1"/>
  <c r="BA422" i="275"/>
  <c r="AZ103" i="262"/>
  <c r="AZ794" i="275"/>
  <c r="AZ107" i="262"/>
  <c r="AZ799" i="275"/>
  <c r="BA42" i="262"/>
  <c r="BA484" i="275"/>
  <c r="AC264" i="262"/>
  <c r="AC151" i="262"/>
  <c r="BA107" i="262"/>
  <c r="BA799" i="275"/>
  <c r="BA65" i="262"/>
  <c r="BA72" i="262" s="1"/>
  <c r="BA344" i="275"/>
  <c r="AZ320" i="259"/>
  <c r="AZ28" i="261" s="1"/>
  <c r="AZ302" i="275"/>
  <c r="AZ262" i="259"/>
  <c r="AZ23" i="261" s="1"/>
  <c r="AZ179" i="275"/>
  <c r="BA64" i="262"/>
  <c r="BA71" i="262" s="1"/>
  <c r="BA243" i="275"/>
  <c r="AC904" i="259"/>
  <c r="AC857" i="259" s="1"/>
  <c r="AZ857" i="259"/>
  <c r="AZ857" i="275" s="1"/>
  <c r="BA103" i="262"/>
  <c r="BA794" i="275"/>
  <c r="AZ952" i="259"/>
  <c r="BB16" i="275"/>
  <c r="Z264" i="262"/>
  <c r="Z151" i="262"/>
  <c r="AC903" i="259"/>
  <c r="AC31" i="262"/>
  <c r="AC522" i="275"/>
  <c r="AZ398" i="259"/>
  <c r="AZ32" i="261" s="1"/>
  <c r="AZ380" i="275"/>
  <c r="AC900" i="259"/>
  <c r="AZ263" i="259"/>
  <c r="AZ24" i="261" s="1"/>
  <c r="AZ180" i="275"/>
  <c r="BA69" i="262"/>
  <c r="BA76" i="262" s="1"/>
  <c r="BA244" i="275"/>
  <c r="AC92" i="261"/>
  <c r="AC245" i="275"/>
  <c r="AE92" i="261"/>
  <c r="AE245" i="275"/>
  <c r="AD92" i="261"/>
  <c r="AD245" i="275"/>
  <c r="AZ10" i="262"/>
  <c r="AZ558" i="275"/>
  <c r="BD548" i="275"/>
  <c r="AD14" i="262"/>
  <c r="AD551" i="275"/>
  <c r="AV19" i="262"/>
  <c r="AV539" i="275"/>
  <c r="AC8" i="262"/>
  <c r="AC538" i="275"/>
  <c r="BC9" i="262"/>
  <c r="BC548" i="275"/>
  <c r="BA9" i="262"/>
  <c r="BA548" i="275"/>
  <c r="AY19" i="262"/>
  <c r="AY539" i="275"/>
  <c r="AX539" i="275"/>
  <c r="AZ60" i="262"/>
  <c r="AZ202" i="275"/>
  <c r="BB14" i="262"/>
  <c r="AZ9" i="262"/>
  <c r="AZ548" i="275"/>
  <c r="Z14" i="262"/>
  <c r="AE551" i="275"/>
  <c r="AC14" i="262"/>
  <c r="AC551" i="275"/>
  <c r="F31" i="273"/>
  <c r="BB548" i="275"/>
  <c r="BA10" i="262"/>
  <c r="BA558" i="275"/>
  <c r="AY201" i="259"/>
  <c r="AY200" i="275"/>
  <c r="AW19" i="262"/>
  <c r="AW539" i="275"/>
  <c r="AC35" i="262"/>
  <c r="AC534" i="275"/>
  <c r="AE35" i="262"/>
  <c r="AE534" i="275"/>
  <c r="AZ35" i="262"/>
  <c r="AZ534" i="275"/>
  <c r="BA1610" i="259"/>
  <c r="BA482" i="275"/>
  <c r="AD35" i="262"/>
  <c r="AD44" i="262" s="1"/>
  <c r="AD534" i="275"/>
  <c r="AE30" i="262"/>
  <c r="AE522" i="275"/>
  <c r="BA1611" i="259"/>
  <c r="BA481" i="275"/>
  <c r="F73" i="264"/>
  <c r="H73" i="264" s="1"/>
  <c r="AD864" i="259"/>
  <c r="AD864" i="275" s="1"/>
  <c r="AA167" i="262"/>
  <c r="AZ1366" i="259"/>
  <c r="Y55" i="262"/>
  <c r="Y179" i="262"/>
  <c r="Y44" i="262"/>
  <c r="AX1674" i="259"/>
  <c r="AE31" i="262"/>
  <c r="Y1685" i="259"/>
  <c r="I263" i="262"/>
  <c r="I1686" i="259"/>
  <c r="W263" i="262"/>
  <c r="W1686" i="259"/>
  <c r="S288" i="261"/>
  <c r="H925" i="259"/>
  <c r="H925" i="275" s="1"/>
  <c r="H1378" i="259"/>
  <c r="H1379" i="259" s="1"/>
  <c r="O265" i="261"/>
  <c r="P265" i="261"/>
  <c r="I1115" i="259"/>
  <c r="F301" i="261"/>
  <c r="E1428" i="259"/>
  <c r="E335" i="261" s="1"/>
  <c r="J1431" i="259"/>
  <c r="AX1351" i="259"/>
  <c r="AY1652" i="259"/>
  <c r="AY301" i="262" s="1"/>
  <c r="AY1672" i="259"/>
  <c r="AY1673" i="259"/>
  <c r="AY1674" i="259"/>
  <c r="AY1665" i="259"/>
  <c r="AY1666" i="259"/>
  <c r="AX1652" i="259"/>
  <c r="AX301" i="262" s="1"/>
  <c r="AX1666" i="259"/>
  <c r="AX1673" i="259"/>
  <c r="AX1672" i="259"/>
  <c r="AX1665" i="259"/>
  <c r="AW1652" i="259"/>
  <c r="AW301" i="262" s="1"/>
  <c r="AW1673" i="259"/>
  <c r="AW1666" i="259"/>
  <c r="AW1665" i="259"/>
  <c r="AW1674" i="259"/>
  <c r="AW1672" i="259"/>
  <c r="AU1116" i="259"/>
  <c r="AU1101" i="259"/>
  <c r="I1619" i="259"/>
  <c r="I283" i="262" s="1"/>
  <c r="I1633" i="259"/>
  <c r="I292" i="262" s="1"/>
  <c r="AU96" i="259"/>
  <c r="AY142" i="259"/>
  <c r="AY143" i="259" s="1"/>
  <c r="V1619" i="259"/>
  <c r="V283" i="262" s="1"/>
  <c r="V1633" i="259"/>
  <c r="V292" i="262" s="1"/>
  <c r="E1619" i="259"/>
  <c r="E283" i="262" s="1"/>
  <c r="E1633" i="259"/>
  <c r="E292" i="262" s="1"/>
  <c r="N1613" i="259"/>
  <c r="N1616" i="259"/>
  <c r="N280" i="262" s="1"/>
  <c r="AW1334" i="259"/>
  <c r="AW1339" i="259"/>
  <c r="AW238" i="262" s="1"/>
  <c r="AV1321" i="259"/>
  <c r="F6" i="263"/>
  <c r="H6" i="263" s="1"/>
  <c r="AX732" i="259"/>
  <c r="K1446" i="259"/>
  <c r="K1445" i="259" s="1"/>
  <c r="K1447" i="259" s="1"/>
  <c r="K1451" i="259" s="1"/>
  <c r="K1452" i="259" s="1"/>
  <c r="D502" i="259"/>
  <c r="D213" i="261" s="1"/>
  <c r="D1620" i="259"/>
  <c r="D284" i="262" s="1"/>
  <c r="L1117" i="259"/>
  <c r="AW142" i="259"/>
  <c r="F106" i="259"/>
  <c r="I911" i="259"/>
  <c r="I911" i="275" s="1"/>
  <c r="AU1065" i="259"/>
  <c r="O1115" i="259"/>
  <c r="AX234" i="261"/>
  <c r="AU754" i="259"/>
  <c r="AU279" i="261" s="1"/>
  <c r="K1393" i="259"/>
  <c r="K214" i="262" s="1"/>
  <c r="E301" i="261"/>
  <c r="M926" i="259"/>
  <c r="AY924" i="259"/>
  <c r="E1416" i="259"/>
  <c r="E331" i="261" s="1"/>
  <c r="K1313" i="259"/>
  <c r="K190" i="262" s="1"/>
  <c r="AW193" i="261"/>
  <c r="G1613" i="259"/>
  <c r="G1616" i="259"/>
  <c r="G280" i="262" s="1"/>
  <c r="AU1613" i="259"/>
  <c r="AU1616" i="259"/>
  <c r="AU280" i="262" s="1"/>
  <c r="AU512" i="259"/>
  <c r="AU1607" i="259"/>
  <c r="F502" i="259"/>
  <c r="F213" i="261" s="1"/>
  <c r="F1620" i="259"/>
  <c r="F284" i="262" s="1"/>
  <c r="Q500" i="259"/>
  <c r="Q1614" i="259"/>
  <c r="AU1426" i="259"/>
  <c r="L926" i="259"/>
  <c r="AY1064" i="259"/>
  <c r="AY1087" i="259" s="1"/>
  <c r="AU1334" i="259"/>
  <c r="AX725" i="259"/>
  <c r="AX725" i="275" s="1"/>
  <c r="K1354" i="259"/>
  <c r="K211" i="262" s="1"/>
  <c r="AW983" i="259"/>
  <c r="AW983" i="275" s="1"/>
  <c r="AU1085" i="259"/>
  <c r="F104" i="259"/>
  <c r="K1408" i="259"/>
  <c r="AX924" i="259"/>
  <c r="P1468" i="259"/>
  <c r="P226" i="262" s="1"/>
  <c r="AV123" i="259"/>
  <c r="N69" i="259"/>
  <c r="N501" i="259"/>
  <c r="F1613" i="259"/>
  <c r="F1616" i="259"/>
  <c r="F280" i="262" s="1"/>
  <c r="D1613" i="259"/>
  <c r="D1616" i="259"/>
  <c r="D280" i="262" s="1"/>
  <c r="BA1603" i="259"/>
  <c r="BA1604" i="259"/>
  <c r="AY1078" i="259"/>
  <c r="AY285" i="261" s="1"/>
  <c r="AY1076" i="259"/>
  <c r="AY283" i="261" s="1"/>
  <c r="AY1077" i="259"/>
  <c r="AY284" i="261" s="1"/>
  <c r="AY1075" i="259"/>
  <c r="AY282" i="261" s="1"/>
  <c r="BC289" i="261"/>
  <c r="BD289" i="261" s="1"/>
  <c r="J21" i="259"/>
  <c r="J28" i="259"/>
  <c r="J793" i="259"/>
  <c r="J288" i="261"/>
  <c r="Q21" i="259"/>
  <c r="Q28" i="259"/>
  <c r="T21" i="259"/>
  <c r="T28" i="259"/>
  <c r="V21" i="259"/>
  <c r="V28" i="259"/>
  <c r="N21" i="259"/>
  <c r="N28" i="259"/>
  <c r="H21" i="259"/>
  <c r="H28" i="259"/>
  <c r="T1499" i="259"/>
  <c r="M217" i="262"/>
  <c r="M1596" i="259"/>
  <c r="F39" i="264"/>
  <c r="H39" i="264" s="1"/>
  <c r="AU1067" i="259"/>
  <c r="AU164" i="262" s="1"/>
  <c r="AY1321" i="259"/>
  <c r="AY1315" i="259" s="1"/>
  <c r="AY256" i="262" s="1"/>
  <c r="AU895" i="259"/>
  <c r="R1451" i="259"/>
  <c r="R1452" i="259" s="1"/>
  <c r="V1451" i="259"/>
  <c r="AU8" i="259"/>
  <c r="AU1352" i="259"/>
  <c r="S21" i="259"/>
  <c r="S28" i="259"/>
  <c r="AZ1473" i="259"/>
  <c r="AZ1474" i="259" s="1"/>
  <c r="AZ345" i="261" s="1"/>
  <c r="F28" i="259"/>
  <c r="V1075" i="259"/>
  <c r="V282" i="261" s="1"/>
  <c r="V1079" i="259"/>
  <c r="V286" i="261" s="1"/>
  <c r="V1076" i="259"/>
  <c r="V283" i="261" s="1"/>
  <c r="V1077" i="259"/>
  <c r="V284" i="261" s="1"/>
  <c r="V1078" i="259"/>
  <c r="V285" i="261" s="1"/>
  <c r="F8" i="264"/>
  <c r="H8" i="264" s="1"/>
  <c r="AK67" i="264"/>
  <c r="AK74" i="264" s="1"/>
  <c r="AY1266" i="259"/>
  <c r="AY150" i="262" s="1"/>
  <c r="V301" i="261"/>
  <c r="D21" i="259"/>
  <c r="D1489" i="259" s="1"/>
  <c r="D28" i="259"/>
  <c r="R21" i="259"/>
  <c r="R28" i="259"/>
  <c r="AW85" i="259"/>
  <c r="AW87" i="259" s="1"/>
  <c r="AV52" i="259"/>
  <c r="AK9" i="264"/>
  <c r="AK12" i="264" s="1"/>
  <c r="AM12" i="264" s="1"/>
  <c r="U1100" i="259"/>
  <c r="M302" i="261"/>
  <c r="AW1031" i="259"/>
  <c r="Q925" i="259"/>
  <c r="T1416" i="259"/>
  <c r="T331" i="261" s="1"/>
  <c r="F926" i="259"/>
  <c r="F913" i="259" s="1"/>
  <c r="F912" i="259" s="1"/>
  <c r="F274" i="261" s="1"/>
  <c r="AV263" i="261"/>
  <c r="AU924" i="259"/>
  <c r="AU1494" i="259" s="1"/>
  <c r="AU196" i="262" s="1"/>
  <c r="N87" i="259"/>
  <c r="N102" i="259" s="1"/>
  <c r="N106" i="259" s="1"/>
  <c r="AK31" i="264"/>
  <c r="AK52" i="264" s="1"/>
  <c r="AK83" i="264" s="1"/>
  <c r="AM83" i="264" s="1"/>
  <c r="AX96" i="259"/>
  <c r="I21" i="259"/>
  <c r="I28" i="259"/>
  <c r="U21" i="259"/>
  <c r="U28" i="259"/>
  <c r="U28" i="275" s="1"/>
  <c r="M21" i="259"/>
  <c r="M28" i="259"/>
  <c r="M28" i="275" s="1"/>
  <c r="L217" i="262"/>
  <c r="L1596" i="259"/>
  <c r="P21" i="259"/>
  <c r="P28" i="259"/>
  <c r="R217" i="262"/>
  <c r="R1596" i="259"/>
  <c r="AY1339" i="259"/>
  <c r="AY238" i="262" s="1"/>
  <c r="T301" i="261"/>
  <c r="P217" i="262"/>
  <c r="P1596" i="259"/>
  <c r="AX65" i="259"/>
  <c r="AY65" i="275" s="1"/>
  <c r="AV924" i="259"/>
  <c r="AW924" i="275" s="1"/>
  <c r="AX159" i="262"/>
  <c r="AX1081" i="259"/>
  <c r="U1078" i="259"/>
  <c r="U285" i="261" s="1"/>
  <c r="U1075" i="259"/>
  <c r="U282" i="261" s="1"/>
  <c r="U1079" i="259"/>
  <c r="U286" i="261" s="1"/>
  <c r="U1076" i="259"/>
  <c r="U283" i="261" s="1"/>
  <c r="U1077" i="259"/>
  <c r="U284" i="261" s="1"/>
  <c r="X1076" i="259"/>
  <c r="X283" i="261" s="1"/>
  <c r="X1077" i="259"/>
  <c r="X284" i="261" s="1"/>
  <c r="X1078" i="259"/>
  <c r="X285" i="261" s="1"/>
  <c r="N139" i="264"/>
  <c r="P139" i="264" s="1"/>
  <c r="AZ218" i="259"/>
  <c r="N104" i="264"/>
  <c r="P104" i="264" s="1"/>
  <c r="Y250" i="262"/>
  <c r="N145" i="264"/>
  <c r="P145" i="264" s="1"/>
  <c r="J14" i="264"/>
  <c r="L14" i="264" s="1"/>
  <c r="Z251" i="262"/>
  <c r="AZ1298" i="259"/>
  <c r="Z38" i="262"/>
  <c r="AD470" i="259"/>
  <c r="Z147" i="262"/>
  <c r="BA29" i="262"/>
  <c r="BA568" i="259"/>
  <c r="AS135" i="264"/>
  <c r="AU135" i="264" s="1"/>
  <c r="AW127" i="264"/>
  <c r="AY127" i="264" s="1"/>
  <c r="AS141" i="264"/>
  <c r="AU141" i="264" s="1"/>
  <c r="AW146" i="264"/>
  <c r="AY146" i="264" s="1"/>
  <c r="AW134" i="264"/>
  <c r="AY134" i="264" s="1"/>
  <c r="AS140" i="264"/>
  <c r="AU140" i="264" s="1"/>
  <c r="AD553" i="259"/>
  <c r="AD199" i="261" s="1"/>
  <c r="AC470" i="259"/>
  <c r="AZ214" i="259"/>
  <c r="BA91" i="261"/>
  <c r="AW302" i="261"/>
  <c r="AW162" i="262"/>
  <c r="Z24" i="262"/>
  <c r="AV252" i="262"/>
  <c r="AV251" i="262"/>
  <c r="N14" i="264"/>
  <c r="P14" i="264" s="1"/>
  <c r="AU195" i="261"/>
  <c r="AU26" i="262"/>
  <c r="AY302" i="261"/>
  <c r="AY162" i="262"/>
  <c r="AU1294" i="259"/>
  <c r="AU243" i="262" s="1"/>
  <c r="F243" i="262"/>
  <c r="BA174" i="261"/>
  <c r="BA34" i="262"/>
  <c r="AX1303" i="259"/>
  <c r="AX252" i="262"/>
  <c r="AX251" i="262"/>
  <c r="AA182" i="262"/>
  <c r="AZ888" i="259"/>
  <c r="AA185" i="262"/>
  <c r="AV194" i="261"/>
  <c r="AV25" i="262"/>
  <c r="AY195" i="261"/>
  <c r="AY26" i="262"/>
  <c r="AW195" i="261"/>
  <c r="AW26" i="262"/>
  <c r="O8" i="259"/>
  <c r="O96" i="259"/>
  <c r="AW96" i="259" s="1"/>
  <c r="O1548" i="259"/>
  <c r="O76" i="259" s="1"/>
  <c r="M1499" i="259"/>
  <c r="M163" i="262"/>
  <c r="E302" i="261"/>
  <c r="E162" i="262"/>
  <c r="O258" i="262"/>
  <c r="O255" i="262"/>
  <c r="P1499" i="259"/>
  <c r="P162" i="262"/>
  <c r="V302" i="261"/>
  <c r="V162" i="262"/>
  <c r="F302" i="261"/>
  <c r="F162" i="262"/>
  <c r="E288" i="261"/>
  <c r="K94" i="262"/>
  <c r="K257" i="262"/>
  <c r="G302" i="261"/>
  <c r="G162" i="262"/>
  <c r="AW216" i="261"/>
  <c r="AW264" i="262"/>
  <c r="AZ167" i="262"/>
  <c r="U1451" i="259"/>
  <c r="Q1451" i="259"/>
  <c r="Q1452" i="259" s="1"/>
  <c r="J1451" i="259"/>
  <c r="J1452" i="259" s="1"/>
  <c r="G301" i="261"/>
  <c r="G163" i="262"/>
  <c r="AV195" i="261"/>
  <c r="AV26" i="262"/>
  <c r="X258" i="262"/>
  <c r="X255" i="262"/>
  <c r="V14" i="267"/>
  <c r="AW251" i="262"/>
  <c r="AW252" i="262"/>
  <c r="AY193" i="261"/>
  <c r="AY24" i="262"/>
  <c r="AX195" i="261"/>
  <c r="AX26" i="262"/>
  <c r="AZ30" i="262"/>
  <c r="AZ31" i="262"/>
  <c r="AU1315" i="259"/>
  <c r="AU256" i="262" s="1"/>
  <c r="AU252" i="262"/>
  <c r="AU251" i="262"/>
  <c r="AU193" i="261"/>
  <c r="AU24" i="262"/>
  <c r="AC1473" i="259"/>
  <c r="AX216" i="261"/>
  <c r="AX264" i="262"/>
  <c r="M94" i="262"/>
  <c r="M257" i="262"/>
  <c r="AZ1309" i="259"/>
  <c r="AA168" i="262"/>
  <c r="P94" i="262"/>
  <c r="P257" i="262"/>
  <c r="M258" i="262"/>
  <c r="M255" i="262"/>
  <c r="AY754" i="259"/>
  <c r="AY279" i="261" s="1"/>
  <c r="AY159" i="262"/>
  <c r="Q302" i="261"/>
  <c r="Q162" i="262"/>
  <c r="L258" i="262"/>
  <c r="L255" i="262"/>
  <c r="AV118" i="262"/>
  <c r="AV87" i="262"/>
  <c r="AV1498" i="259"/>
  <c r="AV1499" i="259" s="1"/>
  <c r="AV48" i="262"/>
  <c r="Z238" i="262"/>
  <c r="Z246" i="262"/>
  <c r="Z245" i="262"/>
  <c r="L163" i="262"/>
  <c r="L301" i="261"/>
  <c r="J301" i="261"/>
  <c r="J163" i="262"/>
  <c r="Z26" i="262"/>
  <c r="AV1294" i="259"/>
  <c r="AV243" i="262" s="1"/>
  <c r="K243" i="262"/>
  <c r="AW194" i="261"/>
  <c r="AW25" i="262"/>
  <c r="R302" i="261"/>
  <c r="R162" i="262"/>
  <c r="AV163" i="262"/>
  <c r="AU302" i="261"/>
  <c r="AU162" i="262"/>
  <c r="AY251" i="262"/>
  <c r="AY194" i="261"/>
  <c r="AY25" i="262"/>
  <c r="AV895" i="259"/>
  <c r="AV895" i="275" s="1"/>
  <c r="AV159" i="262"/>
  <c r="W258" i="262"/>
  <c r="W255" i="262"/>
  <c r="AU216" i="261"/>
  <c r="AU264" i="262"/>
  <c r="W96" i="259"/>
  <c r="AY96" i="259" s="1"/>
  <c r="W1548" i="259"/>
  <c r="W76" i="259" s="1"/>
  <c r="AA76" i="275" s="1"/>
  <c r="T302" i="261"/>
  <c r="T162" i="262"/>
  <c r="F258" i="262"/>
  <c r="F255" i="262"/>
  <c r="AV216" i="261"/>
  <c r="AV264" i="262"/>
  <c r="I301" i="261"/>
  <c r="I163" i="262"/>
  <c r="AA47" i="267"/>
  <c r="Z39" i="267"/>
  <c r="P258" i="262"/>
  <c r="P255" i="262"/>
  <c r="E258" i="262"/>
  <c r="E255" i="262"/>
  <c r="S302" i="261"/>
  <c r="S162" i="262"/>
  <c r="K302" i="261"/>
  <c r="K162" i="262"/>
  <c r="Q1468" i="259"/>
  <c r="Q226" i="262" s="1"/>
  <c r="Q1384" i="259"/>
  <c r="Q1596" i="259" s="1"/>
  <c r="R258" i="262"/>
  <c r="R255" i="262"/>
  <c r="D302" i="261"/>
  <c r="D162" i="262"/>
  <c r="D1499" i="259"/>
  <c r="U301" i="261"/>
  <c r="U163" i="262"/>
  <c r="H14" i="263"/>
  <c r="F12" i="263"/>
  <c r="H12" i="263" s="1"/>
  <c r="AU94" i="262"/>
  <c r="AU257" i="262"/>
  <c r="F192" i="262"/>
  <c r="AU194" i="261"/>
  <c r="AU25" i="262"/>
  <c r="L793" i="259"/>
  <c r="L21" i="259"/>
  <c r="AX193" i="261"/>
  <c r="AX24" i="262"/>
  <c r="N258" i="262"/>
  <c r="N255" i="262"/>
  <c r="K96" i="259"/>
  <c r="AV96" i="259" s="1"/>
  <c r="K1548" i="259"/>
  <c r="K76" i="259" s="1"/>
  <c r="K76" i="275" s="1"/>
  <c r="E94" i="262"/>
  <c r="E257" i="262"/>
  <c r="AV193" i="261"/>
  <c r="AV24" i="262"/>
  <c r="V94" i="262"/>
  <c r="V257" i="262"/>
  <c r="N103" i="264"/>
  <c r="P103" i="264" s="1"/>
  <c r="BA41" i="262"/>
  <c r="AV1384" i="259"/>
  <c r="AV1596" i="259" s="1"/>
  <c r="K217" i="262"/>
  <c r="D258" i="262"/>
  <c r="D255" i="262"/>
  <c r="AV1351" i="259"/>
  <c r="AV1352" i="259"/>
  <c r="AW159" i="262"/>
  <c r="H301" i="261"/>
  <c r="H163" i="262"/>
  <c r="H1499" i="259"/>
  <c r="AY1351" i="259"/>
  <c r="AY1352" i="259"/>
  <c r="F19" i="263"/>
  <c r="H19" i="263" s="1"/>
  <c r="AO94" i="264"/>
  <c r="AZ539" i="259"/>
  <c r="AZ8" i="262"/>
  <c r="Y15" i="262"/>
  <c r="AB14" i="262"/>
  <c r="Y13" i="262"/>
  <c r="AA14" i="262"/>
  <c r="AE470" i="259"/>
  <c r="AE14" i="262"/>
  <c r="AF29" i="267"/>
  <c r="AN44" i="267"/>
  <c r="AO4" i="267"/>
  <c r="AS3" i="267"/>
  <c r="AQ91" i="267"/>
  <c r="G1492" i="259"/>
  <c r="G1490" i="259"/>
  <c r="W1451" i="259"/>
  <c r="X1451" i="259"/>
  <c r="AU1313" i="259"/>
  <c r="AU190" i="262" s="1"/>
  <c r="AV1503" i="259"/>
  <c r="AY1313" i="259"/>
  <c r="AY190" i="262" s="1"/>
  <c r="M1445" i="259"/>
  <c r="M1447" i="259" s="1"/>
  <c r="O1446" i="259"/>
  <c r="O1445" i="259" s="1"/>
  <c r="O1447" i="259" s="1"/>
  <c r="O1451" i="259" s="1"/>
  <c r="O1452" i="259" s="1"/>
  <c r="P1313" i="259"/>
  <c r="O1354" i="259"/>
  <c r="O211" i="262" s="1"/>
  <c r="O1313" i="259"/>
  <c r="G24" i="259"/>
  <c r="G13" i="259" s="1"/>
  <c r="G291" i="261" s="1"/>
  <c r="G1491" i="259"/>
  <c r="Q492" i="259"/>
  <c r="AY1503" i="259"/>
  <c r="H1445" i="259"/>
  <c r="H1447" i="259" s="1"/>
  <c r="H1451" i="259" s="1"/>
  <c r="F71" i="264"/>
  <c r="H71" i="264" s="1"/>
  <c r="AZ549" i="259"/>
  <c r="AZ20" i="262" s="1"/>
  <c r="O653" i="259"/>
  <c r="AX1503" i="259"/>
  <c r="AX1273" i="259"/>
  <c r="AX261" i="262" s="1"/>
  <c r="AW1503" i="259"/>
  <c r="M125" i="259"/>
  <c r="M118" i="261" s="1"/>
  <c r="BA90" i="261"/>
  <c r="BA175" i="261"/>
  <c r="H8" i="263"/>
  <c r="AE553" i="259"/>
  <c r="AE199" i="261" s="1"/>
  <c r="AU956" i="259"/>
  <c r="AU911" i="259"/>
  <c r="Q501" i="259"/>
  <c r="K789" i="259"/>
  <c r="K789" i="275" s="1"/>
  <c r="D125" i="259"/>
  <c r="D118" i="261" s="1"/>
  <c r="AX85" i="259"/>
  <c r="AX87" i="259" s="1"/>
  <c r="I1431" i="259"/>
  <c r="G135" i="259"/>
  <c r="AC863" i="259"/>
  <c r="R1431" i="259"/>
  <c r="R335" i="261"/>
  <c r="AY123" i="259"/>
  <c r="AX123" i="259"/>
  <c r="X1431" i="259"/>
  <c r="X335" i="261"/>
  <c r="AV991" i="259"/>
  <c r="L265" i="261"/>
  <c r="Q1510" i="259"/>
  <c r="AU1100" i="259"/>
  <c r="AU1115" i="259"/>
  <c r="H120" i="262"/>
  <c r="V789" i="259"/>
  <c r="W335" i="261"/>
  <c r="W164" i="262"/>
  <c r="L104" i="259"/>
  <c r="BA95" i="261"/>
  <c r="P28" i="263"/>
  <c r="BA182" i="261"/>
  <c r="N130" i="264"/>
  <c r="P130" i="264" s="1"/>
  <c r="AD554" i="259"/>
  <c r="AD205" i="261" s="1"/>
  <c r="L105" i="259"/>
  <c r="F1431" i="259"/>
  <c r="U105" i="259"/>
  <c r="E1431" i="259"/>
  <c r="AE554" i="259"/>
  <c r="AE205" i="261" s="1"/>
  <c r="U106" i="259"/>
  <c r="AY85" i="259"/>
  <c r="AY87" i="259" s="1"/>
  <c r="F60" i="264"/>
  <c r="H60" i="264" s="1"/>
  <c r="AW1397" i="259"/>
  <c r="I1100" i="259"/>
  <c r="AY263" i="261"/>
  <c r="P789" i="259"/>
  <c r="F69" i="259"/>
  <c r="F71" i="259" s="1"/>
  <c r="J925" i="259"/>
  <c r="N925" i="275" s="1"/>
  <c r="I1499" i="259"/>
  <c r="Q53" i="259"/>
  <c r="AV955" i="259"/>
  <c r="AW955" i="275" s="1"/>
  <c r="K911" i="259"/>
  <c r="S1427" i="259"/>
  <c r="S1428" i="259" s="1"/>
  <c r="AU123" i="259"/>
  <c r="V1499" i="259"/>
  <c r="AW1294" i="259"/>
  <c r="AW243" i="262" s="1"/>
  <c r="P925" i="259"/>
  <c r="I104" i="259"/>
  <c r="AX1100" i="259"/>
  <c r="AW234" i="261"/>
  <c r="AW672" i="259"/>
  <c r="Q100" i="259"/>
  <c r="Q87" i="259"/>
  <c r="Q102" i="259" s="1"/>
  <c r="Q106" i="259" s="1"/>
  <c r="F789" i="259"/>
  <c r="F94" i="262"/>
  <c r="AW162" i="261"/>
  <c r="AY1463" i="259"/>
  <c r="W1465" i="259"/>
  <c r="V100" i="259"/>
  <c r="V87" i="259"/>
  <c r="V102" i="259" s="1"/>
  <c r="V106" i="259" s="1"/>
  <c r="I94" i="262"/>
  <c r="I789" i="259"/>
  <c r="K301" i="261"/>
  <c r="K1499" i="259"/>
  <c r="H1430" i="259"/>
  <c r="H1455" i="259" s="1"/>
  <c r="AW123" i="259"/>
  <c r="O984" i="259"/>
  <c r="O1117" i="259" s="1"/>
  <c r="E696" i="259"/>
  <c r="F239" i="261" s="1"/>
  <c r="H125" i="259"/>
  <c r="H118" i="261" s="1"/>
  <c r="H68" i="259"/>
  <c r="K99" i="262"/>
  <c r="AY1180" i="259"/>
  <c r="AU1180" i="259"/>
  <c r="T1115" i="259"/>
  <c r="F1499" i="259"/>
  <c r="X9" i="259"/>
  <c r="Q124" i="259"/>
  <c r="P302" i="261"/>
  <c r="AY1031" i="259"/>
  <c r="AY1031" i="275" s="1"/>
  <c r="AY1018" i="259"/>
  <c r="AY1018" i="275" s="1"/>
  <c r="T94" i="262"/>
  <c r="T789" i="259"/>
  <c r="AV162" i="261"/>
  <c r="P1427" i="259"/>
  <c r="P1428" i="259" s="1"/>
  <c r="AZ843" i="259"/>
  <c r="AW1302" i="259"/>
  <c r="AW1303" i="259" s="1"/>
  <c r="I106" i="259"/>
  <c r="M984" i="259"/>
  <c r="M1100" i="259"/>
  <c r="M1115" i="259"/>
  <c r="E1499" i="259"/>
  <c r="AX1397" i="259"/>
  <c r="AV1397" i="259"/>
  <c r="H104" i="259"/>
  <c r="R91" i="264"/>
  <c r="T91" i="264" s="1"/>
  <c r="AZ1367" i="259"/>
  <c r="M712" i="259"/>
  <c r="O120" i="262"/>
  <c r="O99" i="262"/>
  <c r="O1430" i="259"/>
  <c r="O1455" i="259" s="1"/>
  <c r="M301" i="261"/>
  <c r="E789" i="259"/>
  <c r="W1378" i="259"/>
  <c r="W925" i="259"/>
  <c r="AY871" i="259"/>
  <c r="AW1422" i="259"/>
  <c r="N1426" i="259"/>
  <c r="AW1426" i="259" s="1"/>
  <c r="W8" i="259"/>
  <c r="W653" i="259"/>
  <c r="U1468" i="259"/>
  <c r="U226" i="262" s="1"/>
  <c r="U1384" i="259"/>
  <c r="L112" i="261"/>
  <c r="S265" i="261"/>
  <c r="S911" i="259"/>
  <c r="S911" i="275" s="1"/>
  <c r="AE864" i="259"/>
  <c r="AY732" i="259"/>
  <c r="AY672" i="259"/>
  <c r="L1416" i="259"/>
  <c r="L331" i="261" s="1"/>
  <c r="L1427" i="259"/>
  <c r="L1428" i="259" s="1"/>
  <c r="AV1302" i="259"/>
  <c r="AV1303" i="259" s="1"/>
  <c r="K1303" i="259"/>
  <c r="K8" i="259"/>
  <c r="G911" i="259"/>
  <c r="G265" i="261"/>
  <c r="H265" i="261"/>
  <c r="T164" i="262"/>
  <c r="AW8" i="259"/>
  <c r="O9" i="259"/>
  <c r="S9" i="275" s="1"/>
  <c r="G1427" i="259"/>
  <c r="G1428" i="259" s="1"/>
  <c r="G335" i="261" s="1"/>
  <c r="G1416" i="259"/>
  <c r="G331" i="261" s="1"/>
  <c r="W1294" i="259"/>
  <c r="AY1334" i="259"/>
  <c r="G646" i="259"/>
  <c r="G652" i="259" s="1"/>
  <c r="G52" i="259"/>
  <c r="K52" i="275" s="1"/>
  <c r="AV1018" i="259"/>
  <c r="AV1018" i="275" s="1"/>
  <c r="AV1031" i="259"/>
  <c r="N124" i="259"/>
  <c r="N365" i="259"/>
  <c r="N121" i="261" s="1"/>
  <c r="T265" i="261"/>
  <c r="T911" i="259"/>
  <c r="T911" i="275" s="1"/>
  <c r="AY955" i="259"/>
  <c r="AY955" i="275" s="1"/>
  <c r="G124" i="259"/>
  <c r="G125" i="259" s="1"/>
  <c r="G118" i="261" s="1"/>
  <c r="AY261" i="259"/>
  <c r="AY22" i="261" s="1"/>
  <c r="AX50" i="259"/>
  <c r="J135" i="259"/>
  <c r="AZ452" i="259"/>
  <c r="AZ452" i="275" s="1"/>
  <c r="AW50" i="259"/>
  <c r="AX142" i="259"/>
  <c r="AU143" i="259"/>
  <c r="AV1064" i="259"/>
  <c r="AV1087" i="259" s="1"/>
  <c r="AV1067" i="259"/>
  <c r="AV164" i="262" s="1"/>
  <c r="AV754" i="259"/>
  <c r="AV279" i="261" s="1"/>
  <c r="AV1065" i="259"/>
  <c r="AV1063" i="259"/>
  <c r="S164" i="262"/>
  <c r="AV102" i="259"/>
  <c r="AV106" i="259" s="1"/>
  <c r="AS152" i="264"/>
  <c r="AU152" i="264" s="1"/>
  <c r="O1427" i="259"/>
  <c r="O1428" i="259" s="1"/>
  <c r="O335" i="261" s="1"/>
  <c r="F210" i="261"/>
  <c r="AY431" i="259"/>
  <c r="W211" i="259"/>
  <c r="AY210" i="259"/>
  <c r="AX1415" i="259"/>
  <c r="AX1416" i="259" s="1"/>
  <c r="AX331" i="261" s="1"/>
  <c r="N104" i="259"/>
  <c r="T124" i="259"/>
  <c r="AX1315" i="259"/>
  <c r="AX256" i="262" s="1"/>
  <c r="AU210" i="261"/>
  <c r="AU732" i="259"/>
  <c r="AU672" i="259"/>
  <c r="AW65" i="259"/>
  <c r="F42" i="264"/>
  <c r="H42" i="264" s="1"/>
  <c r="AW1180" i="259"/>
  <c r="O124" i="259"/>
  <c r="O124" i="275" s="1"/>
  <c r="AX112" i="261"/>
  <c r="U164" i="262"/>
  <c r="P70" i="259"/>
  <c r="P653" i="259"/>
  <c r="AX1117" i="259"/>
  <c r="AX1102" i="259"/>
  <c r="R653" i="259"/>
  <c r="O112" i="261"/>
  <c r="Q1416" i="259"/>
  <c r="Q331" i="261" s="1"/>
  <c r="Q1427" i="259"/>
  <c r="Q1428" i="259" s="1"/>
  <c r="H112" i="261"/>
  <c r="F676" i="259"/>
  <c r="F228" i="261" s="1"/>
  <c r="F684" i="259"/>
  <c r="F683" i="259"/>
  <c r="F229" i="261" s="1"/>
  <c r="Q112" i="261"/>
  <c r="X265" i="261"/>
  <c r="X911" i="259"/>
  <c r="X911" i="275" s="1"/>
  <c r="X51" i="259"/>
  <c r="X1510" i="259"/>
  <c r="X512" i="259"/>
  <c r="X489" i="259"/>
  <c r="X492" i="259"/>
  <c r="X500" i="259"/>
  <c r="AB500" i="275" s="1"/>
  <c r="AZ607" i="259"/>
  <c r="AZ607" i="275" s="1"/>
  <c r="BA98" i="261"/>
  <c r="AA147" i="262"/>
  <c r="AZ1218" i="259"/>
  <c r="BA571" i="259"/>
  <c r="AZ403" i="259"/>
  <c r="AZ403" i="275" s="1"/>
  <c r="N151" i="264"/>
  <c r="P151" i="264" s="1"/>
  <c r="AZ201" i="259"/>
  <c r="BA177" i="261"/>
  <c r="AW8" i="263"/>
  <c r="AY8" i="263" s="1"/>
  <c r="W87" i="259"/>
  <c r="W102" i="259" s="1"/>
  <c r="W100" i="259"/>
  <c r="AU301" i="261"/>
  <c r="AU1499" i="259"/>
  <c r="L786" i="259"/>
  <c r="P786" i="275" s="1"/>
  <c r="L96" i="262"/>
  <c r="F63" i="264"/>
  <c r="AY1240" i="259"/>
  <c r="T785" i="259"/>
  <c r="T1273" i="259"/>
  <c r="T261" i="262" s="1"/>
  <c r="L124" i="259"/>
  <c r="P124" i="275" s="1"/>
  <c r="L161" i="259"/>
  <c r="L119" i="261" s="1"/>
  <c r="W124" i="259"/>
  <c r="W287" i="259"/>
  <c r="W120" i="261" s="1"/>
  <c r="H105" i="259"/>
  <c r="AW1415" i="259"/>
  <c r="AW1416" i="259" s="1"/>
  <c r="AW331" i="261" s="1"/>
  <c r="M1416" i="259"/>
  <c r="M331" i="261" s="1"/>
  <c r="M1427" i="259"/>
  <c r="P96" i="262"/>
  <c r="S87" i="259"/>
  <c r="S102" i="259" s="1"/>
  <c r="S100" i="259"/>
  <c r="K96" i="262"/>
  <c r="K786" i="259"/>
  <c r="O786" i="275" s="1"/>
  <c r="S112" i="261"/>
  <c r="S124" i="259"/>
  <c r="S161" i="259"/>
  <c r="S119" i="261" s="1"/>
  <c r="V1468" i="259"/>
  <c r="V226" i="262" s="1"/>
  <c r="V1384" i="259"/>
  <c r="M112" i="261"/>
  <c r="T1468" i="259"/>
  <c r="T226" i="262" s="1"/>
  <c r="T1384" i="259"/>
  <c r="AW1100" i="259"/>
  <c r="N101" i="264"/>
  <c r="N112" i="264" s="1"/>
  <c r="BA184" i="261"/>
  <c r="BD551" i="259"/>
  <c r="BA245" i="259"/>
  <c r="BA245" i="275" s="1"/>
  <c r="AS95" i="264"/>
  <c r="AU95" i="264" s="1"/>
  <c r="AW1273" i="259"/>
  <c r="AW261" i="262" s="1"/>
  <c r="AS150" i="264"/>
  <c r="AU150" i="264" s="1"/>
  <c r="AS144" i="264"/>
  <c r="AU144" i="264" s="1"/>
  <c r="BA534" i="259"/>
  <c r="N102" i="264"/>
  <c r="AW138" i="264"/>
  <c r="AY138" i="264" s="1"/>
  <c r="AO114" i="264"/>
  <c r="AQ114" i="264" s="1"/>
  <c r="AQ112" i="264"/>
  <c r="N131" i="264"/>
  <c r="P131" i="264" s="1"/>
  <c r="AS153" i="264"/>
  <c r="AU153" i="264" s="1"/>
  <c r="BA551" i="259"/>
  <c r="AS126" i="264"/>
  <c r="AU126" i="264" s="1"/>
  <c r="AS114" i="264"/>
  <c r="AU114" i="264" s="1"/>
  <c r="AU112" i="264"/>
  <c r="AC921" i="259"/>
  <c r="AC921" i="275" s="1"/>
  <c r="AD867" i="259"/>
  <c r="AD867" i="275" s="1"/>
  <c r="BD293" i="261"/>
  <c r="BC16" i="259"/>
  <c r="J113" i="264"/>
  <c r="L113" i="264" s="1"/>
  <c r="L102" i="264"/>
  <c r="J110" i="264"/>
  <c r="L110" i="264" s="1"/>
  <c r="J105" i="264"/>
  <c r="L105" i="264" s="1"/>
  <c r="J112" i="264"/>
  <c r="L101" i="264"/>
  <c r="AW147" i="264"/>
  <c r="AY147" i="264" s="1"/>
  <c r="AZ402" i="259"/>
  <c r="AZ402" i="275" s="1"/>
  <c r="F107" i="264"/>
  <c r="H107" i="264" s="1"/>
  <c r="S653" i="259"/>
  <c r="S70" i="259"/>
  <c r="S70" i="275" s="1"/>
  <c r="AZ475" i="259"/>
  <c r="AZ475" i="275" s="1"/>
  <c r="AW96" i="264"/>
  <c r="AY96" i="264" s="1"/>
  <c r="AZ92" i="261"/>
  <c r="J132" i="264"/>
  <c r="L132" i="264" s="1"/>
  <c r="AY112" i="264"/>
  <c r="AW114" i="264"/>
  <c r="AY114" i="264" s="1"/>
  <c r="AI39" i="264"/>
  <c r="AG52" i="264"/>
  <c r="AG83" i="264" s="1"/>
  <c r="AI83" i="264" s="1"/>
  <c r="AI31" i="264"/>
  <c r="AM11" i="264"/>
  <c r="AG74" i="264"/>
  <c r="AI60" i="264"/>
  <c r="F114" i="264"/>
  <c r="H114" i="264" s="1"/>
  <c r="H112" i="264"/>
  <c r="AZ1209" i="259"/>
  <c r="AY984" i="259"/>
  <c r="AY984" i="275" s="1"/>
  <c r="W1102" i="259"/>
  <c r="W1117" i="259"/>
  <c r="BC551" i="259"/>
  <c r="BC551" i="275" s="1"/>
  <c r="U1426" i="259"/>
  <c r="U1428" i="259" s="1"/>
  <c r="M1385" i="259"/>
  <c r="M1409" i="259" s="1"/>
  <c r="M1408" i="259"/>
  <c r="M1393" i="259"/>
  <c r="M214" i="262" s="1"/>
  <c r="P984" i="259"/>
  <c r="P984" i="275" s="1"/>
  <c r="P1100" i="259"/>
  <c r="P1115" i="259"/>
  <c r="S1445" i="259"/>
  <c r="S1447" i="259" s="1"/>
  <c r="S1451" i="259" s="1"/>
  <c r="S1452" i="259" s="1"/>
  <c r="D984" i="259"/>
  <c r="D1115" i="259"/>
  <c r="D1100" i="259"/>
  <c r="Q984" i="259"/>
  <c r="Q1115" i="259"/>
  <c r="Q1100" i="259"/>
  <c r="AU1102" i="259"/>
  <c r="AU1117" i="259"/>
  <c r="AV301" i="261"/>
  <c r="L288" i="261"/>
  <c r="E1115" i="259"/>
  <c r="E1100" i="259"/>
  <c r="E984" i="259"/>
  <c r="F1100" i="259"/>
  <c r="F1115" i="259"/>
  <c r="F984" i="259"/>
  <c r="I210" i="261"/>
  <c r="M786" i="259"/>
  <c r="Q786" i="275" s="1"/>
  <c r="M95" i="262"/>
  <c r="AW784" i="259"/>
  <c r="M821" i="259"/>
  <c r="M789" i="259"/>
  <c r="M789" i="275" s="1"/>
  <c r="F21" i="263"/>
  <c r="H21" i="263" s="1"/>
  <c r="AY95" i="262"/>
  <c r="AY821" i="259"/>
  <c r="N984" i="259"/>
  <c r="N1115" i="259"/>
  <c r="N1100" i="259"/>
  <c r="S96" i="262"/>
  <c r="S786" i="259"/>
  <c r="V501" i="259"/>
  <c r="V69" i="259"/>
  <c r="J786" i="259"/>
  <c r="N786" i="275" s="1"/>
  <c r="J96" i="262"/>
  <c r="AV732" i="259"/>
  <c r="AV672" i="259"/>
  <c r="AV234" i="261"/>
  <c r="R821" i="259"/>
  <c r="R95" i="262"/>
  <c r="I501" i="259"/>
  <c r="I69" i="259"/>
  <c r="AU991" i="259"/>
  <c r="G997" i="259"/>
  <c r="AC894" i="259"/>
  <c r="AC894" i="275" s="1"/>
  <c r="V210" i="261"/>
  <c r="AY1115" i="259"/>
  <c r="AY1100" i="259"/>
  <c r="H1100" i="259"/>
  <c r="H984" i="259"/>
  <c r="H1115" i="259"/>
  <c r="V120" i="262"/>
  <c r="AZ900" i="259"/>
  <c r="AZ900" i="275" s="1"/>
  <c r="BA559" i="259"/>
  <c r="BA21" i="262" s="1"/>
  <c r="AC553" i="259"/>
  <c r="AC199" i="261" s="1"/>
  <c r="AC320" i="259"/>
  <c r="AC302" i="259" s="1"/>
  <c r="AC302" i="275" s="1"/>
  <c r="AZ327" i="259"/>
  <c r="AZ327" i="275" s="1"/>
  <c r="AZ551" i="259"/>
  <c r="AC554" i="259"/>
  <c r="AC205" i="261" s="1"/>
  <c r="AC1253" i="259"/>
  <c r="BA549" i="259"/>
  <c r="BA20" i="262" s="1"/>
  <c r="Z178" i="275"/>
  <c r="AC197" i="259"/>
  <c r="R786" i="259"/>
  <c r="AX785" i="259"/>
  <c r="AX785" i="275" s="1"/>
  <c r="R96" i="262"/>
  <c r="R1385" i="259"/>
  <c r="R1409" i="259" s="1"/>
  <c r="R1393" i="259"/>
  <c r="R1408" i="259"/>
  <c r="AU1511" i="259"/>
  <c r="AU642" i="259"/>
  <c r="AE1269" i="259"/>
  <c r="AD1269" i="259"/>
  <c r="AZ1188" i="259"/>
  <c r="I96" i="262"/>
  <c r="I786" i="259"/>
  <c r="AU1303" i="259"/>
  <c r="AC398" i="259"/>
  <c r="AC380" i="259" s="1"/>
  <c r="AC380" i="275" s="1"/>
  <c r="H96" i="262"/>
  <c r="AV785" i="259"/>
  <c r="H786" i="259"/>
  <c r="H786" i="275" s="1"/>
  <c r="AD31" i="262"/>
  <c r="AD30" i="262"/>
  <c r="BA526" i="259"/>
  <c r="BA526" i="275" s="1"/>
  <c r="BA522" i="259"/>
  <c r="BA522" i="275" s="1"/>
  <c r="BA173" i="261"/>
  <c r="BA180" i="261"/>
  <c r="E785" i="259"/>
  <c r="AU785" i="259" s="1"/>
  <c r="AU96" i="262" s="1"/>
  <c r="E1273" i="259"/>
  <c r="E261" i="262" s="1"/>
  <c r="AE319" i="259"/>
  <c r="AD319" i="259"/>
  <c r="M106" i="259"/>
  <c r="M104" i="259"/>
  <c r="V164" i="262"/>
  <c r="AZ623" i="259"/>
  <c r="E135" i="259"/>
  <c r="AX164" i="262"/>
  <c r="AW1378" i="259"/>
  <c r="AW1379" i="259" s="1"/>
  <c r="O1379" i="259"/>
  <c r="BA96" i="264"/>
  <c r="BC96" i="264" s="1"/>
  <c r="AA39" i="262"/>
  <c r="F1046" i="259"/>
  <c r="F1048" i="259" s="1"/>
  <c r="F1057" i="259" s="1"/>
  <c r="F184" i="262" s="1"/>
  <c r="F737" i="259"/>
  <c r="F1271" i="259"/>
  <c r="M105" i="259"/>
  <c r="AW100" i="259"/>
  <c r="AW102" i="259" s="1"/>
  <c r="AW104" i="259" s="1"/>
  <c r="O104" i="259"/>
  <c r="O106" i="259"/>
  <c r="AY94" i="262"/>
  <c r="AY789" i="259"/>
  <c r="AX1378" i="259"/>
  <c r="AX1379" i="259" s="1"/>
  <c r="S1379" i="259"/>
  <c r="AU1266" i="259"/>
  <c r="AU150" i="262" s="1"/>
  <c r="AU1240" i="259"/>
  <c r="AU1273" i="259" s="1"/>
  <c r="AU261" i="262" s="1"/>
  <c r="Z155" i="262"/>
  <c r="AX925" i="259"/>
  <c r="X1100" i="259"/>
  <c r="X1115" i="259"/>
  <c r="X984" i="259"/>
  <c r="X984" i="275" s="1"/>
  <c r="X124" i="259"/>
  <c r="X161" i="259"/>
  <c r="X119" i="261" s="1"/>
  <c r="BA183" i="261"/>
  <c r="BA176" i="261"/>
  <c r="BA485" i="259"/>
  <c r="BA485" i="275" s="1"/>
  <c r="AV1378" i="259"/>
  <c r="AV1379" i="259" s="1"/>
  <c r="K1379" i="259"/>
  <c r="O105" i="259"/>
  <c r="AY1499" i="259"/>
  <c r="AY301" i="261"/>
  <c r="J653" i="259"/>
  <c r="J70" i="259"/>
  <c r="AD316" i="259"/>
  <c r="AE316" i="259"/>
  <c r="L28" i="263"/>
  <c r="R301" i="261"/>
  <c r="R1499" i="259"/>
  <c r="R789" i="259"/>
  <c r="R789" i="275" s="1"/>
  <c r="R94" i="262"/>
  <c r="H793" i="259"/>
  <c r="H288" i="261"/>
  <c r="G14" i="259"/>
  <c r="G105" i="259"/>
  <c r="J22" i="259"/>
  <c r="N288" i="261"/>
  <c r="N793" i="259"/>
  <c r="J102" i="262"/>
  <c r="R793" i="259"/>
  <c r="R288" i="261"/>
  <c r="P793" i="259"/>
  <c r="P288" i="261"/>
  <c r="D793" i="259"/>
  <c r="D288" i="261"/>
  <c r="T1428" i="259"/>
  <c r="AV1505" i="259"/>
  <c r="AV112" i="261" s="1"/>
  <c r="AV143" i="259"/>
  <c r="AY7" i="259"/>
  <c r="F211" i="259"/>
  <c r="AU210" i="259"/>
  <c r="AU211" i="259" s="1"/>
  <c r="E210" i="261"/>
  <c r="AX1497" i="259"/>
  <c r="AX163" i="262" s="1"/>
  <c r="AX1498" i="259"/>
  <c r="AX782" i="259"/>
  <c r="AY782" i="275" s="1"/>
  <c r="AX118" i="262"/>
  <c r="AV50" i="259"/>
  <c r="AU50" i="259"/>
  <c r="AU126" i="262" s="1"/>
  <c r="D53" i="259"/>
  <c r="D819" i="259" s="1"/>
  <c r="AE538" i="259"/>
  <c r="AI538" i="275" s="1"/>
  <c r="AE19" i="262"/>
  <c r="T105" i="259"/>
  <c r="Q120" i="262"/>
  <c r="Q99" i="262"/>
  <c r="Q1430" i="259"/>
  <c r="N99" i="262"/>
  <c r="N120" i="262"/>
  <c r="N1430" i="259"/>
  <c r="AW52" i="259"/>
  <c r="G106" i="259"/>
  <c r="G104" i="259"/>
  <c r="AU1378" i="259"/>
  <c r="AU1379" i="259" s="1"/>
  <c r="G1379" i="259"/>
  <c r="G1430" i="259"/>
  <c r="G120" i="262"/>
  <c r="G99" i="262"/>
  <c r="G790" i="259"/>
  <c r="G306" i="261" s="1"/>
  <c r="AC623" i="259"/>
  <c r="U1430" i="259"/>
  <c r="U1455" i="259" s="1"/>
  <c r="U99" i="262"/>
  <c r="U120" i="262"/>
  <c r="AC1474" i="259"/>
  <c r="AW1499" i="259"/>
  <c r="AW301" i="261"/>
  <c r="I1102" i="259"/>
  <c r="I999" i="259"/>
  <c r="I1117" i="259"/>
  <c r="AV984" i="259"/>
  <c r="AV984" i="275" s="1"/>
  <c r="K1117" i="259"/>
  <c r="K1102" i="259"/>
  <c r="V53" i="259"/>
  <c r="AY50" i="259"/>
  <c r="X785" i="259"/>
  <c r="X1273" i="259"/>
  <c r="X261" i="262" s="1"/>
  <c r="AU59" i="259"/>
  <c r="AU820" i="259" s="1"/>
  <c r="P809" i="259"/>
  <c r="L120" i="262"/>
  <c r="L99" i="262"/>
  <c r="L1430" i="259"/>
  <c r="AX911" i="259"/>
  <c r="AY265" i="261"/>
  <c r="AX265" i="261"/>
  <c r="AU261" i="259"/>
  <c r="AU22" i="261" s="1"/>
  <c r="AU181" i="259"/>
  <c r="AV181" i="275" s="1"/>
  <c r="X1468" i="259"/>
  <c r="X226" i="262" s="1"/>
  <c r="X1384" i="259"/>
  <c r="AU789" i="259"/>
  <c r="AU95" i="262"/>
  <c r="AU821" i="259"/>
  <c r="K112" i="261"/>
  <c r="E125" i="259"/>
  <c r="E118" i="261" s="1"/>
  <c r="AW911" i="259"/>
  <c r="M70" i="259"/>
  <c r="M70" i="275" s="1"/>
  <c r="S997" i="259"/>
  <c r="AX991" i="259"/>
  <c r="L1385" i="259"/>
  <c r="L1409" i="259" s="1"/>
  <c r="L1408" i="259"/>
  <c r="L1393" i="259"/>
  <c r="L214" i="262" s="1"/>
  <c r="AW94" i="262"/>
  <c r="AW1505" i="259"/>
  <c r="AW956" i="259"/>
  <c r="I1384" i="259"/>
  <c r="I1468" i="259"/>
  <c r="I226" i="262" s="1"/>
  <c r="T104" i="259"/>
  <c r="AD538" i="259"/>
  <c r="AH538" i="275" s="1"/>
  <c r="AD19" i="262"/>
  <c r="Y37" i="262"/>
  <c r="AC311" i="259"/>
  <c r="AO33" i="263"/>
  <c r="Y123" i="262"/>
  <c r="AU925" i="259"/>
  <c r="AV925" i="259"/>
  <c r="AV65" i="259"/>
  <c r="AU68" i="259"/>
  <c r="K712" i="259"/>
  <c r="AV997" i="259"/>
  <c r="K999" i="259"/>
  <c r="AG22" i="263"/>
  <c r="W96" i="262"/>
  <c r="W786" i="259"/>
  <c r="V112" i="261"/>
  <c r="BC802" i="259"/>
  <c r="BD19" i="259"/>
  <c r="AZ559" i="259"/>
  <c r="AZ21" i="262" s="1"/>
  <c r="AY991" i="259"/>
  <c r="AY991" i="275" s="1"/>
  <c r="W997" i="259"/>
  <c r="W997" i="275" s="1"/>
  <c r="AU100" i="259"/>
  <c r="AU102" i="259" s="1"/>
  <c r="AU104" i="259" s="1"/>
  <c r="E105" i="259"/>
  <c r="G512" i="259"/>
  <c r="G511" i="259" s="1"/>
  <c r="G45" i="259" s="1"/>
  <c r="G47" i="259" s="1"/>
  <c r="G489" i="259"/>
  <c r="G1607" i="259" s="1"/>
  <c r="G1606" i="259" s="1"/>
  <c r="AU1606" i="259" s="1"/>
  <c r="G500" i="259"/>
  <c r="AU500" i="259" s="1"/>
  <c r="AU501" i="259" s="1"/>
  <c r="G1510" i="259"/>
  <c r="G51" i="259"/>
  <c r="G492" i="259"/>
  <c r="D71" i="259"/>
  <c r="AW96" i="262"/>
  <c r="F432" i="259"/>
  <c r="AU431" i="259"/>
  <c r="AU432" i="259" s="1"/>
  <c r="AU131" i="259" s="1"/>
  <c r="AU130" i="262" s="1"/>
  <c r="E501" i="259"/>
  <c r="E69" i="259"/>
  <c r="E71" i="259" s="1"/>
  <c r="E53" i="259"/>
  <c r="E819" i="259" s="1"/>
  <c r="S120" i="262"/>
  <c r="S1430" i="259"/>
  <c r="S1455" i="259" s="1"/>
  <c r="S99" i="262"/>
  <c r="AV1422" i="259"/>
  <c r="H1426" i="259"/>
  <c r="D809" i="259"/>
  <c r="P104" i="259"/>
  <c r="P106" i="259"/>
  <c r="AX956" i="259"/>
  <c r="D1427" i="259"/>
  <c r="AU1415" i="259"/>
  <c r="AU1416" i="259" s="1"/>
  <c r="AU331" i="261" s="1"/>
  <c r="D1416" i="259"/>
  <c r="D331" i="261" s="1"/>
  <c r="AX1465" i="259"/>
  <c r="AX1468" i="259" s="1"/>
  <c r="AX226" i="262" s="1"/>
  <c r="S1468" i="259"/>
  <c r="S226" i="262" s="1"/>
  <c r="S1384" i="259"/>
  <c r="T1102" i="259"/>
  <c r="T1117" i="259"/>
  <c r="D1430" i="259"/>
  <c r="D120" i="262"/>
  <c r="D99" i="262"/>
  <c r="V1416" i="259"/>
  <c r="V331" i="261" s="1"/>
  <c r="V1427" i="259"/>
  <c r="AY1415" i="259"/>
  <c r="AY1416" i="259" s="1"/>
  <c r="AY331" i="261" s="1"/>
  <c r="N1468" i="259"/>
  <c r="N226" i="262" s="1"/>
  <c r="N1384" i="259"/>
  <c r="D112" i="261"/>
  <c r="R164" i="262"/>
  <c r="P164" i="262"/>
  <c r="AV1100" i="259"/>
  <c r="AV1115" i="259"/>
  <c r="G786" i="259"/>
  <c r="G809" i="259" s="1"/>
  <c r="G96" i="262"/>
  <c r="Q164" i="262"/>
  <c r="E106" i="259"/>
  <c r="E104" i="259"/>
  <c r="AW1315" i="259"/>
  <c r="AW256" i="262" s="1"/>
  <c r="P125" i="259"/>
  <c r="P118" i="261" s="1"/>
  <c r="AX95" i="262"/>
  <c r="E45" i="259"/>
  <c r="E47" i="259" s="1"/>
  <c r="AW164" i="262"/>
  <c r="AW1463" i="259"/>
  <c r="O1465" i="259"/>
  <c r="K1427" i="259"/>
  <c r="K1428" i="259" s="1"/>
  <c r="K335" i="261" s="1"/>
  <c r="K1416" i="259"/>
  <c r="K331" i="261" s="1"/>
  <c r="AV1415" i="259"/>
  <c r="AV1416" i="259" s="1"/>
  <c r="AV331" i="261" s="1"/>
  <c r="P105" i="259"/>
  <c r="V96" i="262"/>
  <c r="V786" i="259"/>
  <c r="AV1315" i="259"/>
  <c r="AV256" i="262" s="1"/>
  <c r="U288" i="261"/>
  <c r="U793" i="259"/>
  <c r="T288" i="261"/>
  <c r="T793" i="259"/>
  <c r="Q288" i="261"/>
  <c r="Q793" i="259"/>
  <c r="V288" i="261"/>
  <c r="V793" i="259"/>
  <c r="M288" i="261"/>
  <c r="M793" i="259"/>
  <c r="I288" i="261"/>
  <c r="I793" i="259"/>
  <c r="S790" i="259"/>
  <c r="BA201" i="259" l="1"/>
  <c r="BA202" i="275"/>
  <c r="AD862" i="259"/>
  <c r="AD862" i="275" s="1"/>
  <c r="AC916" i="259"/>
  <c r="AC916" i="275" s="1"/>
  <c r="AB44" i="262"/>
  <c r="BB98" i="261"/>
  <c r="BB456" i="259"/>
  <c r="BB456" i="275" s="1"/>
  <c r="AF48" i="262"/>
  <c r="BB534" i="259"/>
  <c r="BB1610" i="259"/>
  <c r="N28" i="275"/>
  <c r="BB174" i="261"/>
  <c r="N1428" i="259"/>
  <c r="X785" i="275"/>
  <c r="Q984" i="275"/>
  <c r="L653" i="259"/>
  <c r="P653" i="275" s="1"/>
  <c r="K653" i="259"/>
  <c r="X70" i="259"/>
  <c r="AC173" i="262"/>
  <c r="F793" i="259"/>
  <c r="F102" i="262" s="1"/>
  <c r="K925" i="275"/>
  <c r="AZ75" i="275"/>
  <c r="AW786" i="259"/>
  <c r="P793" i="275"/>
  <c r="N793" i="275"/>
  <c r="AC1298" i="259"/>
  <c r="P28" i="275"/>
  <c r="F288" i="261"/>
  <c r="AZ720" i="275"/>
  <c r="V786" i="275"/>
  <c r="AC218" i="259"/>
  <c r="BE127" i="264" s="1"/>
  <c r="BG127" i="264" s="1"/>
  <c r="U999" i="259"/>
  <c r="U1170" i="259" s="1"/>
  <c r="G912" i="259"/>
  <c r="G274" i="261" s="1"/>
  <c r="AW652" i="259"/>
  <c r="AX652" i="259"/>
  <c r="AX653" i="259" s="1"/>
  <c r="AX68" i="259"/>
  <c r="O125" i="259"/>
  <c r="O118" i="261" s="1"/>
  <c r="T70" i="259"/>
  <c r="T70" i="275" s="1"/>
  <c r="AV789" i="259"/>
  <c r="AV99" i="262" s="1"/>
  <c r="K1398" i="259"/>
  <c r="AV94" i="262"/>
  <c r="E192" i="262"/>
  <c r="E21" i="259"/>
  <c r="I21" i="275" s="1"/>
  <c r="I28" i="275"/>
  <c r="X1033" i="275"/>
  <c r="AX46" i="275"/>
  <c r="AX845" i="275"/>
  <c r="V124" i="275"/>
  <c r="AX9" i="259"/>
  <c r="AX28" i="259" s="1"/>
  <c r="AW782" i="275"/>
  <c r="U1117" i="259"/>
  <c r="AY52" i="259"/>
  <c r="AX8" i="275"/>
  <c r="X1616" i="259"/>
  <c r="X280" i="262" s="1"/>
  <c r="AY652" i="259"/>
  <c r="AY653" i="259" s="1"/>
  <c r="X652" i="275"/>
  <c r="R652" i="275"/>
  <c r="AX871" i="275"/>
  <c r="V793" i="275"/>
  <c r="N984" i="275"/>
  <c r="AW925" i="259"/>
  <c r="AX925" i="275" s="1"/>
  <c r="E793" i="259"/>
  <c r="E102" i="262" s="1"/>
  <c r="AV257" i="262"/>
  <c r="AY969" i="275"/>
  <c r="AF864" i="259"/>
  <c r="AF918" i="259" s="1"/>
  <c r="K105" i="259"/>
  <c r="AW68" i="259"/>
  <c r="I9" i="275"/>
  <c r="BC1375" i="259"/>
  <c r="BD1375" i="259" s="1"/>
  <c r="BE1375" i="259" s="1"/>
  <c r="H926" i="259"/>
  <c r="H926" i="275" s="1"/>
  <c r="AY68" i="259"/>
  <c r="AY68" i="275" s="1"/>
  <c r="BB1603" i="259"/>
  <c r="AI67" i="262"/>
  <c r="AI74" i="262" s="1"/>
  <c r="AH67" i="262"/>
  <c r="AH74" i="262" s="1"/>
  <c r="AI68" i="262"/>
  <c r="AI75" i="262" s="1"/>
  <c r="BA8" i="263"/>
  <c r="BC8" i="263" s="1"/>
  <c r="AH72" i="262"/>
  <c r="BE114" i="264"/>
  <c r="BG114" i="264" s="1"/>
  <c r="BG112" i="264"/>
  <c r="AI522" i="275"/>
  <c r="AI30" i="262"/>
  <c r="AI31" i="262"/>
  <c r="BB182" i="261"/>
  <c r="BB175" i="261"/>
  <c r="AH485" i="275"/>
  <c r="AG180" i="275"/>
  <c r="BB180" i="259"/>
  <c r="BB263" i="259" s="1"/>
  <c r="BB24" i="261" s="1"/>
  <c r="AG179" i="275"/>
  <c r="BB179" i="259"/>
  <c r="BB262" i="259" s="1"/>
  <c r="BB23" i="261" s="1"/>
  <c r="AI452" i="259"/>
  <c r="AG302" i="275"/>
  <c r="BB302" i="259"/>
  <c r="BB320" i="259" s="1"/>
  <c r="BB28" i="261" s="1"/>
  <c r="BM114" i="264"/>
  <c r="BO114" i="264" s="1"/>
  <c r="BO112" i="264"/>
  <c r="AG534" i="275"/>
  <c r="AG35" i="262"/>
  <c r="AG44" i="262" s="1"/>
  <c r="AI485" i="275"/>
  <c r="AI92" i="261"/>
  <c r="AI245" i="275"/>
  <c r="BB180" i="261"/>
  <c r="BB571" i="259"/>
  <c r="BB184" i="261"/>
  <c r="BB173" i="261"/>
  <c r="BB526" i="259"/>
  <c r="BB177" i="261"/>
  <c r="BB522" i="259"/>
  <c r="BB522" i="275" s="1"/>
  <c r="BB1611" i="259"/>
  <c r="BB568" i="259"/>
  <c r="AG522" i="275"/>
  <c r="AG30" i="262"/>
  <c r="AG31" i="262"/>
  <c r="AG92" i="261"/>
  <c r="AG245" i="275"/>
  <c r="AH92" i="261"/>
  <c r="AH245" i="275"/>
  <c r="AI534" i="275"/>
  <c r="AI35" i="262"/>
  <c r="AI44" i="262" s="1"/>
  <c r="AH534" i="275"/>
  <c r="AH35" i="262"/>
  <c r="AH44" i="262" s="1"/>
  <c r="AG67" i="262"/>
  <c r="AG74" i="262" s="1"/>
  <c r="AH452" i="259"/>
  <c r="BB1604" i="259"/>
  <c r="AG485" i="275"/>
  <c r="AG380" i="275"/>
  <c r="AG452" i="259"/>
  <c r="BB380" i="259"/>
  <c r="BB398" i="259" s="1"/>
  <c r="BB32" i="261" s="1"/>
  <c r="BI114" i="264"/>
  <c r="BK114" i="264" s="1"/>
  <c r="BK112" i="264"/>
  <c r="AH522" i="275"/>
  <c r="AH30" i="262"/>
  <c r="AH31" i="262"/>
  <c r="BB183" i="261"/>
  <c r="BB176" i="261"/>
  <c r="BB245" i="259"/>
  <c r="BB92" i="261" s="1"/>
  <c r="BB91" i="261"/>
  <c r="BB485" i="259"/>
  <c r="BB485" i="275" s="1"/>
  <c r="AG68" i="262"/>
  <c r="AG75" i="262" s="1"/>
  <c r="AH68" i="262"/>
  <c r="AH75" i="262" s="1"/>
  <c r="AE74" i="262"/>
  <c r="AD75" i="262"/>
  <c r="AE75" i="262"/>
  <c r="AC74" i="262"/>
  <c r="AD74" i="262"/>
  <c r="AC75" i="262"/>
  <c r="AF470" i="275"/>
  <c r="BA91" i="264"/>
  <c r="BC91" i="264" s="1"/>
  <c r="AI470" i="275"/>
  <c r="BM91" i="264"/>
  <c r="BO91" i="264" s="1"/>
  <c r="BM121" i="264"/>
  <c r="BO121" i="264" s="1"/>
  <c r="AG470" i="275"/>
  <c r="BE91" i="264"/>
  <c r="BG91" i="264" s="1"/>
  <c r="BE121" i="264"/>
  <c r="BG121" i="264" s="1"/>
  <c r="AH470" i="275"/>
  <c r="BI91" i="264"/>
  <c r="BK91" i="264" s="1"/>
  <c r="BI121" i="264"/>
  <c r="BK121" i="264" s="1"/>
  <c r="BB553" i="259"/>
  <c r="BB199" i="261" s="1"/>
  <c r="BB554" i="259"/>
  <c r="BB205" i="261" s="1"/>
  <c r="AD844" i="275"/>
  <c r="AE844" i="259"/>
  <c r="M793" i="275"/>
  <c r="AX68" i="275"/>
  <c r="T793" i="275"/>
  <c r="AX956" i="275"/>
  <c r="M653" i="259"/>
  <c r="AW265" i="261"/>
  <c r="AU124" i="259"/>
  <c r="AU125" i="259" s="1"/>
  <c r="AU118" i="261" s="1"/>
  <c r="AD894" i="259"/>
  <c r="AD894" i="275" s="1"/>
  <c r="AW1115" i="259"/>
  <c r="AV124" i="259"/>
  <c r="AV125" i="259" s="1"/>
  <c r="AV118" i="261" s="1"/>
  <c r="N105" i="259"/>
  <c r="AD918" i="259"/>
  <c r="AD918" i="275" s="1"/>
  <c r="T789" i="275"/>
  <c r="AW123" i="275"/>
  <c r="R106" i="259"/>
  <c r="K104" i="259"/>
  <c r="AV1385" i="259"/>
  <c r="AV1409" i="259" s="1"/>
  <c r="R28" i="275"/>
  <c r="AY453" i="275"/>
  <c r="N911" i="275"/>
  <c r="AX969" i="275"/>
  <c r="AW706" i="275"/>
  <c r="S68" i="275"/>
  <c r="O925" i="275"/>
  <c r="P1033" i="275"/>
  <c r="AY733" i="259"/>
  <c r="AY725" i="259"/>
  <c r="AY725" i="275" s="1"/>
  <c r="AW929" i="275"/>
  <c r="BA67" i="262"/>
  <c r="BA74" i="262" s="1"/>
  <c r="R793" i="275"/>
  <c r="AC44" i="262"/>
  <c r="AV925" i="275"/>
  <c r="J9" i="275"/>
  <c r="V15" i="267"/>
  <c r="AV821" i="259"/>
  <c r="AV65" i="275"/>
  <c r="J654" i="259"/>
  <c r="J653" i="275"/>
  <c r="X125" i="259"/>
  <c r="X118" i="261" s="1"/>
  <c r="X124" i="275"/>
  <c r="I809" i="259"/>
  <c r="Z501" i="275"/>
  <c r="X511" i="259"/>
  <c r="P70" i="275"/>
  <c r="T654" i="259"/>
  <c r="T653" i="275"/>
  <c r="AW65" i="275"/>
  <c r="AV120" i="262"/>
  <c r="AY432" i="259"/>
  <c r="AY431" i="275"/>
  <c r="AY52" i="275"/>
  <c r="AY128" i="262"/>
  <c r="N125" i="259"/>
  <c r="N118" i="261" s="1"/>
  <c r="N124" i="275"/>
  <c r="K654" i="259"/>
  <c r="W8" i="275"/>
  <c r="W136" i="262"/>
  <c r="W926" i="259"/>
  <c r="W925" i="275"/>
  <c r="M710" i="259"/>
  <c r="AV991" i="275"/>
  <c r="AY123" i="275"/>
  <c r="L1489" i="259"/>
  <c r="L21" i="275"/>
  <c r="P1489" i="259"/>
  <c r="P21" i="275"/>
  <c r="AW1031" i="275"/>
  <c r="AV128" i="262"/>
  <c r="S1489" i="259"/>
  <c r="V1489" i="259"/>
  <c r="V21" i="275"/>
  <c r="Q1489" i="259"/>
  <c r="Q21" i="275"/>
  <c r="J1489" i="259"/>
  <c r="J21" i="275"/>
  <c r="AY142" i="275"/>
  <c r="K134" i="275"/>
  <c r="K135" i="259"/>
  <c r="Y925" i="275"/>
  <c r="Y926" i="259"/>
  <c r="AX642" i="275"/>
  <c r="AX646" i="259"/>
  <c r="V997" i="259"/>
  <c r="Z991" i="275"/>
  <c r="V991" i="275"/>
  <c r="U984" i="275"/>
  <c r="Y984" i="275"/>
  <c r="L28" i="275"/>
  <c r="T913" i="259"/>
  <c r="V131" i="275"/>
  <c r="V130" i="262"/>
  <c r="V134" i="259"/>
  <c r="H712" i="259"/>
  <c r="H997" i="275"/>
  <c r="AY1614" i="259"/>
  <c r="AY489" i="259"/>
  <c r="AY492" i="259"/>
  <c r="AY1510" i="259"/>
  <c r="J997" i="259"/>
  <c r="J991" i="275"/>
  <c r="U913" i="259"/>
  <c r="M68" i="275"/>
  <c r="K997" i="275"/>
  <c r="U712" i="259"/>
  <c r="U997" i="275"/>
  <c r="Y997" i="275"/>
  <c r="I131" i="275"/>
  <c r="I130" i="262"/>
  <c r="N652" i="275"/>
  <c r="N653" i="259"/>
  <c r="N70" i="259"/>
  <c r="N70" i="275" s="1"/>
  <c r="K70" i="259"/>
  <c r="K652" i="275"/>
  <c r="K124" i="275"/>
  <c r="AX365" i="259"/>
  <c r="AX121" i="261" s="1"/>
  <c r="AX364" i="275"/>
  <c r="T652" i="275"/>
  <c r="AX287" i="259"/>
  <c r="AX120" i="261" s="1"/>
  <c r="AX286" i="275"/>
  <c r="AW991" i="259"/>
  <c r="AW991" i="275" s="1"/>
  <c r="O991" i="275"/>
  <c r="O997" i="259"/>
  <c r="AX974" i="275"/>
  <c r="V70" i="259"/>
  <c r="V70" i="275" s="1"/>
  <c r="V652" i="275"/>
  <c r="V653" i="259"/>
  <c r="T997" i="259"/>
  <c r="X997" i="275" s="1"/>
  <c r="T991" i="275"/>
  <c r="U131" i="275"/>
  <c r="U130" i="262"/>
  <c r="U134" i="259"/>
  <c r="AV723" i="275"/>
  <c r="AW723" i="275"/>
  <c r="AV725" i="259"/>
  <c r="Z68" i="275"/>
  <c r="V68" i="275"/>
  <c r="O789" i="275"/>
  <c r="Q712" i="259"/>
  <c r="Q997" i="275"/>
  <c r="N134" i="259"/>
  <c r="N131" i="275"/>
  <c r="N130" i="262"/>
  <c r="BD802" i="259"/>
  <c r="BE19" i="259"/>
  <c r="BD19" i="275"/>
  <c r="AY50" i="275"/>
  <c r="AY126" i="262"/>
  <c r="AW52" i="275"/>
  <c r="AW128" i="262"/>
  <c r="AX257" i="262"/>
  <c r="AX782" i="275"/>
  <c r="AY8" i="277"/>
  <c r="AY39" i="277" s="1"/>
  <c r="AY7" i="275"/>
  <c r="AY135" i="262"/>
  <c r="R809" i="259"/>
  <c r="R786" i="275"/>
  <c r="H984" i="275"/>
  <c r="S809" i="259"/>
  <c r="S786" i="275"/>
  <c r="AW789" i="259"/>
  <c r="AW784" i="275"/>
  <c r="BD16" i="259"/>
  <c r="BD16" i="275" s="1"/>
  <c r="BE293" i="261"/>
  <c r="BE16" i="259" s="1"/>
  <c r="W125" i="259"/>
  <c r="W118" i="261" s="1"/>
  <c r="W124" i="275"/>
  <c r="AX143" i="259"/>
  <c r="AX142" i="275"/>
  <c r="AV1033" i="259"/>
  <c r="AV1033" i="275" s="1"/>
  <c r="AV1031" i="275"/>
  <c r="K8" i="275"/>
  <c r="K136" i="262"/>
  <c r="AV68" i="259"/>
  <c r="AV68" i="275" s="1"/>
  <c r="H68" i="275"/>
  <c r="AW984" i="259"/>
  <c r="O984" i="275"/>
  <c r="Q819" i="259"/>
  <c r="P99" i="262"/>
  <c r="P789" i="275"/>
  <c r="X654" i="259"/>
  <c r="X653" i="275"/>
  <c r="O654" i="259"/>
  <c r="O653" i="275"/>
  <c r="L102" i="262"/>
  <c r="L793" i="275"/>
  <c r="M1489" i="259"/>
  <c r="M21" i="275"/>
  <c r="I1489" i="259"/>
  <c r="N1489" i="259"/>
  <c r="N21" i="275"/>
  <c r="T28" i="275"/>
  <c r="BD11" i="259"/>
  <c r="BD794" i="259" s="1"/>
  <c r="BE289" i="261"/>
  <c r="BE11" i="259" s="1"/>
  <c r="AX1494" i="259"/>
  <c r="AX196" i="262" s="1"/>
  <c r="AX924" i="275"/>
  <c r="AY1494" i="259"/>
  <c r="AY196" i="262" s="1"/>
  <c r="AY924" i="275"/>
  <c r="N1033" i="275"/>
  <c r="R1033" i="275"/>
  <c r="Y819" i="259"/>
  <c r="AY642" i="275"/>
  <c r="AY646" i="259"/>
  <c r="J1614" i="259"/>
  <c r="J487" i="275"/>
  <c r="N487" i="275"/>
  <c r="J489" i="259"/>
  <c r="J51" i="259"/>
  <c r="J1510" i="259"/>
  <c r="J210" i="261" s="1"/>
  <c r="J500" i="259"/>
  <c r="J512" i="259"/>
  <c r="J492" i="259"/>
  <c r="AV273" i="261"/>
  <c r="AV905" i="275"/>
  <c r="AW287" i="259"/>
  <c r="AW120" i="261" s="1"/>
  <c r="AW286" i="275"/>
  <c r="N913" i="259"/>
  <c r="AV59" i="275"/>
  <c r="AW211" i="259"/>
  <c r="AW210" i="275"/>
  <c r="L131" i="275"/>
  <c r="L130" i="262"/>
  <c r="L134" i="259"/>
  <c r="X926" i="259"/>
  <c r="X925" i="275"/>
  <c r="AW365" i="259"/>
  <c r="AW121" i="261" s="1"/>
  <c r="AW364" i="275"/>
  <c r="AX784" i="275"/>
  <c r="O913" i="259"/>
  <c r="O926" i="275"/>
  <c r="AW895" i="275"/>
  <c r="U68" i="275"/>
  <c r="Z1033" i="275"/>
  <c r="V1033" i="275"/>
  <c r="P991" i="275"/>
  <c r="P997" i="259"/>
  <c r="P999" i="259" s="1"/>
  <c r="Y652" i="275"/>
  <c r="Y653" i="259"/>
  <c r="Y70" i="259"/>
  <c r="AW845" i="275"/>
  <c r="AW161" i="259"/>
  <c r="AW119" i="261" s="1"/>
  <c r="AW160" i="275"/>
  <c r="AW1018" i="275"/>
  <c r="I712" i="259"/>
  <c r="I997" i="275"/>
  <c r="AV431" i="275"/>
  <c r="U1614" i="259"/>
  <c r="U487" i="275"/>
  <c r="Y487" i="275"/>
  <c r="U492" i="259"/>
  <c r="U489" i="259"/>
  <c r="U1510" i="259"/>
  <c r="U210" i="261" s="1"/>
  <c r="U500" i="259"/>
  <c r="U51" i="259"/>
  <c r="U512" i="259"/>
  <c r="P1614" i="259"/>
  <c r="P487" i="275"/>
  <c r="P489" i="259"/>
  <c r="P500" i="259"/>
  <c r="P492" i="259"/>
  <c r="P51" i="259"/>
  <c r="P1510" i="259"/>
  <c r="P210" i="261" s="1"/>
  <c r="P512" i="259"/>
  <c r="R68" i="275"/>
  <c r="W911" i="275"/>
  <c r="M487" i="275"/>
  <c r="M512" i="259"/>
  <c r="M51" i="259"/>
  <c r="M1510" i="259"/>
  <c r="M210" i="261" s="1"/>
  <c r="M489" i="259"/>
  <c r="M492" i="259"/>
  <c r="M492" i="275" s="1"/>
  <c r="M1614" i="259"/>
  <c r="M500" i="259"/>
  <c r="Q500" i="275" s="1"/>
  <c r="Z53" i="275"/>
  <c r="Z819" i="259"/>
  <c r="R712" i="259"/>
  <c r="P53" i="259"/>
  <c r="P52" i="275"/>
  <c r="P128" i="262"/>
  <c r="AV161" i="259"/>
  <c r="AV119" i="261" s="1"/>
  <c r="AV160" i="275"/>
  <c r="AY273" i="261"/>
  <c r="AY905" i="275"/>
  <c r="AV1548" i="259"/>
  <c r="AV76" i="259" s="1"/>
  <c r="AV76" i="275" s="1"/>
  <c r="AV658" i="275"/>
  <c r="AX983" i="275"/>
  <c r="O68" i="275"/>
  <c r="N812" i="259"/>
  <c r="V45" i="259"/>
  <c r="Z511" i="275"/>
  <c r="I785" i="275"/>
  <c r="Q812" i="259"/>
  <c r="U812" i="275" s="1"/>
  <c r="S306" i="261"/>
  <c r="F131" i="259"/>
  <c r="F134" i="259" s="1"/>
  <c r="J134" i="275" s="1"/>
  <c r="J432" i="275"/>
  <c r="BC110" i="262"/>
  <c r="BC802" i="275"/>
  <c r="W809" i="259"/>
  <c r="W786" i="275"/>
  <c r="AX991" i="275"/>
  <c r="AW653" i="259"/>
  <c r="AX911" i="275"/>
  <c r="V819" i="259"/>
  <c r="AV50" i="275"/>
  <c r="AV126" i="262"/>
  <c r="I71" i="259"/>
  <c r="I71" i="275" s="1"/>
  <c r="I69" i="275"/>
  <c r="J809" i="259"/>
  <c r="N809" i="275" s="1"/>
  <c r="J786" i="275"/>
  <c r="S654" i="259"/>
  <c r="S653" i="275"/>
  <c r="AY785" i="259"/>
  <c r="AY785" i="275" s="1"/>
  <c r="T785" i="275"/>
  <c r="L809" i="259"/>
  <c r="P809" i="275" s="1"/>
  <c r="L786" i="275"/>
  <c r="X53" i="259"/>
  <c r="X127" i="262"/>
  <c r="AY211" i="259"/>
  <c r="AY210" i="275"/>
  <c r="AW50" i="275"/>
  <c r="AW126" i="262"/>
  <c r="AX50" i="275"/>
  <c r="AX126" i="262"/>
  <c r="Q125" i="259"/>
  <c r="Q118" i="261" s="1"/>
  <c r="Q124" i="275"/>
  <c r="K911" i="275"/>
  <c r="X70" i="275"/>
  <c r="O8" i="275"/>
  <c r="O136" i="262"/>
  <c r="AV1494" i="259"/>
  <c r="AV196" i="262" s="1"/>
  <c r="AV924" i="275"/>
  <c r="AU9" i="259"/>
  <c r="AU21" i="259" s="1"/>
  <c r="AU1489" i="259" s="1"/>
  <c r="AU9" i="277"/>
  <c r="AU136" i="262"/>
  <c r="H28" i="275"/>
  <c r="T1489" i="259"/>
  <c r="T21" i="275"/>
  <c r="J790" i="259"/>
  <c r="J101" i="262" s="1"/>
  <c r="Q69" i="259"/>
  <c r="M913" i="259"/>
  <c r="BA68" i="262"/>
  <c r="BA75" i="262" s="1"/>
  <c r="J984" i="275"/>
  <c r="J1117" i="259"/>
  <c r="J1102" i="259"/>
  <c r="AV1116" i="259"/>
  <c r="AV982" i="275"/>
  <c r="AV1101" i="259"/>
  <c r="AX1548" i="259"/>
  <c r="AX76" i="259" s="1"/>
  <c r="AX658" i="275"/>
  <c r="L984" i="275"/>
  <c r="AX131" i="259"/>
  <c r="AX432" i="275"/>
  <c r="AW40" i="275"/>
  <c r="O487" i="275"/>
  <c r="O492" i="259"/>
  <c r="O489" i="259"/>
  <c r="O512" i="259"/>
  <c r="O51" i="259"/>
  <c r="O1510" i="259"/>
  <c r="O210" i="261" s="1"/>
  <c r="O1614" i="259"/>
  <c r="O500" i="259"/>
  <c r="X131" i="275"/>
  <c r="X130" i="262"/>
  <c r="X134" i="259"/>
  <c r="O1033" i="275"/>
  <c r="S1033" i="275"/>
  <c r="L997" i="259"/>
  <c r="L991" i="275"/>
  <c r="X712" i="259"/>
  <c r="H652" i="259"/>
  <c r="H646" i="275"/>
  <c r="AY365" i="259"/>
  <c r="AY121" i="261" s="1"/>
  <c r="AY364" i="275"/>
  <c r="Q131" i="275"/>
  <c r="Q130" i="262"/>
  <c r="T1614" i="259"/>
  <c r="T487" i="275"/>
  <c r="T489" i="259"/>
  <c r="T500" i="259"/>
  <c r="T51" i="259"/>
  <c r="X51" i="275" s="1"/>
  <c r="T1510" i="259"/>
  <c r="T210" i="261" s="1"/>
  <c r="T512" i="259"/>
  <c r="T492" i="259"/>
  <c r="AW8" i="277"/>
  <c r="AW7" i="275"/>
  <c r="AW135" i="262"/>
  <c r="M131" i="275"/>
  <c r="M130" i="262"/>
  <c r="M134" i="259"/>
  <c r="Q134" i="275" s="1"/>
  <c r="W789" i="275"/>
  <c r="W1430" i="259"/>
  <c r="W1455" i="259" s="1"/>
  <c r="W120" i="262"/>
  <c r="W99" i="262"/>
  <c r="U911" i="275"/>
  <c r="R984" i="275"/>
  <c r="W131" i="259"/>
  <c r="W432" i="275"/>
  <c r="V911" i="275"/>
  <c r="AV1040" i="259"/>
  <c r="AV1040" i="275" s="1"/>
  <c r="AV1039" i="275"/>
  <c r="S913" i="259"/>
  <c r="S926" i="275"/>
  <c r="AV131" i="259"/>
  <c r="AW131" i="275" s="1"/>
  <c r="AV432" i="275"/>
  <c r="AX1031" i="275"/>
  <c r="H487" i="275"/>
  <c r="H512" i="259"/>
  <c r="H1614" i="259"/>
  <c r="H1510" i="259"/>
  <c r="H210" i="261" s="1"/>
  <c r="H51" i="259"/>
  <c r="H492" i="259"/>
  <c r="H492" i="275" s="1"/>
  <c r="H489" i="259"/>
  <c r="H500" i="259"/>
  <c r="AW990" i="275"/>
  <c r="L487" i="275"/>
  <c r="L500" i="259"/>
  <c r="L51" i="259"/>
  <c r="L1510" i="259"/>
  <c r="L210" i="261" s="1"/>
  <c r="L492" i="259"/>
  <c r="L489" i="259"/>
  <c r="L1614" i="259"/>
  <c r="L512" i="259"/>
  <c r="U653" i="259"/>
  <c r="U652" i="275"/>
  <c r="U70" i="259"/>
  <c r="AV642" i="275"/>
  <c r="AV646" i="259"/>
  <c r="J1430" i="259"/>
  <c r="J1455" i="259" s="1"/>
  <c r="J789" i="275"/>
  <c r="J120" i="262"/>
  <c r="J99" i="262"/>
  <c r="S8" i="275"/>
  <c r="N819" i="259"/>
  <c r="AY1040" i="259"/>
  <c r="AY1040" i="275" s="1"/>
  <c r="AY1039" i="275"/>
  <c r="AW969" i="275"/>
  <c r="AW1548" i="259"/>
  <c r="AW76" i="259" s="1"/>
  <c r="AW658" i="275"/>
  <c r="L68" i="275"/>
  <c r="I819" i="259"/>
  <c r="I53" i="275"/>
  <c r="M911" i="275"/>
  <c r="X68" i="275"/>
  <c r="N9" i="275"/>
  <c r="AW453" i="275"/>
  <c r="AW432" i="275"/>
  <c r="R124" i="275"/>
  <c r="Q793" i="275"/>
  <c r="U793" i="275"/>
  <c r="G53" i="259"/>
  <c r="G819" i="259" s="1"/>
  <c r="G127" i="262"/>
  <c r="S997" i="275"/>
  <c r="M654" i="259"/>
  <c r="M653" i="275"/>
  <c r="H793" i="275"/>
  <c r="J70" i="275"/>
  <c r="AV96" i="262"/>
  <c r="AV785" i="275"/>
  <c r="I501" i="275"/>
  <c r="V71" i="259"/>
  <c r="Z69" i="275"/>
  <c r="M809" i="259"/>
  <c r="M786" i="275"/>
  <c r="AW926" i="259"/>
  <c r="AW925" i="275"/>
  <c r="S125" i="259"/>
  <c r="S118" i="261" s="1"/>
  <c r="S124" i="275"/>
  <c r="K809" i="259"/>
  <c r="O809" i="275" s="1"/>
  <c r="K786" i="275"/>
  <c r="L125" i="259"/>
  <c r="L118" i="261" s="1"/>
  <c r="L124" i="275"/>
  <c r="X1607" i="259"/>
  <c r="X1606" i="259" s="1"/>
  <c r="X489" i="275"/>
  <c r="R654" i="259"/>
  <c r="R653" i="275"/>
  <c r="P654" i="259"/>
  <c r="AX52" i="275"/>
  <c r="AX128" i="262"/>
  <c r="T125" i="259"/>
  <c r="T118" i="261" s="1"/>
  <c r="T124" i="275"/>
  <c r="AU52" i="259"/>
  <c r="AU128" i="262" s="1"/>
  <c r="G128" i="262"/>
  <c r="AW9" i="277"/>
  <c r="AW136" i="262"/>
  <c r="W654" i="259"/>
  <c r="W653" i="275"/>
  <c r="AY925" i="259"/>
  <c r="AY925" i="275" s="1"/>
  <c r="AY871" i="275"/>
  <c r="M999" i="259"/>
  <c r="M999" i="275" s="1"/>
  <c r="M984" i="275"/>
  <c r="X28" i="259"/>
  <c r="X28" i="275" s="1"/>
  <c r="X9" i="275"/>
  <c r="I789" i="275"/>
  <c r="P926" i="259"/>
  <c r="P925" i="275"/>
  <c r="AV265" i="261"/>
  <c r="AV955" i="275"/>
  <c r="J926" i="259"/>
  <c r="J925" i="275"/>
  <c r="V99" i="262"/>
  <c r="V789" i="275"/>
  <c r="AX123" i="275"/>
  <c r="Q492" i="275"/>
  <c r="AX821" i="259"/>
  <c r="AX65" i="275"/>
  <c r="U1489" i="259"/>
  <c r="U21" i="275"/>
  <c r="Q926" i="259"/>
  <c r="Q925" i="275"/>
  <c r="R1489" i="259"/>
  <c r="R21" i="275"/>
  <c r="H1489" i="259"/>
  <c r="H21" i="275"/>
  <c r="V28" i="275"/>
  <c r="Q28" i="275"/>
  <c r="J28" i="275"/>
  <c r="AV123" i="275"/>
  <c r="L913" i="259"/>
  <c r="L926" i="275"/>
  <c r="AW143" i="259"/>
  <c r="AW142" i="275"/>
  <c r="U1033" i="275"/>
  <c r="Y1033" i="275"/>
  <c r="W70" i="259"/>
  <c r="W70" i="275" s="1"/>
  <c r="W652" i="275"/>
  <c r="S1614" i="259"/>
  <c r="S487" i="275"/>
  <c r="S512" i="259"/>
  <c r="S489" i="259"/>
  <c r="S500" i="259"/>
  <c r="S1510" i="259"/>
  <c r="S210" i="261" s="1"/>
  <c r="S51" i="259"/>
  <c r="S492" i="259"/>
  <c r="AY46" i="275"/>
  <c r="P131" i="275"/>
  <c r="P130" i="262"/>
  <c r="P134" i="259"/>
  <c r="T134" i="275" s="1"/>
  <c r="AW1614" i="259"/>
  <c r="AW487" i="275"/>
  <c r="AW1510" i="259"/>
  <c r="AW210" i="261" s="1"/>
  <c r="AW489" i="259"/>
  <c r="AW492" i="259"/>
  <c r="AX487" i="259"/>
  <c r="AX479" i="275"/>
  <c r="AX161" i="259"/>
  <c r="AX119" i="261" s="1"/>
  <c r="AX160" i="275"/>
  <c r="I984" i="275"/>
  <c r="AV365" i="259"/>
  <c r="AV121" i="261" s="1"/>
  <c r="AV364" i="275"/>
  <c r="AY287" i="259"/>
  <c r="AY120" i="261" s="1"/>
  <c r="AY286" i="275"/>
  <c r="T925" i="275"/>
  <c r="S131" i="275"/>
  <c r="S130" i="262"/>
  <c r="S134" i="259"/>
  <c r="AW75" i="275"/>
  <c r="N997" i="259"/>
  <c r="R997" i="275" s="1"/>
  <c r="N991" i="275"/>
  <c r="AV1614" i="259"/>
  <c r="AV487" i="275"/>
  <c r="AV1510" i="259"/>
  <c r="AV210" i="261" s="1"/>
  <c r="AV489" i="259"/>
  <c r="AV492" i="259"/>
  <c r="AV492" i="275" s="1"/>
  <c r="Z653" i="259"/>
  <c r="Z652" i="275"/>
  <c r="Z70" i="259"/>
  <c r="O131" i="275"/>
  <c r="O130" i="262"/>
  <c r="O134" i="259"/>
  <c r="AW646" i="259"/>
  <c r="AW642" i="275"/>
  <c r="AV8" i="277"/>
  <c r="AV7" i="275"/>
  <c r="AV135" i="262"/>
  <c r="U925" i="275"/>
  <c r="N45" i="259"/>
  <c r="Q51" i="275"/>
  <c r="Q127" i="262"/>
  <c r="AY1548" i="259"/>
  <c r="AY76" i="259" s="1"/>
  <c r="AY658" i="275"/>
  <c r="Q45" i="259"/>
  <c r="I45" i="259"/>
  <c r="I511" i="275"/>
  <c r="AV652" i="259"/>
  <c r="AW652" i="275" s="1"/>
  <c r="J652" i="275"/>
  <c r="R913" i="259"/>
  <c r="R926" i="275"/>
  <c r="K913" i="259"/>
  <c r="K913" i="275" s="1"/>
  <c r="K926" i="275"/>
  <c r="Q789" i="275"/>
  <c r="AY706" i="275"/>
  <c r="K1614" i="259"/>
  <c r="K487" i="275"/>
  <c r="K489" i="259"/>
  <c r="K512" i="259"/>
  <c r="K492" i="259"/>
  <c r="K492" i="275" s="1"/>
  <c r="K1510" i="259"/>
  <c r="K210" i="261" s="1"/>
  <c r="K51" i="259"/>
  <c r="K500" i="259"/>
  <c r="H131" i="275"/>
  <c r="H130" i="262"/>
  <c r="H134" i="259"/>
  <c r="R131" i="275"/>
  <c r="R130" i="262"/>
  <c r="R134" i="259"/>
  <c r="O911" i="275"/>
  <c r="K646" i="275"/>
  <c r="R1008" i="259"/>
  <c r="R1170" i="259"/>
  <c r="AX273" i="261"/>
  <c r="AX905" i="275"/>
  <c r="AX270" i="261"/>
  <c r="T53" i="259"/>
  <c r="T52" i="275"/>
  <c r="T128" i="262"/>
  <c r="N68" i="275"/>
  <c r="AV210" i="275"/>
  <c r="P652" i="275"/>
  <c r="L925" i="275"/>
  <c r="AW785" i="275"/>
  <c r="AX1040" i="275"/>
  <c r="Q1033" i="275"/>
  <c r="W1614" i="259"/>
  <c r="W487" i="275"/>
  <c r="W500" i="259"/>
  <c r="W512" i="259"/>
  <c r="W51" i="259"/>
  <c r="W492" i="259"/>
  <c r="W489" i="259"/>
  <c r="W1510" i="259"/>
  <c r="Q652" i="275"/>
  <c r="Q70" i="259"/>
  <c r="Q70" i="275" s="1"/>
  <c r="Q653" i="259"/>
  <c r="AX723" i="275"/>
  <c r="AY723" i="275"/>
  <c r="S984" i="275"/>
  <c r="R1614" i="259"/>
  <c r="R487" i="275"/>
  <c r="R51" i="259"/>
  <c r="R492" i="259"/>
  <c r="R489" i="259"/>
  <c r="V487" i="275"/>
  <c r="R1510" i="259"/>
  <c r="R210" i="261" s="1"/>
  <c r="R500" i="259"/>
  <c r="R512" i="259"/>
  <c r="T135" i="259"/>
  <c r="AX8" i="277"/>
  <c r="AX7" i="275"/>
  <c r="AX135" i="262"/>
  <c r="V913" i="259"/>
  <c r="V926" i="275"/>
  <c r="Z926" i="275"/>
  <c r="I926" i="259"/>
  <c r="M926" i="275" s="1"/>
  <c r="I925" i="275"/>
  <c r="AY161" i="259"/>
  <c r="AY119" i="261" s="1"/>
  <c r="AY160" i="275"/>
  <c r="X487" i="275"/>
  <c r="W68" i="275"/>
  <c r="AX210" i="275"/>
  <c r="I247" i="261"/>
  <c r="I654" i="275"/>
  <c r="T984" i="275"/>
  <c r="AW130" i="262"/>
  <c r="U124" i="275"/>
  <c r="BD14" i="262"/>
  <c r="BE551" i="275"/>
  <c r="BE554" i="259"/>
  <c r="BE205" i="261" s="1"/>
  <c r="BE553" i="259"/>
  <c r="BE199" i="261" s="1"/>
  <c r="BD110" i="262"/>
  <c r="BD802" i="275"/>
  <c r="AE44" i="262"/>
  <c r="W76" i="275"/>
  <c r="O76" i="275"/>
  <c r="S76" i="275"/>
  <c r="AZ893" i="259"/>
  <c r="AZ893" i="275" s="1"/>
  <c r="AZ168" i="262"/>
  <c r="AZ843" i="275"/>
  <c r="AC917" i="259"/>
  <c r="AC917" i="275" s="1"/>
  <c r="AC863" i="275"/>
  <c r="AZ892" i="259"/>
  <c r="AZ892" i="275" s="1"/>
  <c r="BA864" i="259"/>
  <c r="BA864" i="275" s="1"/>
  <c r="AE864" i="275"/>
  <c r="AC918" i="259"/>
  <c r="AC918" i="275" s="1"/>
  <c r="AC864" i="275"/>
  <c r="Z44" i="262"/>
  <c r="R101" i="264"/>
  <c r="AZ1021" i="259"/>
  <c r="AZ1021" i="275" s="1"/>
  <c r="BC799" i="259"/>
  <c r="BC16" i="275"/>
  <c r="R102" i="264"/>
  <c r="R121" i="264"/>
  <c r="T121" i="264" s="1"/>
  <c r="AZ831" i="259"/>
  <c r="AZ831" i="275" s="1"/>
  <c r="AZ622" i="259"/>
  <c r="AZ161" i="261"/>
  <c r="AZ623" i="275"/>
  <c r="F37" i="273"/>
  <c r="AD264" i="262"/>
  <c r="AD151" i="262"/>
  <c r="AZ379" i="259"/>
  <c r="AZ379" i="275" s="1"/>
  <c r="BD799" i="259"/>
  <c r="AZ829" i="259"/>
  <c r="AZ829" i="275" s="1"/>
  <c r="AZ1027" i="259"/>
  <c r="AZ1027" i="275" s="1"/>
  <c r="R28" i="263"/>
  <c r="BB11" i="275"/>
  <c r="AD900" i="259"/>
  <c r="AC900" i="275"/>
  <c r="AC952" i="259"/>
  <c r="AC952" i="275" s="1"/>
  <c r="AD903" i="259"/>
  <c r="AC903" i="275"/>
  <c r="BB107" i="262"/>
  <c r="BB799" i="275"/>
  <c r="AC857" i="275"/>
  <c r="AC694" i="259"/>
  <c r="AD623" i="259"/>
  <c r="AC623" i="275"/>
  <c r="BB42" i="262"/>
  <c r="R104" i="264"/>
  <c r="T104" i="264" s="1"/>
  <c r="BB484" i="275"/>
  <c r="AE264" i="262"/>
  <c r="AE151" i="262"/>
  <c r="AZ1017" i="259"/>
  <c r="AZ1017" i="275" s="1"/>
  <c r="AZ374" i="259"/>
  <c r="AZ374" i="275" s="1"/>
  <c r="AZ832" i="259"/>
  <c r="AZ832" i="275" s="1"/>
  <c r="R139" i="264"/>
  <c r="T139" i="264" s="1"/>
  <c r="BB344" i="275"/>
  <c r="BB41" i="262"/>
  <c r="R103" i="264"/>
  <c r="T103" i="264" s="1"/>
  <c r="BB483" i="275"/>
  <c r="AZ888" i="275"/>
  <c r="J134" i="264"/>
  <c r="L134" i="264" s="1"/>
  <c r="AZ214" i="275"/>
  <c r="R130" i="264"/>
  <c r="T130" i="264" s="1"/>
  <c r="BB243" i="275"/>
  <c r="AD904" i="259"/>
  <c r="AC904" i="275"/>
  <c r="AZ297" i="259"/>
  <c r="AZ297" i="275" s="1"/>
  <c r="R151" i="264"/>
  <c r="T151" i="264" s="1"/>
  <c r="R145" i="264"/>
  <c r="T145" i="264" s="1"/>
  <c r="BB422" i="275"/>
  <c r="AZ491" i="259"/>
  <c r="AZ828" i="259"/>
  <c r="AZ828" i="275" s="1"/>
  <c r="AC690" i="259"/>
  <c r="AZ262" i="261"/>
  <c r="AZ952" i="275"/>
  <c r="AC910" i="259"/>
  <c r="AC856" i="259"/>
  <c r="Z183" i="262"/>
  <c r="AZ231" i="259"/>
  <c r="AZ231" i="275" s="1"/>
  <c r="AZ271" i="259"/>
  <c r="AZ218" i="275"/>
  <c r="BB69" i="262"/>
  <c r="BB76" i="262" s="1"/>
  <c r="BB244" i="275"/>
  <c r="AC470" i="275"/>
  <c r="AE8" i="262"/>
  <c r="AE538" i="275"/>
  <c r="AZ14" i="262"/>
  <c r="AZ551" i="275"/>
  <c r="BA551" i="275"/>
  <c r="G31" i="273"/>
  <c r="AE470" i="275"/>
  <c r="AD470" i="275"/>
  <c r="BB551" i="275"/>
  <c r="BB60" i="262"/>
  <c r="BB202" i="275"/>
  <c r="AD8" i="262"/>
  <c r="AD538" i="275"/>
  <c r="BD551" i="275"/>
  <c r="AZ19" i="262"/>
  <c r="AZ539" i="275"/>
  <c r="BA35" i="262"/>
  <c r="BA534" i="275"/>
  <c r="BB482" i="275"/>
  <c r="BB481" i="275"/>
  <c r="F250" i="261"/>
  <c r="F152" i="262"/>
  <c r="AM9" i="264"/>
  <c r="BC422" i="259"/>
  <c r="BB66" i="262"/>
  <c r="BB73" i="262" s="1"/>
  <c r="BC344" i="259"/>
  <c r="BB65" i="262"/>
  <c r="Y262" i="262"/>
  <c r="Y154" i="262"/>
  <c r="BB64" i="262"/>
  <c r="Y45" i="262"/>
  <c r="AA44" i="262"/>
  <c r="E790" i="259"/>
  <c r="E306" i="261" s="1"/>
  <c r="S22" i="259"/>
  <c r="S1492" i="259" s="1"/>
  <c r="G796" i="259"/>
  <c r="AD863" i="259"/>
  <c r="AU926" i="259"/>
  <c r="AU913" i="259" s="1"/>
  <c r="AU912" i="259" s="1"/>
  <c r="AU274" i="261" s="1"/>
  <c r="V1430" i="259"/>
  <c r="V1455" i="259" s="1"/>
  <c r="F22" i="259"/>
  <c r="J22" i="275" s="1"/>
  <c r="X288" i="261"/>
  <c r="P1430" i="259"/>
  <c r="P1455" i="259" s="1"/>
  <c r="O999" i="259"/>
  <c r="O999" i="275" s="1"/>
  <c r="P120" i="262"/>
  <c r="P790" i="259"/>
  <c r="P101" i="262" s="1"/>
  <c r="AX100" i="259"/>
  <c r="AX102" i="259" s="1"/>
  <c r="AX105" i="259" s="1"/>
  <c r="O1102" i="259"/>
  <c r="AY1033" i="259"/>
  <c r="AY1033" i="275" s="1"/>
  <c r="AY1638" i="259"/>
  <c r="AY252" i="262"/>
  <c r="L1451" i="259"/>
  <c r="L1452" i="259" s="1"/>
  <c r="AY1303" i="259"/>
  <c r="AY255" i="262" s="1"/>
  <c r="AW1033" i="259"/>
  <c r="AW1638" i="259"/>
  <c r="F1619" i="259"/>
  <c r="F1623" i="259" s="1"/>
  <c r="F286" i="262" s="1"/>
  <c r="F1633" i="259"/>
  <c r="F292" i="262" s="1"/>
  <c r="AU1619" i="259"/>
  <c r="AU283" i="262" s="1"/>
  <c r="AU1633" i="259"/>
  <c r="AU292" i="262" s="1"/>
  <c r="N1619" i="259"/>
  <c r="N283" i="262" s="1"/>
  <c r="N1633" i="259"/>
  <c r="N292" i="262" s="1"/>
  <c r="D1619" i="259"/>
  <c r="D1633" i="259"/>
  <c r="D292" i="262" s="1"/>
  <c r="D1623" i="259"/>
  <c r="D286" i="262" s="1"/>
  <c r="G1619" i="259"/>
  <c r="G283" i="262" s="1"/>
  <c r="G1633" i="259"/>
  <c r="G292" i="262" s="1"/>
  <c r="E502" i="259"/>
  <c r="E213" i="261" s="1"/>
  <c r="E1620" i="259"/>
  <c r="E284" i="262" s="1"/>
  <c r="L790" i="259"/>
  <c r="AU502" i="259"/>
  <c r="AU213" i="261" s="1"/>
  <c r="AU1620" i="259"/>
  <c r="AU284" i="262" s="1"/>
  <c r="AY164" i="262"/>
  <c r="V502" i="259"/>
  <c r="V1620" i="259"/>
  <c r="V284" i="262" s="1"/>
  <c r="AV1313" i="259"/>
  <c r="AV190" i="262" s="1"/>
  <c r="AB167" i="262"/>
  <c r="AV926" i="259"/>
  <c r="AX926" i="259"/>
  <c r="AY926" i="259"/>
  <c r="Q1613" i="259"/>
  <c r="Q1616" i="259"/>
  <c r="Q280" i="262" s="1"/>
  <c r="Q502" i="259"/>
  <c r="Q1620" i="259"/>
  <c r="Q284" i="262" s="1"/>
  <c r="I502" i="259"/>
  <c r="I1620" i="259"/>
  <c r="I284" i="262" s="1"/>
  <c r="AC842" i="259"/>
  <c r="AC167" i="262" s="1"/>
  <c r="N502" i="259"/>
  <c r="N1620" i="259"/>
  <c r="N284" i="262" s="1"/>
  <c r="AZ173" i="259"/>
  <c r="AZ40" i="261"/>
  <c r="AZ188" i="261"/>
  <c r="BC11" i="259"/>
  <c r="V28" i="263" s="1"/>
  <c r="AZ258" i="261"/>
  <c r="AM31" i="264"/>
  <c r="Z242" i="262"/>
  <c r="Z252" i="262"/>
  <c r="J8" i="263"/>
  <c r="L8" i="263" s="1"/>
  <c r="AS64" i="264"/>
  <c r="AU64" i="264" s="1"/>
  <c r="BC243" i="259"/>
  <c r="V130" i="264" s="1"/>
  <c r="X130" i="264" s="1"/>
  <c r="N217" i="262"/>
  <c r="N1596" i="259"/>
  <c r="X217" i="262"/>
  <c r="X1596" i="259"/>
  <c r="V217" i="262"/>
  <c r="V1596" i="259"/>
  <c r="AK28" i="264"/>
  <c r="F31" i="264"/>
  <c r="H31" i="264" s="1"/>
  <c r="O21" i="259"/>
  <c r="O28" i="259"/>
  <c r="U217" i="262"/>
  <c r="U1596" i="259"/>
  <c r="I217" i="262"/>
  <c r="I1596" i="259"/>
  <c r="T217" i="262"/>
  <c r="T1596" i="259"/>
  <c r="S217" i="262"/>
  <c r="S1596" i="259"/>
  <c r="G26" i="259"/>
  <c r="G27" i="259"/>
  <c r="G1292" i="259" s="1"/>
  <c r="G1296" i="259" s="1"/>
  <c r="J127" i="264"/>
  <c r="L127" i="264" s="1"/>
  <c r="AZ76" i="261"/>
  <c r="AZ185" i="262"/>
  <c r="AZ82" i="261"/>
  <c r="AZ63" i="261"/>
  <c r="AZ169" i="261"/>
  <c r="AZ67" i="261"/>
  <c r="AO90" i="264"/>
  <c r="AQ90" i="264" s="1"/>
  <c r="AW64" i="264"/>
  <c r="AY64" i="264" s="1"/>
  <c r="AO57" i="264"/>
  <c r="AO71" i="264" s="1"/>
  <c r="AQ71" i="264" s="1"/>
  <c r="AO91" i="264"/>
  <c r="AQ91" i="264" s="1"/>
  <c r="AS121" i="264"/>
  <c r="AU121" i="264" s="1"/>
  <c r="AO20" i="264"/>
  <c r="AZ171" i="259"/>
  <c r="AW95" i="264"/>
  <c r="AY95" i="264" s="1"/>
  <c r="AS94" i="264"/>
  <c r="AU94" i="264" s="1"/>
  <c r="BB29" i="262"/>
  <c r="AW135" i="264"/>
  <c r="AY135" i="264" s="1"/>
  <c r="AW152" i="264"/>
  <c r="AY152" i="264" s="1"/>
  <c r="AW126" i="264"/>
  <c r="AY126" i="264" s="1"/>
  <c r="AS128" i="264"/>
  <c r="AU128" i="264" s="1"/>
  <c r="AZ54" i="261"/>
  <c r="AZ81" i="261"/>
  <c r="AZ217" i="259"/>
  <c r="AZ217" i="275" s="1"/>
  <c r="BA92" i="261"/>
  <c r="AZ215" i="259"/>
  <c r="AZ215" i="275" s="1"/>
  <c r="AA38" i="262"/>
  <c r="AZ189" i="261"/>
  <c r="AZ474" i="259"/>
  <c r="Z13" i="262"/>
  <c r="Z15" i="262"/>
  <c r="Y48" i="262"/>
  <c r="AC888" i="259"/>
  <c r="BE8" i="263" s="1"/>
  <c r="AB185" i="262"/>
  <c r="AZ1055" i="259"/>
  <c r="AZ1055" i="275" s="1"/>
  <c r="AZ182" i="262"/>
  <c r="AY1294" i="259"/>
  <c r="AY243" i="262" s="1"/>
  <c r="W243" i="262"/>
  <c r="AE862" i="259"/>
  <c r="AF862" i="259" s="1"/>
  <c r="AD173" i="262"/>
  <c r="AK27" i="263"/>
  <c r="AM27" i="263" s="1"/>
  <c r="X21" i="259"/>
  <c r="AB168" i="262"/>
  <c r="AW1313" i="259"/>
  <c r="AW190" i="262" s="1"/>
  <c r="O190" i="262"/>
  <c r="M1451" i="259"/>
  <c r="N1451" i="259"/>
  <c r="N1452" i="259" s="1"/>
  <c r="T1451" i="259"/>
  <c r="AY1451" i="259" s="1"/>
  <c r="Z27" i="267"/>
  <c r="R214" i="262"/>
  <c r="J96" i="264"/>
  <c r="L96" i="264" s="1"/>
  <c r="AZ39" i="262"/>
  <c r="BB34" i="262"/>
  <c r="BA64" i="264"/>
  <c r="BC64" i="264" s="1"/>
  <c r="AB182" i="262"/>
  <c r="T912" i="259"/>
  <c r="K912" i="259"/>
  <c r="I1451" i="259"/>
  <c r="I1452" i="259" s="1"/>
  <c r="AX258" i="262"/>
  <c r="AX255" i="262"/>
  <c r="AA26" i="262"/>
  <c r="AA24" i="262"/>
  <c r="AX302" i="261"/>
  <c r="AX162" i="262"/>
  <c r="AU258" i="262"/>
  <c r="AU255" i="262"/>
  <c r="K258" i="262"/>
  <c r="K255" i="262"/>
  <c r="S912" i="259"/>
  <c r="AW258" i="262"/>
  <c r="AW255" i="262"/>
  <c r="AX1313" i="259"/>
  <c r="AX190" i="262" s="1"/>
  <c r="P190" i="262"/>
  <c r="AV217" i="262"/>
  <c r="AV1408" i="259"/>
  <c r="AV1393" i="259"/>
  <c r="AV214" i="262" s="1"/>
  <c r="Q1408" i="259"/>
  <c r="Q217" i="262"/>
  <c r="Q1393" i="259"/>
  <c r="Q1385" i="259"/>
  <c r="Q1409" i="259" s="1"/>
  <c r="AV258" i="262"/>
  <c r="AV255" i="262"/>
  <c r="BA31" i="262"/>
  <c r="BA30" i="262"/>
  <c r="G192" i="262"/>
  <c r="H1452" i="259"/>
  <c r="P1451" i="259"/>
  <c r="AY258" i="262"/>
  <c r="AV302" i="261"/>
  <c r="AV162" i="262"/>
  <c r="AO92" i="264"/>
  <c r="AQ94" i="264"/>
  <c r="BA14" i="262"/>
  <c r="BD470" i="259"/>
  <c r="BC554" i="259"/>
  <c r="BC205" i="261" s="1"/>
  <c r="BC14" i="262"/>
  <c r="AC1258" i="259"/>
  <c r="AG29" i="267"/>
  <c r="AO44" i="267"/>
  <c r="AP4" i="267"/>
  <c r="AT3" i="267"/>
  <c r="AR91" i="267"/>
  <c r="J1492" i="259"/>
  <c r="J1490" i="259"/>
  <c r="F1492" i="259"/>
  <c r="F1491" i="259"/>
  <c r="J24" i="259"/>
  <c r="J1491" i="259"/>
  <c r="L22" i="259"/>
  <c r="AW121" i="264"/>
  <c r="AY121" i="264" s="1"/>
  <c r="BC483" i="259"/>
  <c r="V103" i="264" s="1"/>
  <c r="X103" i="264" s="1"/>
  <c r="BA95" i="264"/>
  <c r="BC95" i="264" s="1"/>
  <c r="AS91" i="264"/>
  <c r="AU91" i="264" s="1"/>
  <c r="AW140" i="264"/>
  <c r="AY140" i="264" s="1"/>
  <c r="AW153" i="264"/>
  <c r="AY153" i="264" s="1"/>
  <c r="AW91" i="264"/>
  <c r="AY91" i="264" s="1"/>
  <c r="AZ324" i="259"/>
  <c r="AZ324" i="275" s="1"/>
  <c r="K120" i="262"/>
  <c r="K1430" i="259"/>
  <c r="K1455" i="259" s="1"/>
  <c r="AW141" i="264"/>
  <c r="AY141" i="264" s="1"/>
  <c r="AY124" i="259"/>
  <c r="AC843" i="259"/>
  <c r="AC893" i="259" s="1"/>
  <c r="AC893" i="275" s="1"/>
  <c r="L1431" i="259"/>
  <c r="L1432" i="259" s="1"/>
  <c r="L335" i="261"/>
  <c r="Q210" i="261"/>
  <c r="T1431" i="259"/>
  <c r="T335" i="261"/>
  <c r="AW809" i="259"/>
  <c r="AZ325" i="259"/>
  <c r="AZ325" i="275" s="1"/>
  <c r="AY100" i="259"/>
  <c r="AY102" i="259" s="1"/>
  <c r="AY104" i="259" s="1"/>
  <c r="P1431" i="259"/>
  <c r="P335" i="261"/>
  <c r="AC607" i="259"/>
  <c r="AC607" i="275" s="1"/>
  <c r="U1431" i="259"/>
  <c r="U1432" i="259" s="1"/>
  <c r="U1435" i="259" s="1"/>
  <c r="U1439" i="259" s="1"/>
  <c r="U337" i="261" s="1"/>
  <c r="U335" i="261"/>
  <c r="Q1431" i="259"/>
  <c r="Q1432" i="259" s="1"/>
  <c r="Q1435" i="259" s="1"/>
  <c r="Q1439" i="259" s="1"/>
  <c r="Q337" i="261" s="1"/>
  <c r="Q335" i="261"/>
  <c r="N1431" i="259"/>
  <c r="N1432" i="259" s="1"/>
  <c r="N1435" i="259" s="1"/>
  <c r="N1439" i="259" s="1"/>
  <c r="N337" i="261" s="1"/>
  <c r="N335" i="261"/>
  <c r="S1431" i="259"/>
  <c r="S335" i="261"/>
  <c r="G1431" i="259"/>
  <c r="G1432" i="259" s="1"/>
  <c r="G1435" i="259" s="1"/>
  <c r="Q104" i="259"/>
  <c r="V104" i="259"/>
  <c r="V105" i="259"/>
  <c r="AV956" i="259"/>
  <c r="AV911" i="259"/>
  <c r="AV911" i="275" s="1"/>
  <c r="K1431" i="259"/>
  <c r="F120" i="262"/>
  <c r="F99" i="262"/>
  <c r="F1430" i="259"/>
  <c r="W1468" i="259"/>
  <c r="W226" i="262" s="1"/>
  <c r="W1384" i="259"/>
  <c r="AY1465" i="259"/>
  <c r="AY1468" i="259" s="1"/>
  <c r="AY226" i="262" s="1"/>
  <c r="AX124" i="259"/>
  <c r="O1431" i="259"/>
  <c r="O1432" i="259" s="1"/>
  <c r="O1435" i="259" s="1"/>
  <c r="O1439" i="259" s="1"/>
  <c r="O337" i="261" s="1"/>
  <c r="I99" i="262"/>
  <c r="I120" i="262"/>
  <c r="I1430" i="259"/>
  <c r="Q105" i="259"/>
  <c r="AX1427" i="259"/>
  <c r="AX1428" i="259" s="1"/>
  <c r="X793" i="259"/>
  <c r="E1044" i="259"/>
  <c r="M1117" i="259"/>
  <c r="M1102" i="259"/>
  <c r="E698" i="259"/>
  <c r="E737" i="259" s="1"/>
  <c r="AX70" i="259"/>
  <c r="T99" i="262"/>
  <c r="T120" i="262"/>
  <c r="T1430" i="259"/>
  <c r="T1455" i="259" s="1"/>
  <c r="AD916" i="259"/>
  <c r="AD916" i="275" s="1"/>
  <c r="AD1298" i="259"/>
  <c r="AD1473" i="259"/>
  <c r="AZ1231" i="259"/>
  <c r="AZ147" i="262" s="1"/>
  <c r="AV105" i="259"/>
  <c r="AV104" i="259"/>
  <c r="E99" i="262"/>
  <c r="E120" i="262"/>
  <c r="E1430" i="259"/>
  <c r="G653" i="259"/>
  <c r="G654" i="259" s="1"/>
  <c r="G247" i="261" s="1"/>
  <c r="AU652" i="259"/>
  <c r="AU653" i="259" s="1"/>
  <c r="AU654" i="259" s="1"/>
  <c r="AU247" i="261" s="1"/>
  <c r="G70" i="259"/>
  <c r="AU70" i="259" s="1"/>
  <c r="O288" i="261"/>
  <c r="O793" i="259"/>
  <c r="U1385" i="259"/>
  <c r="U1409" i="259" s="1"/>
  <c r="U1393" i="259"/>
  <c r="U214" i="262" s="1"/>
  <c r="U1408" i="259"/>
  <c r="W9" i="259"/>
  <c r="W9" i="275" s="1"/>
  <c r="AY8" i="259"/>
  <c r="AG11" i="264"/>
  <c r="AW9" i="259"/>
  <c r="K9" i="259"/>
  <c r="K9" i="275" s="1"/>
  <c r="AV8" i="259"/>
  <c r="AE918" i="259"/>
  <c r="AY1378" i="259"/>
  <c r="AY1379" i="259" s="1"/>
  <c r="W1379" i="259"/>
  <c r="AY911" i="259"/>
  <c r="AY911" i="275" s="1"/>
  <c r="AY956" i="259"/>
  <c r="AY956" i="275" s="1"/>
  <c r="N132" i="264"/>
  <c r="P132" i="264" s="1"/>
  <c r="AZ151" i="261"/>
  <c r="BC482" i="259"/>
  <c r="Y131" i="259"/>
  <c r="Y131" i="275" s="1"/>
  <c r="AW124" i="259"/>
  <c r="AC1309" i="259"/>
  <c r="X69" i="259"/>
  <c r="X501" i="259"/>
  <c r="AB501" i="275" s="1"/>
  <c r="AK43" i="264"/>
  <c r="AM43" i="264" s="1"/>
  <c r="X210" i="261"/>
  <c r="AZ901" i="259"/>
  <c r="J146" i="264"/>
  <c r="L146" i="264" s="1"/>
  <c r="BD554" i="259"/>
  <c r="BD205" i="261" s="1"/>
  <c r="AC403" i="259"/>
  <c r="AZ1258" i="259"/>
  <c r="AZ136" i="261" s="1"/>
  <c r="BC470" i="259"/>
  <c r="BA553" i="259"/>
  <c r="BA199" i="261" s="1"/>
  <c r="AZ1247" i="259"/>
  <c r="AC1470" i="259"/>
  <c r="T96" i="262"/>
  <c r="T786" i="259"/>
  <c r="AY1273" i="259"/>
  <c r="AY261" i="262" s="1"/>
  <c r="F67" i="264"/>
  <c r="W105" i="259"/>
  <c r="S105" i="259"/>
  <c r="AW1427" i="259"/>
  <c r="AW1428" i="259" s="1"/>
  <c r="M1428" i="259"/>
  <c r="AW1117" i="259"/>
  <c r="AW1102" i="259"/>
  <c r="W106" i="259"/>
  <c r="W104" i="259"/>
  <c r="T1393" i="259"/>
  <c r="T214" i="262" s="1"/>
  <c r="T1385" i="259"/>
  <c r="T1409" i="259" s="1"/>
  <c r="T1408" i="259"/>
  <c r="V1393" i="259"/>
  <c r="V214" i="262" s="1"/>
  <c r="V1385" i="259"/>
  <c r="V1409" i="259" s="1"/>
  <c r="V1408" i="259"/>
  <c r="S104" i="259"/>
  <c r="S106" i="259"/>
  <c r="H63" i="264"/>
  <c r="F70" i="264"/>
  <c r="H70" i="264" s="1"/>
  <c r="P101" i="264"/>
  <c r="N110" i="264"/>
  <c r="P110" i="264" s="1"/>
  <c r="BA538" i="259"/>
  <c r="BA538" i="275" s="1"/>
  <c r="Z156" i="262"/>
  <c r="AA61" i="262"/>
  <c r="AZ207" i="259"/>
  <c r="N105" i="264"/>
  <c r="P105" i="264" s="1"/>
  <c r="BD553" i="259"/>
  <c r="BD199" i="261" s="1"/>
  <c r="BC553" i="259"/>
  <c r="BC199" i="261" s="1"/>
  <c r="AZ154" i="261"/>
  <c r="AZ49" i="261"/>
  <c r="J138" i="264"/>
  <c r="L138" i="264" s="1"/>
  <c r="AZ55" i="261"/>
  <c r="J147" i="264"/>
  <c r="L147" i="264" s="1"/>
  <c r="BA552" i="259"/>
  <c r="L112" i="264"/>
  <c r="J114" i="264"/>
  <c r="L114" i="264" s="1"/>
  <c r="AD921" i="259"/>
  <c r="AD921" i="275" s="1"/>
  <c r="AE867" i="259"/>
  <c r="AW150" i="264"/>
  <c r="AY150" i="264" s="1"/>
  <c r="AW144" i="264"/>
  <c r="AY144" i="264" s="1"/>
  <c r="AW112" i="261"/>
  <c r="AO122" i="264"/>
  <c r="AQ122" i="264" s="1"/>
  <c r="AO121" i="264"/>
  <c r="AQ121" i="264" s="1"/>
  <c r="N113" i="264"/>
  <c r="P113" i="264" s="1"/>
  <c r="P102" i="264"/>
  <c r="F9" i="264"/>
  <c r="AY1426" i="259"/>
  <c r="P112" i="264"/>
  <c r="AC402" i="259"/>
  <c r="BC244" i="259"/>
  <c r="BA190" i="261"/>
  <c r="AB62" i="262"/>
  <c r="AF207" i="275"/>
  <c r="AW821" i="259"/>
  <c r="AW95" i="262"/>
  <c r="F999" i="259"/>
  <c r="F1117" i="259"/>
  <c r="F1102" i="259"/>
  <c r="D1117" i="259"/>
  <c r="D1102" i="259"/>
  <c r="D999" i="259"/>
  <c r="AE894" i="259"/>
  <c r="AU997" i="259"/>
  <c r="AV997" i="275" s="1"/>
  <c r="G999" i="259"/>
  <c r="K999" i="275" s="1"/>
  <c r="G712" i="259"/>
  <c r="K712" i="275" s="1"/>
  <c r="U1008" i="259"/>
  <c r="N1117" i="259"/>
  <c r="N1102" i="259"/>
  <c r="M120" i="262"/>
  <c r="M1430" i="259"/>
  <c r="M99" i="262"/>
  <c r="H1117" i="259"/>
  <c r="H999" i="259"/>
  <c r="H1102" i="259"/>
  <c r="AX786" i="259"/>
  <c r="AX786" i="275" s="1"/>
  <c r="AC208" i="259"/>
  <c r="E1117" i="259"/>
  <c r="E1102" i="259"/>
  <c r="E999" i="259"/>
  <c r="I999" i="275" s="1"/>
  <c r="Q1102" i="259"/>
  <c r="Q1117" i="259"/>
  <c r="Q999" i="259"/>
  <c r="P1117" i="259"/>
  <c r="P1102" i="259"/>
  <c r="AY1117" i="259"/>
  <c r="AY1102" i="259"/>
  <c r="AZ852" i="259"/>
  <c r="AZ852" i="275" s="1"/>
  <c r="AZ1254" i="259"/>
  <c r="AZ132" i="261" s="1"/>
  <c r="AZ470" i="259"/>
  <c r="AZ470" i="275" s="1"/>
  <c r="AZ338" i="259"/>
  <c r="AZ338" i="275" s="1"/>
  <c r="AZ554" i="259"/>
  <c r="AZ205" i="261" s="1"/>
  <c r="AZ552" i="259"/>
  <c r="AZ553" i="259"/>
  <c r="AZ199" i="261" s="1"/>
  <c r="AC327" i="259"/>
  <c r="BE138" i="264" s="1"/>
  <c r="BG138" i="264" s="1"/>
  <c r="AE320" i="259"/>
  <c r="AE302" i="259" s="1"/>
  <c r="AE302" i="275" s="1"/>
  <c r="AD320" i="259"/>
  <c r="AD302" i="259" s="1"/>
  <c r="AD302" i="275" s="1"/>
  <c r="BA554" i="259"/>
  <c r="BA205" i="261" s="1"/>
  <c r="BA470" i="259"/>
  <c r="AC214" i="259"/>
  <c r="BE134" i="264" s="1"/>
  <c r="BG134" i="264" s="1"/>
  <c r="AD1253" i="259"/>
  <c r="AE1253" i="259"/>
  <c r="AZ36" i="261"/>
  <c r="BA189" i="261"/>
  <c r="AD398" i="259"/>
  <c r="AD380" i="259" s="1"/>
  <c r="AD380" i="275" s="1"/>
  <c r="AE398" i="259"/>
  <c r="AE380" i="259" s="1"/>
  <c r="AE380" i="275" s="1"/>
  <c r="AC1254" i="259"/>
  <c r="AU646" i="259"/>
  <c r="AE197" i="259"/>
  <c r="AD197" i="259"/>
  <c r="AC452" i="259"/>
  <c r="AC452" i="275" s="1"/>
  <c r="AU244" i="261"/>
  <c r="H809" i="259"/>
  <c r="H809" i="275" s="1"/>
  <c r="AV786" i="259"/>
  <c r="AX96" i="262"/>
  <c r="AU106" i="259"/>
  <c r="AW106" i="259"/>
  <c r="AW105" i="259"/>
  <c r="BC481" i="259"/>
  <c r="BB526" i="275"/>
  <c r="X1117" i="259"/>
  <c r="X1102" i="259"/>
  <c r="X999" i="259"/>
  <c r="AY120" i="262"/>
  <c r="AY99" i="262"/>
  <c r="AC475" i="259"/>
  <c r="BE96" i="264" s="1"/>
  <c r="BG96" i="264" s="1"/>
  <c r="AB39" i="262"/>
  <c r="AZ910" i="259"/>
  <c r="AZ910" i="275" s="1"/>
  <c r="AB1684" i="259"/>
  <c r="F959" i="259"/>
  <c r="AZ1196" i="259"/>
  <c r="AZ1249" i="259" s="1"/>
  <c r="AZ1684" i="259" s="1"/>
  <c r="AA155" i="262"/>
  <c r="BC484" i="259"/>
  <c r="V104" i="264" s="1"/>
  <c r="X104" i="264" s="1"/>
  <c r="AB1683" i="259"/>
  <c r="E96" i="262"/>
  <c r="E786" i="259"/>
  <c r="E809" i="259" s="1"/>
  <c r="E812" i="259" s="1"/>
  <c r="R1430" i="259"/>
  <c r="AX1430" i="259" s="1"/>
  <c r="R99" i="262"/>
  <c r="R120" i="262"/>
  <c r="H790" i="259"/>
  <c r="H102" i="262"/>
  <c r="H22" i="259"/>
  <c r="AU105" i="259"/>
  <c r="G30" i="259"/>
  <c r="P22" i="259"/>
  <c r="P22" i="275" s="1"/>
  <c r="P102" i="262"/>
  <c r="R102" i="262"/>
  <c r="R790" i="259"/>
  <c r="J791" i="259"/>
  <c r="D102" i="262"/>
  <c r="R22" i="259"/>
  <c r="N22" i="259"/>
  <c r="N22" i="275" s="1"/>
  <c r="D790" i="259"/>
  <c r="D22" i="259"/>
  <c r="AU793" i="259"/>
  <c r="AU102" i="262" s="1"/>
  <c r="AU288" i="261"/>
  <c r="N102" i="262"/>
  <c r="N790" i="259"/>
  <c r="O1468" i="259"/>
  <c r="O226" i="262" s="1"/>
  <c r="AW1465" i="259"/>
  <c r="AW1468" i="259" s="1"/>
  <c r="AW226" i="262" s="1"/>
  <c r="O1384" i="259"/>
  <c r="G812" i="259"/>
  <c r="AX957" i="259"/>
  <c r="AY957" i="259"/>
  <c r="AZ405" i="259"/>
  <c r="AZ405" i="275" s="1"/>
  <c r="BB21" i="262"/>
  <c r="Y146" i="262"/>
  <c r="AX301" i="261"/>
  <c r="AX1499" i="259"/>
  <c r="BC103" i="261"/>
  <c r="BC201" i="259"/>
  <c r="BC202" i="259" s="1"/>
  <c r="V1428" i="259"/>
  <c r="V335" i="261" s="1"/>
  <c r="AY1427" i="259"/>
  <c r="AX1384" i="259"/>
  <c r="S1385" i="259"/>
  <c r="S1393" i="259"/>
  <c r="S214" i="262" s="1"/>
  <c r="S1408" i="259"/>
  <c r="AU1427" i="259"/>
  <c r="AU1428" i="259" s="1"/>
  <c r="AU335" i="261" s="1"/>
  <c r="D1428" i="259"/>
  <c r="D335" i="261" s="1"/>
  <c r="AV1426" i="259"/>
  <c r="H1428" i="259"/>
  <c r="H335" i="261" s="1"/>
  <c r="G210" i="261"/>
  <c r="AZ190" i="261"/>
  <c r="AW135" i="259"/>
  <c r="AW99" i="262"/>
  <c r="AW120" i="262"/>
  <c r="AW70" i="259"/>
  <c r="AZ851" i="259"/>
  <c r="AZ851" i="275" s="1"/>
  <c r="L1455" i="259"/>
  <c r="P812" i="259"/>
  <c r="S1432" i="259"/>
  <c r="S1435" i="259" s="1"/>
  <c r="S1439" i="259" s="1"/>
  <c r="S337" i="261" s="1"/>
  <c r="Q1455" i="259"/>
  <c r="Y156" i="262"/>
  <c r="AV1427" i="259"/>
  <c r="I135" i="259"/>
  <c r="I1408" i="259"/>
  <c r="I1385" i="259"/>
  <c r="I1409" i="259" s="1"/>
  <c r="I1393" i="259"/>
  <c r="I214" i="262" s="1"/>
  <c r="Q135" i="259"/>
  <c r="AV1102" i="259"/>
  <c r="AV1117" i="259"/>
  <c r="D1455" i="259"/>
  <c r="AZ618" i="259"/>
  <c r="AZ618" i="275" s="1"/>
  <c r="AU51" i="259"/>
  <c r="G69" i="259"/>
  <c r="G71" i="259" s="1"/>
  <c r="G501" i="259"/>
  <c r="AV712" i="259"/>
  <c r="K710" i="259"/>
  <c r="L1398" i="259"/>
  <c r="M1398" i="259"/>
  <c r="S712" i="259"/>
  <c r="AX997" i="259"/>
  <c r="S999" i="259"/>
  <c r="X1393" i="259"/>
  <c r="X214" i="262" s="1"/>
  <c r="X1408" i="259"/>
  <c r="X1385" i="259"/>
  <c r="AK22" i="263"/>
  <c r="X96" i="262"/>
  <c r="X786" i="259"/>
  <c r="X786" i="275" s="1"/>
  <c r="AD1474" i="259"/>
  <c r="AC1464" i="259"/>
  <c r="AC345" i="261"/>
  <c r="G1455" i="259"/>
  <c r="N1455" i="259"/>
  <c r="AX789" i="259"/>
  <c r="AX789" i="275" s="1"/>
  <c r="AX94" i="262"/>
  <c r="Z37" i="262"/>
  <c r="D812" i="259"/>
  <c r="AV999" i="259"/>
  <c r="K1008" i="259"/>
  <c r="K1170" i="259"/>
  <c r="AE311" i="259"/>
  <c r="AD311" i="259"/>
  <c r="P791" i="259"/>
  <c r="V809" i="259"/>
  <c r="V809" i="275" s="1"/>
  <c r="AU511" i="259"/>
  <c r="AU45" i="259" s="1"/>
  <c r="AU47" i="259" s="1"/>
  <c r="N1408" i="259"/>
  <c r="N1393" i="259"/>
  <c r="N1385" i="259"/>
  <c r="N1409" i="259" s="1"/>
  <c r="AU134" i="259"/>
  <c r="AY997" i="259"/>
  <c r="AY997" i="275" s="1"/>
  <c r="W999" i="259"/>
  <c r="W712" i="259"/>
  <c r="AI22" i="263"/>
  <c r="AG23" i="263"/>
  <c r="AI23" i="263" s="1"/>
  <c r="AE863" i="259"/>
  <c r="AU99" i="262"/>
  <c r="AU120" i="262"/>
  <c r="I1008" i="259"/>
  <c r="I1170" i="259"/>
  <c r="G101" i="262"/>
  <c r="G791" i="259"/>
  <c r="I22" i="259"/>
  <c r="T790" i="259"/>
  <c r="T102" i="262"/>
  <c r="AX793" i="259"/>
  <c r="S101" i="262"/>
  <c r="S791" i="259"/>
  <c r="I102" i="262"/>
  <c r="I790" i="259"/>
  <c r="M22" i="259"/>
  <c r="Q102" i="262"/>
  <c r="Q790" i="259"/>
  <c r="U22" i="259"/>
  <c r="V22" i="259"/>
  <c r="Q22" i="259"/>
  <c r="Q22" i="275" s="1"/>
  <c r="T22" i="259"/>
  <c r="T22" i="275" s="1"/>
  <c r="U790" i="259"/>
  <c r="U102" i="262"/>
  <c r="M790" i="259"/>
  <c r="M102" i="262"/>
  <c r="V102" i="262"/>
  <c r="V790" i="259"/>
  <c r="E101" i="262"/>
  <c r="AZ389" i="259" l="1"/>
  <c r="AZ17" i="261" s="1"/>
  <c r="X1633" i="259"/>
  <c r="X292" i="262" s="1"/>
  <c r="X1619" i="259"/>
  <c r="X283" i="262" s="1"/>
  <c r="V151" i="264"/>
  <c r="X151" i="264" s="1"/>
  <c r="V145" i="264"/>
  <c r="X145" i="264" s="1"/>
  <c r="BC456" i="259"/>
  <c r="BC456" i="275" s="1"/>
  <c r="V91" i="264"/>
  <c r="X91" i="264" s="1"/>
  <c r="V14" i="264"/>
  <c r="X14" i="264" s="1"/>
  <c r="X28" i="263"/>
  <c r="Z131" i="264"/>
  <c r="AB131" i="264" s="1"/>
  <c r="V131" i="264"/>
  <c r="X131" i="264" s="1"/>
  <c r="BE470" i="275"/>
  <c r="AD218" i="259"/>
  <c r="BI127" i="264" s="1"/>
  <c r="BK127" i="264" s="1"/>
  <c r="BD344" i="259"/>
  <c r="BE344" i="259" s="1"/>
  <c r="V139" i="264"/>
  <c r="X139" i="264" s="1"/>
  <c r="AC218" i="275"/>
  <c r="AC173" i="259"/>
  <c r="AC173" i="275" s="1"/>
  <c r="AC67" i="261"/>
  <c r="V102" i="264"/>
  <c r="V121" i="264"/>
  <c r="X121" i="264" s="1"/>
  <c r="V101" i="264"/>
  <c r="H913" i="259"/>
  <c r="AX652" i="275"/>
  <c r="W712" i="275"/>
  <c r="F790" i="259"/>
  <c r="AW646" i="275"/>
  <c r="L654" i="259"/>
  <c r="J793" i="275"/>
  <c r="Y999" i="275"/>
  <c r="AV789" i="275"/>
  <c r="M1170" i="259"/>
  <c r="S1491" i="259"/>
  <c r="T492" i="275"/>
  <c r="AY652" i="275"/>
  <c r="AW789" i="275"/>
  <c r="S999" i="275"/>
  <c r="AW68" i="275"/>
  <c r="AX288" i="261"/>
  <c r="AX21" i="259"/>
  <c r="F22" i="263"/>
  <c r="F23" i="263" s="1"/>
  <c r="H23" i="263" s="1"/>
  <c r="O1008" i="259"/>
  <c r="AC1308" i="259"/>
  <c r="W809" i="275"/>
  <c r="AX809" i="259"/>
  <c r="AX809" i="275" s="1"/>
  <c r="AZ316" i="259"/>
  <c r="AZ14" i="261" s="1"/>
  <c r="O1170" i="259"/>
  <c r="AD843" i="259"/>
  <c r="AD168" i="262" s="1"/>
  <c r="S24" i="259"/>
  <c r="S13" i="259" s="1"/>
  <c r="S1490" i="259"/>
  <c r="S492" i="275"/>
  <c r="AX10" i="277"/>
  <c r="AY96" i="262"/>
  <c r="AW999" i="259"/>
  <c r="AC1367" i="259"/>
  <c r="AZ188" i="262"/>
  <c r="S913" i="275"/>
  <c r="R70" i="275"/>
  <c r="E1489" i="259"/>
  <c r="E22" i="259"/>
  <c r="I793" i="275"/>
  <c r="AE916" i="259"/>
  <c r="AE916" i="275" s="1"/>
  <c r="AF916" i="259"/>
  <c r="AV124" i="275"/>
  <c r="R22" i="275"/>
  <c r="K1432" i="259"/>
  <c r="K1435" i="259" s="1"/>
  <c r="K1439" i="259" s="1"/>
  <c r="K337" i="261" s="1"/>
  <c r="U1452" i="259"/>
  <c r="V1452" i="259" s="1"/>
  <c r="AY1452" i="259" s="1"/>
  <c r="AF867" i="259"/>
  <c r="AF921" i="259" s="1"/>
  <c r="AE844" i="275"/>
  <c r="AF844" i="259"/>
  <c r="AF894" i="259" s="1"/>
  <c r="AF918" i="275"/>
  <c r="AF863" i="259"/>
  <c r="AF917" i="259" s="1"/>
  <c r="AF864" i="275"/>
  <c r="AG864" i="259"/>
  <c r="AG918" i="259" s="1"/>
  <c r="AH45" i="262"/>
  <c r="AH48" i="262"/>
  <c r="AI302" i="275"/>
  <c r="AF542" i="275"/>
  <c r="AH380" i="275"/>
  <c r="AG45" i="262"/>
  <c r="AG48" i="262"/>
  <c r="AI380" i="275"/>
  <c r="BE146" i="264"/>
  <c r="BG146" i="264" s="1"/>
  <c r="BG8" i="263"/>
  <c r="AG452" i="275"/>
  <c r="BB452" i="259"/>
  <c r="AH302" i="275"/>
  <c r="AI45" i="262"/>
  <c r="AI48" i="262"/>
  <c r="AC402" i="275"/>
  <c r="BE147" i="264"/>
  <c r="BG147" i="264" s="1"/>
  <c r="E791" i="259"/>
  <c r="E1456" i="259" s="1"/>
  <c r="F101" i="262"/>
  <c r="V22" i="275"/>
  <c r="W999" i="275"/>
  <c r="W812" i="259"/>
  <c r="Q999" i="275"/>
  <c r="N999" i="259"/>
  <c r="R999" i="275" s="1"/>
  <c r="BA844" i="259"/>
  <c r="M1008" i="259"/>
  <c r="M1008" i="275" s="1"/>
  <c r="P1432" i="259"/>
  <c r="P1435" i="259" s="1"/>
  <c r="P1439" i="259" s="1"/>
  <c r="P337" i="261" s="1"/>
  <c r="F24" i="259"/>
  <c r="F13" i="259" s="1"/>
  <c r="F796" i="259" s="1"/>
  <c r="F1490" i="259"/>
  <c r="W492" i="275"/>
  <c r="AW76" i="275"/>
  <c r="L492" i="275"/>
  <c r="AY646" i="275"/>
  <c r="AZ397" i="259"/>
  <c r="AZ31" i="261" s="1"/>
  <c r="AZ381" i="259"/>
  <c r="AZ381" i="275" s="1"/>
  <c r="AY70" i="259"/>
  <c r="AY70" i="275" s="1"/>
  <c r="U22" i="275"/>
  <c r="U306" i="261"/>
  <c r="U790" i="275"/>
  <c r="I306" i="261"/>
  <c r="I790" i="275"/>
  <c r="T306" i="261"/>
  <c r="T790" i="275"/>
  <c r="AV1170" i="259"/>
  <c r="AU53" i="259"/>
  <c r="AU819" i="259" s="1"/>
  <c r="AU127" i="262"/>
  <c r="H306" i="261"/>
  <c r="H790" i="275"/>
  <c r="O1008" i="275"/>
  <c r="AY9" i="277"/>
  <c r="AY40" i="277" s="1"/>
  <c r="AY8" i="275"/>
  <c r="AY136" i="262"/>
  <c r="X793" i="275"/>
  <c r="AV957" i="259"/>
  <c r="AV956" i="275"/>
  <c r="AV1451" i="259"/>
  <c r="X1489" i="259"/>
  <c r="X21" i="275"/>
  <c r="D1621" i="259"/>
  <c r="D285" i="262" s="1"/>
  <c r="D283" i="262"/>
  <c r="AW1033" i="275"/>
  <c r="AX1033" i="275"/>
  <c r="G797" i="259"/>
  <c r="G104" i="262"/>
  <c r="R511" i="259"/>
  <c r="R512" i="275"/>
  <c r="V512" i="275"/>
  <c r="R1607" i="259"/>
  <c r="R1606" i="259" s="1"/>
  <c r="R489" i="275"/>
  <c r="V489" i="275"/>
  <c r="R1613" i="259"/>
  <c r="R1616" i="259"/>
  <c r="Q654" i="259"/>
  <c r="Q653" i="275"/>
  <c r="W1607" i="259"/>
  <c r="W1606" i="259" s="1"/>
  <c r="W489" i="275"/>
  <c r="AG28" i="264"/>
  <c r="W500" i="275"/>
  <c r="W501" i="259"/>
  <c r="W69" i="259"/>
  <c r="T819" i="259"/>
  <c r="T53" i="275"/>
  <c r="H134" i="275"/>
  <c r="H135" i="259"/>
  <c r="K51" i="275"/>
  <c r="K127" i="262"/>
  <c r="K53" i="259"/>
  <c r="K1607" i="259"/>
  <c r="K1606" i="259" s="1"/>
  <c r="K489" i="275"/>
  <c r="R912" i="259"/>
  <c r="R913" i="275"/>
  <c r="I47" i="259"/>
  <c r="I47" i="275" s="1"/>
  <c r="I45" i="275"/>
  <c r="AY76" i="275"/>
  <c r="AZ76" i="275"/>
  <c r="N47" i="259"/>
  <c r="Z654" i="259"/>
  <c r="Z653" i="275"/>
  <c r="S51" i="275"/>
  <c r="S127" i="262"/>
  <c r="S53" i="259"/>
  <c r="S511" i="259"/>
  <c r="S512" i="275"/>
  <c r="J913" i="259"/>
  <c r="N913" i="275" s="1"/>
  <c r="J926" i="275"/>
  <c r="P913" i="259"/>
  <c r="P926" i="275"/>
  <c r="R247" i="261"/>
  <c r="M812" i="259"/>
  <c r="Q812" i="275" s="1"/>
  <c r="M809" i="275"/>
  <c r="L511" i="259"/>
  <c r="L512" i="275"/>
  <c r="H511" i="259"/>
  <c r="H512" i="275"/>
  <c r="AV131" i="275"/>
  <c r="AV130" i="262"/>
  <c r="AV134" i="259"/>
  <c r="T500" i="275"/>
  <c r="T501" i="259"/>
  <c r="X501" i="275" s="1"/>
  <c r="T69" i="259"/>
  <c r="X69" i="275" s="1"/>
  <c r="AY500" i="259"/>
  <c r="AW1040" i="275"/>
  <c r="O500" i="275"/>
  <c r="O501" i="259"/>
  <c r="O69" i="259"/>
  <c r="O511" i="259"/>
  <c r="O512" i="275"/>
  <c r="O9" i="275"/>
  <c r="AY654" i="259"/>
  <c r="AY653" i="275"/>
  <c r="L809" i="275"/>
  <c r="L812" i="259"/>
  <c r="P812" i="275" s="1"/>
  <c r="AW911" i="275"/>
  <c r="V47" i="259"/>
  <c r="M511" i="259"/>
  <c r="M512" i="275"/>
  <c r="Q512" i="275"/>
  <c r="P511" i="259"/>
  <c r="P512" i="275"/>
  <c r="P501" i="259"/>
  <c r="P500" i="275"/>
  <c r="P69" i="259"/>
  <c r="AX500" i="259"/>
  <c r="U511" i="259"/>
  <c r="U512" i="275"/>
  <c r="Y512" i="275"/>
  <c r="U1607" i="259"/>
  <c r="U1606" i="259" s="1"/>
  <c r="U489" i="275"/>
  <c r="Y489" i="275"/>
  <c r="U1613" i="259"/>
  <c r="U1616" i="259"/>
  <c r="I710" i="259"/>
  <c r="I712" i="275"/>
  <c r="P712" i="259"/>
  <c r="P997" i="275"/>
  <c r="X913" i="259"/>
  <c r="X926" i="275"/>
  <c r="N912" i="259"/>
  <c r="BE794" i="259"/>
  <c r="BE103" i="262" s="1"/>
  <c r="BE11" i="275"/>
  <c r="O247" i="261"/>
  <c r="O654" i="275"/>
  <c r="W1432" i="259"/>
  <c r="W1435" i="259" s="1"/>
  <c r="W1439" i="259" s="1"/>
  <c r="W337" i="261" s="1"/>
  <c r="BE799" i="259"/>
  <c r="BE107" i="262" s="1"/>
  <c r="BE16" i="275"/>
  <c r="Q710" i="259"/>
  <c r="Q712" i="275"/>
  <c r="AV725" i="275"/>
  <c r="AW725" i="275"/>
  <c r="V654" i="259"/>
  <c r="V653" i="275"/>
  <c r="O712" i="259"/>
  <c r="O997" i="275"/>
  <c r="AW997" i="259"/>
  <c r="AW997" i="275" s="1"/>
  <c r="AY1607" i="259"/>
  <c r="F28" i="264"/>
  <c r="AY512" i="259"/>
  <c r="H710" i="259"/>
  <c r="H712" i="275"/>
  <c r="T926" i="275"/>
  <c r="AX646" i="275"/>
  <c r="H912" i="259"/>
  <c r="H913" i="275"/>
  <c r="AV52" i="275"/>
  <c r="M712" i="275"/>
  <c r="AX654" i="259"/>
  <c r="AX653" i="275"/>
  <c r="I812" i="259"/>
  <c r="I812" i="275" s="1"/>
  <c r="I809" i="275"/>
  <c r="J247" i="261"/>
  <c r="J654" i="275"/>
  <c r="S712" i="275"/>
  <c r="N306" i="261"/>
  <c r="N790" i="275"/>
  <c r="R306" i="261"/>
  <c r="R790" i="275"/>
  <c r="T809" i="259"/>
  <c r="T786" i="275"/>
  <c r="X71" i="259"/>
  <c r="AW125" i="259"/>
  <c r="AW118" i="261" s="1"/>
  <c r="AW124" i="275"/>
  <c r="AV9" i="277"/>
  <c r="AV8" i="275"/>
  <c r="AV136" i="262"/>
  <c r="AW812" i="259"/>
  <c r="AY125" i="259"/>
  <c r="AY118" i="261" s="1"/>
  <c r="AY124" i="275"/>
  <c r="L22" i="275"/>
  <c r="S274" i="261"/>
  <c r="O1489" i="259"/>
  <c r="AX913" i="259"/>
  <c r="AX926" i="275"/>
  <c r="L306" i="261"/>
  <c r="L790" i="275"/>
  <c r="P306" i="261"/>
  <c r="P790" i="275"/>
  <c r="R500" i="275"/>
  <c r="R501" i="259"/>
  <c r="R69" i="259"/>
  <c r="V500" i="275"/>
  <c r="R492" i="275"/>
  <c r="V492" i="275"/>
  <c r="R1283" i="259"/>
  <c r="R1172" i="259"/>
  <c r="R266" i="262" s="1"/>
  <c r="R1009" i="259"/>
  <c r="R134" i="275"/>
  <c r="R135" i="259"/>
  <c r="AV1613" i="259"/>
  <c r="AV1616" i="259"/>
  <c r="S134" i="275"/>
  <c r="S135" i="259"/>
  <c r="AX487" i="275"/>
  <c r="AX1510" i="259"/>
  <c r="AX210" i="261" s="1"/>
  <c r="AX492" i="259"/>
  <c r="AX492" i="275" s="1"/>
  <c r="AX1614" i="259"/>
  <c r="AX489" i="259"/>
  <c r="W247" i="261"/>
  <c r="W654" i="275"/>
  <c r="U70" i="275"/>
  <c r="L1613" i="259"/>
  <c r="L1616" i="259"/>
  <c r="L51" i="275"/>
  <c r="L127" i="262"/>
  <c r="AW51" i="259"/>
  <c r="L53" i="259"/>
  <c r="H51" i="275"/>
  <c r="H127" i="262"/>
  <c r="H53" i="259"/>
  <c r="AV51" i="259"/>
  <c r="T511" i="259"/>
  <c r="X511" i="275" s="1"/>
  <c r="T512" i="275"/>
  <c r="T1607" i="259"/>
  <c r="T1606" i="259" s="1"/>
  <c r="T489" i="275"/>
  <c r="X134" i="275"/>
  <c r="AK27" i="264"/>
  <c r="AK32" i="264" s="1"/>
  <c r="X135" i="259"/>
  <c r="O1613" i="259"/>
  <c r="O1616" i="259"/>
  <c r="O1607" i="259"/>
  <c r="O1606" i="259" s="1"/>
  <c r="O489" i="275"/>
  <c r="M912" i="259"/>
  <c r="J306" i="261"/>
  <c r="J790" i="275"/>
  <c r="X819" i="259"/>
  <c r="X53" i="275"/>
  <c r="S247" i="261"/>
  <c r="S654" i="275"/>
  <c r="P819" i="259"/>
  <c r="P53" i="275"/>
  <c r="M1607" i="259"/>
  <c r="M1606" i="259" s="1"/>
  <c r="M489" i="275"/>
  <c r="Q489" i="275"/>
  <c r="P1607" i="259"/>
  <c r="P1606" i="259" s="1"/>
  <c r="P489" i="275"/>
  <c r="U53" i="259"/>
  <c r="U51" i="275"/>
  <c r="U127" i="262"/>
  <c r="Y51" i="275"/>
  <c r="U492" i="275"/>
  <c r="Y492" i="275"/>
  <c r="Y70" i="275"/>
  <c r="Y71" i="259"/>
  <c r="L134" i="275"/>
  <c r="L135" i="259"/>
  <c r="J492" i="275"/>
  <c r="N492" i="275"/>
  <c r="J51" i="275"/>
  <c r="J127" i="262"/>
  <c r="N51" i="275"/>
  <c r="J53" i="259"/>
  <c r="J1613" i="259"/>
  <c r="J1616" i="259"/>
  <c r="X500" i="275"/>
  <c r="N654" i="259"/>
  <c r="N653" i="275"/>
  <c r="J712" i="259"/>
  <c r="J997" i="275"/>
  <c r="J999" i="259"/>
  <c r="AY487" i="275"/>
  <c r="V134" i="275"/>
  <c r="V135" i="259"/>
  <c r="T913" i="275"/>
  <c r="S21" i="275"/>
  <c r="M710" i="275"/>
  <c r="AY131" i="259"/>
  <c r="AY432" i="275"/>
  <c r="X512" i="275"/>
  <c r="AW956" i="275"/>
  <c r="Q306" i="261"/>
  <c r="Q790" i="275"/>
  <c r="M306" i="261"/>
  <c r="M790" i="275"/>
  <c r="H22" i="275"/>
  <c r="H999" i="275"/>
  <c r="Y1008" i="275"/>
  <c r="AX70" i="275"/>
  <c r="K274" i="261"/>
  <c r="K912" i="275"/>
  <c r="N213" i="261"/>
  <c r="Q213" i="261"/>
  <c r="AY913" i="259"/>
  <c r="AY926" i="275"/>
  <c r="AV913" i="259"/>
  <c r="AV913" i="275" s="1"/>
  <c r="AV926" i="275"/>
  <c r="F1621" i="259"/>
  <c r="F285" i="262" s="1"/>
  <c r="F283" i="262"/>
  <c r="V913" i="275"/>
  <c r="Z913" i="275"/>
  <c r="V912" i="259"/>
  <c r="R51" i="275"/>
  <c r="R127" i="262"/>
  <c r="V51" i="275"/>
  <c r="R53" i="259"/>
  <c r="W51" i="275"/>
  <c r="W127" i="262"/>
  <c r="W53" i="259"/>
  <c r="W1613" i="259"/>
  <c r="W1616" i="259"/>
  <c r="K1613" i="259"/>
  <c r="K1616" i="259"/>
  <c r="AV653" i="259"/>
  <c r="AW653" i="275" s="1"/>
  <c r="AV652" i="275"/>
  <c r="Q47" i="259"/>
  <c r="Z70" i="275"/>
  <c r="Z71" i="259"/>
  <c r="Z71" i="275" s="1"/>
  <c r="AV489" i="275"/>
  <c r="AV1607" i="259"/>
  <c r="AV512" i="259"/>
  <c r="AV512" i="275" s="1"/>
  <c r="AW492" i="275"/>
  <c r="AW1613" i="259"/>
  <c r="AW1675" i="259" s="1"/>
  <c r="AW1616" i="259"/>
  <c r="S500" i="275"/>
  <c r="S501" i="259"/>
  <c r="S69" i="259"/>
  <c r="S1616" i="259"/>
  <c r="S1613" i="259"/>
  <c r="L913" i="275"/>
  <c r="L912" i="259"/>
  <c r="S28" i="275"/>
  <c r="Q913" i="259"/>
  <c r="Q926" i="275"/>
  <c r="L247" i="261"/>
  <c r="P247" i="261"/>
  <c r="P654" i="275"/>
  <c r="K812" i="259"/>
  <c r="K809" i="275"/>
  <c r="AW913" i="259"/>
  <c r="AW926" i="275"/>
  <c r="L1607" i="259"/>
  <c r="L1606" i="259" s="1"/>
  <c r="L489" i="275"/>
  <c r="L500" i="275"/>
  <c r="L69" i="259"/>
  <c r="L501" i="259"/>
  <c r="AW500" i="259"/>
  <c r="H501" i="259"/>
  <c r="H500" i="275"/>
  <c r="H69" i="259"/>
  <c r="AV500" i="259"/>
  <c r="M134" i="275"/>
  <c r="M135" i="259"/>
  <c r="H70" i="259"/>
  <c r="H652" i="275"/>
  <c r="H653" i="259"/>
  <c r="L997" i="275"/>
  <c r="L712" i="259"/>
  <c r="L999" i="259"/>
  <c r="P999" i="275" s="1"/>
  <c r="O492" i="275"/>
  <c r="AX76" i="275"/>
  <c r="X492" i="275"/>
  <c r="AW654" i="259"/>
  <c r="F130" i="262"/>
  <c r="J131" i="275"/>
  <c r="M500" i="275"/>
  <c r="M69" i="259"/>
  <c r="Q69" i="275" s="1"/>
  <c r="M501" i="259"/>
  <c r="P51" i="275"/>
  <c r="P127" i="262"/>
  <c r="AX51" i="259"/>
  <c r="U69" i="259"/>
  <c r="U500" i="275"/>
  <c r="Y500" i="275"/>
  <c r="U501" i="259"/>
  <c r="L652" i="275"/>
  <c r="Y654" i="259"/>
  <c r="Y653" i="275"/>
  <c r="J511" i="259"/>
  <c r="J512" i="275"/>
  <c r="N512" i="275"/>
  <c r="J1607" i="259"/>
  <c r="J1606" i="259" s="1"/>
  <c r="J489" i="275"/>
  <c r="N489" i="275"/>
  <c r="AW984" i="275"/>
  <c r="AX984" i="275"/>
  <c r="R812" i="259"/>
  <c r="R812" i="275" s="1"/>
  <c r="R809" i="275"/>
  <c r="BE802" i="259"/>
  <c r="BE19" i="275"/>
  <c r="N134" i="275"/>
  <c r="N135" i="259"/>
  <c r="U926" i="275"/>
  <c r="AY210" i="261"/>
  <c r="F43" i="264"/>
  <c r="H43" i="264" s="1"/>
  <c r="AY1613" i="259"/>
  <c r="AY1675" i="259" s="1"/>
  <c r="AY1616" i="259"/>
  <c r="Y926" i="275"/>
  <c r="Y913" i="259"/>
  <c r="Y913" i="275" s="1"/>
  <c r="N71" i="259"/>
  <c r="K653" i="275"/>
  <c r="T247" i="261"/>
  <c r="T654" i="275"/>
  <c r="X45" i="259"/>
  <c r="AX1489" i="259"/>
  <c r="V306" i="261"/>
  <c r="V790" i="275"/>
  <c r="M22" i="275"/>
  <c r="AW1170" i="259"/>
  <c r="AW999" i="275"/>
  <c r="AW28" i="259"/>
  <c r="AW10" i="277"/>
  <c r="AX125" i="259"/>
  <c r="AX118" i="261" s="1"/>
  <c r="AX124" i="275"/>
  <c r="J13" i="259"/>
  <c r="J24" i="275"/>
  <c r="T274" i="261"/>
  <c r="I213" i="261"/>
  <c r="I502" i="275"/>
  <c r="V213" i="261"/>
  <c r="Z502" i="275"/>
  <c r="I913" i="259"/>
  <c r="I926" i="275"/>
  <c r="AG43" i="264"/>
  <c r="AI43" i="264" s="1"/>
  <c r="W210" i="261"/>
  <c r="W511" i="259"/>
  <c r="W512" i="275"/>
  <c r="K500" i="275"/>
  <c r="K69" i="259"/>
  <c r="K501" i="259"/>
  <c r="K511" i="259"/>
  <c r="K512" i="275"/>
  <c r="O134" i="275"/>
  <c r="O135" i="259"/>
  <c r="N712" i="259"/>
  <c r="R712" i="275" s="1"/>
  <c r="N997" i="275"/>
  <c r="AW1607" i="259"/>
  <c r="AW489" i="275"/>
  <c r="AW512" i="259"/>
  <c r="AW512" i="275" s="1"/>
  <c r="P134" i="275"/>
  <c r="P135" i="259"/>
  <c r="S1607" i="259"/>
  <c r="S1606" i="259" s="1"/>
  <c r="S489" i="275"/>
  <c r="AW8" i="275"/>
  <c r="AY789" i="275"/>
  <c r="M247" i="261"/>
  <c r="M654" i="275"/>
  <c r="AX9" i="275"/>
  <c r="AV646" i="275"/>
  <c r="U654" i="259"/>
  <c r="U653" i="275"/>
  <c r="H1607" i="259"/>
  <c r="H1606" i="259" s="1"/>
  <c r="H489" i="275"/>
  <c r="H1613" i="259"/>
  <c r="H1616" i="259"/>
  <c r="W131" i="275"/>
  <c r="W130" i="262"/>
  <c r="W134" i="259"/>
  <c r="T51" i="275"/>
  <c r="T127" i="262"/>
  <c r="AY51" i="259"/>
  <c r="T1613" i="259"/>
  <c r="T1616" i="259"/>
  <c r="X710" i="259"/>
  <c r="O51" i="275"/>
  <c r="O127" i="262"/>
  <c r="O53" i="259"/>
  <c r="AX131" i="275"/>
  <c r="AX130" i="262"/>
  <c r="AX134" i="259"/>
  <c r="S793" i="275"/>
  <c r="J1432" i="259"/>
  <c r="J1435" i="259" s="1"/>
  <c r="J1439" i="259" s="1"/>
  <c r="J337" i="261" s="1"/>
  <c r="Q71" i="259"/>
  <c r="AU28" i="259"/>
  <c r="AU10" i="277"/>
  <c r="J812" i="259"/>
  <c r="J812" i="275" s="1"/>
  <c r="J809" i="275"/>
  <c r="AW786" i="275"/>
  <c r="Q809" i="275"/>
  <c r="R710" i="259"/>
  <c r="M1613" i="259"/>
  <c r="M1616" i="259"/>
  <c r="M51" i="275"/>
  <c r="M127" i="262"/>
  <c r="M53" i="259"/>
  <c r="P492" i="275"/>
  <c r="P1616" i="259"/>
  <c r="P1613" i="259"/>
  <c r="O913" i="275"/>
  <c r="O912" i="259"/>
  <c r="N926" i="275"/>
  <c r="J500" i="275"/>
  <c r="J501" i="259"/>
  <c r="N500" i="275"/>
  <c r="J69" i="259"/>
  <c r="X247" i="261"/>
  <c r="X654" i="275"/>
  <c r="U999" i="275"/>
  <c r="S812" i="259"/>
  <c r="S812" i="275" s="1"/>
  <c r="S809" i="275"/>
  <c r="U134" i="275"/>
  <c r="U135" i="259"/>
  <c r="T712" i="259"/>
  <c r="T997" i="275"/>
  <c r="T999" i="259"/>
  <c r="K70" i="275"/>
  <c r="O70" i="275"/>
  <c r="U710" i="259"/>
  <c r="U712" i="275"/>
  <c r="U913" i="275"/>
  <c r="U912" i="259"/>
  <c r="AY492" i="275"/>
  <c r="V712" i="259"/>
  <c r="Z997" i="275"/>
  <c r="V997" i="275"/>
  <c r="V999" i="259"/>
  <c r="W913" i="259"/>
  <c r="W926" i="275"/>
  <c r="K247" i="261"/>
  <c r="K654" i="275"/>
  <c r="I786" i="275"/>
  <c r="BD107" i="262"/>
  <c r="BD103" i="262"/>
  <c r="AZ833" i="259"/>
  <c r="AZ833" i="275" s="1"/>
  <c r="BA863" i="259"/>
  <c r="BA863" i="275" s="1"/>
  <c r="AE863" i="275"/>
  <c r="BA894" i="259"/>
  <c r="BA894" i="275" s="1"/>
  <c r="AE894" i="275"/>
  <c r="BA918" i="259"/>
  <c r="BA918" i="275" s="1"/>
  <c r="AE918" i="275"/>
  <c r="AD917" i="259"/>
  <c r="AD917" i="275" s="1"/>
  <c r="AD863" i="275"/>
  <c r="BA844" i="275"/>
  <c r="BA867" i="259"/>
  <c r="AE867" i="275"/>
  <c r="AC168" i="262"/>
  <c r="AC843" i="275"/>
  <c r="AE1473" i="259"/>
  <c r="AE862" i="275"/>
  <c r="AC892" i="259"/>
  <c r="AC892" i="275" s="1"/>
  <c r="AC842" i="275"/>
  <c r="Z179" i="262"/>
  <c r="Z55" i="262"/>
  <c r="AZ125" i="261"/>
  <c r="H63" i="276"/>
  <c r="BA470" i="275"/>
  <c r="AZ44" i="262"/>
  <c r="G37" i="273"/>
  <c r="AZ436" i="259"/>
  <c r="AZ436" i="275" s="1"/>
  <c r="AZ412" i="259"/>
  <c r="AZ412" i="275" s="1"/>
  <c r="AZ411" i="259"/>
  <c r="AZ411" i="275" s="1"/>
  <c r="AZ152" i="261"/>
  <c r="AZ474" i="275"/>
  <c r="BC794" i="259"/>
  <c r="BD794" i="275" s="1"/>
  <c r="Z28" i="263"/>
  <c r="BC11" i="275"/>
  <c r="BC65" i="262"/>
  <c r="BC72" i="262" s="1"/>
  <c r="Z139" i="264"/>
  <c r="AB139" i="264" s="1"/>
  <c r="BC344" i="275"/>
  <c r="AE900" i="259"/>
  <c r="AD900" i="275"/>
  <c r="AD952" i="259"/>
  <c r="AD952" i="275" s="1"/>
  <c r="R14" i="264"/>
  <c r="T14" i="264" s="1"/>
  <c r="T28" i="263"/>
  <c r="AC618" i="259"/>
  <c r="BC42" i="262"/>
  <c r="Z104" i="264"/>
  <c r="AB104" i="264" s="1"/>
  <c r="BC484" i="275"/>
  <c r="AC169" i="261"/>
  <c r="AC475" i="275"/>
  <c r="AA282" i="262"/>
  <c r="AZ369" i="259"/>
  <c r="AZ369" i="275" s="1"/>
  <c r="AC76" i="261"/>
  <c r="AC327" i="275"/>
  <c r="AZ972" i="259"/>
  <c r="AZ972" i="275" s="1"/>
  <c r="AZ902" i="259"/>
  <c r="AZ902" i="275" s="1"/>
  <c r="AZ901" i="275"/>
  <c r="AZ435" i="259"/>
  <c r="AZ435" i="275" s="1"/>
  <c r="AZ227" i="259"/>
  <c r="AZ227" i="275" s="1"/>
  <c r="AC185" i="262"/>
  <c r="AC888" i="275"/>
  <c r="Z1618" i="259"/>
  <c r="Z282" i="262" s="1"/>
  <c r="AD856" i="259"/>
  <c r="AC856" i="275"/>
  <c r="AZ222" i="261"/>
  <c r="AZ491" i="275"/>
  <c r="AE904" i="259"/>
  <c r="AF904" i="259" s="1"/>
  <c r="AD904" i="275"/>
  <c r="AC691" i="259"/>
  <c r="AD857" i="259"/>
  <c r="AE903" i="259"/>
  <c r="AF903" i="259" s="1"/>
  <c r="AD903" i="275"/>
  <c r="BB103" i="262"/>
  <c r="BB794" i="275"/>
  <c r="AZ160" i="261"/>
  <c r="AZ622" i="275"/>
  <c r="BC107" i="262"/>
  <c r="BC799" i="275"/>
  <c r="AZ1026" i="259"/>
  <c r="AZ1026" i="275" s="1"/>
  <c r="AZ166" i="259"/>
  <c r="AZ953" i="259"/>
  <c r="Z121" i="264"/>
  <c r="AB121" i="264" s="1"/>
  <c r="Z102" i="264"/>
  <c r="AZ906" i="259"/>
  <c r="AZ906" i="275" s="1"/>
  <c r="Z151" i="264"/>
  <c r="AB151" i="264" s="1"/>
  <c r="Z145" i="264"/>
  <c r="AB145" i="264" s="1"/>
  <c r="BC422" i="275"/>
  <c r="AZ978" i="259"/>
  <c r="AZ978" i="275" s="1"/>
  <c r="BD11" i="275"/>
  <c r="T101" i="264"/>
  <c r="R110" i="264"/>
  <c r="T110" i="264" s="1"/>
  <c r="R105" i="264"/>
  <c r="R112" i="264"/>
  <c r="AZ375" i="259"/>
  <c r="AZ375" i="275" s="1"/>
  <c r="Z101" i="264"/>
  <c r="AZ1006" i="259"/>
  <c r="AZ1006" i="275" s="1"/>
  <c r="AZ292" i="259"/>
  <c r="AZ292" i="275" s="1"/>
  <c r="BC470" i="275"/>
  <c r="Z91" i="264"/>
  <c r="AB91" i="264" s="1"/>
  <c r="AC81" i="261"/>
  <c r="AC403" i="275"/>
  <c r="AZ413" i="259"/>
  <c r="AZ413" i="275" s="1"/>
  <c r="BC41" i="262"/>
  <c r="Z103" i="264"/>
  <c r="AB103" i="264" s="1"/>
  <c r="BC483" i="275"/>
  <c r="AZ256" i="259"/>
  <c r="AZ8" i="261" s="1"/>
  <c r="AZ171" i="275"/>
  <c r="BC64" i="262"/>
  <c r="BC71" i="262" s="1"/>
  <c r="Z130" i="264"/>
  <c r="AB130" i="264" s="1"/>
  <c r="BC243" i="275"/>
  <c r="AD910" i="259"/>
  <c r="AC910" i="275"/>
  <c r="AD690" i="259"/>
  <c r="AC690" i="275"/>
  <c r="AE623" i="259"/>
  <c r="AF623" i="259" s="1"/>
  <c r="AD623" i="275"/>
  <c r="AD694" i="259"/>
  <c r="AC694" i="275"/>
  <c r="BD799" i="275"/>
  <c r="T102" i="264"/>
  <c r="R113" i="264"/>
  <c r="T113" i="264" s="1"/>
  <c r="AC63" i="261"/>
  <c r="AC214" i="275"/>
  <c r="BB245" i="275"/>
  <c r="R132" i="264"/>
  <c r="T132" i="264" s="1"/>
  <c r="AZ167" i="259"/>
  <c r="AZ133" i="259" s="1"/>
  <c r="F52" i="264"/>
  <c r="F83" i="264" s="1"/>
  <c r="H83" i="264" s="1"/>
  <c r="Z181" i="275"/>
  <c r="AC231" i="259"/>
  <c r="AC231" i="275" s="1"/>
  <c r="AA132" i="262"/>
  <c r="AZ258" i="259"/>
  <c r="AZ10" i="261" s="1"/>
  <c r="AZ173" i="275"/>
  <c r="Z132" i="262"/>
  <c r="BC69" i="262"/>
  <c r="BC76" i="262" s="1"/>
  <c r="BC244" i="275"/>
  <c r="BC60" i="262"/>
  <c r="BC202" i="275"/>
  <c r="AA15" i="262"/>
  <c r="AA45" i="262" s="1"/>
  <c r="BB470" i="275"/>
  <c r="AZ207" i="275"/>
  <c r="AB61" i="262"/>
  <c r="BD470" i="275"/>
  <c r="BC1610" i="259"/>
  <c r="BC1603" i="259" s="1"/>
  <c r="BC482" i="275"/>
  <c r="BB35" i="262"/>
  <c r="BB44" i="262" s="1"/>
  <c r="BB534" i="275"/>
  <c r="BC1611" i="259"/>
  <c r="BC1604" i="259" s="1"/>
  <c r="BC481" i="275"/>
  <c r="F32" i="273"/>
  <c r="F30" i="273"/>
  <c r="AC1366" i="259"/>
  <c r="AD842" i="259"/>
  <c r="AD842" i="275" s="1"/>
  <c r="AB147" i="262"/>
  <c r="BD422" i="259"/>
  <c r="BC66" i="262"/>
  <c r="BC73" i="262" s="1"/>
  <c r="BB72" i="262"/>
  <c r="BB67" i="262"/>
  <c r="BB74" i="262" s="1"/>
  <c r="BB68" i="262"/>
  <c r="BB75" i="262" s="1"/>
  <c r="BB71" i="262"/>
  <c r="Z262" i="262"/>
  <c r="Z154" i="262"/>
  <c r="Y134" i="259"/>
  <c r="Y130" i="262"/>
  <c r="Z45" i="262"/>
  <c r="BA44" i="262"/>
  <c r="Z1685" i="259"/>
  <c r="BD243" i="259"/>
  <c r="BD179" i="259" s="1"/>
  <c r="Y1612" i="259"/>
  <c r="Y1605" i="259" s="1"/>
  <c r="Y16" i="262"/>
  <c r="AU192" i="262"/>
  <c r="AU1621" i="259"/>
  <c r="AU285" i="262" s="1"/>
  <c r="AU1623" i="259"/>
  <c r="AU286" i="262" s="1"/>
  <c r="V1621" i="259"/>
  <c r="V1623" i="259"/>
  <c r="V286" i="262" s="1"/>
  <c r="N1621" i="259"/>
  <c r="N1623" i="259"/>
  <c r="N286" i="262" s="1"/>
  <c r="Q1619" i="259"/>
  <c r="Q1633" i="259"/>
  <c r="Q292" i="262" s="1"/>
  <c r="AV1452" i="259"/>
  <c r="I1621" i="259"/>
  <c r="I285" i="262" s="1"/>
  <c r="I1623" i="259"/>
  <c r="I286" i="262" s="1"/>
  <c r="E1621" i="259"/>
  <c r="E285" i="262" s="1"/>
  <c r="E1623" i="259"/>
  <c r="E286" i="262" s="1"/>
  <c r="L101" i="262"/>
  <c r="L791" i="259"/>
  <c r="L1456" i="259" s="1"/>
  <c r="L1457" i="259" s="1"/>
  <c r="L1458" i="259" s="1"/>
  <c r="G502" i="259"/>
  <c r="G213" i="261" s="1"/>
  <c r="G1620" i="259"/>
  <c r="G284" i="262" s="1"/>
  <c r="BC179" i="259"/>
  <c r="BC179" i="275" s="1"/>
  <c r="X22" i="259"/>
  <c r="BC245" i="259"/>
  <c r="AM28" i="264"/>
  <c r="AU790" i="259"/>
  <c r="AU306" i="261" s="1"/>
  <c r="X502" i="259"/>
  <c r="AB502" i="275" s="1"/>
  <c r="X1620" i="259"/>
  <c r="X284" i="262" s="1"/>
  <c r="AQ57" i="264"/>
  <c r="AZ301" i="259"/>
  <c r="AZ319" i="259" s="1"/>
  <c r="D101" i="262"/>
  <c r="D306" i="261"/>
  <c r="AK50" i="264"/>
  <c r="AM50" i="264" s="1"/>
  <c r="AZ497" i="259"/>
  <c r="AZ497" i="275" s="1"/>
  <c r="O217" i="262"/>
  <c r="O1596" i="259"/>
  <c r="K192" i="262"/>
  <c r="W21" i="259"/>
  <c r="W28" i="259"/>
  <c r="W28" i="275" s="1"/>
  <c r="K21" i="259"/>
  <c r="K28" i="259"/>
  <c r="K28" i="275" s="1"/>
  <c r="W217" i="262"/>
  <c r="W1596" i="259"/>
  <c r="T192" i="262"/>
  <c r="AX217" i="262"/>
  <c r="AX1596" i="259"/>
  <c r="AE1298" i="259"/>
  <c r="BA1298" i="259" s="1"/>
  <c r="AO93" i="264"/>
  <c r="AO97" i="264" s="1"/>
  <c r="Z48" i="262"/>
  <c r="AZ64" i="261"/>
  <c r="AZ84" i="261"/>
  <c r="Z250" i="262"/>
  <c r="AZ66" i="261"/>
  <c r="AS90" i="264"/>
  <c r="AU90" i="264" s="1"/>
  <c r="AO63" i="264"/>
  <c r="AB38" i="262"/>
  <c r="J95" i="264"/>
  <c r="L95" i="264" s="1"/>
  <c r="AZ168" i="261"/>
  <c r="AW94" i="264"/>
  <c r="AY94" i="264" s="1"/>
  <c r="AC325" i="259"/>
  <c r="BE140" i="264" s="1"/>
  <c r="BG140" i="264" s="1"/>
  <c r="AC831" i="259"/>
  <c r="AC831" i="275" s="1"/>
  <c r="AZ38" i="262"/>
  <c r="BC29" i="262"/>
  <c r="BC568" i="259"/>
  <c r="AD402" i="259"/>
  <c r="AC82" i="261"/>
  <c r="J126" i="264"/>
  <c r="L126" i="264" s="1"/>
  <c r="AC828" i="259"/>
  <c r="AC828" i="275" s="1"/>
  <c r="AD888" i="259"/>
  <c r="BI8" i="263" s="1"/>
  <c r="BK8" i="263" s="1"/>
  <c r="AZ561" i="259"/>
  <c r="AC832" i="259"/>
  <c r="AC832" i="275" s="1"/>
  <c r="AC829" i="259"/>
  <c r="AC829" i="275" s="1"/>
  <c r="J152" i="264"/>
  <c r="L152" i="264" s="1"/>
  <c r="AZ73" i="261"/>
  <c r="AZ329" i="259"/>
  <c r="AZ329" i="275" s="1"/>
  <c r="AW128" i="264"/>
  <c r="AY128" i="264" s="1"/>
  <c r="J153" i="264"/>
  <c r="L153" i="264" s="1"/>
  <c r="AZ74" i="261"/>
  <c r="AZ541" i="259"/>
  <c r="AS92" i="264"/>
  <c r="AU92" i="264" s="1"/>
  <c r="AS122" i="264"/>
  <c r="AU122" i="264" s="1"/>
  <c r="AB24" i="262"/>
  <c r="BB30" i="262"/>
  <c r="BB31" i="262"/>
  <c r="AA13" i="262"/>
  <c r="Q214" i="262"/>
  <c r="Q1398" i="259"/>
  <c r="S192" i="262"/>
  <c r="BC534" i="259"/>
  <c r="BC34" i="262"/>
  <c r="AC1055" i="259"/>
  <c r="AC182" i="262"/>
  <c r="N1398" i="259"/>
  <c r="N214" i="262"/>
  <c r="AA245" i="262"/>
  <c r="AA246" i="262"/>
  <c r="R1398" i="259"/>
  <c r="AB26" i="262"/>
  <c r="AZ457" i="259"/>
  <c r="AA183" i="262"/>
  <c r="AX1451" i="259"/>
  <c r="P1452" i="259"/>
  <c r="AX1452" i="259" s="1"/>
  <c r="M1452" i="259"/>
  <c r="AW1452" i="259" s="1"/>
  <c r="AW1451" i="259"/>
  <c r="BA862" i="259"/>
  <c r="AE173" i="262"/>
  <c r="AQ92" i="264"/>
  <c r="AZ194" i="261"/>
  <c r="AZ25" i="262"/>
  <c r="BA539" i="259"/>
  <c r="BA8" i="262"/>
  <c r="BA194" i="261"/>
  <c r="BA25" i="262"/>
  <c r="AH29" i="267"/>
  <c r="AI29" i="267" s="1"/>
  <c r="AJ29" i="267" s="1"/>
  <c r="AU3" i="267"/>
  <c r="AS91" i="267"/>
  <c r="AP44" i="267"/>
  <c r="AQ4" i="267"/>
  <c r="M1492" i="259"/>
  <c r="M1490" i="259"/>
  <c r="T1492" i="259"/>
  <c r="T1490" i="259"/>
  <c r="V1490" i="259"/>
  <c r="I1492" i="259"/>
  <c r="I1490" i="259"/>
  <c r="U1492" i="259"/>
  <c r="U1490" i="259"/>
  <c r="N1492" i="259"/>
  <c r="N1490" i="259"/>
  <c r="P1490" i="259"/>
  <c r="Q1492" i="259"/>
  <c r="Q1490" i="259"/>
  <c r="R1492" i="259"/>
  <c r="R1490" i="259"/>
  <c r="L1492" i="259"/>
  <c r="L1490" i="259"/>
  <c r="D1492" i="259"/>
  <c r="D1490" i="259"/>
  <c r="H1492" i="259"/>
  <c r="H1490" i="259"/>
  <c r="T24" i="259"/>
  <c r="T1491" i="259"/>
  <c r="Q24" i="259"/>
  <c r="Q1491" i="259"/>
  <c r="M24" i="259"/>
  <c r="M1491" i="259"/>
  <c r="H24" i="259"/>
  <c r="H1491" i="259"/>
  <c r="N24" i="259"/>
  <c r="N1491" i="259"/>
  <c r="P24" i="259"/>
  <c r="P1491" i="259"/>
  <c r="V24" i="259"/>
  <c r="V1491" i="259"/>
  <c r="R24" i="259"/>
  <c r="R1491" i="259"/>
  <c r="U24" i="259"/>
  <c r="U1491" i="259"/>
  <c r="I24" i="259"/>
  <c r="I1491" i="259"/>
  <c r="D24" i="259"/>
  <c r="D13" i="259" s="1"/>
  <c r="D291" i="261" s="1"/>
  <c r="D1491" i="259"/>
  <c r="L24" i="259"/>
  <c r="L1491" i="259"/>
  <c r="BC175" i="261"/>
  <c r="BD483" i="259"/>
  <c r="AZ1205" i="259"/>
  <c r="AC324" i="259"/>
  <c r="BE141" i="264" s="1"/>
  <c r="BG141" i="264" s="1"/>
  <c r="AZ47" i="261"/>
  <c r="J141" i="264"/>
  <c r="L141" i="264" s="1"/>
  <c r="AZ1022" i="259"/>
  <c r="AZ46" i="261"/>
  <c r="Z131" i="259"/>
  <c r="AC491" i="259"/>
  <c r="J140" i="264"/>
  <c r="L140" i="264" s="1"/>
  <c r="AC905" i="259"/>
  <c r="AC905" i="275" s="1"/>
  <c r="J64" i="264"/>
  <c r="L64" i="264" s="1"/>
  <c r="AY105" i="259"/>
  <c r="AD607" i="259"/>
  <c r="AD607" i="275" s="1"/>
  <c r="AW1431" i="259"/>
  <c r="AW335" i="261"/>
  <c r="AU1430" i="259"/>
  <c r="BC571" i="259"/>
  <c r="AC1231" i="259"/>
  <c r="BE64" i="264" s="1"/>
  <c r="BG64" i="264" s="1"/>
  <c r="AC474" i="259"/>
  <c r="BE95" i="264" s="1"/>
  <c r="BG95" i="264" s="1"/>
  <c r="AY1430" i="259"/>
  <c r="E1046" i="259"/>
  <c r="E1048" i="259" s="1"/>
  <c r="E1057" i="259" s="1"/>
  <c r="F1058" i="259" s="1"/>
  <c r="AZ296" i="259"/>
  <c r="AY106" i="259"/>
  <c r="M1431" i="259"/>
  <c r="M1432" i="259" s="1"/>
  <c r="M335" i="261"/>
  <c r="AX1431" i="259"/>
  <c r="AX335" i="261"/>
  <c r="BC174" i="261"/>
  <c r="AU1431" i="259"/>
  <c r="AW957" i="259"/>
  <c r="D791" i="259"/>
  <c r="D1456" i="259" s="1"/>
  <c r="D1457" i="259" s="1"/>
  <c r="E684" i="259"/>
  <c r="BA916" i="259"/>
  <c r="BA916" i="275" s="1"/>
  <c r="U1398" i="259"/>
  <c r="AY1428" i="259"/>
  <c r="E241" i="261"/>
  <c r="E1271" i="259"/>
  <c r="T1432" i="259"/>
  <c r="T1435" i="259" s="1"/>
  <c r="T1439" i="259" s="1"/>
  <c r="T337" i="261" s="1"/>
  <c r="E676" i="259"/>
  <c r="E228" i="261" s="1"/>
  <c r="F241" i="261"/>
  <c r="F1455" i="259"/>
  <c r="F1432" i="259"/>
  <c r="F1435" i="259" s="1"/>
  <c r="H1431" i="259"/>
  <c r="H1432" i="259" s="1"/>
  <c r="D1431" i="259"/>
  <c r="D1432" i="259" s="1"/>
  <c r="D1435" i="259" s="1"/>
  <c r="V1431" i="259"/>
  <c r="V1432" i="259" s="1"/>
  <c r="E683" i="259"/>
  <c r="E229" i="261" s="1"/>
  <c r="AY1384" i="259"/>
  <c r="W1408" i="259"/>
  <c r="W1385" i="259"/>
  <c r="W1393" i="259"/>
  <c r="W1398" i="259" s="1"/>
  <c r="I1432" i="259"/>
  <c r="I1435" i="259" s="1"/>
  <c r="I1439" i="259" s="1"/>
  <c r="I337" i="261" s="1"/>
  <c r="AV1430" i="259"/>
  <c r="I1455" i="259"/>
  <c r="X102" i="262"/>
  <c r="AY786" i="259"/>
  <c r="AY786" i="275" s="1"/>
  <c r="AZ1269" i="259"/>
  <c r="BD482" i="259"/>
  <c r="M1172" i="259"/>
  <c r="M266" i="262" s="1"/>
  <c r="E1455" i="259"/>
  <c r="E1432" i="259"/>
  <c r="E1435" i="259" s="1"/>
  <c r="O790" i="259"/>
  <c r="O102" i="262"/>
  <c r="AV9" i="259"/>
  <c r="AW288" i="261"/>
  <c r="AW21" i="259"/>
  <c r="AX21" i="275" s="1"/>
  <c r="AW793" i="259"/>
  <c r="AX793" i="275" s="1"/>
  <c r="F11" i="264"/>
  <c r="AY9" i="259"/>
  <c r="K288" i="261"/>
  <c r="K793" i="259"/>
  <c r="K793" i="275" s="1"/>
  <c r="W793" i="259"/>
  <c r="W793" i="275" s="1"/>
  <c r="W288" i="261"/>
  <c r="AG27" i="263"/>
  <c r="AI27" i="263" s="1"/>
  <c r="AI25" i="263" s="1"/>
  <c r="AI11" i="264"/>
  <c r="O22" i="259"/>
  <c r="S22" i="275" s="1"/>
  <c r="AZ854" i="259"/>
  <c r="AC901" i="259"/>
  <c r="AC901" i="275" s="1"/>
  <c r="N114" i="264"/>
  <c r="P114" i="264" s="1"/>
  <c r="AZ1201" i="259"/>
  <c r="AC414" i="259"/>
  <c r="AC414" i="275" s="1"/>
  <c r="AD403" i="259"/>
  <c r="AC374" i="259"/>
  <c r="AC1027" i="259"/>
  <c r="AC1027" i="275" s="1"/>
  <c r="AC1218" i="259"/>
  <c r="AE921" i="259"/>
  <c r="O1172" i="259"/>
  <c r="O266" i="262" s="1"/>
  <c r="AW1008" i="259"/>
  <c r="O1009" i="259"/>
  <c r="O1283" i="259"/>
  <c r="AD1470" i="259"/>
  <c r="AC344" i="261"/>
  <c r="BC184" i="261"/>
  <c r="BC177" i="261"/>
  <c r="V1398" i="259"/>
  <c r="H67" i="264"/>
  <c r="F74" i="264"/>
  <c r="H74" i="264" s="1"/>
  <c r="AZ208" i="259"/>
  <c r="AZ61" i="262"/>
  <c r="AZ57" i="261"/>
  <c r="J150" i="264"/>
  <c r="L150" i="264" s="1"/>
  <c r="J144" i="264"/>
  <c r="L144" i="264" s="1"/>
  <c r="H9" i="264"/>
  <c r="AZ37" i="261"/>
  <c r="J135" i="264"/>
  <c r="L135" i="264" s="1"/>
  <c r="BC180" i="259"/>
  <c r="BC180" i="275" s="1"/>
  <c r="BD244" i="259"/>
  <c r="J91" i="264"/>
  <c r="L91" i="264" s="1"/>
  <c r="J121" i="264"/>
  <c r="L121" i="264" s="1"/>
  <c r="AO109" i="264"/>
  <c r="AQ109" i="264" s="1"/>
  <c r="N121" i="264"/>
  <c r="P121" i="264" s="1"/>
  <c r="N91" i="264"/>
  <c r="P91" i="264" s="1"/>
  <c r="AZ473" i="259"/>
  <c r="AZ473" i="275" s="1"/>
  <c r="AZ172" i="259"/>
  <c r="Q1008" i="259"/>
  <c r="Q1170" i="259"/>
  <c r="AE208" i="259"/>
  <c r="AD208" i="259"/>
  <c r="M1455" i="259"/>
  <c r="U1283" i="259"/>
  <c r="U1172" i="259"/>
  <c r="U266" i="262" s="1"/>
  <c r="U1009" i="259"/>
  <c r="F1170" i="259"/>
  <c r="F1008" i="259"/>
  <c r="P1008" i="259"/>
  <c r="P1170" i="259"/>
  <c r="E1170" i="259"/>
  <c r="E1008" i="259"/>
  <c r="I1008" i="275" s="1"/>
  <c r="G1008" i="259"/>
  <c r="K1008" i="275" s="1"/>
  <c r="G1170" i="259"/>
  <c r="AU999" i="259"/>
  <c r="AU1170" i="259" s="1"/>
  <c r="D1170" i="259"/>
  <c r="D1008" i="259"/>
  <c r="AC62" i="262"/>
  <c r="AC207" i="259"/>
  <c r="H1008" i="259"/>
  <c r="H1170" i="259"/>
  <c r="AU786" i="259"/>
  <c r="AV786" i="275" s="1"/>
  <c r="AU809" i="259"/>
  <c r="AW1430" i="259"/>
  <c r="AC1209" i="259"/>
  <c r="G710" i="259"/>
  <c r="K710" i="275" s="1"/>
  <c r="AU712" i="259"/>
  <c r="AV712" i="275" s="1"/>
  <c r="AC852" i="259"/>
  <c r="AC852" i="275" s="1"/>
  <c r="AZ225" i="259"/>
  <c r="AZ225" i="275" s="1"/>
  <c r="BA302" i="259"/>
  <c r="AC1021" i="259"/>
  <c r="AC1021" i="275" s="1"/>
  <c r="AC297" i="259"/>
  <c r="AD327" i="259"/>
  <c r="BI138" i="264" s="1"/>
  <c r="BK138" i="264" s="1"/>
  <c r="AZ230" i="259"/>
  <c r="AZ267" i="259"/>
  <c r="AZ39" i="261"/>
  <c r="AZ219" i="259"/>
  <c r="AZ219" i="275" s="1"/>
  <c r="AC217" i="259"/>
  <c r="BE126" i="264" s="1"/>
  <c r="BG126" i="264" s="1"/>
  <c r="AC338" i="259"/>
  <c r="AC338" i="275" s="1"/>
  <c r="BA380" i="259"/>
  <c r="AD214" i="259"/>
  <c r="BI134" i="264" s="1"/>
  <c r="BK134" i="264" s="1"/>
  <c r="AC1017" i="259"/>
  <c r="AC1017" i="275" s="1"/>
  <c r="AC171" i="259"/>
  <c r="AZ968" i="259"/>
  <c r="AZ968" i="275" s="1"/>
  <c r="AZ226" i="259"/>
  <c r="AZ226" i="275" s="1"/>
  <c r="AC228" i="259"/>
  <c r="AC228" i="275" s="1"/>
  <c r="AC215" i="259"/>
  <c r="Z146" i="262"/>
  <c r="AC397" i="259"/>
  <c r="AC379" i="259" s="1"/>
  <c r="AZ178" i="259"/>
  <c r="AZ178" i="275" s="1"/>
  <c r="AZ954" i="259"/>
  <c r="H812" i="259"/>
  <c r="H812" i="275" s="1"/>
  <c r="AV809" i="259"/>
  <c r="AD452" i="259"/>
  <c r="AD452" i="275" s="1"/>
  <c r="AC1247" i="259"/>
  <c r="AC1188" i="259" s="1"/>
  <c r="AB63" i="259"/>
  <c r="AB63" i="275" s="1"/>
  <c r="AZ1230" i="259"/>
  <c r="AZ1232" i="259" s="1"/>
  <c r="AZ219" i="261" s="1"/>
  <c r="AZ496" i="259"/>
  <c r="AD1254" i="259"/>
  <c r="AE1254" i="259"/>
  <c r="AE452" i="259"/>
  <c r="AE452" i="275" s="1"/>
  <c r="BD481" i="259"/>
  <c r="BC522" i="259"/>
  <c r="BC522" i="275" s="1"/>
  <c r="BC173" i="261"/>
  <c r="BC526" i="259"/>
  <c r="BC526" i="275" s="1"/>
  <c r="AC1248" i="259"/>
  <c r="AC1683" i="259" s="1"/>
  <c r="AC287" i="259"/>
  <c r="X1008" i="259"/>
  <c r="X1170" i="259"/>
  <c r="BA94" i="264"/>
  <c r="AZ1192" i="259"/>
  <c r="AZ871" i="259"/>
  <c r="AZ1263" i="259"/>
  <c r="H62" i="276" s="1"/>
  <c r="AZ127" i="261"/>
  <c r="AD475" i="259"/>
  <c r="BI96" i="264" s="1"/>
  <c r="BK96" i="264" s="1"/>
  <c r="AC39" i="262"/>
  <c r="AU69" i="259"/>
  <c r="AU71" i="259" s="1"/>
  <c r="AV1428" i="259"/>
  <c r="AV335" i="261" s="1"/>
  <c r="AC1249" i="259"/>
  <c r="AC1684" i="259" s="1"/>
  <c r="AE917" i="259"/>
  <c r="AZ624" i="259"/>
  <c r="BC176" i="261"/>
  <c r="BD484" i="259"/>
  <c r="BC485" i="259"/>
  <c r="BC485" i="275" s="1"/>
  <c r="AC954" i="259"/>
  <c r="AC954" i="275" s="1"/>
  <c r="AB155" i="262"/>
  <c r="R1455" i="259"/>
  <c r="R1432" i="259"/>
  <c r="R1435" i="259" s="1"/>
  <c r="R1439" i="259" s="1"/>
  <c r="R337" i="261" s="1"/>
  <c r="H791" i="259"/>
  <c r="H101" i="262"/>
  <c r="AU22" i="259"/>
  <c r="N101" i="262"/>
  <c r="N791" i="259"/>
  <c r="R791" i="259"/>
  <c r="R101" i="262"/>
  <c r="J305" i="261"/>
  <c r="J1456" i="259"/>
  <c r="J1457" i="259" s="1"/>
  <c r="J1458" i="259" s="1"/>
  <c r="J100" i="262"/>
  <c r="AU135" i="259"/>
  <c r="AM22" i="263"/>
  <c r="AK23" i="263"/>
  <c r="AM23" i="263" s="1"/>
  <c r="L1435" i="259"/>
  <c r="AZ876" i="259"/>
  <c r="AZ876" i="275" s="1"/>
  <c r="AB38" i="259"/>
  <c r="AC405" i="259"/>
  <c r="AZ617" i="259"/>
  <c r="AV1008" i="259"/>
  <c r="K1283" i="259"/>
  <c r="K1009" i="259"/>
  <c r="K1172" i="259"/>
  <c r="K266" i="262" s="1"/>
  <c r="AC542" i="259"/>
  <c r="X1409" i="259"/>
  <c r="J1398" i="259"/>
  <c r="AA37" i="262"/>
  <c r="S1409" i="259"/>
  <c r="AX1385" i="259"/>
  <c r="AX1409" i="259" s="1"/>
  <c r="BD201" i="259"/>
  <c r="BD202" i="259" s="1"/>
  <c r="BD103" i="261"/>
  <c r="BC21" i="262"/>
  <c r="AZ407" i="259"/>
  <c r="AZ407" i="275" s="1"/>
  <c r="AY712" i="259"/>
  <c r="W710" i="259"/>
  <c r="P100" i="262"/>
  <c r="P1456" i="259"/>
  <c r="P1457" i="259" s="1"/>
  <c r="P1458" i="259" s="1"/>
  <c r="P305" i="261"/>
  <c r="S710" i="259"/>
  <c r="AX712" i="259"/>
  <c r="Y150" i="262"/>
  <c r="AZ1319" i="259"/>
  <c r="O1408" i="259"/>
  <c r="AW1384" i="259"/>
  <c r="O1393" i="259"/>
  <c r="O214" i="262" s="1"/>
  <c r="O1385" i="259"/>
  <c r="G100" i="262"/>
  <c r="G1456" i="259"/>
  <c r="G1457" i="259" s="1"/>
  <c r="G1458" i="259" s="1"/>
  <c r="G305" i="261"/>
  <c r="AU101" i="262"/>
  <c r="AU791" i="259"/>
  <c r="AY999" i="259"/>
  <c r="W1008" i="259"/>
  <c r="W1170" i="259"/>
  <c r="V812" i="259"/>
  <c r="AY809" i="259"/>
  <c r="AX120" i="262"/>
  <c r="AX99" i="262"/>
  <c r="AC1259" i="259"/>
  <c r="AZ510" i="259"/>
  <c r="AZ510" i="275" s="1"/>
  <c r="AC514" i="259"/>
  <c r="AA238" i="262"/>
  <c r="AE1474" i="259"/>
  <c r="AF1474" i="259" s="1"/>
  <c r="AD345" i="261"/>
  <c r="AD1464" i="259"/>
  <c r="AC622" i="259"/>
  <c r="AC622" i="275" s="1"/>
  <c r="AX1393" i="259"/>
  <c r="AX214" i="262" s="1"/>
  <c r="AX1408" i="259"/>
  <c r="AZ416" i="259"/>
  <c r="AZ416" i="275" s="1"/>
  <c r="I1009" i="259"/>
  <c r="I1283" i="259"/>
  <c r="I1172" i="259"/>
  <c r="I266" i="262" s="1"/>
  <c r="AC562" i="259"/>
  <c r="AX104" i="259"/>
  <c r="AX106" i="259"/>
  <c r="X809" i="259"/>
  <c r="X809" i="275" s="1"/>
  <c r="AC1185" i="259"/>
  <c r="AX999" i="259"/>
  <c r="S1008" i="259"/>
  <c r="S1008" i="275" s="1"/>
  <c r="S1170" i="259"/>
  <c r="AV710" i="259"/>
  <c r="F135" i="259"/>
  <c r="AA1179" i="259"/>
  <c r="AZ1222" i="259"/>
  <c r="S1398" i="259"/>
  <c r="T1398" i="259"/>
  <c r="AS33" i="263"/>
  <c r="Z123" i="262"/>
  <c r="AC365" i="259"/>
  <c r="I791" i="259"/>
  <c r="I101" i="262"/>
  <c r="AX102" i="262"/>
  <c r="AX790" i="259"/>
  <c r="E305" i="261"/>
  <c r="U101" i="262"/>
  <c r="U791" i="259"/>
  <c r="I13" i="259"/>
  <c r="V791" i="259"/>
  <c r="V101" i="262"/>
  <c r="Q791" i="259"/>
  <c r="Q101" i="262"/>
  <c r="S1456" i="259"/>
  <c r="S1457" i="259" s="1"/>
  <c r="S1458" i="259" s="1"/>
  <c r="S100" i="262"/>
  <c r="S305" i="261"/>
  <c r="AX22" i="259"/>
  <c r="T101" i="262"/>
  <c r="T791" i="259"/>
  <c r="M101" i="262"/>
  <c r="M791" i="259"/>
  <c r="AC167" i="259" l="1"/>
  <c r="BE799" i="275"/>
  <c r="AD1367" i="259"/>
  <c r="AD893" i="259"/>
  <c r="AD893" i="275" s="1"/>
  <c r="BD344" i="275"/>
  <c r="BD65" i="262"/>
  <c r="AD173" i="259"/>
  <c r="AD173" i="275" s="1"/>
  <c r="AD218" i="275"/>
  <c r="AE218" i="259"/>
  <c r="AE218" i="275" s="1"/>
  <c r="AD67" i="261"/>
  <c r="Z132" i="264"/>
  <c r="AB132" i="264" s="1"/>
  <c r="V132" i="264"/>
  <c r="X132" i="264" s="1"/>
  <c r="BD456" i="259"/>
  <c r="BD456" i="275" s="1"/>
  <c r="V113" i="264"/>
  <c r="X113" i="264" s="1"/>
  <c r="X102" i="264"/>
  <c r="X101" i="264"/>
  <c r="V112" i="264"/>
  <c r="V105" i="264"/>
  <c r="V110" i="264"/>
  <c r="X110" i="264" s="1"/>
  <c r="H22" i="263"/>
  <c r="AV912" i="259"/>
  <c r="AV912" i="275" s="1"/>
  <c r="N1170" i="259"/>
  <c r="N999" i="275"/>
  <c r="N1008" i="259"/>
  <c r="R1008" i="275" s="1"/>
  <c r="AX812" i="259"/>
  <c r="F306" i="261"/>
  <c r="F791" i="259"/>
  <c r="AK45" i="264"/>
  <c r="AM45" i="264" s="1"/>
  <c r="AK53" i="264"/>
  <c r="AK84" i="264" s="1"/>
  <c r="AM84" i="264" s="1"/>
  <c r="AM32" i="264"/>
  <c r="S796" i="259"/>
  <c r="S797" i="259" s="1"/>
  <c r="S14" i="259"/>
  <c r="AY913" i="275"/>
  <c r="E1492" i="259"/>
  <c r="E1491" i="259"/>
  <c r="E1490" i="259"/>
  <c r="E24" i="259"/>
  <c r="E13" i="259" s="1"/>
  <c r="I13" i="275" s="1"/>
  <c r="I22" i="275"/>
  <c r="E100" i="262"/>
  <c r="D796" i="259"/>
  <c r="AE843" i="259"/>
  <c r="AF843" i="259" s="1"/>
  <c r="AF893" i="259" s="1"/>
  <c r="M1009" i="259"/>
  <c r="AD892" i="259"/>
  <c r="AD892" i="275" s="1"/>
  <c r="AK29" i="264"/>
  <c r="AM29" i="264" s="1"/>
  <c r="AD1366" i="259"/>
  <c r="AD843" i="275"/>
  <c r="AW1606" i="259"/>
  <c r="Q1008" i="275"/>
  <c r="AD1309" i="259"/>
  <c r="M1283" i="259"/>
  <c r="M308" i="261" s="1"/>
  <c r="AE842" i="259"/>
  <c r="AF842" i="259" s="1"/>
  <c r="AF892" i="259" s="1"/>
  <c r="AZ165" i="259"/>
  <c r="AY1606" i="259"/>
  <c r="AF921" i="275"/>
  <c r="AG918" i="275"/>
  <c r="AF917" i="275"/>
  <c r="AF844" i="275"/>
  <c r="AG844" i="259"/>
  <c r="AG894" i="259" s="1"/>
  <c r="AG894" i="275" s="1"/>
  <c r="AE842" i="275"/>
  <c r="AF863" i="275"/>
  <c r="AG863" i="259"/>
  <c r="AG917" i="259" s="1"/>
  <c r="AF894" i="275"/>
  <c r="AF916" i="275"/>
  <c r="AG1474" i="259"/>
  <c r="AF345" i="261"/>
  <c r="AG864" i="275"/>
  <c r="AH864" i="259"/>
  <c r="AF173" i="262"/>
  <c r="AF862" i="275"/>
  <c r="AF1298" i="259"/>
  <c r="AF1473" i="259"/>
  <c r="AF1464" i="259" s="1"/>
  <c r="AG862" i="259"/>
  <c r="AG916" i="259" s="1"/>
  <c r="AF867" i="275"/>
  <c r="AG867" i="259"/>
  <c r="AG921" i="259" s="1"/>
  <c r="AG921" i="275" s="1"/>
  <c r="AC542" i="275"/>
  <c r="AG542" i="275"/>
  <c r="BE150" i="264"/>
  <c r="BG150" i="264" s="1"/>
  <c r="BE144" i="264"/>
  <c r="BG144" i="264" s="1"/>
  <c r="BI146" i="264"/>
  <c r="BK146" i="264" s="1"/>
  <c r="BE152" i="264"/>
  <c r="BG152" i="264" s="1"/>
  <c r="AC215" i="275"/>
  <c r="BE135" i="264"/>
  <c r="BG135" i="264" s="1"/>
  <c r="AD402" i="275"/>
  <c r="BI147" i="264"/>
  <c r="BK147" i="264" s="1"/>
  <c r="AG903" i="259"/>
  <c r="AF903" i="275"/>
  <c r="AF623" i="275"/>
  <c r="AG623" i="259"/>
  <c r="AG904" i="259"/>
  <c r="AF904" i="275"/>
  <c r="AI452" i="275"/>
  <c r="BA900" i="259"/>
  <c r="BA900" i="275" s="1"/>
  <c r="AF900" i="259"/>
  <c r="BE153" i="264"/>
  <c r="BG153" i="264" s="1"/>
  <c r="AH452" i="275"/>
  <c r="BC94" i="264"/>
  <c r="AC379" i="275"/>
  <c r="AC171" i="275"/>
  <c r="AC297" i="275"/>
  <c r="AC207" i="275"/>
  <c r="AG207" i="275"/>
  <c r="AC374" i="275"/>
  <c r="AC474" i="275"/>
  <c r="AC491" i="275"/>
  <c r="AF564" i="259"/>
  <c r="AF206" i="261" s="1"/>
  <c r="AF561" i="275"/>
  <c r="AF544" i="259"/>
  <c r="AF541" i="275"/>
  <c r="Q24" i="275"/>
  <c r="Q13" i="259"/>
  <c r="Q291" i="261" s="1"/>
  <c r="L100" i="262"/>
  <c r="V812" i="275"/>
  <c r="H1008" i="275"/>
  <c r="P1492" i="259"/>
  <c r="H52" i="264"/>
  <c r="AY912" i="259"/>
  <c r="AY274" i="261" s="1"/>
  <c r="AV1606" i="259"/>
  <c r="F14" i="259"/>
  <c r="F291" i="261"/>
  <c r="AZ394" i="259"/>
  <c r="AZ18" i="261" s="1"/>
  <c r="AD231" i="259"/>
  <c r="AD231" i="275" s="1"/>
  <c r="AZ905" i="259"/>
  <c r="AZ905" i="275" s="1"/>
  <c r="BE794" i="275"/>
  <c r="AY1170" i="259"/>
  <c r="AY999" i="275"/>
  <c r="AY712" i="275"/>
  <c r="AV812" i="259"/>
  <c r="AW812" i="275" s="1"/>
  <c r="AV809" i="275"/>
  <c r="AY28" i="259"/>
  <c r="AY28" i="275" s="1"/>
  <c r="AY10" i="277"/>
  <c r="AY41" i="277" s="1"/>
  <c r="AY9" i="275"/>
  <c r="BE482" i="259"/>
  <c r="BD34" i="262"/>
  <c r="S104" i="262"/>
  <c r="K1489" i="259"/>
  <c r="K21" i="275"/>
  <c r="X213" i="261"/>
  <c r="Q1621" i="259"/>
  <c r="Q283" i="262"/>
  <c r="F797" i="259"/>
  <c r="F1480" i="259" s="1"/>
  <c r="F195" i="262" s="1"/>
  <c r="F104" i="262"/>
  <c r="Y135" i="259"/>
  <c r="Y134" i="275"/>
  <c r="BD66" i="262"/>
  <c r="BD73" i="262" s="1"/>
  <c r="BE422" i="259"/>
  <c r="V1170" i="259"/>
  <c r="Z999" i="275"/>
  <c r="V999" i="275"/>
  <c r="V1008" i="259"/>
  <c r="U710" i="275"/>
  <c r="AX134" i="275"/>
  <c r="AX135" i="259"/>
  <c r="T280" i="262"/>
  <c r="T1619" i="259"/>
  <c r="T1633" i="259"/>
  <c r="T292" i="262" s="1"/>
  <c r="H280" i="262"/>
  <c r="H1619" i="259"/>
  <c r="H1633" i="259"/>
  <c r="H292" i="262" s="1"/>
  <c r="BE344" i="275"/>
  <c r="BE65" i="262"/>
  <c r="BE302" i="259"/>
  <c r="S291" i="261"/>
  <c r="X47" i="259"/>
  <c r="U69" i="275"/>
  <c r="Y69" i="275"/>
  <c r="U71" i="259"/>
  <c r="U71" i="275" s="1"/>
  <c r="M501" i="275"/>
  <c r="M1620" i="259"/>
  <c r="Q501" i="275"/>
  <c r="M502" i="259"/>
  <c r="L710" i="259"/>
  <c r="L712" i="275"/>
  <c r="H70" i="275"/>
  <c r="L70" i="275"/>
  <c r="AV70" i="259"/>
  <c r="H69" i="275"/>
  <c r="H71" i="259"/>
  <c r="H71" i="275" s="1"/>
  <c r="AV69" i="259"/>
  <c r="L501" i="275"/>
  <c r="L502" i="259"/>
  <c r="L1620" i="259"/>
  <c r="K812" i="275"/>
  <c r="O812" i="275"/>
  <c r="L274" i="261"/>
  <c r="L912" i="275"/>
  <c r="L192" i="262"/>
  <c r="S69" i="275"/>
  <c r="S71" i="259"/>
  <c r="U1008" i="275"/>
  <c r="AY131" i="275"/>
  <c r="AY130" i="262"/>
  <c r="AY134" i="259"/>
  <c r="J999" i="275"/>
  <c r="J1170" i="259"/>
  <c r="J1008" i="259"/>
  <c r="N247" i="261"/>
  <c r="N654" i="275"/>
  <c r="J819" i="259"/>
  <c r="J53" i="275"/>
  <c r="N53" i="275"/>
  <c r="AK49" i="264"/>
  <c r="AK80" i="264" s="1"/>
  <c r="AM80" i="264" s="1"/>
  <c r="AM27" i="264"/>
  <c r="AX1607" i="259"/>
  <c r="AX489" i="275"/>
  <c r="AX512" i="259"/>
  <c r="AX512" i="275" s="1"/>
  <c r="O21" i="275"/>
  <c r="W812" i="275"/>
  <c r="V247" i="261"/>
  <c r="V654" i="275"/>
  <c r="R696" i="259"/>
  <c r="Q710" i="275"/>
  <c r="N274" i="261"/>
  <c r="N192" i="262"/>
  <c r="U280" i="262"/>
  <c r="U1619" i="259"/>
  <c r="U1633" i="259"/>
  <c r="U292" i="262" s="1"/>
  <c r="AX501" i="259"/>
  <c r="AX500" i="275"/>
  <c r="M45" i="259"/>
  <c r="M511" i="275"/>
  <c r="Q511" i="275"/>
  <c r="AY247" i="261"/>
  <c r="AY654" i="275"/>
  <c r="O71" i="259"/>
  <c r="O69" i="275"/>
  <c r="AY501" i="259"/>
  <c r="AY500" i="275"/>
  <c r="AV134" i="275"/>
  <c r="AW134" i="275"/>
  <c r="AV135" i="259"/>
  <c r="H45" i="259"/>
  <c r="H511" i="275"/>
  <c r="AV511" i="259"/>
  <c r="M812" i="275"/>
  <c r="P913" i="275"/>
  <c r="P912" i="259"/>
  <c r="S511" i="275"/>
  <c r="S45" i="259"/>
  <c r="K819" i="259"/>
  <c r="K53" i="275"/>
  <c r="W501" i="275"/>
  <c r="W502" i="259"/>
  <c r="W1620" i="259"/>
  <c r="G1486" i="259"/>
  <c r="G1343" i="259"/>
  <c r="G811" i="259"/>
  <c r="G813" i="259" s="1"/>
  <c r="G254" i="262" s="1"/>
  <c r="G804" i="259"/>
  <c r="G1483" i="259"/>
  <c r="G198" i="262" s="1"/>
  <c r="G806" i="259"/>
  <c r="G1485" i="259"/>
  <c r="G199" i="262" s="1"/>
  <c r="G1484" i="259"/>
  <c r="G1481" i="259"/>
  <c r="G197" i="262" s="1"/>
  <c r="G105" i="262"/>
  <c r="G1482" i="259"/>
  <c r="G1480" i="259"/>
  <c r="G1345" i="259"/>
  <c r="G1342" i="259"/>
  <c r="D797" i="259"/>
  <c r="D1485" i="259" s="1"/>
  <c r="D199" i="262" s="1"/>
  <c r="D104" i="262"/>
  <c r="BD42" i="262"/>
  <c r="BE484" i="259"/>
  <c r="AU812" i="259"/>
  <c r="BD244" i="275"/>
  <c r="BE244" i="259"/>
  <c r="BD69" i="262"/>
  <c r="BD76" i="262" s="1"/>
  <c r="AV28" i="259"/>
  <c r="AV28" i="275" s="1"/>
  <c r="AV10" i="277"/>
  <c r="AV9" i="275"/>
  <c r="L13" i="259"/>
  <c r="L24" i="275"/>
  <c r="R13" i="259"/>
  <c r="R24" i="275"/>
  <c r="P13" i="259"/>
  <c r="P24" i="275"/>
  <c r="H13" i="259"/>
  <c r="H13" i="275" s="1"/>
  <c r="H24" i="275"/>
  <c r="S30" i="259"/>
  <c r="X1492" i="259"/>
  <c r="X22" i="275"/>
  <c r="U274" i="261"/>
  <c r="U192" i="262"/>
  <c r="T710" i="259"/>
  <c r="X710" i="275" s="1"/>
  <c r="T712" i="275"/>
  <c r="J69" i="275"/>
  <c r="N69" i="275"/>
  <c r="J71" i="259"/>
  <c r="J71" i="275" s="1"/>
  <c r="P280" i="262"/>
  <c r="P1619" i="259"/>
  <c r="P1633" i="259"/>
  <c r="P292" i="262" s="1"/>
  <c r="W134" i="275"/>
  <c r="AG27" i="264"/>
  <c r="W135" i="259"/>
  <c r="U247" i="261"/>
  <c r="U654" i="275"/>
  <c r="N710" i="259"/>
  <c r="N712" i="275"/>
  <c r="K45" i="259"/>
  <c r="K511" i="275"/>
  <c r="J511" i="275"/>
  <c r="J45" i="259"/>
  <c r="N511" i="275"/>
  <c r="U501" i="275"/>
  <c r="U502" i="259"/>
  <c r="U1620" i="259"/>
  <c r="AX51" i="275"/>
  <c r="AX127" i="262"/>
  <c r="AX53" i="259"/>
  <c r="M69" i="275"/>
  <c r="M71" i="259"/>
  <c r="M71" i="275" s="1"/>
  <c r="L69" i="275"/>
  <c r="AW69" i="259"/>
  <c r="L71" i="259"/>
  <c r="S501" i="275"/>
  <c r="S502" i="259"/>
  <c r="S1620" i="259"/>
  <c r="W280" i="262"/>
  <c r="W1619" i="259"/>
  <c r="W1633" i="259"/>
  <c r="W292" i="262" s="1"/>
  <c r="AX1606" i="259"/>
  <c r="M274" i="261"/>
  <c r="M192" i="262"/>
  <c r="O280" i="262"/>
  <c r="O1633" i="259"/>
  <c r="O292" i="262" s="1"/>
  <c r="O1619" i="259"/>
  <c r="T45" i="259"/>
  <c r="T511" i="275"/>
  <c r="AY511" i="259"/>
  <c r="AX28" i="275"/>
  <c r="AX1613" i="259"/>
  <c r="AX1675" i="259" s="1"/>
  <c r="AX1616" i="259"/>
  <c r="O793" i="275"/>
  <c r="H28" i="264"/>
  <c r="F50" i="264"/>
  <c r="P710" i="259"/>
  <c r="P712" i="275"/>
  <c r="P69" i="275"/>
  <c r="AX69" i="259"/>
  <c r="P71" i="259"/>
  <c r="P511" i="275"/>
  <c r="P45" i="259"/>
  <c r="AX511" i="259"/>
  <c r="L812" i="275"/>
  <c r="O501" i="275"/>
  <c r="O1620" i="259"/>
  <c r="O502" i="259"/>
  <c r="T69" i="275"/>
  <c r="AY69" i="259"/>
  <c r="T71" i="259"/>
  <c r="R654" i="275"/>
  <c r="S819" i="259"/>
  <c r="S53" i="275"/>
  <c r="Z654" i="275"/>
  <c r="Z247" i="261"/>
  <c r="R274" i="261"/>
  <c r="R912" i="275"/>
  <c r="R192" i="262"/>
  <c r="O28" i="275"/>
  <c r="AX306" i="261"/>
  <c r="AX1170" i="259"/>
  <c r="AX999" i="275"/>
  <c r="AY812" i="259"/>
  <c r="AY812" i="275" s="1"/>
  <c r="AY809" i="275"/>
  <c r="BE481" i="259"/>
  <c r="BD29" i="262"/>
  <c r="N1008" i="275"/>
  <c r="AW1008" i="275"/>
  <c r="Z134" i="259"/>
  <c r="Z131" i="275"/>
  <c r="BE483" i="259"/>
  <c r="BD41" i="262"/>
  <c r="AV274" i="261"/>
  <c r="W1489" i="259"/>
  <c r="W21" i="275"/>
  <c r="O274" i="261"/>
  <c r="O912" i="275"/>
  <c r="O192" i="262"/>
  <c r="M280" i="262"/>
  <c r="M1619" i="259"/>
  <c r="M1633" i="259"/>
  <c r="M292" i="262" s="1"/>
  <c r="X712" i="275"/>
  <c r="AY51" i="275"/>
  <c r="AY127" i="262"/>
  <c r="AY53" i="259"/>
  <c r="K501" i="275"/>
  <c r="K502" i="259"/>
  <c r="K1620" i="259"/>
  <c r="W511" i="275"/>
  <c r="W45" i="259"/>
  <c r="I913" i="275"/>
  <c r="I912" i="259"/>
  <c r="M912" i="275" s="1"/>
  <c r="J13" i="275"/>
  <c r="J291" i="261"/>
  <c r="J14" i="259"/>
  <c r="J796" i="259"/>
  <c r="H654" i="259"/>
  <c r="H653" i="275"/>
  <c r="L653" i="275"/>
  <c r="H501" i="275"/>
  <c r="H502" i="259"/>
  <c r="H1620" i="259"/>
  <c r="AW913" i="275"/>
  <c r="AW912" i="259"/>
  <c r="Q912" i="259"/>
  <c r="U912" i="275" s="1"/>
  <c r="Q913" i="275"/>
  <c r="AV654" i="259"/>
  <c r="AV653" i="275"/>
  <c r="R819" i="259"/>
  <c r="R53" i="275"/>
  <c r="V53" i="275"/>
  <c r="V274" i="261"/>
  <c r="V912" i="275"/>
  <c r="V192" i="262"/>
  <c r="J710" i="259"/>
  <c r="J696" i="259" s="1"/>
  <c r="J712" i="275"/>
  <c r="J280" i="262"/>
  <c r="J1619" i="259"/>
  <c r="J1633" i="259"/>
  <c r="J292" i="262" s="1"/>
  <c r="M913" i="275"/>
  <c r="AV51" i="275"/>
  <c r="AV127" i="262"/>
  <c r="AV53" i="259"/>
  <c r="L819" i="259"/>
  <c r="L53" i="275"/>
  <c r="L280" i="262"/>
  <c r="L1619" i="259"/>
  <c r="L1633" i="259"/>
  <c r="L292" i="262" s="1"/>
  <c r="R269" i="262"/>
  <c r="R308" i="261"/>
  <c r="R69" i="275"/>
  <c r="R71" i="259"/>
  <c r="V69" i="275"/>
  <c r="S912" i="275"/>
  <c r="T812" i="259"/>
  <c r="T812" i="275" s="1"/>
  <c r="T809" i="275"/>
  <c r="AY489" i="275"/>
  <c r="O712" i="275"/>
  <c r="O710" i="259"/>
  <c r="AW712" i="259"/>
  <c r="AW712" i="275" s="1"/>
  <c r="T501" i="275"/>
  <c r="T502" i="259"/>
  <c r="X502" i="275" s="1"/>
  <c r="T1620" i="259"/>
  <c r="L45" i="259"/>
  <c r="L511" i="275"/>
  <c r="AW511" i="259"/>
  <c r="J912" i="259"/>
  <c r="J913" i="275"/>
  <c r="AG50" i="264"/>
  <c r="AI28" i="264"/>
  <c r="Q247" i="261"/>
  <c r="Q654" i="275"/>
  <c r="R45" i="259"/>
  <c r="R511" i="275"/>
  <c r="V511" i="275"/>
  <c r="AX812" i="275"/>
  <c r="AX997" i="275"/>
  <c r="W1008" i="275"/>
  <c r="W710" i="275"/>
  <c r="AW1489" i="259"/>
  <c r="O306" i="261"/>
  <c r="S790" i="275"/>
  <c r="U13" i="259"/>
  <c r="U14" i="259" s="1"/>
  <c r="U24" i="275"/>
  <c r="V13" i="259"/>
  <c r="V24" i="275"/>
  <c r="N13" i="259"/>
  <c r="N796" i="259" s="1"/>
  <c r="N24" i="275"/>
  <c r="M13" i="259"/>
  <c r="M24" i="275"/>
  <c r="T13" i="259"/>
  <c r="T24" i="275"/>
  <c r="BD64" i="262"/>
  <c r="BE243" i="259"/>
  <c r="W912" i="259"/>
  <c r="W913" i="275"/>
  <c r="V710" i="259"/>
  <c r="V710" i="275" s="1"/>
  <c r="V712" i="275"/>
  <c r="T999" i="275"/>
  <c r="T1170" i="259"/>
  <c r="T1008" i="259"/>
  <c r="J501" i="275"/>
  <c r="J1620" i="259"/>
  <c r="N501" i="275"/>
  <c r="J502" i="259"/>
  <c r="M819" i="259"/>
  <c r="M53" i="275"/>
  <c r="Q53" i="275"/>
  <c r="O819" i="259"/>
  <c r="O53" i="275"/>
  <c r="K71" i="259"/>
  <c r="K71" i="275" s="1"/>
  <c r="K69" i="275"/>
  <c r="BD72" i="262"/>
  <c r="AW9" i="275"/>
  <c r="AY280" i="262"/>
  <c r="AY1656" i="259"/>
  <c r="AY1664" i="259"/>
  <c r="AY1633" i="259"/>
  <c r="AY292" i="262" s="1"/>
  <c r="AY1619" i="259"/>
  <c r="BE110" i="262"/>
  <c r="BE802" i="275"/>
  <c r="Y654" i="275"/>
  <c r="Y247" i="261"/>
  <c r="N812" i="275"/>
  <c r="AW247" i="261"/>
  <c r="L1008" i="259"/>
  <c r="P1008" i="275" s="1"/>
  <c r="L999" i="275"/>
  <c r="L1170" i="259"/>
  <c r="AV501" i="259"/>
  <c r="AV500" i="275"/>
  <c r="AW501" i="259"/>
  <c r="AW500" i="275"/>
  <c r="S280" i="262"/>
  <c r="S1619" i="259"/>
  <c r="S1633" i="259"/>
  <c r="S292" i="262" s="1"/>
  <c r="AW280" i="262"/>
  <c r="AW1633" i="259"/>
  <c r="AW292" i="262" s="1"/>
  <c r="AW1619" i="259"/>
  <c r="AW1664" i="259"/>
  <c r="AW1656" i="259"/>
  <c r="K280" i="262"/>
  <c r="K1619" i="259"/>
  <c r="K1633" i="259"/>
  <c r="K292" i="262" s="1"/>
  <c r="W819" i="259"/>
  <c r="W53" i="275"/>
  <c r="U819" i="259"/>
  <c r="U53" i="275"/>
  <c r="Y53" i="275"/>
  <c r="H819" i="259"/>
  <c r="H53" i="275"/>
  <c r="AW51" i="275"/>
  <c r="AW127" i="262"/>
  <c r="AW53" i="259"/>
  <c r="AV280" i="262"/>
  <c r="AV1619" i="259"/>
  <c r="AV1633" i="259"/>
  <c r="AV292" i="262" s="1"/>
  <c r="R501" i="275"/>
  <c r="R502" i="259"/>
  <c r="R1620" i="259"/>
  <c r="V501" i="275"/>
  <c r="AX912" i="259"/>
  <c r="AX913" i="275"/>
  <c r="AW809" i="275"/>
  <c r="X999" i="275"/>
  <c r="AX247" i="261"/>
  <c r="AX654" i="275"/>
  <c r="H274" i="261"/>
  <c r="H912" i="275"/>
  <c r="H192" i="262"/>
  <c r="H710" i="275"/>
  <c r="I696" i="259"/>
  <c r="X913" i="275"/>
  <c r="X912" i="259"/>
  <c r="I710" i="275"/>
  <c r="U45" i="259"/>
  <c r="U511" i="275"/>
  <c r="Y511" i="275"/>
  <c r="P501" i="275"/>
  <c r="P502" i="259"/>
  <c r="P1620" i="259"/>
  <c r="O45" i="259"/>
  <c r="O511" i="275"/>
  <c r="W69" i="275"/>
  <c r="W71" i="259"/>
  <c r="R280" i="262"/>
  <c r="R1619" i="259"/>
  <c r="R1633" i="259"/>
  <c r="R292" i="262" s="1"/>
  <c r="AV999" i="275"/>
  <c r="BD60" i="262"/>
  <c r="BE202" i="275"/>
  <c r="BC67" i="262"/>
  <c r="BC74" i="262" s="1"/>
  <c r="BD179" i="275"/>
  <c r="BA917" i="259"/>
  <c r="BA917" i="275" s="1"/>
  <c r="AE917" i="275"/>
  <c r="AE168" i="262"/>
  <c r="BA862" i="275"/>
  <c r="BA867" i="275"/>
  <c r="AZ925" i="259"/>
  <c r="AZ925" i="275" s="1"/>
  <c r="AZ871" i="275"/>
  <c r="BA921" i="259"/>
  <c r="BA921" i="275" s="1"/>
  <c r="AE921" i="275"/>
  <c r="AD1308" i="259"/>
  <c r="AD167" i="262"/>
  <c r="AZ151" i="262"/>
  <c r="H78" i="276"/>
  <c r="AZ1028" i="259"/>
  <c r="AZ1028" i="275" s="1"/>
  <c r="AZ376" i="259"/>
  <c r="AZ376" i="275" s="1"/>
  <c r="AZ414" i="259"/>
  <c r="AZ414" i="275" s="1"/>
  <c r="AZ167" i="275"/>
  <c r="H49" i="276"/>
  <c r="AZ370" i="259"/>
  <c r="AZ370" i="275" s="1"/>
  <c r="AC84" i="261"/>
  <c r="AC405" i="275"/>
  <c r="AZ232" i="259"/>
  <c r="AZ232" i="275" s="1"/>
  <c r="AZ230" i="275"/>
  <c r="AD76" i="261"/>
  <c r="AD327" i="275"/>
  <c r="AZ257" i="259"/>
  <c r="AZ9" i="261" s="1"/>
  <c r="AZ172" i="275"/>
  <c r="BD483" i="275"/>
  <c r="R114" i="264"/>
  <c r="T114" i="264" s="1"/>
  <c r="T112" i="264"/>
  <c r="AB102" i="264"/>
  <c r="Z113" i="264"/>
  <c r="AB113" i="264" s="1"/>
  <c r="AE857" i="259"/>
  <c r="AF857" i="259" s="1"/>
  <c r="AD857" i="275"/>
  <c r="AE904" i="275"/>
  <c r="BA904" i="259"/>
  <c r="AE856" i="259"/>
  <c r="AF856" i="259" s="1"/>
  <c r="AD856" i="275"/>
  <c r="Z14" i="264"/>
  <c r="AB14" i="264" s="1"/>
  <c r="AB28" i="263"/>
  <c r="AZ418" i="259"/>
  <c r="AZ418" i="275" s="1"/>
  <c r="AD169" i="261"/>
  <c r="AD475" i="275"/>
  <c r="AZ1618" i="259"/>
  <c r="AZ282" i="262" s="1"/>
  <c r="AZ496" i="275"/>
  <c r="AA143" i="262"/>
  <c r="AZ340" i="259"/>
  <c r="AZ340" i="275" s="1"/>
  <c r="AZ282" i="259"/>
  <c r="AZ282" i="275" s="1"/>
  <c r="AZ311" i="259"/>
  <c r="AZ13" i="261" s="1"/>
  <c r="AZ296" i="275"/>
  <c r="AC886" i="259"/>
  <c r="AC886" i="275" s="1"/>
  <c r="AC1055" i="275"/>
  <c r="BD422" i="275"/>
  <c r="AE694" i="259"/>
  <c r="AD694" i="275"/>
  <c r="AE690" i="259"/>
  <c r="AD690" i="275"/>
  <c r="AB101" i="264"/>
  <c r="Z112" i="264"/>
  <c r="Z110" i="264"/>
  <c r="AB110" i="264" s="1"/>
  <c r="Z105" i="264"/>
  <c r="T105" i="264"/>
  <c r="BC103" i="262"/>
  <c r="BC794" i="275"/>
  <c r="AZ174" i="259"/>
  <c r="AZ175" i="259" s="1"/>
  <c r="AZ175" i="275" s="1"/>
  <c r="AZ354" i="259"/>
  <c r="AZ354" i="275" s="1"/>
  <c r="AZ162" i="261"/>
  <c r="AZ624" i="275"/>
  <c r="Z143" i="262"/>
  <c r="AZ264" i="261"/>
  <c r="AZ954" i="275"/>
  <c r="BA398" i="259"/>
  <c r="BA32" i="261" s="1"/>
  <c r="BA380" i="275"/>
  <c r="AD81" i="261"/>
  <c r="AD403" i="275"/>
  <c r="AZ878" i="259"/>
  <c r="AZ878" i="275" s="1"/>
  <c r="AZ854" i="275"/>
  <c r="AZ1023" i="259"/>
  <c r="AZ1023" i="275" s="1"/>
  <c r="AZ1022" i="275"/>
  <c r="AC74" i="261"/>
  <c r="AC324" i="275"/>
  <c r="BD243" i="275"/>
  <c r="AD691" i="259"/>
  <c r="AC691" i="275"/>
  <c r="F33" i="273"/>
  <c r="AZ619" i="259"/>
  <c r="AZ619" i="275" s="1"/>
  <c r="AZ617" i="275"/>
  <c r="BD484" i="275"/>
  <c r="AB282" i="262"/>
  <c r="AZ431" i="259"/>
  <c r="AZ431" i="275" s="1"/>
  <c r="AC66" i="261"/>
  <c r="AC217" i="275"/>
  <c r="BA320" i="259"/>
  <c r="BA28" i="261" s="1"/>
  <c r="BA302" i="275"/>
  <c r="H50" i="276"/>
  <c r="AZ166" i="275"/>
  <c r="AZ291" i="259"/>
  <c r="AD185" i="262"/>
  <c r="AD888" i="275"/>
  <c r="AC73" i="261"/>
  <c r="AC325" i="275"/>
  <c r="AZ27" i="261"/>
  <c r="AZ301" i="275"/>
  <c r="AE623" i="275"/>
  <c r="BA623" i="259"/>
  <c r="AE910" i="259"/>
  <c r="AE954" i="259" s="1"/>
  <c r="AE954" i="275" s="1"/>
  <c r="AD910" i="275"/>
  <c r="AZ263" i="261"/>
  <c r="AZ953" i="275"/>
  <c r="BA903" i="259"/>
  <c r="AE903" i="275"/>
  <c r="AD618" i="259"/>
  <c r="AC618" i="275"/>
  <c r="AE900" i="275"/>
  <c r="AE952" i="259"/>
  <c r="AD63" i="261"/>
  <c r="AD214" i="275"/>
  <c r="AZ150" i="259"/>
  <c r="AZ150" i="275" s="1"/>
  <c r="AZ183" i="262"/>
  <c r="AZ457" i="275"/>
  <c r="AZ1016" i="259"/>
  <c r="AZ1031" i="259" s="1"/>
  <c r="AZ458" i="259"/>
  <c r="AZ458" i="275" s="1"/>
  <c r="AB183" i="262"/>
  <c r="AZ234" i="259"/>
  <c r="AZ234" i="275" s="1"/>
  <c r="AZ132" i="262"/>
  <c r="AZ133" i="275"/>
  <c r="BC92" i="261"/>
  <c r="BC245" i="275"/>
  <c r="AC133" i="259"/>
  <c r="AC167" i="275"/>
  <c r="AB132" i="262"/>
  <c r="AZ15" i="262"/>
  <c r="AZ45" i="262" s="1"/>
  <c r="AZ561" i="275"/>
  <c r="BB10" i="262"/>
  <c r="BB558" i="275"/>
  <c r="AZ471" i="259"/>
  <c r="AZ471" i="275" s="1"/>
  <c r="AZ13" i="262"/>
  <c r="AZ541" i="275"/>
  <c r="BD202" i="275"/>
  <c r="BA19" i="262"/>
  <c r="BA539" i="275"/>
  <c r="AZ469" i="259"/>
  <c r="AZ469" i="275" s="1"/>
  <c r="BD1610" i="259"/>
  <c r="BD1603" i="259" s="1"/>
  <c r="BD482" i="275"/>
  <c r="BC35" i="262"/>
  <c r="BC44" i="262" s="1"/>
  <c r="BC534" i="275"/>
  <c r="BD1611" i="259"/>
  <c r="BD1604" i="259" s="1"/>
  <c r="BD481" i="275"/>
  <c r="F40" i="273"/>
  <c r="F39" i="273"/>
  <c r="E250" i="261"/>
  <c r="E152" i="262"/>
  <c r="AZ155" i="262"/>
  <c r="I19" i="273"/>
  <c r="G32" i="273"/>
  <c r="G30" i="273"/>
  <c r="BC68" i="262"/>
  <c r="BC75" i="262" s="1"/>
  <c r="AA55" i="262"/>
  <c r="AA179" i="262"/>
  <c r="AC497" i="259"/>
  <c r="AC147" i="262"/>
  <c r="Z131" i="262"/>
  <c r="BD245" i="259"/>
  <c r="AA262" i="262"/>
  <c r="AA154" i="262"/>
  <c r="BA90" i="264"/>
  <c r="BA92" i="264"/>
  <c r="BC92" i="264" s="1"/>
  <c r="AA48" i="262"/>
  <c r="AZ543" i="259"/>
  <c r="Y263" i="262"/>
  <c r="Y1686" i="259"/>
  <c r="AW90" i="264"/>
  <c r="AY90" i="264" s="1"/>
  <c r="AZ1248" i="259"/>
  <c r="H61" i="276" s="1"/>
  <c r="Z263" i="262"/>
  <c r="Z1686" i="259"/>
  <c r="Z1612" i="259"/>
  <c r="Z1605" i="259" s="1"/>
  <c r="Z16" i="262"/>
  <c r="D100" i="262"/>
  <c r="V1627" i="259"/>
  <c r="V288" i="262" s="1"/>
  <c r="V285" i="262"/>
  <c r="N1627" i="259"/>
  <c r="N288" i="262" s="1"/>
  <c r="N285" i="262"/>
  <c r="Y171" i="262"/>
  <c r="Q1627" i="259"/>
  <c r="Q288" i="262" s="1"/>
  <c r="Q285" i="262"/>
  <c r="D14" i="259"/>
  <c r="D30" i="259" s="1"/>
  <c r="AU24" i="259"/>
  <c r="L305" i="261"/>
  <c r="X24" i="259"/>
  <c r="X24" i="275" s="1"/>
  <c r="AE1366" i="259"/>
  <c r="E1457" i="259"/>
  <c r="E1458" i="259" s="1"/>
  <c r="X1491" i="259"/>
  <c r="X1490" i="259"/>
  <c r="M1435" i="259"/>
  <c r="M1439" i="259" s="1"/>
  <c r="M337" i="261" s="1"/>
  <c r="AW1432" i="259"/>
  <c r="M291" i="261"/>
  <c r="V14" i="259"/>
  <c r="V30" i="259" s="1"/>
  <c r="D305" i="261"/>
  <c r="AD324" i="259"/>
  <c r="BI141" i="264" s="1"/>
  <c r="BK141" i="264" s="1"/>
  <c r="AC1205" i="259"/>
  <c r="AC1201" i="259" s="1"/>
  <c r="AC282" i="259" s="1"/>
  <c r="AC227" i="259"/>
  <c r="AC227" i="275" s="1"/>
  <c r="M14" i="259"/>
  <c r="M27" i="259" s="1"/>
  <c r="Q1623" i="259"/>
  <c r="Q286" i="262" s="1"/>
  <c r="AZ542" i="259"/>
  <c r="X1621" i="259"/>
  <c r="X1623" i="259"/>
  <c r="X286" i="262" s="1"/>
  <c r="G1621" i="259"/>
  <c r="G285" i="262" s="1"/>
  <c r="G1623" i="259"/>
  <c r="G286" i="262" s="1"/>
  <c r="AC1006" i="259"/>
  <c r="AZ303" i="259"/>
  <c r="AZ303" i="275" s="1"/>
  <c r="AZ562" i="259"/>
  <c r="AZ195" i="261" s="1"/>
  <c r="AK81" i="264"/>
  <c r="AM81" i="264" s="1"/>
  <c r="AZ563" i="259"/>
  <c r="AZ200" i="261" s="1"/>
  <c r="AC833" i="259"/>
  <c r="AC833" i="275" s="1"/>
  <c r="BD175" i="261"/>
  <c r="AZ1259" i="259"/>
  <c r="AZ137" i="261" s="1"/>
  <c r="AZ1226" i="259"/>
  <c r="AZ1227" i="259" s="1"/>
  <c r="AZ1253" i="259"/>
  <c r="AZ131" i="261" s="1"/>
  <c r="AZ1225" i="259"/>
  <c r="AZ1262" i="259" s="1"/>
  <c r="AD325" i="259"/>
  <c r="BI140" i="264" s="1"/>
  <c r="BK140" i="264" s="1"/>
  <c r="AC435" i="259"/>
  <c r="AC435" i="275" s="1"/>
  <c r="AC1022" i="259"/>
  <c r="AC1022" i="275" s="1"/>
  <c r="AC329" i="259"/>
  <c r="V26" i="259"/>
  <c r="AW217" i="262"/>
  <c r="AW1596" i="259"/>
  <c r="V1492" i="259"/>
  <c r="K269" i="262"/>
  <c r="K308" i="261"/>
  <c r="AY217" i="262"/>
  <c r="AY1596" i="259"/>
  <c r="S26" i="259"/>
  <c r="S27" i="259"/>
  <c r="I269" i="262"/>
  <c r="I308" i="261"/>
  <c r="U269" i="262"/>
  <c r="U308" i="261"/>
  <c r="O269" i="262"/>
  <c r="O308" i="261"/>
  <c r="AZ1032" i="259"/>
  <c r="AZ1032" i="275" s="1"/>
  <c r="AC301" i="259"/>
  <c r="AB13" i="262"/>
  <c r="AZ564" i="259"/>
  <c r="AZ206" i="261" s="1"/>
  <c r="AW57" i="264"/>
  <c r="AY57" i="264" s="1"/>
  <c r="AS57" i="264"/>
  <c r="AS71" i="264" s="1"/>
  <c r="AU71" i="264" s="1"/>
  <c r="AW122" i="264"/>
  <c r="AY122" i="264" s="1"/>
  <c r="AO27" i="264"/>
  <c r="AQ27" i="264" s="1"/>
  <c r="AS63" i="264"/>
  <c r="AW92" i="264"/>
  <c r="AY92" i="264" s="1"/>
  <c r="AS20" i="264"/>
  <c r="AE888" i="259"/>
  <c r="AC38" i="262"/>
  <c r="AC168" i="261"/>
  <c r="AZ167" i="261"/>
  <c r="AC296" i="259"/>
  <c r="AZ1255" i="259"/>
  <c r="BD568" i="259"/>
  <c r="AE402" i="259"/>
  <c r="AD82" i="261"/>
  <c r="AC436" i="259"/>
  <c r="AC436" i="275" s="1"/>
  <c r="AC64" i="261"/>
  <c r="AD828" i="259"/>
  <c r="AD828" i="275" s="1"/>
  <c r="AD832" i="259"/>
  <c r="AD832" i="275" s="1"/>
  <c r="AD829" i="259"/>
  <c r="AD829" i="275" s="1"/>
  <c r="AD831" i="259"/>
  <c r="AD831" i="275" s="1"/>
  <c r="AZ59" i="261"/>
  <c r="AZ86" i="261"/>
  <c r="J128" i="264"/>
  <c r="L128" i="264" s="1"/>
  <c r="AZ68" i="261"/>
  <c r="AZ51" i="261"/>
  <c r="AZ78" i="261"/>
  <c r="AZ544" i="259"/>
  <c r="AS109" i="264"/>
  <c r="AU109" i="264" s="1"/>
  <c r="AS93" i="264"/>
  <c r="AS97" i="264" s="1"/>
  <c r="BA188" i="261"/>
  <c r="AB15" i="262"/>
  <c r="AC541" i="259"/>
  <c r="AC24" i="262"/>
  <c r="BC31" i="262"/>
  <c r="BC30" i="262"/>
  <c r="X1398" i="259"/>
  <c r="W214" i="262"/>
  <c r="BD174" i="261"/>
  <c r="BA173" i="262"/>
  <c r="BA1473" i="259"/>
  <c r="AA251" i="262"/>
  <c r="AA252" i="262"/>
  <c r="AZ246" i="262"/>
  <c r="AZ245" i="262"/>
  <c r="AE607" i="259"/>
  <c r="AF607" i="259" s="1"/>
  <c r="AD182" i="262"/>
  <c r="AE1308" i="259"/>
  <c r="BA1308" i="259" s="1"/>
  <c r="BA842" i="259"/>
  <c r="BA842" i="275" s="1"/>
  <c r="AC561" i="259"/>
  <c r="AC26" i="262"/>
  <c r="E959" i="259"/>
  <c r="E184" i="262"/>
  <c r="AZ216" i="261"/>
  <c r="AZ264" i="262"/>
  <c r="J94" i="264"/>
  <c r="L94" i="264" s="1"/>
  <c r="AZ37" i="262"/>
  <c r="AD1258" i="259"/>
  <c r="AD1218" i="259" s="1"/>
  <c r="AE1258" i="259"/>
  <c r="AK29" i="267"/>
  <c r="AQ44" i="267"/>
  <c r="AR4" i="267"/>
  <c r="AV3" i="267"/>
  <c r="AT91" i="267"/>
  <c r="AX24" i="259"/>
  <c r="AX1491" i="259"/>
  <c r="AX1492" i="259"/>
  <c r="AX1490" i="259"/>
  <c r="O1492" i="259"/>
  <c r="O1490" i="259"/>
  <c r="AU1492" i="259"/>
  <c r="AU1491" i="259"/>
  <c r="AU1490" i="259"/>
  <c r="O24" i="259"/>
  <c r="O1491" i="259"/>
  <c r="AD491" i="259"/>
  <c r="AD1231" i="259"/>
  <c r="AD474" i="259"/>
  <c r="BI95" i="264" s="1"/>
  <c r="BK95" i="264" s="1"/>
  <c r="AD1055" i="259"/>
  <c r="AZ335" i="259"/>
  <c r="AZ335" i="275" s="1"/>
  <c r="AZ333" i="259"/>
  <c r="AZ333" i="275" s="1"/>
  <c r="AC411" i="259"/>
  <c r="AC411" i="275" s="1"/>
  <c r="AZ270" i="261"/>
  <c r="AD905" i="259"/>
  <c r="AD905" i="275" s="1"/>
  <c r="AZ298" i="259"/>
  <c r="AZ298" i="275" s="1"/>
  <c r="AY1431" i="259"/>
  <c r="AY335" i="261"/>
  <c r="AZ334" i="259"/>
  <c r="AZ334" i="275" s="1"/>
  <c r="AV1431" i="259"/>
  <c r="AC336" i="259"/>
  <c r="AV1432" i="259"/>
  <c r="H1435" i="259"/>
  <c r="H1439" i="259" s="1"/>
  <c r="H337" i="261" s="1"/>
  <c r="V1435" i="259"/>
  <c r="AY1432" i="259"/>
  <c r="AY1385" i="259"/>
  <c r="AY1409" i="259" s="1"/>
  <c r="W1409" i="259"/>
  <c r="AY1408" i="259"/>
  <c r="AY1393" i="259"/>
  <c r="AY214" i="262" s="1"/>
  <c r="AZ836" i="259"/>
  <c r="AZ836" i="275" s="1"/>
  <c r="BD534" i="259"/>
  <c r="BD571" i="259"/>
  <c r="AU1435" i="259"/>
  <c r="AU1432" i="259"/>
  <c r="W102" i="262"/>
  <c r="W790" i="259"/>
  <c r="K22" i="259"/>
  <c r="K22" i="275" s="1"/>
  <c r="H11" i="264"/>
  <c r="AV21" i="259"/>
  <c r="AV793" i="259"/>
  <c r="AV793" i="275" s="1"/>
  <c r="AV288" i="261"/>
  <c r="O101" i="262"/>
  <c r="O791" i="259"/>
  <c r="W22" i="259"/>
  <c r="W22" i="275" s="1"/>
  <c r="AY288" i="261"/>
  <c r="F27" i="263"/>
  <c r="H27" i="263" s="1"/>
  <c r="H25" i="263" s="1"/>
  <c r="AY21" i="259"/>
  <c r="AY793" i="259"/>
  <c r="AY793" i="275" s="1"/>
  <c r="AW790" i="259"/>
  <c r="AW102" i="262"/>
  <c r="K102" i="262"/>
  <c r="K790" i="259"/>
  <c r="O790" i="275" s="1"/>
  <c r="AW22" i="259"/>
  <c r="AZ973" i="259"/>
  <c r="AZ973" i="275" s="1"/>
  <c r="AZ1200" i="259"/>
  <c r="AZ1202" i="259" s="1"/>
  <c r="AZ143" i="261" s="1"/>
  <c r="AX1432" i="259"/>
  <c r="AE1309" i="259"/>
  <c r="BA1309" i="259" s="1"/>
  <c r="AX1435" i="259"/>
  <c r="AX1439" i="259" s="1"/>
  <c r="AX337" i="261" s="1"/>
  <c r="AD901" i="259"/>
  <c r="AD901" i="275" s="1"/>
  <c r="AC902" i="259"/>
  <c r="AC953" i="259"/>
  <c r="AC953" i="275" s="1"/>
  <c r="AC854" i="259"/>
  <c r="AC412" i="259"/>
  <c r="AC412" i="275" s="1"/>
  <c r="AC978" i="259"/>
  <c r="AC978" i="275" s="1"/>
  <c r="AD414" i="259"/>
  <c r="AD414" i="275" s="1"/>
  <c r="AD1027" i="259"/>
  <c r="AD1027" i="275" s="1"/>
  <c r="AE403" i="259"/>
  <c r="AD374" i="259"/>
  <c r="AC413" i="259"/>
  <c r="AC413" i="275" s="1"/>
  <c r="AC851" i="259"/>
  <c r="AW1283" i="259"/>
  <c r="AW1009" i="259"/>
  <c r="AW1172" i="259"/>
  <c r="AW266" i="262" s="1"/>
  <c r="BD184" i="261"/>
  <c r="BD177" i="261"/>
  <c r="AE1470" i="259"/>
  <c r="AD344" i="261"/>
  <c r="AZ62" i="262"/>
  <c r="AZ105" i="261"/>
  <c r="J92" i="264"/>
  <c r="L92" i="264" s="1"/>
  <c r="AQ93" i="264"/>
  <c r="BD180" i="259"/>
  <c r="AZ164" i="261"/>
  <c r="BB302" i="275"/>
  <c r="AD1209" i="259"/>
  <c r="Z150" i="262"/>
  <c r="AC61" i="262"/>
  <c r="F1283" i="259"/>
  <c r="F1172" i="259"/>
  <c r="F266" i="262" s="1"/>
  <c r="F1009" i="259"/>
  <c r="AZ228" i="259"/>
  <c r="AZ228" i="275" s="1"/>
  <c r="P1172" i="259"/>
  <c r="P266" i="262" s="1"/>
  <c r="P1009" i="259"/>
  <c r="P1283" i="259"/>
  <c r="AE207" i="259"/>
  <c r="AI207" i="275" s="1"/>
  <c r="AE62" i="262"/>
  <c r="H696" i="259"/>
  <c r="H696" i="275" s="1"/>
  <c r="AU710" i="259"/>
  <c r="AV710" i="275" s="1"/>
  <c r="G696" i="259"/>
  <c r="AD62" i="262"/>
  <c r="AD207" i="259"/>
  <c r="AH207" i="275" s="1"/>
  <c r="N1172" i="259"/>
  <c r="N266" i="262" s="1"/>
  <c r="N1009" i="259"/>
  <c r="N1283" i="259"/>
  <c r="D1172" i="259"/>
  <c r="D266" i="262" s="1"/>
  <c r="D1009" i="259"/>
  <c r="D1283" i="259"/>
  <c r="G1009" i="259"/>
  <c r="G1283" i="259"/>
  <c r="AU1008" i="259"/>
  <c r="AV1008" i="275" s="1"/>
  <c r="G1172" i="259"/>
  <c r="G266" i="262" s="1"/>
  <c r="E1009" i="259"/>
  <c r="E1172" i="259"/>
  <c r="E266" i="262" s="1"/>
  <c r="E1283" i="259"/>
  <c r="H1009" i="259"/>
  <c r="H1172" i="259"/>
  <c r="H266" i="262" s="1"/>
  <c r="H1283" i="259"/>
  <c r="Q1172" i="259"/>
  <c r="Q266" i="262" s="1"/>
  <c r="Q1009" i="259"/>
  <c r="Q1283" i="259"/>
  <c r="AD852" i="259"/>
  <c r="AD852" i="275" s="1"/>
  <c r="AC226" i="259"/>
  <c r="AC226" i="275" s="1"/>
  <c r="AC225" i="259"/>
  <c r="AC225" i="275" s="1"/>
  <c r="AC972" i="259"/>
  <c r="AC972" i="275" s="1"/>
  <c r="AD338" i="259"/>
  <c r="AD338" i="275" s="1"/>
  <c r="AD217" i="259"/>
  <c r="BI126" i="264" s="1"/>
  <c r="BK126" i="264" s="1"/>
  <c r="AC219" i="259"/>
  <c r="AC172" i="259"/>
  <c r="AZ41" i="261"/>
  <c r="AZ221" i="259"/>
  <c r="AZ221" i="275" s="1"/>
  <c r="AD297" i="259"/>
  <c r="AE327" i="259"/>
  <c r="AD1021" i="259"/>
  <c r="AD1021" i="275" s="1"/>
  <c r="AC230" i="259"/>
  <c r="AC292" i="259"/>
  <c r="BD320" i="259"/>
  <c r="BD302" i="259" s="1"/>
  <c r="BC320" i="259"/>
  <c r="BC302" i="259" s="1"/>
  <c r="AZ210" i="259"/>
  <c r="AC968" i="259"/>
  <c r="AC968" i="275" s="1"/>
  <c r="AD228" i="259"/>
  <c r="AE214" i="259"/>
  <c r="AD1017" i="259"/>
  <c r="AD1017" i="275" s="1"/>
  <c r="AD171" i="259"/>
  <c r="AZ261" i="259"/>
  <c r="AZ22" i="261" s="1"/>
  <c r="AZ181" i="259"/>
  <c r="AZ181" i="275" s="1"/>
  <c r="AC381" i="259"/>
  <c r="AC369" i="259"/>
  <c r="AA131" i="259"/>
  <c r="AZ430" i="259"/>
  <c r="AZ430" i="275" s="1"/>
  <c r="AD397" i="259"/>
  <c r="AD379" i="259" s="1"/>
  <c r="AE397" i="259"/>
  <c r="AD215" i="259"/>
  <c r="AC178" i="259"/>
  <c r="AC196" i="259"/>
  <c r="BB380" i="275"/>
  <c r="AZ63" i="259"/>
  <c r="AD1247" i="259"/>
  <c r="AD1188" i="259" s="1"/>
  <c r="AE1247" i="259"/>
  <c r="AC1202" i="259"/>
  <c r="AC1232" i="259"/>
  <c r="AC1230" i="259" s="1"/>
  <c r="AC496" i="259" s="1"/>
  <c r="AZ498" i="259"/>
  <c r="AZ498" i="275" s="1"/>
  <c r="BD522" i="259"/>
  <c r="BD173" i="261"/>
  <c r="BD526" i="259"/>
  <c r="AC1237" i="259"/>
  <c r="AC1215" i="259"/>
  <c r="AC1192" i="259"/>
  <c r="AD954" i="259"/>
  <c r="AD954" i="275" s="1"/>
  <c r="BD176" i="261"/>
  <c r="BD485" i="259"/>
  <c r="AE475" i="259"/>
  <c r="AD39" i="262"/>
  <c r="AZ1378" i="259"/>
  <c r="AZ1184" i="259"/>
  <c r="AE1248" i="259"/>
  <c r="AE1683" i="259" s="1"/>
  <c r="AD1248" i="259"/>
  <c r="AD1683" i="259" s="1"/>
  <c r="AC1263" i="259"/>
  <c r="AC155" i="262" s="1"/>
  <c r="AC1196" i="259"/>
  <c r="AC473" i="259"/>
  <c r="BE94" i="264" s="1"/>
  <c r="X1172" i="259"/>
  <c r="X266" i="262" s="1"/>
  <c r="X1009" i="259"/>
  <c r="X1283" i="259"/>
  <c r="AD1249" i="259"/>
  <c r="AD1684" i="259" s="1"/>
  <c r="AE1249" i="259"/>
  <c r="AE1684" i="259" s="1"/>
  <c r="AC871" i="259"/>
  <c r="AC871" i="275" s="1"/>
  <c r="AD287" i="259"/>
  <c r="AE287" i="259"/>
  <c r="H100" i="262"/>
  <c r="H1456" i="259"/>
  <c r="H1457" i="259" s="1"/>
  <c r="H1458" i="259" s="1"/>
  <c r="H305" i="261"/>
  <c r="R1456" i="259"/>
  <c r="R1457" i="259" s="1"/>
  <c r="R1458" i="259" s="1"/>
  <c r="R305" i="261"/>
  <c r="R100" i="262"/>
  <c r="N100" i="262"/>
  <c r="N1456" i="259"/>
  <c r="N1457" i="259" s="1"/>
  <c r="N1458" i="259" s="1"/>
  <c r="N305" i="261"/>
  <c r="D811" i="259"/>
  <c r="D813" i="259" s="1"/>
  <c r="D254" i="262" s="1"/>
  <c r="AU305" i="261"/>
  <c r="AU100" i="262"/>
  <c r="AW1393" i="259"/>
  <c r="AX1398" i="259" s="1"/>
  <c r="AW1408" i="259"/>
  <c r="AD1185" i="259"/>
  <c r="AE1185" i="259"/>
  <c r="BB19" i="262"/>
  <c r="AE1259" i="259"/>
  <c r="AD1259" i="259"/>
  <c r="AB120" i="259"/>
  <c r="AX1008" i="259"/>
  <c r="AX1008" i="275" s="1"/>
  <c r="S1009" i="259"/>
  <c r="S1283" i="259"/>
  <c r="S1172" i="259"/>
  <c r="S266" i="262" s="1"/>
  <c r="AZ977" i="259"/>
  <c r="AZ977" i="275" s="1"/>
  <c r="AD514" i="259"/>
  <c r="AE514" i="259"/>
  <c r="AZ38" i="259"/>
  <c r="AZ38" i="275" s="1"/>
  <c r="AZ514" i="259"/>
  <c r="AC1222" i="259"/>
  <c r="AW1385" i="259"/>
  <c r="AW1409" i="259" s="1"/>
  <c r="O1409" i="259"/>
  <c r="AZ1338" i="259"/>
  <c r="AZ316" i="261" s="1"/>
  <c r="AZ1339" i="259"/>
  <c r="AZ238" i="262" s="1"/>
  <c r="AZ1321" i="259"/>
  <c r="AY710" i="259"/>
  <c r="X696" i="259"/>
  <c r="W696" i="259"/>
  <c r="AD542" i="259"/>
  <c r="AE542" i="259"/>
  <c r="AC617" i="259"/>
  <c r="AC617" i="275" s="1"/>
  <c r="AA1178" i="259"/>
  <c r="AA1180" i="259" s="1"/>
  <c r="AA146" i="262"/>
  <c r="AZ1214" i="259"/>
  <c r="AZ1260" i="259" s="1"/>
  <c r="AD562" i="259"/>
  <c r="AE562" i="259"/>
  <c r="AB37" i="262"/>
  <c r="BC558" i="259"/>
  <c r="AC1026" i="259"/>
  <c r="AC1026" i="275" s="1"/>
  <c r="AD405" i="259"/>
  <c r="AC375" i="259"/>
  <c r="AC457" i="259"/>
  <c r="AC407" i="259"/>
  <c r="AZ451" i="259"/>
  <c r="AZ451" i="275" s="1"/>
  <c r="AA156" i="262"/>
  <c r="X812" i="259"/>
  <c r="AC416" i="259"/>
  <c r="AC416" i="275" s="1"/>
  <c r="AC1085" i="259"/>
  <c r="AC510" i="259"/>
  <c r="S696" i="259"/>
  <c r="AX710" i="259"/>
  <c r="T696" i="259"/>
  <c r="AD622" i="259"/>
  <c r="AD622" i="275" s="1"/>
  <c r="AC624" i="259"/>
  <c r="AE345" i="261"/>
  <c r="AE1464" i="259"/>
  <c r="BA1464" i="259" s="1"/>
  <c r="W1283" i="259"/>
  <c r="W1009" i="259"/>
  <c r="AY1008" i="259"/>
  <c r="W1172" i="259"/>
  <c r="W266" i="262" s="1"/>
  <c r="O1398" i="259"/>
  <c r="P1398" i="259"/>
  <c r="BD558" i="259"/>
  <c r="AV1009" i="259"/>
  <c r="AV1283" i="259"/>
  <c r="AV1172" i="259"/>
  <c r="AV266" i="262" s="1"/>
  <c r="AB132" i="259"/>
  <c r="L1439" i="259"/>
  <c r="L337" i="261" s="1"/>
  <c r="AD365" i="259"/>
  <c r="AE365" i="259"/>
  <c r="M305" i="261"/>
  <c r="M1456" i="259"/>
  <c r="M1457" i="259" s="1"/>
  <c r="M1458" i="259" s="1"/>
  <c r="M100" i="262"/>
  <c r="T305" i="261"/>
  <c r="T1456" i="259"/>
  <c r="T1457" i="259" s="1"/>
  <c r="T1458" i="259" s="1"/>
  <c r="T100" i="262"/>
  <c r="Q1456" i="259"/>
  <c r="Q1457" i="259" s="1"/>
  <c r="Q1458" i="259" s="1"/>
  <c r="Q100" i="262"/>
  <c r="Q305" i="261"/>
  <c r="I796" i="259"/>
  <c r="I291" i="261"/>
  <c r="I14" i="259"/>
  <c r="I1456" i="259"/>
  <c r="I1457" i="259" s="1"/>
  <c r="I1458" i="259" s="1"/>
  <c r="I100" i="262"/>
  <c r="I305" i="261"/>
  <c r="V1456" i="259"/>
  <c r="V1457" i="259" s="1"/>
  <c r="V1458" i="259" s="1"/>
  <c r="V100" i="262"/>
  <c r="V305" i="261"/>
  <c r="Q796" i="259"/>
  <c r="U1456" i="259"/>
  <c r="U1457" i="259" s="1"/>
  <c r="U1458" i="259" s="1"/>
  <c r="U100" i="262"/>
  <c r="U305" i="261"/>
  <c r="AX791" i="259"/>
  <c r="AX101" i="262"/>
  <c r="AF218" i="259" l="1"/>
  <c r="AE67" i="261"/>
  <c r="BM127" i="264"/>
  <c r="BO127" i="264" s="1"/>
  <c r="AE173" i="259"/>
  <c r="AE173" i="275" s="1"/>
  <c r="BA218" i="259"/>
  <c r="AB136" i="259"/>
  <c r="AB132" i="275"/>
  <c r="AD167" i="259"/>
  <c r="AA134" i="259"/>
  <c r="AA131" i="275"/>
  <c r="AB45" i="262"/>
  <c r="BE456" i="259"/>
  <c r="BE456" i="275" s="1"/>
  <c r="X105" i="264"/>
  <c r="X112" i="264"/>
  <c r="V114" i="264"/>
  <c r="X114" i="264" s="1"/>
  <c r="AE893" i="259"/>
  <c r="AE892" i="259"/>
  <c r="AE892" i="275" s="1"/>
  <c r="AV192" i="262"/>
  <c r="AU13" i="259"/>
  <c r="AU14" i="259" s="1"/>
  <c r="T13" i="275"/>
  <c r="AW1435" i="259"/>
  <c r="AW1439" i="259" s="1"/>
  <c r="AW337" i="261" s="1"/>
  <c r="BA843" i="259"/>
  <c r="AE1367" i="259"/>
  <c r="AF1367" i="259" s="1"/>
  <c r="AZ273" i="261"/>
  <c r="AE167" i="262"/>
  <c r="AY192" i="262"/>
  <c r="AE843" i="275"/>
  <c r="T14" i="259"/>
  <c r="AZ132" i="259"/>
  <c r="AZ131" i="262" s="1"/>
  <c r="D804" i="259"/>
  <c r="D112" i="262" s="1"/>
  <c r="M269" i="262"/>
  <c r="D1342" i="259"/>
  <c r="D235" i="262" s="1"/>
  <c r="F811" i="259"/>
  <c r="F813" i="259" s="1"/>
  <c r="F254" i="262" s="1"/>
  <c r="F1484" i="259"/>
  <c r="AZ371" i="259"/>
  <c r="AZ371" i="275" s="1"/>
  <c r="D806" i="259"/>
  <c r="F1343" i="259"/>
  <c r="F236" i="262" s="1"/>
  <c r="F305" i="261"/>
  <c r="F1456" i="259"/>
  <c r="F1457" i="259" s="1"/>
  <c r="F1458" i="259" s="1"/>
  <c r="F100" i="262"/>
  <c r="P71" i="275"/>
  <c r="I24" i="275"/>
  <c r="U27" i="259"/>
  <c r="U1292" i="259" s="1"/>
  <c r="U1296" i="259" s="1"/>
  <c r="U30" i="259"/>
  <c r="S1482" i="259"/>
  <c r="S1484" i="259"/>
  <c r="S1481" i="259"/>
  <c r="S197" i="262" s="1"/>
  <c r="S1486" i="259"/>
  <c r="S806" i="259"/>
  <c r="S114" i="262" s="1"/>
  <c r="S105" i="262"/>
  <c r="S804" i="259"/>
  <c r="S112" i="262" s="1"/>
  <c r="S1480" i="259"/>
  <c r="S811" i="259"/>
  <c r="S813" i="259" s="1"/>
  <c r="S1345" i="259"/>
  <c r="S1483" i="259"/>
  <c r="S198" i="262" s="1"/>
  <c r="S1485" i="259"/>
  <c r="S199" i="262" s="1"/>
  <c r="BA1474" i="259"/>
  <c r="BA345" i="261" s="1"/>
  <c r="D1481" i="259"/>
  <c r="D197" i="262" s="1"/>
  <c r="F1482" i="259"/>
  <c r="F1486" i="259"/>
  <c r="M30" i="273"/>
  <c r="AY912" i="275"/>
  <c r="E796" i="259"/>
  <c r="E291" i="261"/>
  <c r="E14" i="259"/>
  <c r="T291" i="261"/>
  <c r="T796" i="259"/>
  <c r="T104" i="262" s="1"/>
  <c r="AY1008" i="275"/>
  <c r="D1343" i="259"/>
  <c r="X13" i="259"/>
  <c r="X13" i="275" s="1"/>
  <c r="H796" i="259"/>
  <c r="H797" i="259" s="1"/>
  <c r="D1480" i="259"/>
  <c r="D77" i="259" s="1"/>
  <c r="F806" i="259"/>
  <c r="W71" i="275"/>
  <c r="AF892" i="275"/>
  <c r="AG917" i="275"/>
  <c r="AG916" i="275"/>
  <c r="AY512" i="275"/>
  <c r="Y71" i="275"/>
  <c r="AG867" i="275"/>
  <c r="AH867" i="259"/>
  <c r="AH921" i="259" s="1"/>
  <c r="AG345" i="261"/>
  <c r="AH1474" i="259"/>
  <c r="AG844" i="275"/>
  <c r="AH844" i="259"/>
  <c r="AE344" i="261"/>
  <c r="AF1470" i="259"/>
  <c r="T71" i="275"/>
  <c r="AG173" i="262"/>
  <c r="AG862" i="275"/>
  <c r="AG1298" i="259"/>
  <c r="AG1473" i="259"/>
  <c r="AG1464" i="259" s="1"/>
  <c r="AH862" i="259"/>
  <c r="AH916" i="259" s="1"/>
  <c r="AH916" i="275" s="1"/>
  <c r="AF167" i="262"/>
  <c r="AF842" i="275"/>
  <c r="AF1308" i="259"/>
  <c r="AG842" i="259"/>
  <c r="AG892" i="259" s="1"/>
  <c r="AG892" i="275" s="1"/>
  <c r="BA1367" i="259"/>
  <c r="AF893" i="275"/>
  <c r="AH864" i="275"/>
  <c r="AI864" i="259"/>
  <c r="AI918" i="259" s="1"/>
  <c r="AI918" i="275" s="1"/>
  <c r="AG863" i="275"/>
  <c r="AH863" i="259"/>
  <c r="BA1366" i="259"/>
  <c r="AF1366" i="259"/>
  <c r="AF168" i="262"/>
  <c r="AF843" i="275"/>
  <c r="AF1309" i="259"/>
  <c r="AG843" i="259"/>
  <c r="AG893" i="259" s="1"/>
  <c r="AG893" i="275" s="1"/>
  <c r="AH918" i="259"/>
  <c r="AZ442" i="259"/>
  <c r="AZ442" i="275" s="1"/>
  <c r="AE542" i="275"/>
  <c r="AI542" i="275"/>
  <c r="AF475" i="259"/>
  <c r="BM96" i="264"/>
  <c r="BO96" i="264" s="1"/>
  <c r="AD215" i="275"/>
  <c r="BI135" i="264"/>
  <c r="BK135" i="264" s="1"/>
  <c r="AG607" i="259"/>
  <c r="AF182" i="262"/>
  <c r="AF1231" i="259"/>
  <c r="AF491" i="259"/>
  <c r="AF491" i="275" s="1"/>
  <c r="AF1055" i="259"/>
  <c r="AF474" i="259"/>
  <c r="AF607" i="275"/>
  <c r="AF510" i="259"/>
  <c r="AE910" i="275"/>
  <c r="AF910" i="259"/>
  <c r="AH904" i="259"/>
  <c r="AG904" i="275"/>
  <c r="AH903" i="259"/>
  <c r="AG903" i="275"/>
  <c r="BI144" i="264"/>
  <c r="BK144" i="264" s="1"/>
  <c r="BI150" i="264"/>
  <c r="BK150" i="264" s="1"/>
  <c r="AD542" i="275"/>
  <c r="AH542" i="275"/>
  <c r="AE694" i="275"/>
  <c r="AF694" i="259"/>
  <c r="AG900" i="259"/>
  <c r="AF900" i="275"/>
  <c r="AF952" i="259"/>
  <c r="AG623" i="275"/>
  <c r="AH623" i="259"/>
  <c r="AF888" i="259"/>
  <c r="BM8" i="263"/>
  <c r="BO8" i="263" s="1"/>
  <c r="AF67" i="261"/>
  <c r="AG218" i="259"/>
  <c r="AF1196" i="259"/>
  <c r="AF218" i="275"/>
  <c r="AF173" i="259"/>
  <c r="BI153" i="264"/>
  <c r="BK153" i="264" s="1"/>
  <c r="AE214" i="275"/>
  <c r="AF214" i="259"/>
  <c r="BM134" i="264"/>
  <c r="BO134" i="264" s="1"/>
  <c r="AE327" i="275"/>
  <c r="BM138" i="264"/>
  <c r="BO138" i="264" s="1"/>
  <c r="AF327" i="259"/>
  <c r="AC219" i="275"/>
  <c r="BE128" i="264"/>
  <c r="BG128" i="264" s="1"/>
  <c r="BM146" i="264"/>
  <c r="BO146" i="264" s="1"/>
  <c r="AF403" i="259"/>
  <c r="AE402" i="275"/>
  <c r="AF402" i="259"/>
  <c r="BM147" i="264"/>
  <c r="BO147" i="264" s="1"/>
  <c r="AE690" i="275"/>
  <c r="AF690" i="259"/>
  <c r="AF856" i="275"/>
  <c r="AG856" i="259"/>
  <c r="AG857" i="259"/>
  <c r="AF857" i="275"/>
  <c r="BI152" i="264"/>
  <c r="BK152" i="264" s="1"/>
  <c r="BD67" i="262"/>
  <c r="BD74" i="262" s="1"/>
  <c r="BA109" i="264"/>
  <c r="BC109" i="264" s="1"/>
  <c r="BC90" i="264"/>
  <c r="BA93" i="264"/>
  <c r="BG94" i="264"/>
  <c r="AD147" i="262"/>
  <c r="BI64" i="264"/>
  <c r="BK64" i="264" s="1"/>
  <c r="AB146" i="262"/>
  <c r="BA63" i="264"/>
  <c r="BA57" i="264"/>
  <c r="AC473" i="275"/>
  <c r="AC178" i="275"/>
  <c r="AD379" i="275"/>
  <c r="AC369" i="275"/>
  <c r="AD171" i="275"/>
  <c r="AC292" i="275"/>
  <c r="AD491" i="275"/>
  <c r="AC282" i="275"/>
  <c r="AC497" i="275"/>
  <c r="AC375" i="275"/>
  <c r="AD297" i="275"/>
  <c r="AC172" i="275"/>
  <c r="AD167" i="275"/>
  <c r="AD374" i="275"/>
  <c r="AD474" i="275"/>
  <c r="AG564" i="259"/>
  <c r="AG206" i="261" s="1"/>
  <c r="AG561" i="275"/>
  <c r="AG544" i="259"/>
  <c r="AG541" i="275"/>
  <c r="AF471" i="275"/>
  <c r="AF469" i="275"/>
  <c r="AF204" i="261"/>
  <c r="AF544" i="275"/>
  <c r="Q14" i="259"/>
  <c r="Q14" i="275" s="1"/>
  <c r="M30" i="259"/>
  <c r="D1484" i="259"/>
  <c r="D1483" i="259"/>
  <c r="D198" i="262" s="1"/>
  <c r="D1345" i="259"/>
  <c r="D105" i="262"/>
  <c r="D1486" i="259"/>
  <c r="D1482" i="259"/>
  <c r="AW28" i="275"/>
  <c r="F27" i="259"/>
  <c r="F1292" i="259" s="1"/>
  <c r="F1296" i="259" s="1"/>
  <c r="F26" i="259"/>
  <c r="F30" i="259"/>
  <c r="AC1225" i="259"/>
  <c r="AC1262" i="259" s="1"/>
  <c r="AC1032" i="259"/>
  <c r="AC1032" i="275" s="1"/>
  <c r="BE302" i="275"/>
  <c r="AE231" i="259"/>
  <c r="BA231" i="259" s="1"/>
  <c r="BA231" i="275" s="1"/>
  <c r="AZ1685" i="259"/>
  <c r="AZ1658" i="259"/>
  <c r="AW793" i="275"/>
  <c r="J90" i="264"/>
  <c r="J93" i="264" s="1"/>
  <c r="AZ48" i="262"/>
  <c r="J696" i="275"/>
  <c r="J1044" i="259"/>
  <c r="J1044" i="275" s="1"/>
  <c r="J239" i="261"/>
  <c r="J698" i="259"/>
  <c r="H796" i="275"/>
  <c r="H104" i="262"/>
  <c r="R1621" i="259"/>
  <c r="R283" i="262"/>
  <c r="P213" i="261"/>
  <c r="P502" i="275"/>
  <c r="U47" i="259"/>
  <c r="U47" i="275" s="1"/>
  <c r="U45" i="275"/>
  <c r="J284" i="262"/>
  <c r="J1623" i="259"/>
  <c r="J286" i="262" s="1"/>
  <c r="AV819" i="259"/>
  <c r="AV53" i="275"/>
  <c r="K213" i="261"/>
  <c r="K502" i="275"/>
  <c r="AX45" i="259"/>
  <c r="AX511" i="275"/>
  <c r="AX69" i="275"/>
  <c r="AX71" i="259"/>
  <c r="N710" i="275"/>
  <c r="O696" i="259"/>
  <c r="S696" i="275" s="1"/>
  <c r="N696" i="259"/>
  <c r="R696" i="275" s="1"/>
  <c r="R13" i="275"/>
  <c r="R291" i="261"/>
  <c r="BE42" i="262"/>
  <c r="BE484" i="275"/>
  <c r="BE176" i="261"/>
  <c r="AY134" i="275"/>
  <c r="F27" i="264"/>
  <c r="AY135" i="259"/>
  <c r="BE72" i="262"/>
  <c r="BE66" i="262"/>
  <c r="BE73" i="262" s="1"/>
  <c r="BE380" i="259"/>
  <c r="BE422" i="275"/>
  <c r="AX13" i="259"/>
  <c r="AX14" i="259" s="1"/>
  <c r="W696" i="275"/>
  <c r="H291" i="261"/>
  <c r="R796" i="259"/>
  <c r="D26" i="259"/>
  <c r="I696" i="275"/>
  <c r="I698" i="259"/>
  <c r="I1044" i="259"/>
  <c r="I1044" i="275" s="1"/>
  <c r="R284" i="262"/>
  <c r="R1623" i="259"/>
  <c r="R286" i="262" s="1"/>
  <c r="AV283" i="262"/>
  <c r="AW501" i="275"/>
  <c r="AW1620" i="259"/>
  <c r="AW1621" i="259" s="1"/>
  <c r="AW502" i="259"/>
  <c r="M796" i="259"/>
  <c r="M13" i="275"/>
  <c r="V291" i="261"/>
  <c r="V13" i="275"/>
  <c r="V796" i="259"/>
  <c r="O22" i="275"/>
  <c r="R47" i="259"/>
  <c r="R45" i="275"/>
  <c r="V45" i="275"/>
  <c r="AG81" i="264"/>
  <c r="AI81" i="264" s="1"/>
  <c r="AI50" i="264"/>
  <c r="J283" i="262"/>
  <c r="J1621" i="259"/>
  <c r="J285" i="262" s="1"/>
  <c r="H284" i="262"/>
  <c r="H1623" i="259"/>
  <c r="H286" i="262" s="1"/>
  <c r="W47" i="259"/>
  <c r="W45" i="275"/>
  <c r="BE41" i="262"/>
  <c r="BE483" i="275"/>
  <c r="BE175" i="261"/>
  <c r="AX712" i="275"/>
  <c r="O284" i="262"/>
  <c r="O1623" i="259"/>
  <c r="O286" i="262" s="1"/>
  <c r="P47" i="259"/>
  <c r="P45" i="275"/>
  <c r="O283" i="262"/>
  <c r="O1621" i="259"/>
  <c r="W283" i="262"/>
  <c r="W1621" i="259"/>
  <c r="P1621" i="259"/>
  <c r="P283" i="262"/>
  <c r="W213" i="261"/>
  <c r="W502" i="275"/>
  <c r="S47" i="259"/>
  <c r="S45" i="275"/>
  <c r="AY501" i="275"/>
  <c r="AY1620" i="259"/>
  <c r="AY1621" i="259" s="1"/>
  <c r="AY502" i="259"/>
  <c r="J1008" i="275"/>
  <c r="J1009" i="259"/>
  <c r="J1283" i="259"/>
  <c r="J1172" i="259"/>
  <c r="J266" i="262" s="1"/>
  <c r="S71" i="275"/>
  <c r="L213" i="261"/>
  <c r="L502" i="275"/>
  <c r="M284" i="262"/>
  <c r="M1623" i="259"/>
  <c r="M286" i="262" s="1"/>
  <c r="F1483" i="259"/>
  <c r="F198" i="262" s="1"/>
  <c r="F804" i="259"/>
  <c r="F105" i="262"/>
  <c r="F1485" i="259"/>
  <c r="F199" i="262" s="1"/>
  <c r="F1342" i="259"/>
  <c r="F1345" i="259"/>
  <c r="F1481" i="259"/>
  <c r="F197" i="262" s="1"/>
  <c r="BE482" i="275"/>
  <c r="BE1610" i="259"/>
  <c r="BE1603" i="259" s="1"/>
  <c r="BE34" i="262"/>
  <c r="BE174" i="261"/>
  <c r="BE534" i="259"/>
  <c r="BE35" i="262" s="1"/>
  <c r="BE44" i="262" s="1"/>
  <c r="AV1489" i="259"/>
  <c r="AV21" i="275"/>
  <c r="O13" i="259"/>
  <c r="O14" i="259" s="1"/>
  <c r="S24" i="275"/>
  <c r="AW45" i="259"/>
  <c r="AW511" i="275"/>
  <c r="O710" i="275"/>
  <c r="AW710" i="259"/>
  <c r="AW710" i="275" s="1"/>
  <c r="P696" i="259"/>
  <c r="L1621" i="259"/>
  <c r="L283" i="262"/>
  <c r="J710" i="275"/>
  <c r="K696" i="259"/>
  <c r="AV247" i="261"/>
  <c r="AV654" i="275"/>
  <c r="J14" i="275"/>
  <c r="J27" i="259"/>
  <c r="J30" i="259"/>
  <c r="J26" i="259"/>
  <c r="O213" i="261"/>
  <c r="O502" i="275"/>
  <c r="T47" i="259"/>
  <c r="T45" i="275"/>
  <c r="S213" i="261"/>
  <c r="S502" i="275"/>
  <c r="G195" i="262"/>
  <c r="G77" i="259"/>
  <c r="W284" i="262"/>
  <c r="W1623" i="259"/>
  <c r="W286" i="262" s="1"/>
  <c r="H47" i="259"/>
  <c r="H47" i="275" s="1"/>
  <c r="H45" i="275"/>
  <c r="M47" i="259"/>
  <c r="M45" i="275"/>
  <c r="Q45" i="275"/>
  <c r="Q104" i="262"/>
  <c r="I796" i="275"/>
  <c r="I104" i="262"/>
  <c r="X696" i="275"/>
  <c r="AW306" i="261"/>
  <c r="D27" i="259"/>
  <c r="D1292" i="259" s="1"/>
  <c r="D1296" i="259" s="1"/>
  <c r="N797" i="259"/>
  <c r="N796" i="275"/>
  <c r="N104" i="262"/>
  <c r="U26" i="259"/>
  <c r="U14" i="275"/>
  <c r="O45" i="275"/>
  <c r="O47" i="259"/>
  <c r="R213" i="261"/>
  <c r="R502" i="275"/>
  <c r="V502" i="275"/>
  <c r="K283" i="262"/>
  <c r="K1621" i="259"/>
  <c r="K285" i="262" s="1"/>
  <c r="AW283" i="262"/>
  <c r="AW1667" i="259"/>
  <c r="AW1659" i="259"/>
  <c r="S283" i="262"/>
  <c r="S1621" i="259"/>
  <c r="L1008" i="275"/>
  <c r="L1172" i="259"/>
  <c r="L266" i="262" s="1"/>
  <c r="L1283" i="259"/>
  <c r="L1009" i="259"/>
  <c r="AY283" i="262"/>
  <c r="AY1659" i="259"/>
  <c r="AY1667" i="259"/>
  <c r="J213" i="261"/>
  <c r="J502" i="275"/>
  <c r="N502" i="275"/>
  <c r="T1008" i="275"/>
  <c r="T1009" i="259"/>
  <c r="T1172" i="259"/>
  <c r="T266" i="262" s="1"/>
  <c r="T1283" i="259"/>
  <c r="BE245" i="259"/>
  <c r="BE245" i="275" s="1"/>
  <c r="BE243" i="275"/>
  <c r="BE64" i="262"/>
  <c r="BE179" i="259"/>
  <c r="L45" i="275"/>
  <c r="L47" i="259"/>
  <c r="Q274" i="261"/>
  <c r="Q912" i="275"/>
  <c r="Q192" i="262"/>
  <c r="H213" i="261"/>
  <c r="H502" i="275"/>
  <c r="H247" i="261"/>
  <c r="H654" i="275"/>
  <c r="L654" i="275"/>
  <c r="AY819" i="259"/>
  <c r="AY53" i="275"/>
  <c r="AX790" i="275"/>
  <c r="AY71" i="259"/>
  <c r="AY69" i="275"/>
  <c r="AY45" i="259"/>
  <c r="AY511" i="275"/>
  <c r="L71" i="275"/>
  <c r="U284" i="262"/>
  <c r="U1623" i="259"/>
  <c r="U286" i="262" s="1"/>
  <c r="J47" i="259"/>
  <c r="J45" i="275"/>
  <c r="N45" i="275"/>
  <c r="K47" i="259"/>
  <c r="K47" i="275" s="1"/>
  <c r="K45" i="275"/>
  <c r="Q71" i="275"/>
  <c r="P13" i="275"/>
  <c r="P291" i="261"/>
  <c r="P14" i="259"/>
  <c r="P796" i="259"/>
  <c r="T796" i="275" s="1"/>
  <c r="L14" i="259"/>
  <c r="L13" i="275"/>
  <c r="L291" i="261"/>
  <c r="L796" i="259"/>
  <c r="Q13" i="275"/>
  <c r="G235" i="262"/>
  <c r="G1344" i="259"/>
  <c r="G122" i="262"/>
  <c r="G114" i="262"/>
  <c r="G253" i="262"/>
  <c r="G236" i="262"/>
  <c r="G237" i="262"/>
  <c r="AV45" i="259"/>
  <c r="AV511" i="275"/>
  <c r="AX501" i="275"/>
  <c r="AX1620" i="259"/>
  <c r="AX502" i="259"/>
  <c r="R698" i="259"/>
  <c r="R1044" i="259"/>
  <c r="AV70" i="275"/>
  <c r="AW70" i="275"/>
  <c r="L710" i="275"/>
  <c r="M696" i="259"/>
  <c r="L696" i="259"/>
  <c r="N71" i="275"/>
  <c r="T283" i="262"/>
  <c r="T1621" i="259"/>
  <c r="AY1489" i="259"/>
  <c r="AY21" i="275"/>
  <c r="W306" i="261"/>
  <c r="W790" i="275"/>
  <c r="W912" i="275"/>
  <c r="W274" i="261"/>
  <c r="W192" i="262"/>
  <c r="T213" i="261"/>
  <c r="T502" i="275"/>
  <c r="BE1611" i="259"/>
  <c r="BE1604" i="259" s="1"/>
  <c r="BE29" i="262"/>
  <c r="BE481" i="275"/>
  <c r="BE173" i="261"/>
  <c r="BE522" i="259"/>
  <c r="BE522" i="275" s="1"/>
  <c r="BE571" i="259"/>
  <c r="BE485" i="259"/>
  <c r="BE526" i="259"/>
  <c r="BE526" i="275" s="1"/>
  <c r="BE177" i="261"/>
  <c r="BE568" i="259"/>
  <c r="BE184" i="261"/>
  <c r="H50" i="264"/>
  <c r="F81" i="264"/>
  <c r="H81" i="264" s="1"/>
  <c r="AG49" i="264"/>
  <c r="AG80" i="264" s="1"/>
  <c r="AI80" i="264" s="1"/>
  <c r="AI27" i="264"/>
  <c r="AG32" i="264"/>
  <c r="AG29" i="264"/>
  <c r="AI29" i="264" s="1"/>
  <c r="G112" i="262"/>
  <c r="G807" i="259"/>
  <c r="G115" i="262" s="1"/>
  <c r="G121" i="262"/>
  <c r="U283" i="262"/>
  <c r="U1621" i="259"/>
  <c r="L284" i="262"/>
  <c r="L1623" i="259"/>
  <c r="L286" i="262" s="1"/>
  <c r="Z1008" i="275"/>
  <c r="V1009" i="259"/>
  <c r="V1008" i="275"/>
  <c r="V1283" i="259"/>
  <c r="V1172" i="259"/>
  <c r="V266" i="262" s="1"/>
  <c r="X812" i="275"/>
  <c r="AY710" i="275"/>
  <c r="K306" i="261"/>
  <c r="K790" i="275"/>
  <c r="H14" i="259"/>
  <c r="H14" i="275" s="1"/>
  <c r="R14" i="259"/>
  <c r="V14" i="275" s="1"/>
  <c r="S121" i="262"/>
  <c r="S1292" i="259"/>
  <c r="S1296" i="259" s="1"/>
  <c r="M1292" i="259"/>
  <c r="M1296" i="259" s="1"/>
  <c r="M26" i="259"/>
  <c r="M14" i="275"/>
  <c r="V27" i="259"/>
  <c r="P284" i="262"/>
  <c r="P1623" i="259"/>
  <c r="P286" i="262" s="1"/>
  <c r="X274" i="261"/>
  <c r="X912" i="275"/>
  <c r="X192" i="262"/>
  <c r="AX274" i="261"/>
  <c r="AX912" i="275"/>
  <c r="AX192" i="262"/>
  <c r="AW819" i="259"/>
  <c r="AW53" i="275"/>
  <c r="AV501" i="275"/>
  <c r="AV502" i="259"/>
  <c r="AV1620" i="259"/>
  <c r="AV1621" i="259" s="1"/>
  <c r="AV285" i="262" s="1"/>
  <c r="AW654" i="275"/>
  <c r="BD71" i="262"/>
  <c r="BD68" i="262"/>
  <c r="BD75" i="262" s="1"/>
  <c r="N14" i="259"/>
  <c r="N13" i="275"/>
  <c r="N291" i="261"/>
  <c r="U796" i="259"/>
  <c r="U13" i="275"/>
  <c r="U291" i="261"/>
  <c r="AW21" i="275"/>
  <c r="S710" i="275"/>
  <c r="J912" i="275"/>
  <c r="J274" i="261"/>
  <c r="J192" i="262"/>
  <c r="T284" i="262"/>
  <c r="T1623" i="259"/>
  <c r="T286" i="262" s="1"/>
  <c r="R71" i="275"/>
  <c r="V71" i="275"/>
  <c r="AW274" i="261"/>
  <c r="AW912" i="275"/>
  <c r="AW192" i="262"/>
  <c r="J797" i="259"/>
  <c r="J796" i="275"/>
  <c r="J104" i="262"/>
  <c r="I274" i="261"/>
  <c r="I912" i="275"/>
  <c r="I192" i="262"/>
  <c r="K284" i="262"/>
  <c r="K1623" i="259"/>
  <c r="K286" i="262" s="1"/>
  <c r="M283" i="262"/>
  <c r="M1621" i="259"/>
  <c r="Z135" i="259"/>
  <c r="Z134" i="275"/>
  <c r="P710" i="275"/>
  <c r="Q696" i="259"/>
  <c r="AX280" i="262"/>
  <c r="AX1619" i="259"/>
  <c r="AX1656" i="259"/>
  <c r="AX1664" i="259"/>
  <c r="AX1633" i="259"/>
  <c r="AX292" i="262" s="1"/>
  <c r="S284" i="262"/>
  <c r="S1623" i="259"/>
  <c r="S286" i="262" s="1"/>
  <c r="AW69" i="275"/>
  <c r="AW71" i="259"/>
  <c r="AX819" i="259"/>
  <c r="AX53" i="275"/>
  <c r="U213" i="261"/>
  <c r="U502" i="275"/>
  <c r="R710" i="275"/>
  <c r="T710" i="275"/>
  <c r="U696" i="259"/>
  <c r="BE69" i="262"/>
  <c r="BE76" i="262" s="1"/>
  <c r="BE244" i="275"/>
  <c r="BE180" i="259"/>
  <c r="BE180" i="275" s="1"/>
  <c r="X1008" i="275"/>
  <c r="AX22" i="275"/>
  <c r="P274" i="261"/>
  <c r="P912" i="275"/>
  <c r="P192" i="262"/>
  <c r="T912" i="275"/>
  <c r="O71" i="275"/>
  <c r="N912" i="275"/>
  <c r="X71" i="275"/>
  <c r="AV71" i="259"/>
  <c r="AV71" i="275" s="1"/>
  <c r="AV69" i="275"/>
  <c r="M213" i="261"/>
  <c r="M502" i="275"/>
  <c r="Q502" i="275"/>
  <c r="X45" i="275"/>
  <c r="H1621" i="259"/>
  <c r="H285" i="262" s="1"/>
  <c r="H283" i="262"/>
  <c r="V696" i="259"/>
  <c r="W239" i="261" s="1"/>
  <c r="S1342" i="259"/>
  <c r="S1343" i="259"/>
  <c r="AV812" i="275"/>
  <c r="BD10" i="262"/>
  <c r="BE558" i="275"/>
  <c r="BD522" i="275"/>
  <c r="BD30" i="262"/>
  <c r="BD31" i="262"/>
  <c r="BD180" i="275"/>
  <c r="BD485" i="275"/>
  <c r="BD35" i="262"/>
  <c r="BD44" i="262" s="1"/>
  <c r="BD245" i="275"/>
  <c r="BD526" i="275"/>
  <c r="BD92" i="261"/>
  <c r="BD302" i="275"/>
  <c r="AZ353" i="259"/>
  <c r="AZ355" i="259" s="1"/>
  <c r="AZ355" i="275" s="1"/>
  <c r="BA168" i="262"/>
  <c r="BA843" i="275"/>
  <c r="BA893" i="259"/>
  <c r="BA893" i="275" s="1"/>
  <c r="AE893" i="275"/>
  <c r="BA892" i="259"/>
  <c r="BA892" i="275" s="1"/>
  <c r="AZ472" i="259"/>
  <c r="AZ472" i="275" s="1"/>
  <c r="J122" i="264"/>
  <c r="L122" i="264" s="1"/>
  <c r="AZ138" i="261"/>
  <c r="H65" i="276"/>
  <c r="BC302" i="275"/>
  <c r="AZ133" i="261"/>
  <c r="H64" i="276"/>
  <c r="AC86" i="261"/>
  <c r="AC407" i="275"/>
  <c r="AZ168" i="259"/>
  <c r="AZ168" i="275" s="1"/>
  <c r="AZ165" i="275"/>
  <c r="H48" i="276"/>
  <c r="AC354" i="259"/>
  <c r="AC381" i="275"/>
  <c r="AC878" i="259"/>
  <c r="AC878" i="275" s="1"/>
  <c r="AC854" i="275"/>
  <c r="AZ974" i="259"/>
  <c r="AZ974" i="275" s="1"/>
  <c r="AZ281" i="259"/>
  <c r="AZ281" i="275" s="1"/>
  <c r="AC298" i="259"/>
  <c r="AC296" i="275"/>
  <c r="AE185" i="262"/>
  <c r="AE888" i="275"/>
  <c r="AC836" i="259"/>
  <c r="AC836" i="275" s="1"/>
  <c r="AC1006" i="275"/>
  <c r="BA161" i="261"/>
  <c r="BA623" i="275"/>
  <c r="AB112" i="264"/>
  <c r="Z114" i="264"/>
  <c r="AB114" i="264" s="1"/>
  <c r="AC38" i="259"/>
  <c r="AC510" i="275"/>
  <c r="AE169" i="261"/>
  <c r="AE475" i="275"/>
  <c r="AC1618" i="259"/>
  <c r="AC282" i="262" s="1"/>
  <c r="AC496" i="275"/>
  <c r="AB143" i="262"/>
  <c r="AZ445" i="259"/>
  <c r="AZ445" i="275" s="1"/>
  <c r="AC174" i="259"/>
  <c r="AC196" i="275"/>
  <c r="AC234" i="259"/>
  <c r="AC234" i="275" s="1"/>
  <c r="AC230" i="275"/>
  <c r="AD66" i="261"/>
  <c r="AD217" i="275"/>
  <c r="AC78" i="261"/>
  <c r="AC329" i="275"/>
  <c r="AD296" i="259"/>
  <c r="AD325" i="275"/>
  <c r="BB539" i="275"/>
  <c r="AE618" i="259"/>
  <c r="AF618" i="259" s="1"/>
  <c r="AD618" i="275"/>
  <c r="AZ276" i="259"/>
  <c r="AZ293" i="259"/>
  <c r="AZ293" i="275" s="1"/>
  <c r="AZ291" i="275"/>
  <c r="AE691" i="259"/>
  <c r="AD691" i="275"/>
  <c r="AZ443" i="259"/>
  <c r="AZ443" i="275" s="1"/>
  <c r="AZ174" i="275"/>
  <c r="AZ196" i="259"/>
  <c r="BA856" i="259"/>
  <c r="AE856" i="275"/>
  <c r="BA857" i="259"/>
  <c r="AE857" i="275"/>
  <c r="AB114" i="259"/>
  <c r="AB44" i="259" s="1"/>
  <c r="AZ614" i="259"/>
  <c r="AZ614" i="275" s="1"/>
  <c r="G33" i="273"/>
  <c r="AZ979" i="259"/>
  <c r="AZ979" i="275" s="1"/>
  <c r="AE81" i="261"/>
  <c r="AE403" i="275"/>
  <c r="AC906" i="259"/>
  <c r="AC906" i="275" s="1"/>
  <c r="AC902" i="275"/>
  <c r="AC340" i="259"/>
  <c r="AC340" i="275" s="1"/>
  <c r="AC336" i="275"/>
  <c r="AD886" i="259"/>
  <c r="AD886" i="275" s="1"/>
  <c r="AD1055" i="275"/>
  <c r="AC303" i="259"/>
  <c r="AC301" i="275"/>
  <c r="BA952" i="259"/>
  <c r="AE952" i="275"/>
  <c r="AB105" i="264"/>
  <c r="BA269" i="261"/>
  <c r="BA904" i="275"/>
  <c r="AC162" i="261"/>
  <c r="AC624" i="275"/>
  <c r="AD84" i="261"/>
  <c r="AD405" i="275"/>
  <c r="AZ143" i="262"/>
  <c r="AZ63" i="275"/>
  <c r="AC876" i="259"/>
  <c r="AC876" i="275" s="1"/>
  <c r="AC851" i="275"/>
  <c r="AE1231" i="259"/>
  <c r="AE607" i="275"/>
  <c r="AD74" i="261"/>
  <c r="AD324" i="275"/>
  <c r="BA903" i="275"/>
  <c r="BA268" i="261"/>
  <c r="AZ275" i="259"/>
  <c r="AZ275" i="275" s="1"/>
  <c r="AZ983" i="259"/>
  <c r="AZ983" i="275" s="1"/>
  <c r="AZ444" i="259"/>
  <c r="AZ444" i="275" s="1"/>
  <c r="Z130" i="262"/>
  <c r="AD227" i="259"/>
  <c r="AD227" i="275" s="1"/>
  <c r="AD228" i="275"/>
  <c r="AZ149" i="259"/>
  <c r="AZ149" i="275" s="1"/>
  <c r="AZ1638" i="259"/>
  <c r="AZ1031" i="275"/>
  <c r="AZ1018" i="259"/>
  <c r="AZ1018" i="275" s="1"/>
  <c r="AZ1016" i="275"/>
  <c r="AZ969" i="259"/>
  <c r="AZ969" i="275" s="1"/>
  <c r="AZ156" i="259"/>
  <c r="AZ156" i="275" s="1"/>
  <c r="AZ967" i="259"/>
  <c r="AZ967" i="275" s="1"/>
  <c r="N127" i="264"/>
  <c r="P127" i="264" s="1"/>
  <c r="BA218" i="275"/>
  <c r="AC183" i="262"/>
  <c r="AC457" i="275"/>
  <c r="AC132" i="262"/>
  <c r="AC133" i="275"/>
  <c r="BD558" i="275"/>
  <c r="AD61" i="262"/>
  <c r="AD207" i="275"/>
  <c r="AZ204" i="261"/>
  <c r="AZ544" i="275"/>
  <c r="AZ193" i="261"/>
  <c r="AZ542" i="275"/>
  <c r="BC10" i="262"/>
  <c r="BC558" i="275"/>
  <c r="AC564" i="259"/>
  <c r="AC206" i="261" s="1"/>
  <c r="AC561" i="275"/>
  <c r="AC544" i="259"/>
  <c r="AC541" i="275"/>
  <c r="AE61" i="262"/>
  <c r="AE207" i="275"/>
  <c r="AZ211" i="259"/>
  <c r="AZ210" i="275"/>
  <c r="AZ198" i="261"/>
  <c r="AZ543" i="275"/>
  <c r="BD534" i="275"/>
  <c r="F36" i="273"/>
  <c r="F77" i="259"/>
  <c r="AA16" i="262"/>
  <c r="G39" i="273"/>
  <c r="G40" i="273"/>
  <c r="AZ1683" i="259"/>
  <c r="I18" i="273"/>
  <c r="AZ55" i="262"/>
  <c r="AZ179" i="262"/>
  <c r="AB55" i="262"/>
  <c r="AB179" i="262"/>
  <c r="AE324" i="259"/>
  <c r="AE301" i="259" s="1"/>
  <c r="AA131" i="262"/>
  <c r="AB262" i="262"/>
  <c r="AB154" i="262"/>
  <c r="AZ262" i="262"/>
  <c r="AZ154" i="262"/>
  <c r="AZ24" i="262"/>
  <c r="AZ126" i="261"/>
  <c r="AD301" i="259"/>
  <c r="AC68" i="261"/>
  <c r="AC41" i="261"/>
  <c r="AB1685" i="259"/>
  <c r="AU291" i="261"/>
  <c r="X1627" i="259"/>
  <c r="X288" i="262" s="1"/>
  <c r="X285" i="262"/>
  <c r="S807" i="259"/>
  <c r="AZ1264" i="259"/>
  <c r="AZ156" i="262" s="1"/>
  <c r="AW71" i="264"/>
  <c r="AY71" i="264" s="1"/>
  <c r="AC15" i="262"/>
  <c r="AE1055" i="259"/>
  <c r="AD329" i="259"/>
  <c r="AD1023" i="259" s="1"/>
  <c r="AD1023" i="275" s="1"/>
  <c r="AZ26" i="262"/>
  <c r="AD1022" i="259"/>
  <c r="AC1023" i="259"/>
  <c r="AC1023" i="275" s="1"/>
  <c r="Y1617" i="259"/>
  <c r="Y281" i="262" s="1"/>
  <c r="Y1614" i="259"/>
  <c r="AZ1605" i="259"/>
  <c r="AZ1033" i="259"/>
  <c r="AZ1033" i="275" s="1"/>
  <c r="AD435" i="259"/>
  <c r="AD435" i="275" s="1"/>
  <c r="AE491" i="259"/>
  <c r="AC51" i="261"/>
  <c r="AD73" i="261"/>
  <c r="AC543" i="259"/>
  <c r="AG543" i="275" s="1"/>
  <c r="BA888" i="259"/>
  <c r="AD1205" i="259"/>
  <c r="AD1225" i="259" s="1"/>
  <c r="AE474" i="259"/>
  <c r="BM95" i="264" s="1"/>
  <c r="BO95" i="264" s="1"/>
  <c r="AE325" i="259"/>
  <c r="BM152" i="264" s="1"/>
  <c r="BO152" i="264" s="1"/>
  <c r="AE379" i="259"/>
  <c r="AC291" i="259"/>
  <c r="AC431" i="259"/>
  <c r="I26" i="259"/>
  <c r="I27" i="259"/>
  <c r="Q27" i="259"/>
  <c r="Q27" i="275" s="1"/>
  <c r="AU26" i="259"/>
  <c r="AU27" i="259"/>
  <c r="S269" i="262"/>
  <c r="S308" i="261"/>
  <c r="N269" i="262"/>
  <c r="N308" i="261"/>
  <c r="P269" i="262"/>
  <c r="P308" i="261"/>
  <c r="AV269" i="262"/>
  <c r="AV308" i="261"/>
  <c r="H269" i="262"/>
  <c r="H308" i="261"/>
  <c r="D269" i="262"/>
  <c r="D308" i="261"/>
  <c r="AW269" i="262"/>
  <c r="AW308" i="261"/>
  <c r="Q269" i="262"/>
  <c r="Q308" i="261"/>
  <c r="E269" i="262"/>
  <c r="E308" i="261"/>
  <c r="F269" i="262"/>
  <c r="F308" i="261"/>
  <c r="T26" i="259"/>
  <c r="T27" i="259"/>
  <c r="W269" i="262"/>
  <c r="W308" i="261"/>
  <c r="X269" i="262"/>
  <c r="X308" i="261"/>
  <c r="G269" i="262"/>
  <c r="G308" i="261"/>
  <c r="AE831" i="259"/>
  <c r="AE828" i="259"/>
  <c r="AE832" i="259"/>
  <c r="AE829" i="259"/>
  <c r="BA67" i="261"/>
  <c r="AW63" i="264"/>
  <c r="J57" i="264"/>
  <c r="J71" i="264" s="1"/>
  <c r="L71" i="264" s="1"/>
  <c r="AW109" i="264"/>
  <c r="AY109" i="264" s="1"/>
  <c r="AS27" i="264"/>
  <c r="AU27" i="264" s="1"/>
  <c r="AU57" i="264"/>
  <c r="AW93" i="264"/>
  <c r="AY93" i="264" s="1"/>
  <c r="AD38" i="262"/>
  <c r="AD168" i="261"/>
  <c r="AC37" i="262"/>
  <c r="AC167" i="261"/>
  <c r="AC471" i="259"/>
  <c r="AC563" i="259"/>
  <c r="AC200" i="261" s="1"/>
  <c r="AD833" i="259"/>
  <c r="AD833" i="275" s="1"/>
  <c r="BA214" i="259"/>
  <c r="AE63" i="261"/>
  <c r="AE82" i="261"/>
  <c r="BA402" i="259"/>
  <c r="BA402" i="275" s="1"/>
  <c r="AD436" i="259"/>
  <c r="AD436" i="275" s="1"/>
  <c r="AD64" i="261"/>
  <c r="BA327" i="259"/>
  <c r="AE76" i="261"/>
  <c r="AD1006" i="259"/>
  <c r="AZ43" i="261"/>
  <c r="AZ70" i="261"/>
  <c r="AU93" i="264"/>
  <c r="AC13" i="262"/>
  <c r="AC469" i="259"/>
  <c r="BE92" i="264" s="1"/>
  <c r="BG92" i="264" s="1"/>
  <c r="AB48" i="262"/>
  <c r="BA167" i="262"/>
  <c r="AA27" i="267"/>
  <c r="AD561" i="259"/>
  <c r="AD26" i="262"/>
  <c r="AE541" i="259"/>
  <c r="AE24" i="262"/>
  <c r="AZ251" i="262"/>
  <c r="AY1398" i="259"/>
  <c r="AW1398" i="259"/>
  <c r="AW214" i="262"/>
  <c r="BA607" i="259"/>
  <c r="BA607" i="275" s="1"/>
  <c r="AE182" i="262"/>
  <c r="S77" i="259"/>
  <c r="S195" i="262"/>
  <c r="AE561" i="259"/>
  <c r="AE26" i="262"/>
  <c r="AD541" i="259"/>
  <c r="AD24" i="262"/>
  <c r="D237" i="262"/>
  <c r="D114" i="262"/>
  <c r="D253" i="262"/>
  <c r="D122" i="262"/>
  <c r="AL29" i="267"/>
  <c r="AM29" i="267" s="1"/>
  <c r="AW3" i="267"/>
  <c r="AU91" i="267"/>
  <c r="AR44" i="267"/>
  <c r="AS4" i="267"/>
  <c r="AW24" i="259"/>
  <c r="AX24" i="275" s="1"/>
  <c r="K1492" i="259"/>
  <c r="K1490" i="259"/>
  <c r="AW1492" i="259"/>
  <c r="AW1490" i="259"/>
  <c r="AW1491" i="259"/>
  <c r="W1492" i="259"/>
  <c r="W1490" i="259"/>
  <c r="K24" i="259"/>
  <c r="O24" i="275" s="1"/>
  <c r="K1491" i="259"/>
  <c r="W24" i="259"/>
  <c r="W1491" i="259"/>
  <c r="AC333" i="259"/>
  <c r="AD497" i="259"/>
  <c r="AZ336" i="259"/>
  <c r="AZ336" i="275" s="1"/>
  <c r="AD336" i="259"/>
  <c r="AE905" i="259"/>
  <c r="AC973" i="259"/>
  <c r="AC334" i="259"/>
  <c r="AC334" i="275" s="1"/>
  <c r="AC335" i="259"/>
  <c r="AC335" i="275" s="1"/>
  <c r="AV1435" i="259"/>
  <c r="AV1439" i="259" s="1"/>
  <c r="AV337" i="261" s="1"/>
  <c r="Y45" i="259"/>
  <c r="Y1607" i="259"/>
  <c r="Y1606" i="259" s="1"/>
  <c r="V1439" i="259"/>
  <c r="V337" i="261" s="1"/>
  <c r="AY1435" i="259"/>
  <c r="AY1439" i="259" s="1"/>
  <c r="AY337" i="261" s="1"/>
  <c r="K101" i="262"/>
  <c r="K791" i="259"/>
  <c r="AY102" i="262"/>
  <c r="AY790" i="259"/>
  <c r="AY22" i="259"/>
  <c r="AY22" i="275" s="1"/>
  <c r="AV102" i="262"/>
  <c r="AV790" i="259"/>
  <c r="O305" i="261"/>
  <c r="O100" i="262"/>
  <c r="O1456" i="259"/>
  <c r="O1457" i="259" s="1"/>
  <c r="O1458" i="259" s="1"/>
  <c r="AV22" i="259"/>
  <c r="AV22" i="275" s="1"/>
  <c r="W101" i="262"/>
  <c r="W791" i="259"/>
  <c r="AW791" i="259"/>
  <c r="AW101" i="262"/>
  <c r="AE901" i="259"/>
  <c r="AD953" i="259"/>
  <c r="AD953" i="275" s="1"/>
  <c r="AD902" i="259"/>
  <c r="AD854" i="259"/>
  <c r="AB156" i="262"/>
  <c r="AD413" i="259"/>
  <c r="AD413" i="275" s="1"/>
  <c r="AD412" i="259"/>
  <c r="AD412" i="275" s="1"/>
  <c r="AD978" i="259"/>
  <c r="AD978" i="275" s="1"/>
  <c r="AD411" i="259"/>
  <c r="AD411" i="275" s="1"/>
  <c r="AE414" i="259"/>
  <c r="BA403" i="259"/>
  <c r="BA403" i="275" s="1"/>
  <c r="AE1218" i="259"/>
  <c r="BA1218" i="259" s="1"/>
  <c r="AE374" i="259"/>
  <c r="AE1027" i="259"/>
  <c r="AC1200" i="259"/>
  <c r="AC281" i="259" s="1"/>
  <c r="AC1255" i="259"/>
  <c r="AC133" i="261" s="1"/>
  <c r="AU97" i="264"/>
  <c r="AS107" i="264"/>
  <c r="AU107" i="264" s="1"/>
  <c r="AQ97" i="264"/>
  <c r="AO107" i="264"/>
  <c r="AQ107" i="264" s="1"/>
  <c r="H239" i="261"/>
  <c r="H698" i="259"/>
  <c r="H698" i="275" s="1"/>
  <c r="H1044" i="259"/>
  <c r="I239" i="261"/>
  <c r="G239" i="261"/>
  <c r="AU696" i="259"/>
  <c r="G698" i="259"/>
  <c r="G1044" i="259"/>
  <c r="AU1044" i="259" s="1"/>
  <c r="AU1172" i="259"/>
  <c r="AU266" i="262" s="1"/>
  <c r="AU1009" i="259"/>
  <c r="AU1283" i="259"/>
  <c r="BA207" i="259"/>
  <c r="AE852" i="259"/>
  <c r="AZ1250" i="259"/>
  <c r="AZ128" i="261" s="1"/>
  <c r="AE1188" i="259"/>
  <c r="BA1188" i="259" s="1"/>
  <c r="AD225" i="259"/>
  <c r="AD225" i="275" s="1"/>
  <c r="BA40" i="261"/>
  <c r="BA271" i="259"/>
  <c r="AD133" i="259"/>
  <c r="AD972" i="259"/>
  <c r="AD972" i="275" s="1"/>
  <c r="AE338" i="259"/>
  <c r="AC166" i="259"/>
  <c r="AC232" i="259"/>
  <c r="AD230" i="259"/>
  <c r="AE297" i="259"/>
  <c r="AE1209" i="259"/>
  <c r="BA1209" i="259" s="1"/>
  <c r="AE1021" i="259"/>
  <c r="AC1016" i="259"/>
  <c r="AC221" i="259"/>
  <c r="AD292" i="259"/>
  <c r="AD219" i="259"/>
  <c r="AD172" i="259"/>
  <c r="AE217" i="259"/>
  <c r="AD851" i="259"/>
  <c r="AD851" i="275" s="1"/>
  <c r="AD226" i="259"/>
  <c r="AD226" i="275" s="1"/>
  <c r="AE228" i="259"/>
  <c r="AD968" i="259"/>
  <c r="AD968" i="275" s="1"/>
  <c r="AE1017" i="259"/>
  <c r="AE171" i="259"/>
  <c r="AZ447" i="259"/>
  <c r="AZ1083" i="259" s="1"/>
  <c r="AZ432" i="259"/>
  <c r="AZ432" i="275" s="1"/>
  <c r="AC181" i="259"/>
  <c r="AC210" i="259"/>
  <c r="AD178" i="259"/>
  <c r="AE215" i="259"/>
  <c r="AD196" i="259"/>
  <c r="AD369" i="259"/>
  <c r="AD381" i="259"/>
  <c r="AC63" i="259"/>
  <c r="AC498" i="259"/>
  <c r="AE1202" i="259"/>
  <c r="AD1202" i="259"/>
  <c r="AD1232" i="259"/>
  <c r="AD1230" i="259" s="1"/>
  <c r="AE1232" i="259"/>
  <c r="BC398" i="259"/>
  <c r="BC380" i="259" s="1"/>
  <c r="BC380" i="275" s="1"/>
  <c r="BD398" i="259"/>
  <c r="BD380" i="259" s="1"/>
  <c r="AD871" i="259"/>
  <c r="AC1378" i="259"/>
  <c r="AC1377" i="259" s="1"/>
  <c r="AC1361" i="259" s="1"/>
  <c r="BA910" i="259"/>
  <c r="BA910" i="275" s="1"/>
  <c r="AZ1361" i="259"/>
  <c r="AZ1377" i="259"/>
  <c r="AZ1379" i="259" s="1"/>
  <c r="AC925" i="259"/>
  <c r="AC925" i="275" s="1"/>
  <c r="AZ1183" i="259"/>
  <c r="AZ1185" i="259" s="1"/>
  <c r="AZ142" i="261" s="1"/>
  <c r="AD1237" i="259"/>
  <c r="AE1237" i="259"/>
  <c r="AE1196" i="259"/>
  <c r="AE1263" i="259"/>
  <c r="AE155" i="262" s="1"/>
  <c r="AD1192" i="259"/>
  <c r="AD1263" i="259"/>
  <c r="AD155" i="262" s="1"/>
  <c r="AD1196" i="259"/>
  <c r="AD473" i="259"/>
  <c r="BI94" i="264" s="1"/>
  <c r="AE39" i="262"/>
  <c r="BA475" i="259"/>
  <c r="BA475" i="275" s="1"/>
  <c r="BA954" i="259"/>
  <c r="BA954" i="275" s="1"/>
  <c r="AC1184" i="259"/>
  <c r="AD1215" i="259"/>
  <c r="AE1215" i="259"/>
  <c r="X291" i="261"/>
  <c r="D807" i="259"/>
  <c r="AZ1329" i="259"/>
  <c r="AC977" i="259"/>
  <c r="AC977" i="275" s="1"/>
  <c r="AD416" i="259"/>
  <c r="AD416" i="275" s="1"/>
  <c r="AC458" i="259"/>
  <c r="AC458" i="275" s="1"/>
  <c r="AC418" i="259"/>
  <c r="AC418" i="275" s="1"/>
  <c r="AC451" i="259"/>
  <c r="AC370" i="259"/>
  <c r="AC376" i="259"/>
  <c r="T1044" i="259"/>
  <c r="T698" i="259"/>
  <c r="T239" i="261"/>
  <c r="AD1026" i="259"/>
  <c r="AD1026" i="275" s="1"/>
  <c r="AE405" i="259"/>
  <c r="AD375" i="259"/>
  <c r="AD407" i="259"/>
  <c r="AD457" i="259"/>
  <c r="AC1226" i="259"/>
  <c r="AC1214" i="259"/>
  <c r="AZ1085" i="259"/>
  <c r="AZ149" i="261"/>
  <c r="AB150" i="262"/>
  <c r="AZ1265" i="259"/>
  <c r="AC1028" i="259"/>
  <c r="AC1028" i="275" s="1"/>
  <c r="AC59" i="261"/>
  <c r="AZ1213" i="259"/>
  <c r="AZ1215" i="259" s="1"/>
  <c r="AZ144" i="261" s="1"/>
  <c r="AE510" i="259"/>
  <c r="AE1085" i="259"/>
  <c r="BD539" i="259"/>
  <c r="BC539" i="259"/>
  <c r="AC1498" i="259"/>
  <c r="AC162" i="262" s="1"/>
  <c r="AA150" i="262"/>
  <c r="AZ1179" i="259"/>
  <c r="AZ146" i="262" s="1"/>
  <c r="W698" i="259"/>
  <c r="W1044" i="259"/>
  <c r="AX1009" i="259"/>
  <c r="AX1172" i="259"/>
  <c r="AX266" i="262" s="1"/>
  <c r="AX1283" i="259"/>
  <c r="AZ1324" i="259"/>
  <c r="X239" i="261"/>
  <c r="X698" i="259"/>
  <c r="X1044" i="259"/>
  <c r="AY1172" i="259"/>
  <c r="AY266" i="262" s="1"/>
  <c r="AY1283" i="259"/>
  <c r="AY1009" i="259"/>
  <c r="AE622" i="259"/>
  <c r="AD624" i="259"/>
  <c r="BA1318" i="259"/>
  <c r="S698" i="259"/>
  <c r="S1044" i="259"/>
  <c r="S239" i="261"/>
  <c r="AZ453" i="259"/>
  <c r="AZ453" i="275" s="1"/>
  <c r="AZ462" i="259"/>
  <c r="AZ1084" i="259" s="1"/>
  <c r="AZ360" i="259"/>
  <c r="AZ360" i="275" s="1"/>
  <c r="AD617" i="259"/>
  <c r="AD617" i="275" s="1"/>
  <c r="AC619" i="259"/>
  <c r="AD510" i="259"/>
  <c r="AD1085" i="259"/>
  <c r="AB119" i="259"/>
  <c r="AD1222" i="259"/>
  <c r="S115" i="262"/>
  <c r="I797" i="259"/>
  <c r="AU30" i="259"/>
  <c r="Q797" i="259"/>
  <c r="I30" i="259"/>
  <c r="AX100" i="262"/>
  <c r="AX305" i="261"/>
  <c r="T30" i="259"/>
  <c r="AE167" i="259" l="1"/>
  <c r="BA173" i="259"/>
  <c r="AZ132" i="275"/>
  <c r="AA135" i="259"/>
  <c r="AA134" i="275"/>
  <c r="AK30" i="263"/>
  <c r="AK16" i="264" s="1"/>
  <c r="AM16" i="264" s="1"/>
  <c r="X796" i="259"/>
  <c r="X14" i="259"/>
  <c r="X14" i="275" s="1"/>
  <c r="AB121" i="259"/>
  <c r="AB62" i="259"/>
  <c r="AB115" i="259"/>
  <c r="AB37" i="259"/>
  <c r="AB37" i="275" s="1"/>
  <c r="AC45" i="262"/>
  <c r="AZ982" i="259"/>
  <c r="AZ982" i="275" s="1"/>
  <c r="AF829" i="259"/>
  <c r="AF829" i="275" s="1"/>
  <c r="H27" i="259"/>
  <c r="D195" i="262"/>
  <c r="F237" i="262"/>
  <c r="Q1292" i="259"/>
  <c r="D1344" i="259"/>
  <c r="D121" i="262"/>
  <c r="D236" i="262"/>
  <c r="R27" i="259"/>
  <c r="V27" i="275" s="1"/>
  <c r="T47" i="275"/>
  <c r="J30" i="275"/>
  <c r="Q30" i="259"/>
  <c r="Q30" i="275" s="1"/>
  <c r="X698" i="275"/>
  <c r="Q26" i="259"/>
  <c r="Q26" i="275" s="1"/>
  <c r="H811" i="259"/>
  <c r="H811" i="275" s="1"/>
  <c r="H105" i="262"/>
  <c r="H1483" i="259"/>
  <c r="H198" i="262" s="1"/>
  <c r="H1480" i="259"/>
  <c r="H1482" i="259"/>
  <c r="AX291" i="261"/>
  <c r="L90" i="264"/>
  <c r="O796" i="259"/>
  <c r="AF828" i="259"/>
  <c r="AF828" i="275" s="1"/>
  <c r="E104" i="262"/>
  <c r="E797" i="259"/>
  <c r="I797" i="275" s="1"/>
  <c r="AU796" i="259"/>
  <c r="E26" i="259"/>
  <c r="I26" i="275" s="1"/>
  <c r="E30" i="259"/>
  <c r="I30" i="275" s="1"/>
  <c r="E27" i="259"/>
  <c r="E1292" i="259" s="1"/>
  <c r="E1296" i="259" s="1"/>
  <c r="AF832" i="259"/>
  <c r="AF832" i="275" s="1"/>
  <c r="S253" i="262"/>
  <c r="S122" i="262"/>
  <c r="T797" i="259"/>
  <c r="X1044" i="275"/>
  <c r="J109" i="264"/>
  <c r="L109" i="264" s="1"/>
  <c r="AF831" i="259"/>
  <c r="AF831" i="275" s="1"/>
  <c r="F253" i="262"/>
  <c r="F114" i="262"/>
  <c r="F122" i="262"/>
  <c r="I14" i="275"/>
  <c r="AH921" i="275"/>
  <c r="AH863" i="275"/>
  <c r="AI863" i="259"/>
  <c r="AI917" i="259" s="1"/>
  <c r="AI917" i="275" s="1"/>
  <c r="BB864" i="259"/>
  <c r="AI864" i="275"/>
  <c r="AG1367" i="259"/>
  <c r="AH844" i="275"/>
  <c r="AI844" i="259"/>
  <c r="AG168" i="262"/>
  <c r="AG843" i="275"/>
  <c r="AG1309" i="259"/>
  <c r="AH843" i="259"/>
  <c r="AH893" i="259" s="1"/>
  <c r="AG1366" i="259"/>
  <c r="AH917" i="259"/>
  <c r="AH894" i="259"/>
  <c r="AG1470" i="259"/>
  <c r="AF344" i="261"/>
  <c r="AH867" i="275"/>
  <c r="AI867" i="259"/>
  <c r="AI921" i="259" s="1"/>
  <c r="AH918" i="275"/>
  <c r="BB918" i="259"/>
  <c r="BB918" i="275" s="1"/>
  <c r="AG167" i="262"/>
  <c r="AG842" i="275"/>
  <c r="AG1308" i="259"/>
  <c r="AH842" i="259"/>
  <c r="AH892" i="259" s="1"/>
  <c r="AH173" i="262"/>
  <c r="AH862" i="275"/>
  <c r="AI862" i="259"/>
  <c r="AI916" i="259" s="1"/>
  <c r="AH1298" i="259"/>
  <c r="AH1473" i="259"/>
  <c r="AH1464" i="259" s="1"/>
  <c r="AH345" i="261"/>
  <c r="AI1474" i="259"/>
  <c r="AI345" i="261" s="1"/>
  <c r="AE622" i="275"/>
  <c r="AF622" i="259"/>
  <c r="AE228" i="275"/>
  <c r="AF228" i="259"/>
  <c r="AE901" i="275"/>
  <c r="AF901" i="259"/>
  <c r="BA324" i="259"/>
  <c r="BA324" i="275" s="1"/>
  <c r="BM141" i="264"/>
  <c r="BO141" i="264" s="1"/>
  <c r="AF324" i="259"/>
  <c r="AF1038" i="259"/>
  <c r="AG690" i="259"/>
  <c r="AF690" i="275"/>
  <c r="BM153" i="264"/>
  <c r="BO153" i="264" s="1"/>
  <c r="AF1021" i="259"/>
  <c r="AF1209" i="259"/>
  <c r="AF327" i="275"/>
  <c r="AF76" i="261"/>
  <c r="AG327" i="259"/>
  <c r="AF297" i="259"/>
  <c r="AF63" i="261"/>
  <c r="AF1017" i="259"/>
  <c r="AF214" i="275"/>
  <c r="AG214" i="259"/>
  <c r="AF1188" i="259"/>
  <c r="AF171" i="259"/>
  <c r="AF167" i="259"/>
  <c r="AF173" i="275"/>
  <c r="AI623" i="259"/>
  <c r="AH623" i="275"/>
  <c r="AG694" i="259"/>
  <c r="AF1042" i="259"/>
  <c r="AF694" i="275"/>
  <c r="AF886" i="259"/>
  <c r="AF886" i="275" s="1"/>
  <c r="AF1055" i="275"/>
  <c r="AG607" i="275"/>
  <c r="AG182" i="262"/>
  <c r="AG474" i="259"/>
  <c r="AG491" i="259"/>
  <c r="AG491" i="275" s="1"/>
  <c r="AG1055" i="259"/>
  <c r="AG1231" i="259"/>
  <c r="AG510" i="259"/>
  <c r="AH607" i="259"/>
  <c r="AD219" i="275"/>
  <c r="BI128" i="264"/>
  <c r="BK128" i="264" s="1"/>
  <c r="AE338" i="275"/>
  <c r="AF338" i="259"/>
  <c r="AE905" i="275"/>
  <c r="AF905" i="259"/>
  <c r="AF618" i="275"/>
  <c r="AG618" i="259"/>
  <c r="AH857" i="259"/>
  <c r="AG857" i="275"/>
  <c r="AF82" i="261"/>
  <c r="AF402" i="275"/>
  <c r="AF379" i="259"/>
  <c r="AG402" i="259"/>
  <c r="AI904" i="259"/>
  <c r="AH904" i="275"/>
  <c r="AF38" i="259"/>
  <c r="AF38" i="275" s="1"/>
  <c r="AF510" i="275"/>
  <c r="AF169" i="261"/>
  <c r="AF39" i="262"/>
  <c r="AG475" i="259"/>
  <c r="AF475" i="275"/>
  <c r="AE215" i="275"/>
  <c r="BM135" i="264"/>
  <c r="BO135" i="264" s="1"/>
  <c r="AF215" i="259"/>
  <c r="AE852" i="275"/>
  <c r="AF852" i="259"/>
  <c r="AG856" i="275"/>
  <c r="AH856" i="259"/>
  <c r="AH900" i="259"/>
  <c r="AG900" i="275"/>
  <c r="AG952" i="259"/>
  <c r="AG910" i="259"/>
  <c r="AF910" i="275"/>
  <c r="AF954" i="259"/>
  <c r="AF147" i="262"/>
  <c r="AF497" i="259"/>
  <c r="AF1230" i="259"/>
  <c r="AE405" i="275"/>
  <c r="BM144" i="264"/>
  <c r="BO144" i="264" s="1"/>
  <c r="BM150" i="264"/>
  <c r="BO150" i="264" s="1"/>
  <c r="AF405" i="259"/>
  <c r="AE217" i="275"/>
  <c r="AF217" i="259"/>
  <c r="BM126" i="264"/>
  <c r="BO126" i="264" s="1"/>
  <c r="AE414" i="275"/>
  <c r="AF414" i="259"/>
  <c r="BM140" i="264"/>
  <c r="BO140" i="264" s="1"/>
  <c r="AF325" i="259"/>
  <c r="AE691" i="275"/>
  <c r="AF691" i="259"/>
  <c r="AF692" i="259" s="1"/>
  <c r="AE231" i="275"/>
  <c r="AF231" i="259"/>
  <c r="AF81" i="261"/>
  <c r="AF1027" i="259"/>
  <c r="AG403" i="259"/>
  <c r="AF1218" i="259"/>
  <c r="AF374" i="259"/>
  <c r="AF403" i="275"/>
  <c r="AG67" i="261"/>
  <c r="AG218" i="275"/>
  <c r="AH218" i="259"/>
  <c r="AG1196" i="259"/>
  <c r="AG173" i="259"/>
  <c r="AG888" i="259"/>
  <c r="AF185" i="262"/>
  <c r="AF888" i="275"/>
  <c r="AF952" i="275"/>
  <c r="AI903" i="259"/>
  <c r="AH903" i="275"/>
  <c r="AF38" i="262"/>
  <c r="AF168" i="261"/>
  <c r="AF474" i="275"/>
  <c r="BE122" i="264"/>
  <c r="BG122" i="264" s="1"/>
  <c r="BE90" i="264"/>
  <c r="BC93" i="264"/>
  <c r="BA97" i="264"/>
  <c r="BK94" i="264"/>
  <c r="BE57" i="264"/>
  <c r="BC57" i="264"/>
  <c r="BA71" i="264"/>
  <c r="BC71" i="264" s="1"/>
  <c r="AE147" i="262"/>
  <c r="BM64" i="264"/>
  <c r="BO64" i="264" s="1"/>
  <c r="AD375" i="275"/>
  <c r="AC451" i="275"/>
  <c r="AC498" i="275"/>
  <c r="AE301" i="275"/>
  <c r="AD369" i="275"/>
  <c r="AD292" i="275"/>
  <c r="AC166" i="275"/>
  <c r="AD497" i="275"/>
  <c r="AC431" i="275"/>
  <c r="AD296" i="275"/>
  <c r="AC174" i="275"/>
  <c r="AC38" i="275"/>
  <c r="AD510" i="275"/>
  <c r="AC370" i="275"/>
  <c r="AD178" i="275"/>
  <c r="AE171" i="275"/>
  <c r="BA167" i="259"/>
  <c r="BA167" i="275" s="1"/>
  <c r="AC354" i="275"/>
  <c r="AH544" i="259"/>
  <c r="AH541" i="275"/>
  <c r="AI564" i="259"/>
  <c r="AI206" i="261" s="1"/>
  <c r="AF563" i="259"/>
  <c r="AF200" i="261" s="1"/>
  <c r="AI561" i="275"/>
  <c r="AC469" i="275"/>
  <c r="AG469" i="275"/>
  <c r="AF570" i="259"/>
  <c r="AF207" i="261" s="1"/>
  <c r="AF472" i="275"/>
  <c r="AI544" i="259"/>
  <c r="AF543" i="259"/>
  <c r="AI541" i="275"/>
  <c r="AH564" i="259"/>
  <c r="AH206" i="261" s="1"/>
  <c r="AH561" i="275"/>
  <c r="AC471" i="275"/>
  <c r="AG471" i="275"/>
  <c r="AG204" i="261"/>
  <c r="AG544" i="275"/>
  <c r="AX796" i="259"/>
  <c r="AX104" i="262" s="1"/>
  <c r="AU1292" i="259"/>
  <c r="H1486" i="259"/>
  <c r="H1485" i="259"/>
  <c r="H199" i="262" s="1"/>
  <c r="H1484" i="259"/>
  <c r="H804" i="259"/>
  <c r="AX710" i="275"/>
  <c r="J26" i="275"/>
  <c r="BE539" i="275"/>
  <c r="BD19" i="262"/>
  <c r="AZ357" i="259"/>
  <c r="AB141" i="259"/>
  <c r="AB141" i="275" s="1"/>
  <c r="BA1231" i="259"/>
  <c r="BA147" i="262" s="1"/>
  <c r="BE67" i="262"/>
  <c r="BE74" i="262" s="1"/>
  <c r="AZ353" i="275"/>
  <c r="AW22" i="275"/>
  <c r="M26" i="275"/>
  <c r="P47" i="275"/>
  <c r="U27" i="275"/>
  <c r="S47" i="275"/>
  <c r="AX71" i="275"/>
  <c r="AC165" i="259"/>
  <c r="AZ1612" i="259"/>
  <c r="X796" i="275"/>
  <c r="X104" i="262"/>
  <c r="AV306" i="261"/>
  <c r="AV790" i="275"/>
  <c r="AY24" i="259"/>
  <c r="AY24" i="275" s="1"/>
  <c r="W24" i="275"/>
  <c r="O797" i="259"/>
  <c r="O1343" i="259" s="1"/>
  <c r="O104" i="262"/>
  <c r="S796" i="275"/>
  <c r="S237" i="262"/>
  <c r="S236" i="262"/>
  <c r="U696" i="275"/>
  <c r="U698" i="259"/>
  <c r="U1044" i="259"/>
  <c r="R239" i="261"/>
  <c r="Q696" i="275"/>
  <c r="Q1044" i="259"/>
  <c r="Q698" i="259"/>
  <c r="R241" i="261" s="1"/>
  <c r="Q239" i="261"/>
  <c r="U797" i="259"/>
  <c r="U796" i="275"/>
  <c r="U104" i="262"/>
  <c r="AV213" i="261"/>
  <c r="AV502" i="275"/>
  <c r="J47" i="275"/>
  <c r="N47" i="275"/>
  <c r="AY1661" i="259"/>
  <c r="AY1627" i="259"/>
  <c r="AY288" i="262" s="1"/>
  <c r="AY1669" i="259"/>
  <c r="AY285" i="262"/>
  <c r="S285" i="262"/>
  <c r="S1627" i="259"/>
  <c r="S288" i="262" s="1"/>
  <c r="U26" i="275"/>
  <c r="W1627" i="259"/>
  <c r="W288" i="262" s="1"/>
  <c r="W285" i="262"/>
  <c r="AC430" i="259"/>
  <c r="R26" i="259"/>
  <c r="I1292" i="259"/>
  <c r="I27" i="275"/>
  <c r="J797" i="275"/>
  <c r="J1485" i="259"/>
  <c r="J199" i="262" s="1"/>
  <c r="J1484" i="259"/>
  <c r="J1481" i="259"/>
  <c r="J197" i="262" s="1"/>
  <c r="J1482" i="259"/>
  <c r="J1480" i="259"/>
  <c r="J1343" i="259"/>
  <c r="J1342" i="259"/>
  <c r="J1486" i="259"/>
  <c r="J1345" i="259"/>
  <c r="J105" i="262"/>
  <c r="J804" i="259"/>
  <c r="J1483" i="259"/>
  <c r="J198" i="262" s="1"/>
  <c r="J806" i="259"/>
  <c r="J811" i="259"/>
  <c r="AV47" i="259"/>
  <c r="AV47" i="275" s="1"/>
  <c r="AV45" i="275"/>
  <c r="BE179" i="275"/>
  <c r="L269" i="262"/>
  <c r="L308" i="261"/>
  <c r="J27" i="275"/>
  <c r="J1292" i="259"/>
  <c r="J1296" i="259" s="1"/>
  <c r="P696" i="275"/>
  <c r="P239" i="261"/>
  <c r="P698" i="259"/>
  <c r="T698" i="275" s="1"/>
  <c r="P1044" i="259"/>
  <c r="T1044" i="275" s="1"/>
  <c r="AW13" i="259"/>
  <c r="S13" i="275"/>
  <c r="O291" i="261"/>
  <c r="W47" i="275"/>
  <c r="T696" i="275"/>
  <c r="BE452" i="259"/>
  <c r="N696" i="275"/>
  <c r="N698" i="259"/>
  <c r="R698" i="275" s="1"/>
  <c r="N1044" i="259"/>
  <c r="N1044" i="275" s="1"/>
  <c r="AX696" i="259"/>
  <c r="W1044" i="275"/>
  <c r="AZ476" i="259"/>
  <c r="AZ476" i="275" s="1"/>
  <c r="AD51" i="261"/>
  <c r="AC175" i="259"/>
  <c r="Y47" i="259"/>
  <c r="Y47" i="275" s="1"/>
  <c r="Y45" i="275"/>
  <c r="K13" i="259"/>
  <c r="K13" i="275" s="1"/>
  <c r="K24" i="275"/>
  <c r="AZ567" i="259"/>
  <c r="AZ201" i="261" s="1"/>
  <c r="T1292" i="259"/>
  <c r="T1296" i="259" s="1"/>
  <c r="H26" i="259"/>
  <c r="H26" i="275" s="1"/>
  <c r="BE92" i="261"/>
  <c r="S235" i="262"/>
  <c r="S1344" i="259"/>
  <c r="AX283" i="262"/>
  <c r="AX1659" i="259"/>
  <c r="AX1667" i="259"/>
  <c r="AX1621" i="259"/>
  <c r="V1292" i="259"/>
  <c r="V1296" i="259" s="1"/>
  <c r="M27" i="275"/>
  <c r="U1627" i="259"/>
  <c r="U288" i="262" s="1"/>
  <c r="U285" i="262"/>
  <c r="T1627" i="259"/>
  <c r="T288" i="262" s="1"/>
  <c r="T285" i="262"/>
  <c r="N239" i="261"/>
  <c r="M696" i="275"/>
  <c r="M698" i="259"/>
  <c r="M1044" i="259"/>
  <c r="M1044" i="275" s="1"/>
  <c r="M239" i="261"/>
  <c r="AX284" i="262"/>
  <c r="AX1660" i="259"/>
  <c r="AX1668" i="259"/>
  <c r="AX1623" i="259"/>
  <c r="AX286" i="262" s="1"/>
  <c r="L796" i="275"/>
  <c r="L104" i="262"/>
  <c r="L797" i="259"/>
  <c r="P797" i="259"/>
  <c r="T797" i="275" s="1"/>
  <c r="P796" i="275"/>
  <c r="P104" i="262"/>
  <c r="BE68" i="262"/>
  <c r="BE75" i="262" s="1"/>
  <c r="BE71" i="262"/>
  <c r="AW1627" i="259"/>
  <c r="AW288" i="262" s="1"/>
  <c r="AW285" i="262"/>
  <c r="AW1669" i="259"/>
  <c r="AW1661" i="259"/>
  <c r="S254" i="262"/>
  <c r="AW790" i="275"/>
  <c r="M47" i="275"/>
  <c r="Q47" i="275"/>
  <c r="F121" i="262"/>
  <c r="F807" i="259"/>
  <c r="F115" i="262" s="1"/>
  <c r="F112" i="262"/>
  <c r="J269" i="262"/>
  <c r="J308" i="261"/>
  <c r="AY284" i="262"/>
  <c r="AY1660" i="259"/>
  <c r="AY1623" i="259"/>
  <c r="AY286" i="262" s="1"/>
  <c r="AY1668" i="259"/>
  <c r="O1627" i="259"/>
  <c r="O288" i="262" s="1"/>
  <c r="O285" i="262"/>
  <c r="R47" i="275"/>
  <c r="V47" i="275"/>
  <c r="AW213" i="261"/>
  <c r="AW502" i="275"/>
  <c r="I698" i="275"/>
  <c r="I1046" i="259"/>
  <c r="I684" i="259"/>
  <c r="I683" i="259"/>
  <c r="I229" i="261" s="1"/>
  <c r="I737" i="259"/>
  <c r="I1271" i="259"/>
  <c r="I676" i="259"/>
  <c r="I228" i="261" s="1"/>
  <c r="R797" i="259"/>
  <c r="R796" i="275"/>
  <c r="R104" i="262"/>
  <c r="F49" i="264"/>
  <c r="H27" i="264"/>
  <c r="F29" i="264"/>
  <c r="H29" i="264" s="1"/>
  <c r="F32" i="264"/>
  <c r="O696" i="275"/>
  <c r="O698" i="259"/>
  <c r="S698" i="275" s="1"/>
  <c r="O1044" i="259"/>
  <c r="O239" i="261"/>
  <c r="H806" i="259"/>
  <c r="H797" i="275"/>
  <c r="H1481" i="259"/>
  <c r="H197" i="262" s="1"/>
  <c r="H1342" i="259"/>
  <c r="H1343" i="259"/>
  <c r="H1345" i="259"/>
  <c r="S1044" i="275"/>
  <c r="S14" i="275"/>
  <c r="M1627" i="259"/>
  <c r="M288" i="262" s="1"/>
  <c r="M285" i="262"/>
  <c r="R14" i="275"/>
  <c r="R30" i="259"/>
  <c r="AG53" i="264"/>
  <c r="AG84" i="264" s="1"/>
  <c r="AI84" i="264" s="1"/>
  <c r="AI32" i="264"/>
  <c r="AG45" i="264"/>
  <c r="AI45" i="264" s="1"/>
  <c r="L1627" i="259"/>
  <c r="L288" i="262" s="1"/>
  <c r="L285" i="262"/>
  <c r="V797" i="259"/>
  <c r="V796" i="275"/>
  <c r="V104" i="262"/>
  <c r="M797" i="259"/>
  <c r="Q797" i="275" s="1"/>
  <c r="M796" i="275"/>
  <c r="M104" i="262"/>
  <c r="J698" i="275"/>
  <c r="J1046" i="259"/>
  <c r="J676" i="259"/>
  <c r="J228" i="261" s="1"/>
  <c r="J683" i="259"/>
  <c r="J229" i="261" s="1"/>
  <c r="J1271" i="259"/>
  <c r="J684" i="259"/>
  <c r="J737" i="259"/>
  <c r="J241" i="261"/>
  <c r="AU1296" i="259"/>
  <c r="AU1297" i="259" s="1"/>
  <c r="AU1299" i="259" s="1"/>
  <c r="AY696" i="259"/>
  <c r="AY696" i="275" s="1"/>
  <c r="H1044" i="275"/>
  <c r="H1292" i="259"/>
  <c r="H1296" i="259" s="1"/>
  <c r="H27" i="275"/>
  <c r="BE534" i="275"/>
  <c r="L696" i="275"/>
  <c r="L698" i="259"/>
  <c r="L239" i="261"/>
  <c r="L1044" i="259"/>
  <c r="AW696" i="259"/>
  <c r="AX213" i="261"/>
  <c r="AX502" i="275"/>
  <c r="L14" i="275"/>
  <c r="L30" i="259"/>
  <c r="L26" i="259"/>
  <c r="L26" i="275" s="1"/>
  <c r="L27" i="259"/>
  <c r="AY47" i="259"/>
  <c r="AY45" i="275"/>
  <c r="T308" i="261"/>
  <c r="T269" i="262"/>
  <c r="M30" i="275"/>
  <c r="K696" i="275"/>
  <c r="K698" i="259"/>
  <c r="AV698" i="259" s="1"/>
  <c r="K239" i="261"/>
  <c r="K1044" i="259"/>
  <c r="K1044" i="275" s="1"/>
  <c r="AW47" i="259"/>
  <c r="AW45" i="275"/>
  <c r="AY213" i="261"/>
  <c r="AY502" i="275"/>
  <c r="W698" i="275"/>
  <c r="U239" i="261"/>
  <c r="BE380" i="275"/>
  <c r="AV696" i="259"/>
  <c r="AV696" i="275" s="1"/>
  <c r="AY306" i="261"/>
  <c r="AY790" i="275"/>
  <c r="H30" i="259"/>
  <c r="H30" i="275" s="1"/>
  <c r="AZ570" i="259"/>
  <c r="AZ207" i="261" s="1"/>
  <c r="H813" i="259"/>
  <c r="AZ16" i="262"/>
  <c r="AC55" i="262"/>
  <c r="BE485" i="275"/>
  <c r="V698" i="259"/>
  <c r="W241" i="261" s="1"/>
  <c r="V696" i="275"/>
  <c r="V1044" i="259"/>
  <c r="V1044" i="275" s="1"/>
  <c r="V239" i="261"/>
  <c r="AW71" i="275"/>
  <c r="N14" i="275"/>
  <c r="N26" i="259"/>
  <c r="N26" i="275" s="1"/>
  <c r="N30" i="259"/>
  <c r="N30" i="275" s="1"/>
  <c r="N27" i="259"/>
  <c r="R27" i="275" s="1"/>
  <c r="AV284" i="262"/>
  <c r="AV1623" i="259"/>
  <c r="AV286" i="262" s="1"/>
  <c r="V269" i="262"/>
  <c r="V308" i="261"/>
  <c r="X47" i="275"/>
  <c r="BE30" i="262"/>
  <c r="BE31" i="262"/>
  <c r="R676" i="259"/>
  <c r="R228" i="261" s="1"/>
  <c r="R684" i="259"/>
  <c r="R737" i="259"/>
  <c r="R1271" i="259"/>
  <c r="R683" i="259"/>
  <c r="R229" i="261" s="1"/>
  <c r="R1046" i="259"/>
  <c r="G1346" i="259"/>
  <c r="G239" i="262"/>
  <c r="P14" i="275"/>
  <c r="P27" i="259"/>
  <c r="P26" i="259"/>
  <c r="T26" i="275" s="1"/>
  <c r="P30" i="259"/>
  <c r="AY71" i="275"/>
  <c r="L47" i="275"/>
  <c r="O47" i="275"/>
  <c r="N797" i="275"/>
  <c r="N1484" i="259"/>
  <c r="N1342" i="259"/>
  <c r="N806" i="259"/>
  <c r="N1485" i="259"/>
  <c r="N199" i="262" s="1"/>
  <c r="N1481" i="259"/>
  <c r="N197" i="262" s="1"/>
  <c r="N804" i="259"/>
  <c r="N1480" i="259"/>
  <c r="N1345" i="259"/>
  <c r="N105" i="262"/>
  <c r="N1483" i="259"/>
  <c r="N198" i="262" s="1"/>
  <c r="N1486" i="259"/>
  <c r="N811" i="259"/>
  <c r="N1343" i="259"/>
  <c r="N1482" i="259"/>
  <c r="Q796" i="275"/>
  <c r="F235" i="262"/>
  <c r="F1344" i="259"/>
  <c r="P1627" i="259"/>
  <c r="P288" i="262" s="1"/>
  <c r="P285" i="262"/>
  <c r="AW284" i="262"/>
  <c r="AW1660" i="259"/>
  <c r="AW1668" i="259"/>
  <c r="AW1623" i="259"/>
  <c r="AW286" i="262" s="1"/>
  <c r="AX13" i="275"/>
  <c r="AX47" i="259"/>
  <c r="AX47" i="275" s="1"/>
  <c r="AX45" i="275"/>
  <c r="R285" i="262"/>
  <c r="R1627" i="259"/>
  <c r="R288" i="262" s="1"/>
  <c r="T14" i="275"/>
  <c r="AD298" i="259"/>
  <c r="AD925" i="259"/>
  <c r="AD925" i="275" s="1"/>
  <c r="AD871" i="275"/>
  <c r="AE1230" i="259"/>
  <c r="AE496" i="259" s="1"/>
  <c r="AC179" i="262"/>
  <c r="AE497" i="259"/>
  <c r="BA497" i="259" s="1"/>
  <c r="BA497" i="275" s="1"/>
  <c r="BD380" i="275"/>
  <c r="AE38" i="259"/>
  <c r="AE510" i="275"/>
  <c r="AC353" i="259"/>
  <c r="AC376" i="275"/>
  <c r="AD234" i="259"/>
  <c r="AD234" i="275" s="1"/>
  <c r="AD230" i="275"/>
  <c r="BA374" i="259"/>
  <c r="BA374" i="275" s="1"/>
  <c r="AE374" i="275"/>
  <c r="AD906" i="259"/>
  <c r="AD906" i="275" s="1"/>
  <c r="AD902" i="275"/>
  <c r="AZ283" i="259"/>
  <c r="AZ283" i="275" s="1"/>
  <c r="BA828" i="259"/>
  <c r="BA828" i="275" s="1"/>
  <c r="AE828" i="275"/>
  <c r="AE296" i="259"/>
  <c r="AE325" i="275"/>
  <c r="AD1032" i="259"/>
  <c r="AD1032" i="275" s="1"/>
  <c r="AD1022" i="275"/>
  <c r="AE74" i="261"/>
  <c r="AE324" i="275"/>
  <c r="AC276" i="259"/>
  <c r="AC303" i="275"/>
  <c r="BA856" i="275"/>
  <c r="BA618" i="259"/>
  <c r="AE618" i="275"/>
  <c r="AB140" i="259"/>
  <c r="AB142" i="259" s="1"/>
  <c r="AB142" i="275" s="1"/>
  <c r="AC275" i="259"/>
  <c r="AC298" i="275"/>
  <c r="AC614" i="259"/>
  <c r="AC614" i="275" s="1"/>
  <c r="AC619" i="275"/>
  <c r="BC19" i="262"/>
  <c r="BC539" i="275"/>
  <c r="AD86" i="261"/>
  <c r="AD407" i="275"/>
  <c r="AD174" i="259"/>
  <c r="AD196" i="275"/>
  <c r="AD166" i="259"/>
  <c r="AD172" i="275"/>
  <c r="BA1021" i="259"/>
  <c r="BA1021" i="275" s="1"/>
  <c r="AE1021" i="275"/>
  <c r="AC283" i="259"/>
  <c r="AC281" i="275"/>
  <c r="AD878" i="259"/>
  <c r="AD878" i="275" s="1"/>
  <c r="AD854" i="275"/>
  <c r="AD836" i="259"/>
  <c r="AD836" i="275" s="1"/>
  <c r="AD1006" i="275"/>
  <c r="BA831" i="259"/>
  <c r="BA831" i="275" s="1"/>
  <c r="AE831" i="275"/>
  <c r="AE38" i="262"/>
  <c r="AE474" i="275"/>
  <c r="F35" i="273"/>
  <c r="AZ197" i="259"/>
  <c r="AZ108" i="261" s="1"/>
  <c r="AZ196" i="275"/>
  <c r="AZ277" i="259"/>
  <c r="AZ277" i="275" s="1"/>
  <c r="AZ276" i="275"/>
  <c r="BD539" i="275"/>
  <c r="AD167" i="261"/>
  <c r="AD473" i="275"/>
  <c r="AC143" i="262"/>
  <c r="AC63" i="275"/>
  <c r="AC983" i="259"/>
  <c r="AC983" i="275" s="1"/>
  <c r="AC973" i="275"/>
  <c r="AD973" i="259"/>
  <c r="AD973" i="275" s="1"/>
  <c r="AD336" i="275"/>
  <c r="AC442" i="259"/>
  <c r="AC442" i="275" s="1"/>
  <c r="AC333" i="275"/>
  <c r="BA829" i="259"/>
  <c r="BA829" i="275" s="1"/>
  <c r="AE829" i="275"/>
  <c r="AC293" i="259"/>
  <c r="AC291" i="275"/>
  <c r="AD78" i="261"/>
  <c r="AD329" i="275"/>
  <c r="AD303" i="259"/>
  <c r="AD301" i="275"/>
  <c r="AZ279" i="259"/>
  <c r="BA262" i="261"/>
  <c r="BA952" i="275"/>
  <c r="BA857" i="275"/>
  <c r="AD162" i="261"/>
  <c r="AD624" i="275"/>
  <c r="AD354" i="259"/>
  <c r="AD381" i="275"/>
  <c r="AE292" i="259"/>
  <c r="AE297" i="275"/>
  <c r="BA1027" i="259"/>
  <c r="BA1027" i="275" s="1"/>
  <c r="AE1027" i="275"/>
  <c r="BA49" i="261"/>
  <c r="BA327" i="275"/>
  <c r="BA832" i="259"/>
  <c r="BA832" i="275" s="1"/>
  <c r="AE832" i="275"/>
  <c r="AE381" i="259"/>
  <c r="AE379" i="275"/>
  <c r="E8" i="272"/>
  <c r="BA888" i="275"/>
  <c r="BA491" i="259"/>
  <c r="BA491" i="275" s="1"/>
  <c r="AE491" i="275"/>
  <c r="AE886" i="259"/>
  <c r="AE886" i="275" s="1"/>
  <c r="AE1055" i="275"/>
  <c r="AA130" i="262"/>
  <c r="N134" i="264"/>
  <c r="P134" i="264" s="1"/>
  <c r="BA214" i="275"/>
  <c r="BA1017" i="259"/>
  <c r="BA1017" i="275" s="1"/>
  <c r="AE1017" i="275"/>
  <c r="AZ151" i="259"/>
  <c r="AZ151" i="275" s="1"/>
  <c r="AZ1414" i="259"/>
  <c r="AZ139" i="259"/>
  <c r="AZ139" i="275" s="1"/>
  <c r="AZ114" i="259"/>
  <c r="AZ120" i="259"/>
  <c r="AZ120" i="275" s="1"/>
  <c r="AZ113" i="259"/>
  <c r="AZ113" i="275" s="1"/>
  <c r="AZ984" i="259"/>
  <c r="AZ984" i="275" s="1"/>
  <c r="Z126" i="262"/>
  <c r="AC1031" i="259"/>
  <c r="AC1016" i="275"/>
  <c r="AC967" i="259"/>
  <c r="AC982" i="259" s="1"/>
  <c r="AC232" i="275"/>
  <c r="AD183" i="262"/>
  <c r="AD457" i="275"/>
  <c r="AC70" i="261"/>
  <c r="AC221" i="275"/>
  <c r="AC150" i="259"/>
  <c r="AC181" i="275"/>
  <c r="AD132" i="262"/>
  <c r="AD133" i="275"/>
  <c r="AE133" i="259"/>
  <c r="AE167" i="275"/>
  <c r="BA258" i="259"/>
  <c r="BA10" i="261" s="1"/>
  <c r="BA173" i="275"/>
  <c r="BA207" i="275"/>
  <c r="AD544" i="259"/>
  <c r="AD541" i="275"/>
  <c r="AE564" i="259"/>
  <c r="AE206" i="261" s="1"/>
  <c r="AE561" i="275"/>
  <c r="AC211" i="259"/>
  <c r="AC210" i="275"/>
  <c r="AE13" i="262"/>
  <c r="AE541" i="275"/>
  <c r="BB8" i="262"/>
  <c r="BB538" i="275"/>
  <c r="AD15" i="262"/>
  <c r="AD561" i="275"/>
  <c r="AC198" i="261"/>
  <c r="AC543" i="275"/>
  <c r="AB16" i="262"/>
  <c r="AC204" i="261"/>
  <c r="AC544" i="275"/>
  <c r="AC262" i="262"/>
  <c r="AC154" i="262"/>
  <c r="AB131" i="262"/>
  <c r="AD291" i="259"/>
  <c r="BA301" i="259"/>
  <c r="BA319" i="259" s="1"/>
  <c r="AD431" i="259"/>
  <c r="AA263" i="262"/>
  <c r="AZ263" i="262"/>
  <c r="AZ1686" i="259"/>
  <c r="AD68" i="261"/>
  <c r="AD41" i="261"/>
  <c r="AB263" i="262"/>
  <c r="AB1686" i="259"/>
  <c r="AC1685" i="259"/>
  <c r="BA185" i="262"/>
  <c r="Y1632" i="259"/>
  <c r="Y291" i="262" s="1"/>
  <c r="N8" i="263"/>
  <c r="P8" i="263" s="1"/>
  <c r="AE1205" i="259"/>
  <c r="BA1205" i="259" s="1"/>
  <c r="BA1225" i="259" s="1"/>
  <c r="BA379" i="259"/>
  <c r="BA258" i="261"/>
  <c r="AV24" i="259"/>
  <c r="AV24" i="275" s="1"/>
  <c r="AD1201" i="259"/>
  <c r="AD1255" i="259" s="1"/>
  <c r="AD133" i="261" s="1"/>
  <c r="AC48" i="262"/>
  <c r="AE73" i="261"/>
  <c r="BA474" i="259"/>
  <c r="AW97" i="264"/>
  <c r="AY97" i="264" s="1"/>
  <c r="AO36" i="264"/>
  <c r="AQ36" i="264" s="1"/>
  <c r="AE168" i="261"/>
  <c r="AO43" i="264"/>
  <c r="AQ43" i="264" s="1"/>
  <c r="Y1613" i="259"/>
  <c r="Y1616" i="259"/>
  <c r="AW796" i="259"/>
  <c r="AD1262" i="259"/>
  <c r="AE435" i="259"/>
  <c r="AE1022" i="259"/>
  <c r="BA325" i="259"/>
  <c r="AE329" i="259"/>
  <c r="AE833" i="259"/>
  <c r="AE833" i="275" s="1"/>
  <c r="AD563" i="259"/>
  <c r="AD200" i="261" s="1"/>
  <c r="AX26" i="259"/>
  <c r="AX27" i="259"/>
  <c r="X26" i="259"/>
  <c r="X26" i="275" s="1"/>
  <c r="X27" i="259"/>
  <c r="X27" i="275" s="1"/>
  <c r="AU269" i="262"/>
  <c r="AU308" i="261"/>
  <c r="O26" i="259"/>
  <c r="O27" i="259"/>
  <c r="O1292" i="259" s="1"/>
  <c r="O1296" i="259" s="1"/>
  <c r="AX269" i="262"/>
  <c r="AX308" i="261"/>
  <c r="AY269" i="262"/>
  <c r="AY308" i="261"/>
  <c r="AC1079" i="259"/>
  <c r="BA1254" i="259"/>
  <c r="BA132" i="261" s="1"/>
  <c r="AE1006" i="259"/>
  <c r="AF1006" i="259" s="1"/>
  <c r="AC472" i="259"/>
  <c r="AA250" i="262"/>
  <c r="AD471" i="259"/>
  <c r="BA63" i="261"/>
  <c r="BA169" i="261"/>
  <c r="L57" i="264"/>
  <c r="N138" i="264"/>
  <c r="P138" i="264" s="1"/>
  <c r="AO42" i="264"/>
  <c r="AQ42" i="264" s="1"/>
  <c r="AO35" i="264"/>
  <c r="AO49" i="264" s="1"/>
  <c r="AO56" i="264"/>
  <c r="AO70" i="264" s="1"/>
  <c r="AS56" i="264"/>
  <c r="AU56" i="264" s="1"/>
  <c r="AW27" i="264"/>
  <c r="AY27" i="264" s="1"/>
  <c r="AO28" i="264"/>
  <c r="AQ28" i="264" s="1"/>
  <c r="BA171" i="259"/>
  <c r="BA561" i="259"/>
  <c r="AE471" i="259"/>
  <c r="BA55" i="261"/>
  <c r="N147" i="264"/>
  <c r="P147" i="264" s="1"/>
  <c r="BA82" i="261"/>
  <c r="AE1192" i="259"/>
  <c r="AE66" i="261"/>
  <c r="AE436" i="259"/>
  <c r="AE64" i="261"/>
  <c r="BA405" i="259"/>
  <c r="AE84" i="261"/>
  <c r="BA76" i="261"/>
  <c r="BA541" i="259"/>
  <c r="AD469" i="259"/>
  <c r="BI92" i="264" s="1"/>
  <c r="BK92" i="264" s="1"/>
  <c r="AE543" i="259"/>
  <c r="AI543" i="275" s="1"/>
  <c r="AD543" i="259"/>
  <c r="AH543" i="275" s="1"/>
  <c r="AE15" i="262"/>
  <c r="BA81" i="261"/>
  <c r="AZ131" i="259"/>
  <c r="BA215" i="259"/>
  <c r="BA217" i="259"/>
  <c r="BA217" i="275" s="1"/>
  <c r="AD564" i="259"/>
  <c r="AD206" i="261" s="1"/>
  <c r="AD13" i="262"/>
  <c r="AE469" i="259"/>
  <c r="BM92" i="264" s="1"/>
  <c r="BO92" i="264" s="1"/>
  <c r="AE563" i="259"/>
  <c r="AE200" i="261" s="1"/>
  <c r="AE544" i="259"/>
  <c r="Q804" i="259"/>
  <c r="Q1482" i="259"/>
  <c r="Q1483" i="259"/>
  <c r="Q198" i="262" s="1"/>
  <c r="Q1486" i="259"/>
  <c r="Q1484" i="259"/>
  <c r="Q1480" i="259"/>
  <c r="Q1485" i="259"/>
  <c r="Q199" i="262" s="1"/>
  <c r="I804" i="259"/>
  <c r="I1483" i="259"/>
  <c r="I198" i="262" s="1"/>
  <c r="I1484" i="259"/>
  <c r="I1485" i="259"/>
  <c r="I199" i="262" s="1"/>
  <c r="I1482" i="259"/>
  <c r="I1486" i="259"/>
  <c r="I1480" i="259"/>
  <c r="AZ1293" i="259"/>
  <c r="AA242" i="262"/>
  <c r="N96" i="264"/>
  <c r="P96" i="264" s="1"/>
  <c r="BA39" i="262"/>
  <c r="BA182" i="262"/>
  <c r="BA1055" i="259"/>
  <c r="BA1055" i="275" s="1"/>
  <c r="BA151" i="261"/>
  <c r="T804" i="259"/>
  <c r="T1482" i="259"/>
  <c r="T1483" i="259"/>
  <c r="T198" i="262" s="1"/>
  <c r="T1486" i="259"/>
  <c r="T1484" i="259"/>
  <c r="T1480" i="259"/>
  <c r="T1485" i="259"/>
  <c r="T199" i="262" s="1"/>
  <c r="AB246" i="262"/>
  <c r="AB245" i="262"/>
  <c r="D1346" i="259"/>
  <c r="D239" i="262"/>
  <c r="O1483" i="259"/>
  <c r="O198" i="262" s="1"/>
  <c r="H77" i="259"/>
  <c r="H77" i="275" s="1"/>
  <c r="H195" i="262"/>
  <c r="J97" i="264"/>
  <c r="L93" i="264"/>
  <c r="AN29" i="267"/>
  <c r="AO29" i="267" s="1"/>
  <c r="AP29" i="267" s="1"/>
  <c r="AQ29" i="267" s="1"/>
  <c r="AR29" i="267" s="1"/>
  <c r="AS29" i="267" s="1"/>
  <c r="AT29" i="267" s="1"/>
  <c r="AU29" i="267" s="1"/>
  <c r="AV29" i="267" s="1"/>
  <c r="AS44" i="267"/>
  <c r="AT4" i="267"/>
  <c r="AX3" i="267"/>
  <c r="AV91" i="267"/>
  <c r="W13" i="259"/>
  <c r="AV1490" i="259"/>
  <c r="AV1491" i="259"/>
  <c r="AV1492" i="259"/>
  <c r="O30" i="259"/>
  <c r="AY1490" i="259"/>
  <c r="AY1491" i="259"/>
  <c r="AY43" i="277" s="1"/>
  <c r="AY1492" i="259"/>
  <c r="AY42" i="277" s="1"/>
  <c r="AE336" i="259"/>
  <c r="AD340" i="259"/>
  <c r="AD340" i="275" s="1"/>
  <c r="AD333" i="259"/>
  <c r="AD334" i="259"/>
  <c r="AD334" i="275" s="1"/>
  <c r="AD335" i="259"/>
  <c r="AD335" i="275" s="1"/>
  <c r="AC444" i="259"/>
  <c r="AC444" i="275" s="1"/>
  <c r="AC974" i="259"/>
  <c r="AC974" i="275" s="1"/>
  <c r="AC443" i="259"/>
  <c r="AC443" i="275" s="1"/>
  <c r="AG25" i="263"/>
  <c r="W305" i="261"/>
  <c r="W100" i="262"/>
  <c r="W1456" i="259"/>
  <c r="W1457" i="259" s="1"/>
  <c r="W1458" i="259" s="1"/>
  <c r="K14" i="259"/>
  <c r="K14" i="275" s="1"/>
  <c r="AV791" i="259"/>
  <c r="AV101" i="262"/>
  <c r="K1456" i="259"/>
  <c r="K1457" i="259" s="1"/>
  <c r="K1458" i="259" s="1"/>
  <c r="K305" i="261"/>
  <c r="K100" i="262"/>
  <c r="AW100" i="262"/>
  <c r="AW305" i="261"/>
  <c r="AY101" i="262"/>
  <c r="AY791" i="259"/>
  <c r="AE411" i="259"/>
  <c r="T684" i="259"/>
  <c r="T683" i="259"/>
  <c r="T229" i="261" s="1"/>
  <c r="T676" i="259"/>
  <c r="T228" i="261" s="1"/>
  <c r="H684" i="259"/>
  <c r="H683" i="259"/>
  <c r="H229" i="261" s="1"/>
  <c r="H676" i="259"/>
  <c r="H228" i="261" s="1"/>
  <c r="AE854" i="259"/>
  <c r="G683" i="259"/>
  <c r="G229" i="261" s="1"/>
  <c r="G676" i="259"/>
  <c r="G228" i="261" s="1"/>
  <c r="G684" i="259"/>
  <c r="AE953" i="259"/>
  <c r="AE953" i="275" s="1"/>
  <c r="AE902" i="259"/>
  <c r="X684" i="259"/>
  <c r="X683" i="259"/>
  <c r="X229" i="261" s="1"/>
  <c r="X676" i="259"/>
  <c r="X228" i="261" s="1"/>
  <c r="W683" i="259"/>
  <c r="W229" i="261" s="1"/>
  <c r="W676" i="259"/>
  <c r="W228" i="261" s="1"/>
  <c r="W684" i="259"/>
  <c r="BA1258" i="259"/>
  <c r="BA136" i="261" s="1"/>
  <c r="BA901" i="259"/>
  <c r="S683" i="259"/>
  <c r="S229" i="261" s="1"/>
  <c r="S676" i="259"/>
  <c r="S228" i="261" s="1"/>
  <c r="S684" i="259"/>
  <c r="AE369" i="259"/>
  <c r="N146" i="264"/>
  <c r="P146" i="264" s="1"/>
  <c r="BA54" i="261"/>
  <c r="AE413" i="259"/>
  <c r="AE978" i="259"/>
  <c r="AE412" i="259"/>
  <c r="AF412" i="259" s="1"/>
  <c r="J63" i="264"/>
  <c r="L63" i="264" s="1"/>
  <c r="BC1254" i="259"/>
  <c r="G737" i="259"/>
  <c r="G241" i="261"/>
  <c r="G1046" i="259"/>
  <c r="AU698" i="259"/>
  <c r="G1271" i="259"/>
  <c r="I241" i="261"/>
  <c r="H737" i="259"/>
  <c r="H1271" i="259"/>
  <c r="H241" i="261"/>
  <c r="H1046" i="259"/>
  <c r="BA61" i="262"/>
  <c r="BA208" i="259"/>
  <c r="AE225" i="259"/>
  <c r="BA852" i="259"/>
  <c r="BA852" i="275" s="1"/>
  <c r="AD876" i="259"/>
  <c r="AD876" i="275" s="1"/>
  <c r="AE851" i="259"/>
  <c r="AE219" i="259"/>
  <c r="AE172" i="259"/>
  <c r="AC1018" i="259"/>
  <c r="AC1018" i="275" s="1"/>
  <c r="AC43" i="261"/>
  <c r="AD1016" i="259"/>
  <c r="AD221" i="259"/>
  <c r="BA297" i="259"/>
  <c r="AD232" i="259"/>
  <c r="AE230" i="259"/>
  <c r="BA338" i="259"/>
  <c r="BA338" i="275" s="1"/>
  <c r="AE972" i="259"/>
  <c r="BA1196" i="259"/>
  <c r="BA1249" i="259" s="1"/>
  <c r="BA1684" i="259" s="1"/>
  <c r="AE227" i="259"/>
  <c r="BA1247" i="259"/>
  <c r="AE226" i="259"/>
  <c r="AE968" i="259"/>
  <c r="AE968" i="275" s="1"/>
  <c r="BA36" i="261"/>
  <c r="AD181" i="259"/>
  <c r="AD210" i="259"/>
  <c r="AE178" i="259"/>
  <c r="AE196" i="259"/>
  <c r="AE303" i="259"/>
  <c r="BD452" i="259"/>
  <c r="BC452" i="259"/>
  <c r="BC452" i="275" s="1"/>
  <c r="AD496" i="259"/>
  <c r="BA264" i="261"/>
  <c r="BA154" i="261"/>
  <c r="AE473" i="259"/>
  <c r="BM94" i="264" s="1"/>
  <c r="AY1044" i="259"/>
  <c r="AC156" i="259"/>
  <c r="AC1250" i="259"/>
  <c r="AC128" i="261" s="1"/>
  <c r="AC1183" i="259"/>
  <c r="AC155" i="259" s="1"/>
  <c r="AD1184" i="259"/>
  <c r="AZ155" i="259"/>
  <c r="AZ155" i="275" s="1"/>
  <c r="AC161" i="259"/>
  <c r="AE871" i="259"/>
  <c r="AD1378" i="259"/>
  <c r="AD1377" i="259" s="1"/>
  <c r="AD1361" i="259" s="1"/>
  <c r="AK31" i="263"/>
  <c r="X30" i="259"/>
  <c r="X30" i="275" s="1"/>
  <c r="AM30" i="263"/>
  <c r="X797" i="259"/>
  <c r="X797" i="275" s="1"/>
  <c r="D115" i="262"/>
  <c r="BD538" i="259"/>
  <c r="T737" i="259"/>
  <c r="T241" i="261"/>
  <c r="T1271" i="259"/>
  <c r="T1046" i="259"/>
  <c r="AC979" i="259"/>
  <c r="AC979" i="275" s="1"/>
  <c r="BD389" i="259"/>
  <c r="BC389" i="259"/>
  <c r="AD38" i="259"/>
  <c r="BA510" i="259"/>
  <c r="BA510" i="275" s="1"/>
  <c r="AZ141" i="259"/>
  <c r="AD59" i="261"/>
  <c r="AD1028" i="259"/>
  <c r="AD1028" i="275" s="1"/>
  <c r="S241" i="261"/>
  <c r="S1271" i="259"/>
  <c r="S737" i="259"/>
  <c r="S1046" i="259"/>
  <c r="AB238" i="262"/>
  <c r="AE624" i="259"/>
  <c r="BA622" i="259"/>
  <c r="BA622" i="275" s="1"/>
  <c r="X737" i="259"/>
  <c r="X241" i="261"/>
  <c r="X1046" i="259"/>
  <c r="X1271" i="259"/>
  <c r="AW33" i="263"/>
  <c r="AA123" i="262"/>
  <c r="AZ1326" i="259"/>
  <c r="AZ1178" i="259"/>
  <c r="AC1264" i="259"/>
  <c r="AC156" i="262" s="1"/>
  <c r="AC1227" i="259"/>
  <c r="AD451" i="259"/>
  <c r="AD370" i="259"/>
  <c r="AD376" i="259"/>
  <c r="AD37" i="262"/>
  <c r="W1046" i="259"/>
  <c r="W737" i="259"/>
  <c r="W1271" i="259"/>
  <c r="AZ1266" i="259"/>
  <c r="AZ150" i="262" s="1"/>
  <c r="AC453" i="259"/>
  <c r="AC462" i="259"/>
  <c r="AC1084" i="259" s="1"/>
  <c r="AE617" i="259"/>
  <c r="AD619" i="259"/>
  <c r="AC1260" i="259"/>
  <c r="AC138" i="261" s="1"/>
  <c r="AC1213" i="259"/>
  <c r="AC360" i="259"/>
  <c r="AC1179" i="259"/>
  <c r="AD1226" i="259"/>
  <c r="AD1214" i="259"/>
  <c r="AD1498" i="259"/>
  <c r="AD162" i="262" s="1"/>
  <c r="AE1498" i="259"/>
  <c r="AE162" i="262" s="1"/>
  <c r="BC538" i="259"/>
  <c r="AZ359" i="259"/>
  <c r="AZ359" i="275" s="1"/>
  <c r="AE1026" i="259"/>
  <c r="AE1026" i="275" s="1"/>
  <c r="AE407" i="259"/>
  <c r="AE457" i="259"/>
  <c r="AE457" i="275" s="1"/>
  <c r="AE375" i="259"/>
  <c r="AE1222" i="259"/>
  <c r="AC132" i="259"/>
  <c r="AC371" i="259"/>
  <c r="AE416" i="259"/>
  <c r="AD977" i="259"/>
  <c r="AD977" i="275" s="1"/>
  <c r="AD458" i="259"/>
  <c r="AD458" i="275" s="1"/>
  <c r="AD418" i="259"/>
  <c r="AD418" i="275" s="1"/>
  <c r="T1343" i="259"/>
  <c r="T806" i="259"/>
  <c r="T1481" i="259"/>
  <c r="T197" i="262" s="1"/>
  <c r="T811" i="259"/>
  <c r="T105" i="262"/>
  <c r="T1345" i="259"/>
  <c r="T1342" i="259"/>
  <c r="T235" i="262" s="1"/>
  <c r="I1296" i="259"/>
  <c r="I806" i="259"/>
  <c r="I1342" i="259"/>
  <c r="I235" i="262" s="1"/>
  <c r="I105" i="262"/>
  <c r="I811" i="259"/>
  <c r="I1481" i="259"/>
  <c r="I197" i="262" s="1"/>
  <c r="I1343" i="259"/>
  <c r="I1345" i="259"/>
  <c r="Q1296" i="259"/>
  <c r="AX30" i="259"/>
  <c r="Q1343" i="259"/>
  <c r="Q105" i="262"/>
  <c r="Q1345" i="259"/>
  <c r="Q806" i="259"/>
  <c r="Q1342" i="259"/>
  <c r="Q235" i="262" s="1"/>
  <c r="Q1481" i="259"/>
  <c r="Q197" i="262" s="1"/>
  <c r="Q811" i="259"/>
  <c r="BA1269" i="259" l="1"/>
  <c r="AB115" i="275"/>
  <c r="AB1505" i="259"/>
  <c r="AB112" i="261" s="1"/>
  <c r="AB1415" i="259"/>
  <c r="AF411" i="259"/>
  <c r="AF411" i="275" s="1"/>
  <c r="AF413" i="259"/>
  <c r="AF413" i="275" s="1"/>
  <c r="AB50" i="259"/>
  <c r="AB50" i="275" s="1"/>
  <c r="AB143" i="259"/>
  <c r="AE45" i="262"/>
  <c r="AD45" i="262"/>
  <c r="BE452" i="275"/>
  <c r="AG832" i="259"/>
  <c r="AG832" i="275" s="1"/>
  <c r="AF227" i="259"/>
  <c r="AF227" i="275" s="1"/>
  <c r="AW239" i="261"/>
  <c r="O1480" i="259"/>
  <c r="AW47" i="275"/>
  <c r="AF226" i="259"/>
  <c r="AF226" i="275" s="1"/>
  <c r="AV239" i="261"/>
  <c r="AF336" i="259"/>
  <c r="AF336" i="275" s="1"/>
  <c r="U30" i="275"/>
  <c r="AF833" i="259"/>
  <c r="AF833" i="275" s="1"/>
  <c r="AY698" i="259"/>
  <c r="U241" i="261"/>
  <c r="BA47" i="261"/>
  <c r="AF230" i="259"/>
  <c r="AF230" i="275" s="1"/>
  <c r="N153" i="264"/>
  <c r="P153" i="264" s="1"/>
  <c r="R1292" i="259"/>
  <c r="R1296" i="259" s="1"/>
  <c r="N141" i="264"/>
  <c r="P141" i="264" s="1"/>
  <c r="BA74" i="261"/>
  <c r="AX797" i="259"/>
  <c r="P30" i="275"/>
  <c r="E1486" i="259"/>
  <c r="E1345" i="259"/>
  <c r="E105" i="262"/>
  <c r="E1485" i="259"/>
  <c r="E199" i="262" s="1"/>
  <c r="E1483" i="259"/>
  <c r="E198" i="262" s="1"/>
  <c r="E1343" i="259"/>
  <c r="E1484" i="259"/>
  <c r="E804" i="259"/>
  <c r="I804" i="275" s="1"/>
  <c r="E1480" i="259"/>
  <c r="E811" i="259"/>
  <c r="E813" i="259" s="1"/>
  <c r="E254" i="262" s="1"/>
  <c r="E1481" i="259"/>
  <c r="E197" i="262" s="1"/>
  <c r="E806" i="259"/>
  <c r="I806" i="275" s="1"/>
  <c r="E1482" i="259"/>
  <c r="E1342" i="259"/>
  <c r="AU104" i="262"/>
  <c r="AU797" i="259"/>
  <c r="AI921" i="275"/>
  <c r="BB921" i="259"/>
  <c r="BB921" i="275" s="1"/>
  <c r="AH892" i="275"/>
  <c r="AI916" i="275"/>
  <c r="BB916" i="259"/>
  <c r="BB916" i="275" s="1"/>
  <c r="AH893" i="275"/>
  <c r="AE871" i="275"/>
  <c r="AF871" i="259"/>
  <c r="AF925" i="259" s="1"/>
  <c r="AF925" i="275" s="1"/>
  <c r="AH1366" i="259"/>
  <c r="AH1367" i="259"/>
  <c r="BB863" i="259"/>
  <c r="AI863" i="275"/>
  <c r="AH1470" i="259"/>
  <c r="AG344" i="261"/>
  <c r="AI173" i="262"/>
  <c r="BB862" i="259"/>
  <c r="AI862" i="275"/>
  <c r="AI1473" i="259"/>
  <c r="AI1464" i="259" s="1"/>
  <c r="BB1464" i="259" s="1"/>
  <c r="AI1298" i="259"/>
  <c r="BB1298" i="259" s="1"/>
  <c r="AH167" i="262"/>
  <c r="AH842" i="275"/>
  <c r="AI842" i="259"/>
  <c r="AI892" i="259" s="1"/>
  <c r="AH1308" i="259"/>
  <c r="BB867" i="259"/>
  <c r="AI867" i="275"/>
  <c r="AH894" i="275"/>
  <c r="AH168" i="262"/>
  <c r="AH843" i="275"/>
  <c r="AI843" i="259"/>
  <c r="AI893" i="259" s="1"/>
  <c r="AH1309" i="259"/>
  <c r="AI894" i="259"/>
  <c r="AI894" i="275" s="1"/>
  <c r="BB844" i="259"/>
  <c r="AI844" i="275"/>
  <c r="BB864" i="275"/>
  <c r="BC864" i="259"/>
  <c r="BC918" i="259" s="1"/>
  <c r="BC918" i="275" s="1"/>
  <c r="AH917" i="275"/>
  <c r="BB917" i="259"/>
  <c r="BB917" i="275" s="1"/>
  <c r="AG831" i="259"/>
  <c r="AG831" i="275" s="1"/>
  <c r="I49" i="276"/>
  <c r="AF854" i="259"/>
  <c r="AF878" i="259" s="1"/>
  <c r="AF878" i="275" s="1"/>
  <c r="BA133" i="259"/>
  <c r="BA132" i="262" s="1"/>
  <c r="BA1230" i="259"/>
  <c r="BA1232" i="259" s="1"/>
  <c r="BA219" i="261" s="1"/>
  <c r="AF1040" i="259"/>
  <c r="AI903" i="275"/>
  <c r="BB903" i="259"/>
  <c r="AG167" i="259"/>
  <c r="AG173" i="275"/>
  <c r="AG231" i="259"/>
  <c r="AF231" i="275"/>
  <c r="AF497" i="275"/>
  <c r="AF852" i="275"/>
  <c r="AG852" i="259"/>
  <c r="AG475" i="275"/>
  <c r="AG39" i="262"/>
  <c r="AG169" i="261"/>
  <c r="AH475" i="259"/>
  <c r="AG618" i="275"/>
  <c r="AH618" i="259"/>
  <c r="AG828" i="259"/>
  <c r="AF338" i="275"/>
  <c r="AG338" i="259"/>
  <c r="AF972" i="259"/>
  <c r="AG38" i="259"/>
  <c r="AG38" i="275" s="1"/>
  <c r="AG510" i="275"/>
  <c r="AG38" i="262"/>
  <c r="AG168" i="261"/>
  <c r="AG474" i="275"/>
  <c r="AF171" i="275"/>
  <c r="AF1017" i="275"/>
  <c r="AH327" i="259"/>
  <c r="AG76" i="261"/>
  <c r="AG297" i="259"/>
  <c r="AG1021" i="259"/>
  <c r="AG1021" i="275" s="1"/>
  <c r="AG1209" i="259"/>
  <c r="AG327" i="275"/>
  <c r="AF1021" i="275"/>
  <c r="AG1038" i="259"/>
  <c r="AG690" i="275"/>
  <c r="AH690" i="259"/>
  <c r="AE416" i="275"/>
  <c r="AF416" i="259"/>
  <c r="AF418" i="259" s="1"/>
  <c r="AF418" i="275" s="1"/>
  <c r="AE219" i="275"/>
  <c r="BM128" i="264"/>
  <c r="BO128" i="264" s="1"/>
  <c r="AF412" i="275"/>
  <c r="AG1218" i="259"/>
  <c r="AG374" i="259"/>
  <c r="AG1027" i="259"/>
  <c r="AH403" i="259"/>
  <c r="AG81" i="261"/>
  <c r="AG403" i="275"/>
  <c r="AF73" i="261"/>
  <c r="AF1022" i="259"/>
  <c r="AF1032" i="259" s="1"/>
  <c r="AF1032" i="275" s="1"/>
  <c r="AF1205" i="259"/>
  <c r="AF1201" i="259" s="1"/>
  <c r="AG325" i="259"/>
  <c r="AF296" i="259"/>
  <c r="AF325" i="275"/>
  <c r="AF329" i="259"/>
  <c r="AF978" i="259"/>
  <c r="AF978" i="275" s="1"/>
  <c r="AG414" i="259"/>
  <c r="AG412" i="259" s="1"/>
  <c r="AF414" i="275"/>
  <c r="AF66" i="261"/>
  <c r="AF457" i="259"/>
  <c r="AG217" i="259"/>
  <c r="AF172" i="259"/>
  <c r="AF217" i="275"/>
  <c r="AF1192" i="259"/>
  <c r="AF1184" i="259" s="1"/>
  <c r="AF219" i="259"/>
  <c r="AF84" i="261"/>
  <c r="AF1026" i="259"/>
  <c r="AF407" i="259"/>
  <c r="AG405" i="259"/>
  <c r="AF375" i="259"/>
  <c r="AF376" i="259" s="1"/>
  <c r="AF405" i="275"/>
  <c r="AF1222" i="259"/>
  <c r="AF1214" i="259" s="1"/>
  <c r="AG954" i="259"/>
  <c r="AG954" i="275" s="1"/>
  <c r="AG910" i="275"/>
  <c r="AH910" i="259"/>
  <c r="AH900" i="275"/>
  <c r="AI900" i="259"/>
  <c r="BB900" i="259" s="1"/>
  <c r="AH952" i="259"/>
  <c r="AG402" i="275"/>
  <c r="AH402" i="259"/>
  <c r="AG82" i="261"/>
  <c r="AG379" i="259"/>
  <c r="AG147" i="262"/>
  <c r="AG1230" i="259"/>
  <c r="AG496" i="259" s="1"/>
  <c r="AG497" i="259"/>
  <c r="AG497" i="275" s="1"/>
  <c r="AG1042" i="259"/>
  <c r="AH694" i="259"/>
  <c r="AG694" i="275"/>
  <c r="AF74" i="261"/>
  <c r="AG324" i="259"/>
  <c r="AF324" i="275"/>
  <c r="AF301" i="259"/>
  <c r="AE851" i="275"/>
  <c r="AF851" i="259"/>
  <c r="AH173" i="259"/>
  <c r="AH1196" i="259"/>
  <c r="AH67" i="261"/>
  <c r="AI218" i="259"/>
  <c r="BB218" i="259" s="1"/>
  <c r="AH218" i="275"/>
  <c r="AF435" i="259"/>
  <c r="AF1027" i="275"/>
  <c r="AG691" i="259"/>
  <c r="AF1039" i="259"/>
  <c r="AF691" i="275"/>
  <c r="AG952" i="275"/>
  <c r="AI856" i="259"/>
  <c r="AH856" i="275"/>
  <c r="AF64" i="261"/>
  <c r="AG215" i="259"/>
  <c r="AF215" i="275"/>
  <c r="AF178" i="259"/>
  <c r="AF196" i="259"/>
  <c r="AF381" i="259"/>
  <c r="AF379" i="275"/>
  <c r="AF905" i="275"/>
  <c r="AG905" i="259"/>
  <c r="AG1055" i="275"/>
  <c r="AG886" i="259"/>
  <c r="AG886" i="275" s="1"/>
  <c r="AF133" i="259"/>
  <c r="AF167" i="275"/>
  <c r="AG228" i="259"/>
  <c r="AG1188" i="259"/>
  <c r="AG171" i="259"/>
  <c r="AG63" i="261"/>
  <c r="AG214" i="275"/>
  <c r="AH214" i="259"/>
  <c r="AG1017" i="259"/>
  <c r="AG1017" i="275" s="1"/>
  <c r="AG901" i="259"/>
  <c r="AF901" i="275"/>
  <c r="AF953" i="259"/>
  <c r="AF902" i="259"/>
  <c r="AF902" i="275" s="1"/>
  <c r="AF225" i="259"/>
  <c r="AF225" i="275" s="1"/>
  <c r="AF968" i="259"/>
  <c r="AF228" i="275"/>
  <c r="AF622" i="275"/>
  <c r="AF624" i="259"/>
  <c r="AG622" i="259"/>
  <c r="AF473" i="259"/>
  <c r="AE617" i="275"/>
  <c r="AF617" i="259"/>
  <c r="AF1006" i="275"/>
  <c r="AF836" i="259"/>
  <c r="AG1006" i="259"/>
  <c r="AG888" i="275"/>
  <c r="AG185" i="262"/>
  <c r="AH888" i="259"/>
  <c r="AF369" i="259"/>
  <c r="AF374" i="275"/>
  <c r="AG829" i="259"/>
  <c r="AF496" i="259"/>
  <c r="AF954" i="275"/>
  <c r="BB904" i="259"/>
  <c r="AI904" i="275"/>
  <c r="AF436" i="259"/>
  <c r="AI857" i="259"/>
  <c r="AH857" i="275"/>
  <c r="AH607" i="275"/>
  <c r="AH182" i="262"/>
  <c r="AH1231" i="259"/>
  <c r="AH491" i="259"/>
  <c r="AH491" i="275" s="1"/>
  <c r="AH510" i="259"/>
  <c r="AI607" i="259"/>
  <c r="BB607" i="259" s="1"/>
  <c r="AH1055" i="259"/>
  <c r="AH474" i="259"/>
  <c r="AI623" i="275"/>
  <c r="BB623" i="259"/>
  <c r="AF292" i="259"/>
  <c r="AF292" i="275" s="1"/>
  <c r="AF297" i="275"/>
  <c r="BI122" i="264"/>
  <c r="BK122" i="264" s="1"/>
  <c r="BI90" i="264"/>
  <c r="BA107" i="264"/>
  <c r="BC107" i="264" s="1"/>
  <c r="BC97" i="264"/>
  <c r="BE109" i="264"/>
  <c r="BG109" i="264" s="1"/>
  <c r="BE93" i="264"/>
  <c r="BG90" i="264"/>
  <c r="BM122" i="264"/>
  <c r="BO122" i="264" s="1"/>
  <c r="BM90" i="264"/>
  <c r="BO94" i="264"/>
  <c r="BG57" i="264"/>
  <c r="BE71" i="264"/>
  <c r="BG71" i="264" s="1"/>
  <c r="AC146" i="262"/>
  <c r="BE63" i="264"/>
  <c r="AC371" i="275"/>
  <c r="AD451" i="275"/>
  <c r="AD38" i="275"/>
  <c r="AD431" i="275"/>
  <c r="AD291" i="275"/>
  <c r="AE292" i="275"/>
  <c r="AD354" i="275"/>
  <c r="AC293" i="275"/>
  <c r="AC353" i="275"/>
  <c r="AE38" i="275"/>
  <c r="AE497" i="275"/>
  <c r="AE1618" i="259"/>
  <c r="AE282" i="262" s="1"/>
  <c r="AD298" i="275"/>
  <c r="AC432" i="259"/>
  <c r="AC131" i="259" s="1"/>
  <c r="AC165" i="275"/>
  <c r="AC132" i="275"/>
  <c r="AE375" i="275"/>
  <c r="AC360" i="275"/>
  <c r="AC453" i="275"/>
  <c r="AD370" i="275"/>
  <c r="AC155" i="275"/>
  <c r="AC156" i="275"/>
  <c r="AE473" i="275"/>
  <c r="AC283" i="275"/>
  <c r="AD166" i="275"/>
  <c r="AD174" i="275"/>
  <c r="AC276" i="275"/>
  <c r="AE296" i="275"/>
  <c r="AC149" i="259"/>
  <c r="AC113" i="259" s="1"/>
  <c r="AE469" i="275"/>
  <c r="AI469" i="275"/>
  <c r="AD469" i="275"/>
  <c r="AH469" i="275"/>
  <c r="BB564" i="259"/>
  <c r="BB206" i="261" s="1"/>
  <c r="BB563" i="259"/>
  <c r="BB200" i="261" s="1"/>
  <c r="AD471" i="275"/>
  <c r="AH471" i="275"/>
  <c r="AG570" i="259"/>
  <c r="AG207" i="261" s="1"/>
  <c r="AG472" i="275"/>
  <c r="AF198" i="261"/>
  <c r="AF543" i="275"/>
  <c r="BB544" i="259"/>
  <c r="BB204" i="261" s="1"/>
  <c r="BB543" i="259"/>
  <c r="BB198" i="261" s="1"/>
  <c r="AE471" i="275"/>
  <c r="AI471" i="275"/>
  <c r="AI204" i="261"/>
  <c r="AI544" i="275"/>
  <c r="AH204" i="261"/>
  <c r="AH544" i="275"/>
  <c r="R1044" i="275"/>
  <c r="H804" i="275"/>
  <c r="H807" i="259"/>
  <c r="H121" i="262"/>
  <c r="H112" i="262"/>
  <c r="AD974" i="259"/>
  <c r="AD974" i="275" s="1"/>
  <c r="BA296" i="259"/>
  <c r="BA296" i="275" s="1"/>
  <c r="AE298" i="259"/>
  <c r="AE298" i="275" s="1"/>
  <c r="AC168" i="259"/>
  <c r="AZ479" i="259"/>
  <c r="AZ479" i="275" s="1"/>
  <c r="AC447" i="259"/>
  <c r="AC1083" i="259" s="1"/>
  <c r="AD293" i="259"/>
  <c r="AD430" i="259"/>
  <c r="AD447" i="259" s="1"/>
  <c r="AD1083" i="259" s="1"/>
  <c r="AE63" i="259"/>
  <c r="BM57" i="264" s="1"/>
  <c r="N64" i="264"/>
  <c r="P64" i="264" s="1"/>
  <c r="AC175" i="275"/>
  <c r="P1044" i="275"/>
  <c r="U1044" i="275"/>
  <c r="AE498" i="259"/>
  <c r="AD175" i="259"/>
  <c r="AD175" i="275" s="1"/>
  <c r="BA389" i="259"/>
  <c r="BA17" i="261" s="1"/>
  <c r="AE291" i="259"/>
  <c r="AD165" i="259"/>
  <c r="AD168" i="259" s="1"/>
  <c r="AV698" i="275"/>
  <c r="AV676" i="259"/>
  <c r="AV228" i="261" s="1"/>
  <c r="AV1271" i="259"/>
  <c r="AV684" i="259"/>
  <c r="AV737" i="259"/>
  <c r="AV683" i="259"/>
  <c r="AV229" i="261" s="1"/>
  <c r="J237" i="262"/>
  <c r="J236" i="262"/>
  <c r="O1342" i="259"/>
  <c r="O235" i="262" s="1"/>
  <c r="O105" i="262"/>
  <c r="S797" i="275"/>
  <c r="T813" i="259"/>
  <c r="AZ1415" i="259"/>
  <c r="AZ1416" i="259" s="1"/>
  <c r="AZ331" i="261" s="1"/>
  <c r="K291" i="261"/>
  <c r="O1484" i="259"/>
  <c r="O804" i="259"/>
  <c r="O1345" i="259"/>
  <c r="O237" i="262" s="1"/>
  <c r="N804" i="275"/>
  <c r="N121" i="262"/>
  <c r="N807" i="259"/>
  <c r="N112" i="262"/>
  <c r="N235" i="262"/>
  <c r="N1344" i="259"/>
  <c r="P1292" i="259"/>
  <c r="P27" i="275"/>
  <c r="R1048" i="259"/>
  <c r="BE45" i="262"/>
  <c r="BE48" i="262"/>
  <c r="AW24" i="275"/>
  <c r="AY47" i="275"/>
  <c r="AW1044" i="259"/>
  <c r="L1044" i="275"/>
  <c r="J250" i="261"/>
  <c r="J152" i="262"/>
  <c r="R30" i="275"/>
  <c r="V30" i="275"/>
  <c r="H235" i="262"/>
  <c r="H1344" i="259"/>
  <c r="F45" i="264"/>
  <c r="H45" i="264" s="1"/>
  <c r="F53" i="264"/>
  <c r="H32" i="264"/>
  <c r="L797" i="275"/>
  <c r="L804" i="259"/>
  <c r="L1484" i="259"/>
  <c r="L1343" i="259"/>
  <c r="L806" i="259"/>
  <c r="L1480" i="259"/>
  <c r="L1481" i="259"/>
  <c r="L197" i="262" s="1"/>
  <c r="L1482" i="259"/>
  <c r="L1485" i="259"/>
  <c r="L199" i="262" s="1"/>
  <c r="L1345" i="259"/>
  <c r="L811" i="259"/>
  <c r="L1483" i="259"/>
  <c r="L198" i="262" s="1"/>
  <c r="L1342" i="259"/>
  <c r="L1486" i="259"/>
  <c r="L105" i="262"/>
  <c r="AX1669" i="259"/>
  <c r="AX285" i="262"/>
  <c r="AX1661" i="259"/>
  <c r="AX1627" i="259"/>
  <c r="AX288" i="262" s="1"/>
  <c r="S1346" i="259"/>
  <c r="S239" i="262"/>
  <c r="T27" i="275"/>
  <c r="AX696" i="275"/>
  <c r="O13" i="275"/>
  <c r="R26" i="275"/>
  <c r="V26" i="275"/>
  <c r="U797" i="275"/>
  <c r="U804" i="259"/>
  <c r="U1486" i="259"/>
  <c r="U105" i="262"/>
  <c r="U1345" i="259"/>
  <c r="U1343" i="259"/>
  <c r="U1484" i="259"/>
  <c r="U1483" i="259"/>
  <c r="U198" i="262" s="1"/>
  <c r="U811" i="259"/>
  <c r="U1342" i="259"/>
  <c r="U1480" i="259"/>
  <c r="U1482" i="259"/>
  <c r="U1481" i="259"/>
  <c r="U197" i="262" s="1"/>
  <c r="U806" i="259"/>
  <c r="U1485" i="259"/>
  <c r="U199" i="262" s="1"/>
  <c r="AW797" i="259"/>
  <c r="AX797" i="275" s="1"/>
  <c r="AW104" i="262"/>
  <c r="R152" i="262"/>
  <c r="R250" i="261"/>
  <c r="L698" i="275"/>
  <c r="L684" i="259"/>
  <c r="L1046" i="259"/>
  <c r="L241" i="261"/>
  <c r="L737" i="259"/>
  <c r="L1271" i="259"/>
  <c r="L683" i="259"/>
  <c r="L229" i="261" s="1"/>
  <c r="AW698" i="259"/>
  <c r="L676" i="259"/>
  <c r="L228" i="261" s="1"/>
  <c r="J813" i="259"/>
  <c r="J811" i="275"/>
  <c r="Q813" i="259"/>
  <c r="W1048" i="259"/>
  <c r="W1046" i="275"/>
  <c r="X1046" i="275"/>
  <c r="AX698" i="259"/>
  <c r="AX684" i="259" s="1"/>
  <c r="H1048" i="259"/>
  <c r="H1046" i="275"/>
  <c r="AV13" i="259"/>
  <c r="AV13" i="275" s="1"/>
  <c r="O1482" i="259"/>
  <c r="O811" i="259"/>
  <c r="AC430" i="275"/>
  <c r="F1346" i="259"/>
  <c r="F239" i="262"/>
  <c r="N236" i="262"/>
  <c r="N237" i="262"/>
  <c r="H254" i="262"/>
  <c r="H813" i="275"/>
  <c r="L1292" i="259"/>
  <c r="L1296" i="259" s="1"/>
  <c r="L27" i="275"/>
  <c r="AX1044" i="259"/>
  <c r="O1044" i="275"/>
  <c r="I152" i="262"/>
  <c r="I250" i="261"/>
  <c r="I1048" i="259"/>
  <c r="I1046" i="275"/>
  <c r="N698" i="275"/>
  <c r="N684" i="259"/>
  <c r="N683" i="259"/>
  <c r="N229" i="261" s="1"/>
  <c r="N1046" i="259"/>
  <c r="N676" i="259"/>
  <c r="N228" i="261" s="1"/>
  <c r="N737" i="259"/>
  <c r="N1271" i="259"/>
  <c r="AW14" i="259"/>
  <c r="AW291" i="261"/>
  <c r="J804" i="275"/>
  <c r="J807" i="259"/>
  <c r="J121" i="262"/>
  <c r="J112" i="262"/>
  <c r="J235" i="262"/>
  <c r="J1344" i="259"/>
  <c r="S27" i="275"/>
  <c r="N813" i="259"/>
  <c r="N811" i="275"/>
  <c r="K698" i="275"/>
  <c r="K676" i="259"/>
  <c r="K228" i="261" s="1"/>
  <c r="K241" i="261"/>
  <c r="K684" i="259"/>
  <c r="K737" i="259"/>
  <c r="K1271" i="259"/>
  <c r="K1046" i="259"/>
  <c r="K683" i="259"/>
  <c r="K229" i="261" s="1"/>
  <c r="V797" i="275"/>
  <c r="V1483" i="259"/>
  <c r="V198" i="262" s="1"/>
  <c r="V1482" i="259"/>
  <c r="V1342" i="259"/>
  <c r="V1343" i="259"/>
  <c r="V1485" i="259"/>
  <c r="V199" i="262" s="1"/>
  <c r="V1345" i="259"/>
  <c r="V1484" i="259"/>
  <c r="V1486" i="259"/>
  <c r="V811" i="259"/>
  <c r="V804" i="259"/>
  <c r="V105" i="262"/>
  <c r="V1480" i="259"/>
  <c r="V806" i="259"/>
  <c r="V1481" i="259"/>
  <c r="V197" i="262" s="1"/>
  <c r="O698" i="275"/>
  <c r="O684" i="259"/>
  <c r="O1046" i="259"/>
  <c r="S1046" i="275" s="1"/>
  <c r="O241" i="261"/>
  <c r="O1271" i="259"/>
  <c r="O683" i="259"/>
  <c r="O229" i="261" s="1"/>
  <c r="O676" i="259"/>
  <c r="O228" i="261" s="1"/>
  <c r="O737" i="259"/>
  <c r="N241" i="261"/>
  <c r="M698" i="275"/>
  <c r="M1046" i="259"/>
  <c r="M683" i="259"/>
  <c r="M229" i="261" s="1"/>
  <c r="M1271" i="259"/>
  <c r="M676" i="259"/>
  <c r="M228" i="261" s="1"/>
  <c r="M684" i="259"/>
  <c r="M737" i="259"/>
  <c r="M241" i="261"/>
  <c r="Q684" i="259"/>
  <c r="Q698" i="275"/>
  <c r="Q676" i="259"/>
  <c r="Q228" i="261" s="1"/>
  <c r="Q1046" i="259"/>
  <c r="Q737" i="259"/>
  <c r="Q683" i="259"/>
  <c r="Q229" i="261" s="1"/>
  <c r="Q1271" i="259"/>
  <c r="Q241" i="261"/>
  <c r="AX796" i="275"/>
  <c r="I813" i="259"/>
  <c r="I811" i="275"/>
  <c r="AV241" i="261"/>
  <c r="K796" i="259"/>
  <c r="K797" i="259" s="1"/>
  <c r="K797" i="275" s="1"/>
  <c r="S30" i="275"/>
  <c r="W796" i="259"/>
  <c r="W13" i="275"/>
  <c r="O1485" i="259"/>
  <c r="O199" i="262" s="1"/>
  <c r="O1486" i="259"/>
  <c r="S26" i="275"/>
  <c r="O1481" i="259"/>
  <c r="O197" i="262" s="1"/>
  <c r="O806" i="259"/>
  <c r="O253" i="262" s="1"/>
  <c r="N77" i="259"/>
  <c r="N195" i="262"/>
  <c r="N806" i="275"/>
  <c r="N122" i="262"/>
  <c r="N253" i="262"/>
  <c r="N114" i="262"/>
  <c r="P26" i="275"/>
  <c r="G1347" i="259"/>
  <c r="G1348" i="259" s="1"/>
  <c r="G240" i="262"/>
  <c r="N27" i="275"/>
  <c r="N1292" i="259"/>
  <c r="N1296" i="259" s="1"/>
  <c r="V698" i="275"/>
  <c r="V1271" i="259"/>
  <c r="V737" i="259"/>
  <c r="V684" i="259"/>
  <c r="V1046" i="259"/>
  <c r="V683" i="259"/>
  <c r="V229" i="261" s="1"/>
  <c r="V676" i="259"/>
  <c r="V228" i="261" s="1"/>
  <c r="V241" i="261"/>
  <c r="L30" i="275"/>
  <c r="AW696" i="275"/>
  <c r="AV1044" i="259"/>
  <c r="AV1044" i="275" s="1"/>
  <c r="J1048" i="259"/>
  <c r="J1046" i="275"/>
  <c r="M797" i="275"/>
  <c r="M1484" i="259"/>
  <c r="M1483" i="259"/>
  <c r="M198" i="262" s="1"/>
  <c r="M811" i="259"/>
  <c r="M1342" i="259"/>
  <c r="M1486" i="259"/>
  <c r="M806" i="259"/>
  <c r="M1343" i="259"/>
  <c r="M1482" i="259"/>
  <c r="M1480" i="259"/>
  <c r="M1481" i="259"/>
  <c r="M197" i="262" s="1"/>
  <c r="M804" i="259"/>
  <c r="M1485" i="259"/>
  <c r="M199" i="262" s="1"/>
  <c r="M105" i="262"/>
  <c r="M1345" i="259"/>
  <c r="O14" i="275"/>
  <c r="H236" i="262"/>
  <c r="H237" i="262"/>
  <c r="H806" i="275"/>
  <c r="H122" i="262"/>
  <c r="H253" i="262"/>
  <c r="H114" i="262"/>
  <c r="H49" i="264"/>
  <c r="F80" i="264"/>
  <c r="H80" i="264" s="1"/>
  <c r="R797" i="275"/>
  <c r="R806" i="259"/>
  <c r="R1342" i="259"/>
  <c r="R1484" i="259"/>
  <c r="R1480" i="259"/>
  <c r="R804" i="259"/>
  <c r="R1485" i="259"/>
  <c r="R199" i="262" s="1"/>
  <c r="R1481" i="259"/>
  <c r="R197" i="262" s="1"/>
  <c r="R811" i="259"/>
  <c r="R1486" i="259"/>
  <c r="R1345" i="259"/>
  <c r="R1343" i="259"/>
  <c r="R105" i="262"/>
  <c r="R1482" i="259"/>
  <c r="R1483" i="259"/>
  <c r="R198" i="262" s="1"/>
  <c r="P797" i="275"/>
  <c r="P1480" i="259"/>
  <c r="P105" i="262"/>
  <c r="P811" i="259"/>
  <c r="P806" i="259"/>
  <c r="P1481" i="259"/>
  <c r="P197" i="262" s="1"/>
  <c r="P804" i="259"/>
  <c r="P1482" i="259"/>
  <c r="P1345" i="259"/>
  <c r="P1342" i="259"/>
  <c r="P1486" i="259"/>
  <c r="P1484" i="259"/>
  <c r="P1483" i="259"/>
  <c r="P198" i="262" s="1"/>
  <c r="P1343" i="259"/>
  <c r="P1485" i="259"/>
  <c r="P199" i="262" s="1"/>
  <c r="T30" i="275"/>
  <c r="P698" i="275"/>
  <c r="P683" i="259"/>
  <c r="P229" i="261" s="1"/>
  <c r="P241" i="261"/>
  <c r="P1271" i="259"/>
  <c r="P1046" i="259"/>
  <c r="AX1046" i="259" s="1"/>
  <c r="P737" i="259"/>
  <c r="P684" i="259"/>
  <c r="P676" i="259"/>
  <c r="P228" i="261" s="1"/>
  <c r="J806" i="275"/>
  <c r="J122" i="262"/>
  <c r="J253" i="262"/>
  <c r="J114" i="262"/>
  <c r="J195" i="262"/>
  <c r="J77" i="259"/>
  <c r="J77" i="275" s="1"/>
  <c r="Q1044" i="275"/>
  <c r="U698" i="275"/>
  <c r="U737" i="259"/>
  <c r="U676" i="259"/>
  <c r="U228" i="261" s="1"/>
  <c r="U1271" i="259"/>
  <c r="U683" i="259"/>
  <c r="U229" i="261" s="1"/>
  <c r="U1046" i="259"/>
  <c r="AY1046" i="259" s="1"/>
  <c r="U684" i="259"/>
  <c r="BD8" i="262"/>
  <c r="BE538" i="275"/>
  <c r="AD275" i="259"/>
  <c r="AE496" i="275"/>
  <c r="AD282" i="259"/>
  <c r="BA292" i="259"/>
  <c r="BA292" i="275" s="1"/>
  <c r="G35" i="273"/>
  <c r="AD983" i="259"/>
  <c r="AD983" i="275" s="1"/>
  <c r="AC355" i="259"/>
  <c r="AC141" i="259" s="1"/>
  <c r="AZ115" i="259"/>
  <c r="AZ115" i="275" s="1"/>
  <c r="AZ37" i="259"/>
  <c r="AZ37" i="275" s="1"/>
  <c r="BA833" i="259"/>
  <c r="BA833" i="275" s="1"/>
  <c r="AD179" i="262"/>
  <c r="BA222" i="261"/>
  <c r="AD55" i="262"/>
  <c r="BA151" i="262"/>
  <c r="I78" i="276"/>
  <c r="AZ153" i="259"/>
  <c r="AZ153" i="275" s="1"/>
  <c r="BA125" i="261"/>
  <c r="I63" i="276"/>
  <c r="AD614" i="259"/>
  <c r="AD614" i="275" s="1"/>
  <c r="AD619" i="275"/>
  <c r="H51" i="276"/>
  <c r="AZ141" i="275"/>
  <c r="AD1618" i="259"/>
  <c r="AD282" i="262" s="1"/>
  <c r="AD496" i="275"/>
  <c r="BA972" i="259"/>
  <c r="BA972" i="275" s="1"/>
  <c r="AE972" i="275"/>
  <c r="BA316" i="259"/>
  <c r="BA14" i="261" s="1"/>
  <c r="BA297" i="275"/>
  <c r="BA412" i="259"/>
  <c r="BA412" i="275" s="1"/>
  <c r="AE412" i="275"/>
  <c r="AZ242" i="262"/>
  <c r="N150" i="264"/>
  <c r="P150" i="264" s="1"/>
  <c r="BA405" i="275"/>
  <c r="AZ1507" i="259"/>
  <c r="AZ114" i="261" s="1"/>
  <c r="AZ279" i="275"/>
  <c r="AD276" i="259"/>
  <c r="AD303" i="275"/>
  <c r="AZ361" i="259"/>
  <c r="AZ361" i="275" s="1"/>
  <c r="AE276" i="259"/>
  <c r="AE303" i="275"/>
  <c r="AE174" i="259"/>
  <c r="AE196" i="275"/>
  <c r="BA978" i="259"/>
  <c r="BA978" i="275" s="1"/>
  <c r="AE978" i="275"/>
  <c r="BA901" i="275"/>
  <c r="AE906" i="259"/>
  <c r="AE902" i="275"/>
  <c r="BA854" i="259"/>
  <c r="BA854" i="275" s="1"/>
  <c r="AE854" i="275"/>
  <c r="AE973" i="259"/>
  <c r="AE973" i="275" s="1"/>
  <c r="AE336" i="275"/>
  <c r="AE78" i="261"/>
  <c r="AE329" i="275"/>
  <c r="BA303" i="259"/>
  <c r="BA303" i="275" s="1"/>
  <c r="BA301" i="275"/>
  <c r="AE354" i="259"/>
  <c r="AE381" i="275"/>
  <c r="AC275" i="275"/>
  <c r="AC277" i="259"/>
  <c r="BA618" i="275"/>
  <c r="AE86" i="261"/>
  <c r="AE407" i="275"/>
  <c r="AZ1508" i="259"/>
  <c r="AZ115" i="261" s="1"/>
  <c r="AZ357" i="275"/>
  <c r="AE162" i="261"/>
  <c r="AE624" i="275"/>
  <c r="AE234" i="259"/>
  <c r="BA234" i="259" s="1"/>
  <c r="BA234" i="275" s="1"/>
  <c r="AE230" i="275"/>
  <c r="AE166" i="259"/>
  <c r="AE172" i="275"/>
  <c r="BA413" i="259"/>
  <c r="BA413" i="275" s="1"/>
  <c r="AE413" i="275"/>
  <c r="BA369" i="259"/>
  <c r="BA369" i="275" s="1"/>
  <c r="AE369" i="275"/>
  <c r="BA411" i="259"/>
  <c r="BA411" i="275" s="1"/>
  <c r="AE411" i="275"/>
  <c r="N135" i="264"/>
  <c r="P135" i="264" s="1"/>
  <c r="BA215" i="275"/>
  <c r="BA436" i="259"/>
  <c r="BA436" i="275" s="1"/>
  <c r="AE436" i="275"/>
  <c r="BA1006" i="259"/>
  <c r="BA1006" i="275" s="1"/>
  <c r="AE1006" i="275"/>
  <c r="BA46" i="261"/>
  <c r="BA325" i="275"/>
  <c r="BA397" i="259"/>
  <c r="BA31" i="261" s="1"/>
  <c r="BA379" i="275"/>
  <c r="AZ140" i="259"/>
  <c r="AZ142" i="259" s="1"/>
  <c r="AD353" i="259"/>
  <c r="AD376" i="275"/>
  <c r="AZ363" i="259"/>
  <c r="AZ363" i="275" s="1"/>
  <c r="AD442" i="259"/>
  <c r="AD442" i="275" s="1"/>
  <c r="AD333" i="275"/>
  <c r="AZ130" i="262"/>
  <c r="AZ131" i="275"/>
  <c r="AE1032" i="259"/>
  <c r="AE1032" i="275" s="1"/>
  <c r="AE1022" i="275"/>
  <c r="BA38" i="262"/>
  <c r="BA474" i="275"/>
  <c r="G36" i="273"/>
  <c r="AB117" i="259"/>
  <c r="AB56" i="259" s="1"/>
  <c r="BA225" i="259"/>
  <c r="BA225" i="275" s="1"/>
  <c r="AE225" i="275"/>
  <c r="BA256" i="259"/>
  <c r="BA8" i="261" s="1"/>
  <c r="BA171" i="275"/>
  <c r="BA226" i="259"/>
  <c r="BA226" i="275" s="1"/>
  <c r="AE226" i="275"/>
  <c r="BA227" i="259"/>
  <c r="BA227" i="275" s="1"/>
  <c r="AE227" i="275"/>
  <c r="BA435" i="259"/>
  <c r="BA435" i="275" s="1"/>
  <c r="AE435" i="275"/>
  <c r="AE178" i="275"/>
  <c r="AZ44" i="259"/>
  <c r="AZ44" i="275" s="1"/>
  <c r="AZ114" i="275"/>
  <c r="AZ157" i="259"/>
  <c r="AZ157" i="275" s="1"/>
  <c r="Z142" i="262"/>
  <c r="Z138" i="262"/>
  <c r="BD452" i="275"/>
  <c r="AD70" i="261"/>
  <c r="AD221" i="275"/>
  <c r="AC969" i="259"/>
  <c r="AC969" i="275" s="1"/>
  <c r="AC967" i="275"/>
  <c r="AC984" i="259"/>
  <c r="AC984" i="275" s="1"/>
  <c r="AC982" i="275"/>
  <c r="AD967" i="259"/>
  <c r="AD982" i="259" s="1"/>
  <c r="AD232" i="275"/>
  <c r="AD1031" i="259"/>
  <c r="AD1016" i="275"/>
  <c r="AC1033" i="259"/>
  <c r="AC1033" i="275" s="1"/>
  <c r="AC1031" i="275"/>
  <c r="AD150" i="259"/>
  <c r="AD181" i="275"/>
  <c r="AC114" i="259"/>
  <c r="AC150" i="275"/>
  <c r="AE132" i="262"/>
  <c r="AE133" i="275"/>
  <c r="BA133" i="275"/>
  <c r="BC8" i="262"/>
  <c r="BC538" i="275"/>
  <c r="BA544" i="259"/>
  <c r="BA541" i="275"/>
  <c r="BD538" i="275"/>
  <c r="AD211" i="259"/>
  <c r="AD210" i="275"/>
  <c r="AD48" i="262"/>
  <c r="AD198" i="261"/>
  <c r="AD543" i="275"/>
  <c r="AC16" i="262"/>
  <c r="AC472" i="275"/>
  <c r="AE204" i="261"/>
  <c r="AE544" i="275"/>
  <c r="AE198" i="261"/>
  <c r="AE543" i="275"/>
  <c r="BA564" i="259"/>
  <c r="BA206" i="261" s="1"/>
  <c r="BA561" i="275"/>
  <c r="Z1614" i="259"/>
  <c r="AD204" i="261"/>
  <c r="AD544" i="275"/>
  <c r="W250" i="261"/>
  <c r="W152" i="262"/>
  <c r="S250" i="261"/>
  <c r="S152" i="262"/>
  <c r="G250" i="261"/>
  <c r="G152" i="262"/>
  <c r="T250" i="261"/>
  <c r="T152" i="262"/>
  <c r="H250" i="261"/>
  <c r="H152" i="262"/>
  <c r="X250" i="261"/>
  <c r="X152" i="262"/>
  <c r="AC136" i="259"/>
  <c r="AC131" i="262"/>
  <c r="AD262" i="262"/>
  <c r="AD154" i="262"/>
  <c r="BA27" i="261"/>
  <c r="AE1225" i="259"/>
  <c r="AE1262" i="259" s="1"/>
  <c r="BA381" i="259"/>
  <c r="BA381" i="275" s="1"/>
  <c r="AE1201" i="259"/>
  <c r="AE1200" i="259" s="1"/>
  <c r="AE68" i="261"/>
  <c r="AE41" i="261"/>
  <c r="AE1184" i="259"/>
  <c r="BA1184" i="259" s="1"/>
  <c r="AD1685" i="259"/>
  <c r="Y1619" i="259"/>
  <c r="Y283" i="262" s="1"/>
  <c r="Y280" i="262"/>
  <c r="BA1253" i="259"/>
  <c r="BA131" i="261" s="1"/>
  <c r="Y1633" i="259"/>
  <c r="Y292" i="262" s="1"/>
  <c r="O236" i="262"/>
  <c r="N95" i="264"/>
  <c r="P95" i="264" s="1"/>
  <c r="BA168" i="261"/>
  <c r="AE836" i="259"/>
  <c r="AD1200" i="259"/>
  <c r="AD281" i="259" s="1"/>
  <c r="O807" i="259"/>
  <c r="BA152" i="261"/>
  <c r="O112" i="262"/>
  <c r="AW1482" i="259"/>
  <c r="BA469" i="259"/>
  <c r="BA562" i="259"/>
  <c r="BA26" i="262" s="1"/>
  <c r="BA563" i="259"/>
  <c r="BA200" i="261" s="1"/>
  <c r="AO29" i="264"/>
  <c r="AQ29" i="264" s="1"/>
  <c r="BA1022" i="259"/>
  <c r="AW107" i="264"/>
  <c r="AY107" i="264" s="1"/>
  <c r="AC570" i="259"/>
  <c r="AC207" i="261" s="1"/>
  <c r="AC1612" i="259"/>
  <c r="AC1605" i="259" s="1"/>
  <c r="BA73" i="261"/>
  <c r="AG30" i="263"/>
  <c r="AG16" i="264" s="1"/>
  <c r="AI16" i="264" s="1"/>
  <c r="N152" i="264"/>
  <c r="P152" i="264" s="1"/>
  <c r="N140" i="264"/>
  <c r="P140" i="264" s="1"/>
  <c r="BA329" i="259"/>
  <c r="AE1023" i="259"/>
  <c r="AE1023" i="275" s="1"/>
  <c r="AE51" i="261"/>
  <c r="AQ56" i="264"/>
  <c r="AQ35" i="264"/>
  <c r="AD1079" i="259"/>
  <c r="AE1079" i="259"/>
  <c r="K26" i="259"/>
  <c r="K26" i="275" s="1"/>
  <c r="K27" i="259"/>
  <c r="K27" i="275" s="1"/>
  <c r="AC476" i="259"/>
  <c r="AC567" i="259"/>
  <c r="AC201" i="261" s="1"/>
  <c r="BA15" i="262"/>
  <c r="AD472" i="259"/>
  <c r="BA66" i="261"/>
  <c r="BA84" i="261"/>
  <c r="BA64" i="261"/>
  <c r="AE472" i="259"/>
  <c r="AZ250" i="262"/>
  <c r="AS42" i="264"/>
  <c r="AU42" i="264" s="1"/>
  <c r="BA543" i="259"/>
  <c r="AO50" i="264"/>
  <c r="AO81" i="264" s="1"/>
  <c r="AQ81" i="264" s="1"/>
  <c r="AS70" i="264"/>
  <c r="BA471" i="259"/>
  <c r="AO80" i="264"/>
  <c r="AQ80" i="264" s="1"/>
  <c r="BA13" i="262"/>
  <c r="AS35" i="264"/>
  <c r="AU35" i="264" s="1"/>
  <c r="BA542" i="259"/>
  <c r="AW20" i="264"/>
  <c r="AK18" i="264"/>
  <c r="AM18" i="264" s="1"/>
  <c r="AE48" i="262"/>
  <c r="AE37" i="262"/>
  <c r="AE167" i="261"/>
  <c r="BA57" i="261"/>
  <c r="BA1192" i="259"/>
  <c r="BA1248" i="259" s="1"/>
  <c r="N126" i="264"/>
  <c r="P126" i="264" s="1"/>
  <c r="N144" i="264"/>
  <c r="P144" i="264" s="1"/>
  <c r="AE333" i="259"/>
  <c r="AE340" i="259"/>
  <c r="BA407" i="259"/>
  <c r="BA407" i="275" s="1"/>
  <c r="AZ134" i="259"/>
  <c r="AZ134" i="275" s="1"/>
  <c r="AE334" i="259"/>
  <c r="BA457" i="259"/>
  <c r="AE183" i="262"/>
  <c r="I236" i="262"/>
  <c r="I237" i="262"/>
  <c r="T237" i="262"/>
  <c r="T236" i="262"/>
  <c r="X804" i="259"/>
  <c r="X804" i="275" s="1"/>
  <c r="X1483" i="259"/>
  <c r="X198" i="262" s="1"/>
  <c r="X1484" i="259"/>
  <c r="X1485" i="259"/>
  <c r="X199" i="262" s="1"/>
  <c r="X1482" i="259"/>
  <c r="X1486" i="259"/>
  <c r="X1480" i="259"/>
  <c r="I77" i="259"/>
  <c r="I195" i="262"/>
  <c r="Q236" i="262"/>
  <c r="Q237" i="262"/>
  <c r="AB252" i="262"/>
  <c r="AB251" i="262"/>
  <c r="I253" i="262"/>
  <c r="I122" i="262"/>
  <c r="Q253" i="262"/>
  <c r="Q122" i="262"/>
  <c r="O77" i="259"/>
  <c r="O195" i="262"/>
  <c r="D1347" i="259"/>
  <c r="D1348" i="259" s="1"/>
  <c r="D240" i="262"/>
  <c r="T195" i="262"/>
  <c r="T77" i="259"/>
  <c r="Q195" i="262"/>
  <c r="Q77" i="259"/>
  <c r="T122" i="262"/>
  <c r="T253" i="262"/>
  <c r="J107" i="264"/>
  <c r="L107" i="264" s="1"/>
  <c r="L97" i="264"/>
  <c r="BA216" i="261"/>
  <c r="BA264" i="262"/>
  <c r="AW29" i="267"/>
  <c r="AY3" i="267"/>
  <c r="AW91" i="267"/>
  <c r="AT44" i="267"/>
  <c r="AU4" i="267"/>
  <c r="W291" i="261"/>
  <c r="W14" i="259"/>
  <c r="AY13" i="259"/>
  <c r="AW1292" i="259"/>
  <c r="AE335" i="259"/>
  <c r="AD443" i="259"/>
  <c r="AD443" i="275" s="1"/>
  <c r="AD444" i="259"/>
  <c r="AD444" i="275" s="1"/>
  <c r="AC445" i="259"/>
  <c r="AC445" i="275" s="1"/>
  <c r="AV1046" i="259"/>
  <c r="AY100" i="262"/>
  <c r="AY305" i="261"/>
  <c r="F25" i="263"/>
  <c r="W797" i="259"/>
  <c r="W797" i="275" s="1"/>
  <c r="AY796" i="259"/>
  <c r="K30" i="259"/>
  <c r="K30" i="275" s="1"/>
  <c r="AV305" i="261"/>
  <c r="AV100" i="262"/>
  <c r="O115" i="262"/>
  <c r="Q1344" i="259"/>
  <c r="AE878" i="259"/>
  <c r="AE878" i="275" s="1"/>
  <c r="BA902" i="259"/>
  <c r="AY683" i="259"/>
  <c r="AY229" i="261" s="1"/>
  <c r="AY684" i="259"/>
  <c r="AY676" i="259"/>
  <c r="AY228" i="261" s="1"/>
  <c r="AX683" i="259"/>
  <c r="AX229" i="261" s="1"/>
  <c r="AU676" i="259"/>
  <c r="AU228" i="261" s="1"/>
  <c r="AU683" i="259"/>
  <c r="AU229" i="261" s="1"/>
  <c r="AU684" i="259"/>
  <c r="BA953" i="259"/>
  <c r="BA953" i="275" s="1"/>
  <c r="BD1258" i="259"/>
  <c r="BC1258" i="259"/>
  <c r="BD1254" i="259"/>
  <c r="AU1046" i="259"/>
  <c r="AU1048" i="259" s="1"/>
  <c r="AU1057" i="259" s="1"/>
  <c r="AU184" i="262" s="1"/>
  <c r="G1048" i="259"/>
  <c r="G1057" i="259" s="1"/>
  <c r="BA62" i="262"/>
  <c r="BA105" i="261"/>
  <c r="AU737" i="259"/>
  <c r="AU1271" i="259"/>
  <c r="AE876" i="259"/>
  <c r="AE876" i="275" s="1"/>
  <c r="BA851" i="259"/>
  <c r="BA851" i="275" s="1"/>
  <c r="BA172" i="259"/>
  <c r="BA230" i="259"/>
  <c r="BA230" i="275" s="1"/>
  <c r="AE232" i="259"/>
  <c r="BA267" i="259"/>
  <c r="BA219" i="259"/>
  <c r="BA219" i="275" s="1"/>
  <c r="BA39" i="261"/>
  <c r="AD1018" i="259"/>
  <c r="AD1018" i="275" s="1"/>
  <c r="AD43" i="261"/>
  <c r="AE1016" i="259"/>
  <c r="AE221" i="259"/>
  <c r="BA1263" i="259"/>
  <c r="BA127" i="261"/>
  <c r="BA968" i="259"/>
  <c r="BA968" i="275" s="1"/>
  <c r="BA37" i="261"/>
  <c r="BC397" i="259"/>
  <c r="BD397" i="259"/>
  <c r="AE181" i="259"/>
  <c r="AE210" i="259"/>
  <c r="AE431" i="259"/>
  <c r="AD498" i="259"/>
  <c r="AD63" i="259"/>
  <c r="BA496" i="259"/>
  <c r="BD1253" i="259"/>
  <c r="BC1253" i="259"/>
  <c r="BC1247" i="259"/>
  <c r="K63" i="276" s="1"/>
  <c r="BD1247" i="259"/>
  <c r="BA473" i="259"/>
  <c r="BA473" i="275" s="1"/>
  <c r="BA624" i="259"/>
  <c r="AC157" i="259"/>
  <c r="AE925" i="259"/>
  <c r="AE925" i="275" s="1"/>
  <c r="AE1378" i="259"/>
  <c r="BA871" i="259"/>
  <c r="AD156" i="259"/>
  <c r="AD1250" i="259"/>
  <c r="AD128" i="261" s="1"/>
  <c r="AD1183" i="259"/>
  <c r="T1344" i="259"/>
  <c r="AD161" i="259"/>
  <c r="AE161" i="259"/>
  <c r="AZ159" i="259"/>
  <c r="AZ159" i="275" s="1"/>
  <c r="X1343" i="259"/>
  <c r="X1481" i="259"/>
  <c r="X197" i="262" s="1"/>
  <c r="X806" i="259"/>
  <c r="X806" i="275" s="1"/>
  <c r="X1345" i="259"/>
  <c r="X1342" i="259"/>
  <c r="X235" i="262" s="1"/>
  <c r="X811" i="259"/>
  <c r="X811" i="275" s="1"/>
  <c r="X105" i="262"/>
  <c r="AM31" i="263"/>
  <c r="X1292" i="259"/>
  <c r="AK35" i="263"/>
  <c r="AE1226" i="259"/>
  <c r="AE1214" i="259"/>
  <c r="BA1214" i="259" s="1"/>
  <c r="BA1222" i="259"/>
  <c r="AZ119" i="259"/>
  <c r="AZ119" i="275" s="1"/>
  <c r="AD360" i="259"/>
  <c r="AD1260" i="259"/>
  <c r="AD138" i="261" s="1"/>
  <c r="AD1213" i="259"/>
  <c r="AD1179" i="259"/>
  <c r="AC120" i="259"/>
  <c r="BA617" i="259"/>
  <c r="BA617" i="275" s="1"/>
  <c r="AE619" i="259"/>
  <c r="AC1265" i="259"/>
  <c r="AZ1180" i="259"/>
  <c r="S1048" i="259"/>
  <c r="BA1026" i="259"/>
  <c r="BA1026" i="275" s="1"/>
  <c r="AE59" i="261"/>
  <c r="AE1028" i="259"/>
  <c r="AE1028" i="275" s="1"/>
  <c r="AD1227" i="259"/>
  <c r="AD1264" i="259"/>
  <c r="AD156" i="262" s="1"/>
  <c r="AC359" i="259"/>
  <c r="AC1178" i="259"/>
  <c r="AD132" i="259"/>
  <c r="AD371" i="259"/>
  <c r="AZ1325" i="259"/>
  <c r="AZ252" i="262" s="1"/>
  <c r="J33" i="263"/>
  <c r="AZ123" i="262"/>
  <c r="BA160" i="261"/>
  <c r="BA38" i="259"/>
  <c r="BA38" i="275" s="1"/>
  <c r="BA514" i="259"/>
  <c r="AD979" i="259"/>
  <c r="AD979" i="275" s="1"/>
  <c r="AB1293" i="259"/>
  <c r="AC1318" i="259"/>
  <c r="AD462" i="259"/>
  <c r="AD1084" i="259" s="1"/>
  <c r="AD453" i="259"/>
  <c r="AY737" i="259"/>
  <c r="AY241" i="261"/>
  <c r="AY1271" i="259"/>
  <c r="AE977" i="259"/>
  <c r="AE977" i="275" s="1"/>
  <c r="BA416" i="259"/>
  <c r="BA416" i="275" s="1"/>
  <c r="AE458" i="259"/>
  <c r="AE418" i="259"/>
  <c r="AE451" i="259"/>
  <c r="AE370" i="259"/>
  <c r="AE376" i="259"/>
  <c r="AC1266" i="259"/>
  <c r="AC150" i="262" s="1"/>
  <c r="BA375" i="259"/>
  <c r="BA375" i="275" s="1"/>
  <c r="X1048" i="259"/>
  <c r="AX1271" i="259"/>
  <c r="T1048" i="259"/>
  <c r="I114" i="262"/>
  <c r="I1336" i="259"/>
  <c r="I319" i="261" s="1"/>
  <c r="J1336" i="259"/>
  <c r="J319" i="261" s="1"/>
  <c r="T121" i="262"/>
  <c r="T112" i="262"/>
  <c r="T807" i="259"/>
  <c r="Q121" i="262"/>
  <c r="Q112" i="262"/>
  <c r="Q807" i="259"/>
  <c r="Q114" i="262"/>
  <c r="T1336" i="259"/>
  <c r="T319" i="261" s="1"/>
  <c r="T114" i="262"/>
  <c r="U1336" i="259"/>
  <c r="U319" i="261" s="1"/>
  <c r="I112" i="262"/>
  <c r="I121" i="262"/>
  <c r="I807" i="259"/>
  <c r="I1344" i="259"/>
  <c r="AB1427" i="259" l="1"/>
  <c r="AB1428" i="259" s="1"/>
  <c r="AB1416" i="259"/>
  <c r="AB331" i="261" s="1"/>
  <c r="AE275" i="259"/>
  <c r="AG227" i="259"/>
  <c r="AG227" i="275" s="1"/>
  <c r="AF335" i="259"/>
  <c r="AF444" i="259" s="1"/>
  <c r="AF444" i="275" s="1"/>
  <c r="AF232" i="259"/>
  <c r="AF967" i="259" s="1"/>
  <c r="AF340" i="259"/>
  <c r="AF340" i="275" s="1"/>
  <c r="BA298" i="259"/>
  <c r="BA298" i="275" s="1"/>
  <c r="AD430" i="275"/>
  <c r="BA311" i="259"/>
  <c r="BA13" i="261" s="1"/>
  <c r="AD432" i="259"/>
  <c r="AD131" i="259" s="1"/>
  <c r="AC151" i="259"/>
  <c r="AC151" i="275" s="1"/>
  <c r="AH831" i="259"/>
  <c r="AH831" i="275" s="1"/>
  <c r="BA1201" i="259"/>
  <c r="BA1255" i="259" s="1"/>
  <c r="AF973" i="259"/>
  <c r="AF973" i="275" s="1"/>
  <c r="AF334" i="259"/>
  <c r="AF334" i="275" s="1"/>
  <c r="AF333" i="259"/>
  <c r="AF333" i="275" s="1"/>
  <c r="AG336" i="259"/>
  <c r="AG336" i="275" s="1"/>
  <c r="V1336" i="259"/>
  <c r="V319" i="261" s="1"/>
  <c r="AV291" i="261"/>
  <c r="O114" i="262"/>
  <c r="AF234" i="259"/>
  <c r="AF234" i="275" s="1"/>
  <c r="AG230" i="259"/>
  <c r="AG234" i="259" s="1"/>
  <c r="AG234" i="275" s="1"/>
  <c r="Q1336" i="259"/>
  <c r="Q319" i="261" s="1"/>
  <c r="AV14" i="259"/>
  <c r="AV14" i="275" s="1"/>
  <c r="AC432" i="275"/>
  <c r="AF854" i="275"/>
  <c r="AG854" i="259"/>
  <c r="AG878" i="259" s="1"/>
  <c r="AG878" i="275" s="1"/>
  <c r="O1344" i="259"/>
  <c r="AX1481" i="259"/>
  <c r="AX197" i="262" s="1"/>
  <c r="AX1484" i="259"/>
  <c r="AX1343" i="259"/>
  <c r="AX806" i="259"/>
  <c r="AX1483" i="259"/>
  <c r="AX198" i="262" s="1"/>
  <c r="AX1485" i="259"/>
  <c r="AX199" i="262" s="1"/>
  <c r="AX105" i="262"/>
  <c r="AX1342" i="259"/>
  <c r="AX1486" i="259"/>
  <c r="AX1482" i="259"/>
  <c r="AX1480" i="259"/>
  <c r="AX804" i="259"/>
  <c r="AX811" i="259"/>
  <c r="AX813" i="259" s="1"/>
  <c r="AX1345" i="259"/>
  <c r="S1336" i="259"/>
  <c r="S319" i="261" s="1"/>
  <c r="AX737" i="259"/>
  <c r="AX676" i="259"/>
  <c r="AX228" i="261" s="1"/>
  <c r="O1336" i="259"/>
  <c r="O319" i="261" s="1"/>
  <c r="E253" i="262"/>
  <c r="E114" i="262"/>
  <c r="E122" i="262"/>
  <c r="H1336" i="259"/>
  <c r="H319" i="261" s="1"/>
  <c r="E121" i="262"/>
  <c r="E112" i="262"/>
  <c r="E807" i="259"/>
  <c r="E115" i="262" s="1"/>
  <c r="I807" i="275"/>
  <c r="R1336" i="259"/>
  <c r="R319" i="261" s="1"/>
  <c r="AX241" i="261"/>
  <c r="AV796" i="259"/>
  <c r="AW811" i="259"/>
  <c r="AW813" i="259" s="1"/>
  <c r="AW1485" i="259"/>
  <c r="AW199" i="262" s="1"/>
  <c r="AW1483" i="259"/>
  <c r="AW198" i="262" s="1"/>
  <c r="AU1480" i="259"/>
  <c r="AU1486" i="259"/>
  <c r="AU1483" i="259"/>
  <c r="AU198" i="262" s="1"/>
  <c r="AU806" i="259"/>
  <c r="AU1481" i="259"/>
  <c r="AU197" i="262" s="1"/>
  <c r="AU1342" i="259"/>
  <c r="AU1484" i="259"/>
  <c r="AU1343" i="259"/>
  <c r="AU804" i="259"/>
  <c r="AU1345" i="259"/>
  <c r="AU1485" i="259"/>
  <c r="AU199" i="262" s="1"/>
  <c r="AU105" i="262"/>
  <c r="AU1482" i="259"/>
  <c r="AU811" i="259"/>
  <c r="AU813" i="259" s="1"/>
  <c r="AU254" i="262" s="1"/>
  <c r="E235" i="262"/>
  <c r="E1344" i="259"/>
  <c r="E237" i="262"/>
  <c r="E236" i="262"/>
  <c r="AW806" i="259"/>
  <c r="AW1343" i="259"/>
  <c r="AW236" i="262" s="1"/>
  <c r="AW1486" i="259"/>
  <c r="E77" i="259"/>
  <c r="I77" i="275" s="1"/>
  <c r="E195" i="262"/>
  <c r="AI892" i="275"/>
  <c r="BB892" i="259"/>
  <c r="BB892" i="275" s="1"/>
  <c r="AI893" i="275"/>
  <c r="BB893" i="259"/>
  <c r="BB893" i="275" s="1"/>
  <c r="BA871" i="275"/>
  <c r="BB867" i="275"/>
  <c r="BC867" i="259"/>
  <c r="BC921" i="259" s="1"/>
  <c r="BC921" i="275" s="1"/>
  <c r="AI1470" i="259"/>
  <c r="AI344" i="261" s="1"/>
  <c r="AH344" i="261"/>
  <c r="AI1366" i="259"/>
  <c r="BB1366" i="259" s="1"/>
  <c r="AW122" i="262"/>
  <c r="BB894" i="259"/>
  <c r="BB894" i="275" s="1"/>
  <c r="BB1473" i="259"/>
  <c r="BB1474" i="259" s="1"/>
  <c r="BB862" i="275"/>
  <c r="BB173" i="262"/>
  <c r="BC862" i="259"/>
  <c r="BC916" i="259" s="1"/>
  <c r="BC916" i="275" s="1"/>
  <c r="BC844" i="259"/>
  <c r="BC894" i="259" s="1"/>
  <c r="BB844" i="275"/>
  <c r="AI1309" i="259"/>
  <c r="BB1309" i="259" s="1"/>
  <c r="AI168" i="262"/>
  <c r="BB843" i="259"/>
  <c r="AI843" i="275"/>
  <c r="BC863" i="259"/>
  <c r="BB863" i="275"/>
  <c r="AF871" i="275"/>
  <c r="AF1378" i="259"/>
  <c r="AF1377" i="259" s="1"/>
  <c r="AF1361" i="259" s="1"/>
  <c r="AG871" i="259"/>
  <c r="AG925" i="259" s="1"/>
  <c r="AG925" i="275" s="1"/>
  <c r="AX1044" i="275"/>
  <c r="BD864" i="259"/>
  <c r="BC864" i="275"/>
  <c r="AI1308" i="259"/>
  <c r="BB1308" i="259" s="1"/>
  <c r="AI167" i="262"/>
  <c r="BB842" i="259"/>
  <c r="AI842" i="275"/>
  <c r="AI1367" i="259"/>
  <c r="BB1367" i="259" s="1"/>
  <c r="R127" i="264"/>
  <c r="T127" i="264" s="1"/>
  <c r="BC218" i="259"/>
  <c r="V127" i="264" s="1"/>
  <c r="X127" i="264" s="1"/>
  <c r="BB218" i="275"/>
  <c r="AG436" i="259"/>
  <c r="AG436" i="275" s="1"/>
  <c r="AG833" i="259"/>
  <c r="AG833" i="275" s="1"/>
  <c r="AG413" i="259"/>
  <c r="AG413" i="275" s="1"/>
  <c r="AZ487" i="259"/>
  <c r="AZ1614" i="259" s="1"/>
  <c r="AZ1613" i="259" s="1"/>
  <c r="BB182" i="262"/>
  <c r="BC607" i="259"/>
  <c r="BC607" i="275" s="1"/>
  <c r="AG226" i="259"/>
  <c r="AG226" i="275" s="1"/>
  <c r="AF1225" i="259"/>
  <c r="AF1262" i="259" s="1"/>
  <c r="AF154" i="262" s="1"/>
  <c r="AG412" i="275"/>
  <c r="AF360" i="259"/>
  <c r="AF1260" i="259"/>
  <c r="AF138" i="261" s="1"/>
  <c r="AF1213" i="259"/>
  <c r="AH1055" i="275"/>
  <c r="AH886" i="259"/>
  <c r="AH886" i="275" s="1"/>
  <c r="AH497" i="259"/>
  <c r="AH497" i="275" s="1"/>
  <c r="AH147" i="262"/>
  <c r="AH1230" i="259"/>
  <c r="BB269" i="261"/>
  <c r="BC904" i="259"/>
  <c r="BB904" i="275"/>
  <c r="AF1618" i="259"/>
  <c r="AF282" i="262" s="1"/>
  <c r="AF498" i="259"/>
  <c r="AF63" i="259"/>
  <c r="AF496" i="275"/>
  <c r="AF353" i="259"/>
  <c r="AF376" i="275"/>
  <c r="AG1006" i="275"/>
  <c r="AG836" i="259"/>
  <c r="AH1006" i="259"/>
  <c r="AF37" i="262"/>
  <c r="AF476" i="259"/>
  <c r="AF167" i="261"/>
  <c r="AF473" i="275"/>
  <c r="AG953" i="259"/>
  <c r="AG901" i="275"/>
  <c r="AH901" i="259"/>
  <c r="AG902" i="259"/>
  <c r="AH1017" i="259"/>
  <c r="AH1017" i="275" s="1"/>
  <c r="AH1188" i="259"/>
  <c r="AI214" i="259"/>
  <c r="AH63" i="261"/>
  <c r="AH214" i="275"/>
  <c r="AH171" i="259"/>
  <c r="AF132" i="262"/>
  <c r="AF133" i="275"/>
  <c r="AG215" i="275"/>
  <c r="AG178" i="259"/>
  <c r="AH215" i="259"/>
  <c r="AG196" i="259"/>
  <c r="AG64" i="261"/>
  <c r="AG1039" i="259"/>
  <c r="AH691" i="259"/>
  <c r="AG691" i="275"/>
  <c r="AF435" i="275"/>
  <c r="AG498" i="259"/>
  <c r="AG498" i="275" s="1"/>
  <c r="AG1618" i="259"/>
  <c r="AG282" i="262" s="1"/>
  <c r="AG63" i="259"/>
  <c r="AG496" i="275"/>
  <c r="AH402" i="275"/>
  <c r="AH82" i="261"/>
  <c r="AI402" i="259"/>
  <c r="BB402" i="259" s="1"/>
  <c r="AH379" i="259"/>
  <c r="AH952" i="275"/>
  <c r="AF1026" i="275"/>
  <c r="AF183" i="262"/>
  <c r="AF457" i="275"/>
  <c r="AF1022" i="275"/>
  <c r="AH690" i="275"/>
  <c r="AI690" i="259"/>
  <c r="BB690" i="259" s="1"/>
  <c r="AH1038" i="259"/>
  <c r="AG828" i="275"/>
  <c r="AH828" i="259"/>
  <c r="AG852" i="275"/>
  <c r="AH852" i="259"/>
  <c r="AG133" i="259"/>
  <c r="AG167" i="275"/>
  <c r="AI182" i="262"/>
  <c r="AI474" i="259"/>
  <c r="BB474" i="259" s="1"/>
  <c r="R95" i="264" s="1"/>
  <c r="T95" i="264" s="1"/>
  <c r="AI510" i="259"/>
  <c r="BB510" i="259" s="1"/>
  <c r="AI607" i="275"/>
  <c r="AI1231" i="259"/>
  <c r="AI1055" i="259"/>
  <c r="AI491" i="259"/>
  <c r="AI857" i="275"/>
  <c r="BB857" i="259"/>
  <c r="AH829" i="259"/>
  <c r="AG829" i="275"/>
  <c r="AF369" i="275"/>
  <c r="AF836" i="275"/>
  <c r="AF179" i="262"/>
  <c r="AF55" i="262"/>
  <c r="AG854" i="275"/>
  <c r="AF617" i="275"/>
  <c r="AF619" i="259"/>
  <c r="AG617" i="259"/>
  <c r="AH622" i="259"/>
  <c r="AG473" i="259"/>
  <c r="AG624" i="259"/>
  <c r="AG622" i="275"/>
  <c r="AG225" i="259"/>
  <c r="AG228" i="275"/>
  <c r="AG968" i="259"/>
  <c r="AH228" i="259"/>
  <c r="AG905" i="275"/>
  <c r="AH905" i="259"/>
  <c r="AF174" i="259"/>
  <c r="AF196" i="275"/>
  <c r="BB67" i="261"/>
  <c r="BB40" i="261"/>
  <c r="BB271" i="259"/>
  <c r="AF851" i="275"/>
  <c r="AF876" i="259"/>
  <c r="AF876" i="275" s="1"/>
  <c r="AG851" i="259"/>
  <c r="AF303" i="259"/>
  <c r="AF301" i="275"/>
  <c r="AF1183" i="259"/>
  <c r="AF156" i="259"/>
  <c r="AF1179" i="259"/>
  <c r="AH1042" i="259"/>
  <c r="AI694" i="259"/>
  <c r="AH694" i="275"/>
  <c r="AI952" i="259"/>
  <c r="AI900" i="275"/>
  <c r="AF370" i="259"/>
  <c r="AF451" i="259"/>
  <c r="AF375" i="275"/>
  <c r="AF291" i="259"/>
  <c r="AF298" i="259"/>
  <c r="AF296" i="275"/>
  <c r="AH374" i="259"/>
  <c r="AI403" i="259"/>
  <c r="AH1218" i="259"/>
  <c r="AH81" i="261"/>
  <c r="AH1027" i="259"/>
  <c r="AH403" i="275"/>
  <c r="AG292" i="259"/>
  <c r="AG292" i="275" s="1"/>
  <c r="AG297" i="275"/>
  <c r="AF974" i="259"/>
  <c r="AF974" i="275" s="1"/>
  <c r="AF972" i="275"/>
  <c r="AI618" i="259"/>
  <c r="AH618" i="275"/>
  <c r="AG231" i="275"/>
  <c r="AH231" i="259"/>
  <c r="BB268" i="261"/>
  <c r="BC903" i="259"/>
  <c r="BB903" i="275"/>
  <c r="BB151" i="261"/>
  <c r="BB1055" i="259"/>
  <c r="BB1055" i="275" s="1"/>
  <c r="BB607" i="275"/>
  <c r="AH38" i="259"/>
  <c r="AH38" i="275" s="1"/>
  <c r="AH510" i="275"/>
  <c r="AF436" i="275"/>
  <c r="AI888" i="259"/>
  <c r="AH185" i="262"/>
  <c r="AH888" i="275"/>
  <c r="AF162" i="261"/>
  <c r="AF624" i="275"/>
  <c r="AF968" i="275"/>
  <c r="AF953" i="275"/>
  <c r="AF354" i="259"/>
  <c r="AF381" i="275"/>
  <c r="AF181" i="259"/>
  <c r="AF210" i="259"/>
  <c r="AH167" i="259"/>
  <c r="AH173" i="275"/>
  <c r="AG381" i="259"/>
  <c r="AG379" i="275"/>
  <c r="BC900" i="259"/>
  <c r="BB900" i="275"/>
  <c r="AH405" i="259"/>
  <c r="AG375" i="259"/>
  <c r="AG376" i="259" s="1"/>
  <c r="AG1222" i="259"/>
  <c r="AG405" i="275"/>
  <c r="AG1026" i="259"/>
  <c r="AG407" i="259"/>
  <c r="AG84" i="261"/>
  <c r="AF166" i="259"/>
  <c r="AF172" i="275"/>
  <c r="AH325" i="259"/>
  <c r="AG73" i="261"/>
  <c r="AG296" i="259"/>
  <c r="AG1205" i="259"/>
  <c r="AG1201" i="259" s="1"/>
  <c r="AG329" i="259"/>
  <c r="AG325" i="275"/>
  <c r="AG1022" i="259"/>
  <c r="AG1022" i="275" s="1"/>
  <c r="AG435" i="259"/>
  <c r="AG435" i="275" s="1"/>
  <c r="AG1027" i="275"/>
  <c r="AG416" i="259"/>
  <c r="AF458" i="259"/>
  <c r="AF458" i="275" s="1"/>
  <c r="AF416" i="275"/>
  <c r="AF977" i="259"/>
  <c r="AG338" i="275"/>
  <c r="AG972" i="259"/>
  <c r="AH338" i="259"/>
  <c r="BB161" i="261"/>
  <c r="BC623" i="259"/>
  <c r="BB623" i="275"/>
  <c r="AH38" i="262"/>
  <c r="AH168" i="261"/>
  <c r="AH474" i="275"/>
  <c r="AG171" i="275"/>
  <c r="AF906" i="259"/>
  <c r="AF431" i="259"/>
  <c r="BB856" i="259"/>
  <c r="AI856" i="275"/>
  <c r="AI67" i="261"/>
  <c r="AI1196" i="259"/>
  <c r="BB1196" i="259" s="1"/>
  <c r="BB1249" i="259" s="1"/>
  <c r="AI173" i="259"/>
  <c r="AI218" i="275"/>
  <c r="AG74" i="261"/>
  <c r="AG324" i="275"/>
  <c r="AH324" i="259"/>
  <c r="AG301" i="259"/>
  <c r="AH910" i="275"/>
  <c r="AH954" i="259"/>
  <c r="AI910" i="259"/>
  <c r="AF1226" i="259"/>
  <c r="AF1028" i="259"/>
  <c r="AF1028" i="275" s="1"/>
  <c r="AF59" i="261"/>
  <c r="AF407" i="275"/>
  <c r="AF86" i="261"/>
  <c r="AF219" i="275"/>
  <c r="AF41" i="261"/>
  <c r="AF68" i="261"/>
  <c r="AF1016" i="259"/>
  <c r="AF1031" i="259" s="1"/>
  <c r="AF221" i="259"/>
  <c r="AG219" i="259"/>
  <c r="AG217" i="275"/>
  <c r="AH217" i="259"/>
  <c r="AG66" i="261"/>
  <c r="AG172" i="259"/>
  <c r="AG457" i="259"/>
  <c r="AG1192" i="259"/>
  <c r="AG1184" i="259" s="1"/>
  <c r="AG414" i="275"/>
  <c r="AH414" i="259"/>
  <c r="AG978" i="259"/>
  <c r="AG978" i="275" s="1"/>
  <c r="AF51" i="261"/>
  <c r="AF78" i="261"/>
  <c r="AF1023" i="259"/>
  <c r="AF1023" i="275" s="1"/>
  <c r="AF329" i="275"/>
  <c r="AF1255" i="259"/>
  <c r="AF133" i="261" s="1"/>
  <c r="AF1200" i="259"/>
  <c r="AF282" i="259"/>
  <c r="AF282" i="275" s="1"/>
  <c r="AG369" i="259"/>
  <c r="AG374" i="275"/>
  <c r="AG692" i="259"/>
  <c r="AH297" i="259"/>
  <c r="AH327" i="275"/>
  <c r="AI327" i="259"/>
  <c r="BB327" i="259" s="1"/>
  <c r="AH1209" i="259"/>
  <c r="AH1021" i="259"/>
  <c r="AH76" i="261"/>
  <c r="AH475" i="275"/>
  <c r="AH39" i="262"/>
  <c r="AH169" i="261"/>
  <c r="AI475" i="259"/>
  <c r="BB475" i="259" s="1"/>
  <c r="AG411" i="259"/>
  <c r="AH832" i="259"/>
  <c r="BG93" i="264"/>
  <c r="BE97" i="264"/>
  <c r="BI109" i="264"/>
  <c r="BK109" i="264" s="1"/>
  <c r="BK90" i="264"/>
  <c r="BI93" i="264"/>
  <c r="BM109" i="264"/>
  <c r="BO109" i="264" s="1"/>
  <c r="BM93" i="264"/>
  <c r="BO90" i="264"/>
  <c r="BA56" i="264"/>
  <c r="BI57" i="264"/>
  <c r="BO57" i="264"/>
  <c r="BM71" i="264"/>
  <c r="BO71" i="264" s="1"/>
  <c r="AD146" i="262"/>
  <c r="BI63" i="264"/>
  <c r="AC141" i="275"/>
  <c r="AE451" i="275"/>
  <c r="AD453" i="275"/>
  <c r="AE370" i="275"/>
  <c r="AD132" i="275"/>
  <c r="AC359" i="275"/>
  <c r="AC120" i="275"/>
  <c r="AD360" i="275"/>
  <c r="AD156" i="275"/>
  <c r="AC157" i="275"/>
  <c r="AE210" i="275"/>
  <c r="AD168" i="275"/>
  <c r="AE165" i="259"/>
  <c r="AE168" i="259" s="1"/>
  <c r="AC113" i="275"/>
  <c r="AC355" i="275"/>
  <c r="AD282" i="275"/>
  <c r="AD275" i="275"/>
  <c r="AE293" i="259"/>
  <c r="AD149" i="259"/>
  <c r="AD113" i="259" s="1"/>
  <c r="AE143" i="262"/>
  <c r="AD293" i="275"/>
  <c r="AC168" i="275"/>
  <c r="AC149" i="275"/>
  <c r="AD371" i="275"/>
  <c r="AC134" i="259"/>
  <c r="BE27" i="264" s="1"/>
  <c r="AD353" i="275"/>
  <c r="AE275" i="275"/>
  <c r="AD165" i="275"/>
  <c r="AE498" i="275"/>
  <c r="AE472" i="275"/>
  <c r="AF567" i="259"/>
  <c r="AF201" i="261" s="1"/>
  <c r="AI472" i="275"/>
  <c r="AI570" i="259"/>
  <c r="AI207" i="261" s="1"/>
  <c r="AD472" i="275"/>
  <c r="AH570" i="259"/>
  <c r="AH207" i="261" s="1"/>
  <c r="AH472" i="275"/>
  <c r="H807" i="275"/>
  <c r="H115" i="262"/>
  <c r="AE1255" i="259"/>
  <c r="AE133" i="261" s="1"/>
  <c r="BA291" i="259"/>
  <c r="BA291" i="275" s="1"/>
  <c r="AD355" i="259"/>
  <c r="AD141" i="259" s="1"/>
  <c r="BA973" i="259"/>
  <c r="BA973" i="275" s="1"/>
  <c r="AE175" i="259"/>
  <c r="AE175" i="275" s="1"/>
  <c r="BA878" i="259"/>
  <c r="BA878" i="275" s="1"/>
  <c r="AZ1506" i="259"/>
  <c r="AZ113" i="261" s="1"/>
  <c r="AE63" i="275"/>
  <c r="AC357" i="259"/>
  <c r="AC363" i="259" s="1"/>
  <c r="AE983" i="259"/>
  <c r="AE983" i="275" s="1"/>
  <c r="BA174" i="259"/>
  <c r="BA174" i="275" s="1"/>
  <c r="AW1296" i="259"/>
  <c r="AW1297" i="259" s="1"/>
  <c r="AW1299" i="259" s="1"/>
  <c r="K1292" i="259"/>
  <c r="K1296" i="259" s="1"/>
  <c r="AV1296" i="259" s="1"/>
  <c r="AW13" i="275"/>
  <c r="AX698" i="275"/>
  <c r="AE291" i="275"/>
  <c r="X1057" i="259"/>
  <c r="X1048" i="275"/>
  <c r="AX1048" i="259"/>
  <c r="AG31" i="263"/>
  <c r="AG18" i="264" s="1"/>
  <c r="W14" i="275"/>
  <c r="U1048" i="259"/>
  <c r="U1046" i="275"/>
  <c r="P1048" i="259"/>
  <c r="T1048" i="275" s="1"/>
  <c r="P1046" i="275"/>
  <c r="P806" i="275"/>
  <c r="P114" i="262"/>
  <c r="P253" i="262"/>
  <c r="P122" i="262"/>
  <c r="R237" i="262"/>
  <c r="R236" i="262"/>
  <c r="M804" i="275"/>
  <c r="M112" i="262"/>
  <c r="M807" i="259"/>
  <c r="Q807" i="275" s="1"/>
  <c r="M121" i="262"/>
  <c r="M237" i="262"/>
  <c r="M236" i="262"/>
  <c r="M813" i="259"/>
  <c r="M811" i="275"/>
  <c r="V1048" i="259"/>
  <c r="V1046" i="275"/>
  <c r="P1336" i="259"/>
  <c r="P319" i="261" s="1"/>
  <c r="S806" i="275"/>
  <c r="O122" i="262"/>
  <c r="Q1046" i="275"/>
  <c r="Q1048" i="259"/>
  <c r="M250" i="261"/>
  <c r="M152" i="262"/>
  <c r="O250" i="261"/>
  <c r="O152" i="262"/>
  <c r="V235" i="262"/>
  <c r="V1344" i="259"/>
  <c r="O27" i="275"/>
  <c r="AY698" i="275"/>
  <c r="W1057" i="259"/>
  <c r="W1048" i="275"/>
  <c r="Q254" i="262"/>
  <c r="Q813" i="275"/>
  <c r="AW698" i="275"/>
  <c r="AW241" i="261"/>
  <c r="AW684" i="259"/>
  <c r="AW1271" i="259"/>
  <c r="AW683" i="259"/>
  <c r="AW229" i="261" s="1"/>
  <c r="AW676" i="259"/>
  <c r="AW228" i="261" s="1"/>
  <c r="AW737" i="259"/>
  <c r="AW1484" i="259"/>
  <c r="AW804" i="259"/>
  <c r="AW1345" i="259"/>
  <c r="AW237" i="262" s="1"/>
  <c r="AW1480" i="259"/>
  <c r="AW1342" i="259"/>
  <c r="AW1481" i="259"/>
  <c r="AW197" i="262" s="1"/>
  <c r="AW105" i="262"/>
  <c r="U813" i="259"/>
  <c r="U811" i="275"/>
  <c r="L813" i="259"/>
  <c r="L811" i="275"/>
  <c r="F84" i="264"/>
  <c r="H84" i="264" s="1"/>
  <c r="H53" i="264"/>
  <c r="T254" i="262"/>
  <c r="T1057" i="259"/>
  <c r="AY250" i="261"/>
  <c r="AY152" i="262"/>
  <c r="S1057" i="259"/>
  <c r="S959" i="259" s="1"/>
  <c r="AV1048" i="259"/>
  <c r="AV1046" i="275"/>
  <c r="P250" i="261"/>
  <c r="P152" i="262"/>
  <c r="P813" i="259"/>
  <c r="T813" i="275" s="1"/>
  <c r="P811" i="275"/>
  <c r="R235" i="262"/>
  <c r="R1344" i="259"/>
  <c r="M806" i="275"/>
  <c r="M122" i="262"/>
  <c r="M253" i="262"/>
  <c r="M114" i="262"/>
  <c r="J1057" i="259"/>
  <c r="J1048" i="275"/>
  <c r="O30" i="275"/>
  <c r="I254" i="262"/>
  <c r="I813" i="275"/>
  <c r="Q152" i="262"/>
  <c r="Q250" i="261"/>
  <c r="V804" i="275"/>
  <c r="V121" i="262"/>
  <c r="V112" i="262"/>
  <c r="V807" i="259"/>
  <c r="K1046" i="275"/>
  <c r="K1048" i="259"/>
  <c r="N254" i="262"/>
  <c r="N813" i="275"/>
  <c r="T806" i="275"/>
  <c r="AW30" i="259"/>
  <c r="AX14" i="275"/>
  <c r="AW26" i="259"/>
  <c r="AW27" i="259"/>
  <c r="O813" i="259"/>
  <c r="S811" i="275"/>
  <c r="AX811" i="275"/>
  <c r="L1046" i="275"/>
  <c r="L1048" i="259"/>
  <c r="AW1046" i="259"/>
  <c r="Q804" i="275"/>
  <c r="L77" i="259"/>
  <c r="L77" i="275" s="1"/>
  <c r="L195" i="262"/>
  <c r="L804" i="275"/>
  <c r="L121" i="262"/>
  <c r="L112" i="262"/>
  <c r="L807" i="259"/>
  <c r="AW1044" i="275"/>
  <c r="P1296" i="259"/>
  <c r="AX1296" i="259" s="1"/>
  <c r="AX1292" i="259"/>
  <c r="N807" i="275"/>
  <c r="N115" i="262"/>
  <c r="O797" i="275"/>
  <c r="AV250" i="261"/>
  <c r="AV152" i="262"/>
  <c r="AY1048" i="259"/>
  <c r="AY1046" i="275"/>
  <c r="AX250" i="261"/>
  <c r="AX152" i="262"/>
  <c r="AY797" i="259"/>
  <c r="AY797" i="275" s="1"/>
  <c r="AY796" i="275"/>
  <c r="AY104" i="262"/>
  <c r="U152" i="262"/>
  <c r="U250" i="261"/>
  <c r="P804" i="275"/>
  <c r="P121" i="262"/>
  <c r="P807" i="259"/>
  <c r="P112" i="262"/>
  <c r="R121" i="262"/>
  <c r="R804" i="275"/>
  <c r="R807" i="259"/>
  <c r="R112" i="262"/>
  <c r="R806" i="275"/>
  <c r="R114" i="262"/>
  <c r="R122" i="262"/>
  <c r="R253" i="262"/>
  <c r="M195" i="262"/>
  <c r="M77" i="259"/>
  <c r="M77" i="275" s="1"/>
  <c r="K796" i="275"/>
  <c r="K104" i="262"/>
  <c r="O796" i="275"/>
  <c r="Q806" i="275"/>
  <c r="M1048" i="259"/>
  <c r="M1046" i="275"/>
  <c r="O1048" i="259"/>
  <c r="O1046" i="275"/>
  <c r="V806" i="275"/>
  <c r="V122" i="262"/>
  <c r="V114" i="262"/>
  <c r="V253" i="262"/>
  <c r="V813" i="259"/>
  <c r="V811" i="275"/>
  <c r="K152" i="262"/>
  <c r="K250" i="261"/>
  <c r="J1346" i="259"/>
  <c r="J239" i="262"/>
  <c r="J807" i="275"/>
  <c r="J115" i="262"/>
  <c r="N1048" i="259"/>
  <c r="R1048" i="275" s="1"/>
  <c r="N1046" i="275"/>
  <c r="AX254" i="262"/>
  <c r="J254" i="262"/>
  <c r="J813" i="275"/>
  <c r="L152" i="262"/>
  <c r="L250" i="261"/>
  <c r="AY1044" i="275"/>
  <c r="U195" i="262"/>
  <c r="U77" i="259"/>
  <c r="U77" i="275" s="1"/>
  <c r="L235" i="262"/>
  <c r="L1344" i="259"/>
  <c r="L806" i="275"/>
  <c r="L122" i="262"/>
  <c r="L253" i="262"/>
  <c r="L114" i="262"/>
  <c r="H239" i="262"/>
  <c r="H1346" i="259"/>
  <c r="R1046" i="275"/>
  <c r="N239" i="262"/>
  <c r="N1346" i="259"/>
  <c r="O121" i="262"/>
  <c r="S804" i="275"/>
  <c r="AU250" i="261"/>
  <c r="AU152" i="262"/>
  <c r="AV797" i="259"/>
  <c r="AV797" i="275" s="1"/>
  <c r="AV796" i="275"/>
  <c r="AV104" i="262"/>
  <c r="AY291" i="261"/>
  <c r="AY13" i="275"/>
  <c r="S807" i="275"/>
  <c r="P236" i="262"/>
  <c r="P237" i="262"/>
  <c r="P235" i="262"/>
  <c r="P1344" i="259"/>
  <c r="P77" i="259"/>
  <c r="P77" i="275" s="1"/>
  <c r="P195" i="262"/>
  <c r="R813" i="259"/>
  <c r="R811" i="275"/>
  <c r="R77" i="259"/>
  <c r="R77" i="275" s="1"/>
  <c r="R195" i="262"/>
  <c r="M235" i="262"/>
  <c r="M1344" i="259"/>
  <c r="V152" i="262"/>
  <c r="V250" i="261"/>
  <c r="N77" i="275"/>
  <c r="O26" i="275"/>
  <c r="W796" i="275"/>
  <c r="W104" i="262"/>
  <c r="V195" i="262"/>
  <c r="V77" i="259"/>
  <c r="V237" i="262"/>
  <c r="V236" i="262"/>
  <c r="N152" i="262"/>
  <c r="N250" i="261"/>
  <c r="I1057" i="259"/>
  <c r="I1048" i="275"/>
  <c r="F240" i="262"/>
  <c r="F1347" i="259"/>
  <c r="F1348" i="259" s="1"/>
  <c r="T804" i="275"/>
  <c r="H1057" i="259"/>
  <c r="H1048" i="275"/>
  <c r="Q811" i="275"/>
  <c r="AW796" i="275"/>
  <c r="T1046" i="275"/>
  <c r="U806" i="275"/>
  <c r="U253" i="262"/>
  <c r="U122" i="262"/>
  <c r="U114" i="262"/>
  <c r="U235" i="262"/>
  <c r="U1344" i="259"/>
  <c r="U237" i="262"/>
  <c r="U236" i="262"/>
  <c r="U804" i="275"/>
  <c r="U121" i="262"/>
  <c r="U807" i="259"/>
  <c r="U112" i="262"/>
  <c r="S240" i="262"/>
  <c r="S1347" i="259"/>
  <c r="S1348" i="259" s="1"/>
  <c r="L237" i="262"/>
  <c r="L236" i="262"/>
  <c r="R1057" i="259"/>
  <c r="T811" i="275"/>
  <c r="AE277" i="259"/>
  <c r="AE279" i="259" s="1"/>
  <c r="Q77" i="275"/>
  <c r="S77" i="275"/>
  <c r="AC37" i="259"/>
  <c r="AZ50" i="259"/>
  <c r="AZ126" i="262" s="1"/>
  <c r="BA414" i="259"/>
  <c r="BA414" i="275" s="1"/>
  <c r="AZ117" i="259"/>
  <c r="AZ117" i="275" s="1"/>
  <c r="AW42" i="264"/>
  <c r="AY42" i="264" s="1"/>
  <c r="BA275" i="259"/>
  <c r="BA275" i="275" s="1"/>
  <c r="AE974" i="259"/>
  <c r="AE974" i="275" s="1"/>
  <c r="AC115" i="259"/>
  <c r="AA126" i="262"/>
  <c r="AS8" i="264"/>
  <c r="AE234" i="275"/>
  <c r="AZ142" i="275"/>
  <c r="AZ143" i="259"/>
  <c r="BA162" i="261"/>
  <c r="BA624" i="275"/>
  <c r="AD143" i="262"/>
  <c r="AD63" i="275"/>
  <c r="BA902" i="275"/>
  <c r="AZ285" i="259"/>
  <c r="BA906" i="259"/>
  <c r="BA906" i="275" s="1"/>
  <c r="AE906" i="275"/>
  <c r="AE430" i="259"/>
  <c r="AE174" i="275"/>
  <c r="AE614" i="259"/>
  <c r="AE619" i="275"/>
  <c r="BA498" i="259"/>
  <c r="BA498" i="275" s="1"/>
  <c r="AD498" i="275"/>
  <c r="BA340" i="259"/>
  <c r="BA340" i="275" s="1"/>
  <c r="AE340" i="275"/>
  <c r="BA51" i="261"/>
  <c r="BA329" i="275"/>
  <c r="AD283" i="259"/>
  <c r="AD281" i="275"/>
  <c r="AC277" i="275"/>
  <c r="AC140" i="259"/>
  <c r="AC279" i="259"/>
  <c r="BA418" i="259"/>
  <c r="BA418" i="275" s="1"/>
  <c r="AE418" i="275"/>
  <c r="AE353" i="259"/>
  <c r="AE355" i="259" s="1"/>
  <c r="AE376" i="275"/>
  <c r="BA257" i="259"/>
  <c r="BA9" i="261" s="1"/>
  <c r="BA172" i="275"/>
  <c r="BA335" i="259"/>
  <c r="BA335" i="275" s="1"/>
  <c r="AE335" i="275"/>
  <c r="AE443" i="259"/>
  <c r="AE443" i="275" s="1"/>
  <c r="AE334" i="275"/>
  <c r="BA333" i="259"/>
  <c r="BA333" i="275" s="1"/>
  <c r="AE333" i="275"/>
  <c r="BA836" i="259"/>
  <c r="BA836" i="275" s="1"/>
  <c r="AE836" i="275"/>
  <c r="BA166" i="259"/>
  <c r="BA169" i="259" s="1"/>
  <c r="AE166" i="275"/>
  <c r="AE354" i="275"/>
  <c r="BA354" i="259"/>
  <c r="BA354" i="275" s="1"/>
  <c r="BA276" i="259"/>
  <c r="BA276" i="275" s="1"/>
  <c r="AE276" i="275"/>
  <c r="AD276" i="275"/>
  <c r="AD277" i="259"/>
  <c r="BA1618" i="259"/>
  <c r="BA282" i="262" s="1"/>
  <c r="BA496" i="275"/>
  <c r="BA1032" i="259"/>
  <c r="BA1032" i="275" s="1"/>
  <c r="BA1022" i="275"/>
  <c r="H52" i="276"/>
  <c r="AZ140" i="275"/>
  <c r="BA1262" i="259"/>
  <c r="BA262" i="262" s="1"/>
  <c r="BA228" i="259"/>
  <c r="BA228" i="275" s="1"/>
  <c r="AE431" i="275"/>
  <c r="AC130" i="262"/>
  <c r="AC131" i="275"/>
  <c r="AZ121" i="259"/>
  <c r="AZ121" i="275" s="1"/>
  <c r="AB142" i="262"/>
  <c r="AA142" i="262"/>
  <c r="F34" i="273"/>
  <c r="AZ123" i="259"/>
  <c r="AZ123" i="275" s="1"/>
  <c r="AD1033" i="259"/>
  <c r="AD1033" i="275" s="1"/>
  <c r="AD1031" i="275"/>
  <c r="BA458" i="259"/>
  <c r="BA458" i="275" s="1"/>
  <c r="AE458" i="275"/>
  <c r="AD984" i="259"/>
  <c r="AD984" i="275" s="1"/>
  <c r="AD982" i="275"/>
  <c r="BA1016" i="259"/>
  <c r="AE1016" i="275"/>
  <c r="AE967" i="259"/>
  <c r="AE982" i="259" s="1"/>
  <c r="AE982" i="275" s="1"/>
  <c r="AE232" i="275"/>
  <c r="BA183" i="262"/>
  <c r="BA457" i="275"/>
  <c r="BA155" i="262"/>
  <c r="I62" i="276"/>
  <c r="AE70" i="261"/>
  <c r="AE221" i="275"/>
  <c r="AD969" i="259"/>
  <c r="AD969" i="275" s="1"/>
  <c r="AD967" i="275"/>
  <c r="AE150" i="259"/>
  <c r="AE181" i="275"/>
  <c r="AD114" i="259"/>
  <c r="AD150" i="275"/>
  <c r="AC114" i="275"/>
  <c r="AC44" i="259"/>
  <c r="AC479" i="259"/>
  <c r="AC476" i="275"/>
  <c r="BA193" i="261"/>
  <c r="BA542" i="275"/>
  <c r="BB542" i="275"/>
  <c r="N90" i="264"/>
  <c r="P90" i="264" s="1"/>
  <c r="BA471" i="275"/>
  <c r="BA198" i="261"/>
  <c r="BA543" i="275"/>
  <c r="N92" i="264"/>
  <c r="P92" i="264" s="1"/>
  <c r="BA469" i="275"/>
  <c r="Z45" i="259"/>
  <c r="Z127" i="262"/>
  <c r="AS28" i="264"/>
  <c r="Z1607" i="259"/>
  <c r="Z1606" i="259" s="1"/>
  <c r="BA204" i="261"/>
  <c r="BA544" i="275"/>
  <c r="Z1617" i="259"/>
  <c r="AS43" i="264"/>
  <c r="AU43" i="264" s="1"/>
  <c r="Z1613" i="259"/>
  <c r="Z1616" i="259"/>
  <c r="AE55" i="262"/>
  <c r="AE179" i="262"/>
  <c r="AE282" i="259"/>
  <c r="AE262" i="262"/>
  <c r="AE154" i="262"/>
  <c r="AD136" i="259"/>
  <c r="AD131" i="262"/>
  <c r="BA45" i="262"/>
  <c r="BA1260" i="259"/>
  <c r="BA195" i="261"/>
  <c r="AE156" i="259"/>
  <c r="AE1183" i="259"/>
  <c r="AE155" i="259" s="1"/>
  <c r="AE1685" i="259"/>
  <c r="AC263" i="262"/>
  <c r="AC1686" i="259"/>
  <c r="AE476" i="259"/>
  <c r="AE16" i="262"/>
  <c r="AD476" i="259"/>
  <c r="AD16" i="262"/>
  <c r="BA1023" i="259"/>
  <c r="BA1023" i="275" s="1"/>
  <c r="BA472" i="259"/>
  <c r="AI30" i="263"/>
  <c r="AE442" i="259"/>
  <c r="AE444" i="259"/>
  <c r="AE570" i="259"/>
  <c r="AE207" i="261" s="1"/>
  <c r="AE1612" i="259"/>
  <c r="AE1605" i="259" s="1"/>
  <c r="AD570" i="259"/>
  <c r="AD207" i="261" s="1"/>
  <c r="AD1612" i="259"/>
  <c r="AD1605" i="259" s="1"/>
  <c r="AS49" i="264"/>
  <c r="AS80" i="264" s="1"/>
  <c r="AU80" i="264" s="1"/>
  <c r="N122" i="264"/>
  <c r="P122" i="264" s="1"/>
  <c r="AE567" i="259"/>
  <c r="AE201" i="261" s="1"/>
  <c r="BA78" i="261"/>
  <c r="AD567" i="259"/>
  <c r="AD201" i="261" s="1"/>
  <c r="BA1259" i="259"/>
  <c r="BA137" i="261" s="1"/>
  <c r="BA1226" i="259"/>
  <c r="BA1227" i="259" s="1"/>
  <c r="BA1265" i="259" s="1"/>
  <c r="BA1686" i="259" s="1"/>
  <c r="W30" i="259"/>
  <c r="W26" i="259"/>
  <c r="W26" i="275" s="1"/>
  <c r="W27" i="259"/>
  <c r="BA48" i="262"/>
  <c r="AQ50" i="264"/>
  <c r="BA24" i="262"/>
  <c r="J27" i="264"/>
  <c r="L27" i="264" s="1"/>
  <c r="AW56" i="264"/>
  <c r="AY56" i="264" s="1"/>
  <c r="J20" i="264"/>
  <c r="BA167" i="261"/>
  <c r="AZ135" i="259"/>
  <c r="AD445" i="259"/>
  <c r="AD445" i="275" s="1"/>
  <c r="BA334" i="259"/>
  <c r="N128" i="264"/>
  <c r="P128" i="264" s="1"/>
  <c r="BA68" i="261"/>
  <c r="AE1250" i="259"/>
  <c r="AE128" i="261" s="1"/>
  <c r="BA59" i="261"/>
  <c r="BA86" i="261"/>
  <c r="Q1346" i="259"/>
  <c r="Q240" i="262" s="1"/>
  <c r="Q239" i="262"/>
  <c r="AY1482" i="259"/>
  <c r="AY1483" i="259"/>
  <c r="AY198" i="262" s="1"/>
  <c r="AY1484" i="259"/>
  <c r="AY1485" i="259"/>
  <c r="AY199" i="262" s="1"/>
  <c r="AY1486" i="259"/>
  <c r="AY1481" i="259"/>
  <c r="AY197" i="262" s="1"/>
  <c r="AY1480" i="259"/>
  <c r="X195" i="262"/>
  <c r="X77" i="259"/>
  <c r="X77" i="275" s="1"/>
  <c r="BB24" i="262"/>
  <c r="I1346" i="259"/>
  <c r="I240" i="262" s="1"/>
  <c r="I239" i="262"/>
  <c r="X236" i="262"/>
  <c r="X237" i="262"/>
  <c r="W804" i="259"/>
  <c r="W804" i="275" s="1"/>
  <c r="W1486" i="259"/>
  <c r="W1484" i="259"/>
  <c r="W1485" i="259"/>
  <c r="W199" i="262" s="1"/>
  <c r="W1482" i="259"/>
  <c r="W1483" i="259"/>
  <c r="W198" i="262" s="1"/>
  <c r="W1480" i="259"/>
  <c r="BC182" i="262"/>
  <c r="BC1055" i="259"/>
  <c r="BD607" i="259"/>
  <c r="BB26" i="262"/>
  <c r="T1346" i="259"/>
  <c r="T239" i="262"/>
  <c r="K804" i="259"/>
  <c r="K804" i="275" s="1"/>
  <c r="K1484" i="259"/>
  <c r="K1485" i="259"/>
  <c r="K199" i="262" s="1"/>
  <c r="K1480" i="259"/>
  <c r="K1486" i="259"/>
  <c r="K1483" i="259"/>
  <c r="K198" i="262" s="1"/>
  <c r="K1482" i="259"/>
  <c r="X122" i="262"/>
  <c r="X253" i="262"/>
  <c r="H1058" i="259"/>
  <c r="G184" i="262"/>
  <c r="N94" i="264"/>
  <c r="P94" i="264" s="1"/>
  <c r="BA37" i="262"/>
  <c r="AX29" i="267"/>
  <c r="AU44" i="267"/>
  <c r="AV4" i="267"/>
  <c r="AZ3" i="267"/>
  <c r="AX91" i="267"/>
  <c r="AY14" i="259"/>
  <c r="F31" i="263" s="1"/>
  <c r="F30" i="263"/>
  <c r="K806" i="259"/>
  <c r="K806" i="275" s="1"/>
  <c r="K1345" i="259"/>
  <c r="K1342" i="259"/>
  <c r="K235" i="262" s="1"/>
  <c r="K105" i="262"/>
  <c r="K1481" i="259"/>
  <c r="K197" i="262" s="1"/>
  <c r="K1343" i="259"/>
  <c r="K811" i="259"/>
  <c r="AY804" i="259"/>
  <c r="AY1345" i="259"/>
  <c r="AY1342" i="259"/>
  <c r="AY235" i="262" s="1"/>
  <c r="AY811" i="259"/>
  <c r="AY806" i="259"/>
  <c r="AY105" i="262"/>
  <c r="AY1343" i="259"/>
  <c r="W105" i="262"/>
  <c r="W811" i="259"/>
  <c r="W1345" i="259"/>
  <c r="W1343" i="259"/>
  <c r="W1342" i="259"/>
  <c r="W235" i="262" s="1"/>
  <c r="W806" i="259"/>
  <c r="W806" i="275" s="1"/>
  <c r="W1481" i="259"/>
  <c r="W197" i="262" s="1"/>
  <c r="BA263" i="261"/>
  <c r="BA876" i="259"/>
  <c r="BA876" i="275" s="1"/>
  <c r="AO8" i="264"/>
  <c r="AK22" i="264"/>
  <c r="G959" i="259"/>
  <c r="G1058" i="259"/>
  <c r="BA41" i="261"/>
  <c r="BA221" i="259"/>
  <c r="BA221" i="275" s="1"/>
  <c r="BC316" i="259"/>
  <c r="BD316" i="259"/>
  <c r="BA232" i="259"/>
  <c r="BA232" i="275" s="1"/>
  <c r="AE1018" i="259"/>
  <c r="AE1018" i="275" s="1"/>
  <c r="AE43" i="261"/>
  <c r="AE1031" i="259"/>
  <c r="AD120" i="259"/>
  <c r="AE211" i="259"/>
  <c r="BC319" i="259"/>
  <c r="BD319" i="259"/>
  <c r="BC1269" i="259"/>
  <c r="BD1269" i="259"/>
  <c r="BD1232" i="259"/>
  <c r="BC1232" i="259"/>
  <c r="BA1200" i="259"/>
  <c r="AE281" i="259"/>
  <c r="BA63" i="259"/>
  <c r="BA164" i="261"/>
  <c r="AD155" i="259"/>
  <c r="BA925" i="259"/>
  <c r="BA925" i="275" s="1"/>
  <c r="BC1249" i="259"/>
  <c r="BC1684" i="259" s="1"/>
  <c r="BD1249" i="259"/>
  <c r="BD1684" i="259" s="1"/>
  <c r="AE1377" i="259"/>
  <c r="BA1378" i="259"/>
  <c r="X1296" i="259"/>
  <c r="X813" i="259"/>
  <c r="X1344" i="259"/>
  <c r="X239" i="262" s="1"/>
  <c r="X112" i="262"/>
  <c r="X121" i="262"/>
  <c r="X807" i="259"/>
  <c r="X807" i="275" s="1"/>
  <c r="AM36" i="263"/>
  <c r="AM35" i="263"/>
  <c r="AM33" i="263" s="1"/>
  <c r="X114" i="262"/>
  <c r="BA394" i="259"/>
  <c r="BA18" i="261" s="1"/>
  <c r="BA376" i="259"/>
  <c r="BA376" i="275" s="1"/>
  <c r="AE132" i="259"/>
  <c r="AE371" i="259"/>
  <c r="AC1319" i="259"/>
  <c r="BA1085" i="259"/>
  <c r="BA149" i="261"/>
  <c r="AC1180" i="259"/>
  <c r="AD1265" i="259"/>
  <c r="AD1266" i="259"/>
  <c r="AD150" i="262" s="1"/>
  <c r="AE1264" i="259"/>
  <c r="AE156" i="262" s="1"/>
  <c r="AE1227" i="259"/>
  <c r="AE462" i="259"/>
  <c r="AE1084" i="259" s="1"/>
  <c r="AE453" i="259"/>
  <c r="BA451" i="259"/>
  <c r="BA977" i="259"/>
  <c r="BA977" i="275" s="1"/>
  <c r="AE979" i="259"/>
  <c r="AB242" i="262"/>
  <c r="AC361" i="259"/>
  <c r="AC119" i="259"/>
  <c r="AD359" i="259"/>
  <c r="AD1178" i="259"/>
  <c r="AZ62" i="259"/>
  <c r="BC542" i="259"/>
  <c r="BC542" i="275" s="1"/>
  <c r="BD542" i="259"/>
  <c r="BC562" i="259"/>
  <c r="BD562" i="259"/>
  <c r="BD26" i="262" s="1"/>
  <c r="AE1260" i="259"/>
  <c r="AE138" i="261" s="1"/>
  <c r="AE1213" i="259"/>
  <c r="AE360" i="259"/>
  <c r="AE1179" i="259"/>
  <c r="BA370" i="259"/>
  <c r="BA370" i="275" s="1"/>
  <c r="BA1028" i="259"/>
  <c r="BA1028" i="275" s="1"/>
  <c r="BA619" i="259"/>
  <c r="BA619" i="275" s="1"/>
  <c r="Q115" i="262"/>
  <c r="Q1347" i="259"/>
  <c r="Q1348" i="259" s="1"/>
  <c r="I115" i="262"/>
  <c r="I1347" i="259"/>
  <c r="I1348" i="259" s="1"/>
  <c r="T115" i="262"/>
  <c r="BC491" i="259" l="1"/>
  <c r="AF232" i="275"/>
  <c r="AG340" i="259"/>
  <c r="AG340" i="275" s="1"/>
  <c r="AF335" i="275"/>
  <c r="AC139" i="259"/>
  <c r="AC139" i="275" s="1"/>
  <c r="AB1431" i="259"/>
  <c r="AB335" i="261"/>
  <c r="AB31" i="259"/>
  <c r="P35" i="272"/>
  <c r="AF442" i="259"/>
  <c r="AH230" i="259"/>
  <c r="AG232" i="259"/>
  <c r="AG967" i="259" s="1"/>
  <c r="AB85" i="259"/>
  <c r="AB123" i="259"/>
  <c r="AB51" i="259"/>
  <c r="AD432" i="275"/>
  <c r="AG973" i="259"/>
  <c r="AG973" i="275" s="1"/>
  <c r="AC153" i="259"/>
  <c r="AC159" i="259" s="1"/>
  <c r="AG335" i="259"/>
  <c r="AG333" i="259"/>
  <c r="AG442" i="259" s="1"/>
  <c r="BA1202" i="259"/>
  <c r="BA143" i="261" s="1"/>
  <c r="AC1414" i="259"/>
  <c r="AF983" i="259"/>
  <c r="AF983" i="275" s="1"/>
  <c r="AH854" i="259"/>
  <c r="AH854" i="275" s="1"/>
  <c r="AF443" i="259"/>
  <c r="AF443" i="275" s="1"/>
  <c r="AI31" i="263"/>
  <c r="AH833" i="259"/>
  <c r="AH833" i="275" s="1"/>
  <c r="AI831" i="259"/>
  <c r="BB831" i="259" s="1"/>
  <c r="AE165" i="275"/>
  <c r="AG334" i="259"/>
  <c r="AG443" i="259" s="1"/>
  <c r="AG443" i="275" s="1"/>
  <c r="BA293" i="259"/>
  <c r="BA293" i="275" s="1"/>
  <c r="BC173" i="259"/>
  <c r="BC167" i="259" s="1"/>
  <c r="BC133" i="259" s="1"/>
  <c r="BC67" i="261"/>
  <c r="AG444" i="259"/>
  <c r="AG444" i="275" s="1"/>
  <c r="AZ489" i="259"/>
  <c r="AZ489" i="275" s="1"/>
  <c r="AZ487" i="275"/>
  <c r="AZ1616" i="259"/>
  <c r="AZ280" i="262" s="1"/>
  <c r="AZ492" i="259"/>
  <c r="AZ492" i="275" s="1"/>
  <c r="AF262" i="262"/>
  <c r="AG230" i="275"/>
  <c r="AX813" i="275"/>
  <c r="BA196" i="259"/>
  <c r="BA197" i="259" s="1"/>
  <c r="BA108" i="261" s="1"/>
  <c r="Z127" i="264"/>
  <c r="AB127" i="264" s="1"/>
  <c r="AY806" i="275"/>
  <c r="AY804" i="275"/>
  <c r="AW14" i="275"/>
  <c r="AV30" i="259"/>
  <c r="AV30" i="275" s="1"/>
  <c r="AV27" i="259"/>
  <c r="AV27" i="275" s="1"/>
  <c r="AV26" i="259"/>
  <c r="AV26" i="275" s="1"/>
  <c r="AV1481" i="259"/>
  <c r="AV197" i="262" s="1"/>
  <c r="AX195" i="262"/>
  <c r="AX77" i="259"/>
  <c r="AX237" i="262"/>
  <c r="AX236" i="262"/>
  <c r="BC894" i="275"/>
  <c r="AX807" i="259"/>
  <c r="AX115" i="262" s="1"/>
  <c r="AX121" i="262"/>
  <c r="AX112" i="262"/>
  <c r="AX235" i="262"/>
  <c r="AX1344" i="259"/>
  <c r="AX253" i="262"/>
  <c r="AX114" i="262"/>
  <c r="AY1336" i="259"/>
  <c r="AY319" i="261" s="1"/>
  <c r="AX122" i="262"/>
  <c r="O1346" i="259"/>
  <c r="O239" i="262"/>
  <c r="X1058" i="259"/>
  <c r="AX806" i="275"/>
  <c r="AX1336" i="259"/>
  <c r="AX319" i="261" s="1"/>
  <c r="AW253" i="262"/>
  <c r="AD151" i="259"/>
  <c r="AD1414" i="259" s="1"/>
  <c r="X1057" i="275"/>
  <c r="AU121" i="262"/>
  <c r="AU112" i="262"/>
  <c r="AU807" i="259"/>
  <c r="AU115" i="262" s="1"/>
  <c r="AU195" i="262"/>
  <c r="AU77" i="259"/>
  <c r="AV811" i="259"/>
  <c r="AW811" i="275" s="1"/>
  <c r="AW114" i="262"/>
  <c r="T1058" i="259"/>
  <c r="BC271" i="259"/>
  <c r="E239" i="262"/>
  <c r="E1346" i="259"/>
  <c r="AU236" i="262"/>
  <c r="AU237" i="262"/>
  <c r="AU253" i="262"/>
  <c r="AV1336" i="259"/>
  <c r="AV319" i="261" s="1"/>
  <c r="AU122" i="262"/>
  <c r="AU114" i="262"/>
  <c r="S1058" i="259"/>
  <c r="AV1483" i="259"/>
  <c r="AV198" i="262" s="1"/>
  <c r="BC218" i="275"/>
  <c r="BD218" i="259"/>
  <c r="BD218" i="275" s="1"/>
  <c r="AU235" i="262"/>
  <c r="AU1344" i="259"/>
  <c r="BB345" i="261"/>
  <c r="BC1474" i="259"/>
  <c r="AV1343" i="259"/>
  <c r="AV236" i="262" s="1"/>
  <c r="AV804" i="259"/>
  <c r="AV804" i="275" s="1"/>
  <c r="AV1482" i="259"/>
  <c r="AV1484" i="259"/>
  <c r="X184" i="262"/>
  <c r="BB842" i="275"/>
  <c r="AB27" i="267"/>
  <c r="BC842" i="259"/>
  <c r="BC1366" i="259" s="1"/>
  <c r="BB167" i="262"/>
  <c r="AG871" i="275"/>
  <c r="AH871" i="259"/>
  <c r="AH925" i="259" s="1"/>
  <c r="AH925" i="275" s="1"/>
  <c r="AG1378" i="259"/>
  <c r="AG1377" i="259" s="1"/>
  <c r="AG1361" i="259" s="1"/>
  <c r="BC867" i="275"/>
  <c r="BD867" i="259"/>
  <c r="BD921" i="259" s="1"/>
  <c r="BD921" i="275" s="1"/>
  <c r="BE864" i="259"/>
  <c r="BE864" i="275" s="1"/>
  <c r="BD864" i="275"/>
  <c r="BC863" i="275"/>
  <c r="BD863" i="259"/>
  <c r="BD917" i="259" s="1"/>
  <c r="T959" i="259"/>
  <c r="AV806" i="259"/>
  <c r="AV806" i="275" s="1"/>
  <c r="AV1342" i="259"/>
  <c r="AV235" i="262" s="1"/>
  <c r="AV1292" i="259"/>
  <c r="AV1297" i="259" s="1"/>
  <c r="AV1299" i="259" s="1"/>
  <c r="AV1486" i="259"/>
  <c r="AV1480" i="259"/>
  <c r="AV195" i="262" s="1"/>
  <c r="BC862" i="275"/>
  <c r="BC1473" i="259"/>
  <c r="BC1298" i="259"/>
  <c r="BD862" i="259"/>
  <c r="BD916" i="259" s="1"/>
  <c r="BD916" i="275" s="1"/>
  <c r="BC173" i="262"/>
  <c r="X959" i="259"/>
  <c r="AV1345" i="259"/>
  <c r="AV105" i="262"/>
  <c r="AV1485" i="259"/>
  <c r="AV199" i="262" s="1"/>
  <c r="BD918" i="259"/>
  <c r="BD918" i="275" s="1"/>
  <c r="BC917" i="259"/>
  <c r="BC917" i="275" s="1"/>
  <c r="BB843" i="275"/>
  <c r="BB168" i="262"/>
  <c r="BC843" i="259"/>
  <c r="BC1367" i="259" s="1"/>
  <c r="BC844" i="275"/>
  <c r="BD844" i="259"/>
  <c r="BD894" i="259" s="1"/>
  <c r="BD894" i="275" s="1"/>
  <c r="BA165" i="259"/>
  <c r="BA165" i="275" s="1"/>
  <c r="AH226" i="259"/>
  <c r="AH226" i="275" s="1"/>
  <c r="BB888" i="259"/>
  <c r="BA28" i="264"/>
  <c r="BB38" i="262"/>
  <c r="BB474" i="275"/>
  <c r="AG1032" i="259"/>
  <c r="AG1032" i="275" s="1"/>
  <c r="AG156" i="259"/>
  <c r="AG1183" i="259"/>
  <c r="AH232" i="259"/>
  <c r="AH230" i="275"/>
  <c r="AF1033" i="259"/>
  <c r="AF1031" i="275"/>
  <c r="BB154" i="261"/>
  <c r="BB169" i="261"/>
  <c r="R96" i="264"/>
  <c r="T96" i="264" s="1"/>
  <c r="BC475" i="259"/>
  <c r="BB475" i="275"/>
  <c r="BB39" i="262"/>
  <c r="AF281" i="259"/>
  <c r="AH414" i="275"/>
  <c r="AH978" i="259"/>
  <c r="AH978" i="275" s="1"/>
  <c r="AI414" i="259"/>
  <c r="AG166" i="259"/>
  <c r="AG172" i="275"/>
  <c r="AG219" i="275"/>
  <c r="AG68" i="261"/>
  <c r="AG221" i="259"/>
  <c r="AG41" i="261"/>
  <c r="AG1016" i="259"/>
  <c r="AG1016" i="275" s="1"/>
  <c r="AI910" i="275"/>
  <c r="AI954" i="259"/>
  <c r="AI954" i="275" s="1"/>
  <c r="BB910" i="259"/>
  <c r="AG303" i="259"/>
  <c r="AG301" i="275"/>
  <c r="BD623" i="259"/>
  <c r="BC623" i="275"/>
  <c r="AG972" i="275"/>
  <c r="AG974" i="259"/>
  <c r="AG974" i="275" s="1"/>
  <c r="AF977" i="275"/>
  <c r="AF979" i="259"/>
  <c r="AF979" i="275" s="1"/>
  <c r="AF132" i="259"/>
  <c r="AF166" i="275"/>
  <c r="AG431" i="259"/>
  <c r="AG431" i="275" s="1"/>
  <c r="AF354" i="275"/>
  <c r="BB38" i="259"/>
  <c r="BB514" i="259"/>
  <c r="AG335" i="275"/>
  <c r="BB618" i="259"/>
  <c r="AI618" i="275"/>
  <c r="AH1027" i="275"/>
  <c r="AH369" i="259"/>
  <c r="AH374" i="275"/>
  <c r="AF275" i="259"/>
  <c r="AF298" i="275"/>
  <c r="AF453" i="259"/>
  <c r="AF462" i="259"/>
  <c r="AF1084" i="259" s="1"/>
  <c r="AF451" i="275"/>
  <c r="AI952" i="275"/>
  <c r="AF146" i="262"/>
  <c r="AF1266" i="259"/>
  <c r="AF150" i="262" s="1"/>
  <c r="AG851" i="275"/>
  <c r="AG876" i="259"/>
  <c r="AG876" i="275" s="1"/>
  <c r="AH851" i="259"/>
  <c r="AF175" i="259"/>
  <c r="AF174" i="275"/>
  <c r="AF430" i="259"/>
  <c r="AH228" i="275"/>
  <c r="AH234" i="259"/>
  <c r="AH234" i="275" s="1"/>
  <c r="AI228" i="259"/>
  <c r="AH968" i="259"/>
  <c r="AG617" i="275"/>
  <c r="AH617" i="259"/>
  <c r="AG619" i="259"/>
  <c r="AI829" i="259"/>
  <c r="AH829" i="275"/>
  <c r="AI1055" i="275"/>
  <c r="AI886" i="259"/>
  <c r="AI886" i="275" s="1"/>
  <c r="AI38" i="262"/>
  <c r="AI474" i="275"/>
  <c r="AI168" i="261"/>
  <c r="AG132" i="262"/>
  <c r="AG133" i="275"/>
  <c r="AG210" i="259"/>
  <c r="AG181" i="259"/>
  <c r="AG178" i="275"/>
  <c r="AG906" i="259"/>
  <c r="AG906" i="275" s="1"/>
  <c r="AG902" i="275"/>
  <c r="AF165" i="259"/>
  <c r="AH1021" i="275"/>
  <c r="AH292" i="259"/>
  <c r="AH292" i="275" s="1"/>
  <c r="AH297" i="275"/>
  <c r="AG369" i="275"/>
  <c r="AF221" i="275"/>
  <c r="AF70" i="261"/>
  <c r="AF1018" i="259"/>
  <c r="AF1018" i="275" s="1"/>
  <c r="AF43" i="261"/>
  <c r="AH954" i="275"/>
  <c r="AH324" i="275"/>
  <c r="AH301" i="259"/>
  <c r="AH74" i="261"/>
  <c r="AI324" i="259"/>
  <c r="BB324" i="259" s="1"/>
  <c r="R153" i="264" s="1"/>
  <c r="T153" i="264" s="1"/>
  <c r="AI167" i="259"/>
  <c r="BB167" i="259" s="1"/>
  <c r="AI173" i="275"/>
  <c r="AF906" i="275"/>
  <c r="AG329" i="275"/>
  <c r="AG51" i="261"/>
  <c r="AG1023" i="259"/>
  <c r="AG1023" i="275" s="1"/>
  <c r="AG78" i="261"/>
  <c r="AH325" i="275"/>
  <c r="AH296" i="259"/>
  <c r="AH1022" i="259"/>
  <c r="AH1022" i="275" s="1"/>
  <c r="AH73" i="261"/>
  <c r="AH329" i="259"/>
  <c r="AI325" i="259"/>
  <c r="AI435" i="259" s="1"/>
  <c r="AI435" i="275" s="1"/>
  <c r="AH1205" i="259"/>
  <c r="AH1225" i="259" s="1"/>
  <c r="AG1214" i="259"/>
  <c r="AG1179" i="259" s="1"/>
  <c r="AG1226" i="259"/>
  <c r="BD900" i="259"/>
  <c r="BC900" i="275"/>
  <c r="AG354" i="259"/>
  <c r="AG354" i="275" s="1"/>
  <c r="AG381" i="275"/>
  <c r="AF211" i="259"/>
  <c r="AI888" i="275"/>
  <c r="AI185" i="262"/>
  <c r="BB55" i="261"/>
  <c r="BB82" i="261"/>
  <c r="BC402" i="259"/>
  <c r="R147" i="264"/>
  <c r="T147" i="264" s="1"/>
  <c r="BB402" i="275"/>
  <c r="AH231" i="275"/>
  <c r="AI231" i="259"/>
  <c r="AH435" i="259"/>
  <c r="AH435" i="275" s="1"/>
  <c r="AF293" i="259"/>
  <c r="AF293" i="275" s="1"/>
  <c r="AF291" i="275"/>
  <c r="AF370" i="275"/>
  <c r="AF1250" i="259"/>
  <c r="AF128" i="261" s="1"/>
  <c r="AH905" i="275"/>
  <c r="AI905" i="259"/>
  <c r="AI905" i="275" s="1"/>
  <c r="AG968" i="275"/>
  <c r="AG624" i="275"/>
  <c r="AG162" i="261"/>
  <c r="AF614" i="259"/>
  <c r="AF614" i="275" s="1"/>
  <c r="AF619" i="275"/>
  <c r="BC857" i="259"/>
  <c r="BB857" i="275"/>
  <c r="BB1231" i="259"/>
  <c r="BB147" i="262" s="1"/>
  <c r="AI147" i="262"/>
  <c r="AI497" i="259"/>
  <c r="AI1230" i="259"/>
  <c r="AI496" i="259" s="1"/>
  <c r="AH852" i="275"/>
  <c r="AI852" i="259"/>
  <c r="AH828" i="275"/>
  <c r="AI828" i="259"/>
  <c r="AH436" i="259"/>
  <c r="AH1039" i="259"/>
  <c r="AI691" i="259"/>
  <c r="BB691" i="259" s="1"/>
  <c r="AH691" i="275"/>
  <c r="AG1225" i="259"/>
  <c r="AG1262" i="259" s="1"/>
  <c r="AI214" i="275"/>
  <c r="AI171" i="259"/>
  <c r="AI1188" i="259"/>
  <c r="AI1017" i="259"/>
  <c r="AI63" i="261"/>
  <c r="BB214" i="259"/>
  <c r="AH901" i="275"/>
  <c r="AH953" i="259"/>
  <c r="AI901" i="259"/>
  <c r="AH902" i="259"/>
  <c r="AH336" i="259"/>
  <c r="AF143" i="262"/>
  <c r="AF63" i="275"/>
  <c r="BD904" i="259"/>
  <c r="BC904" i="275"/>
  <c r="AF360" i="275"/>
  <c r="AF442" i="275"/>
  <c r="AB250" i="262"/>
  <c r="BA33" i="263"/>
  <c r="BA20" i="264" s="1"/>
  <c r="AH832" i="275"/>
  <c r="AI832" i="259"/>
  <c r="AI169" i="261"/>
  <c r="AI39" i="262"/>
  <c r="AI475" i="275"/>
  <c r="AG235" i="261"/>
  <c r="AG1040" i="259"/>
  <c r="AG353" i="259"/>
  <c r="AG376" i="275"/>
  <c r="AH217" i="275"/>
  <c r="AH219" i="259"/>
  <c r="AI217" i="259"/>
  <c r="AI230" i="259" s="1"/>
  <c r="AH66" i="261"/>
  <c r="AH172" i="259"/>
  <c r="AH457" i="259"/>
  <c r="AH1192" i="259"/>
  <c r="AH1184" i="259" s="1"/>
  <c r="AF1016" i="275"/>
  <c r="BB127" i="261"/>
  <c r="BB1684" i="259"/>
  <c r="BB1263" i="259"/>
  <c r="BB155" i="262" s="1"/>
  <c r="AG1200" i="259"/>
  <c r="AG281" i="259" s="1"/>
  <c r="AG1255" i="259"/>
  <c r="AG133" i="261" s="1"/>
  <c r="AG282" i="259"/>
  <c r="AG282" i="275" s="1"/>
  <c r="AG59" i="261"/>
  <c r="AG1028" i="259"/>
  <c r="AG1028" i="275" s="1"/>
  <c r="AG86" i="261"/>
  <c r="AG407" i="275"/>
  <c r="AG370" i="259"/>
  <c r="AG370" i="275" s="1"/>
  <c r="AG451" i="259"/>
  <c r="AG375" i="275"/>
  <c r="AH133" i="259"/>
  <c r="AH167" i="275"/>
  <c r="AF150" i="259"/>
  <c r="AF967" i="275"/>
  <c r="AF969" i="259"/>
  <c r="AF969" i="275" s="1"/>
  <c r="AF982" i="259"/>
  <c r="AI1042" i="259"/>
  <c r="AI694" i="275"/>
  <c r="BB694" i="259"/>
  <c r="AF120" i="259"/>
  <c r="AF156" i="275"/>
  <c r="AF276" i="259"/>
  <c r="AF303" i="275"/>
  <c r="AG37" i="262"/>
  <c r="AG476" i="259"/>
  <c r="AG473" i="275"/>
  <c r="AG167" i="261"/>
  <c r="AF371" i="259"/>
  <c r="AF371" i="275" s="1"/>
  <c r="AI690" i="275"/>
  <c r="AI1038" i="259"/>
  <c r="AF1685" i="259"/>
  <c r="BB952" i="259"/>
  <c r="AH381" i="259"/>
  <c r="AH379" i="275"/>
  <c r="AG174" i="259"/>
  <c r="AG196" i="275"/>
  <c r="AH171" i="275"/>
  <c r="AF479" i="259"/>
  <c r="AF476" i="275"/>
  <c r="AH1006" i="275"/>
  <c r="AI1006" i="259"/>
  <c r="AH836" i="259"/>
  <c r="AF355" i="259"/>
  <c r="AF353" i="275"/>
  <c r="AF498" i="275"/>
  <c r="AH227" i="259"/>
  <c r="AG411" i="275"/>
  <c r="AH411" i="259"/>
  <c r="BB49" i="261"/>
  <c r="BB76" i="261"/>
  <c r="R138" i="264"/>
  <c r="T138" i="264" s="1"/>
  <c r="BB327" i="275"/>
  <c r="BC327" i="259"/>
  <c r="AI1209" i="259"/>
  <c r="BB1209" i="259" s="1"/>
  <c r="BB1254" i="259" s="1"/>
  <c r="BB132" i="261" s="1"/>
  <c r="AI1021" i="259"/>
  <c r="AI1021" i="275" s="1"/>
  <c r="AI76" i="261"/>
  <c r="AI327" i="275"/>
  <c r="AI297" i="259"/>
  <c r="AG183" i="262"/>
  <c r="AG457" i="275"/>
  <c r="AF1264" i="259"/>
  <c r="AF156" i="262" s="1"/>
  <c r="AF1227" i="259"/>
  <c r="AF1265" i="259" s="1"/>
  <c r="BB173" i="259"/>
  <c r="BC856" i="259"/>
  <c r="BB856" i="275"/>
  <c r="BB152" i="261"/>
  <c r="BB168" i="261"/>
  <c r="AH338" i="275"/>
  <c r="AH972" i="259"/>
  <c r="AI338" i="259"/>
  <c r="AG418" i="259"/>
  <c r="AG418" i="275" s="1"/>
  <c r="AG458" i="259"/>
  <c r="AG458" i="275" s="1"/>
  <c r="AH416" i="259"/>
  <c r="AG977" i="259"/>
  <c r="AG416" i="275"/>
  <c r="AG291" i="259"/>
  <c r="AG298" i="259"/>
  <c r="AG296" i="275"/>
  <c r="AG1026" i="275"/>
  <c r="AH405" i="275"/>
  <c r="AH375" i="259"/>
  <c r="AH376" i="259" s="1"/>
  <c r="AH1026" i="259"/>
  <c r="AH1222" i="259"/>
  <c r="AH84" i="261"/>
  <c r="AI405" i="259"/>
  <c r="BB405" i="259" s="1"/>
  <c r="AH407" i="259"/>
  <c r="AH413" i="259"/>
  <c r="BD903" i="259"/>
  <c r="BC903" i="275"/>
  <c r="BB403" i="259"/>
  <c r="AI403" i="275"/>
  <c r="AI1218" i="259"/>
  <c r="AI81" i="261"/>
  <c r="AI374" i="259"/>
  <c r="BB374" i="259" s="1"/>
  <c r="AI1027" i="259"/>
  <c r="AF155" i="259"/>
  <c r="AF1178" i="259"/>
  <c r="AG225" i="275"/>
  <c r="AH225" i="259"/>
  <c r="AI622" i="259"/>
  <c r="AH622" i="275"/>
  <c r="AH473" i="259"/>
  <c r="AH624" i="259"/>
  <c r="BB491" i="259"/>
  <c r="BC491" i="275" s="1"/>
  <c r="AI491" i="275"/>
  <c r="AI38" i="259"/>
  <c r="AI38" i="275" s="1"/>
  <c r="AI510" i="275"/>
  <c r="AH692" i="259"/>
  <c r="AI82" i="261"/>
  <c r="AI379" i="259"/>
  <c r="BB379" i="259" s="1"/>
  <c r="AI402" i="275"/>
  <c r="AG143" i="262"/>
  <c r="AG63" i="275"/>
  <c r="AH215" i="275"/>
  <c r="AH178" i="259"/>
  <c r="AH196" i="259"/>
  <c r="AH64" i="261"/>
  <c r="AI215" i="259"/>
  <c r="BB215" i="259" s="1"/>
  <c r="AG953" i="275"/>
  <c r="AG836" i="275"/>
  <c r="AG179" i="262"/>
  <c r="AG55" i="262"/>
  <c r="AH496" i="259"/>
  <c r="AF359" i="259"/>
  <c r="AH412" i="259"/>
  <c r="N109" i="264"/>
  <c r="P109" i="264" s="1"/>
  <c r="BG97" i="264"/>
  <c r="BE107" i="264"/>
  <c r="BG107" i="264" s="1"/>
  <c r="BO93" i="264"/>
  <c r="BM97" i="264"/>
  <c r="BK93" i="264"/>
  <c r="BI97" i="264"/>
  <c r="BK57" i="264"/>
  <c r="BI71" i="264"/>
  <c r="BK71" i="264" s="1"/>
  <c r="BC56" i="264"/>
  <c r="BA70" i="264"/>
  <c r="AE146" i="262"/>
  <c r="BM63" i="264"/>
  <c r="BG27" i="264"/>
  <c r="AE355" i="275"/>
  <c r="AD141" i="275"/>
  <c r="AC361" i="275"/>
  <c r="AE360" i="275"/>
  <c r="AD359" i="275"/>
  <c r="AC119" i="275"/>
  <c r="AE453" i="275"/>
  <c r="AC363" i="275"/>
  <c r="AE132" i="275"/>
  <c r="AE281" i="275"/>
  <c r="AE155" i="275"/>
  <c r="AE114" i="259"/>
  <c r="AE44" i="259" s="1"/>
  <c r="AD134" i="259"/>
  <c r="BI27" i="264" s="1"/>
  <c r="AE168" i="275"/>
  <c r="AD283" i="275"/>
  <c r="AC37" i="275"/>
  <c r="AE277" i="275"/>
  <c r="AC134" i="275"/>
  <c r="AE371" i="275"/>
  <c r="AD155" i="275"/>
  <c r="AD120" i="275"/>
  <c r="AE156" i="275"/>
  <c r="AC44" i="275"/>
  <c r="AC140" i="275"/>
  <c r="AE432" i="259"/>
  <c r="AE432" i="275" s="1"/>
  <c r="AD113" i="275"/>
  <c r="AC115" i="275"/>
  <c r="AC357" i="275"/>
  <c r="AE149" i="259"/>
  <c r="AE149" i="275" s="1"/>
  <c r="AD355" i="275"/>
  <c r="AD149" i="275"/>
  <c r="AE293" i="275"/>
  <c r="BB567" i="259"/>
  <c r="BB201" i="261" s="1"/>
  <c r="BB570" i="259"/>
  <c r="BB207" i="261" s="1"/>
  <c r="N93" i="264"/>
  <c r="P93" i="264" s="1"/>
  <c r="AC1508" i="259"/>
  <c r="AD357" i="259"/>
  <c r="AD363" i="259" s="1"/>
  <c r="AE140" i="259"/>
  <c r="BA175" i="259"/>
  <c r="BA175" i="275" s="1"/>
  <c r="AB57" i="259"/>
  <c r="AB57" i="275" s="1"/>
  <c r="BA983" i="259"/>
  <c r="BA983" i="275" s="1"/>
  <c r="BD24" i="262"/>
  <c r="BE542" i="275"/>
  <c r="BD151" i="262"/>
  <c r="BD264" i="262"/>
  <c r="AX1297" i="259"/>
  <c r="AX1299" i="259" s="1"/>
  <c r="V77" i="275"/>
  <c r="X254" i="262"/>
  <c r="X813" i="275"/>
  <c r="K813" i="259"/>
  <c r="K811" i="275"/>
  <c r="W1292" i="259"/>
  <c r="W1296" i="259" s="1"/>
  <c r="AY1296" i="259" s="1"/>
  <c r="W27" i="275"/>
  <c r="H184" i="262"/>
  <c r="H1057" i="275"/>
  <c r="H959" i="259"/>
  <c r="T77" i="275"/>
  <c r="L239" i="262"/>
  <c r="L1346" i="259"/>
  <c r="N1057" i="259"/>
  <c r="N1048" i="275"/>
  <c r="J1347" i="259"/>
  <c r="J1348" i="259" s="1"/>
  <c r="J240" i="262"/>
  <c r="V254" i="262"/>
  <c r="V813" i="275"/>
  <c r="M1057" i="259"/>
  <c r="M1048" i="275"/>
  <c r="R115" i="262"/>
  <c r="R807" i="275"/>
  <c r="P807" i="275"/>
  <c r="P115" i="262"/>
  <c r="AW806" i="275"/>
  <c r="AW1048" i="259"/>
  <c r="AW1046" i="275"/>
  <c r="AX26" i="275"/>
  <c r="R1346" i="259"/>
  <c r="R239" i="262"/>
  <c r="V1057" i="259"/>
  <c r="V1048" i="275"/>
  <c r="P1057" i="259"/>
  <c r="P1048" i="275"/>
  <c r="U807" i="275"/>
  <c r="U115" i="262"/>
  <c r="I1057" i="275"/>
  <c r="I959" i="259"/>
  <c r="I184" i="262"/>
  <c r="I1058" i="259"/>
  <c r="O804" i="275"/>
  <c r="L807" i="275"/>
  <c r="L115" i="262"/>
  <c r="L1057" i="259"/>
  <c r="L1048" i="275"/>
  <c r="O811" i="275"/>
  <c r="V807" i="275"/>
  <c r="V115" i="262"/>
  <c r="AV1057" i="259"/>
  <c r="AV1048" i="275"/>
  <c r="L254" i="262"/>
  <c r="L813" i="275"/>
  <c r="AW121" i="262"/>
  <c r="AW804" i="275"/>
  <c r="AW112" i="262"/>
  <c r="AW807" i="259"/>
  <c r="AX804" i="275"/>
  <c r="Q1057" i="259"/>
  <c r="Q1048" i="275"/>
  <c r="O806" i="275"/>
  <c r="AX1046" i="275"/>
  <c r="T807" i="275"/>
  <c r="W813" i="259"/>
  <c r="W811" i="275"/>
  <c r="AY813" i="259"/>
  <c r="AY811" i="275"/>
  <c r="AG35" i="263"/>
  <c r="AG22" i="264" s="1"/>
  <c r="AI23" i="264" s="1"/>
  <c r="W30" i="275"/>
  <c r="Z47" i="259"/>
  <c r="Z47" i="275" s="1"/>
  <c r="Z45" i="275"/>
  <c r="U239" i="262"/>
  <c r="U1346" i="259"/>
  <c r="M239" i="262"/>
  <c r="M1346" i="259"/>
  <c r="P239" i="262"/>
  <c r="P1346" i="259"/>
  <c r="H240" i="262"/>
  <c r="H1347" i="259"/>
  <c r="H1348" i="259" s="1"/>
  <c r="O1057" i="259"/>
  <c r="O1048" i="275"/>
  <c r="AY1057" i="259"/>
  <c r="AY1048" i="275"/>
  <c r="O254" i="262"/>
  <c r="S813" i="275"/>
  <c r="AX30" i="275"/>
  <c r="S1048" i="275"/>
  <c r="AW1344" i="259"/>
  <c r="AW235" i="262"/>
  <c r="AW797" i="275"/>
  <c r="W184" i="262"/>
  <c r="W1057" i="275"/>
  <c r="W959" i="259"/>
  <c r="M254" i="262"/>
  <c r="M813" i="275"/>
  <c r="M807" i="275"/>
  <c r="M115" i="262"/>
  <c r="U1057" i="259"/>
  <c r="U1048" i="275"/>
  <c r="AX1057" i="259"/>
  <c r="AY30" i="259"/>
  <c r="AY14" i="275"/>
  <c r="BD607" i="275"/>
  <c r="BE607" i="259"/>
  <c r="BD182" i="262"/>
  <c r="R184" i="262"/>
  <c r="R959" i="259"/>
  <c r="R254" i="262"/>
  <c r="R813" i="275"/>
  <c r="N1347" i="259"/>
  <c r="N1348" i="259" s="1"/>
  <c r="N240" i="262"/>
  <c r="AW27" i="275"/>
  <c r="AX27" i="275"/>
  <c r="K1057" i="259"/>
  <c r="K1048" i="275"/>
  <c r="J184" i="262"/>
  <c r="J1057" i="275"/>
  <c r="J1058" i="259"/>
  <c r="J959" i="259"/>
  <c r="P254" i="262"/>
  <c r="P813" i="275"/>
  <c r="AW254" i="262"/>
  <c r="S184" i="262"/>
  <c r="T184" i="262"/>
  <c r="U254" i="262"/>
  <c r="U813" i="275"/>
  <c r="AW195" i="262"/>
  <c r="AW77" i="259"/>
  <c r="AW250" i="261"/>
  <c r="AW152" i="262"/>
  <c r="V239" i="262"/>
  <c r="V1346" i="259"/>
  <c r="BA55" i="262"/>
  <c r="BA974" i="259"/>
  <c r="BA974" i="275" s="1"/>
  <c r="BC151" i="262"/>
  <c r="K78" i="276"/>
  <c r="AZ1607" i="259"/>
  <c r="AA138" i="262"/>
  <c r="BA154" i="262"/>
  <c r="AZ589" i="259"/>
  <c r="AZ591" i="259" s="1"/>
  <c r="AZ591" i="275" s="1"/>
  <c r="AC135" i="259"/>
  <c r="AZ1505" i="259"/>
  <c r="AZ112" i="261" s="1"/>
  <c r="AZ56" i="259"/>
  <c r="AZ138" i="262" s="1"/>
  <c r="AW35" i="264"/>
  <c r="AW49" i="264" s="1"/>
  <c r="AW80" i="264" s="1"/>
  <c r="AY80" i="264" s="1"/>
  <c r="AD37" i="259"/>
  <c r="AB126" i="262"/>
  <c r="AZ50" i="275"/>
  <c r="H46" i="276"/>
  <c r="H47" i="276" s="1"/>
  <c r="BA179" i="262"/>
  <c r="BA1658" i="259"/>
  <c r="AZ582" i="259"/>
  <c r="AZ582" i="275" s="1"/>
  <c r="BA443" i="259"/>
  <c r="BA443" i="275" s="1"/>
  <c r="AC1415" i="259"/>
  <c r="BA138" i="261"/>
  <c r="I65" i="276"/>
  <c r="AC50" i="259"/>
  <c r="BA133" i="261"/>
  <c r="I64" i="276"/>
  <c r="AD115" i="259"/>
  <c r="AE1507" i="259"/>
  <c r="AE279" i="275"/>
  <c r="AC279" i="275"/>
  <c r="AC285" i="259"/>
  <c r="AC1507" i="259"/>
  <c r="AB124" i="259"/>
  <c r="BA336" i="259"/>
  <c r="BA334" i="275"/>
  <c r="AD277" i="275"/>
  <c r="AD279" i="259"/>
  <c r="AD140" i="259"/>
  <c r="BA353" i="259"/>
  <c r="AE353" i="275"/>
  <c r="BA614" i="259"/>
  <c r="BA614" i="275" s="1"/>
  <c r="AE614" i="275"/>
  <c r="AZ285" i="275"/>
  <c r="BA1683" i="259"/>
  <c r="I61" i="276"/>
  <c r="I50" i="276"/>
  <c r="BA166" i="275"/>
  <c r="AE430" i="275"/>
  <c r="AE447" i="259"/>
  <c r="AE1083" i="259" s="1"/>
  <c r="BA430" i="259"/>
  <c r="BA905" i="259"/>
  <c r="BA143" i="262"/>
  <c r="BA63" i="275"/>
  <c r="BD542" i="275"/>
  <c r="BA979" i="259"/>
  <c r="BA979" i="275" s="1"/>
  <c r="AE979" i="275"/>
  <c r="BC886" i="259"/>
  <c r="BC1055" i="275"/>
  <c r="BA282" i="259"/>
  <c r="BA282" i="275" s="1"/>
  <c r="AE282" i="275"/>
  <c r="BA277" i="259"/>
  <c r="BA277" i="275" s="1"/>
  <c r="AZ366" i="259"/>
  <c r="BA444" i="259"/>
  <c r="BA444" i="275" s="1"/>
  <c r="AE444" i="275"/>
  <c r="BA442" i="259"/>
  <c r="BA442" i="275" s="1"/>
  <c r="AE442" i="275"/>
  <c r="AD130" i="262"/>
  <c r="AD131" i="275"/>
  <c r="AE969" i="259"/>
  <c r="AE969" i="275" s="1"/>
  <c r="AZ142" i="262"/>
  <c r="AZ62" i="275"/>
  <c r="Z134" i="262"/>
  <c r="AZ124" i="259"/>
  <c r="AZ68" i="259"/>
  <c r="AE1033" i="259"/>
  <c r="AE1033" i="275" s="1"/>
  <c r="AE1031" i="275"/>
  <c r="BA1018" i="259"/>
  <c r="BA1018" i="275" s="1"/>
  <c r="BA1016" i="275"/>
  <c r="BA1031" i="259"/>
  <c r="BA1031" i="275" s="1"/>
  <c r="BA1685" i="259"/>
  <c r="BA967" i="259"/>
  <c r="BA967" i="275" s="1"/>
  <c r="AE967" i="275"/>
  <c r="BA150" i="259"/>
  <c r="AE150" i="275"/>
  <c r="AD114" i="275"/>
  <c r="AD44" i="259"/>
  <c r="BA451" i="275"/>
  <c r="BA567" i="259"/>
  <c r="BA201" i="261" s="1"/>
  <c r="BA472" i="275"/>
  <c r="AE479" i="259"/>
  <c r="AE476" i="275"/>
  <c r="AZ494" i="259"/>
  <c r="AW43" i="264"/>
  <c r="AY43" i="264" s="1"/>
  <c r="AC487" i="259"/>
  <c r="AC479" i="275"/>
  <c r="BB13" i="262"/>
  <c r="BB541" i="275"/>
  <c r="AD479" i="259"/>
  <c r="AD476" i="275"/>
  <c r="AS36" i="264"/>
  <c r="Z139" i="262"/>
  <c r="AW28" i="264"/>
  <c r="AZ1606" i="259"/>
  <c r="BB15" i="262"/>
  <c r="BB45" i="262" s="1"/>
  <c r="BB561" i="275"/>
  <c r="Z280" i="262"/>
  <c r="Z1619" i="259"/>
  <c r="Z281" i="262"/>
  <c r="Z1632" i="259"/>
  <c r="Z291" i="262" s="1"/>
  <c r="Z1633" i="259"/>
  <c r="Z292" i="262" s="1"/>
  <c r="AS29" i="264"/>
  <c r="AU29" i="264" s="1"/>
  <c r="AU28" i="264"/>
  <c r="AZ51" i="259"/>
  <c r="AA127" i="262"/>
  <c r="AZ162" i="259"/>
  <c r="AZ1541" i="259" s="1"/>
  <c r="G34" i="273"/>
  <c r="BA1183" i="259"/>
  <c r="BA1185" i="259" s="1"/>
  <c r="BA142" i="261" s="1"/>
  <c r="AE136" i="259"/>
  <c r="AE131" i="262"/>
  <c r="AW70" i="264"/>
  <c r="AE157" i="259"/>
  <c r="BA476" i="259"/>
  <c r="BA156" i="259"/>
  <c r="BA156" i="275" s="1"/>
  <c r="AE120" i="259"/>
  <c r="AD263" i="262"/>
  <c r="AD1686" i="259"/>
  <c r="BA126" i="261"/>
  <c r="BA1612" i="259"/>
  <c r="BA16" i="262"/>
  <c r="BA570" i="259"/>
  <c r="BA207" i="261" s="1"/>
  <c r="BA1264" i="259"/>
  <c r="BA156" i="262" s="1"/>
  <c r="AE445" i="259"/>
  <c r="BA1605" i="259"/>
  <c r="AI36" i="263"/>
  <c r="AY26" i="259"/>
  <c r="AY26" i="275" s="1"/>
  <c r="AY27" i="259"/>
  <c r="AY27" i="275" s="1"/>
  <c r="N57" i="264"/>
  <c r="P57" i="264" s="1"/>
  <c r="J56" i="264"/>
  <c r="J70" i="264" s="1"/>
  <c r="L70" i="264" s="1"/>
  <c r="H30" i="263"/>
  <c r="BA43" i="261"/>
  <c r="BA70" i="261"/>
  <c r="BD541" i="259"/>
  <c r="BD561" i="259"/>
  <c r="BD1231" i="259"/>
  <c r="BD147" i="262" s="1"/>
  <c r="AY236" i="262"/>
  <c r="AY237" i="262"/>
  <c r="T1347" i="259"/>
  <c r="T1348" i="259" s="1"/>
  <c r="T240" i="262"/>
  <c r="W195" i="262"/>
  <c r="W77" i="259"/>
  <c r="W77" i="275" s="1"/>
  <c r="BC541" i="259"/>
  <c r="BC24" i="262"/>
  <c r="BC561" i="259"/>
  <c r="BC564" i="259" s="1"/>
  <c r="BC206" i="261" s="1"/>
  <c r="BC26" i="262"/>
  <c r="AC1321" i="259"/>
  <c r="AC1329" i="259" s="1"/>
  <c r="AC245" i="262"/>
  <c r="AC246" i="262"/>
  <c r="BC1231" i="259"/>
  <c r="BC264" i="262"/>
  <c r="W236" i="262"/>
  <c r="W237" i="262"/>
  <c r="AV253" i="262"/>
  <c r="AV77" i="259"/>
  <c r="AV77" i="275" s="1"/>
  <c r="AY114" i="262"/>
  <c r="AY253" i="262"/>
  <c r="AY122" i="262"/>
  <c r="K236" i="262"/>
  <c r="K237" i="262"/>
  <c r="BD1055" i="259"/>
  <c r="BD491" i="259"/>
  <c r="AY195" i="262"/>
  <c r="AY77" i="259"/>
  <c r="X1336" i="259"/>
  <c r="X319" i="261" s="1"/>
  <c r="W253" i="262"/>
  <c r="W122" i="262"/>
  <c r="K253" i="262"/>
  <c r="K122" i="262"/>
  <c r="K195" i="262"/>
  <c r="K77" i="259"/>
  <c r="AY29" i="267"/>
  <c r="BA3" i="267"/>
  <c r="AY91" i="267"/>
  <c r="AV44" i="267"/>
  <c r="AW4" i="267"/>
  <c r="F16" i="264"/>
  <c r="H16" i="264" s="1"/>
  <c r="W1344" i="259"/>
  <c r="AV1344" i="259"/>
  <c r="W121" i="262"/>
  <c r="W112" i="262"/>
  <c r="W807" i="259"/>
  <c r="W807" i="275" s="1"/>
  <c r="AY807" i="259"/>
  <c r="AY121" i="262"/>
  <c r="AY112" i="262"/>
  <c r="K1344" i="259"/>
  <c r="AW1336" i="259"/>
  <c r="AW319" i="261" s="1"/>
  <c r="AI18" i="264"/>
  <c r="K114" i="262"/>
  <c r="M1336" i="259"/>
  <c r="M319" i="261" s="1"/>
  <c r="N1336" i="259"/>
  <c r="N319" i="261" s="1"/>
  <c r="K1336" i="259"/>
  <c r="K319" i="261" s="1"/>
  <c r="L1336" i="259"/>
  <c r="L319" i="261" s="1"/>
  <c r="W114" i="262"/>
  <c r="W1336" i="259"/>
  <c r="W319" i="261" s="1"/>
  <c r="AV121" i="262"/>
  <c r="AY1344" i="259"/>
  <c r="H31" i="263"/>
  <c r="F18" i="264"/>
  <c r="K112" i="262"/>
  <c r="K121" i="262"/>
  <c r="K807" i="259"/>
  <c r="AQ8" i="264"/>
  <c r="AU8" i="264"/>
  <c r="AM22" i="264"/>
  <c r="AM20" i="264" s="1"/>
  <c r="AM23" i="264"/>
  <c r="BB62" i="262"/>
  <c r="BD208" i="259"/>
  <c r="BD62" i="262" s="1"/>
  <c r="BC208" i="259"/>
  <c r="BA360" i="259"/>
  <c r="BA360" i="275" s="1"/>
  <c r="BA1250" i="259"/>
  <c r="BA128" i="261" s="1"/>
  <c r="BC952" i="259"/>
  <c r="BC952" i="275" s="1"/>
  <c r="BD261" i="259"/>
  <c r="BC261" i="259"/>
  <c r="BC196" i="259"/>
  <c r="BD311" i="259"/>
  <c r="BC311" i="259"/>
  <c r="AE285" i="259"/>
  <c r="AE283" i="259"/>
  <c r="BA281" i="259"/>
  <c r="BA281" i="275" s="1"/>
  <c r="AC1339" i="259"/>
  <c r="AC238" i="262" s="1"/>
  <c r="BD1263" i="259"/>
  <c r="BD155" i="262" s="1"/>
  <c r="BD1248" i="259"/>
  <c r="BD1683" i="259" s="1"/>
  <c r="BC1248" i="259"/>
  <c r="BC1263" i="259"/>
  <c r="BC1196" i="259"/>
  <c r="BD475" i="259"/>
  <c r="BA1377" i="259"/>
  <c r="BA1379" i="259" s="1"/>
  <c r="AE1361" i="259"/>
  <c r="BA1361" i="259" s="1"/>
  <c r="BA155" i="259"/>
  <c r="BA155" i="275" s="1"/>
  <c r="AD157" i="259"/>
  <c r="X1346" i="259"/>
  <c r="X240" i="262" s="1"/>
  <c r="X115" i="262"/>
  <c r="AB86" i="259"/>
  <c r="AB101" i="259" s="1"/>
  <c r="AB123" i="262"/>
  <c r="BA132" i="259"/>
  <c r="BA371" i="259"/>
  <c r="BA371" i="275" s="1"/>
  <c r="AA152" i="262"/>
  <c r="AE1266" i="259"/>
  <c r="AE150" i="262" s="1"/>
  <c r="BA1179" i="259"/>
  <c r="BA146" i="262" s="1"/>
  <c r="AE141" i="259"/>
  <c r="AE357" i="259"/>
  <c r="BC1259" i="259"/>
  <c r="BD1259" i="259"/>
  <c r="AE359" i="259"/>
  <c r="AE1178" i="259"/>
  <c r="BA1213" i="259"/>
  <c r="BA1215" i="259" s="1"/>
  <c r="BA144" i="261" s="1"/>
  <c r="AD1180" i="259"/>
  <c r="AC121" i="259"/>
  <c r="AC62" i="259"/>
  <c r="BA462" i="259"/>
  <c r="BA1084" i="259" s="1"/>
  <c r="AC364" i="259"/>
  <c r="AE1265" i="259"/>
  <c r="BA263" i="262"/>
  <c r="AC1338" i="259"/>
  <c r="AD361" i="259"/>
  <c r="AD119" i="259"/>
  <c r="BA982" i="259"/>
  <c r="BA982" i="275" s="1"/>
  <c r="AE984" i="259"/>
  <c r="AC142" i="259" l="1"/>
  <c r="AC143" i="259" s="1"/>
  <c r="AG232" i="275"/>
  <c r="AB68" i="259"/>
  <c r="AB68" i="275" s="1"/>
  <c r="AB123" i="275"/>
  <c r="AB125" i="259"/>
  <c r="AB118" i="261" s="1"/>
  <c r="AB124" i="275"/>
  <c r="R8" i="263"/>
  <c r="T8" i="263" s="1"/>
  <c r="I8" i="272"/>
  <c r="AI854" i="259"/>
  <c r="BB854" i="259" s="1"/>
  <c r="AH878" i="259"/>
  <c r="AH878" i="275" s="1"/>
  <c r="AI831" i="275"/>
  <c r="AZ512" i="259"/>
  <c r="AZ512" i="275" s="1"/>
  <c r="J28" i="264"/>
  <c r="L28" i="264" s="1"/>
  <c r="AG333" i="275"/>
  <c r="AH333" i="259"/>
  <c r="AH442" i="259" s="1"/>
  <c r="AG983" i="259"/>
  <c r="AG983" i="275" s="1"/>
  <c r="AF445" i="259"/>
  <c r="AF445" i="275" s="1"/>
  <c r="BA196" i="275"/>
  <c r="AB100" i="259"/>
  <c r="AB87" i="259"/>
  <c r="AB102" i="259" s="1"/>
  <c r="AC153" i="275"/>
  <c r="AB138" i="262"/>
  <c r="BA35" i="264"/>
  <c r="BC35" i="264" s="1"/>
  <c r="AC1506" i="259"/>
  <c r="AC117" i="259"/>
  <c r="AC117" i="275" s="1"/>
  <c r="AG334" i="275"/>
  <c r="AC1416" i="259"/>
  <c r="AC331" i="261" s="1"/>
  <c r="BC82" i="261"/>
  <c r="V147" i="264"/>
  <c r="X147" i="264" s="1"/>
  <c r="Z64" i="264"/>
  <c r="AB64" i="264" s="1"/>
  <c r="V64" i="264"/>
  <c r="X64" i="264" s="1"/>
  <c r="BC475" i="275"/>
  <c r="V96" i="264"/>
  <c r="X96" i="264" s="1"/>
  <c r="BC76" i="261"/>
  <c r="V138" i="264"/>
  <c r="X138" i="264" s="1"/>
  <c r="I48" i="276"/>
  <c r="AZ511" i="259"/>
  <c r="AZ511" i="275" s="1"/>
  <c r="AA45" i="259"/>
  <c r="BD271" i="259"/>
  <c r="BD67" i="261"/>
  <c r="BC28" i="264"/>
  <c r="AZ1656" i="259"/>
  <c r="AD153" i="259"/>
  <c r="AD159" i="259" s="1"/>
  <c r="AD160" i="259" s="1"/>
  <c r="AD151" i="275"/>
  <c r="BA168" i="259"/>
  <c r="BA168" i="275" s="1"/>
  <c r="Z96" i="264"/>
  <c r="AB96" i="264" s="1"/>
  <c r="AV811" i="275"/>
  <c r="AW30" i="275"/>
  <c r="N97" i="264"/>
  <c r="P97" i="264" s="1"/>
  <c r="BC169" i="261"/>
  <c r="AY807" i="275"/>
  <c r="AW26" i="275"/>
  <c r="AH1201" i="259"/>
  <c r="AH1200" i="259" s="1"/>
  <c r="AH281" i="259" s="1"/>
  <c r="AI226" i="259"/>
  <c r="AI226" i="275" s="1"/>
  <c r="BC888" i="259"/>
  <c r="BA114" i="259"/>
  <c r="BA44" i="259" s="1"/>
  <c r="AY77" i="275"/>
  <c r="AH431" i="259"/>
  <c r="AH431" i="275" s="1"/>
  <c r="BE918" i="259"/>
  <c r="BE918" i="275" s="1"/>
  <c r="BC892" i="259"/>
  <c r="BC892" i="275" s="1"/>
  <c r="AX239" i="262"/>
  <c r="AX1346" i="259"/>
  <c r="AD139" i="259"/>
  <c r="AD139" i="275" s="1"/>
  <c r="O1347" i="259"/>
  <c r="O1348" i="259" s="1"/>
  <c r="O240" i="262"/>
  <c r="BC893" i="259"/>
  <c r="BC893" i="275" s="1"/>
  <c r="AV237" i="262"/>
  <c r="AU1346" i="259"/>
  <c r="AU239" i="262"/>
  <c r="AV807" i="259"/>
  <c r="AV807" i="275" s="1"/>
  <c r="AY1292" i="259"/>
  <c r="AY1297" i="259" s="1"/>
  <c r="AY1299" i="259" s="1"/>
  <c r="BD173" i="259"/>
  <c r="BD173" i="275" s="1"/>
  <c r="E240" i="262"/>
  <c r="E1347" i="259"/>
  <c r="E1348" i="259" s="1"/>
  <c r="BD917" i="275"/>
  <c r="BD1196" i="259"/>
  <c r="AV112" i="262"/>
  <c r="AV114" i="262"/>
  <c r="AV122" i="262"/>
  <c r="BC39" i="262"/>
  <c r="BE218" i="259"/>
  <c r="BE67" i="261" s="1"/>
  <c r="AV813" i="259"/>
  <c r="AV254" i="262" s="1"/>
  <c r="AH1226" i="259"/>
  <c r="AH1227" i="259" s="1"/>
  <c r="AH1265" i="259" s="1"/>
  <c r="AG1031" i="259"/>
  <c r="AG1033" i="259" s="1"/>
  <c r="BB258" i="261"/>
  <c r="BC843" i="275"/>
  <c r="BD843" i="259"/>
  <c r="BD893" i="259" s="1"/>
  <c r="BC1309" i="259"/>
  <c r="BC168" i="262"/>
  <c r="BD844" i="275"/>
  <c r="BE844" i="259"/>
  <c r="BE844" i="275" s="1"/>
  <c r="BE867" i="259"/>
  <c r="BE867" i="275" s="1"/>
  <c r="BD867" i="275"/>
  <c r="BB185" i="262"/>
  <c r="BE863" i="259"/>
  <c r="BE863" i="275" s="1"/>
  <c r="BD863" i="275"/>
  <c r="AH871" i="275"/>
  <c r="AI871" i="259"/>
  <c r="AI925" i="259" s="1"/>
  <c r="AI925" i="275" s="1"/>
  <c r="AH1378" i="259"/>
  <c r="AH1377" i="259" s="1"/>
  <c r="AH1361" i="259" s="1"/>
  <c r="BC842" i="275"/>
  <c r="BC1308" i="259"/>
  <c r="BC167" i="262"/>
  <c r="AC27" i="267"/>
  <c r="BD842" i="259"/>
  <c r="BD892" i="259" s="1"/>
  <c r="BC345" i="261"/>
  <c r="BD1474" i="259"/>
  <c r="BC1464" i="259"/>
  <c r="AE131" i="259"/>
  <c r="AE134" i="259" s="1"/>
  <c r="BM27" i="264" s="1"/>
  <c r="BB888" i="275"/>
  <c r="BD862" i="275"/>
  <c r="BD1473" i="259"/>
  <c r="BE862" i="259"/>
  <c r="BD1298" i="259"/>
  <c r="BD173" i="262"/>
  <c r="BD1367" i="259"/>
  <c r="BB954" i="259"/>
  <c r="BB264" i="261" s="1"/>
  <c r="BB1230" i="259"/>
  <c r="BB1232" i="259" s="1"/>
  <c r="BB219" i="261" s="1"/>
  <c r="AI692" i="259"/>
  <c r="BC474" i="259"/>
  <c r="BB901" i="259"/>
  <c r="BB902" i="259" s="1"/>
  <c r="BB902" i="275" s="1"/>
  <c r="BC215" i="259"/>
  <c r="Z135" i="264" s="1"/>
  <c r="AB135" i="264" s="1"/>
  <c r="R135" i="264"/>
  <c r="T135" i="264" s="1"/>
  <c r="BB215" i="275"/>
  <c r="BB217" i="259"/>
  <c r="BB267" i="259" s="1"/>
  <c r="AG1685" i="259"/>
  <c r="AH334" i="259"/>
  <c r="AH443" i="259" s="1"/>
  <c r="AH443" i="275" s="1"/>
  <c r="AH1214" i="259"/>
  <c r="BA149" i="259"/>
  <c r="BA149" i="275" s="1"/>
  <c r="AB280" i="262"/>
  <c r="BB1021" i="259"/>
  <c r="BB1021" i="275" s="1"/>
  <c r="AG146" i="262"/>
  <c r="AG1266" i="259"/>
  <c r="AG150" i="262" s="1"/>
  <c r="AI854" i="275"/>
  <c r="BB133" i="259"/>
  <c r="BB133" i="275" s="1"/>
  <c r="BB167" i="275"/>
  <c r="J49" i="276"/>
  <c r="BC167" i="275"/>
  <c r="K49" i="276"/>
  <c r="BB389" i="259"/>
  <c r="BB17" i="261" s="1"/>
  <c r="BB374" i="275"/>
  <c r="AI232" i="259"/>
  <c r="AI230" i="275"/>
  <c r="BB230" i="259"/>
  <c r="AH162" i="261"/>
  <c r="AH624" i="275"/>
  <c r="AG977" i="275"/>
  <c r="AG979" i="259"/>
  <c r="AG979" i="275" s="1"/>
  <c r="BB1006" i="259"/>
  <c r="AI836" i="259"/>
  <c r="AI1006" i="275"/>
  <c r="AG1227" i="259"/>
  <c r="AG1265" i="259" s="1"/>
  <c r="AG1264" i="259"/>
  <c r="AG156" i="262" s="1"/>
  <c r="AH291" i="259"/>
  <c r="AH298" i="259"/>
  <c r="AH296" i="275"/>
  <c r="AG150" i="259"/>
  <c r="AG181" i="275"/>
  <c r="AI829" i="275"/>
  <c r="BB829" i="259"/>
  <c r="BB149" i="261"/>
  <c r="BB1085" i="259"/>
  <c r="AH412" i="275"/>
  <c r="AI412" i="259"/>
  <c r="AH63" i="259"/>
  <c r="AH498" i="259"/>
  <c r="AH1618" i="259"/>
  <c r="AH282" i="262" s="1"/>
  <c r="AH496" i="275"/>
  <c r="BB496" i="259"/>
  <c r="AI436" i="259"/>
  <c r="AI436" i="275" s="1"/>
  <c r="AI215" i="275"/>
  <c r="AI178" i="259"/>
  <c r="BB178" i="259" s="1"/>
  <c r="AI196" i="259"/>
  <c r="AI64" i="261"/>
  <c r="AI381" i="259"/>
  <c r="AI379" i="275"/>
  <c r="AH1040" i="259"/>
  <c r="AH235" i="261"/>
  <c r="BB222" i="261"/>
  <c r="BB491" i="275"/>
  <c r="AI622" i="275"/>
  <c r="AI473" i="259"/>
  <c r="BB473" i="259" s="1"/>
  <c r="AI624" i="259"/>
  <c r="BB624" i="259" s="1"/>
  <c r="BB622" i="259"/>
  <c r="AF157" i="259"/>
  <c r="AF157" i="275" s="1"/>
  <c r="AF119" i="259"/>
  <c r="AF155" i="275"/>
  <c r="AI1027" i="275"/>
  <c r="BD903" i="275"/>
  <c r="BE903" i="259"/>
  <c r="BE903" i="275" s="1"/>
  <c r="AI405" i="275"/>
  <c r="AI375" i="259"/>
  <c r="AI376" i="259" s="1"/>
  <c r="AI84" i="261"/>
  <c r="AI1222" i="259"/>
  <c r="AI1214" i="259" s="1"/>
  <c r="AI1026" i="259"/>
  <c r="AI407" i="259"/>
  <c r="BB407" i="259" s="1"/>
  <c r="AH370" i="259"/>
  <c r="AH370" i="275" s="1"/>
  <c r="AH451" i="259"/>
  <c r="AH375" i="275"/>
  <c r="BB258" i="259"/>
  <c r="BB10" i="261" s="1"/>
  <c r="BC173" i="275"/>
  <c r="BB173" i="275"/>
  <c r="AH411" i="275"/>
  <c r="AI411" i="259"/>
  <c r="AH836" i="275"/>
  <c r="AH55" i="262"/>
  <c r="AH179" i="262"/>
  <c r="AF487" i="259"/>
  <c r="AF479" i="275"/>
  <c r="AG175" i="259"/>
  <c r="AG174" i="275"/>
  <c r="AG430" i="259"/>
  <c r="AG165" i="259"/>
  <c r="BB1042" i="259"/>
  <c r="AG462" i="259"/>
  <c r="AG1084" i="259" s="1"/>
  <c r="AG453" i="259"/>
  <c r="AG453" i="275" s="1"/>
  <c r="AG451" i="275"/>
  <c r="AG283" i="259"/>
  <c r="AG283" i="275" s="1"/>
  <c r="AG281" i="275"/>
  <c r="AH457" i="275"/>
  <c r="AH183" i="262"/>
  <c r="AH219" i="275"/>
  <c r="AH221" i="259"/>
  <c r="AH1250" i="259" s="1"/>
  <c r="AH128" i="261" s="1"/>
  <c r="AH1016" i="259"/>
  <c r="AH1031" i="259" s="1"/>
  <c r="AH41" i="261"/>
  <c r="AH68" i="261"/>
  <c r="AG355" i="259"/>
  <c r="AG353" i="275"/>
  <c r="BD904" i="275"/>
  <c r="BE904" i="259"/>
  <c r="BE904" i="275" s="1"/>
  <c r="AH340" i="259"/>
  <c r="AH340" i="275" s="1"/>
  <c r="AH973" i="259"/>
  <c r="AH973" i="275" s="1"/>
  <c r="AI336" i="259"/>
  <c r="AH336" i="275"/>
  <c r="AH953" i="275"/>
  <c r="AI1017" i="275"/>
  <c r="BB1017" i="259"/>
  <c r="BB1017" i="275" s="1"/>
  <c r="AG154" i="262"/>
  <c r="AG262" i="262"/>
  <c r="BB852" i="259"/>
  <c r="AI852" i="275"/>
  <c r="AI878" i="259"/>
  <c r="AI878" i="275" s="1"/>
  <c r="AI497" i="275"/>
  <c r="BB497" i="259"/>
  <c r="BB497" i="275" s="1"/>
  <c r="BD857" i="259"/>
  <c r="BC857" i="275"/>
  <c r="BD900" i="275"/>
  <c r="BE900" i="259"/>
  <c r="AI301" i="259"/>
  <c r="AI324" i="275"/>
  <c r="AI74" i="261"/>
  <c r="AG614" i="259"/>
  <c r="AG614" i="275" s="1"/>
  <c r="AG619" i="275"/>
  <c r="AI968" i="259"/>
  <c r="AI228" i="275"/>
  <c r="AI234" i="259"/>
  <c r="AH369" i="275"/>
  <c r="AF131" i="262"/>
  <c r="AF136" i="259"/>
  <c r="AF132" i="275"/>
  <c r="AG221" i="275"/>
  <c r="AG43" i="261"/>
  <c r="AG1018" i="259"/>
  <c r="AG1018" i="275" s="1"/>
  <c r="AG70" i="261"/>
  <c r="AG132" i="259"/>
  <c r="AG166" i="275"/>
  <c r="AF1033" i="275"/>
  <c r="AI225" i="259"/>
  <c r="AH225" i="275"/>
  <c r="AH413" i="275"/>
  <c r="AI413" i="259"/>
  <c r="AI972" i="259"/>
  <c r="AI338" i="275"/>
  <c r="BB338" i="259"/>
  <c r="AF1686" i="259"/>
  <c r="AF263" i="262"/>
  <c r="AF120" i="275"/>
  <c r="BB1188" i="259"/>
  <c r="AI325" i="275"/>
  <c r="AI73" i="261"/>
  <c r="AI296" i="259"/>
  <c r="BB296" i="259" s="1"/>
  <c r="AI1205" i="259"/>
  <c r="AI329" i="259"/>
  <c r="BB329" i="259" s="1"/>
  <c r="AI1022" i="259"/>
  <c r="AF168" i="259"/>
  <c r="AF168" i="275" s="1"/>
  <c r="AF165" i="275"/>
  <c r="AH617" i="275"/>
  <c r="AH619" i="259"/>
  <c r="AI617" i="259"/>
  <c r="AF277" i="259"/>
  <c r="AF275" i="275"/>
  <c r="AI414" i="275"/>
  <c r="AI978" i="259"/>
  <c r="AF283" i="259"/>
  <c r="AF281" i="275"/>
  <c r="BB831" i="275"/>
  <c r="AD1508" i="259"/>
  <c r="BD474" i="259"/>
  <c r="J62" i="276"/>
  <c r="AG967" i="275"/>
  <c r="AG969" i="259"/>
  <c r="AG969" i="275" s="1"/>
  <c r="AG982" i="259"/>
  <c r="AF361" i="259"/>
  <c r="AF359" i="275"/>
  <c r="AH174" i="259"/>
  <c r="AH196" i="275"/>
  <c r="AH37" i="262"/>
  <c r="AH476" i="259"/>
  <c r="AH167" i="261"/>
  <c r="AH473" i="275"/>
  <c r="BB81" i="261"/>
  <c r="BB54" i="261"/>
  <c r="BB403" i="275"/>
  <c r="BC403" i="259"/>
  <c r="R146" i="264"/>
  <c r="T146" i="264" s="1"/>
  <c r="BB84" i="261"/>
  <c r="BB57" i="261"/>
  <c r="BC405" i="259"/>
  <c r="R150" i="264"/>
  <c r="T150" i="264" s="1"/>
  <c r="R144" i="264"/>
  <c r="T144" i="264" s="1"/>
  <c r="BB405" i="275"/>
  <c r="AG275" i="259"/>
  <c r="AG298" i="275"/>
  <c r="AH418" i="259"/>
  <c r="AH418" i="275" s="1"/>
  <c r="AH977" i="259"/>
  <c r="AI416" i="259"/>
  <c r="AI418" i="259" s="1"/>
  <c r="AH458" i="259"/>
  <c r="AH458" i="275" s="1"/>
  <c r="AH416" i="275"/>
  <c r="AH972" i="275"/>
  <c r="BC1209" i="259"/>
  <c r="Z138" i="264"/>
  <c r="AB138" i="264" s="1"/>
  <c r="BD327" i="259"/>
  <c r="BD76" i="261" s="1"/>
  <c r="BC327" i="275"/>
  <c r="BC1021" i="259"/>
  <c r="AF141" i="259"/>
  <c r="AF141" i="275" s="1"/>
  <c r="AF357" i="259"/>
  <c r="AF363" i="259" s="1"/>
  <c r="AF355" i="275"/>
  <c r="AH1262" i="259"/>
  <c r="BB435" i="259"/>
  <c r="BB435" i="275" s="1"/>
  <c r="AH354" i="259"/>
  <c r="AH354" i="275" s="1"/>
  <c r="AH381" i="275"/>
  <c r="AF276" i="275"/>
  <c r="AF982" i="275"/>
  <c r="AF984" i="259"/>
  <c r="AF984" i="275" s="1"/>
  <c r="AH132" i="262"/>
  <c r="AH133" i="275"/>
  <c r="BB66" i="261"/>
  <c r="AI832" i="275"/>
  <c r="BB832" i="259"/>
  <c r="BB833" i="259" s="1"/>
  <c r="BB833" i="275" s="1"/>
  <c r="AH906" i="259"/>
  <c r="AH902" i="275"/>
  <c r="BB63" i="261"/>
  <c r="BB36" i="261"/>
  <c r="R134" i="264"/>
  <c r="T134" i="264" s="1"/>
  <c r="BB214" i="275"/>
  <c r="BC214" i="259"/>
  <c r="AI171" i="275"/>
  <c r="BB171" i="259"/>
  <c r="AI828" i="275"/>
  <c r="BB828" i="259"/>
  <c r="BB1269" i="259"/>
  <c r="R64" i="264"/>
  <c r="T64" i="264" s="1"/>
  <c r="AI231" i="275"/>
  <c r="BB231" i="259"/>
  <c r="AG1213" i="259"/>
  <c r="AG1260" i="259"/>
  <c r="AG138" i="261" s="1"/>
  <c r="AG360" i="259"/>
  <c r="AG120" i="259" s="1"/>
  <c r="AG120" i="275" s="1"/>
  <c r="AH329" i="275"/>
  <c r="AH51" i="261"/>
  <c r="AH78" i="261"/>
  <c r="AH1023" i="259"/>
  <c r="AH1023" i="275" s="1"/>
  <c r="AI133" i="259"/>
  <c r="AI167" i="275"/>
  <c r="AH303" i="259"/>
  <c r="AH301" i="275"/>
  <c r="AG211" i="259"/>
  <c r="AG210" i="275"/>
  <c r="AF149" i="259"/>
  <c r="AF175" i="275"/>
  <c r="BB1027" i="259"/>
  <c r="BC618" i="259"/>
  <c r="BB618" i="275"/>
  <c r="BD623" i="275"/>
  <c r="BE623" i="259"/>
  <c r="BE623" i="275" s="1"/>
  <c r="AG276" i="259"/>
  <c r="AG276" i="275" s="1"/>
  <c r="AG303" i="275"/>
  <c r="AI833" i="259"/>
  <c r="AI833" i="275" s="1"/>
  <c r="AG156" i="275"/>
  <c r="AI369" i="259"/>
  <c r="AI374" i="275"/>
  <c r="BB297" i="259"/>
  <c r="AI292" i="259"/>
  <c r="AI297" i="275"/>
  <c r="AH227" i="275"/>
  <c r="AI227" i="259"/>
  <c r="AH156" i="259"/>
  <c r="AH1183" i="259"/>
  <c r="AH166" i="259"/>
  <c r="AH172" i="275"/>
  <c r="AH436" i="275"/>
  <c r="AH353" i="259"/>
  <c r="AH376" i="275"/>
  <c r="AG155" i="259"/>
  <c r="AE113" i="259"/>
  <c r="BA113" i="259" s="1"/>
  <c r="AE151" i="259"/>
  <c r="AE153" i="259" s="1"/>
  <c r="BB37" i="261"/>
  <c r="BB64" i="261"/>
  <c r="AH181" i="259"/>
  <c r="AH210" i="259"/>
  <c r="AH178" i="275"/>
  <c r="AF1180" i="259"/>
  <c r="BB1218" i="259"/>
  <c r="BB1258" i="259" s="1"/>
  <c r="BB136" i="261" s="1"/>
  <c r="AH407" i="275"/>
  <c r="AH59" i="261"/>
  <c r="AH86" i="261"/>
  <c r="AH1028" i="259"/>
  <c r="AH1028" i="275" s="1"/>
  <c r="AH1026" i="275"/>
  <c r="AG293" i="259"/>
  <c r="AG293" i="275" s="1"/>
  <c r="AG291" i="275"/>
  <c r="BD856" i="259"/>
  <c r="BC856" i="275"/>
  <c r="AG442" i="275"/>
  <c r="AG445" i="259"/>
  <c r="AG445" i="275" s="1"/>
  <c r="BB397" i="259"/>
  <c r="BB31" i="261" s="1"/>
  <c r="BB381" i="259"/>
  <c r="BB381" i="275" s="1"/>
  <c r="BB379" i="275"/>
  <c r="BB262" i="261"/>
  <c r="BB952" i="275"/>
  <c r="AG479" i="259"/>
  <c r="AG476" i="275"/>
  <c r="AF114" i="259"/>
  <c r="AF150" i="275"/>
  <c r="AI217" i="275"/>
  <c r="AI457" i="259"/>
  <c r="AI219" i="259"/>
  <c r="AI172" i="259"/>
  <c r="AI66" i="261"/>
  <c r="AI1192" i="259"/>
  <c r="BC297" i="259"/>
  <c r="AI953" i="259"/>
  <c r="BB953" i="259" s="1"/>
  <c r="AI901" i="275"/>
  <c r="AI902" i="259"/>
  <c r="AI691" i="275"/>
  <c r="AI1039" i="259"/>
  <c r="BB1038" i="259"/>
  <c r="AI498" i="259"/>
  <c r="AI498" i="275" s="1"/>
  <c r="AI63" i="259"/>
  <c r="AI1618" i="259"/>
  <c r="AI282" i="262" s="1"/>
  <c r="AI496" i="275"/>
  <c r="BC379" i="259"/>
  <c r="BD402" i="259"/>
  <c r="BD82" i="261" s="1"/>
  <c r="Z147" i="264"/>
  <c r="AB147" i="264" s="1"/>
  <c r="BC402" i="275"/>
  <c r="BB325" i="259"/>
  <c r="BB47" i="261"/>
  <c r="BB74" i="261"/>
  <c r="R141" i="264"/>
  <c r="T141" i="264" s="1"/>
  <c r="BB324" i="275"/>
  <c r="BC324" i="259"/>
  <c r="V141" i="264" s="1"/>
  <c r="X141" i="264" s="1"/>
  <c r="AG371" i="259"/>
  <c r="AG371" i="275" s="1"/>
  <c r="AH968" i="275"/>
  <c r="AF432" i="259"/>
  <c r="AF447" i="259"/>
  <c r="AF1083" i="259" s="1"/>
  <c r="AF430" i="275"/>
  <c r="AH851" i="275"/>
  <c r="AI851" i="259"/>
  <c r="AH876" i="259"/>
  <c r="AH876" i="275" s="1"/>
  <c r="AH1032" i="259"/>
  <c r="AH1032" i="275" s="1"/>
  <c r="AH335" i="259"/>
  <c r="AH444" i="259" s="1"/>
  <c r="AH444" i="275" s="1"/>
  <c r="AH232" i="275"/>
  <c r="AH967" i="259"/>
  <c r="AG1250" i="259"/>
  <c r="AG128" i="261" s="1"/>
  <c r="BI107" i="264"/>
  <c r="BK107" i="264" s="1"/>
  <c r="BK97" i="264"/>
  <c r="BO97" i="264"/>
  <c r="BM107" i="264"/>
  <c r="BO107" i="264" s="1"/>
  <c r="BK27" i="264"/>
  <c r="BE56" i="264"/>
  <c r="AC364" i="275"/>
  <c r="AD157" i="275"/>
  <c r="AE157" i="275"/>
  <c r="BA279" i="259"/>
  <c r="BA279" i="275" s="1"/>
  <c r="AD115" i="275"/>
  <c r="AD37" i="275"/>
  <c r="AD357" i="275"/>
  <c r="AD361" i="275"/>
  <c r="AC121" i="275"/>
  <c r="AE357" i="275"/>
  <c r="AD119" i="275"/>
  <c r="AD363" i="275"/>
  <c r="AE359" i="275"/>
  <c r="AE141" i="275"/>
  <c r="AE44" i="275"/>
  <c r="AD44" i="275"/>
  <c r="AC160" i="259"/>
  <c r="AC162" i="259" s="1"/>
  <c r="AD140" i="275"/>
  <c r="AC126" i="262"/>
  <c r="AE140" i="275"/>
  <c r="AD134" i="275"/>
  <c r="AE114" i="275"/>
  <c r="AB127" i="262"/>
  <c r="AB69" i="259"/>
  <c r="AB69" i="275" s="1"/>
  <c r="BA43" i="264"/>
  <c r="BC43" i="264" s="1"/>
  <c r="K184" i="262"/>
  <c r="K1057" i="275"/>
  <c r="K959" i="259"/>
  <c r="K1058" i="259"/>
  <c r="BE491" i="259"/>
  <c r="BE491" i="275" s="1"/>
  <c r="BE182" i="262"/>
  <c r="BE607" i="275"/>
  <c r="BE1055" i="259"/>
  <c r="BE1055" i="275" s="1"/>
  <c r="BE510" i="259"/>
  <c r="BE38" i="259" s="1"/>
  <c r="BE1231" i="259"/>
  <c r="AX184" i="262"/>
  <c r="AX959" i="259"/>
  <c r="O184" i="262"/>
  <c r="O1057" i="275"/>
  <c r="O1058" i="259"/>
  <c r="O959" i="259"/>
  <c r="P1057" i="275"/>
  <c r="P184" i="262"/>
  <c r="P959" i="259"/>
  <c r="P1058" i="259"/>
  <c r="R1347" i="259"/>
  <c r="R1348" i="259" s="1"/>
  <c r="R240" i="262"/>
  <c r="AW1057" i="259"/>
  <c r="AW1048" i="275"/>
  <c r="N1057" i="275"/>
  <c r="N959" i="259"/>
  <c r="N184" i="262"/>
  <c r="N1058" i="259"/>
  <c r="K807" i="275"/>
  <c r="O807" i="275"/>
  <c r="J35" i="264"/>
  <c r="J49" i="264" s="1"/>
  <c r="J80" i="264" s="1"/>
  <c r="L80" i="264" s="1"/>
  <c r="H54" i="276"/>
  <c r="S1057" i="275"/>
  <c r="R1057" i="275"/>
  <c r="M240" i="262"/>
  <c r="M1347" i="259"/>
  <c r="M1348" i="259" s="1"/>
  <c r="BE474" i="259"/>
  <c r="BE38" i="262" s="1"/>
  <c r="W254" i="262"/>
  <c r="W813" i="275"/>
  <c r="Q1057" i="275"/>
  <c r="Q184" i="262"/>
  <c r="Q959" i="259"/>
  <c r="Q1058" i="259"/>
  <c r="L240" i="262"/>
  <c r="L1347" i="259"/>
  <c r="L1348" i="259" s="1"/>
  <c r="K254" i="262"/>
  <c r="K813" i="275"/>
  <c r="AI22" i="264"/>
  <c r="U184" i="262"/>
  <c r="U1057" i="275"/>
  <c r="U959" i="259"/>
  <c r="U1058" i="259"/>
  <c r="AW239" i="262"/>
  <c r="AW1346" i="259"/>
  <c r="AY959" i="259"/>
  <c r="AY184" i="262"/>
  <c r="AY1057" i="275"/>
  <c r="AY1058" i="259"/>
  <c r="AV1057" i="275"/>
  <c r="AV184" i="262"/>
  <c r="AV959" i="259"/>
  <c r="AV1058" i="259"/>
  <c r="V1057" i="275"/>
  <c r="V959" i="259"/>
  <c r="V184" i="262"/>
  <c r="V1058" i="259"/>
  <c r="M184" i="262"/>
  <c r="M1057" i="275"/>
  <c r="M959" i="259"/>
  <c r="M1058" i="259"/>
  <c r="BD475" i="275"/>
  <c r="BD39" i="262"/>
  <c r="BE475" i="259"/>
  <c r="AI35" i="263"/>
  <c r="AI33" i="263" s="1"/>
  <c r="V1347" i="259"/>
  <c r="V1348" i="259" s="1"/>
  <c r="V240" i="262"/>
  <c r="AW77" i="275"/>
  <c r="AX77" i="275"/>
  <c r="T1057" i="275"/>
  <c r="R1058" i="259"/>
  <c r="F35" i="263"/>
  <c r="AY30" i="275"/>
  <c r="AX1048" i="275"/>
  <c r="W1058" i="259"/>
  <c r="O813" i="275"/>
  <c r="P240" i="262"/>
  <c r="P1347" i="259"/>
  <c r="P1348" i="259" s="1"/>
  <c r="U240" i="262"/>
  <c r="U1347" i="259"/>
  <c r="U1348" i="259" s="1"/>
  <c r="AY254" i="262"/>
  <c r="AY813" i="275"/>
  <c r="AW807" i="275"/>
  <c r="AW115" i="262"/>
  <c r="AX807" i="275"/>
  <c r="L184" i="262"/>
  <c r="L1057" i="275"/>
  <c r="L1058" i="259"/>
  <c r="L959" i="259"/>
  <c r="BD15" i="262"/>
  <c r="BD45" i="262" s="1"/>
  <c r="BE561" i="275"/>
  <c r="BE564" i="259"/>
  <c r="BE206" i="261" s="1"/>
  <c r="BE563" i="259"/>
  <c r="BE200" i="261" s="1"/>
  <c r="BE541" i="275"/>
  <c r="BD13" i="262"/>
  <c r="BE544" i="259"/>
  <c r="BE543" i="259"/>
  <c r="BD491" i="275"/>
  <c r="BB48" i="262"/>
  <c r="AZ589" i="275"/>
  <c r="K77" i="275"/>
  <c r="O77" i="275"/>
  <c r="AC142" i="275"/>
  <c r="J42" i="264"/>
  <c r="L42" i="264" s="1"/>
  <c r="AY35" i="264"/>
  <c r="AZ56" i="275"/>
  <c r="BA969" i="259"/>
  <c r="BA969" i="275" s="1"/>
  <c r="AD1415" i="259"/>
  <c r="AD1416" i="259" s="1"/>
  <c r="AD331" i="261" s="1"/>
  <c r="AC50" i="275"/>
  <c r="AD50" i="259"/>
  <c r="AD135" i="259"/>
  <c r="BA1033" i="259"/>
  <c r="BA1033" i="275" s="1"/>
  <c r="BA131" i="262"/>
  <c r="BA132" i="275"/>
  <c r="BC174" i="259"/>
  <c r="BB469" i="275"/>
  <c r="R92" i="264"/>
  <c r="T92" i="264" s="1"/>
  <c r="AZ1543" i="259"/>
  <c r="AZ366" i="275"/>
  <c r="AZ364" i="259"/>
  <c r="BA140" i="259"/>
  <c r="AB126" i="259"/>
  <c r="AB6" i="259" s="1"/>
  <c r="BB471" i="275"/>
  <c r="R90" i="264"/>
  <c r="R122" i="264"/>
  <c r="T122" i="264" s="1"/>
  <c r="BA905" i="275"/>
  <c r="BA270" i="261"/>
  <c r="AD279" i="275"/>
  <c r="AD1507" i="259"/>
  <c r="AD285" i="259"/>
  <c r="BC155" i="262"/>
  <c r="K62" i="276"/>
  <c r="BA283" i="259"/>
  <c r="BA283" i="275" s="1"/>
  <c r="AE283" i="275"/>
  <c r="AZ288" i="259"/>
  <c r="BA430" i="275"/>
  <c r="BA447" i="259"/>
  <c r="BA1083" i="259" s="1"/>
  <c r="BA336" i="275"/>
  <c r="AC286" i="259"/>
  <c r="AC285" i="275"/>
  <c r="BC1683" i="259"/>
  <c r="K61" i="276"/>
  <c r="AE286" i="259"/>
  <c r="AE285" i="275"/>
  <c r="BD886" i="259"/>
  <c r="BD1055" i="275"/>
  <c r="BA355" i="259"/>
  <c r="BA355" i="275" s="1"/>
  <c r="BA353" i="275"/>
  <c r="AC123" i="259"/>
  <c r="AC159" i="275"/>
  <c r="BA445" i="259"/>
  <c r="BA445" i="275" s="1"/>
  <c r="AE445" i="275"/>
  <c r="H44" i="276"/>
  <c r="AZ68" i="275"/>
  <c r="AZ126" i="259"/>
  <c r="AZ160" i="259"/>
  <c r="AZ162" i="275"/>
  <c r="AZ125" i="259"/>
  <c r="AZ118" i="261" s="1"/>
  <c r="AZ124" i="275"/>
  <c r="BA120" i="259"/>
  <c r="BA120" i="275" s="1"/>
  <c r="AE120" i="275"/>
  <c r="AC142" i="262"/>
  <c r="AC62" i="275"/>
  <c r="BA1638" i="259"/>
  <c r="BA1637" i="259" s="1"/>
  <c r="BA984" i="259"/>
  <c r="BA984" i="275" s="1"/>
  <c r="AE984" i="275"/>
  <c r="BA150" i="275"/>
  <c r="BC132" i="262"/>
  <c r="BB543" i="275"/>
  <c r="AZ494" i="275"/>
  <c r="AZ1510" i="259"/>
  <c r="AZ1617" i="259"/>
  <c r="BA479" i="259"/>
  <c r="BA476" i="275"/>
  <c r="BB61" i="262"/>
  <c r="BB207" i="275"/>
  <c r="BC15" i="262"/>
  <c r="BC45" i="262" s="1"/>
  <c r="BC561" i="275"/>
  <c r="BD541" i="275"/>
  <c r="H74" i="276"/>
  <c r="AZ51" i="275"/>
  <c r="AZ127" i="262"/>
  <c r="AY28" i="264"/>
  <c r="AW29" i="264"/>
  <c r="AY29" i="264" s="1"/>
  <c r="BB544" i="275"/>
  <c r="AA280" i="262"/>
  <c r="AA283" i="262"/>
  <c r="Z283" i="262"/>
  <c r="AD487" i="259"/>
  <c r="AD479" i="275"/>
  <c r="AC494" i="259"/>
  <c r="AC512" i="259"/>
  <c r="AC1614" i="259"/>
  <c r="AC489" i="259"/>
  <c r="AC492" i="259"/>
  <c r="AC487" i="275"/>
  <c r="AC51" i="259"/>
  <c r="AZ500" i="259"/>
  <c r="AZ500" i="275" s="1"/>
  <c r="AA281" i="262"/>
  <c r="AA292" i="262"/>
  <c r="AA291" i="262"/>
  <c r="AE487" i="259"/>
  <c r="AE479" i="275"/>
  <c r="BC13" i="262"/>
  <c r="BC541" i="275"/>
  <c r="BD561" i="275"/>
  <c r="AA139" i="262"/>
  <c r="AW36" i="264"/>
  <c r="AY36" i="264" s="1"/>
  <c r="AZ57" i="259"/>
  <c r="AU36" i="264"/>
  <c r="AS50" i="264"/>
  <c r="Z1620" i="259"/>
  <c r="Z1621" i="259" s="1"/>
  <c r="BD1230" i="259"/>
  <c r="BD496" i="259" s="1"/>
  <c r="BD63" i="259" s="1"/>
  <c r="BC497" i="259"/>
  <c r="BC147" i="262"/>
  <c r="BA157" i="259"/>
  <c r="BA157" i="275" s="1"/>
  <c r="BC563" i="259"/>
  <c r="BC200" i="261" s="1"/>
  <c r="AE263" i="262"/>
  <c r="AE1686" i="259"/>
  <c r="BB472" i="275"/>
  <c r="BD471" i="259"/>
  <c r="L56" i="264"/>
  <c r="N71" i="264"/>
  <c r="P71" i="264" s="1"/>
  <c r="AD1318" i="259"/>
  <c r="AD1319" i="259" s="1"/>
  <c r="AC1324" i="259"/>
  <c r="AC1326" i="259" s="1"/>
  <c r="N63" i="264"/>
  <c r="P63" i="264" s="1"/>
  <c r="BD497" i="259"/>
  <c r="BD169" i="261"/>
  <c r="BC1230" i="259"/>
  <c r="BC496" i="259" s="1"/>
  <c r="BC471" i="259"/>
  <c r="BD563" i="259"/>
  <c r="BD200" i="261" s="1"/>
  <c r="BD469" i="259"/>
  <c r="BC469" i="259"/>
  <c r="BC544" i="259"/>
  <c r="BC543" i="259"/>
  <c r="BD543" i="259"/>
  <c r="BD544" i="259"/>
  <c r="BD564" i="259"/>
  <c r="BD206" i="261" s="1"/>
  <c r="AV1346" i="259"/>
  <c r="AV239" i="262"/>
  <c r="W1346" i="259"/>
  <c r="W239" i="262"/>
  <c r="AC251" i="262"/>
  <c r="AC252" i="262"/>
  <c r="AY1346" i="259"/>
  <c r="AY239" i="262"/>
  <c r="K1346" i="259"/>
  <c r="K239" i="262"/>
  <c r="AQ117" i="264"/>
  <c r="AU117" i="264"/>
  <c r="L117" i="264"/>
  <c r="H117" i="264"/>
  <c r="AY117" i="264"/>
  <c r="P117" i="264"/>
  <c r="AZ29" i="267"/>
  <c r="AW44" i="267"/>
  <c r="AX4" i="267"/>
  <c r="BB3" i="267"/>
  <c r="AZ91" i="267"/>
  <c r="K115" i="262"/>
  <c r="AV115" i="262"/>
  <c r="W115" i="262"/>
  <c r="AI20" i="264"/>
  <c r="H18" i="264"/>
  <c r="AY115" i="262"/>
  <c r="BD207" i="259"/>
  <c r="BC62" i="262"/>
  <c r="BC207" i="259"/>
  <c r="BD952" i="259"/>
  <c r="BD196" i="259"/>
  <c r="BC1202" i="259"/>
  <c r="BD1202" i="259"/>
  <c r="BC1185" i="259"/>
  <c r="BD1185" i="259"/>
  <c r="BA141" i="259"/>
  <c r="X1347" i="259"/>
  <c r="AE1508" i="259"/>
  <c r="AC1293" i="259"/>
  <c r="AC242" i="262" s="1"/>
  <c r="AE363" i="259"/>
  <c r="AE1180" i="259"/>
  <c r="BA1178" i="259"/>
  <c r="BD394" i="259"/>
  <c r="BC394" i="259"/>
  <c r="BA357" i="259"/>
  <c r="AC366" i="259"/>
  <c r="AD364" i="259"/>
  <c r="AE361" i="259"/>
  <c r="AE119" i="259"/>
  <c r="BA359" i="259"/>
  <c r="BA359" i="275" s="1"/>
  <c r="AB152" i="262"/>
  <c r="AD121" i="259"/>
  <c r="AD62" i="259"/>
  <c r="BC514" i="259"/>
  <c r="BD514" i="259"/>
  <c r="BA1266" i="259"/>
  <c r="BA150" i="262" s="1"/>
  <c r="AC1505" i="259" l="1"/>
  <c r="AD142" i="259"/>
  <c r="BC901" i="259"/>
  <c r="AH1685" i="259"/>
  <c r="AI333" i="259"/>
  <c r="AH333" i="275"/>
  <c r="BD893" i="275"/>
  <c r="J29" i="264"/>
  <c r="L29" i="264" s="1"/>
  <c r="AZ45" i="259"/>
  <c r="AZ45" i="275" s="1"/>
  <c r="AA47" i="259"/>
  <c r="AA47" i="275" s="1"/>
  <c r="AA45" i="275"/>
  <c r="BD215" i="259"/>
  <c r="BD64" i="261" s="1"/>
  <c r="BB217" i="275"/>
  <c r="AB105" i="259"/>
  <c r="AB45" i="259"/>
  <c r="AB106" i="259"/>
  <c r="AB104" i="259"/>
  <c r="AD1506" i="259"/>
  <c r="AC56" i="259"/>
  <c r="BE35" i="264" s="1"/>
  <c r="BE49" i="264" s="1"/>
  <c r="BE80" i="264" s="1"/>
  <c r="BG80" i="264" s="1"/>
  <c r="BC375" i="259"/>
  <c r="BE271" i="259"/>
  <c r="AH334" i="275"/>
  <c r="BB226" i="259"/>
  <c r="BB226" i="275" s="1"/>
  <c r="BB901" i="275"/>
  <c r="BE471" i="275"/>
  <c r="BC178" i="259"/>
  <c r="BC181" i="259" s="1"/>
  <c r="BC150" i="259" s="1"/>
  <c r="V135" i="264"/>
  <c r="X135" i="264" s="1"/>
  <c r="V90" i="264"/>
  <c r="X90" i="264" s="1"/>
  <c r="V122" i="264"/>
  <c r="X122" i="264" s="1"/>
  <c r="V150" i="264"/>
  <c r="X150" i="264" s="1"/>
  <c r="V144" i="264"/>
  <c r="X144" i="264" s="1"/>
  <c r="BC81" i="261"/>
  <c r="V146" i="264"/>
  <c r="X146" i="264" s="1"/>
  <c r="V153" i="264"/>
  <c r="X153" i="264" s="1"/>
  <c r="BC63" i="261"/>
  <c r="V134" i="264"/>
  <c r="X134" i="264" s="1"/>
  <c r="BC215" i="275"/>
  <c r="Z95" i="264"/>
  <c r="AB95" i="264" s="1"/>
  <c r="V95" i="264"/>
  <c r="X95" i="264" s="1"/>
  <c r="BC888" i="275"/>
  <c r="V8" i="263"/>
  <c r="X8" i="263" s="1"/>
  <c r="BE469" i="275"/>
  <c r="Z92" i="264"/>
  <c r="AB92" i="264" s="1"/>
  <c r="V92" i="264"/>
  <c r="BC497" i="275"/>
  <c r="BC496" i="275"/>
  <c r="BA42" i="264"/>
  <c r="BC42" i="264" s="1"/>
  <c r="AD117" i="259"/>
  <c r="AD56" i="259" s="1"/>
  <c r="BI35" i="264" s="1"/>
  <c r="AD153" i="275"/>
  <c r="AH1179" i="259"/>
  <c r="AH1266" i="259" s="1"/>
  <c r="AH150" i="262" s="1"/>
  <c r="AI431" i="259"/>
  <c r="AI431" i="275" s="1"/>
  <c r="BA114" i="275"/>
  <c r="AE151" i="275"/>
  <c r="AE139" i="259"/>
  <c r="BA139" i="259" s="1"/>
  <c r="BA139" i="275" s="1"/>
  <c r="AZ579" i="259"/>
  <c r="AZ579" i="275" s="1"/>
  <c r="BC1222" i="259"/>
  <c r="BC84" i="261"/>
  <c r="AH1264" i="259"/>
  <c r="AH156" i="262" s="1"/>
  <c r="AH1255" i="259"/>
  <c r="AH133" i="261" s="1"/>
  <c r="BC436" i="259"/>
  <c r="BC74" i="261"/>
  <c r="BE196" i="259"/>
  <c r="BE174" i="259" s="1"/>
  <c r="BC64" i="261"/>
  <c r="BC831" i="259"/>
  <c r="BC831" i="275" s="1"/>
  <c r="BC185" i="262"/>
  <c r="BB692" i="259"/>
  <c r="AI235" i="261"/>
  <c r="N107" i="264"/>
  <c r="P107" i="264" s="1"/>
  <c r="AH983" i="259"/>
  <c r="AH983" i="275" s="1"/>
  <c r="BC217" i="259"/>
  <c r="V126" i="264" s="1"/>
  <c r="X126" i="264" s="1"/>
  <c r="BB39" i="261"/>
  <c r="BA151" i="259"/>
  <c r="BA151" i="275" s="1"/>
  <c r="BB219" i="259"/>
  <c r="BB41" i="261" s="1"/>
  <c r="AE1414" i="259"/>
  <c r="BA1414" i="259" s="1"/>
  <c r="R126" i="264"/>
  <c r="T126" i="264" s="1"/>
  <c r="BD888" i="259"/>
  <c r="BE888" i="259" s="1"/>
  <c r="AI334" i="259"/>
  <c r="AI443" i="259" s="1"/>
  <c r="Z8" i="263"/>
  <c r="AB8" i="263" s="1"/>
  <c r="BD892" i="275"/>
  <c r="BE921" i="259"/>
  <c r="BE921" i="275" s="1"/>
  <c r="AV813" i="275"/>
  <c r="AH282" i="259"/>
  <c r="AH282" i="275" s="1"/>
  <c r="AX240" i="262"/>
  <c r="AX1347" i="259"/>
  <c r="AX1348" i="259" s="1"/>
  <c r="BE894" i="259"/>
  <c r="BE894" i="275" s="1"/>
  <c r="BE173" i="259"/>
  <c r="BE173" i="275" s="1"/>
  <c r="BE1196" i="259"/>
  <c r="AE131" i="275"/>
  <c r="BC474" i="275"/>
  <c r="BE218" i="275"/>
  <c r="AH360" i="259"/>
  <c r="AH360" i="275" s="1"/>
  <c r="BE917" i="259"/>
  <c r="BE917" i="275" s="1"/>
  <c r="AE130" i="262"/>
  <c r="AE37" i="259"/>
  <c r="AE37" i="275" s="1"/>
  <c r="BD167" i="259"/>
  <c r="BD133" i="259" s="1"/>
  <c r="AW813" i="275"/>
  <c r="AI1040" i="259"/>
  <c r="BB436" i="259"/>
  <c r="BB436" i="275" s="1"/>
  <c r="AU240" i="262"/>
  <c r="AU1347" i="259"/>
  <c r="AU1348" i="259" s="1"/>
  <c r="BC1021" i="275"/>
  <c r="AE115" i="259"/>
  <c r="AE115" i="275" s="1"/>
  <c r="AE113" i="275"/>
  <c r="BD1366" i="259"/>
  <c r="BE916" i="259"/>
  <c r="BE916" i="275" s="1"/>
  <c r="BE1298" i="259"/>
  <c r="BE862" i="275"/>
  <c r="BE173" i="262"/>
  <c r="BE1473" i="259"/>
  <c r="BC168" i="261"/>
  <c r="AG1031" i="275"/>
  <c r="BE1474" i="259"/>
  <c r="BE345" i="261" s="1"/>
  <c r="BD1464" i="259"/>
  <c r="BD345" i="261"/>
  <c r="BB132" i="262"/>
  <c r="BC38" i="262"/>
  <c r="AI1378" i="259"/>
  <c r="BB871" i="259"/>
  <c r="AI871" i="275"/>
  <c r="BD168" i="262"/>
  <c r="BD843" i="275"/>
  <c r="BD1309" i="259"/>
  <c r="BE843" i="259"/>
  <c r="BE893" i="259" s="1"/>
  <c r="BE893" i="275" s="1"/>
  <c r="BA1507" i="259"/>
  <c r="BA114" i="261" s="1"/>
  <c r="BD474" i="275"/>
  <c r="BD167" i="262"/>
  <c r="AD27" i="267"/>
  <c r="BE842" i="259"/>
  <c r="BD842" i="275"/>
  <c r="BD1308" i="259"/>
  <c r="AE1506" i="259"/>
  <c r="AE159" i="259"/>
  <c r="AE159" i="275" s="1"/>
  <c r="AE117" i="259"/>
  <c r="BA153" i="259"/>
  <c r="BA115" i="259"/>
  <c r="BA115" i="275" s="1"/>
  <c r="BA113" i="275"/>
  <c r="BA37" i="259"/>
  <c r="BA37" i="275" s="1"/>
  <c r="BC178" i="275"/>
  <c r="BC133" i="275"/>
  <c r="AH974" i="259"/>
  <c r="AH974" i="275" s="1"/>
  <c r="BD168" i="261"/>
  <c r="BD38" i="262"/>
  <c r="AH1260" i="259"/>
  <c r="AH138" i="261" s="1"/>
  <c r="AH1213" i="259"/>
  <c r="AH359" i="259" s="1"/>
  <c r="AH359" i="275" s="1"/>
  <c r="AH371" i="259"/>
  <c r="AH371" i="275" s="1"/>
  <c r="AI418" i="275"/>
  <c r="BB418" i="259"/>
  <c r="BB418" i="275" s="1"/>
  <c r="BB263" i="261"/>
  <c r="BB953" i="275"/>
  <c r="AF364" i="259"/>
  <c r="AF364" i="275" s="1"/>
  <c r="AF363" i="275"/>
  <c r="BB162" i="261"/>
  <c r="BB624" i="275"/>
  <c r="BB167" i="261"/>
  <c r="BB164" i="261"/>
  <c r="BB476" i="259"/>
  <c r="BB479" i="259" s="1"/>
  <c r="BB487" i="259" s="1"/>
  <c r="BB473" i="275"/>
  <c r="BB37" i="262"/>
  <c r="R94" i="264"/>
  <c r="T94" i="264" s="1"/>
  <c r="AI902" i="275"/>
  <c r="AI906" i="259"/>
  <c r="AI906" i="275" s="1"/>
  <c r="BB1192" i="259"/>
  <c r="AI457" i="275"/>
  <c r="AI183" i="262"/>
  <c r="BB457" i="259"/>
  <c r="AH1031" i="275"/>
  <c r="AH1033" i="259"/>
  <c r="BB261" i="259"/>
  <c r="BB22" i="261" s="1"/>
  <c r="BB181" i="259"/>
  <c r="BC181" i="275" s="1"/>
  <c r="AG157" i="259"/>
  <c r="AG157" i="275" s="1"/>
  <c r="AG155" i="275"/>
  <c r="BB292" i="259"/>
  <c r="BB292" i="275" s="1"/>
  <c r="AI292" i="275"/>
  <c r="AI353" i="259"/>
  <c r="BB353" i="259" s="1"/>
  <c r="BB353" i="275" s="1"/>
  <c r="AI376" i="275"/>
  <c r="AF151" i="259"/>
  <c r="AF113" i="259"/>
  <c r="AF149" i="275"/>
  <c r="AH276" i="259"/>
  <c r="AH303" i="275"/>
  <c r="AG360" i="275"/>
  <c r="BB828" i="275"/>
  <c r="BC828" i="259"/>
  <c r="AH906" i="275"/>
  <c r="BB333" i="259"/>
  <c r="AI333" i="275"/>
  <c r="BD1209" i="259"/>
  <c r="BD297" i="259"/>
  <c r="BD1021" i="259"/>
  <c r="BD1021" i="275" s="1"/>
  <c r="BD327" i="275"/>
  <c r="BE327" i="259"/>
  <c r="BE76" i="261" s="1"/>
  <c r="AH977" i="275"/>
  <c r="AH979" i="259"/>
  <c r="AH979" i="275" s="1"/>
  <c r="AG1033" i="275"/>
  <c r="BC374" i="259"/>
  <c r="BC376" i="259" s="1"/>
  <c r="BC1218" i="259"/>
  <c r="Z146" i="264"/>
  <c r="AB146" i="264" s="1"/>
  <c r="BC1027" i="259"/>
  <c r="BC403" i="275"/>
  <c r="BD403" i="259"/>
  <c r="BD81" i="261" s="1"/>
  <c r="AF361" i="275"/>
  <c r="BB978" i="259"/>
  <c r="BB978" i="275" s="1"/>
  <c r="AI978" i="275"/>
  <c r="AI1022" i="275"/>
  <c r="BB1022" i="259"/>
  <c r="BB1032" i="259" s="1"/>
  <c r="BB1032" i="275" s="1"/>
  <c r="BB1247" i="259"/>
  <c r="BB972" i="259"/>
  <c r="BB972" i="275" s="1"/>
  <c r="AI972" i="275"/>
  <c r="BE857" i="259"/>
  <c r="BE857" i="275" s="1"/>
  <c r="BD857" i="275"/>
  <c r="AI340" i="259"/>
  <c r="AI336" i="275"/>
  <c r="AI973" i="259"/>
  <c r="AI983" i="259" s="1"/>
  <c r="AH442" i="275"/>
  <c r="AH445" i="259"/>
  <c r="AH445" i="275" s="1"/>
  <c r="AI407" i="275"/>
  <c r="AI1028" i="259"/>
  <c r="AI1028" i="275" s="1"/>
  <c r="AI86" i="261"/>
  <c r="AI59" i="261"/>
  <c r="AI370" i="259"/>
  <c r="AI370" i="275" s="1"/>
  <c r="AI375" i="275"/>
  <c r="BB375" i="259"/>
  <c r="BC375" i="275" s="1"/>
  <c r="AI354" i="259"/>
  <c r="AI354" i="275" s="1"/>
  <c r="AI381" i="275"/>
  <c r="AI210" i="259"/>
  <c r="BB210" i="259" s="1"/>
  <c r="AI181" i="259"/>
  <c r="AI178" i="275"/>
  <c r="AG114" i="259"/>
  <c r="AG150" i="275"/>
  <c r="AI967" i="259"/>
  <c r="AI232" i="275"/>
  <c r="BB172" i="259"/>
  <c r="AH967" i="275"/>
  <c r="AH969" i="259"/>
  <c r="AH969" i="275" s="1"/>
  <c r="AH982" i="259"/>
  <c r="AF131" i="259"/>
  <c r="Z153" i="264"/>
  <c r="AB153" i="264" s="1"/>
  <c r="BC324" i="275"/>
  <c r="BD324" i="259"/>
  <c r="Z141" i="264"/>
  <c r="AB141" i="264" s="1"/>
  <c r="BC301" i="259"/>
  <c r="AF44" i="259"/>
  <c r="AF114" i="275"/>
  <c r="BD856" i="275"/>
  <c r="BE856" i="259"/>
  <c r="BE856" i="275" s="1"/>
  <c r="BB298" i="259"/>
  <c r="BB298" i="275" s="1"/>
  <c r="BB311" i="259"/>
  <c r="BB13" i="261" s="1"/>
  <c r="BB296" i="275"/>
  <c r="AH132" i="259"/>
  <c r="AH166" i="275"/>
  <c r="BB227" i="259"/>
  <c r="AI227" i="275"/>
  <c r="BB316" i="259"/>
  <c r="BB14" i="261" s="1"/>
  <c r="BB297" i="275"/>
  <c r="BD618" i="259"/>
  <c r="BC618" i="275"/>
  <c r="BB832" i="275"/>
  <c r="BC832" i="259"/>
  <c r="AH281" i="275"/>
  <c r="AH174" i="275"/>
  <c r="AH165" i="259"/>
  <c r="AH175" i="259"/>
  <c r="AH430" i="259"/>
  <c r="AG984" i="259"/>
  <c r="AG984" i="275" s="1"/>
  <c r="AG982" i="275"/>
  <c r="AF140" i="259"/>
  <c r="AF140" i="275" s="1"/>
  <c r="AF279" i="259"/>
  <c r="AF285" i="259" s="1"/>
  <c r="AF277" i="275"/>
  <c r="AI329" i="275"/>
  <c r="AI78" i="261"/>
  <c r="AI1023" i="259"/>
  <c r="AI1023" i="275" s="1"/>
  <c r="AI51" i="261"/>
  <c r="BB413" i="259"/>
  <c r="AI413" i="275"/>
  <c r="BB225" i="259"/>
  <c r="AI225" i="275"/>
  <c r="BB968" i="259"/>
  <c r="BB968" i="275" s="1"/>
  <c r="AI968" i="275"/>
  <c r="BB878" i="259"/>
  <c r="BB878" i="275" s="1"/>
  <c r="BB852" i="275"/>
  <c r="BC852" i="259"/>
  <c r="AG149" i="259"/>
  <c r="AG175" i="275"/>
  <c r="AI1026" i="275"/>
  <c r="BB1026" i="259"/>
  <c r="BB1026" i="275" s="1"/>
  <c r="AI1032" i="259"/>
  <c r="AI1032" i="275" s="1"/>
  <c r="BB160" i="261"/>
  <c r="BB622" i="275"/>
  <c r="BC622" i="259"/>
  <c r="BB412" i="259"/>
  <c r="AI412" i="275"/>
  <c r="BB829" i="275"/>
  <c r="BC829" i="259"/>
  <c r="AG1686" i="259"/>
  <c r="AG263" i="262"/>
  <c r="AI179" i="262"/>
  <c r="AI55" i="262"/>
  <c r="AI836" i="275"/>
  <c r="BB836" i="259"/>
  <c r="AI851" i="275"/>
  <c r="BB851" i="259"/>
  <c r="AI876" i="259"/>
  <c r="AI876" i="275" s="1"/>
  <c r="BB73" i="261"/>
  <c r="BB46" i="261"/>
  <c r="BC325" i="259"/>
  <c r="V140" i="264" s="1"/>
  <c r="X140" i="264" s="1"/>
  <c r="BB325" i="275"/>
  <c r="R140" i="264"/>
  <c r="T140" i="264" s="1"/>
  <c r="BD379" i="259"/>
  <c r="BD402" i="275"/>
  <c r="BE402" i="259"/>
  <c r="BE82" i="261" s="1"/>
  <c r="AI953" i="275"/>
  <c r="AI451" i="259"/>
  <c r="BB451" i="259" s="1"/>
  <c r="BB451" i="275" s="1"/>
  <c r="AI166" i="259"/>
  <c r="BB166" i="259" s="1"/>
  <c r="AI172" i="275"/>
  <c r="BB59" i="261"/>
  <c r="BB86" i="261"/>
  <c r="BB407" i="275"/>
  <c r="AH211" i="259"/>
  <c r="AH210" i="275"/>
  <c r="AH355" i="259"/>
  <c r="AH353" i="275"/>
  <c r="AH155" i="259"/>
  <c r="BB1027" i="275"/>
  <c r="AI132" i="262"/>
  <c r="AI133" i="275"/>
  <c r="AG359" i="259"/>
  <c r="AG361" i="259" s="1"/>
  <c r="BB216" i="261"/>
  <c r="BB151" i="262"/>
  <c r="J78" i="276"/>
  <c r="BB264" i="262"/>
  <c r="BB256" i="259"/>
  <c r="BB8" i="261" s="1"/>
  <c r="BB171" i="275"/>
  <c r="BC214" i="275"/>
  <c r="BD214" i="259"/>
  <c r="BD63" i="261" s="1"/>
  <c r="BC1188" i="259"/>
  <c r="BC171" i="259"/>
  <c r="Z134" i="264"/>
  <c r="AB134" i="264" s="1"/>
  <c r="BC1017" i="259"/>
  <c r="BC1017" i="275" s="1"/>
  <c r="AF1508" i="259"/>
  <c r="AF357" i="275"/>
  <c r="AH1686" i="259"/>
  <c r="AH263" i="262"/>
  <c r="R152" i="264"/>
  <c r="T152" i="264" s="1"/>
  <c r="AH479" i="259"/>
  <c r="AH476" i="275"/>
  <c r="AI619" i="259"/>
  <c r="AI617" i="275"/>
  <c r="BB617" i="259"/>
  <c r="BB1205" i="259"/>
  <c r="BB1253" i="259" s="1"/>
  <c r="BB131" i="261" s="1"/>
  <c r="AI1201" i="259"/>
  <c r="AI1184" i="259"/>
  <c r="BB338" i="275"/>
  <c r="BC338" i="259"/>
  <c r="AI303" i="259"/>
  <c r="AI301" i="275"/>
  <c r="BB301" i="259"/>
  <c r="BB319" i="259" s="1"/>
  <c r="BB1039" i="259"/>
  <c r="BB1040" i="259" s="1"/>
  <c r="AH1016" i="275"/>
  <c r="AG168" i="259"/>
  <c r="AG168" i="275" s="1"/>
  <c r="AG165" i="275"/>
  <c r="AH453" i="259"/>
  <c r="AH453" i="275" s="1"/>
  <c r="AH462" i="259"/>
  <c r="AH1084" i="259" s="1"/>
  <c r="AH451" i="275"/>
  <c r="BB1222" i="259"/>
  <c r="AI1226" i="259"/>
  <c r="AI624" i="275"/>
  <c r="AI162" i="261"/>
  <c r="AH498" i="275"/>
  <c r="BB498" i="259"/>
  <c r="BB498" i="275" s="1"/>
  <c r="AH275" i="259"/>
  <c r="AH298" i="275"/>
  <c r="BB1006" i="275"/>
  <c r="BC1006" i="259"/>
  <c r="BB232" i="259"/>
  <c r="BB232" i="275" s="1"/>
  <c r="BB230" i="275"/>
  <c r="BB854" i="275"/>
  <c r="BC854" i="259"/>
  <c r="AC250" i="262"/>
  <c r="BE33" i="263"/>
  <c r="BE20" i="264" s="1"/>
  <c r="AH335" i="275"/>
  <c r="AI335" i="259"/>
  <c r="BC379" i="275"/>
  <c r="BC381" i="259"/>
  <c r="AI143" i="262"/>
  <c r="AI63" i="275"/>
  <c r="BC292" i="259"/>
  <c r="BC297" i="275"/>
  <c r="AI219" i="275"/>
  <c r="AI41" i="261"/>
  <c r="AI221" i="259"/>
  <c r="AI68" i="261"/>
  <c r="AI1016" i="259"/>
  <c r="AI1016" i="275" s="1"/>
  <c r="AG487" i="259"/>
  <c r="AG479" i="275"/>
  <c r="BB1214" i="259"/>
  <c r="BB1260" i="259" s="1"/>
  <c r="BB138" i="261" s="1"/>
  <c r="AI1213" i="259"/>
  <c r="AI359" i="259" s="1"/>
  <c r="AI1260" i="259"/>
  <c r="AI138" i="261" s="1"/>
  <c r="AI360" i="259"/>
  <c r="AI360" i="275" s="1"/>
  <c r="AH150" i="259"/>
  <c r="AH181" i="275"/>
  <c r="AG1178" i="259"/>
  <c r="AH156" i="275"/>
  <c r="AI369" i="275"/>
  <c r="BB369" i="259"/>
  <c r="BB51" i="261"/>
  <c r="BB78" i="261"/>
  <c r="BB329" i="275"/>
  <c r="BB231" i="275"/>
  <c r="BC231" i="259"/>
  <c r="AH262" i="262"/>
  <c r="AH154" i="262"/>
  <c r="AI458" i="259"/>
  <c r="AI977" i="259"/>
  <c r="BB416" i="259"/>
  <c r="AI416" i="275"/>
  <c r="AG277" i="259"/>
  <c r="AG275" i="275"/>
  <c r="BD405" i="259"/>
  <c r="BD84" i="261" s="1"/>
  <c r="Z144" i="264"/>
  <c r="AB144" i="264" s="1"/>
  <c r="Z150" i="264"/>
  <c r="AB150" i="264" s="1"/>
  <c r="BC407" i="259"/>
  <c r="BC86" i="261" s="1"/>
  <c r="BC405" i="275"/>
  <c r="BC1026" i="259"/>
  <c r="AF283" i="275"/>
  <c r="AH619" i="275"/>
  <c r="AH614" i="259"/>
  <c r="AH614" i="275" s="1"/>
  <c r="AI298" i="259"/>
  <c r="AI291" i="259"/>
  <c r="AI296" i="275"/>
  <c r="AI1225" i="259"/>
  <c r="AI1262" i="259" s="1"/>
  <c r="BC953" i="259"/>
  <c r="BC953" i="275" s="1"/>
  <c r="BC902" i="259"/>
  <c r="BC902" i="275" s="1"/>
  <c r="BD901" i="259"/>
  <c r="BC901" i="275"/>
  <c r="AG131" i="262"/>
  <c r="AG136" i="259"/>
  <c r="AG132" i="275"/>
  <c r="AI234" i="275"/>
  <c r="BB234" i="259"/>
  <c r="BB234" i="275" s="1"/>
  <c r="BE900" i="275"/>
  <c r="BE952" i="259"/>
  <c r="BE952" i="275" s="1"/>
  <c r="AG141" i="259"/>
  <c r="AG141" i="275" s="1"/>
  <c r="AG357" i="259"/>
  <c r="AG355" i="275"/>
  <c r="AH221" i="275"/>
  <c r="AH70" i="261"/>
  <c r="AH1018" i="259"/>
  <c r="AH1018" i="275" s="1"/>
  <c r="AH43" i="261"/>
  <c r="AG447" i="259"/>
  <c r="AG1083" i="259" s="1"/>
  <c r="AG432" i="259"/>
  <c r="AG430" i="275"/>
  <c r="AF489" i="259"/>
  <c r="AF51" i="259"/>
  <c r="AF494" i="259"/>
  <c r="AF1614" i="259"/>
  <c r="AF492" i="259"/>
  <c r="AF492" i="275" s="1"/>
  <c r="AF512" i="259"/>
  <c r="AF487" i="275"/>
  <c r="AI411" i="275"/>
  <c r="BB411" i="259"/>
  <c r="AI442" i="259"/>
  <c r="AF62" i="259"/>
  <c r="AF121" i="259"/>
  <c r="AF119" i="275"/>
  <c r="AI37" i="262"/>
  <c r="AI476" i="259"/>
  <c r="AI473" i="275"/>
  <c r="AI167" i="261"/>
  <c r="AI174" i="259"/>
  <c r="AI196" i="275"/>
  <c r="BB1618" i="259"/>
  <c r="BB496" i="275"/>
  <c r="AH143" i="262"/>
  <c r="AH63" i="275"/>
  <c r="BB63" i="259"/>
  <c r="BB143" i="262" s="1"/>
  <c r="AH293" i="259"/>
  <c r="AH293" i="275" s="1"/>
  <c r="AH291" i="275"/>
  <c r="BE28" i="264"/>
  <c r="BO27" i="264"/>
  <c r="BI56" i="264"/>
  <c r="AC112" i="261"/>
  <c r="BE42" i="264"/>
  <c r="BG42" i="264" s="1"/>
  <c r="BA36" i="264"/>
  <c r="BE70" i="264"/>
  <c r="BG56" i="264"/>
  <c r="AC366" i="275"/>
  <c r="AC68" i="259"/>
  <c r="AD123" i="259"/>
  <c r="AD68" i="259" s="1"/>
  <c r="AD143" i="259"/>
  <c r="AD159" i="275"/>
  <c r="AE134" i="275"/>
  <c r="AE153" i="275"/>
  <c r="AC160" i="275"/>
  <c r="AD121" i="275"/>
  <c r="AD364" i="275"/>
  <c r="AE363" i="275"/>
  <c r="AC162" i="275"/>
  <c r="AC124" i="259"/>
  <c r="AC125" i="259" s="1"/>
  <c r="AC118" i="261" s="1"/>
  <c r="AD126" i="262"/>
  <c r="AC492" i="275"/>
  <c r="AB281" i="262"/>
  <c r="AB291" i="262"/>
  <c r="AB283" i="262"/>
  <c r="L49" i="264"/>
  <c r="AB292" i="262"/>
  <c r="AB139" i="262"/>
  <c r="BE168" i="261"/>
  <c r="BE474" i="275"/>
  <c r="L35" i="264"/>
  <c r="BC48" i="262"/>
  <c r="BD48" i="262"/>
  <c r="BD215" i="275"/>
  <c r="BE215" i="259"/>
  <c r="BE64" i="261" s="1"/>
  <c r="AW240" i="262"/>
  <c r="AW1347" i="259"/>
  <c r="AW1348" i="259" s="1"/>
  <c r="BE886" i="259"/>
  <c r="BE886" i="275" s="1"/>
  <c r="AW184" i="262"/>
  <c r="AW1057" i="275"/>
  <c r="AW959" i="259"/>
  <c r="AW1058" i="259"/>
  <c r="AX1058" i="259"/>
  <c r="BE1230" i="259"/>
  <c r="BE496" i="259" s="1"/>
  <c r="BE496" i="275" s="1"/>
  <c r="BE497" i="259"/>
  <c r="BE497" i="275" s="1"/>
  <c r="BE147" i="262"/>
  <c r="F22" i="264"/>
  <c r="F118" i="264" s="1"/>
  <c r="H118" i="264" s="1"/>
  <c r="H35" i="263"/>
  <c r="H33" i="263" s="1"/>
  <c r="H36" i="263"/>
  <c r="BE169" i="261"/>
  <c r="BE475" i="275"/>
  <c r="BE39" i="262"/>
  <c r="AX1057" i="275"/>
  <c r="BE204" i="261"/>
  <c r="BE544" i="275"/>
  <c r="BE543" i="275"/>
  <c r="BE198" i="261"/>
  <c r="BD952" i="275"/>
  <c r="BD61" i="262"/>
  <c r="BE207" i="275"/>
  <c r="BD886" i="275"/>
  <c r="BD143" i="262"/>
  <c r="AD142" i="275"/>
  <c r="BA285" i="259"/>
  <c r="BA285" i="275" s="1"/>
  <c r="AD50" i="275"/>
  <c r="AC123" i="275"/>
  <c r="BA8" i="264"/>
  <c r="BD174" i="259"/>
  <c r="BD196" i="275"/>
  <c r="BD1618" i="259"/>
  <c r="BD282" i="262" s="1"/>
  <c r="BD496" i="275"/>
  <c r="BA1508" i="259"/>
  <c r="BA115" i="261" s="1"/>
  <c r="BA357" i="275"/>
  <c r="AC288" i="259"/>
  <c r="AC286" i="275"/>
  <c r="AZ1542" i="259"/>
  <c r="AZ288" i="275"/>
  <c r="AZ286" i="259"/>
  <c r="AE288" i="259"/>
  <c r="AE286" i="275"/>
  <c r="AD285" i="275"/>
  <c r="AD286" i="259"/>
  <c r="AZ365" i="259"/>
  <c r="AZ121" i="261" s="1"/>
  <c r="AZ364" i="275"/>
  <c r="BA361" i="259"/>
  <c r="BA361" i="275" s="1"/>
  <c r="AE361" i="275"/>
  <c r="I51" i="276"/>
  <c r="BA141" i="275"/>
  <c r="BB38" i="275"/>
  <c r="BB510" i="275"/>
  <c r="BC471" i="275"/>
  <c r="Z90" i="264"/>
  <c r="Z122" i="264"/>
  <c r="AB122" i="264" s="1"/>
  <c r="BD498" i="259"/>
  <c r="BD497" i="275"/>
  <c r="T90" i="264"/>
  <c r="R93" i="264"/>
  <c r="R109" i="264"/>
  <c r="T109" i="264" s="1"/>
  <c r="I52" i="276"/>
  <c r="BA140" i="275"/>
  <c r="BD178" i="259"/>
  <c r="BD210" i="259" s="1"/>
  <c r="AZ1544" i="259"/>
  <c r="AZ126" i="275"/>
  <c r="AA134" i="262"/>
  <c r="AZ161" i="259"/>
  <c r="AZ119" i="261" s="1"/>
  <c r="AZ160" i="275"/>
  <c r="BA119" i="259"/>
  <c r="BA119" i="275" s="1"/>
  <c r="AE119" i="275"/>
  <c r="AD142" i="262"/>
  <c r="AD62" i="275"/>
  <c r="BA44" i="275"/>
  <c r="AD162" i="259"/>
  <c r="AD160" i="275"/>
  <c r="Z285" i="262"/>
  <c r="Z1627" i="259"/>
  <c r="Z288" i="262" s="1"/>
  <c r="BC61" i="262"/>
  <c r="BC207" i="275"/>
  <c r="BC204" i="261"/>
  <c r="BC544" i="275"/>
  <c r="AU50" i="264"/>
  <c r="AS81" i="264"/>
  <c r="AU81" i="264" s="1"/>
  <c r="AE494" i="259"/>
  <c r="AE489" i="259"/>
  <c r="AE1614" i="259"/>
  <c r="AE512" i="259"/>
  <c r="AE487" i="275"/>
  <c r="AE51" i="259"/>
  <c r="AE492" i="259"/>
  <c r="AC127" i="262"/>
  <c r="AC51" i="275"/>
  <c r="AC1616" i="259"/>
  <c r="AC1613" i="259"/>
  <c r="AD487" i="275"/>
  <c r="AD51" i="259"/>
  <c r="AD1614" i="259"/>
  <c r="AD489" i="259"/>
  <c r="AD512" i="259"/>
  <c r="AD494" i="259"/>
  <c r="AD492" i="259"/>
  <c r="AZ1633" i="259"/>
  <c r="AZ292" i="262" s="1"/>
  <c r="AZ281" i="262"/>
  <c r="AZ1632" i="259"/>
  <c r="AZ291" i="262" s="1"/>
  <c r="AZ1657" i="259"/>
  <c r="AZ1619" i="259"/>
  <c r="BD204" i="261"/>
  <c r="BD544" i="275"/>
  <c r="BC472" i="259"/>
  <c r="BC472" i="275" s="1"/>
  <c r="BC469" i="275"/>
  <c r="H76" i="276"/>
  <c r="AZ139" i="262"/>
  <c r="J36" i="264"/>
  <c r="AZ57" i="275"/>
  <c r="AC511" i="259"/>
  <c r="AC512" i="275"/>
  <c r="AW50" i="264"/>
  <c r="J43" i="264"/>
  <c r="L43" i="264" s="1"/>
  <c r="AZ210" i="261"/>
  <c r="BD207" i="275"/>
  <c r="BD198" i="261"/>
  <c r="BD543" i="275"/>
  <c r="BD469" i="275"/>
  <c r="BD471" i="275"/>
  <c r="Z284" i="262"/>
  <c r="Z1623" i="259"/>
  <c r="Z286" i="262" s="1"/>
  <c r="AZ1419" i="259"/>
  <c r="AZ1418" i="259"/>
  <c r="AZ69" i="259"/>
  <c r="AC1617" i="259"/>
  <c r="AC57" i="259"/>
  <c r="AC494" i="275"/>
  <c r="AC1510" i="259"/>
  <c r="BE43" i="264" s="1"/>
  <c r="BG43" i="264" s="1"/>
  <c r="AC500" i="259"/>
  <c r="BC198" i="261"/>
  <c r="BC543" i="275"/>
  <c r="AC582" i="259"/>
  <c r="AC589" i="259"/>
  <c r="AC1607" i="259"/>
  <c r="AC1606" i="259" s="1"/>
  <c r="AC489" i="275"/>
  <c r="BA487" i="259"/>
  <c r="BA479" i="275"/>
  <c r="BD472" i="259"/>
  <c r="BB16" i="262"/>
  <c r="BC63" i="259"/>
  <c r="BC1618" i="259"/>
  <c r="BC282" i="262" s="1"/>
  <c r="BC498" i="259"/>
  <c r="AW8" i="264"/>
  <c r="AY8" i="264" s="1"/>
  <c r="AD1339" i="259"/>
  <c r="AD238" i="262" s="1"/>
  <c r="AD246" i="262"/>
  <c r="AD245" i="262"/>
  <c r="AY1347" i="259"/>
  <c r="AY1348" i="259" s="1"/>
  <c r="AY240" i="262"/>
  <c r="W1347" i="259"/>
  <c r="W1348" i="259" s="1"/>
  <c r="W240" i="262"/>
  <c r="K1347" i="259"/>
  <c r="K1348" i="259" s="1"/>
  <c r="K240" i="262"/>
  <c r="AV1347" i="259"/>
  <c r="AV1348" i="259" s="1"/>
  <c r="AV240" i="262"/>
  <c r="AM117" i="264"/>
  <c r="AK118" i="264"/>
  <c r="AM118" i="264" s="1"/>
  <c r="AI117" i="264"/>
  <c r="AG118" i="264"/>
  <c r="AI118" i="264" s="1"/>
  <c r="BA29" i="267"/>
  <c r="AX44" i="267"/>
  <c r="AY4" i="267"/>
  <c r="BC3" i="267"/>
  <c r="BA91" i="267"/>
  <c r="AZ6" i="259"/>
  <c r="BC210" i="259"/>
  <c r="X1348" i="259"/>
  <c r="AC1271" i="259"/>
  <c r="AC152" i="262" s="1"/>
  <c r="AE121" i="259"/>
  <c r="AE62" i="259"/>
  <c r="BC370" i="259"/>
  <c r="AD1321" i="259"/>
  <c r="BD1085" i="259"/>
  <c r="BD510" i="259"/>
  <c r="BE510" i="275" s="1"/>
  <c r="BA1180" i="259"/>
  <c r="BC1215" i="259"/>
  <c r="BD1215" i="259"/>
  <c r="BC1085" i="259"/>
  <c r="BC510" i="259"/>
  <c r="AC386" i="259"/>
  <c r="AD1338" i="259"/>
  <c r="AD366" i="259"/>
  <c r="AC123" i="262"/>
  <c r="AE364" i="259"/>
  <c r="BA363" i="259"/>
  <c r="BA363" i="275" s="1"/>
  <c r="BB68" i="261" l="1"/>
  <c r="BB334" i="259"/>
  <c r="BB334" i="275" s="1"/>
  <c r="BB219" i="275"/>
  <c r="AH146" i="262"/>
  <c r="BC498" i="275"/>
  <c r="AC138" i="262"/>
  <c r="BB221" i="259"/>
  <c r="BB43" i="261" s="1"/>
  <c r="R128" i="264"/>
  <c r="T128" i="264" s="1"/>
  <c r="AE142" i="259"/>
  <c r="AE142" i="275" s="1"/>
  <c r="BC267" i="259"/>
  <c r="BG35" i="264"/>
  <c r="AC56" i="275"/>
  <c r="AD138" i="262"/>
  <c r="AE139" i="275"/>
  <c r="BE167" i="259"/>
  <c r="BE133" i="259" s="1"/>
  <c r="BE132" i="262" s="1"/>
  <c r="AH120" i="259"/>
  <c r="AH120" i="275" s="1"/>
  <c r="BC217" i="275"/>
  <c r="BC457" i="259"/>
  <c r="BC457" i="275" s="1"/>
  <c r="BD63" i="275"/>
  <c r="V57" i="264"/>
  <c r="AD56" i="275"/>
  <c r="J65" i="276"/>
  <c r="AD1505" i="259"/>
  <c r="BI42" i="264" s="1"/>
  <c r="BK42" i="264" s="1"/>
  <c r="AD117" i="275"/>
  <c r="V152" i="264"/>
  <c r="X152" i="264" s="1"/>
  <c r="BC1214" i="259"/>
  <c r="BC360" i="259" s="1"/>
  <c r="X92" i="264"/>
  <c r="V109" i="264"/>
  <c r="X109" i="264" s="1"/>
  <c r="V93" i="264"/>
  <c r="BA117" i="259"/>
  <c r="BA117" i="275" s="1"/>
  <c r="BD888" i="275"/>
  <c r="BD185" i="262"/>
  <c r="AH283" i="259"/>
  <c r="AH283" i="275" s="1"/>
  <c r="BB431" i="259"/>
  <c r="BE196" i="275"/>
  <c r="AE50" i="259"/>
  <c r="AE50" i="275" s="1"/>
  <c r="BA1506" i="259"/>
  <c r="BA113" i="261" s="1"/>
  <c r="BD831" i="259"/>
  <c r="BD831" i="275" s="1"/>
  <c r="BC833" i="259"/>
  <c r="BC833" i="275" s="1"/>
  <c r="BD436" i="259"/>
  <c r="BD436" i="275" s="1"/>
  <c r="BD74" i="261"/>
  <c r="Z152" i="264"/>
  <c r="AB152" i="264" s="1"/>
  <c r="BC73" i="261"/>
  <c r="BC1192" i="259"/>
  <c r="BC1226" i="259" s="1"/>
  <c r="BC1264" i="259" s="1"/>
  <c r="BC156" i="262" s="1"/>
  <c r="BC66" i="261"/>
  <c r="AE56" i="259"/>
  <c r="AE138" i="262" s="1"/>
  <c r="AE117" i="275"/>
  <c r="AI334" i="275"/>
  <c r="BD167" i="275"/>
  <c r="BC172" i="259"/>
  <c r="BC451" i="259" s="1"/>
  <c r="BC451" i="275" s="1"/>
  <c r="Z126" i="264"/>
  <c r="AB126" i="264" s="1"/>
  <c r="BD217" i="259"/>
  <c r="BD219" i="259" s="1"/>
  <c r="BC219" i="259"/>
  <c r="V128" i="264" s="1"/>
  <c r="X128" i="264" s="1"/>
  <c r="BC230" i="259"/>
  <c r="BC232" i="259" s="1"/>
  <c r="AE160" i="259"/>
  <c r="AE162" i="259" s="1"/>
  <c r="AE123" i="259"/>
  <c r="AE123" i="275" s="1"/>
  <c r="BA159" i="259"/>
  <c r="BA159" i="275" s="1"/>
  <c r="BB211" i="259"/>
  <c r="BE1366" i="259"/>
  <c r="BE1464" i="259"/>
  <c r="BA153" i="275"/>
  <c r="BB1028" i="259"/>
  <c r="BB1028" i="275" s="1"/>
  <c r="AH361" i="259"/>
  <c r="AH361" i="275" s="1"/>
  <c r="AE1505" i="259"/>
  <c r="BM42" i="264" s="1"/>
  <c r="BO42" i="264" s="1"/>
  <c r="AE135" i="259"/>
  <c r="BC436" i="275"/>
  <c r="AG363" i="259"/>
  <c r="AG363" i="275" s="1"/>
  <c r="AE1415" i="259"/>
  <c r="AE1416" i="259" s="1"/>
  <c r="AE331" i="261" s="1"/>
  <c r="AH1178" i="259"/>
  <c r="AH1180" i="259" s="1"/>
  <c r="BC1260" i="259"/>
  <c r="BC138" i="261" s="1"/>
  <c r="BC1026" i="275"/>
  <c r="AI371" i="259"/>
  <c r="AI371" i="275" s="1"/>
  <c r="BE892" i="259"/>
  <c r="BE892" i="275" s="1"/>
  <c r="AE27" i="267"/>
  <c r="AF27" i="267" s="1"/>
  <c r="AG27" i="267" s="1"/>
  <c r="AH27" i="267" s="1"/>
  <c r="AI27" i="267" s="1"/>
  <c r="AJ27" i="267" s="1"/>
  <c r="AK27" i="267" s="1"/>
  <c r="AL27" i="267" s="1"/>
  <c r="AM27" i="267" s="1"/>
  <c r="AN27" i="267" s="1"/>
  <c r="AO27" i="267" s="1"/>
  <c r="AP27" i="267" s="1"/>
  <c r="AQ27" i="267" s="1"/>
  <c r="AR27" i="267" s="1"/>
  <c r="AS27" i="267" s="1"/>
  <c r="AT27" i="267" s="1"/>
  <c r="AU27" i="267" s="1"/>
  <c r="AV27" i="267" s="1"/>
  <c r="AW27" i="267" s="1"/>
  <c r="AX27" i="267" s="1"/>
  <c r="AY27" i="267" s="1"/>
  <c r="AZ27" i="267" s="1"/>
  <c r="BA27" i="267" s="1"/>
  <c r="BB27" i="267" s="1"/>
  <c r="BC27" i="267" s="1"/>
  <c r="BD27" i="267" s="1"/>
  <c r="BE27" i="267" s="1"/>
  <c r="BF27" i="267" s="1"/>
  <c r="BG27" i="267" s="1"/>
  <c r="BH27" i="267" s="1"/>
  <c r="BI27" i="267" s="1"/>
  <c r="BJ27" i="267" s="1"/>
  <c r="BK27" i="267" s="1"/>
  <c r="BL27" i="267" s="1"/>
  <c r="BM27" i="267" s="1"/>
  <c r="BN27" i="267" s="1"/>
  <c r="BO27" i="267" s="1"/>
  <c r="BP27" i="267" s="1"/>
  <c r="BQ27" i="267" s="1"/>
  <c r="BR27" i="267" s="1"/>
  <c r="BS27" i="267" s="1"/>
  <c r="BT27" i="267" s="1"/>
  <c r="BU27" i="267" s="1"/>
  <c r="BV27" i="267" s="1"/>
  <c r="BW27" i="267" s="1"/>
  <c r="BX27" i="267" s="1"/>
  <c r="BY27" i="267" s="1"/>
  <c r="BZ27" i="267" s="1"/>
  <c r="CA27" i="267" s="1"/>
  <c r="CB27" i="267" s="1"/>
  <c r="CC27" i="267" s="1"/>
  <c r="CD27" i="267" s="1"/>
  <c r="CE27" i="267" s="1"/>
  <c r="CF27" i="267" s="1"/>
  <c r="CG27" i="267" s="1"/>
  <c r="CH27" i="267" s="1"/>
  <c r="CI27" i="267" s="1"/>
  <c r="CJ27" i="267" s="1"/>
  <c r="CK27" i="267" s="1"/>
  <c r="CL27" i="267" s="1"/>
  <c r="CM27" i="267" s="1"/>
  <c r="CN27" i="267" s="1"/>
  <c r="CO27" i="267" s="1"/>
  <c r="CP27" i="267" s="1"/>
  <c r="CQ27" i="267" s="1"/>
  <c r="CR27" i="267" s="1"/>
  <c r="CS27" i="267" s="1"/>
  <c r="CT27" i="267" s="1"/>
  <c r="CU27" i="267" s="1"/>
  <c r="CV27" i="267" s="1"/>
  <c r="CW27" i="267" s="1"/>
  <c r="CX27" i="267" s="1"/>
  <c r="CY27" i="267" s="1"/>
  <c r="CZ27" i="267" s="1"/>
  <c r="DA27" i="267" s="1"/>
  <c r="DB27" i="267" s="1"/>
  <c r="DC27" i="267" s="1"/>
  <c r="DD27" i="267" s="1"/>
  <c r="DE27" i="267" s="1"/>
  <c r="DF27" i="267" s="1"/>
  <c r="DG27" i="267" s="1"/>
  <c r="DH27" i="267" s="1"/>
  <c r="DI27" i="267" s="1"/>
  <c r="DJ27" i="267" s="1"/>
  <c r="DK27" i="267" s="1"/>
  <c r="DL27" i="267" s="1"/>
  <c r="DM27" i="267" s="1"/>
  <c r="DN27" i="267" s="1"/>
  <c r="DO27" i="267" s="1"/>
  <c r="DP27" i="267" s="1"/>
  <c r="DQ27" i="267" s="1"/>
  <c r="DR27" i="267" s="1"/>
  <c r="DS27" i="267" s="1"/>
  <c r="DT27" i="267" s="1"/>
  <c r="DU27" i="267" s="1"/>
  <c r="BE167" i="262"/>
  <c r="BE1308" i="259"/>
  <c r="BE842" i="275"/>
  <c r="BB925" i="259"/>
  <c r="BB925" i="275" s="1"/>
  <c r="BB871" i="275"/>
  <c r="BC871" i="259"/>
  <c r="BC925" i="259" s="1"/>
  <c r="AI1377" i="259"/>
  <c r="BB1378" i="259"/>
  <c r="BC292" i="275"/>
  <c r="BE843" i="275"/>
  <c r="BE1309" i="259"/>
  <c r="BE168" i="262"/>
  <c r="BE1367" i="259"/>
  <c r="BA142" i="259"/>
  <c r="BA143" i="259" s="1"/>
  <c r="BB906" i="259"/>
  <c r="BB370" i="259"/>
  <c r="BB370" i="275" s="1"/>
  <c r="R57" i="264"/>
  <c r="R71" i="264" s="1"/>
  <c r="T71" i="264" s="1"/>
  <c r="BB63" i="275"/>
  <c r="AI974" i="259"/>
  <c r="AI974" i="275" s="1"/>
  <c r="BC1213" i="259"/>
  <c r="BC359" i="259" s="1"/>
  <c r="BB1016" i="259"/>
  <c r="BB1016" i="275" s="1"/>
  <c r="BB354" i="259"/>
  <c r="BB354" i="275" s="1"/>
  <c r="AG361" i="275"/>
  <c r="BB166" i="275"/>
  <c r="J50" i="276"/>
  <c r="BB1658" i="259"/>
  <c r="BB282" i="262"/>
  <c r="BB414" i="259"/>
  <c r="BB411" i="275"/>
  <c r="AF582" i="259"/>
  <c r="AF1607" i="259"/>
  <c r="AF1606" i="259" s="1"/>
  <c r="AF589" i="259"/>
  <c r="AF489" i="275"/>
  <c r="BD901" i="275"/>
  <c r="BD953" i="259"/>
  <c r="BD953" i="275" s="1"/>
  <c r="BE901" i="259"/>
  <c r="BD902" i="259"/>
  <c r="BD902" i="275" s="1"/>
  <c r="BE405" i="259"/>
  <c r="BE84" i="261" s="1"/>
  <c r="BD407" i="259"/>
  <c r="BD86" i="261" s="1"/>
  <c r="BD405" i="275"/>
  <c r="BD1026" i="259"/>
  <c r="BD1026" i="275" s="1"/>
  <c r="BD1222" i="259"/>
  <c r="BC416" i="259"/>
  <c r="BB416" i="275"/>
  <c r="AG1180" i="259"/>
  <c r="AG512" i="259"/>
  <c r="AG492" i="259"/>
  <c r="AG492" i="275" s="1"/>
  <c r="AG494" i="259"/>
  <c r="AG500" i="259" s="1"/>
  <c r="AG500" i="275" s="1"/>
  <c r="AG489" i="259"/>
  <c r="AG51" i="259"/>
  <c r="AG1614" i="259"/>
  <c r="AG487" i="275"/>
  <c r="BC1006" i="275"/>
  <c r="BD1006" i="259"/>
  <c r="BC836" i="259"/>
  <c r="AH277" i="259"/>
  <c r="AH275" i="275"/>
  <c r="BB453" i="259"/>
  <c r="BB462" i="259"/>
  <c r="BB1084" i="259" s="1"/>
  <c r="BC338" i="275"/>
  <c r="BC972" i="259"/>
  <c r="BC972" i="275" s="1"/>
  <c r="BD338" i="259"/>
  <c r="BB1201" i="259"/>
  <c r="BB1255" i="259" s="1"/>
  <c r="AI1255" i="259"/>
  <c r="AI133" i="261" s="1"/>
  <c r="AI282" i="259"/>
  <c r="AI1200" i="259"/>
  <c r="AI619" i="275"/>
  <c r="AI614" i="259"/>
  <c r="BD214" i="275"/>
  <c r="BD171" i="259"/>
  <c r="BD165" i="259" s="1"/>
  <c r="BE214" i="259"/>
  <c r="BE63" i="261" s="1"/>
  <c r="BD1017" i="259"/>
  <c r="BD1017" i="275" s="1"/>
  <c r="BD1188" i="259"/>
  <c r="AH141" i="259"/>
  <c r="AH141" i="275" s="1"/>
  <c r="AH357" i="259"/>
  <c r="AH355" i="275"/>
  <c r="AI462" i="259"/>
  <c r="AI1084" i="259" s="1"/>
  <c r="AI453" i="259"/>
  <c r="AI453" i="275" s="1"/>
  <c r="AI451" i="275"/>
  <c r="BE379" i="259"/>
  <c r="BE402" i="275"/>
  <c r="BE888" i="275"/>
  <c r="BE185" i="262"/>
  <c r="BC829" i="275"/>
  <c r="BD829" i="259"/>
  <c r="BB412" i="275"/>
  <c r="BB413" i="275"/>
  <c r="AF1507" i="259"/>
  <c r="AF279" i="275"/>
  <c r="AH432" i="259"/>
  <c r="AH447" i="259"/>
  <c r="AH1083" i="259" s="1"/>
  <c r="AH430" i="275"/>
  <c r="BC832" i="275"/>
  <c r="BD832" i="259"/>
  <c r="AF44" i="275"/>
  <c r="BE324" i="259"/>
  <c r="BD324" i="275"/>
  <c r="BD301" i="259"/>
  <c r="BD431" i="259" s="1"/>
  <c r="AF130" i="262"/>
  <c r="AF134" i="259"/>
  <c r="AI969" i="259"/>
  <c r="AI967" i="275"/>
  <c r="BB967" i="259"/>
  <c r="BB967" i="275" s="1"/>
  <c r="AI150" i="259"/>
  <c r="BB150" i="259" s="1"/>
  <c r="AI181" i="275"/>
  <c r="BB394" i="259"/>
  <c r="BB18" i="261" s="1"/>
  <c r="BB375" i="275"/>
  <c r="BB376" i="259"/>
  <c r="BB376" i="275" s="1"/>
  <c r="BB1023" i="259"/>
  <c r="BB1023" i="275" s="1"/>
  <c r="BB1022" i="275"/>
  <c r="AI355" i="259"/>
  <c r="AI353" i="275"/>
  <c r="BB183" i="262"/>
  <c r="BB457" i="275"/>
  <c r="BB1248" i="259"/>
  <c r="AF366" i="259"/>
  <c r="AI479" i="259"/>
  <c r="AI476" i="275"/>
  <c r="AF121" i="275"/>
  <c r="AF1613" i="259"/>
  <c r="AF1616" i="259"/>
  <c r="AI293" i="259"/>
  <c r="AI293" i="275" s="1"/>
  <c r="AI291" i="275"/>
  <c r="BB291" i="259"/>
  <c r="BC407" i="275"/>
  <c r="BC1028" i="259"/>
  <c r="BC59" i="261"/>
  <c r="AI982" i="259"/>
  <c r="AI979" i="259"/>
  <c r="BB977" i="259"/>
  <c r="BB977" i="275" s="1"/>
  <c r="AI977" i="275"/>
  <c r="BC172" i="275"/>
  <c r="BC231" i="275"/>
  <c r="BD231" i="259"/>
  <c r="AI361" i="259"/>
  <c r="AI361" i="275" s="1"/>
  <c r="AI359" i="275"/>
  <c r="AI335" i="275"/>
  <c r="BB335" i="259"/>
  <c r="BB336" i="259" s="1"/>
  <c r="BB303" i="259"/>
  <c r="BB303" i="275" s="1"/>
  <c r="BB27" i="261"/>
  <c r="BB301" i="275"/>
  <c r="AH487" i="259"/>
  <c r="AH479" i="275"/>
  <c r="BB1213" i="259"/>
  <c r="BB1215" i="259" s="1"/>
  <c r="BB144" i="261" s="1"/>
  <c r="AH119" i="259"/>
  <c r="AH157" i="259"/>
  <c r="AH157" i="275" s="1"/>
  <c r="AH155" i="275"/>
  <c r="Z140" i="264"/>
  <c r="AB140" i="264" s="1"/>
  <c r="BD325" i="259"/>
  <c r="BC1205" i="259"/>
  <c r="BC1201" i="259" s="1"/>
  <c r="BC325" i="275"/>
  <c r="BC329" i="259"/>
  <c r="BC78" i="261" s="1"/>
  <c r="BC1022" i="259"/>
  <c r="BC1022" i="275" s="1"/>
  <c r="BC296" i="259"/>
  <c r="BC430" i="259" s="1"/>
  <c r="BB876" i="259"/>
  <c r="BD622" i="259"/>
  <c r="BC473" i="259"/>
  <c r="BC622" i="275"/>
  <c r="BC624" i="259"/>
  <c r="AG151" i="259"/>
  <c r="AG113" i="259"/>
  <c r="AG149" i="275"/>
  <c r="AI983" i="275"/>
  <c r="BB983" i="259"/>
  <c r="AI444" i="259"/>
  <c r="AI445" i="259" s="1"/>
  <c r="AH149" i="259"/>
  <c r="AH175" i="275"/>
  <c r="AH984" i="259"/>
  <c r="AH984" i="275" s="1"/>
  <c r="AH982" i="275"/>
  <c r="BD375" i="259"/>
  <c r="AI211" i="259"/>
  <c r="AI210" i="275"/>
  <c r="AI973" i="275"/>
  <c r="BB973" i="259"/>
  <c r="BB973" i="275" s="1"/>
  <c r="BC1027" i="275"/>
  <c r="BC374" i="275"/>
  <c r="BC369" i="259"/>
  <c r="BC369" i="275" s="1"/>
  <c r="BD292" i="259"/>
  <c r="BD292" i="275" s="1"/>
  <c r="BD297" i="275"/>
  <c r="AF115" i="259"/>
  <c r="AF37" i="259"/>
  <c r="AF113" i="275"/>
  <c r="AI165" i="259"/>
  <c r="BB165" i="259" s="1"/>
  <c r="AI174" i="275"/>
  <c r="AI430" i="259"/>
  <c r="BB430" i="259" s="1"/>
  <c r="AF142" i="262"/>
  <c r="AF62" i="275"/>
  <c r="AF500" i="259"/>
  <c r="AF1510" i="259"/>
  <c r="AF57" i="259"/>
  <c r="AF1617" i="259"/>
  <c r="AF494" i="275"/>
  <c r="AG131" i="259"/>
  <c r="AG432" i="275"/>
  <c r="AG1508" i="259"/>
  <c r="AG357" i="275"/>
  <c r="AI275" i="259"/>
  <c r="BB275" i="259" s="1"/>
  <c r="AI298" i="275"/>
  <c r="AG279" i="259"/>
  <c r="AG140" i="259"/>
  <c r="AG140" i="275" s="1"/>
  <c r="AG277" i="275"/>
  <c r="AI458" i="275"/>
  <c r="BB458" i="259"/>
  <c r="BB458" i="275" s="1"/>
  <c r="BB369" i="275"/>
  <c r="AH114" i="259"/>
  <c r="AH150" i="275"/>
  <c r="BC354" i="259"/>
  <c r="BC381" i="275"/>
  <c r="AI1264" i="259"/>
  <c r="AI156" i="262" s="1"/>
  <c r="AI1227" i="259"/>
  <c r="AI1265" i="259" s="1"/>
  <c r="BB619" i="259"/>
  <c r="BB619" i="275" s="1"/>
  <c r="BC617" i="259"/>
  <c r="BB617" i="275"/>
  <c r="BC171" i="275"/>
  <c r="BC165" i="259"/>
  <c r="AG359" i="275"/>
  <c r="BB359" i="259"/>
  <c r="BB359" i="275" s="1"/>
  <c r="BD381" i="259"/>
  <c r="BD379" i="275"/>
  <c r="BB443" i="259"/>
  <c r="BB443" i="275" s="1"/>
  <c r="AI443" i="275"/>
  <c r="AI1031" i="259"/>
  <c r="BC852" i="275"/>
  <c r="BC878" i="259"/>
  <c r="BC878" i="275" s="1"/>
  <c r="BD852" i="259"/>
  <c r="BB228" i="259"/>
  <c r="BB225" i="275"/>
  <c r="BB174" i="259"/>
  <c r="AH131" i="262"/>
  <c r="AH136" i="259"/>
  <c r="AH132" i="275"/>
  <c r="BC301" i="275"/>
  <c r="BC303" i="259"/>
  <c r="BC431" i="259"/>
  <c r="BB257" i="259"/>
  <c r="BB9" i="261" s="1"/>
  <c r="BB172" i="275"/>
  <c r="AG44" i="259"/>
  <c r="AG114" i="275"/>
  <c r="BB125" i="261"/>
  <c r="J63" i="276"/>
  <c r="BC435" i="259"/>
  <c r="BC435" i="275" s="1"/>
  <c r="BE327" i="275"/>
  <c r="BE1209" i="259"/>
  <c r="BE297" i="259"/>
  <c r="BE1021" i="259"/>
  <c r="BE1021" i="275" s="1"/>
  <c r="BB360" i="259"/>
  <c r="BB360" i="275" s="1"/>
  <c r="AH276" i="275"/>
  <c r="AF139" i="259"/>
  <c r="AF153" i="259"/>
  <c r="AF1414" i="259"/>
  <c r="AF151" i="275"/>
  <c r="AH1033" i="275"/>
  <c r="BB489" i="259"/>
  <c r="BB492" i="259"/>
  <c r="BB1614" i="259"/>
  <c r="AI175" i="259"/>
  <c r="AI442" i="275"/>
  <c r="BB442" i="259"/>
  <c r="AF511" i="259"/>
  <c r="AF512" i="275"/>
  <c r="AF127" i="262"/>
  <c r="AF51" i="275"/>
  <c r="AI262" i="262"/>
  <c r="AI154" i="262"/>
  <c r="BC1016" i="259"/>
  <c r="AI221" i="275"/>
  <c r="AI43" i="261"/>
  <c r="AI70" i="261"/>
  <c r="AI1018" i="259"/>
  <c r="AI1018" i="275" s="1"/>
  <c r="BC854" i="275"/>
  <c r="BD854" i="259"/>
  <c r="BB1259" i="259"/>
  <c r="BB137" i="261" s="1"/>
  <c r="BB1226" i="259"/>
  <c r="AI276" i="259"/>
  <c r="AI276" i="275" s="1"/>
  <c r="AI303" i="275"/>
  <c r="BB1184" i="259"/>
  <c r="AI1179" i="259"/>
  <c r="AI1250" i="259"/>
  <c r="AI128" i="261" s="1"/>
  <c r="AI1183" i="259"/>
  <c r="AI156" i="259"/>
  <c r="AI132" i="259"/>
  <c r="AI166" i="275"/>
  <c r="BB836" i="275"/>
  <c r="BB55" i="262"/>
  <c r="BB179" i="262"/>
  <c r="AF286" i="259"/>
  <c r="AF286" i="275" s="1"/>
  <c r="AF285" i="275"/>
  <c r="AH168" i="259"/>
  <c r="AH168" i="275" s="1"/>
  <c r="AH165" i="275"/>
  <c r="BE618" i="259"/>
  <c r="BE618" i="275" s="1"/>
  <c r="BD618" i="275"/>
  <c r="BB227" i="275"/>
  <c r="BB340" i="259"/>
  <c r="BB340" i="275" s="1"/>
  <c r="AI340" i="275"/>
  <c r="BB1225" i="259"/>
  <c r="BB1262" i="259" s="1"/>
  <c r="BD1218" i="259"/>
  <c r="BD403" i="275"/>
  <c r="BD374" i="259"/>
  <c r="BD1027" i="259"/>
  <c r="BE403" i="259"/>
  <c r="BE81" i="261" s="1"/>
  <c r="BC828" i="275"/>
  <c r="BD828" i="259"/>
  <c r="AG119" i="259"/>
  <c r="AI1685" i="259"/>
  <c r="BM56" i="264"/>
  <c r="BI28" i="264"/>
  <c r="BG28" i="264"/>
  <c r="BE29" i="264"/>
  <c r="BG29" i="264" s="1"/>
  <c r="BE36" i="264"/>
  <c r="BG36" i="264" s="1"/>
  <c r="BM28" i="264"/>
  <c r="BC8" i="264"/>
  <c r="BC36" i="264"/>
  <c r="BA50" i="264"/>
  <c r="BK56" i="264"/>
  <c r="BI70" i="264"/>
  <c r="BK35" i="264"/>
  <c r="BI49" i="264"/>
  <c r="BI80" i="264" s="1"/>
  <c r="BK80" i="264" s="1"/>
  <c r="AE364" i="275"/>
  <c r="AC386" i="275"/>
  <c r="AC126" i="259"/>
  <c r="AC6" i="259" s="1"/>
  <c r="AC124" i="275"/>
  <c r="AD366" i="275"/>
  <c r="AD68" i="275"/>
  <c r="AD162" i="275"/>
  <c r="AD124" i="259"/>
  <c r="AD124" i="275" s="1"/>
  <c r="AD123" i="275"/>
  <c r="AC68" i="275"/>
  <c r="AE492" i="275"/>
  <c r="AD492" i="275"/>
  <c r="AB7" i="259"/>
  <c r="AB7" i="275" s="1"/>
  <c r="H23" i="264"/>
  <c r="H22" i="264"/>
  <c r="H20" i="264" s="1"/>
  <c r="BE178" i="259"/>
  <c r="BE215" i="275"/>
  <c r="BE1618" i="259"/>
  <c r="BE498" i="259"/>
  <c r="BE498" i="275" s="1"/>
  <c r="BE63" i="259"/>
  <c r="BD16" i="262"/>
  <c r="BE570" i="259"/>
  <c r="BE207" i="261" s="1"/>
  <c r="BE472" i="275"/>
  <c r="BE567" i="259"/>
  <c r="BE201" i="261" s="1"/>
  <c r="BD132" i="262"/>
  <c r="BD133" i="275"/>
  <c r="BD174" i="275"/>
  <c r="BE174" i="275"/>
  <c r="BC570" i="259"/>
  <c r="BC207" i="261" s="1"/>
  <c r="BC16" i="262"/>
  <c r="BC567" i="259"/>
  <c r="BC201" i="261" s="1"/>
  <c r="BC1612" i="259"/>
  <c r="BC1605" i="259" s="1"/>
  <c r="AB134" i="262"/>
  <c r="BD38" i="259"/>
  <c r="BE38" i="275" s="1"/>
  <c r="BD510" i="275"/>
  <c r="AD288" i="259"/>
  <c r="AD286" i="275"/>
  <c r="BC353" i="259"/>
  <c r="BC353" i="275" s="1"/>
  <c r="BD181" i="259"/>
  <c r="BD178" i="275"/>
  <c r="R97" i="264"/>
  <c r="T93" i="264"/>
  <c r="BD498" i="275"/>
  <c r="AE308" i="259"/>
  <c r="AE288" i="275"/>
  <c r="AZ287" i="259"/>
  <c r="AZ120" i="261" s="1"/>
  <c r="AZ286" i="275"/>
  <c r="AC308" i="259"/>
  <c r="AC288" i="275"/>
  <c r="BC38" i="259"/>
  <c r="BC38" i="275" s="1"/>
  <c r="BC510" i="275"/>
  <c r="BC143" i="262"/>
  <c r="Z57" i="264"/>
  <c r="BC63" i="275"/>
  <c r="BB333" i="275"/>
  <c r="AB90" i="264"/>
  <c r="Z93" i="264"/>
  <c r="Z109" i="264"/>
  <c r="AB109" i="264" s="1"/>
  <c r="BD1658" i="259"/>
  <c r="AZ134" i="262"/>
  <c r="AZ7" i="277"/>
  <c r="AZ38" i="277" s="1"/>
  <c r="H42" i="276" s="1"/>
  <c r="AZ6" i="275"/>
  <c r="I10" i="273"/>
  <c r="AE142" i="262"/>
  <c r="AE62" i="275"/>
  <c r="BA121" i="259"/>
  <c r="BA121" i="275" s="1"/>
  <c r="AE121" i="275"/>
  <c r="AZ1420" i="259"/>
  <c r="AZ332" i="261" s="1"/>
  <c r="AA285" i="262"/>
  <c r="AA288" i="262"/>
  <c r="AC589" i="275"/>
  <c r="AC1419" i="259"/>
  <c r="AC1418" i="259" s="1"/>
  <c r="AC591" i="259"/>
  <c r="AZ69" i="275"/>
  <c r="H72" i="276"/>
  <c r="AW81" i="264"/>
  <c r="AY81" i="264" s="1"/>
  <c r="AY50" i="264"/>
  <c r="AZ504" i="259"/>
  <c r="J50" i="264"/>
  <c r="L36" i="264"/>
  <c r="AZ283" i="262"/>
  <c r="AZ1659" i="259"/>
  <c r="AD582" i="259"/>
  <c r="AD1607" i="259"/>
  <c r="AD1606" i="259" s="1"/>
  <c r="AD589" i="259"/>
  <c r="AD489" i="275"/>
  <c r="AE1616" i="259"/>
  <c r="AE1613" i="259"/>
  <c r="BB476" i="275"/>
  <c r="BA1614" i="259"/>
  <c r="BA487" i="275"/>
  <c r="BA492" i="259"/>
  <c r="BA492" i="275" s="1"/>
  <c r="BA489" i="259"/>
  <c r="AC579" i="259"/>
  <c r="AC582" i="275"/>
  <c r="AC139" i="262"/>
  <c r="AC57" i="275"/>
  <c r="AD1616" i="259"/>
  <c r="AD1613" i="259"/>
  <c r="AC280" i="262"/>
  <c r="AC1619" i="259"/>
  <c r="AC283" i="262" s="1"/>
  <c r="AE127" i="262"/>
  <c r="AE51" i="275"/>
  <c r="AE582" i="259"/>
  <c r="AE1607" i="259"/>
  <c r="AE1606" i="259" s="1"/>
  <c r="AE589" i="259"/>
  <c r="AE489" i="275"/>
  <c r="BC211" i="259"/>
  <c r="BC210" i="275"/>
  <c r="BD211" i="259"/>
  <c r="BD210" i="275"/>
  <c r="BD472" i="275"/>
  <c r="AC500" i="275"/>
  <c r="AC69" i="259"/>
  <c r="AC501" i="259"/>
  <c r="AC281" i="262"/>
  <c r="AC1632" i="259"/>
  <c r="AC291" i="262" s="1"/>
  <c r="AC1633" i="259"/>
  <c r="AC292" i="262" s="1"/>
  <c r="AC511" i="275"/>
  <c r="AC45" i="259"/>
  <c r="AD494" i="275"/>
  <c r="AD500" i="259"/>
  <c r="AD1617" i="259"/>
  <c r="BA494" i="259"/>
  <c r="AD1510" i="259"/>
  <c r="BI43" i="264" s="1"/>
  <c r="BK43" i="264" s="1"/>
  <c r="AD57" i="259"/>
  <c r="BA51" i="259"/>
  <c r="AD127" i="262"/>
  <c r="AD51" i="275"/>
  <c r="AE1510" i="259"/>
  <c r="BM43" i="264" s="1"/>
  <c r="BO43" i="264" s="1"/>
  <c r="AE500" i="259"/>
  <c r="AE1617" i="259"/>
  <c r="AE57" i="259"/>
  <c r="AE494" i="275"/>
  <c r="AA284" i="262"/>
  <c r="AA286" i="262"/>
  <c r="AS9" i="264"/>
  <c r="AU9" i="264" s="1"/>
  <c r="Z135" i="262"/>
  <c r="AD511" i="259"/>
  <c r="AD512" i="275"/>
  <c r="AE511" i="259"/>
  <c r="AE512" i="275"/>
  <c r="BD570" i="259"/>
  <c r="BD207" i="261" s="1"/>
  <c r="BD1612" i="259"/>
  <c r="BD1605" i="259" s="1"/>
  <c r="BD567" i="259"/>
  <c r="BD201" i="261" s="1"/>
  <c r="BC1658" i="259"/>
  <c r="J8" i="264"/>
  <c r="L8" i="264" s="1"/>
  <c r="AD252" i="262"/>
  <c r="AD251" i="262"/>
  <c r="BB29" i="267"/>
  <c r="AY44" i="267"/>
  <c r="AZ4" i="267"/>
  <c r="BD3" i="267"/>
  <c r="BB91" i="267"/>
  <c r="AE366" i="259"/>
  <c r="AD386" i="259"/>
  <c r="AD1329" i="259"/>
  <c r="AE1318" i="259"/>
  <c r="AD1324" i="259"/>
  <c r="AE1271" i="259"/>
  <c r="AE152" i="262" s="1"/>
  <c r="AD1271" i="259"/>
  <c r="AD152" i="262" s="1"/>
  <c r="BA62" i="259"/>
  <c r="BD1192" i="259" l="1"/>
  <c r="BE217" i="259"/>
  <c r="BE66" i="261" s="1"/>
  <c r="BB221" i="275"/>
  <c r="BE133" i="275"/>
  <c r="BE167" i="275"/>
  <c r="BB1250" i="259"/>
  <c r="BB128" i="261" s="1"/>
  <c r="T57" i="264"/>
  <c r="AE124" i="259"/>
  <c r="AE125" i="259" s="1"/>
  <c r="AE118" i="261" s="1"/>
  <c r="AE143" i="259"/>
  <c r="AD112" i="261"/>
  <c r="BC183" i="262"/>
  <c r="BB70" i="261"/>
  <c r="BD172" i="259"/>
  <c r="BD68" i="261"/>
  <c r="AE160" i="275"/>
  <c r="BA1505" i="259"/>
  <c r="BA112" i="261" s="1"/>
  <c r="BC230" i="275"/>
  <c r="BC175" i="259"/>
  <c r="BC149" i="259" s="1"/>
  <c r="BC1184" i="259"/>
  <c r="BC1179" i="259" s="1"/>
  <c r="V63" i="264" s="1"/>
  <c r="X63" i="264" s="1"/>
  <c r="BC166" i="259"/>
  <c r="BC132" i="259" s="1"/>
  <c r="BC131" i="262" s="1"/>
  <c r="V71" i="264"/>
  <c r="X71" i="264" s="1"/>
  <c r="X57" i="264"/>
  <c r="BC476" i="259"/>
  <c r="BC476" i="275" s="1"/>
  <c r="V94" i="264"/>
  <c r="X94" i="264" s="1"/>
  <c r="X93" i="264"/>
  <c r="BC431" i="275"/>
  <c r="BM35" i="264"/>
  <c r="BO35" i="264" s="1"/>
  <c r="BE831" i="259"/>
  <c r="BE831" i="275" s="1"/>
  <c r="BD833" i="259"/>
  <c r="BD833" i="275" s="1"/>
  <c r="BA56" i="259"/>
  <c r="BA56" i="275" s="1"/>
  <c r="BC462" i="259"/>
  <c r="BC1084" i="259" s="1"/>
  <c r="BA50" i="259"/>
  <c r="BA126" i="262" s="1"/>
  <c r="BC453" i="259"/>
  <c r="BC453" i="275" s="1"/>
  <c r="AE126" i="262"/>
  <c r="BC1227" i="259"/>
  <c r="BC1265" i="259" s="1"/>
  <c r="BC1686" i="259" s="1"/>
  <c r="AE56" i="275"/>
  <c r="BC1028" i="275"/>
  <c r="BD435" i="259"/>
  <c r="BD435" i="275" s="1"/>
  <c r="BD73" i="261"/>
  <c r="BE436" i="259"/>
  <c r="BE436" i="275" s="1"/>
  <c r="BE74" i="261"/>
  <c r="BD230" i="259"/>
  <c r="BD230" i="275" s="1"/>
  <c r="BD66" i="261"/>
  <c r="Z128" i="264"/>
  <c r="AB128" i="264" s="1"/>
  <c r="BC68" i="261"/>
  <c r="BB974" i="259"/>
  <c r="BB974" i="275" s="1"/>
  <c r="BA1415" i="259"/>
  <c r="BA1416" i="259" s="1"/>
  <c r="BA331" i="261" s="1"/>
  <c r="BC219" i="275"/>
  <c r="BD457" i="259"/>
  <c r="BD457" i="275" s="1"/>
  <c r="BB1031" i="259"/>
  <c r="BB1638" i="259" s="1"/>
  <c r="BB1637" i="259" s="1"/>
  <c r="BC41" i="261"/>
  <c r="BC221" i="259"/>
  <c r="BB1018" i="259"/>
  <c r="BB1018" i="275" s="1"/>
  <c r="BD217" i="275"/>
  <c r="BD267" i="259"/>
  <c r="BB1685" i="259"/>
  <c r="AG364" i="259"/>
  <c r="AG366" i="259" s="1"/>
  <c r="AE68" i="259"/>
  <c r="BA68" i="259" s="1"/>
  <c r="I44" i="276" s="1"/>
  <c r="BA123" i="259"/>
  <c r="BA123" i="275" s="1"/>
  <c r="AE112" i="261"/>
  <c r="BB355" i="259"/>
  <c r="BB355" i="275" s="1"/>
  <c r="BC354" i="275"/>
  <c r="AD125" i="259"/>
  <c r="AD118" i="261" s="1"/>
  <c r="BA142" i="275"/>
  <c r="BC371" i="259"/>
  <c r="BB335" i="275"/>
  <c r="K65" i="276"/>
  <c r="BC359" i="275"/>
  <c r="BD1214" i="259"/>
  <c r="BD360" i="259" s="1"/>
  <c r="BD360" i="275" s="1"/>
  <c r="BC1378" i="259"/>
  <c r="BC871" i="275"/>
  <c r="BD871" i="259"/>
  <c r="BD925" i="259" s="1"/>
  <c r="BD925" i="275" s="1"/>
  <c r="BB371" i="259"/>
  <c r="BB371" i="275" s="1"/>
  <c r="AI1361" i="259"/>
  <c r="BB1361" i="259" s="1"/>
  <c r="BB1377" i="259"/>
  <c r="BB1379" i="259" s="1"/>
  <c r="BC1379" i="259" s="1"/>
  <c r="BD1379" i="259" s="1"/>
  <c r="BE1379" i="259" s="1"/>
  <c r="BC925" i="275"/>
  <c r="BC1225" i="259"/>
  <c r="BC1262" i="259" s="1"/>
  <c r="BD431" i="275"/>
  <c r="BD165" i="275"/>
  <c r="BB132" i="259"/>
  <c r="BC132" i="275" s="1"/>
  <c r="BB905" i="259"/>
  <c r="BB906" i="275"/>
  <c r="BC370" i="275"/>
  <c r="BC150" i="275"/>
  <c r="BB150" i="275"/>
  <c r="BC376" i="275"/>
  <c r="BD175" i="259"/>
  <c r="BD149" i="259" s="1"/>
  <c r="BC360" i="275"/>
  <c r="BB432" i="259"/>
  <c r="BB447" i="259"/>
  <c r="BB1083" i="259" s="1"/>
  <c r="BB430" i="275"/>
  <c r="BC336" i="259"/>
  <c r="BC334" i="259" s="1"/>
  <c r="BC334" i="275" s="1"/>
  <c r="BB336" i="275"/>
  <c r="AG121" i="259"/>
  <c r="AG62" i="259"/>
  <c r="AG119" i="275"/>
  <c r="AF288" i="259"/>
  <c r="AI120" i="259"/>
  <c r="AI156" i="275"/>
  <c r="BB156" i="259"/>
  <c r="BB156" i="275" s="1"/>
  <c r="BD183" i="262"/>
  <c r="BB1607" i="259"/>
  <c r="BB582" i="259"/>
  <c r="BB589" i="259"/>
  <c r="BB591" i="259" s="1"/>
  <c r="BB512" i="259"/>
  <c r="AG285" i="259"/>
  <c r="AG1507" i="259"/>
  <c r="AG279" i="275"/>
  <c r="AF281" i="262"/>
  <c r="AF1632" i="259"/>
  <c r="AF291" i="262" s="1"/>
  <c r="AF1633" i="259"/>
  <c r="AF292" i="262" s="1"/>
  <c r="AF37" i="275"/>
  <c r="BB444" i="259"/>
  <c r="BB444" i="275" s="1"/>
  <c r="AI444" i="275"/>
  <c r="AG37" i="259"/>
  <c r="AG115" i="259"/>
  <c r="AG113" i="275"/>
  <c r="BC37" i="262"/>
  <c r="Z94" i="264"/>
  <c r="AB94" i="264" s="1"/>
  <c r="BC473" i="275"/>
  <c r="BC167" i="261"/>
  <c r="AF135" i="259"/>
  <c r="BE301" i="259"/>
  <c r="BE324" i="275"/>
  <c r="AH131" i="259"/>
  <c r="AH432" i="275"/>
  <c r="BD829" i="275"/>
  <c r="BE829" i="259"/>
  <c r="BE829" i="275" s="1"/>
  <c r="BE1188" i="259"/>
  <c r="BE1017" i="259"/>
  <c r="BE171" i="259"/>
  <c r="BE165" i="259" s="1"/>
  <c r="BE214" i="275"/>
  <c r="BB133" i="261"/>
  <c r="J64" i="276"/>
  <c r="BC836" i="275"/>
  <c r="BC55" i="262"/>
  <c r="BC179" i="262"/>
  <c r="AG501" i="259"/>
  <c r="AG504" i="259" s="1"/>
  <c r="AG69" i="259"/>
  <c r="AG69" i="275" s="1"/>
  <c r="AG57" i="259"/>
  <c r="AG1617" i="259"/>
  <c r="AG1510" i="259"/>
  <c r="AG494" i="275"/>
  <c r="BE828" i="259"/>
  <c r="BE828" i="275" s="1"/>
  <c r="BD828" i="275"/>
  <c r="BE1218" i="259"/>
  <c r="BE1027" i="259"/>
  <c r="BE1027" i="275" s="1"/>
  <c r="BE374" i="259"/>
  <c r="BE403" i="275"/>
  <c r="BB1183" i="259"/>
  <c r="BB1185" i="259" s="1"/>
  <c r="BB142" i="261" s="1"/>
  <c r="AI155" i="259"/>
  <c r="AI1178" i="259"/>
  <c r="BE854" i="259"/>
  <c r="BE854" i="275" s="1"/>
  <c r="BD854" i="275"/>
  <c r="AI149" i="259"/>
  <c r="AI175" i="275"/>
  <c r="AF159" i="259"/>
  <c r="AF117" i="259"/>
  <c r="AF1506" i="259"/>
  <c r="AF153" i="275"/>
  <c r="BC430" i="275"/>
  <c r="BC447" i="259"/>
  <c r="BC1083" i="259" s="1"/>
  <c r="BC432" i="259"/>
  <c r="AI1686" i="259"/>
  <c r="AI263" i="262"/>
  <c r="AF139" i="262"/>
  <c r="AF57" i="275"/>
  <c r="AI168" i="259"/>
  <c r="AI168" i="275" s="1"/>
  <c r="AI165" i="275"/>
  <c r="BC1032" i="259"/>
  <c r="BC1032" i="275" s="1"/>
  <c r="AG153" i="259"/>
  <c r="AG139" i="259"/>
  <c r="AG1414" i="259"/>
  <c r="AG151" i="275"/>
  <c r="BE622" i="259"/>
  <c r="BD624" i="259"/>
  <c r="BD622" i="275"/>
  <c r="BD473" i="259"/>
  <c r="BC296" i="275"/>
  <c r="BC291" i="259"/>
  <c r="BC298" i="259"/>
  <c r="BC282" i="259"/>
  <c r="BC1255" i="259"/>
  <c r="BC1200" i="259"/>
  <c r="BC281" i="259" s="1"/>
  <c r="AH489" i="259"/>
  <c r="AH492" i="259"/>
  <c r="AH492" i="275" s="1"/>
  <c r="AH512" i="259"/>
  <c r="AH51" i="259"/>
  <c r="AH494" i="259"/>
  <c r="AH1614" i="259"/>
  <c r="AH487" i="275"/>
  <c r="BC967" i="259"/>
  <c r="BC232" i="275"/>
  <c r="BB979" i="259"/>
  <c r="BB979" i="275" s="1"/>
  <c r="AI979" i="275"/>
  <c r="AF386" i="259"/>
  <c r="AF386" i="275" s="1"/>
  <c r="AF366" i="275"/>
  <c r="BE379" i="275"/>
  <c r="BE381" i="259"/>
  <c r="BD171" i="275"/>
  <c r="AI281" i="259"/>
  <c r="BB1200" i="259"/>
  <c r="BB1202" i="259" s="1"/>
  <c r="BB143" i="261" s="1"/>
  <c r="BD972" i="259"/>
  <c r="BD972" i="275" s="1"/>
  <c r="BE338" i="259"/>
  <c r="BD338" i="275"/>
  <c r="BD1006" i="275"/>
  <c r="BE1006" i="259"/>
  <c r="BD836" i="259"/>
  <c r="AG1613" i="259"/>
  <c r="AG1616" i="259"/>
  <c r="BE902" i="259"/>
  <c r="BE902" i="275" s="1"/>
  <c r="BE901" i="275"/>
  <c r="BE953" i="259"/>
  <c r="BE953" i="275" s="1"/>
  <c r="AF591" i="259"/>
  <c r="AF591" i="275" s="1"/>
  <c r="AF1419" i="259"/>
  <c r="AF589" i="275"/>
  <c r="BB275" i="275"/>
  <c r="BD1027" i="275"/>
  <c r="BB262" i="262"/>
  <c r="BB154" i="262"/>
  <c r="AI131" i="262"/>
  <c r="AI136" i="259"/>
  <c r="AI132" i="275"/>
  <c r="BC1031" i="259"/>
  <c r="BC1016" i="275"/>
  <c r="BC1685" i="259"/>
  <c r="BD219" i="275"/>
  <c r="BD41" i="261"/>
  <c r="BD221" i="259"/>
  <c r="BD1016" i="259"/>
  <c r="AF45" i="259"/>
  <c r="AF511" i="275"/>
  <c r="BB1616" i="259"/>
  <c r="BB1613" i="259"/>
  <c r="AF142" i="259"/>
  <c r="AF142" i="275" s="1"/>
  <c r="AF139" i="275"/>
  <c r="AG44" i="275"/>
  <c r="BC276" i="259"/>
  <c r="BC303" i="275"/>
  <c r="BB228" i="275"/>
  <c r="BC228" i="259"/>
  <c r="BC226" i="259" s="1"/>
  <c r="AI1033" i="259"/>
  <c r="AI1031" i="275"/>
  <c r="BD381" i="275"/>
  <c r="BD354" i="259"/>
  <c r="BD354" i="275" s="1"/>
  <c r="BC165" i="275"/>
  <c r="K48" i="276"/>
  <c r="AI277" i="259"/>
  <c r="AI275" i="275"/>
  <c r="AG134" i="259"/>
  <c r="AG130" i="262"/>
  <c r="AG131" i="275"/>
  <c r="AF1415" i="259"/>
  <c r="AF50" i="259"/>
  <c r="AF115" i="275"/>
  <c r="BC162" i="261"/>
  <c r="BC624" i="275"/>
  <c r="BE325" i="259"/>
  <c r="BD1022" i="259"/>
  <c r="BD1022" i="275" s="1"/>
  <c r="BD1205" i="259"/>
  <c r="BD1201" i="259" s="1"/>
  <c r="BD325" i="275"/>
  <c r="BD329" i="259"/>
  <c r="BD78" i="261" s="1"/>
  <c r="BD296" i="259"/>
  <c r="AH121" i="259"/>
  <c r="AH121" i="275" s="1"/>
  <c r="AH62" i="259"/>
  <c r="AH119" i="275"/>
  <c r="AI984" i="259"/>
  <c r="AI982" i="275"/>
  <c r="BB982" i="259"/>
  <c r="BB982" i="275" s="1"/>
  <c r="AF280" i="262"/>
  <c r="AF1619" i="259"/>
  <c r="BB969" i="259"/>
  <c r="BB969" i="275" s="1"/>
  <c r="AI969" i="275"/>
  <c r="BD303" i="259"/>
  <c r="BD301" i="275"/>
  <c r="AH363" i="259"/>
  <c r="AH1508" i="259"/>
  <c r="AH357" i="275"/>
  <c r="BD1184" i="259"/>
  <c r="BB282" i="259"/>
  <c r="BB282" i="275" s="1"/>
  <c r="AI282" i="275"/>
  <c r="AG127" i="262"/>
  <c r="AG51" i="275"/>
  <c r="AG511" i="259"/>
  <c r="AG512" i="275"/>
  <c r="BC416" i="275"/>
  <c r="BD416" i="259"/>
  <c r="BC458" i="259"/>
  <c r="BC458" i="275" s="1"/>
  <c r="BC977" i="259"/>
  <c r="BD1028" i="259"/>
  <c r="BD1028" i="275" s="1"/>
  <c r="BD59" i="261"/>
  <c r="BD407" i="275"/>
  <c r="BB414" i="275"/>
  <c r="BC414" i="259"/>
  <c r="BD369" i="259"/>
  <c r="BD374" i="275"/>
  <c r="BD376" i="259"/>
  <c r="BB168" i="259"/>
  <c r="BB168" i="275" s="1"/>
  <c r="BB165" i="275"/>
  <c r="J48" i="276"/>
  <c r="BB1179" i="259"/>
  <c r="AI146" i="262"/>
  <c r="AI1266" i="259"/>
  <c r="AI150" i="262" s="1"/>
  <c r="BB1264" i="259"/>
  <c r="BB156" i="262" s="1"/>
  <c r="BB1227" i="259"/>
  <c r="BB1265" i="259" s="1"/>
  <c r="BD166" i="259"/>
  <c r="BD172" i="275"/>
  <c r="BE457" i="259"/>
  <c r="AI445" i="275"/>
  <c r="BB445" i="259"/>
  <c r="BB445" i="275" s="1"/>
  <c r="BB276" i="259"/>
  <c r="BB276" i="275" s="1"/>
  <c r="BE292" i="259"/>
  <c r="BE292" i="275" s="1"/>
  <c r="BE297" i="275"/>
  <c r="BB196" i="259"/>
  <c r="BB174" i="275"/>
  <c r="BB175" i="259"/>
  <c r="BB175" i="275" s="1"/>
  <c r="BC174" i="275"/>
  <c r="BD852" i="275"/>
  <c r="BE852" i="259"/>
  <c r="BD878" i="259"/>
  <c r="BD878" i="275" s="1"/>
  <c r="BC617" i="275"/>
  <c r="BC619" i="259"/>
  <c r="BD617" i="259"/>
  <c r="AH44" i="259"/>
  <c r="AH114" i="275"/>
  <c r="AF69" i="259"/>
  <c r="AF501" i="259"/>
  <c r="AF504" i="259" s="1"/>
  <c r="AF500" i="275"/>
  <c r="AI432" i="259"/>
  <c r="AI447" i="259"/>
  <c r="AI1083" i="259" s="1"/>
  <c r="AI430" i="275"/>
  <c r="BD375" i="275"/>
  <c r="BD451" i="259"/>
  <c r="BD370" i="259"/>
  <c r="BD370" i="275" s="1"/>
  <c r="AH151" i="259"/>
  <c r="AH113" i="259"/>
  <c r="AH149" i="275"/>
  <c r="BC329" i="275"/>
  <c r="BC51" i="261"/>
  <c r="BC1023" i="259"/>
  <c r="BC1023" i="275" s="1"/>
  <c r="BD231" i="275"/>
  <c r="BE231" i="259"/>
  <c r="BE231" i="275" s="1"/>
  <c r="BB293" i="259"/>
  <c r="BB293" i="275" s="1"/>
  <c r="BB291" i="275"/>
  <c r="AI487" i="259"/>
  <c r="AI479" i="275"/>
  <c r="BB126" i="261"/>
  <c r="BB1683" i="259"/>
  <c r="J61" i="276"/>
  <c r="AI357" i="259"/>
  <c r="AI141" i="259"/>
  <c r="AI355" i="275"/>
  <c r="AI114" i="259"/>
  <c r="AI150" i="275"/>
  <c r="BD832" i="275"/>
  <c r="BE832" i="259"/>
  <c r="BE832" i="275" s="1"/>
  <c r="BB614" i="259"/>
  <c r="BB614" i="275" s="1"/>
  <c r="AI614" i="275"/>
  <c r="AH140" i="259"/>
  <c r="AH140" i="275" s="1"/>
  <c r="AH279" i="259"/>
  <c r="AH277" i="275"/>
  <c r="AG582" i="259"/>
  <c r="AG589" i="259"/>
  <c r="AG1607" i="259"/>
  <c r="AG1606" i="259" s="1"/>
  <c r="AG489" i="275"/>
  <c r="BD1226" i="259"/>
  <c r="BE1222" i="259"/>
  <c r="BE405" i="275"/>
  <c r="BE375" i="259"/>
  <c r="BE1026" i="259"/>
  <c r="BE407" i="259"/>
  <c r="BE86" i="261" s="1"/>
  <c r="AF579" i="259"/>
  <c r="AF579" i="275" s="1"/>
  <c r="AF582" i="275"/>
  <c r="BB361" i="259"/>
  <c r="BB361" i="275" s="1"/>
  <c r="BE8" i="264"/>
  <c r="BM36" i="264"/>
  <c r="BO36" i="264" s="1"/>
  <c r="BC50" i="264"/>
  <c r="BA81" i="264"/>
  <c r="BC81" i="264" s="1"/>
  <c r="BO28" i="264"/>
  <c r="BM29" i="264"/>
  <c r="BO29" i="264" s="1"/>
  <c r="BK28" i="264"/>
  <c r="BI29" i="264"/>
  <c r="BK29" i="264" s="1"/>
  <c r="BM70" i="264"/>
  <c r="BO56" i="264"/>
  <c r="BI36" i="264"/>
  <c r="BK36" i="264" s="1"/>
  <c r="BA9" i="264"/>
  <c r="BE50" i="264"/>
  <c r="AD386" i="275"/>
  <c r="AE366" i="275"/>
  <c r="AC308" i="275"/>
  <c r="AE308" i="275"/>
  <c r="AD126" i="259"/>
  <c r="AD6" i="259" s="1"/>
  <c r="AC126" i="275"/>
  <c r="AC45" i="275"/>
  <c r="AC69" i="275"/>
  <c r="AC579" i="275"/>
  <c r="AC591" i="275"/>
  <c r="AB135" i="262"/>
  <c r="AB284" i="262"/>
  <c r="AB286" i="262"/>
  <c r="BC355" i="259"/>
  <c r="BE210" i="259"/>
  <c r="BE181" i="259"/>
  <c r="BE150" i="259" s="1"/>
  <c r="BE431" i="259"/>
  <c r="BE282" i="262"/>
  <c r="BE1658" i="259"/>
  <c r="BE178" i="275"/>
  <c r="BE143" i="262"/>
  <c r="BE63" i="275"/>
  <c r="BA288" i="259"/>
  <c r="BA1542" i="259" s="1"/>
  <c r="BB442" i="275"/>
  <c r="Z71" i="264"/>
  <c r="AB71" i="264" s="1"/>
  <c r="AB57" i="264"/>
  <c r="AB93" i="264"/>
  <c r="T97" i="264"/>
  <c r="R107" i="264"/>
  <c r="T107" i="264" s="1"/>
  <c r="AD288" i="275"/>
  <c r="AD308" i="259"/>
  <c r="BB983" i="275"/>
  <c r="BD150" i="259"/>
  <c r="BD181" i="275"/>
  <c r="BD38" i="275"/>
  <c r="AE126" i="259"/>
  <c r="BA142" i="262"/>
  <c r="BA62" i="275"/>
  <c r="AC134" i="262"/>
  <c r="AC6" i="275"/>
  <c r="AE162" i="275"/>
  <c r="BA162" i="259"/>
  <c r="BA1606" i="259"/>
  <c r="AE139" i="262"/>
  <c r="AE57" i="275"/>
  <c r="AW9" i="264"/>
  <c r="AY9" i="264" s="1"/>
  <c r="AA135" i="262"/>
  <c r="BA1616" i="259"/>
  <c r="BA1613" i="259"/>
  <c r="AE280" i="262"/>
  <c r="AE1619" i="259"/>
  <c r="AE283" i="262" s="1"/>
  <c r="AD579" i="259"/>
  <c r="AD582" i="275"/>
  <c r="J81" i="264"/>
  <c r="L81" i="264" s="1"/>
  <c r="L50" i="264"/>
  <c r="AD57" i="275"/>
  <c r="BA57" i="259"/>
  <c r="AD139" i="262"/>
  <c r="AC506" i="259"/>
  <c r="AC504" i="259"/>
  <c r="AC1620" i="259"/>
  <c r="AD511" i="275"/>
  <c r="AD45" i="259"/>
  <c r="AE281" i="262"/>
  <c r="AE1633" i="259"/>
  <c r="AE292" i="262" s="1"/>
  <c r="AE1632" i="259"/>
  <c r="AE291" i="262" s="1"/>
  <c r="BA494" i="275"/>
  <c r="BA1510" i="259"/>
  <c r="BA1617" i="259"/>
  <c r="BA511" i="259"/>
  <c r="AE582" i="275"/>
  <c r="AE579" i="259"/>
  <c r="BA512" i="259"/>
  <c r="BA512" i="275" s="1"/>
  <c r="BA589" i="259"/>
  <c r="BA582" i="259"/>
  <c r="BA582" i="275" s="1"/>
  <c r="BA1607" i="259"/>
  <c r="BA489" i="275"/>
  <c r="N28" i="264"/>
  <c r="AE511" i="275"/>
  <c r="AE45" i="259"/>
  <c r="AE500" i="275"/>
  <c r="AE69" i="259"/>
  <c r="AE501" i="259"/>
  <c r="I74" i="276"/>
  <c r="BA51" i="275"/>
  <c r="BA127" i="262"/>
  <c r="AD281" i="262"/>
  <c r="AD1633" i="259"/>
  <c r="AD292" i="262" s="1"/>
  <c r="AD1632" i="259"/>
  <c r="AD291" i="262" s="1"/>
  <c r="BB479" i="275"/>
  <c r="AD589" i="275"/>
  <c r="AD591" i="259"/>
  <c r="AD1419" i="259"/>
  <c r="AZ504" i="275"/>
  <c r="AZ1546" i="259"/>
  <c r="AZ506" i="259"/>
  <c r="BA500" i="259"/>
  <c r="BA500" i="275" s="1"/>
  <c r="AD501" i="259"/>
  <c r="AD69" i="259"/>
  <c r="AD500" i="275"/>
  <c r="AE589" i="275"/>
  <c r="AE591" i="259"/>
  <c r="AE1419" i="259"/>
  <c r="AE1418" i="259" s="1"/>
  <c r="AD280" i="262"/>
  <c r="AD1619" i="259"/>
  <c r="AD283" i="262" s="1"/>
  <c r="N56" i="264"/>
  <c r="P56" i="264" s="1"/>
  <c r="BC29" i="267"/>
  <c r="BE3" i="267"/>
  <c r="BC91" i="267"/>
  <c r="AZ44" i="267"/>
  <c r="BA4" i="267"/>
  <c r="AE386" i="259"/>
  <c r="BD161" i="259"/>
  <c r="BD287" i="259"/>
  <c r="BC287" i="259"/>
  <c r="BA366" i="259"/>
  <c r="AD1293" i="259"/>
  <c r="AD242" i="262" s="1"/>
  <c r="AD1326" i="259"/>
  <c r="BC361" i="259"/>
  <c r="AE1319" i="259"/>
  <c r="BA124" i="259" l="1"/>
  <c r="BA124" i="275" s="1"/>
  <c r="BE267" i="259"/>
  <c r="BE219" i="259"/>
  <c r="BE68" i="261" s="1"/>
  <c r="BE230" i="259"/>
  <c r="BE172" i="259"/>
  <c r="BE1192" i="259"/>
  <c r="BE1226" i="259" s="1"/>
  <c r="BE1264" i="259" s="1"/>
  <c r="BE156" i="262" s="1"/>
  <c r="BE217" i="275"/>
  <c r="AE124" i="275"/>
  <c r="BC263" i="262"/>
  <c r="K50" i="276"/>
  <c r="BC166" i="275"/>
  <c r="BC168" i="259"/>
  <c r="BC168" i="275" s="1"/>
  <c r="AE68" i="275"/>
  <c r="BD232" i="259"/>
  <c r="BD232" i="275" s="1"/>
  <c r="N42" i="264"/>
  <c r="P42" i="264" s="1"/>
  <c r="BC479" i="259"/>
  <c r="BC487" i="259" s="1"/>
  <c r="BC487" i="275" s="1"/>
  <c r="BD70" i="261"/>
  <c r="V97" i="264"/>
  <c r="X97" i="264" s="1"/>
  <c r="BC1183" i="259"/>
  <c r="BC155" i="259" s="1"/>
  <c r="BC119" i="259" s="1"/>
  <c r="BC62" i="259" s="1"/>
  <c r="BC156" i="259"/>
  <c r="BC120" i="259" s="1"/>
  <c r="Z97" i="264"/>
  <c r="Z107" i="264" s="1"/>
  <c r="AB107" i="264" s="1"/>
  <c r="BM49" i="264"/>
  <c r="BM80" i="264" s="1"/>
  <c r="BO80" i="264" s="1"/>
  <c r="I46" i="276"/>
  <c r="I47" i="276" s="1"/>
  <c r="BA138" i="262"/>
  <c r="N35" i="264"/>
  <c r="P35" i="264" s="1"/>
  <c r="I54" i="276"/>
  <c r="BA50" i="275"/>
  <c r="BD1213" i="259"/>
  <c r="BD359" i="259" s="1"/>
  <c r="BD359" i="275" s="1"/>
  <c r="AG364" i="275"/>
  <c r="BE435" i="259"/>
  <c r="BE435" i="275" s="1"/>
  <c r="BE73" i="261"/>
  <c r="BC1250" i="259"/>
  <c r="BC128" i="261" s="1"/>
  <c r="BC70" i="261"/>
  <c r="BB1033" i="259"/>
  <c r="BB1033" i="275" s="1"/>
  <c r="BB1031" i="275"/>
  <c r="BC221" i="275"/>
  <c r="BC1018" i="259"/>
  <c r="BC1018" i="275" s="1"/>
  <c r="BC43" i="261"/>
  <c r="BC355" i="275"/>
  <c r="BC361" i="275"/>
  <c r="BD1260" i="259"/>
  <c r="BD138" i="261" s="1"/>
  <c r="BE871" i="259"/>
  <c r="BE925" i="259" s="1"/>
  <c r="BE925" i="275" s="1"/>
  <c r="BD871" i="275"/>
  <c r="BD1378" i="259"/>
  <c r="BD1377" i="259" s="1"/>
  <c r="BD1361" i="259" s="1"/>
  <c r="AG501" i="275"/>
  <c r="BC371" i="275"/>
  <c r="BC1377" i="259"/>
  <c r="BC1361" i="259" s="1"/>
  <c r="BD361" i="259"/>
  <c r="BD361" i="275" s="1"/>
  <c r="BC262" i="262"/>
  <c r="BC154" i="262"/>
  <c r="BB905" i="275"/>
  <c r="BC905" i="259"/>
  <c r="BB270" i="261"/>
  <c r="BB131" i="262"/>
  <c r="BB132" i="275"/>
  <c r="BC335" i="259"/>
  <c r="BC335" i="275" s="1"/>
  <c r="BD149" i="275"/>
  <c r="AF143" i="259"/>
  <c r="BC333" i="259"/>
  <c r="BC333" i="275" s="1"/>
  <c r="BD175" i="275"/>
  <c r="AD126" i="275"/>
  <c r="BC357" i="259"/>
  <c r="BC1508" i="259" s="1"/>
  <c r="BC1178" i="259"/>
  <c r="BC1180" i="259" s="1"/>
  <c r="BD1225" i="259"/>
  <c r="BD1262" i="259" s="1"/>
  <c r="BD262" i="262" s="1"/>
  <c r="BD1032" i="259"/>
  <c r="BD1032" i="275" s="1"/>
  <c r="BC226" i="275"/>
  <c r="AF504" i="275"/>
  <c r="AD250" i="262"/>
  <c r="BI33" i="263"/>
  <c r="BI20" i="264" s="1"/>
  <c r="AH285" i="259"/>
  <c r="AI44" i="259"/>
  <c r="AI114" i="275"/>
  <c r="AI51" i="259"/>
  <c r="BB51" i="259" s="1"/>
  <c r="AI492" i="259"/>
  <c r="AI492" i="275" s="1"/>
  <c r="AI1614" i="259"/>
  <c r="AI512" i="259"/>
  <c r="AI489" i="259"/>
  <c r="AI494" i="259"/>
  <c r="AI500" i="259" s="1"/>
  <c r="AI487" i="275"/>
  <c r="AH115" i="259"/>
  <c r="AH37" i="259"/>
  <c r="AH113" i="275"/>
  <c r="BB114" i="259"/>
  <c r="BE617" i="259"/>
  <c r="BD617" i="275"/>
  <c r="BD619" i="259"/>
  <c r="BC175" i="275"/>
  <c r="BE183" i="262"/>
  <c r="BE457" i="275"/>
  <c r="BD353" i="259"/>
  <c r="BD376" i="275"/>
  <c r="BD1255" i="259"/>
  <c r="BD133" i="261" s="1"/>
  <c r="BD1200" i="259"/>
  <c r="BD281" i="259" s="1"/>
  <c r="BD282" i="259"/>
  <c r="BD282" i="275" s="1"/>
  <c r="AI1033" i="275"/>
  <c r="BB1656" i="259"/>
  <c r="AF45" i="275"/>
  <c r="BC1031" i="275"/>
  <c r="BC1638" i="259"/>
  <c r="BC1637" i="259" s="1"/>
  <c r="BC1033" i="259"/>
  <c r="AF1418" i="259"/>
  <c r="BE836" i="259"/>
  <c r="BE1006" i="275"/>
  <c r="BC967" i="275"/>
  <c r="BC982" i="259"/>
  <c r="BC982" i="275" s="1"/>
  <c r="AH127" i="262"/>
  <c r="AH51" i="275"/>
  <c r="BC283" i="259"/>
  <c r="BC291" i="275"/>
  <c r="BC293" i="259"/>
  <c r="BC293" i="275" s="1"/>
  <c r="BD162" i="261"/>
  <c r="BD624" i="275"/>
  <c r="AI113" i="259"/>
  <c r="BB113" i="259" s="1"/>
  <c r="AI151" i="259"/>
  <c r="AI149" i="275"/>
  <c r="BB155" i="259"/>
  <c r="AI119" i="259"/>
  <c r="AI157" i="259"/>
  <c r="AI155" i="275"/>
  <c r="AH130" i="262"/>
  <c r="AH134" i="259"/>
  <c r="AH131" i="275"/>
  <c r="AF1416" i="259"/>
  <c r="AF331" i="261" s="1"/>
  <c r="BC225" i="259"/>
  <c r="BB149" i="259"/>
  <c r="BC149" i="275" s="1"/>
  <c r="AG386" i="259"/>
  <c r="AG386" i="275" s="1"/>
  <c r="AG366" i="275"/>
  <c r="BE1028" i="259"/>
  <c r="BE1028" i="275" s="1"/>
  <c r="BE407" i="275"/>
  <c r="BE59" i="261"/>
  <c r="AG591" i="259"/>
  <c r="AG591" i="275" s="1"/>
  <c r="AG1419" i="259"/>
  <c r="AG1418" i="259" s="1"/>
  <c r="AG589" i="275"/>
  <c r="AH1507" i="259"/>
  <c r="AH279" i="275"/>
  <c r="BE833" i="259"/>
  <c r="BE833" i="275" s="1"/>
  <c r="AH1414" i="259"/>
  <c r="AH139" i="259"/>
  <c r="AH153" i="259"/>
  <c r="AH159" i="259" s="1"/>
  <c r="AH151" i="275"/>
  <c r="BC614" i="259"/>
  <c r="BC614" i="275" s="1"/>
  <c r="BC619" i="275"/>
  <c r="BD166" i="275"/>
  <c r="BD132" i="259"/>
  <c r="BC977" i="275"/>
  <c r="AF283" i="262"/>
  <c r="BB984" i="259"/>
  <c r="BB984" i="275" s="1"/>
  <c r="AI984" i="275"/>
  <c r="BD296" i="275"/>
  <c r="BD298" i="259"/>
  <c r="BD291" i="259"/>
  <c r="AI279" i="259"/>
  <c r="AI285" i="259" s="1"/>
  <c r="AI140" i="259"/>
  <c r="AI277" i="275"/>
  <c r="BC276" i="275"/>
  <c r="BC114" i="259"/>
  <c r="BD1031" i="259"/>
  <c r="BD1016" i="275"/>
  <c r="BD1685" i="259"/>
  <c r="BB277" i="259"/>
  <c r="BB277" i="275" s="1"/>
  <c r="AG280" i="262"/>
  <c r="AG1619" i="259"/>
  <c r="BE354" i="259"/>
  <c r="BE354" i="275" s="1"/>
  <c r="BE381" i="275"/>
  <c r="AH511" i="259"/>
  <c r="AH512" i="275"/>
  <c r="BC133" i="261"/>
  <c r="K64" i="276"/>
  <c r="BE622" i="275"/>
  <c r="BE473" i="259"/>
  <c r="BE624" i="259"/>
  <c r="AG142" i="259"/>
  <c r="AG139" i="275"/>
  <c r="AF56" i="259"/>
  <c r="AF1505" i="259"/>
  <c r="AF112" i="261" s="1"/>
  <c r="AF117" i="275"/>
  <c r="BE374" i="275"/>
  <c r="BE369" i="259"/>
  <c r="BE376" i="259"/>
  <c r="BE353" i="259" s="1"/>
  <c r="BE171" i="275"/>
  <c r="BE175" i="259"/>
  <c r="BD967" i="259"/>
  <c r="AG50" i="259"/>
  <c r="AG1415" i="259"/>
  <c r="AG1416" i="259" s="1"/>
  <c r="AG331" i="261" s="1"/>
  <c r="AG115" i="275"/>
  <c r="AG286" i="259"/>
  <c r="AG285" i="275"/>
  <c r="AI120" i="275"/>
  <c r="BB120" i="259"/>
  <c r="BB120" i="275" s="1"/>
  <c r="AG142" i="262"/>
  <c r="AG62" i="275"/>
  <c r="BC336" i="275"/>
  <c r="BC340" i="259"/>
  <c r="BC340" i="275" s="1"/>
  <c r="BC973" i="259"/>
  <c r="BD336" i="259"/>
  <c r="BE1026" i="275"/>
  <c r="BD1227" i="259"/>
  <c r="BD1265" i="259" s="1"/>
  <c r="BD1264" i="259"/>
  <c r="BD156" i="262" s="1"/>
  <c r="AG579" i="259"/>
  <c r="AG579" i="275" s="1"/>
  <c r="AG582" i="275"/>
  <c r="BB141" i="259"/>
  <c r="AI141" i="275"/>
  <c r="AF506" i="259"/>
  <c r="AF1620" i="259"/>
  <c r="AF1621" i="259" s="1"/>
  <c r="AF501" i="275"/>
  <c r="BE852" i="275"/>
  <c r="BE878" i="259"/>
  <c r="BE878" i="275" s="1"/>
  <c r="BE1016" i="259"/>
  <c r="BE221" i="259"/>
  <c r="BE70" i="261" s="1"/>
  <c r="BE41" i="261"/>
  <c r="BE219" i="275"/>
  <c r="BB1686" i="259"/>
  <c r="BB263" i="262"/>
  <c r="BB1266" i="259"/>
  <c r="BB150" i="262" s="1"/>
  <c r="R63" i="264"/>
  <c r="T63" i="264" s="1"/>
  <c r="BB146" i="262"/>
  <c r="BD369" i="275"/>
  <c r="BD371" i="259"/>
  <c r="BD371" i="275" s="1"/>
  <c r="AG45" i="259"/>
  <c r="AG511" i="275"/>
  <c r="BD303" i="275"/>
  <c r="BD276" i="259"/>
  <c r="BD114" i="259" s="1"/>
  <c r="BD51" i="261"/>
  <c r="BD329" i="275"/>
  <c r="BD1023" i="259"/>
  <c r="BD1023" i="275" s="1"/>
  <c r="BE296" i="259"/>
  <c r="BE430" i="259" s="1"/>
  <c r="BE432" i="259" s="1"/>
  <c r="BE325" i="275"/>
  <c r="BE1205" i="259"/>
  <c r="BE1201" i="259" s="1"/>
  <c r="BE1022" i="259"/>
  <c r="BE1022" i="275" s="1"/>
  <c r="BE329" i="259"/>
  <c r="BE78" i="261" s="1"/>
  <c r="BC228" i="275"/>
  <c r="BC968" i="259"/>
  <c r="BC969" i="259" s="1"/>
  <c r="BC969" i="275" s="1"/>
  <c r="BD228" i="259"/>
  <c r="BD226" i="259" s="1"/>
  <c r="BC234" i="259"/>
  <c r="BC234" i="275" s="1"/>
  <c r="BC227" i="259"/>
  <c r="AI283" i="259"/>
  <c r="AI281" i="275"/>
  <c r="BB281" i="259"/>
  <c r="BB281" i="275" s="1"/>
  <c r="Z63" i="264"/>
  <c r="AB63" i="264" s="1"/>
  <c r="BC1266" i="259"/>
  <c r="BC150" i="262" s="1"/>
  <c r="BC146" i="262"/>
  <c r="AH1613" i="259"/>
  <c r="AH1616" i="259"/>
  <c r="BC282" i="275"/>
  <c r="BD167" i="261"/>
  <c r="BD476" i="259"/>
  <c r="BD37" i="262"/>
  <c r="BD473" i="275"/>
  <c r="AG1506" i="259"/>
  <c r="AG117" i="259"/>
  <c r="AG153" i="275"/>
  <c r="AF160" i="259"/>
  <c r="AF123" i="259"/>
  <c r="AF159" i="275"/>
  <c r="AG281" i="262"/>
  <c r="AG1632" i="259"/>
  <c r="AG291" i="262" s="1"/>
  <c r="AG1633" i="259"/>
  <c r="AG292" i="262" s="1"/>
  <c r="AG506" i="259"/>
  <c r="AG506" i="275" s="1"/>
  <c r="AG1620" i="259"/>
  <c r="BE1017" i="275"/>
  <c r="BE303" i="259"/>
  <c r="BE276" i="259" s="1"/>
  <c r="BE301" i="275"/>
  <c r="AF308" i="259"/>
  <c r="AF308" i="275" s="1"/>
  <c r="AF288" i="275"/>
  <c r="AG121" i="275"/>
  <c r="BE370" i="259"/>
  <c r="BE451" i="259"/>
  <c r="BE375" i="275"/>
  <c r="AI363" i="259"/>
  <c r="BB363" i="259" s="1"/>
  <c r="AI1508" i="259"/>
  <c r="AI357" i="275"/>
  <c r="BB357" i="259"/>
  <c r="BD451" i="275"/>
  <c r="BD462" i="259"/>
  <c r="BD1084" i="259" s="1"/>
  <c r="BD453" i="259"/>
  <c r="BD453" i="275" s="1"/>
  <c r="AI131" i="259"/>
  <c r="AI432" i="275"/>
  <c r="AF69" i="275"/>
  <c r="AH44" i="275"/>
  <c r="BC151" i="259"/>
  <c r="BB197" i="259"/>
  <c r="BB108" i="261" s="1"/>
  <c r="BB196" i="275"/>
  <c r="BC196" i="275"/>
  <c r="BE166" i="259"/>
  <c r="BE166" i="275" s="1"/>
  <c r="BE172" i="275"/>
  <c r="BC414" i="275"/>
  <c r="BD414" i="259"/>
  <c r="BC978" i="259"/>
  <c r="BC978" i="275" s="1"/>
  <c r="BC418" i="259"/>
  <c r="BC418" i="275" s="1"/>
  <c r="BC412" i="259"/>
  <c r="BC413" i="259"/>
  <c r="BE416" i="259"/>
  <c r="BD458" i="259"/>
  <c r="BD458" i="275" s="1"/>
  <c r="BD977" i="259"/>
  <c r="BD416" i="275"/>
  <c r="BD1179" i="259"/>
  <c r="BD1250" i="259"/>
  <c r="BD128" i="261" s="1"/>
  <c r="BD1183" i="259"/>
  <c r="BD156" i="259"/>
  <c r="AH364" i="259"/>
  <c r="AH363" i="275"/>
  <c r="AH142" i="262"/>
  <c r="AH62" i="275"/>
  <c r="AF126" i="262"/>
  <c r="AF50" i="275"/>
  <c r="AG135" i="259"/>
  <c r="AG134" i="275"/>
  <c r="BD43" i="261"/>
  <c r="BD1018" i="259"/>
  <c r="BD221" i="275"/>
  <c r="BD836" i="275"/>
  <c r="BD179" i="262"/>
  <c r="BD55" i="262"/>
  <c r="BE972" i="259"/>
  <c r="BE972" i="275" s="1"/>
  <c r="BE338" i="275"/>
  <c r="BD430" i="259"/>
  <c r="AH500" i="259"/>
  <c r="AH1510" i="259"/>
  <c r="AH1617" i="259"/>
  <c r="AH57" i="259"/>
  <c r="AH494" i="275"/>
  <c r="AH589" i="259"/>
  <c r="AH582" i="259"/>
  <c r="AH1607" i="259"/>
  <c r="AH1606" i="259" s="1"/>
  <c r="AH489" i="275"/>
  <c r="BC298" i="275"/>
  <c r="BC275" i="259"/>
  <c r="BC113" i="259" s="1"/>
  <c r="AG159" i="259"/>
  <c r="BC432" i="275"/>
  <c r="BC131" i="259"/>
  <c r="BB1178" i="259"/>
  <c r="AI1180" i="259"/>
  <c r="BE1214" i="259"/>
  <c r="AG139" i="262"/>
  <c r="AG57" i="275"/>
  <c r="BE1184" i="259"/>
  <c r="BE232" i="259"/>
  <c r="BE230" i="275"/>
  <c r="AG37" i="275"/>
  <c r="BD168" i="259"/>
  <c r="BC411" i="259"/>
  <c r="BB131" i="259"/>
  <c r="BI8" i="264"/>
  <c r="BC9" i="264"/>
  <c r="BG8" i="264"/>
  <c r="BG50" i="264"/>
  <c r="BE81" i="264"/>
  <c r="BG81" i="264" s="1"/>
  <c r="BI50" i="264"/>
  <c r="BM50" i="264"/>
  <c r="AE126" i="275"/>
  <c r="AE386" i="275"/>
  <c r="AD308" i="275"/>
  <c r="AE591" i="275"/>
  <c r="AD506" i="259"/>
  <c r="AD7" i="259" s="1"/>
  <c r="BI9" i="264" s="1"/>
  <c r="BK9" i="264" s="1"/>
  <c r="AD591" i="275"/>
  <c r="AE69" i="275"/>
  <c r="AD45" i="275"/>
  <c r="AE45" i="275"/>
  <c r="AE579" i="275"/>
  <c r="AC504" i="275"/>
  <c r="AG504" i="275"/>
  <c r="AD579" i="275"/>
  <c r="BC141" i="259"/>
  <c r="AB288" i="262"/>
  <c r="AB285" i="262"/>
  <c r="BE150" i="275"/>
  <c r="BE165" i="275"/>
  <c r="BE211" i="259"/>
  <c r="BE210" i="275"/>
  <c r="BE181" i="275"/>
  <c r="BE431" i="275"/>
  <c r="BA286" i="259"/>
  <c r="BA287" i="259" s="1"/>
  <c r="BA120" i="261" s="1"/>
  <c r="BA288" i="275"/>
  <c r="BA1543" i="259"/>
  <c r="BA366" i="275"/>
  <c r="BD150" i="275"/>
  <c r="BD151" i="259"/>
  <c r="BA126" i="259"/>
  <c r="BA1544" i="259" s="1"/>
  <c r="BA68" i="275"/>
  <c r="AE6" i="259"/>
  <c r="BM8" i="264" s="1"/>
  <c r="AD134" i="262"/>
  <c r="AD6" i="275"/>
  <c r="BA162" i="275"/>
  <c r="BA160" i="259"/>
  <c r="BA1541" i="259"/>
  <c r="BA281" i="262"/>
  <c r="BA1633" i="259"/>
  <c r="BA292" i="262" s="1"/>
  <c r="BA1632" i="259"/>
  <c r="BA291" i="262" s="1"/>
  <c r="BA1657" i="259"/>
  <c r="AC600" i="259"/>
  <c r="AC506" i="275"/>
  <c r="AC7" i="259"/>
  <c r="BA280" i="262"/>
  <c r="BA1656" i="259"/>
  <c r="BA1619" i="259"/>
  <c r="AD69" i="275"/>
  <c r="BA69" i="259"/>
  <c r="AD1620" i="259"/>
  <c r="AD501" i="275"/>
  <c r="AE501" i="275"/>
  <c r="AE506" i="259"/>
  <c r="AE1620" i="259"/>
  <c r="AE504" i="259"/>
  <c r="N43" i="264"/>
  <c r="P43" i="264" s="1"/>
  <c r="BA210" i="261"/>
  <c r="AD1418" i="259"/>
  <c r="BA1418" i="259" s="1"/>
  <c r="BA1419" i="259"/>
  <c r="BB492" i="275"/>
  <c r="BB487" i="275"/>
  <c r="R28" i="264"/>
  <c r="AC284" i="262"/>
  <c r="AC1621" i="259"/>
  <c r="AC1623" i="259"/>
  <c r="AC286" i="262" s="1"/>
  <c r="AD504" i="259"/>
  <c r="AZ506" i="275"/>
  <c r="AZ501" i="259"/>
  <c r="AZ1547" i="259"/>
  <c r="P28" i="264"/>
  <c r="BA589" i="275"/>
  <c r="BA591" i="259"/>
  <c r="BA591" i="275" s="1"/>
  <c r="BA511" i="275"/>
  <c r="BA45" i="259"/>
  <c r="BA45" i="275" s="1"/>
  <c r="BA579" i="259"/>
  <c r="BA579" i="275" s="1"/>
  <c r="I76" i="276"/>
  <c r="N36" i="264"/>
  <c r="BA139" i="262"/>
  <c r="BA57" i="275"/>
  <c r="N70" i="264"/>
  <c r="P70" i="264" s="1"/>
  <c r="AE1339" i="259"/>
  <c r="AE238" i="262" s="1"/>
  <c r="AE245" i="262"/>
  <c r="AE246" i="262"/>
  <c r="BD29" i="267"/>
  <c r="BA44" i="267"/>
  <c r="BB4" i="267"/>
  <c r="BF3" i="267"/>
  <c r="BD91" i="267"/>
  <c r="AE1321" i="259"/>
  <c r="AF1318" i="259" s="1"/>
  <c r="BA364" i="259"/>
  <c r="AD123" i="262"/>
  <c r="AE1338" i="259"/>
  <c r="BA1319" i="259"/>
  <c r="BA125" i="259" l="1"/>
  <c r="BA118" i="261" s="1"/>
  <c r="BD168" i="275"/>
  <c r="BE1227" i="259"/>
  <c r="BE1265" i="259" s="1"/>
  <c r="BE263" i="262" s="1"/>
  <c r="BC121" i="259"/>
  <c r="BC1614" i="259"/>
  <c r="BC1616" i="259" s="1"/>
  <c r="BC280" i="262" s="1"/>
  <c r="BC492" i="259"/>
  <c r="BC492" i="275" s="1"/>
  <c r="BC494" i="259"/>
  <c r="BC500" i="259" s="1"/>
  <c r="BC69" i="259" s="1"/>
  <c r="BC489" i="259"/>
  <c r="Z28" i="264" s="1"/>
  <c r="AB28" i="264" s="1"/>
  <c r="BC512" i="259"/>
  <c r="BC511" i="259" s="1"/>
  <c r="BC579" i="259" s="1"/>
  <c r="BC51" i="259"/>
  <c r="BC127" i="262" s="1"/>
  <c r="BC479" i="275"/>
  <c r="AB97" i="264"/>
  <c r="V107" i="264"/>
  <c r="X107" i="264" s="1"/>
  <c r="BD1018" i="275"/>
  <c r="BC157" i="259"/>
  <c r="BC156" i="275"/>
  <c r="Z56" i="264"/>
  <c r="AB56" i="264" s="1"/>
  <c r="V56" i="264"/>
  <c r="BC1033" i="275"/>
  <c r="BC363" i="259"/>
  <c r="BC363" i="275" s="1"/>
  <c r="BE871" i="275"/>
  <c r="BE1378" i="259"/>
  <c r="BE1377" i="259" s="1"/>
  <c r="BE1361" i="259" s="1"/>
  <c r="AD506" i="275"/>
  <c r="AD600" i="259"/>
  <c r="AD598" i="259" s="1"/>
  <c r="BC905" i="275"/>
  <c r="BC906" i="259"/>
  <c r="BC906" i="275" s="1"/>
  <c r="BD905" i="259"/>
  <c r="BE1032" i="259"/>
  <c r="BE1032" i="275" s="1"/>
  <c r="BD154" i="262"/>
  <c r="BE168" i="259"/>
  <c r="BE168" i="275" s="1"/>
  <c r="BC979" i="259"/>
  <c r="BC979" i="275" s="1"/>
  <c r="AF1627" i="259"/>
  <c r="AF288" i="262" s="1"/>
  <c r="AF285" i="262"/>
  <c r="AH160" i="259"/>
  <c r="AH162" i="259" s="1"/>
  <c r="AH123" i="259"/>
  <c r="AH159" i="275"/>
  <c r="BC115" i="259"/>
  <c r="BC113" i="275"/>
  <c r="BC37" i="259"/>
  <c r="BD226" i="275"/>
  <c r="BB37" i="259"/>
  <c r="BB115" i="259"/>
  <c r="BB113" i="275"/>
  <c r="AI286" i="259"/>
  <c r="AI286" i="275" s="1"/>
  <c r="AI285" i="275"/>
  <c r="BB285" i="259"/>
  <c r="BC131" i="275"/>
  <c r="BC130" i="262"/>
  <c r="BC134" i="259"/>
  <c r="V27" i="264" s="1"/>
  <c r="BB1318" i="259"/>
  <c r="AF1319" i="259"/>
  <c r="AF1321" i="259" s="1"/>
  <c r="BC411" i="275"/>
  <c r="BD411" i="259"/>
  <c r="BC442" i="259"/>
  <c r="AH69" i="259"/>
  <c r="AH501" i="259"/>
  <c r="AH504" i="259" s="1"/>
  <c r="AH500" i="275"/>
  <c r="AH366" i="259"/>
  <c r="AH364" i="275"/>
  <c r="BD146" i="262"/>
  <c r="BD1266" i="259"/>
  <c r="BD150" i="262" s="1"/>
  <c r="BE416" i="275"/>
  <c r="BE458" i="259"/>
  <c r="BE458" i="275" s="1"/>
  <c r="BE977" i="259"/>
  <c r="AI364" i="259"/>
  <c r="AI364" i="275" s="1"/>
  <c r="AI363" i="275"/>
  <c r="BE276" i="275"/>
  <c r="AG600" i="259"/>
  <c r="AG598" i="259" s="1"/>
  <c r="AG7" i="259"/>
  <c r="AG135" i="262" s="1"/>
  <c r="AH280" i="262"/>
  <c r="AH1619" i="259"/>
  <c r="BC227" i="275"/>
  <c r="BD227" i="259"/>
  <c r="BE303" i="275"/>
  <c r="AF7" i="259"/>
  <c r="AF600" i="259"/>
  <c r="AF506" i="275"/>
  <c r="AG288" i="259"/>
  <c r="AG286" i="275"/>
  <c r="AF138" i="262"/>
  <c r="AF56" i="275"/>
  <c r="BE37" i="262"/>
  <c r="BE473" i="275"/>
  <c r="BE476" i="259"/>
  <c r="BE167" i="261"/>
  <c r="AG283" i="262"/>
  <c r="AG1621" i="259"/>
  <c r="BD291" i="275"/>
  <c r="BD293" i="259"/>
  <c r="BD293" i="275" s="1"/>
  <c r="AH142" i="259"/>
  <c r="AH139" i="275"/>
  <c r="BC120" i="275"/>
  <c r="BD353" i="275"/>
  <c r="BD355" i="259"/>
  <c r="BB44" i="259"/>
  <c r="BB44" i="275" s="1"/>
  <c r="BB114" i="275"/>
  <c r="AH50" i="259"/>
  <c r="AH1415" i="259"/>
  <c r="AH1416" i="259" s="1"/>
  <c r="AH331" i="261" s="1"/>
  <c r="AH115" i="275"/>
  <c r="BB494" i="259"/>
  <c r="AI57" i="259"/>
  <c r="BB57" i="259" s="1"/>
  <c r="R36" i="264" s="1"/>
  <c r="T36" i="264" s="1"/>
  <c r="AI1617" i="259"/>
  <c r="AI1510" i="259"/>
  <c r="AI494" i="275"/>
  <c r="AI44" i="275"/>
  <c r="BE967" i="259"/>
  <c r="BE232" i="275"/>
  <c r="BB1180" i="259"/>
  <c r="AG160" i="259"/>
  <c r="AG162" i="259" s="1"/>
  <c r="AG123" i="259"/>
  <c r="AG159" i="275"/>
  <c r="AH139" i="262"/>
  <c r="AH57" i="275"/>
  <c r="BD430" i="275"/>
  <c r="BD432" i="259"/>
  <c r="BE432" i="275" s="1"/>
  <c r="BD447" i="259"/>
  <c r="BD1083" i="259" s="1"/>
  <c r="BD120" i="259"/>
  <c r="BD120" i="275" s="1"/>
  <c r="BD156" i="275"/>
  <c r="BC413" i="275"/>
  <c r="BD413" i="259"/>
  <c r="BC444" i="259"/>
  <c r="BC444" i="275" s="1"/>
  <c r="BE414" i="259"/>
  <c r="BD978" i="259"/>
  <c r="BD978" i="275" s="1"/>
  <c r="BD414" i="275"/>
  <c r="BD418" i="259"/>
  <c r="BD418" i="275" s="1"/>
  <c r="AI130" i="262"/>
  <c r="AI134" i="259"/>
  <c r="AI131" i="275"/>
  <c r="BB1508" i="259"/>
  <c r="BB115" i="261" s="1"/>
  <c r="BB357" i="275"/>
  <c r="AG1505" i="259"/>
  <c r="AG112" i="261" s="1"/>
  <c r="AG56" i="259"/>
  <c r="AG117" i="275"/>
  <c r="BD479" i="259"/>
  <c r="BD476" i="275"/>
  <c r="BE1023" i="259"/>
  <c r="BE1023" i="275" s="1"/>
  <c r="BE329" i="275"/>
  <c r="BE51" i="261"/>
  <c r="BE296" i="275"/>
  <c r="BE291" i="259"/>
  <c r="BE293" i="259" s="1"/>
  <c r="BE298" i="259"/>
  <c r="BE336" i="259"/>
  <c r="BD334" i="259"/>
  <c r="BD336" i="275"/>
  <c r="BD335" i="259"/>
  <c r="BD973" i="259"/>
  <c r="BD333" i="259"/>
  <c r="BD340" i="259"/>
  <c r="BD340" i="275" s="1"/>
  <c r="BD967" i="275"/>
  <c r="BD982" i="259"/>
  <c r="BD982" i="275" s="1"/>
  <c r="BE355" i="259"/>
  <c r="BE353" i="275"/>
  <c r="AH45" i="259"/>
  <c r="AH511" i="275"/>
  <c r="BD1031" i="275"/>
  <c r="BD1033" i="259"/>
  <c r="BD1033" i="275" s="1"/>
  <c r="BD1638" i="259"/>
  <c r="BD1637" i="259" s="1"/>
  <c r="BD275" i="259"/>
  <c r="BD277" i="259" s="1"/>
  <c r="BD298" i="275"/>
  <c r="BD131" i="262"/>
  <c r="BD132" i="275"/>
  <c r="BB157" i="259"/>
  <c r="AI157" i="275"/>
  <c r="AI139" i="259"/>
  <c r="AI1414" i="259"/>
  <c r="AI153" i="259"/>
  <c r="AI159" i="259" s="1"/>
  <c r="AI151" i="275"/>
  <c r="BC281" i="275"/>
  <c r="BE55" i="262"/>
  <c r="BE179" i="262"/>
  <c r="BE836" i="275"/>
  <c r="BE376" i="275"/>
  <c r="BD614" i="259"/>
  <c r="BD614" i="275" s="1"/>
  <c r="BD619" i="275"/>
  <c r="AI1607" i="259"/>
  <c r="AI1606" i="259" s="1"/>
  <c r="BB1606" i="259" s="1"/>
  <c r="AI589" i="259"/>
  <c r="AI582" i="259"/>
  <c r="AI489" i="275"/>
  <c r="AI127" i="262"/>
  <c r="AI51" i="275"/>
  <c r="AH286" i="259"/>
  <c r="AH286" i="275" s="1"/>
  <c r="AH285" i="275"/>
  <c r="BE1225" i="259"/>
  <c r="BE1262" i="259" s="1"/>
  <c r="BE1213" i="259"/>
  <c r="BE359" i="259" s="1"/>
  <c r="BE1260" i="259"/>
  <c r="BE138" i="261" s="1"/>
  <c r="BE360" i="259"/>
  <c r="BE360" i="275" s="1"/>
  <c r="BC275" i="275"/>
  <c r="BC277" i="259"/>
  <c r="AH579" i="259"/>
  <c r="AH579" i="275" s="1"/>
  <c r="AH582" i="275"/>
  <c r="AH281" i="262"/>
  <c r="AH1633" i="259"/>
  <c r="AH292" i="262" s="1"/>
  <c r="AH1632" i="259"/>
  <c r="AH291" i="262" s="1"/>
  <c r="BB363" i="275"/>
  <c r="BD155" i="259"/>
  <c r="BD1178" i="259"/>
  <c r="BD1180" i="259" s="1"/>
  <c r="BD977" i="275"/>
  <c r="BC412" i="275"/>
  <c r="BD412" i="259"/>
  <c r="BC443" i="259"/>
  <c r="BC443" i="275" s="1"/>
  <c r="BC139" i="259"/>
  <c r="BC1414" i="259"/>
  <c r="BC153" i="259"/>
  <c r="BE462" i="259"/>
  <c r="BE1084" i="259" s="1"/>
  <c r="BE453" i="259"/>
  <c r="BE453" i="275" s="1"/>
  <c r="BE451" i="275"/>
  <c r="AF68" i="259"/>
  <c r="AF123" i="275"/>
  <c r="BD968" i="259"/>
  <c r="BD969" i="259" s="1"/>
  <c r="BD969" i="275" s="1"/>
  <c r="BD234" i="259"/>
  <c r="BD234" i="275" s="1"/>
  <c r="BD228" i="275"/>
  <c r="BE228" i="259"/>
  <c r="BD276" i="275"/>
  <c r="BE1018" i="259"/>
  <c r="BE1018" i="275" s="1"/>
  <c r="BE43" i="261"/>
  <c r="BE221" i="275"/>
  <c r="J51" i="276"/>
  <c r="BB141" i="275"/>
  <c r="BD263" i="262"/>
  <c r="BD1686" i="259"/>
  <c r="BC973" i="275"/>
  <c r="BC974" i="259"/>
  <c r="BC974" i="275" s="1"/>
  <c r="BE149" i="259"/>
  <c r="BE175" i="275"/>
  <c r="BE369" i="275"/>
  <c r="BE371" i="259"/>
  <c r="BE371" i="275" s="1"/>
  <c r="AG143" i="259"/>
  <c r="AG142" i="275"/>
  <c r="BC44" i="259"/>
  <c r="BC114" i="275"/>
  <c r="BB140" i="259"/>
  <c r="AI140" i="275"/>
  <c r="BB151" i="259"/>
  <c r="BB151" i="275" s="1"/>
  <c r="BB149" i="275"/>
  <c r="AH135" i="259"/>
  <c r="AH134" i="275"/>
  <c r="AI62" i="259"/>
  <c r="AI121" i="259"/>
  <c r="AI119" i="275"/>
  <c r="BB119" i="259"/>
  <c r="AI37" i="259"/>
  <c r="AI115" i="259"/>
  <c r="AI113" i="275"/>
  <c r="AI511" i="259"/>
  <c r="AI512" i="275"/>
  <c r="BE114" i="259"/>
  <c r="BE44" i="259" s="1"/>
  <c r="BB134" i="259"/>
  <c r="BB130" i="262"/>
  <c r="BE1179" i="259"/>
  <c r="BE156" i="259"/>
  <c r="BE1183" i="259"/>
  <c r="BE1250" i="259"/>
  <c r="BE128" i="261" s="1"/>
  <c r="AH591" i="259"/>
  <c r="AH591" i="275" s="1"/>
  <c r="AH1419" i="259"/>
  <c r="AH1418" i="259" s="1"/>
  <c r="AH589" i="275"/>
  <c r="BE132" i="259"/>
  <c r="BE370" i="275"/>
  <c r="AG1623" i="259"/>
  <c r="AG286" i="262" s="1"/>
  <c r="AG284" i="262"/>
  <c r="AF162" i="259"/>
  <c r="AF124" i="259"/>
  <c r="AF160" i="275"/>
  <c r="AI283" i="275"/>
  <c r="BB283" i="259"/>
  <c r="BB283" i="275" s="1"/>
  <c r="BC968" i="275"/>
  <c r="BC983" i="259"/>
  <c r="BE282" i="259"/>
  <c r="BE282" i="275" s="1"/>
  <c r="BE1200" i="259"/>
  <c r="BE281" i="259" s="1"/>
  <c r="BE1255" i="259"/>
  <c r="BE133" i="261" s="1"/>
  <c r="AG45" i="275"/>
  <c r="BE1685" i="259"/>
  <c r="BE1016" i="275"/>
  <c r="AF1623" i="259"/>
  <c r="AF286" i="262" s="1"/>
  <c r="AF284" i="262"/>
  <c r="BE1031" i="259"/>
  <c r="AG126" i="262"/>
  <c r="AG50" i="275"/>
  <c r="BE447" i="259"/>
  <c r="BE1083" i="259" s="1"/>
  <c r="BE430" i="275"/>
  <c r="BE624" i="275"/>
  <c r="BE162" i="261"/>
  <c r="AI1507" i="259"/>
  <c r="AI279" i="275"/>
  <c r="AH1506" i="259"/>
  <c r="AH117" i="259"/>
  <c r="AH153" i="275"/>
  <c r="BC225" i="275"/>
  <c r="BD225" i="259"/>
  <c r="BB155" i="275"/>
  <c r="BC155" i="275"/>
  <c r="BD283" i="259"/>
  <c r="BD283" i="275" s="1"/>
  <c r="BD281" i="275"/>
  <c r="BE619" i="259"/>
  <c r="BE617" i="275"/>
  <c r="AH37" i="275"/>
  <c r="BB500" i="259"/>
  <c r="AI501" i="259"/>
  <c r="AI504" i="259" s="1"/>
  <c r="AI504" i="275" s="1"/>
  <c r="AI69" i="259"/>
  <c r="AI69" i="275" s="1"/>
  <c r="AI500" i="275"/>
  <c r="AI1613" i="259"/>
  <c r="AI1616" i="259"/>
  <c r="BC357" i="275"/>
  <c r="BB279" i="259"/>
  <c r="K51" i="276"/>
  <c r="BE9" i="264"/>
  <c r="BO8" i="264"/>
  <c r="BO50" i="264"/>
  <c r="BM81" i="264"/>
  <c r="BO81" i="264" s="1"/>
  <c r="BK8" i="264"/>
  <c r="BK50" i="264"/>
  <c r="BI81" i="264"/>
  <c r="BK81" i="264" s="1"/>
  <c r="BA6" i="259"/>
  <c r="BA7" i="277" s="1"/>
  <c r="BA38" i="277" s="1"/>
  <c r="I42" i="276" s="1"/>
  <c r="AD504" i="275"/>
  <c r="BE600" i="259"/>
  <c r="BE598" i="259" s="1"/>
  <c r="AD135" i="262"/>
  <c r="AE504" i="275"/>
  <c r="BC141" i="275"/>
  <c r="BE131" i="259"/>
  <c r="BA286" i="275"/>
  <c r="BA365" i="259"/>
  <c r="BA121" i="261" s="1"/>
  <c r="BA364" i="275"/>
  <c r="T28" i="264"/>
  <c r="AD7" i="275"/>
  <c r="BD114" i="275"/>
  <c r="BD44" i="259"/>
  <c r="BD139" i="259"/>
  <c r="BD1414" i="259"/>
  <c r="BD151" i="275"/>
  <c r="BD153" i="259"/>
  <c r="BA126" i="275"/>
  <c r="AE6" i="275"/>
  <c r="AE134" i="262"/>
  <c r="BC142" i="262"/>
  <c r="BA160" i="275"/>
  <c r="BA161" i="259"/>
  <c r="BA119" i="261" s="1"/>
  <c r="BC161" i="259" s="1"/>
  <c r="P36" i="264"/>
  <c r="N50" i="264"/>
  <c r="BB582" i="275"/>
  <c r="BB489" i="275"/>
  <c r="BA1420" i="259"/>
  <c r="BA332" i="261" s="1"/>
  <c r="AE284" i="262"/>
  <c r="AE1623" i="259"/>
  <c r="AE286" i="262" s="1"/>
  <c r="AE1621" i="259"/>
  <c r="AD284" i="262"/>
  <c r="AD1621" i="259"/>
  <c r="AD1623" i="259"/>
  <c r="AD286" i="262" s="1"/>
  <c r="AC135" i="262"/>
  <c r="J74" i="276"/>
  <c r="BB51" i="275"/>
  <c r="BB127" i="262"/>
  <c r="AE506" i="275"/>
  <c r="AE7" i="259"/>
  <c r="AE600" i="259"/>
  <c r="BA504" i="259"/>
  <c r="BA283" i="262"/>
  <c r="BA1659" i="259"/>
  <c r="AZ501" i="275"/>
  <c r="AZ502" i="259"/>
  <c r="AZ1620" i="259"/>
  <c r="AC285" i="262"/>
  <c r="AC1627" i="259"/>
  <c r="AC288" i="262" s="1"/>
  <c r="BB512" i="275"/>
  <c r="BA69" i="275"/>
  <c r="I72" i="276"/>
  <c r="AC600" i="275"/>
  <c r="AC598" i="259"/>
  <c r="AE1329" i="259"/>
  <c r="AE1293" i="259" s="1"/>
  <c r="AE251" i="262"/>
  <c r="AE252" i="262"/>
  <c r="BA245" i="262"/>
  <c r="BA246" i="262"/>
  <c r="BE29" i="267"/>
  <c r="BG3" i="267"/>
  <c r="BE91" i="267"/>
  <c r="BB44" i="267"/>
  <c r="BC4" i="267"/>
  <c r="AE1324" i="259"/>
  <c r="BA1324" i="259" s="1"/>
  <c r="BD365" i="259"/>
  <c r="BA1338" i="259"/>
  <c r="BA316" i="261" s="1"/>
  <c r="BA1339" i="259"/>
  <c r="BA238" i="262" s="1"/>
  <c r="BA1321" i="259"/>
  <c r="BE1686" i="259" l="1"/>
  <c r="Z70" i="264"/>
  <c r="AB70" i="264" s="1"/>
  <c r="K74" i="276"/>
  <c r="BC1656" i="259"/>
  <c r="BC1613" i="259"/>
  <c r="BC589" i="259"/>
  <c r="BC591" i="259" s="1"/>
  <c r="BC494" i="275"/>
  <c r="BC1607" i="259"/>
  <c r="BC1606" i="259" s="1"/>
  <c r="BC582" i="259"/>
  <c r="BC582" i="275" s="1"/>
  <c r="BC489" i="275"/>
  <c r="BC51" i="275"/>
  <c r="BC500" i="275"/>
  <c r="BC501" i="259"/>
  <c r="BC506" i="259" s="1"/>
  <c r="BC1510" i="259"/>
  <c r="Z43" i="264" s="1"/>
  <c r="AB43" i="264" s="1"/>
  <c r="BC57" i="259"/>
  <c r="K76" i="276" s="1"/>
  <c r="V28" i="264"/>
  <c r="X28" i="264" s="1"/>
  <c r="BC1617" i="259"/>
  <c r="BC281" i="262" s="1"/>
  <c r="BC45" i="259"/>
  <c r="BC512" i="275"/>
  <c r="X27" i="264"/>
  <c r="V70" i="264"/>
  <c r="X70" i="264" s="1"/>
  <c r="X56" i="264"/>
  <c r="AG600" i="275"/>
  <c r="AD600" i="275"/>
  <c r="AG7" i="275"/>
  <c r="BC44" i="275"/>
  <c r="BE905" i="259"/>
  <c r="BD905" i="275"/>
  <c r="BD906" i="259"/>
  <c r="BD906" i="275" s="1"/>
  <c r="BE293" i="275"/>
  <c r="N8" i="264"/>
  <c r="P8" i="264" s="1"/>
  <c r="J10" i="273"/>
  <c r="BB494" i="275"/>
  <c r="BA134" i="262"/>
  <c r="AI506" i="259"/>
  <c r="AI7" i="259" s="1"/>
  <c r="BD979" i="259"/>
  <c r="BD979" i="275" s="1"/>
  <c r="AI288" i="259"/>
  <c r="AI308" i="259" s="1"/>
  <c r="AI308" i="275" s="1"/>
  <c r="BA6" i="275"/>
  <c r="AI366" i="259"/>
  <c r="AI366" i="275" s="1"/>
  <c r="AF1324" i="259"/>
  <c r="AF251" i="262"/>
  <c r="AF252" i="262"/>
  <c r="AG1318" i="259"/>
  <c r="AF1329" i="259"/>
  <c r="AF1293" i="259" s="1"/>
  <c r="AF242" i="262" s="1"/>
  <c r="AI160" i="259"/>
  <c r="AI162" i="259" s="1"/>
  <c r="AI123" i="259"/>
  <c r="AI159" i="275"/>
  <c r="BB159" i="259"/>
  <c r="BD277" i="275"/>
  <c r="BD140" i="259"/>
  <c r="BD279" i="259"/>
  <c r="BD285" i="259" s="1"/>
  <c r="AG126" i="259"/>
  <c r="AG162" i="275"/>
  <c r="BB504" i="259"/>
  <c r="AH504" i="275"/>
  <c r="AH56" i="259"/>
  <c r="AH1505" i="259"/>
  <c r="AH112" i="261" s="1"/>
  <c r="AH117" i="275"/>
  <c r="BE155" i="259"/>
  <c r="BE1178" i="259"/>
  <c r="BE1180" i="259" s="1"/>
  <c r="AI45" i="259"/>
  <c r="AI511" i="275"/>
  <c r="BB511" i="259"/>
  <c r="BC511" i="275" s="1"/>
  <c r="AI121" i="275"/>
  <c r="BB121" i="259"/>
  <c r="BB140" i="275"/>
  <c r="J52" i="276"/>
  <c r="BE149" i="275"/>
  <c r="BE151" i="259"/>
  <c r="BD968" i="275"/>
  <c r="BD983" i="259"/>
  <c r="BC151" i="275"/>
  <c r="BD412" i="275"/>
  <c r="BE412" i="259"/>
  <c r="BD443" i="259"/>
  <c r="BD443" i="275" s="1"/>
  <c r="AI1419" i="259"/>
  <c r="AI1418" i="259" s="1"/>
  <c r="BB1418" i="259" s="1"/>
  <c r="AI591" i="259"/>
  <c r="AI591" i="275" s="1"/>
  <c r="AI589" i="275"/>
  <c r="BB1414" i="259"/>
  <c r="AH45" i="275"/>
  <c r="BE333" i="259"/>
  <c r="BE333" i="275" s="1"/>
  <c r="BD333" i="275"/>
  <c r="BE334" i="259"/>
  <c r="BE334" i="275" s="1"/>
  <c r="BD334" i="275"/>
  <c r="BE978" i="259"/>
  <c r="BE978" i="275" s="1"/>
  <c r="BE414" i="275"/>
  <c r="BE418" i="259"/>
  <c r="BE418" i="275" s="1"/>
  <c r="AI139" i="262"/>
  <c r="AI57" i="275"/>
  <c r="AH126" i="262"/>
  <c r="AH50" i="275"/>
  <c r="AF598" i="259"/>
  <c r="AF598" i="275" s="1"/>
  <c r="AF600" i="275"/>
  <c r="BC445" i="259"/>
  <c r="BC445" i="275" s="1"/>
  <c r="BC442" i="275"/>
  <c r="AF1339" i="259"/>
  <c r="AF238" i="262" s="1"/>
  <c r="Z27" i="264"/>
  <c r="BC135" i="259"/>
  <c r="BC134" i="275"/>
  <c r="AH68" i="259"/>
  <c r="AH123" i="275"/>
  <c r="BB1507" i="259"/>
  <c r="BB114" i="261" s="1"/>
  <c r="BB279" i="275"/>
  <c r="AI1620" i="259"/>
  <c r="AI501" i="275"/>
  <c r="BD225" i="275"/>
  <c r="BE225" i="259"/>
  <c r="BE225" i="275" s="1"/>
  <c r="BC983" i="275"/>
  <c r="BC984" i="259"/>
  <c r="BC984" i="275" s="1"/>
  <c r="BE120" i="259"/>
  <c r="BE120" i="275" s="1"/>
  <c r="BE156" i="275"/>
  <c r="R27" i="264"/>
  <c r="AI37" i="275"/>
  <c r="BB62" i="259"/>
  <c r="AI142" i="262"/>
  <c r="AI62" i="275"/>
  <c r="BE228" i="275"/>
  <c r="BE968" i="259"/>
  <c r="BE968" i="275" s="1"/>
  <c r="BE234" i="259"/>
  <c r="BE234" i="275" s="1"/>
  <c r="BD155" i="275"/>
  <c r="BD157" i="259"/>
  <c r="BD157" i="275" s="1"/>
  <c r="BD119" i="259"/>
  <c r="BC277" i="275"/>
  <c r="BC140" i="259"/>
  <c r="BC142" i="259" s="1"/>
  <c r="BC279" i="259"/>
  <c r="BC285" i="259" s="1"/>
  <c r="BE361" i="259"/>
  <c r="BE361" i="275" s="1"/>
  <c r="BE359" i="275"/>
  <c r="AI142" i="259"/>
  <c r="AI142" i="275" s="1"/>
  <c r="AI139" i="275"/>
  <c r="BD974" i="259"/>
  <c r="BD974" i="275" s="1"/>
  <c r="BD973" i="275"/>
  <c r="BE340" i="259"/>
  <c r="BE340" i="275" s="1"/>
  <c r="BE973" i="259"/>
  <c r="BE336" i="275"/>
  <c r="AG138" i="262"/>
  <c r="AG56" i="275"/>
  <c r="BB1510" i="259"/>
  <c r="BB1617" i="259"/>
  <c r="BB281" i="262" s="1"/>
  <c r="BC283" i="275"/>
  <c r="BB139" i="259"/>
  <c r="BC139" i="275" s="1"/>
  <c r="AF135" i="262"/>
  <c r="AF7" i="275"/>
  <c r="AH283" i="262"/>
  <c r="BE977" i="275"/>
  <c r="BE411" i="259"/>
  <c r="BD411" i="275"/>
  <c r="BD442" i="259"/>
  <c r="BB285" i="275"/>
  <c r="BE226" i="259"/>
  <c r="BE226" i="275" s="1"/>
  <c r="BC115" i="275"/>
  <c r="BC1415" i="259"/>
  <c r="BC1416" i="259" s="1"/>
  <c r="BC331" i="261" s="1"/>
  <c r="BC50" i="259"/>
  <c r="AH124" i="259"/>
  <c r="AH160" i="275"/>
  <c r="BE614" i="259"/>
  <c r="BE614" i="275" s="1"/>
  <c r="BE619" i="275"/>
  <c r="AF125" i="259"/>
  <c r="AF118" i="261" s="1"/>
  <c r="AF124" i="275"/>
  <c r="BE1266" i="259"/>
  <c r="BE150" i="262" s="1"/>
  <c r="BE146" i="262"/>
  <c r="BB119" i="275"/>
  <c r="BC119" i="275"/>
  <c r="BE262" i="262"/>
  <c r="BE154" i="262"/>
  <c r="AH288" i="259"/>
  <c r="BD275" i="275"/>
  <c r="BD113" i="259"/>
  <c r="BE335" i="259"/>
  <c r="BE335" i="275" s="1"/>
  <c r="BD335" i="275"/>
  <c r="BE275" i="259"/>
  <c r="BE298" i="275"/>
  <c r="BD479" i="275"/>
  <c r="BD487" i="259"/>
  <c r="BE413" i="259"/>
  <c r="BD413" i="275"/>
  <c r="BD444" i="259"/>
  <c r="BD444" i="275" s="1"/>
  <c r="AG68" i="259"/>
  <c r="AG123" i="275"/>
  <c r="BE291" i="275"/>
  <c r="BE479" i="259"/>
  <c r="BE487" i="259" s="1"/>
  <c r="BE476" i="275"/>
  <c r="AG308" i="259"/>
  <c r="AG308" i="275" s="1"/>
  <c r="AG288" i="275"/>
  <c r="AH506" i="259"/>
  <c r="AH1620" i="259"/>
  <c r="AH501" i="275"/>
  <c r="AF245" i="262"/>
  <c r="AF246" i="262"/>
  <c r="AF1338" i="259"/>
  <c r="BB135" i="259"/>
  <c r="BB115" i="275"/>
  <c r="AI280" i="262"/>
  <c r="AI1619" i="259"/>
  <c r="BE1033" i="259"/>
  <c r="BE1033" i="275" s="1"/>
  <c r="BE1638" i="259"/>
  <c r="BE1637" i="259" s="1"/>
  <c r="BE1031" i="275"/>
  <c r="BE281" i="275"/>
  <c r="BE283" i="259"/>
  <c r="BE283" i="275" s="1"/>
  <c r="AF126" i="259"/>
  <c r="AF162" i="275"/>
  <c r="BE131" i="262"/>
  <c r="BE132" i="275"/>
  <c r="AI50" i="259"/>
  <c r="AI1415" i="259"/>
  <c r="AI1416" i="259" s="1"/>
  <c r="AI331" i="261" s="1"/>
  <c r="AI115" i="275"/>
  <c r="AF68" i="275"/>
  <c r="BC1506" i="259"/>
  <c r="BC159" i="259"/>
  <c r="BC160" i="259" s="1"/>
  <c r="AI579" i="259"/>
  <c r="AI579" i="275" s="1"/>
  <c r="AI582" i="275"/>
  <c r="AI117" i="259"/>
  <c r="AI1506" i="259"/>
  <c r="AI153" i="275"/>
  <c r="BB153" i="259"/>
  <c r="BB157" i="275"/>
  <c r="BC157" i="275"/>
  <c r="BE357" i="259"/>
  <c r="BE1508" i="259" s="1"/>
  <c r="BE141" i="259"/>
  <c r="BE355" i="275"/>
  <c r="AI135" i="259"/>
  <c r="AI134" i="275"/>
  <c r="BD432" i="275"/>
  <c r="BD131" i="259"/>
  <c r="BE131" i="275" s="1"/>
  <c r="AG124" i="259"/>
  <c r="AG160" i="275"/>
  <c r="BE982" i="259"/>
  <c r="BE967" i="275"/>
  <c r="AI281" i="262"/>
  <c r="AI1632" i="259"/>
  <c r="AI291" i="262" s="1"/>
  <c r="AI1633" i="259"/>
  <c r="AI292" i="262" s="1"/>
  <c r="BD355" i="275"/>
  <c r="BD357" i="259"/>
  <c r="BD141" i="259"/>
  <c r="BD141" i="275" s="1"/>
  <c r="AH143" i="259"/>
  <c r="AH142" i="275"/>
  <c r="AG285" i="262"/>
  <c r="AG1627" i="259"/>
  <c r="AG288" i="262" s="1"/>
  <c r="BD227" i="275"/>
  <c r="BE227" i="259"/>
  <c r="BE227" i="275" s="1"/>
  <c r="AH386" i="259"/>
  <c r="AH386" i="275" s="1"/>
  <c r="AH366" i="275"/>
  <c r="BB69" i="259"/>
  <c r="BC69" i="275" s="1"/>
  <c r="AH69" i="275"/>
  <c r="BE114" i="275"/>
  <c r="BB37" i="275"/>
  <c r="BC37" i="275"/>
  <c r="AH162" i="275"/>
  <c r="BM9" i="264"/>
  <c r="BG9" i="264"/>
  <c r="AC598" i="275"/>
  <c r="AG598" i="275"/>
  <c r="AD598" i="275"/>
  <c r="BE130" i="262"/>
  <c r="BE134" i="259"/>
  <c r="BD44" i="275"/>
  <c r="BE44" i="275"/>
  <c r="R50" i="264"/>
  <c r="T50" i="264" s="1"/>
  <c r="BD1506" i="259"/>
  <c r="BD153" i="275"/>
  <c r="BD159" i="259"/>
  <c r="BD139" i="275"/>
  <c r="AE598" i="259"/>
  <c r="AE600" i="275"/>
  <c r="AD285" i="262"/>
  <c r="AD1627" i="259"/>
  <c r="AD288" i="262" s="1"/>
  <c r="BA1546" i="259"/>
  <c r="BA506" i="259"/>
  <c r="BA504" i="275"/>
  <c r="AE7" i="275"/>
  <c r="BA7" i="259"/>
  <c r="AE135" i="262"/>
  <c r="BB500" i="275"/>
  <c r="AZ284" i="262"/>
  <c r="AZ1623" i="259"/>
  <c r="AZ286" i="262" s="1"/>
  <c r="AZ1621" i="259"/>
  <c r="AZ1660" i="259"/>
  <c r="AE1627" i="259"/>
  <c r="AE288" i="262" s="1"/>
  <c r="AE285" i="262"/>
  <c r="BB280" i="262"/>
  <c r="J76" i="276"/>
  <c r="BB139" i="262"/>
  <c r="BB57" i="275"/>
  <c r="AZ213" i="261"/>
  <c r="AZ502" i="275"/>
  <c r="BB589" i="275"/>
  <c r="BB591" i="275"/>
  <c r="P50" i="264"/>
  <c r="N81" i="264"/>
  <c r="P81" i="264" s="1"/>
  <c r="AE1326" i="259"/>
  <c r="BA1329" i="259"/>
  <c r="BA1293" i="259"/>
  <c r="AE242" i="262"/>
  <c r="BA251" i="262"/>
  <c r="BF29" i="267"/>
  <c r="BC44" i="267"/>
  <c r="BD4" i="267"/>
  <c r="BH3" i="267"/>
  <c r="BF91" i="267"/>
  <c r="BC365" i="259"/>
  <c r="BC364" i="259" s="1"/>
  <c r="BC589" i="275" l="1"/>
  <c r="BC1419" i="259"/>
  <c r="V43" i="264"/>
  <c r="X43" i="264" s="1"/>
  <c r="BC1619" i="259"/>
  <c r="BC283" i="262" s="1"/>
  <c r="BC1620" i="259"/>
  <c r="BC284" i="262" s="1"/>
  <c r="BC139" i="262"/>
  <c r="BC57" i="275"/>
  <c r="Z36" i="264"/>
  <c r="AB36" i="264" s="1"/>
  <c r="BC504" i="259"/>
  <c r="BC1657" i="259"/>
  <c r="BC1633" i="259"/>
  <c r="BC292" i="262" s="1"/>
  <c r="V36" i="264"/>
  <c r="X36" i="264" s="1"/>
  <c r="BC1632" i="259"/>
  <c r="BC291" i="262" s="1"/>
  <c r="V29" i="264"/>
  <c r="X29" i="264" s="1"/>
  <c r="BE969" i="259"/>
  <c r="BE969" i="275" s="1"/>
  <c r="AI288" i="275"/>
  <c r="AI143" i="259"/>
  <c r="AI600" i="259"/>
  <c r="AI598" i="259" s="1"/>
  <c r="AI598" i="275" s="1"/>
  <c r="BB1419" i="259"/>
  <c r="BB1420" i="259" s="1"/>
  <c r="BB332" i="261" s="1"/>
  <c r="BC332" i="261" s="1"/>
  <c r="BC1420" i="259" s="1"/>
  <c r="BE905" i="275"/>
  <c r="BE906" i="259"/>
  <c r="BE906" i="275" s="1"/>
  <c r="BB288" i="259"/>
  <c r="BB1542" i="259" s="1"/>
  <c r="BE979" i="259"/>
  <c r="BE979" i="275" s="1"/>
  <c r="AI135" i="262"/>
  <c r="AI7" i="275"/>
  <c r="BB511" i="275"/>
  <c r="BD117" i="259"/>
  <c r="AH126" i="259"/>
  <c r="AH126" i="275" s="1"/>
  <c r="BB366" i="259"/>
  <c r="BB364" i="259" s="1"/>
  <c r="BC364" i="275" s="1"/>
  <c r="AI386" i="259"/>
  <c r="AI386" i="275" s="1"/>
  <c r="AI506" i="275"/>
  <c r="BE479" i="275"/>
  <c r="BE363" i="259"/>
  <c r="BE364" i="259" s="1"/>
  <c r="BE366" i="259" s="1"/>
  <c r="BC162" i="259"/>
  <c r="BC286" i="259"/>
  <c r="BC124" i="259" s="1"/>
  <c r="BC285" i="275"/>
  <c r="BD286" i="259"/>
  <c r="BD288" i="259" s="1"/>
  <c r="BD285" i="275"/>
  <c r="BC143" i="259"/>
  <c r="AI126" i="259"/>
  <c r="AI162" i="275"/>
  <c r="BB162" i="259"/>
  <c r="BB160" i="259" s="1"/>
  <c r="AE250" i="262"/>
  <c r="BM33" i="263"/>
  <c r="BM20" i="264" s="1"/>
  <c r="BE357" i="275"/>
  <c r="BD363" i="259"/>
  <c r="BD123" i="259" s="1"/>
  <c r="BD357" i="275"/>
  <c r="BD1508" i="259"/>
  <c r="BE141" i="275"/>
  <c r="AI1505" i="259"/>
  <c r="AI112" i="261" s="1"/>
  <c r="AI56" i="259"/>
  <c r="BB56" i="259" s="1"/>
  <c r="AI117" i="275"/>
  <c r="BC117" i="259"/>
  <c r="AI283" i="262"/>
  <c r="AI1621" i="259"/>
  <c r="AH7" i="259"/>
  <c r="AH600" i="259"/>
  <c r="AH506" i="275"/>
  <c r="BE413" i="275"/>
  <c r="BE444" i="259"/>
  <c r="BE444" i="275" s="1"/>
  <c r="BD113" i="275"/>
  <c r="BD37" i="259"/>
  <c r="BD37" i="275" s="1"/>
  <c r="BD115" i="259"/>
  <c r="BC126" i="262"/>
  <c r="BE411" i="275"/>
  <c r="BE442" i="259"/>
  <c r="BB142" i="259"/>
  <c r="BB139" i="275"/>
  <c r="BE983" i="259"/>
  <c r="BE983" i="275" s="1"/>
  <c r="BE973" i="275"/>
  <c r="BE974" i="259"/>
  <c r="BE974" i="275" s="1"/>
  <c r="BB117" i="259"/>
  <c r="AH68" i="275"/>
  <c r="BE153" i="259"/>
  <c r="BE151" i="275"/>
  <c r="BE139" i="259"/>
  <c r="BE1414" i="259"/>
  <c r="BE157" i="259"/>
  <c r="BE157" i="275" s="1"/>
  <c r="BE155" i="275"/>
  <c r="BE119" i="259"/>
  <c r="BD140" i="275"/>
  <c r="BD142" i="259"/>
  <c r="BD142" i="275" s="1"/>
  <c r="AG125" i="259"/>
  <c r="AG118" i="261" s="1"/>
  <c r="AG124" i="275"/>
  <c r="BB1506" i="259"/>
  <c r="BB113" i="261" s="1"/>
  <c r="BB153" i="275"/>
  <c r="BC153" i="275"/>
  <c r="AI126" i="262"/>
  <c r="AI50" i="275"/>
  <c r="BE512" i="259"/>
  <c r="BE511" i="259" s="1"/>
  <c r="BE1614" i="259"/>
  <c r="BE489" i="259"/>
  <c r="BE494" i="259"/>
  <c r="BE500" i="259" s="1"/>
  <c r="BE51" i="259"/>
  <c r="BE492" i="259"/>
  <c r="AG68" i="275"/>
  <c r="BE487" i="275"/>
  <c r="BD492" i="259"/>
  <c r="BD492" i="275" s="1"/>
  <c r="BD51" i="259"/>
  <c r="BD489" i="259"/>
  <c r="BD494" i="259"/>
  <c r="BD487" i="275"/>
  <c r="BD512" i="259"/>
  <c r="BD1614" i="259"/>
  <c r="BE277" i="259"/>
  <c r="BE275" i="275"/>
  <c r="BD62" i="259"/>
  <c r="BD121" i="259"/>
  <c r="BD121" i="275" s="1"/>
  <c r="BD119" i="275"/>
  <c r="BB50" i="259"/>
  <c r="K46" i="276" s="1"/>
  <c r="K47" i="276" s="1"/>
  <c r="AB27" i="264"/>
  <c r="Z29" i="264"/>
  <c r="AB29" i="264" s="1"/>
  <c r="BE113" i="259"/>
  <c r="BB121" i="275"/>
  <c r="BC121" i="275"/>
  <c r="AG6" i="259"/>
  <c r="AG126" i="275"/>
  <c r="BD134" i="259"/>
  <c r="BE134" i="275" s="1"/>
  <c r="BD131" i="275"/>
  <c r="BD130" i="262"/>
  <c r="AF6" i="259"/>
  <c r="AF126" i="275"/>
  <c r="AH308" i="259"/>
  <c r="AH308" i="275" s="1"/>
  <c r="AH288" i="275"/>
  <c r="BD442" i="275"/>
  <c r="BD445" i="259"/>
  <c r="BD445" i="275" s="1"/>
  <c r="BB1657" i="259"/>
  <c r="BB1633" i="259"/>
  <c r="BB292" i="262" s="1"/>
  <c r="BB1632" i="259"/>
  <c r="BB291" i="262" s="1"/>
  <c r="BB1619" i="259"/>
  <c r="BB283" i="262" s="1"/>
  <c r="BC279" i="275"/>
  <c r="BC1507" i="259"/>
  <c r="R56" i="264"/>
  <c r="BB142" i="262"/>
  <c r="BB62" i="275"/>
  <c r="BC62" i="275"/>
  <c r="BB1415" i="259"/>
  <c r="BB1416" i="259" s="1"/>
  <c r="BB331" i="261" s="1"/>
  <c r="BD984" i="259"/>
  <c r="BD984" i="275" s="1"/>
  <c r="BD983" i="275"/>
  <c r="AI45" i="275"/>
  <c r="AI68" i="259"/>
  <c r="AI123" i="275"/>
  <c r="BB123" i="259"/>
  <c r="BB123" i="275" s="1"/>
  <c r="AF1326" i="259"/>
  <c r="BE982" i="275"/>
  <c r="BC159" i="275"/>
  <c r="BC123" i="259"/>
  <c r="AH284" i="262"/>
  <c r="AH1623" i="259"/>
  <c r="AH286" i="262" s="1"/>
  <c r="AH125" i="259"/>
  <c r="AH118" i="261" s="1"/>
  <c r="AH124" i="275"/>
  <c r="AH1621" i="259"/>
  <c r="BB210" i="261"/>
  <c r="R43" i="264"/>
  <c r="T43" i="264" s="1"/>
  <c r="BC140" i="275"/>
  <c r="K52" i="276"/>
  <c r="T27" i="264"/>
  <c r="R29" i="264"/>
  <c r="T29" i="264" s="1"/>
  <c r="AI1623" i="259"/>
  <c r="AI286" i="262" s="1"/>
  <c r="AI284" i="262"/>
  <c r="BE412" i="275"/>
  <c r="BE443" i="259"/>
  <c r="BE443" i="275" s="1"/>
  <c r="BB45" i="259"/>
  <c r="BC45" i="275" s="1"/>
  <c r="BB579" i="259"/>
  <c r="BC579" i="275" s="1"/>
  <c r="AH138" i="262"/>
  <c r="AH56" i="275"/>
  <c r="BB506" i="259"/>
  <c r="BC506" i="275" s="1"/>
  <c r="BB1546" i="259"/>
  <c r="BD1507" i="259"/>
  <c r="BD279" i="275"/>
  <c r="BB159" i="275"/>
  <c r="AI124" i="259"/>
  <c r="AI160" i="275"/>
  <c r="AG1319" i="259"/>
  <c r="BO9" i="264"/>
  <c r="AE598" i="275"/>
  <c r="R81" i="264"/>
  <c r="T81" i="264" s="1"/>
  <c r="BA242" i="262"/>
  <c r="BD159" i="275"/>
  <c r="BD160" i="259"/>
  <c r="BB69" i="275"/>
  <c r="J72" i="276"/>
  <c r="BA506" i="275"/>
  <c r="BA501" i="259"/>
  <c r="BA1547" i="259"/>
  <c r="AZ285" i="262"/>
  <c r="AZ1661" i="259"/>
  <c r="AZ1627" i="259"/>
  <c r="AZ288" i="262" s="1"/>
  <c r="BB504" i="275"/>
  <c r="BC591" i="275"/>
  <c r="K72" i="276"/>
  <c r="BA8" i="277"/>
  <c r="BA39" i="277" s="1"/>
  <c r="I70" i="276" s="1"/>
  <c r="N9" i="264"/>
  <c r="P9" i="264" s="1"/>
  <c r="BA135" i="262"/>
  <c r="BC7" i="259"/>
  <c r="V9" i="264" s="1"/>
  <c r="BA1326" i="259"/>
  <c r="E35" i="272" s="1"/>
  <c r="AE123" i="262"/>
  <c r="BG29" i="267"/>
  <c r="BI3" i="267"/>
  <c r="BG91" i="267"/>
  <c r="BD44" i="267"/>
  <c r="BE4" i="267"/>
  <c r="BC366" i="259"/>
  <c r="BC1659" i="259" l="1"/>
  <c r="BC1418" i="259"/>
  <c r="BC1660" i="259"/>
  <c r="BC1623" i="259"/>
  <c r="BC286" i="262" s="1"/>
  <c r="BC1621" i="259"/>
  <c r="BC285" i="262" s="1"/>
  <c r="Z50" i="264"/>
  <c r="Z81" i="264" s="1"/>
  <c r="AB81" i="264" s="1"/>
  <c r="V50" i="264"/>
  <c r="X50" i="264" s="1"/>
  <c r="BB1543" i="259"/>
  <c r="X9" i="264"/>
  <c r="AI600" i="275"/>
  <c r="BD1505" i="259"/>
  <c r="BD112" i="261" s="1"/>
  <c r="BD56" i="259"/>
  <c r="BD138" i="262" s="1"/>
  <c r="BB366" i="275"/>
  <c r="BC162" i="275"/>
  <c r="BB579" i="275"/>
  <c r="AH6" i="259"/>
  <c r="AH134" i="262" s="1"/>
  <c r="BD143" i="259"/>
  <c r="BB126" i="259"/>
  <c r="BB1544" i="259" s="1"/>
  <c r="BD117" i="275"/>
  <c r="BB288" i="275"/>
  <c r="BD332" i="261"/>
  <c r="BD1420" i="259" s="1"/>
  <c r="BB286" i="259"/>
  <c r="BB287" i="259" s="1"/>
  <c r="BB120" i="261" s="1"/>
  <c r="BE984" i="259"/>
  <c r="BE984" i="275" s="1"/>
  <c r="AI68" i="275"/>
  <c r="AG134" i="262"/>
  <c r="AG6" i="275"/>
  <c r="BB1547" i="259"/>
  <c r="BB501" i="259"/>
  <c r="BB501" i="275" s="1"/>
  <c r="AF123" i="262"/>
  <c r="AF250" i="262"/>
  <c r="BB1659" i="259"/>
  <c r="BE140" i="259"/>
  <c r="BE140" i="275" s="1"/>
  <c r="BE279" i="259"/>
  <c r="BE285" i="259" s="1"/>
  <c r="BE277" i="275"/>
  <c r="BE494" i="275"/>
  <c r="BD1617" i="259"/>
  <c r="BD1510" i="259"/>
  <c r="BD500" i="259"/>
  <c r="BD494" i="275"/>
  <c r="BD57" i="259"/>
  <c r="BE492" i="275"/>
  <c r="BE1616" i="259"/>
  <c r="BE1613" i="259"/>
  <c r="BE159" i="259"/>
  <c r="BE153" i="275"/>
  <c r="BE1506" i="259"/>
  <c r="BB142" i="275"/>
  <c r="BB143" i="259"/>
  <c r="AH598" i="259"/>
  <c r="AH598" i="275" s="1"/>
  <c r="AH600" i="275"/>
  <c r="BC117" i="275"/>
  <c r="BC1505" i="259"/>
  <c r="V42" i="264" s="1"/>
  <c r="X42" i="264" s="1"/>
  <c r="BC56" i="259"/>
  <c r="V35" i="264" s="1"/>
  <c r="BE363" i="275"/>
  <c r="BD364" i="259"/>
  <c r="BD366" i="259" s="1"/>
  <c r="BD363" i="275"/>
  <c r="BB1541" i="259"/>
  <c r="BB162" i="275"/>
  <c r="BC142" i="275"/>
  <c r="AG1339" i="259"/>
  <c r="AG238" i="262" s="1"/>
  <c r="AG245" i="262"/>
  <c r="AG246" i="262"/>
  <c r="AG1338" i="259"/>
  <c r="BB161" i="259"/>
  <c r="BB119" i="261" s="1"/>
  <c r="BB160" i="275"/>
  <c r="AI125" i="259"/>
  <c r="AI118" i="261" s="1"/>
  <c r="AI124" i="275"/>
  <c r="BB124" i="259"/>
  <c r="R35" i="264"/>
  <c r="BB56" i="275"/>
  <c r="J54" i="276"/>
  <c r="BB138" i="262"/>
  <c r="R70" i="264"/>
  <c r="T70" i="264" s="1"/>
  <c r="T56" i="264"/>
  <c r="BD134" i="275"/>
  <c r="BD135" i="259"/>
  <c r="BD1613" i="259"/>
  <c r="BD1616" i="259"/>
  <c r="BE489" i="275"/>
  <c r="BD489" i="275"/>
  <c r="BD589" i="259"/>
  <c r="BD582" i="259"/>
  <c r="BD582" i="275" s="1"/>
  <c r="BD1607" i="259"/>
  <c r="BD1606" i="259" s="1"/>
  <c r="BE127" i="262"/>
  <c r="BE51" i="275"/>
  <c r="BE579" i="259"/>
  <c r="BE45" i="259"/>
  <c r="BE445" i="259"/>
  <c r="BE445" i="275" s="1"/>
  <c r="BE442" i="275"/>
  <c r="AH135" i="262"/>
  <c r="AH7" i="275"/>
  <c r="BB7" i="259"/>
  <c r="R9" i="264" s="1"/>
  <c r="T9" i="264" s="1"/>
  <c r="AG1321" i="259"/>
  <c r="BB45" i="275"/>
  <c r="AH285" i="262"/>
  <c r="AH1627" i="259"/>
  <c r="AH288" i="262" s="1"/>
  <c r="AF134" i="262"/>
  <c r="AF6" i="275"/>
  <c r="BD62" i="275"/>
  <c r="BD142" i="262"/>
  <c r="BE512" i="275"/>
  <c r="BD511" i="259"/>
  <c r="BD512" i="275"/>
  <c r="BD51" i="275"/>
  <c r="BD127" i="262"/>
  <c r="BE1510" i="259"/>
  <c r="BE57" i="259"/>
  <c r="BE1617" i="259"/>
  <c r="BE62" i="259"/>
  <c r="BE121" i="259"/>
  <c r="BE121" i="275" s="1"/>
  <c r="BE119" i="275"/>
  <c r="BE139" i="275"/>
  <c r="BD115" i="275"/>
  <c r="BD1415" i="259"/>
  <c r="BD1416" i="259" s="1"/>
  <c r="BD331" i="261" s="1"/>
  <c r="BD50" i="259"/>
  <c r="AI1627" i="259"/>
  <c r="AI288" i="262" s="1"/>
  <c r="AI285" i="262"/>
  <c r="AI138" i="262"/>
  <c r="AI56" i="275"/>
  <c r="BB365" i="259"/>
  <c r="BB121" i="261" s="1"/>
  <c r="BB364" i="275"/>
  <c r="AI6" i="259"/>
  <c r="AI126" i="275"/>
  <c r="BC288" i="259"/>
  <c r="BC288" i="275" s="1"/>
  <c r="BC68" i="259"/>
  <c r="BC123" i="275"/>
  <c r="BE115" i="259"/>
  <c r="BE113" i="275"/>
  <c r="BE37" i="259"/>
  <c r="BE37" i="275" s="1"/>
  <c r="BB126" i="262"/>
  <c r="BB50" i="275"/>
  <c r="J46" i="276"/>
  <c r="J47" i="276" s="1"/>
  <c r="BE501" i="259"/>
  <c r="BE504" i="259" s="1"/>
  <c r="BE69" i="259"/>
  <c r="BE589" i="259"/>
  <c r="BE1607" i="259"/>
  <c r="BE1606" i="259" s="1"/>
  <c r="BE582" i="259"/>
  <c r="BB1505" i="259"/>
  <c r="BB117" i="275"/>
  <c r="BC50" i="275"/>
  <c r="BB68" i="259"/>
  <c r="BD286" i="275"/>
  <c r="BC160" i="275"/>
  <c r="BC366" i="275"/>
  <c r="BC125" i="259"/>
  <c r="BC118" i="261" s="1"/>
  <c r="BD68" i="259"/>
  <c r="BD123" i="275"/>
  <c r="BD162" i="259"/>
  <c r="BD160" i="275"/>
  <c r="BC8" i="277"/>
  <c r="BC39" i="277" s="1"/>
  <c r="K70" i="276" s="1"/>
  <c r="Z9" i="264"/>
  <c r="AB9" i="264" s="1"/>
  <c r="BC504" i="275"/>
  <c r="BB506" i="275"/>
  <c r="BA501" i="275"/>
  <c r="BA502" i="259"/>
  <c r="BA1620" i="259"/>
  <c r="BC135" i="262"/>
  <c r="BA250" i="262"/>
  <c r="BA123" i="262"/>
  <c r="BA1325" i="259"/>
  <c r="N33" i="263"/>
  <c r="BH29" i="267"/>
  <c r="BI29" i="267" s="1"/>
  <c r="BE44" i="267"/>
  <c r="BF4" i="267"/>
  <c r="BJ3" i="267"/>
  <c r="BH91" i="267"/>
  <c r="AB50" i="264" l="1"/>
  <c r="BC1661" i="259"/>
  <c r="BC1627" i="259"/>
  <c r="BC288" i="262" s="1"/>
  <c r="V81" i="264"/>
  <c r="X81" i="264" s="1"/>
  <c r="X35" i="264"/>
  <c r="V49" i="264"/>
  <c r="BE332" i="261"/>
  <c r="BE1420" i="259" s="1"/>
  <c r="BD56" i="275"/>
  <c r="BB286" i="275"/>
  <c r="BD124" i="259"/>
  <c r="BD125" i="259" s="1"/>
  <c r="BD118" i="261" s="1"/>
  <c r="AH6" i="275"/>
  <c r="BB126" i="275"/>
  <c r="BC286" i="275"/>
  <c r="BE142" i="259"/>
  <c r="BE143" i="259" s="1"/>
  <c r="BE117" i="259"/>
  <c r="BE1505" i="259" s="1"/>
  <c r="BE112" i="261" s="1"/>
  <c r="BE366" i="275"/>
  <c r="BD366" i="275"/>
  <c r="BE582" i="275"/>
  <c r="BB68" i="275"/>
  <c r="J44" i="276"/>
  <c r="BE1415" i="259"/>
  <c r="BE1416" i="259" s="1"/>
  <c r="BE331" i="261" s="1"/>
  <c r="BE50" i="259"/>
  <c r="BE135" i="259"/>
  <c r="BC126" i="259"/>
  <c r="BC6" i="259" s="1"/>
  <c r="BE506" i="259"/>
  <c r="BE7" i="259" s="1"/>
  <c r="BE1620" i="259"/>
  <c r="BE115" i="275"/>
  <c r="BE511" i="275"/>
  <c r="BD579" i="259"/>
  <c r="BD45" i="259"/>
  <c r="BD511" i="275"/>
  <c r="AG251" i="262"/>
  <c r="AG252" i="262"/>
  <c r="AH1318" i="259"/>
  <c r="AG1329" i="259"/>
  <c r="AG1293" i="259" s="1"/>
  <c r="AG242" i="262" s="1"/>
  <c r="AG1324" i="259"/>
  <c r="Z35" i="264"/>
  <c r="BC56" i="275"/>
  <c r="BC138" i="262"/>
  <c r="K54" i="276"/>
  <c r="BE1656" i="259"/>
  <c r="BE280" i="262"/>
  <c r="BE1619" i="259"/>
  <c r="BE500" i="275"/>
  <c r="BD501" i="259"/>
  <c r="BD69" i="259"/>
  <c r="BD69" i="275" s="1"/>
  <c r="BD500" i="275"/>
  <c r="BB502" i="259"/>
  <c r="BB502" i="275" s="1"/>
  <c r="BB1620" i="259"/>
  <c r="BC501" i="275"/>
  <c r="BE591" i="259"/>
  <c r="BE1419" i="259"/>
  <c r="K44" i="276"/>
  <c r="BC68" i="275"/>
  <c r="AI134" i="262"/>
  <c r="AI6" i="275"/>
  <c r="BD126" i="262"/>
  <c r="BD50" i="275"/>
  <c r="BE142" i="262"/>
  <c r="BE62" i="275"/>
  <c r="BD280" i="262"/>
  <c r="BD1619" i="259"/>
  <c r="BD1656" i="259"/>
  <c r="BB125" i="259"/>
  <c r="BB118" i="261" s="1"/>
  <c r="BB124" i="275"/>
  <c r="Z42" i="264"/>
  <c r="AB42" i="264" s="1"/>
  <c r="BC112" i="261"/>
  <c r="BE286" i="259"/>
  <c r="BE285" i="275"/>
  <c r="BB112" i="261"/>
  <c r="R42" i="264"/>
  <c r="T42" i="264" s="1"/>
  <c r="BE1657" i="259"/>
  <c r="BE1632" i="259"/>
  <c r="BE291" i="262" s="1"/>
  <c r="BE1633" i="259"/>
  <c r="BE292" i="262" s="1"/>
  <c r="BE281" i="262"/>
  <c r="BB6" i="259"/>
  <c r="K10" i="273" s="1"/>
  <c r="BE589" i="275"/>
  <c r="BD589" i="275"/>
  <c r="BD1419" i="259"/>
  <c r="BD1418" i="259" s="1"/>
  <c r="BD591" i="259"/>
  <c r="BD591" i="275" s="1"/>
  <c r="BE364" i="275"/>
  <c r="BD364" i="275"/>
  <c r="BE160" i="259"/>
  <c r="BE162" i="259" s="1"/>
  <c r="BE123" i="259"/>
  <c r="BE159" i="275"/>
  <c r="BD57" i="275"/>
  <c r="BD139" i="262"/>
  <c r="BD281" i="262"/>
  <c r="BD1633" i="259"/>
  <c r="BD292" i="262" s="1"/>
  <c r="BD1632" i="259"/>
  <c r="BD291" i="262" s="1"/>
  <c r="BD1657" i="259"/>
  <c r="BE1507" i="259"/>
  <c r="BE279" i="275"/>
  <c r="BC124" i="275"/>
  <c r="BE139" i="262"/>
  <c r="BE57" i="275"/>
  <c r="T35" i="264"/>
  <c r="R49" i="264"/>
  <c r="BD288" i="275"/>
  <c r="BD68" i="275"/>
  <c r="BD162" i="275"/>
  <c r="BD126" i="259"/>
  <c r="BA284" i="262"/>
  <c r="BA1621" i="259"/>
  <c r="BA1623" i="259"/>
  <c r="BA286" i="262" s="1"/>
  <c r="BA1660" i="259"/>
  <c r="BA213" i="261"/>
  <c r="BA502" i="275"/>
  <c r="BB8" i="277"/>
  <c r="BB39" i="277" s="1"/>
  <c r="J70" i="276" s="1"/>
  <c r="BB135" i="262"/>
  <c r="BB7" i="275"/>
  <c r="BC7" i="275"/>
  <c r="BA252" i="262"/>
  <c r="N20" i="264"/>
  <c r="BJ29" i="267"/>
  <c r="BK3" i="267"/>
  <c r="BI91" i="267"/>
  <c r="BF44" i="267"/>
  <c r="BG4" i="267"/>
  <c r="Z8" i="264" l="1"/>
  <c r="AB8" i="264" s="1"/>
  <c r="V8" i="264"/>
  <c r="X8" i="264" s="1"/>
  <c r="X49" i="264"/>
  <c r="V80" i="264"/>
  <c r="X80" i="264" s="1"/>
  <c r="BD124" i="275"/>
  <c r="BE1418" i="259"/>
  <c r="BC134" i="262"/>
  <c r="BE142" i="275"/>
  <c r="BB134" i="262"/>
  <c r="BC6" i="275"/>
  <c r="BE56" i="259"/>
  <c r="BE56" i="275" s="1"/>
  <c r="BE117" i="275"/>
  <c r="BB7" i="277"/>
  <c r="BB38" i="277" s="1"/>
  <c r="J42" i="276" s="1"/>
  <c r="BB6" i="275"/>
  <c r="R8" i="264"/>
  <c r="T8" i="264" s="1"/>
  <c r="BC7" i="277"/>
  <c r="BC38" i="277" s="1"/>
  <c r="K42" i="276" s="1"/>
  <c r="BC126" i="275"/>
  <c r="BE68" i="259"/>
  <c r="BE68" i="275" s="1"/>
  <c r="BE123" i="275"/>
  <c r="BE288" i="259"/>
  <c r="BE288" i="275" s="1"/>
  <c r="BE286" i="275"/>
  <c r="BB1623" i="259"/>
  <c r="BB286" i="262" s="1"/>
  <c r="BB1660" i="259"/>
  <c r="BB284" i="262"/>
  <c r="BB1621" i="259"/>
  <c r="BD501" i="275"/>
  <c r="BD504" i="259"/>
  <c r="BD1620" i="259"/>
  <c r="BD506" i="259"/>
  <c r="BE501" i="275"/>
  <c r="AG1326" i="259"/>
  <c r="BD579" i="275"/>
  <c r="BE579" i="275"/>
  <c r="BE8" i="277"/>
  <c r="BE39" i="277" s="1"/>
  <c r="BE135" i="262"/>
  <c r="R80" i="264"/>
  <c r="T80" i="264" s="1"/>
  <c r="T49" i="264"/>
  <c r="BE124" i="259"/>
  <c r="BE160" i="275"/>
  <c r="BB213" i="261"/>
  <c r="BC502" i="275"/>
  <c r="BE126" i="262"/>
  <c r="BE50" i="275"/>
  <c r="BD283" i="262"/>
  <c r="BD1659" i="259"/>
  <c r="BE591" i="275"/>
  <c r="BE1659" i="259"/>
  <c r="BE283" i="262"/>
  <c r="BE1621" i="259"/>
  <c r="Z49" i="264"/>
  <c r="AB35" i="264"/>
  <c r="AH1319" i="259"/>
  <c r="AH1339" i="259" s="1"/>
  <c r="AH238" i="262" s="1"/>
  <c r="BE45" i="275"/>
  <c r="BD45" i="275"/>
  <c r="BE284" i="262"/>
  <c r="BE1660" i="259"/>
  <c r="BE1623" i="259"/>
  <c r="BE286" i="262" s="1"/>
  <c r="BE162" i="275"/>
  <c r="BE69" i="275"/>
  <c r="BD6" i="259"/>
  <c r="BD126" i="275"/>
  <c r="BA285" i="262"/>
  <c r="BA1661" i="259"/>
  <c r="BA1627" i="259"/>
  <c r="BA288" i="262" s="1"/>
  <c r="BK29" i="267"/>
  <c r="BL3" i="267"/>
  <c r="BJ91" i="267"/>
  <c r="BG44" i="267"/>
  <c r="BH4" i="267"/>
  <c r="BE138" i="262" l="1"/>
  <c r="BE126" i="259"/>
  <c r="BE6" i="259" s="1"/>
  <c r="BE134" i="262" s="1"/>
  <c r="BD284" i="262"/>
  <c r="BD1623" i="259"/>
  <c r="BD286" i="262" s="1"/>
  <c r="BD1621" i="259"/>
  <c r="BD1660" i="259"/>
  <c r="BE125" i="259"/>
  <c r="BE118" i="261" s="1"/>
  <c r="BE124" i="275"/>
  <c r="AG123" i="262"/>
  <c r="AG250" i="262"/>
  <c r="BD504" i="275"/>
  <c r="BE504" i="275"/>
  <c r="AB49" i="264"/>
  <c r="Z80" i="264"/>
  <c r="AB80" i="264" s="1"/>
  <c r="AH1321" i="259"/>
  <c r="AH246" i="262"/>
  <c r="AH245" i="262"/>
  <c r="AH1338" i="259"/>
  <c r="BE285" i="262"/>
  <c r="BE1661" i="259"/>
  <c r="BE1627" i="259"/>
  <c r="BE288" i="262" s="1"/>
  <c r="BE506" i="275"/>
  <c r="BD7" i="259"/>
  <c r="BD506" i="275"/>
  <c r="BB1627" i="259"/>
  <c r="BB288" i="262" s="1"/>
  <c r="BB1661" i="259"/>
  <c r="BB285" i="262"/>
  <c r="BD134" i="262"/>
  <c r="BD7" i="277"/>
  <c r="BD38" i="277" s="1"/>
  <c r="BD6" i="275"/>
  <c r="BH44" i="267"/>
  <c r="BI4" i="267"/>
  <c r="BL29" i="267"/>
  <c r="BM3" i="267"/>
  <c r="BK91" i="267"/>
  <c r="BE7" i="277" l="1"/>
  <c r="BE38" i="277" s="1"/>
  <c r="BE126" i="275"/>
  <c r="BE6" i="275"/>
  <c r="BD8" i="277"/>
  <c r="BD39" i="277" s="1"/>
  <c r="BD7" i="275"/>
  <c r="BD135" i="262"/>
  <c r="BE7" i="275"/>
  <c r="AH252" i="262"/>
  <c r="AH251" i="262"/>
  <c r="AH1329" i="259"/>
  <c r="AH1293" i="259" s="1"/>
  <c r="AH242" i="262" s="1"/>
  <c r="AI1318" i="259"/>
  <c r="AH1324" i="259"/>
  <c r="BD285" i="262"/>
  <c r="BD1627" i="259"/>
  <c r="BD288" i="262" s="1"/>
  <c r="BD1661" i="259"/>
  <c r="BI44" i="267"/>
  <c r="BJ4" i="267"/>
  <c r="BM29" i="267"/>
  <c r="BN3" i="267"/>
  <c r="BL91" i="267"/>
  <c r="AI1319" i="259" l="1"/>
  <c r="AI1339" i="259" s="1"/>
  <c r="AI238" i="262" s="1"/>
  <c r="AH1326" i="259"/>
  <c r="BJ44" i="267"/>
  <c r="BK4" i="267"/>
  <c r="BN29" i="267"/>
  <c r="BO3" i="267"/>
  <c r="BM91" i="267"/>
  <c r="AI1321" i="259" l="1"/>
  <c r="AI252" i="262" s="1"/>
  <c r="AH123" i="262"/>
  <c r="AH250" i="262"/>
  <c r="BB1319" i="259"/>
  <c r="AI246" i="262"/>
  <c r="AI245" i="262"/>
  <c r="AI1338" i="259"/>
  <c r="BO29" i="267"/>
  <c r="BP3" i="267"/>
  <c r="BN91" i="267"/>
  <c r="BK44" i="267"/>
  <c r="BL4" i="267"/>
  <c r="AD676" i="259"/>
  <c r="AE676" i="259"/>
  <c r="AC676" i="259"/>
  <c r="AC683" i="259"/>
  <c r="AE683" i="259"/>
  <c r="AD683" i="259"/>
  <c r="AI251" i="262" l="1"/>
  <c r="AI1329" i="259"/>
  <c r="BB1329" i="259" s="1"/>
  <c r="AI1324" i="259"/>
  <c r="AI1326" i="259" s="1"/>
  <c r="BB1338" i="259"/>
  <c r="BB316" i="261" s="1"/>
  <c r="BB1321" i="259"/>
  <c r="BB1339" i="259"/>
  <c r="BB238" i="262" s="1"/>
  <c r="BB245" i="262"/>
  <c r="BB246" i="262"/>
  <c r="BP29" i="267"/>
  <c r="BQ3" i="267"/>
  <c r="BO91" i="267"/>
  <c r="BL44" i="267"/>
  <c r="BM4" i="267"/>
  <c r="BB1324" i="259" l="1"/>
  <c r="AI1293" i="259"/>
  <c r="AI242" i="262" s="1"/>
  <c r="BB1326" i="259"/>
  <c r="I35" i="272" s="1"/>
  <c r="AI250" i="262"/>
  <c r="AI123" i="262"/>
  <c r="BB1293" i="259"/>
  <c r="BB242" i="262" s="1"/>
  <c r="BC1318" i="259"/>
  <c r="BB251" i="262"/>
  <c r="BM44" i="267"/>
  <c r="BN4" i="267"/>
  <c r="BQ29" i="267"/>
  <c r="BR3" i="267"/>
  <c r="BP91" i="267"/>
  <c r="AZ694" i="259"/>
  <c r="AZ690" i="259"/>
  <c r="BC1319" i="259" l="1"/>
  <c r="BC1321" i="259" s="1"/>
  <c r="BB1325" i="259"/>
  <c r="BB250" i="262"/>
  <c r="R33" i="263"/>
  <c r="R20" i="264" s="1"/>
  <c r="BB123" i="262"/>
  <c r="AZ233" i="261"/>
  <c r="AZ690" i="275"/>
  <c r="AZ237" i="261"/>
  <c r="AZ694" i="275"/>
  <c r="BR29" i="267"/>
  <c r="BS3" i="267"/>
  <c r="BQ91" i="267"/>
  <c r="BN44" i="267"/>
  <c r="BO4" i="267"/>
  <c r="Y85" i="262"/>
  <c r="AZ691" i="259"/>
  <c r="BC1339" i="259" l="1"/>
  <c r="BC238" i="262" s="1"/>
  <c r="BC251" i="262"/>
  <c r="BD1318" i="259"/>
  <c r="BC1329" i="259"/>
  <c r="BC1293" i="259" s="1"/>
  <c r="BC242" i="262" s="1"/>
  <c r="BC1324" i="259"/>
  <c r="BC1325" i="259"/>
  <c r="BD1325" i="259" s="1"/>
  <c r="BE1325" i="259" s="1"/>
  <c r="BB252" i="262"/>
  <c r="BC1338" i="259"/>
  <c r="BC246" i="262"/>
  <c r="BC245" i="262"/>
  <c r="AZ234" i="261"/>
  <c r="AZ691" i="275"/>
  <c r="AZ1039" i="259"/>
  <c r="AZ1039" i="275" s="1"/>
  <c r="AZ688" i="259"/>
  <c r="AZ688" i="275" s="1"/>
  <c r="AZ692" i="259"/>
  <c r="AZ1042" i="259"/>
  <c r="AZ1042" i="275" s="1"/>
  <c r="AZ689" i="259"/>
  <c r="AZ689" i="275" s="1"/>
  <c r="AZ1038" i="259"/>
  <c r="AZ1038" i="275" s="1"/>
  <c r="AZ705" i="259"/>
  <c r="AZ705" i="275" s="1"/>
  <c r="BS29" i="267"/>
  <c r="BT3" i="267"/>
  <c r="BR91" i="267"/>
  <c r="BO44" i="267"/>
  <c r="BP4" i="267"/>
  <c r="AZ708" i="259"/>
  <c r="AZ708" i="275" s="1"/>
  <c r="AF692" i="275" l="1"/>
  <c r="AF1038" i="275"/>
  <c r="AF1042" i="275"/>
  <c r="AF1039" i="275"/>
  <c r="BD1319" i="259"/>
  <c r="BD1339" i="259" s="1"/>
  <c r="BD238" i="262" s="1"/>
  <c r="BC1326" i="259"/>
  <c r="V33" i="263" s="1"/>
  <c r="V20" i="264" s="1"/>
  <c r="BC252" i="262"/>
  <c r="AZ1040" i="259"/>
  <c r="AZ1040" i="275" s="1"/>
  <c r="AC689" i="259"/>
  <c r="AC689" i="275" s="1"/>
  <c r="AC705" i="259"/>
  <c r="AC705" i="275" s="1"/>
  <c r="AZ993" i="259"/>
  <c r="AZ993" i="275" s="1"/>
  <c r="AZ703" i="259"/>
  <c r="AZ703" i="275" s="1"/>
  <c r="AZ235" i="261"/>
  <c r="AZ692" i="275"/>
  <c r="AZ990" i="259"/>
  <c r="AZ990" i="275" s="1"/>
  <c r="Y712" i="259"/>
  <c r="AO59" i="264"/>
  <c r="AQ59" i="264" s="1"/>
  <c r="BP44" i="267"/>
  <c r="BQ4" i="267"/>
  <c r="BT29" i="267"/>
  <c r="BU3" i="267"/>
  <c r="BS91" i="267"/>
  <c r="AZ702" i="259"/>
  <c r="AC1038" i="259"/>
  <c r="AC692" i="259"/>
  <c r="AC1039" i="259"/>
  <c r="AC1042" i="259"/>
  <c r="Y178" i="262"/>
  <c r="Y268" i="262"/>
  <c r="AC708" i="259"/>
  <c r="AC708" i="275" s="1"/>
  <c r="AC688" i="259"/>
  <c r="AC688" i="275" s="1"/>
  <c r="BD1321" i="259" l="1"/>
  <c r="BE1318" i="259" s="1"/>
  <c r="AF1040" i="275"/>
  <c r="AC692" i="275"/>
  <c r="AG692" i="275"/>
  <c r="AC1039" i="275"/>
  <c r="AG1039" i="275"/>
  <c r="Z33" i="263"/>
  <c r="Z20" i="264" s="1"/>
  <c r="BC123" i="262"/>
  <c r="BC250" i="262"/>
  <c r="AC1038" i="275"/>
  <c r="AG1038" i="275"/>
  <c r="AC1042" i="275"/>
  <c r="AG1042" i="275"/>
  <c r="AC990" i="259"/>
  <c r="AC990" i="275" s="1"/>
  <c r="BD1338" i="259"/>
  <c r="BD245" i="262"/>
  <c r="BD246" i="262"/>
  <c r="AD689" i="259"/>
  <c r="AD689" i="275" s="1"/>
  <c r="Y710" i="259"/>
  <c r="Y710" i="275" s="1"/>
  <c r="Y712" i="275"/>
  <c r="AD705" i="259"/>
  <c r="AD705" i="275" s="1"/>
  <c r="AZ704" i="259"/>
  <c r="AZ702" i="275"/>
  <c r="AC703" i="259"/>
  <c r="AC703" i="275" s="1"/>
  <c r="AO60" i="264"/>
  <c r="BU29" i="267"/>
  <c r="BV3" i="267"/>
  <c r="BT91" i="267"/>
  <c r="BQ44" i="267"/>
  <c r="BR4" i="267"/>
  <c r="Y54" i="262"/>
  <c r="BA694" i="259"/>
  <c r="AD1042" i="259"/>
  <c r="AD1038" i="259"/>
  <c r="AD692" i="259"/>
  <c r="AC702" i="259"/>
  <c r="AC702" i="275" s="1"/>
  <c r="AC1040" i="259"/>
  <c r="AC235" i="261"/>
  <c r="AC993" i="259"/>
  <c r="AC993" i="275" s="1"/>
  <c r="AD708" i="259"/>
  <c r="AD708" i="275" s="1"/>
  <c r="AD1039" i="259"/>
  <c r="AD688" i="259"/>
  <c r="AD688" i="275" s="1"/>
  <c r="Y696" i="259" l="1"/>
  <c r="Y1044" i="259" s="1"/>
  <c r="Y1044" i="275" s="1"/>
  <c r="AD703" i="259"/>
  <c r="AD703" i="275" s="1"/>
  <c r="BD252" i="262"/>
  <c r="BD251" i="262"/>
  <c r="BD1324" i="259"/>
  <c r="BD1326" i="259" s="1"/>
  <c r="BD250" i="262" s="1"/>
  <c r="BD1329" i="259"/>
  <c r="BD1293" i="259" s="1"/>
  <c r="BD242" i="262" s="1"/>
  <c r="AD1038" i="275"/>
  <c r="AH1038" i="275"/>
  <c r="AD1039" i="275"/>
  <c r="AH1039" i="275"/>
  <c r="BA694" i="275"/>
  <c r="BB237" i="261"/>
  <c r="AD1042" i="275"/>
  <c r="AH1042" i="275"/>
  <c r="AC1040" i="275"/>
  <c r="AG1040" i="275"/>
  <c r="AD692" i="275"/>
  <c r="AH692" i="275"/>
  <c r="BE1319" i="259"/>
  <c r="BE1339" i="259" s="1"/>
  <c r="BE238" i="262" s="1"/>
  <c r="AE705" i="259"/>
  <c r="AD990" i="259"/>
  <c r="AD990" i="275" s="1"/>
  <c r="AZ706" i="259"/>
  <c r="AZ706" i="275" s="1"/>
  <c r="AZ704" i="275"/>
  <c r="Z712" i="259"/>
  <c r="Y56" i="262"/>
  <c r="Y180" i="262"/>
  <c r="AQ60" i="264"/>
  <c r="BR44" i="267"/>
  <c r="BS4" i="267"/>
  <c r="BV29" i="267"/>
  <c r="BW3" i="267"/>
  <c r="BU91" i="267"/>
  <c r="AO31" i="264"/>
  <c r="AE688" i="259"/>
  <c r="AF688" i="259" s="1"/>
  <c r="AE1042" i="259"/>
  <c r="AI1042" i="275" s="1"/>
  <c r="AE708" i="259"/>
  <c r="AD993" i="259"/>
  <c r="AD993" i="275" s="1"/>
  <c r="AZ989" i="259"/>
  <c r="AZ989" i="275" s="1"/>
  <c r="AC704" i="259"/>
  <c r="AC704" i="275" s="1"/>
  <c r="AD702" i="259"/>
  <c r="AD702" i="275" s="1"/>
  <c r="AD1040" i="259"/>
  <c r="AD235" i="261"/>
  <c r="Y274" i="262"/>
  <c r="BA237" i="261"/>
  <c r="AE1038" i="259"/>
  <c r="AI1038" i="275" s="1"/>
  <c r="AE692" i="259"/>
  <c r="AE1039" i="259"/>
  <c r="AI1039" i="275" s="1"/>
  <c r="BA691" i="259"/>
  <c r="BB234" i="261" s="1"/>
  <c r="BA690" i="259"/>
  <c r="BB233" i="261" s="1"/>
  <c r="AE689" i="259"/>
  <c r="AF689" i="259" s="1"/>
  <c r="Y239" i="261" l="1"/>
  <c r="Y696" i="275"/>
  <c r="Y698" i="259"/>
  <c r="Y241" i="261" s="1"/>
  <c r="BD123" i="262"/>
  <c r="AF235" i="261"/>
  <c r="AI692" i="275"/>
  <c r="AE708" i="275"/>
  <c r="AF708" i="259"/>
  <c r="BE246" i="262"/>
  <c r="BE245" i="262"/>
  <c r="BE1338" i="259"/>
  <c r="AD1040" i="275"/>
  <c r="AH1040" i="275"/>
  <c r="AF688" i="275"/>
  <c r="AG688" i="259"/>
  <c r="AG689" i="259"/>
  <c r="AF689" i="275"/>
  <c r="AE705" i="275"/>
  <c r="AF705" i="259"/>
  <c r="BE1321" i="259"/>
  <c r="BA705" i="259"/>
  <c r="BA705" i="275" s="1"/>
  <c r="AE990" i="259"/>
  <c r="BA990" i="259" s="1"/>
  <c r="BA990" i="275" s="1"/>
  <c r="Y698" i="275"/>
  <c r="Y1271" i="259"/>
  <c r="Z710" i="259"/>
  <c r="Z712" i="275"/>
  <c r="BB691" i="275"/>
  <c r="BA691" i="275"/>
  <c r="BA692" i="259"/>
  <c r="BB235" i="261" s="1"/>
  <c r="AE692" i="275"/>
  <c r="BA1042" i="259"/>
  <c r="BA1042" i="275" s="1"/>
  <c r="AE1042" i="275"/>
  <c r="BA689" i="259"/>
  <c r="BA689" i="275" s="1"/>
  <c r="AE689" i="275"/>
  <c r="BB690" i="275"/>
  <c r="BA690" i="275"/>
  <c r="BA1039" i="259"/>
  <c r="BA1039" i="275" s="1"/>
  <c r="AE1039" i="275"/>
  <c r="BA1038" i="259"/>
  <c r="BA1038" i="275" s="1"/>
  <c r="AE1038" i="275"/>
  <c r="BA688" i="259"/>
  <c r="BA688" i="275" s="1"/>
  <c r="AE688" i="275"/>
  <c r="Y683" i="259"/>
  <c r="Y229" i="261" s="1"/>
  <c r="Y684" i="259"/>
  <c r="Y676" i="259"/>
  <c r="Y228" i="261" s="1"/>
  <c r="Y161" i="262"/>
  <c r="BW29" i="267"/>
  <c r="BX3" i="267"/>
  <c r="BV91" i="267"/>
  <c r="BS44" i="267"/>
  <c r="BT4" i="267"/>
  <c r="AO38" i="264"/>
  <c r="AO52" i="264" s="1"/>
  <c r="AO83" i="264" s="1"/>
  <c r="AQ83" i="264" s="1"/>
  <c r="AO44" i="264"/>
  <c r="AQ44" i="264" s="1"/>
  <c r="AQ31" i="264"/>
  <c r="AO32" i="264"/>
  <c r="Y92" i="262"/>
  <c r="AO16" i="263"/>
  <c r="AQ16" i="263" s="1"/>
  <c r="Y119" i="262"/>
  <c r="AE703" i="259"/>
  <c r="AF703" i="259" s="1"/>
  <c r="AD704" i="259"/>
  <c r="AD704" i="275" s="1"/>
  <c r="AE702" i="259"/>
  <c r="BA234" i="261"/>
  <c r="AC706" i="259"/>
  <c r="AC706" i="275" s="1"/>
  <c r="AC989" i="259"/>
  <c r="AE235" i="261"/>
  <c r="AE1040" i="259"/>
  <c r="BA233" i="261"/>
  <c r="AE993" i="259"/>
  <c r="BA708" i="259"/>
  <c r="BA708" i="275" s="1"/>
  <c r="AZ991" i="259"/>
  <c r="AZ991" i="275" s="1"/>
  <c r="AA712" i="259" l="1"/>
  <c r="AA710" i="259" s="1"/>
  <c r="Y1046" i="259"/>
  <c r="Y1048" i="259" s="1"/>
  <c r="AF703" i="275"/>
  <c r="AG703" i="259"/>
  <c r="AF708" i="275"/>
  <c r="AF993" i="259"/>
  <c r="AF993" i="275" s="1"/>
  <c r="AG708" i="259"/>
  <c r="AH688" i="259"/>
  <c r="AG688" i="275"/>
  <c r="AE1040" i="275"/>
  <c r="AI1040" i="275"/>
  <c r="BE1329" i="259"/>
  <c r="BE1293" i="259" s="1"/>
  <c r="BE242" i="262" s="1"/>
  <c r="BE252" i="262"/>
  <c r="BE251" i="262"/>
  <c r="BE1324" i="259"/>
  <c r="BE1326" i="259" s="1"/>
  <c r="AE702" i="275"/>
  <c r="AF702" i="259"/>
  <c r="AF990" i="259"/>
  <c r="AF990" i="275" s="1"/>
  <c r="AF705" i="275"/>
  <c r="AG705" i="259"/>
  <c r="AH689" i="259"/>
  <c r="AG689" i="275"/>
  <c r="AE990" i="275"/>
  <c r="Y250" i="261"/>
  <c r="Y152" i="262"/>
  <c r="Y1046" i="275"/>
  <c r="Z696" i="259"/>
  <c r="Z710" i="275"/>
  <c r="BA1040" i="259"/>
  <c r="BA1040" i="275" s="1"/>
  <c r="BA235" i="261"/>
  <c r="BA692" i="275"/>
  <c r="AC991" i="259"/>
  <c r="AC989" i="275"/>
  <c r="BC694" i="259"/>
  <c r="BB694" i="275"/>
  <c r="BA993" i="259"/>
  <c r="BA993" i="275" s="1"/>
  <c r="AE993" i="275"/>
  <c r="BA703" i="259"/>
  <c r="BA703" i="275" s="1"/>
  <c r="AE703" i="275"/>
  <c r="AB712" i="259"/>
  <c r="AB710" i="259" s="1"/>
  <c r="AB696" i="259" s="1"/>
  <c r="AB698" i="259" s="1"/>
  <c r="Y725" i="259"/>
  <c r="Y725" i="275" s="1"/>
  <c r="Y148" i="262"/>
  <c r="Y785" i="259"/>
  <c r="Y784" i="259"/>
  <c r="Y784" i="275" s="1"/>
  <c r="AO66" i="264"/>
  <c r="AO73" i="264" s="1"/>
  <c r="Z725" i="259"/>
  <c r="Z725" i="275" s="1"/>
  <c r="BT44" i="267"/>
  <c r="BU4" i="267"/>
  <c r="BX29" i="267"/>
  <c r="BY3" i="267"/>
  <c r="BW91" i="267"/>
  <c r="AO39" i="264"/>
  <c r="AQ38" i="264"/>
  <c r="AQ32" i="264"/>
  <c r="BC691" i="259"/>
  <c r="BC691" i="275" s="1"/>
  <c r="BC690" i="259"/>
  <c r="BC690" i="275" s="1"/>
  <c r="AA274" i="262"/>
  <c r="AE704" i="259"/>
  <c r="AE704" i="275" s="1"/>
  <c r="BA702" i="259"/>
  <c r="BA702" i="275" s="1"/>
  <c r="AD706" i="259"/>
  <c r="AD706" i="275" s="1"/>
  <c r="AD989" i="259"/>
  <c r="AZ997" i="259"/>
  <c r="AZ997" i="275" s="1"/>
  <c r="BB1042" i="275"/>
  <c r="AB676" i="259" l="1"/>
  <c r="AB228" i="261" s="1"/>
  <c r="AB683" i="259"/>
  <c r="AB229" i="261" s="1"/>
  <c r="AB684" i="259"/>
  <c r="AH689" i="275"/>
  <c r="AI689" i="259"/>
  <c r="AI689" i="275" s="1"/>
  <c r="AF702" i="275"/>
  <c r="AF704" i="259"/>
  <c r="AG702" i="259"/>
  <c r="AH705" i="259"/>
  <c r="AG990" i="259"/>
  <c r="AG990" i="275" s="1"/>
  <c r="AG705" i="275"/>
  <c r="AI688" i="259"/>
  <c r="AI688" i="275" s="1"/>
  <c r="AH688" i="275"/>
  <c r="BE250" i="262"/>
  <c r="BE123" i="262"/>
  <c r="AH708" i="259"/>
  <c r="AG993" i="259"/>
  <c r="AG993" i="275" s="1"/>
  <c r="AG708" i="275"/>
  <c r="AG703" i="275"/>
  <c r="AH703" i="259"/>
  <c r="Y1048" i="275"/>
  <c r="Y1057" i="259"/>
  <c r="Y184" i="262" s="1"/>
  <c r="Y786" i="259"/>
  <c r="Y785" i="275"/>
  <c r="Z698" i="259"/>
  <c r="Z239" i="261"/>
  <c r="Z696" i="275"/>
  <c r="Z1044" i="259"/>
  <c r="Z1044" i="275" s="1"/>
  <c r="Z723" i="259"/>
  <c r="Z723" i="275" s="1"/>
  <c r="Z737" i="259"/>
  <c r="BD694" i="259"/>
  <c r="BC694" i="275"/>
  <c r="Z54" i="262"/>
  <c r="Z178" i="262"/>
  <c r="AD991" i="259"/>
  <c r="AD989" i="275"/>
  <c r="AC997" i="259"/>
  <c r="AC991" i="275"/>
  <c r="Z268" i="262"/>
  <c r="Y821" i="259"/>
  <c r="AO67" i="264"/>
  <c r="AO74" i="264" s="1"/>
  <c r="Y723" i="259"/>
  <c r="Y737" i="259"/>
  <c r="Z148" i="262"/>
  <c r="AS66" i="264"/>
  <c r="Z785" i="259"/>
  <c r="Z785" i="275" s="1"/>
  <c r="BY29" i="267"/>
  <c r="BZ3" i="267"/>
  <c r="BU44" i="267"/>
  <c r="BV4" i="267"/>
  <c r="AO53" i="264"/>
  <c r="AO84" i="264" s="1"/>
  <c r="AQ84" i="264" s="1"/>
  <c r="AO45" i="264"/>
  <c r="AQ45" i="264" s="1"/>
  <c r="AQ39" i="264"/>
  <c r="BD691" i="259"/>
  <c r="BD690" i="259"/>
  <c r="BB1039" i="275"/>
  <c r="BC1042" i="259"/>
  <c r="BC1042" i="275" s="1"/>
  <c r="BA704" i="259"/>
  <c r="Z274" i="262"/>
  <c r="AZ1581" i="259"/>
  <c r="AZ999" i="259"/>
  <c r="AZ999" i="275" s="1"/>
  <c r="AE706" i="259"/>
  <c r="AE706" i="275" s="1"/>
  <c r="AE989" i="259"/>
  <c r="AE989" i="275" s="1"/>
  <c r="BB688" i="259" l="1"/>
  <c r="BB688" i="275" s="1"/>
  <c r="BB689" i="259"/>
  <c r="BB689" i="275" s="1"/>
  <c r="AH990" i="259"/>
  <c r="AH990" i="275" s="1"/>
  <c r="AI705" i="259"/>
  <c r="AH705" i="275"/>
  <c r="AH703" i="275"/>
  <c r="AI703" i="259"/>
  <c r="AH993" i="259"/>
  <c r="AH993" i="275" s="1"/>
  <c r="AI708" i="259"/>
  <c r="AH708" i="275"/>
  <c r="AG702" i="275"/>
  <c r="AH702" i="259"/>
  <c r="AG704" i="259"/>
  <c r="AF704" i="275"/>
  <c r="AF989" i="259"/>
  <c r="AF706" i="259"/>
  <c r="AF706" i="275" s="1"/>
  <c r="BD691" i="275"/>
  <c r="BE691" i="259"/>
  <c r="BD694" i="275"/>
  <c r="BE694" i="259"/>
  <c r="AC723" i="275"/>
  <c r="Y723" i="275"/>
  <c r="Y809" i="259"/>
  <c r="Y786" i="275"/>
  <c r="Y1057" i="275"/>
  <c r="Y1058" i="259"/>
  <c r="Y959" i="259"/>
  <c r="BD690" i="275"/>
  <c r="BE690" i="259"/>
  <c r="Z241" i="261"/>
  <c r="Z698" i="275"/>
  <c r="Z1046" i="259"/>
  <c r="Z1271" i="259"/>
  <c r="Z684" i="259"/>
  <c r="Z683" i="259"/>
  <c r="Z229" i="261" s="1"/>
  <c r="Z676" i="259"/>
  <c r="Z228" i="261" s="1"/>
  <c r="BD1042" i="259"/>
  <c r="AD723" i="275"/>
  <c r="BA706" i="259"/>
  <c r="BA706" i="275" s="1"/>
  <c r="BA704" i="275"/>
  <c r="AD997" i="259"/>
  <c r="AD991" i="275"/>
  <c r="AC999" i="259"/>
  <c r="AC997" i="275"/>
  <c r="Z180" i="262"/>
  <c r="Z56" i="262"/>
  <c r="AA178" i="262"/>
  <c r="Y58" i="262"/>
  <c r="AO7" i="263"/>
  <c r="Y95" i="262"/>
  <c r="AO21" i="263"/>
  <c r="AS67" i="264"/>
  <c r="Z784" i="259"/>
  <c r="Z784" i="275" s="1"/>
  <c r="AO22" i="263"/>
  <c r="AQ22" i="263" s="1"/>
  <c r="Y96" i="262"/>
  <c r="Z58" i="262"/>
  <c r="Y261" i="262"/>
  <c r="Z85" i="262"/>
  <c r="AZ296" i="261"/>
  <c r="AZ274" i="262"/>
  <c r="BV44" i="267"/>
  <c r="BW4" i="267"/>
  <c r="BZ29" i="267"/>
  <c r="CA3" i="267"/>
  <c r="BC1039" i="259"/>
  <c r="BC1039" i="275" s="1"/>
  <c r="BD1039" i="259"/>
  <c r="BA989" i="259"/>
  <c r="BA989" i="275" s="1"/>
  <c r="AE991" i="259"/>
  <c r="AE991" i="275" s="1"/>
  <c r="AD274" i="262"/>
  <c r="AA54" i="262"/>
  <c r="AZ835" i="259"/>
  <c r="AZ1008" i="259"/>
  <c r="AZ1008" i="275" s="1"/>
  <c r="AC274" i="262"/>
  <c r="BB1038" i="275"/>
  <c r="BB692" i="275"/>
  <c r="AG704" i="275" l="1"/>
  <c r="AG706" i="259"/>
  <c r="AG706" i="275" s="1"/>
  <c r="AG989" i="259"/>
  <c r="AH702" i="275"/>
  <c r="AI702" i="259"/>
  <c r="AH704" i="259"/>
  <c r="AI990" i="259"/>
  <c r="AI705" i="275"/>
  <c r="BB705" i="259"/>
  <c r="AI708" i="275"/>
  <c r="BB708" i="259"/>
  <c r="AI993" i="259"/>
  <c r="AF991" i="259"/>
  <c r="AF989" i="275"/>
  <c r="BB703" i="259"/>
  <c r="BB703" i="275" s="1"/>
  <c r="AI703" i="275"/>
  <c r="BE694" i="275"/>
  <c r="BE1042" i="259"/>
  <c r="BE1042" i="275" s="1"/>
  <c r="Z250" i="261"/>
  <c r="Z152" i="262"/>
  <c r="Y809" i="275"/>
  <c r="Y812" i="259"/>
  <c r="Y812" i="275" s="1"/>
  <c r="Z1048" i="259"/>
  <c r="Z1046" i="275"/>
  <c r="BE1039" i="259"/>
  <c r="BE1039" i="275" s="1"/>
  <c r="BE691" i="275"/>
  <c r="BE1038" i="259"/>
  <c r="BE690" i="275"/>
  <c r="BE692" i="259"/>
  <c r="BD1042" i="275"/>
  <c r="Z786" i="259"/>
  <c r="Z821" i="259"/>
  <c r="AS7" i="263"/>
  <c r="AU7" i="263" s="1"/>
  <c r="Z261" i="262"/>
  <c r="AB268" i="262"/>
  <c r="BD1039" i="275"/>
  <c r="AC999" i="275"/>
  <c r="AC1008" i="259"/>
  <c r="AC835" i="259"/>
  <c r="AD999" i="259"/>
  <c r="AD997" i="275"/>
  <c r="AB178" i="262"/>
  <c r="AB54" i="262"/>
  <c r="AZ178" i="262"/>
  <c r="AZ835" i="275"/>
  <c r="Z96" i="262"/>
  <c r="AS22" i="263"/>
  <c r="AU22" i="263" s="1"/>
  <c r="AO23" i="263"/>
  <c r="AQ23" i="263" s="1"/>
  <c r="AQ21" i="263"/>
  <c r="Y267" i="262"/>
  <c r="Y272" i="262" s="1"/>
  <c r="AO77" i="264"/>
  <c r="AQ77" i="264" s="1"/>
  <c r="Y266" i="262"/>
  <c r="AO9" i="263"/>
  <c r="AQ9" i="263" s="1"/>
  <c r="AQ7" i="263"/>
  <c r="Y186" i="262"/>
  <c r="Y159" i="262"/>
  <c r="AA180" i="262"/>
  <c r="AZ1279" i="259"/>
  <c r="AA268" i="262"/>
  <c r="CA29" i="267"/>
  <c r="CB3" i="267"/>
  <c r="BW44" i="267"/>
  <c r="BX4" i="267"/>
  <c r="BC689" i="259"/>
  <c r="BC689" i="275" s="1"/>
  <c r="AA56" i="262"/>
  <c r="BC1038" i="259"/>
  <c r="BC1038" i="275" s="1"/>
  <c r="BC692" i="259"/>
  <c r="BC692" i="275" s="1"/>
  <c r="AZ54" i="262"/>
  <c r="AZ837" i="259"/>
  <c r="AZ837" i="275" s="1"/>
  <c r="AB274" i="262"/>
  <c r="BB1040" i="275"/>
  <c r="BC688" i="259"/>
  <c r="BC688" i="275" s="1"/>
  <c r="BA991" i="259"/>
  <c r="BA991" i="275" s="1"/>
  <c r="AE997" i="259"/>
  <c r="AE997" i="275" s="1"/>
  <c r="AS9" i="263" l="1"/>
  <c r="AU9" i="263" s="1"/>
  <c r="BB993" i="259"/>
  <c r="BB993" i="275" s="1"/>
  <c r="AI993" i="275"/>
  <c r="BB708" i="275"/>
  <c r="BC708" i="259"/>
  <c r="BB990" i="259"/>
  <c r="BB990" i="275" s="1"/>
  <c r="AI990" i="275"/>
  <c r="AG989" i="275"/>
  <c r="AG991" i="259"/>
  <c r="AH704" i="275"/>
  <c r="AH989" i="259"/>
  <c r="AH706" i="259"/>
  <c r="AH706" i="275" s="1"/>
  <c r="AF997" i="259"/>
  <c r="AF991" i="275"/>
  <c r="BC705" i="259"/>
  <c r="BB705" i="275"/>
  <c r="AI702" i="275"/>
  <c r="BB702" i="259"/>
  <c r="BC702" i="259" s="1"/>
  <c r="BC702" i="275" s="1"/>
  <c r="AI704" i="259"/>
  <c r="BE1040" i="259"/>
  <c r="Z1048" i="275"/>
  <c r="Z1057" i="259"/>
  <c r="Z809" i="259"/>
  <c r="Z809" i="275" s="1"/>
  <c r="Z786" i="275"/>
  <c r="AZ667" i="259"/>
  <c r="Z159" i="262"/>
  <c r="Z186" i="262"/>
  <c r="AB56" i="262"/>
  <c r="AB180" i="262"/>
  <c r="AC1008" i="275"/>
  <c r="AC1279" i="259"/>
  <c r="AC268" i="262" s="1"/>
  <c r="AD999" i="275"/>
  <c r="AD1008" i="259"/>
  <c r="AD835" i="259"/>
  <c r="AC837" i="259"/>
  <c r="AC1009" i="259" s="1"/>
  <c r="AC178" i="262"/>
  <c r="AC835" i="275"/>
  <c r="AC54" i="262"/>
  <c r="AS44" i="264"/>
  <c r="AU44" i="264" s="1"/>
  <c r="Z95" i="262"/>
  <c r="AS21" i="263"/>
  <c r="Z128" i="262"/>
  <c r="AS31" i="264"/>
  <c r="Z144" i="262"/>
  <c r="AS59" i="264"/>
  <c r="AZ1009" i="259"/>
  <c r="AZ180" i="262"/>
  <c r="AZ1283" i="259"/>
  <c r="AZ268" i="262"/>
  <c r="CB29" i="267"/>
  <c r="CC3" i="267"/>
  <c r="BX44" i="267"/>
  <c r="BY4" i="267"/>
  <c r="BD688" i="259"/>
  <c r="BD689" i="259"/>
  <c r="AZ56" i="262"/>
  <c r="BD1038" i="259"/>
  <c r="BD692" i="259"/>
  <c r="BC703" i="259"/>
  <c r="BC703" i="275" s="1"/>
  <c r="BA997" i="259"/>
  <c r="BA997" i="275" s="1"/>
  <c r="AE999" i="259"/>
  <c r="AE999" i="275" s="1"/>
  <c r="BC235" i="261"/>
  <c r="BC1040" i="259"/>
  <c r="BC1040" i="275" s="1"/>
  <c r="BD1271" i="259"/>
  <c r="BD152" i="262" s="1"/>
  <c r="BC1271" i="259"/>
  <c r="BC152" i="262" s="1"/>
  <c r="Z812" i="259" l="1"/>
  <c r="Z812" i="275" s="1"/>
  <c r="AF999" i="259"/>
  <c r="AF997" i="275"/>
  <c r="AG997" i="259"/>
  <c r="AG991" i="275"/>
  <c r="BC708" i="275"/>
  <c r="BC993" i="259"/>
  <c r="BC993" i="275" s="1"/>
  <c r="BD708" i="259"/>
  <c r="AI704" i="275"/>
  <c r="AI989" i="259"/>
  <c r="AI706" i="259"/>
  <c r="AI706" i="275" s="1"/>
  <c r="AH991" i="259"/>
  <c r="AH989" i="275"/>
  <c r="BC705" i="275"/>
  <c r="BC990" i="259"/>
  <c r="BC990" i="275" s="1"/>
  <c r="BD705" i="259"/>
  <c r="BB704" i="259"/>
  <c r="BB702" i="275"/>
  <c r="AZ638" i="259"/>
  <c r="AZ639" i="259"/>
  <c r="AZ667" i="275"/>
  <c r="Z1058" i="259"/>
  <c r="Z1057" i="275"/>
  <c r="Z184" i="262"/>
  <c r="Z959" i="259"/>
  <c r="AZ649" i="259"/>
  <c r="BD692" i="275"/>
  <c r="BE235" i="261"/>
  <c r="BE692" i="275"/>
  <c r="BD1038" i="275"/>
  <c r="BE1038" i="275"/>
  <c r="BD689" i="275"/>
  <c r="BE689" i="259"/>
  <c r="BD688" i="275"/>
  <c r="BE688" i="259"/>
  <c r="Z1501" i="259"/>
  <c r="AD837" i="259"/>
  <c r="AD178" i="262"/>
  <c r="AD835" i="275"/>
  <c r="AD54" i="262"/>
  <c r="AD1008" i="275"/>
  <c r="AD1279" i="259"/>
  <c r="AD268" i="262" s="1"/>
  <c r="AC837" i="275"/>
  <c r="AC180" i="262"/>
  <c r="AC56" i="262"/>
  <c r="F42" i="273"/>
  <c r="AS73" i="264"/>
  <c r="AS60" i="264"/>
  <c r="AU59" i="264"/>
  <c r="AS77" i="264"/>
  <c r="AU77" i="264" s="1"/>
  <c r="Z266" i="262"/>
  <c r="Z267" i="262"/>
  <c r="Z272" i="262" s="1"/>
  <c r="AU21" i="263"/>
  <c r="AS23" i="263"/>
  <c r="AU23" i="263" s="1"/>
  <c r="Z140" i="262"/>
  <c r="AS38" i="264"/>
  <c r="AS52" i="264" s="1"/>
  <c r="AS83" i="264" s="1"/>
  <c r="AU83" i="264" s="1"/>
  <c r="AS32" i="264"/>
  <c r="AU32" i="264" s="1"/>
  <c r="AU31" i="264"/>
  <c r="Z92" i="262"/>
  <c r="Z119" i="262"/>
  <c r="AS16" i="263"/>
  <c r="BY44" i="267"/>
  <c r="BZ4" i="267"/>
  <c r="CC29" i="267"/>
  <c r="CD3" i="267"/>
  <c r="BD703" i="259"/>
  <c r="BD703" i="275" s="1"/>
  <c r="BD1040" i="259"/>
  <c r="BD235" i="261"/>
  <c r="BD702" i="259"/>
  <c r="BD702" i="275" s="1"/>
  <c r="BC704" i="259"/>
  <c r="BA999" i="259"/>
  <c r="BA999" i="275" s="1"/>
  <c r="AE835" i="259"/>
  <c r="AE1008" i="259"/>
  <c r="AE1008" i="275" s="1"/>
  <c r="BC1237" i="259"/>
  <c r="BD1237" i="259"/>
  <c r="AI991" i="259" l="1"/>
  <c r="BB989" i="259"/>
  <c r="BB989" i="275" s="1"/>
  <c r="AI989" i="275"/>
  <c r="AH997" i="259"/>
  <c r="AH991" i="275"/>
  <c r="BE708" i="259"/>
  <c r="BD993" i="259"/>
  <c r="BD993" i="275" s="1"/>
  <c r="BD708" i="275"/>
  <c r="AG999" i="259"/>
  <c r="AG997" i="275"/>
  <c r="BB706" i="259"/>
  <c r="BB706" i="275" s="1"/>
  <c r="BB704" i="275"/>
  <c r="BC704" i="275"/>
  <c r="AF835" i="259"/>
  <c r="AF999" i="275"/>
  <c r="AF1008" i="259"/>
  <c r="BE705" i="259"/>
  <c r="BD990" i="259"/>
  <c r="BD990" i="275" s="1"/>
  <c r="BD705" i="275"/>
  <c r="Z161" i="262"/>
  <c r="AZ638" i="275"/>
  <c r="AZ640" i="259"/>
  <c r="AZ39" i="259"/>
  <c r="AZ765" i="259"/>
  <c r="AA85" i="262"/>
  <c r="AZ649" i="275"/>
  <c r="AZ725" i="259"/>
  <c r="AZ639" i="275"/>
  <c r="AZ46" i="259"/>
  <c r="AZ681" i="259"/>
  <c r="AZ751" i="259"/>
  <c r="AZ648" i="259"/>
  <c r="AZ648" i="275" s="1"/>
  <c r="BE703" i="259"/>
  <c r="BE703" i="275" s="1"/>
  <c r="BE689" i="275"/>
  <c r="BD1040" i="275"/>
  <c r="BE1040" i="275"/>
  <c r="BE702" i="259"/>
  <c r="BE688" i="275"/>
  <c r="AD837" i="275"/>
  <c r="AD180" i="262"/>
  <c r="AD56" i="262"/>
  <c r="AD1009" i="259"/>
  <c r="AE178" i="262"/>
  <c r="AE835" i="275"/>
  <c r="F41" i="273"/>
  <c r="AU16" i="263"/>
  <c r="AU38" i="264"/>
  <c r="AS39" i="264"/>
  <c r="AS74" i="264"/>
  <c r="AU60" i="264"/>
  <c r="AE1279" i="259"/>
  <c r="CD29" i="267"/>
  <c r="CE3" i="267"/>
  <c r="BZ44" i="267"/>
  <c r="CA4" i="267"/>
  <c r="BD704" i="259"/>
  <c r="BA1008" i="259"/>
  <c r="BA1008" i="275" s="1"/>
  <c r="BD676" i="259"/>
  <c r="BC676" i="259"/>
  <c r="AE54" i="262"/>
  <c r="AE837" i="259"/>
  <c r="BA835" i="259"/>
  <c r="AE274" i="262"/>
  <c r="BA1581" i="259"/>
  <c r="BA274" i="262" s="1"/>
  <c r="BC683" i="259"/>
  <c r="BD683" i="259"/>
  <c r="BC706" i="259"/>
  <c r="BC989" i="259"/>
  <c r="BC706" i="275" l="1"/>
  <c r="AF1008" i="275"/>
  <c r="AF1279" i="259"/>
  <c r="AF268" i="262" s="1"/>
  <c r="BE705" i="275"/>
  <c r="BE990" i="259"/>
  <c r="BE990" i="275" s="1"/>
  <c r="BE708" i="275"/>
  <c r="BE993" i="259"/>
  <c r="BE993" i="275" s="1"/>
  <c r="AF178" i="262"/>
  <c r="AF54" i="262"/>
  <c r="AF835" i="275"/>
  <c r="AF837" i="259"/>
  <c r="AG835" i="259"/>
  <c r="AG999" i="275"/>
  <c r="AG1008" i="259"/>
  <c r="AH997" i="275"/>
  <c r="AH999" i="259"/>
  <c r="AI991" i="275"/>
  <c r="AI997" i="259"/>
  <c r="BB991" i="259"/>
  <c r="BB991" i="275" s="1"/>
  <c r="AZ650" i="259"/>
  <c r="AZ650" i="275" s="1"/>
  <c r="AZ751" i="275"/>
  <c r="AZ816" i="259"/>
  <c r="AZ816" i="275" s="1"/>
  <c r="AZ681" i="275"/>
  <c r="AZ725" i="275"/>
  <c r="AZ1423" i="259"/>
  <c r="AZ47" i="259"/>
  <c r="AZ47" i="275" s="1"/>
  <c r="AZ46" i="275"/>
  <c r="AZ40" i="259"/>
  <c r="AZ40" i="275" s="1"/>
  <c r="AZ39" i="275"/>
  <c r="AA144" i="262"/>
  <c r="AW59" i="264"/>
  <c r="AZ64" i="259"/>
  <c r="AZ765" i="275"/>
  <c r="AZ85" i="262"/>
  <c r="AZ642" i="259"/>
  <c r="AZ640" i="275"/>
  <c r="BE704" i="259"/>
  <c r="BE702" i="275"/>
  <c r="BC991" i="259"/>
  <c r="BC989" i="275"/>
  <c r="BD989" i="259"/>
  <c r="BD704" i="275"/>
  <c r="AE180" i="262"/>
  <c r="AE837" i="275"/>
  <c r="BA178" i="262"/>
  <c r="BA835" i="275"/>
  <c r="Y91" i="262"/>
  <c r="AS53" i="264"/>
  <c r="AS84" i="264" s="1"/>
  <c r="AU84" i="264" s="1"/>
  <c r="AS45" i="264"/>
  <c r="AU45" i="264" s="1"/>
  <c r="AU39" i="264"/>
  <c r="Z1502" i="259"/>
  <c r="Z1503" i="259" s="1"/>
  <c r="Z91" i="262"/>
  <c r="Y160" i="262"/>
  <c r="Y188" i="262"/>
  <c r="Y187" i="262"/>
  <c r="BA1279" i="259"/>
  <c r="AE268" i="262"/>
  <c r="AE1009" i="259"/>
  <c r="CE29" i="267"/>
  <c r="CF3" i="267"/>
  <c r="CA44" i="267"/>
  <c r="CB4" i="267"/>
  <c r="BA296" i="261"/>
  <c r="BD706" i="259"/>
  <c r="BD706" i="275" s="1"/>
  <c r="BA54" i="262"/>
  <c r="BA837" i="259"/>
  <c r="BA837" i="275" s="1"/>
  <c r="BB910" i="275"/>
  <c r="AE56" i="262"/>
  <c r="AI997" i="275" l="1"/>
  <c r="AI999" i="259"/>
  <c r="BB997" i="259"/>
  <c r="BB997" i="275" s="1"/>
  <c r="AG178" i="262"/>
  <c r="AG54" i="262"/>
  <c r="AG837" i="259"/>
  <c r="AG1009" i="259" s="1"/>
  <c r="AG835" i="275"/>
  <c r="AF837" i="275"/>
  <c r="AF180" i="262"/>
  <c r="AF56" i="262"/>
  <c r="AG1279" i="259"/>
  <c r="AG268" i="262" s="1"/>
  <c r="AG1008" i="275"/>
  <c r="AH999" i="275"/>
  <c r="AH835" i="259"/>
  <c r="AH1008" i="259"/>
  <c r="AF1009" i="259"/>
  <c r="G42" i="273"/>
  <c r="AW44" i="264"/>
  <c r="AY44" i="264" s="1"/>
  <c r="AZ644" i="259"/>
  <c r="AA128" i="262"/>
  <c r="AW31" i="264"/>
  <c r="AZ52" i="259"/>
  <c r="AZ642" i="275"/>
  <c r="AZ64" i="275"/>
  <c r="AZ65" i="259"/>
  <c r="J59" i="264"/>
  <c r="AZ144" i="262"/>
  <c r="AZ1422" i="259"/>
  <c r="AZ1426" i="259"/>
  <c r="AW60" i="264"/>
  <c r="AY59" i="264"/>
  <c r="BE704" i="275"/>
  <c r="BE989" i="259"/>
  <c r="BE706" i="259"/>
  <c r="BE706" i="275" s="1"/>
  <c r="BC997" i="259"/>
  <c r="BC991" i="275"/>
  <c r="BD991" i="259"/>
  <c r="BD989" i="275"/>
  <c r="Y169" i="262"/>
  <c r="Y170" i="262"/>
  <c r="BA180" i="262"/>
  <c r="BA1283" i="259"/>
  <c r="BA268" i="262"/>
  <c r="CB44" i="267"/>
  <c r="CC4" i="267"/>
  <c r="CF29" i="267"/>
  <c r="CG3" i="267"/>
  <c r="BA1009" i="259"/>
  <c r="BB851" i="275"/>
  <c r="BB954" i="275"/>
  <c r="BA56" i="262"/>
  <c r="AI835" i="259" l="1"/>
  <c r="AI999" i="275"/>
  <c r="BB999" i="259"/>
  <c r="BB999" i="275" s="1"/>
  <c r="AI1008" i="259"/>
  <c r="AH1008" i="275"/>
  <c r="AH1279" i="259"/>
  <c r="AH268" i="262" s="1"/>
  <c r="AG837" i="275"/>
  <c r="AG180" i="262"/>
  <c r="AG56" i="262"/>
  <c r="AH54" i="262"/>
  <c r="AH178" i="262"/>
  <c r="AH837" i="259"/>
  <c r="AH1009" i="259" s="1"/>
  <c r="AH835" i="275"/>
  <c r="L59" i="264"/>
  <c r="J60" i="264"/>
  <c r="AZ52" i="275"/>
  <c r="J31" i="264"/>
  <c r="AZ53" i="259"/>
  <c r="AZ128" i="262"/>
  <c r="AZ644" i="275"/>
  <c r="AZ1511" i="259"/>
  <c r="AZ646" i="259"/>
  <c r="AZ646" i="275" s="1"/>
  <c r="AA140" i="262"/>
  <c r="AW38" i="264"/>
  <c r="AZ58" i="259"/>
  <c r="AY60" i="264"/>
  <c r="AY31" i="264"/>
  <c r="AW32" i="264"/>
  <c r="AY32" i="264" s="1"/>
  <c r="AA119" i="262"/>
  <c r="AA161" i="262"/>
  <c r="AW16" i="263"/>
  <c r="AA92" i="262"/>
  <c r="AZ780" i="259"/>
  <c r="AZ1501" i="259" s="1"/>
  <c r="AZ65" i="275"/>
  <c r="AZ1427" i="259"/>
  <c r="AZ1428" i="259" s="1"/>
  <c r="AZ335" i="261" s="1"/>
  <c r="BE991" i="259"/>
  <c r="BE989" i="275"/>
  <c r="Z187" i="262"/>
  <c r="Z188" i="262"/>
  <c r="Z160" i="262"/>
  <c r="BC999" i="259"/>
  <c r="BC997" i="275"/>
  <c r="BD997" i="259"/>
  <c r="BD991" i="275"/>
  <c r="Y225" i="262"/>
  <c r="Y218" i="262"/>
  <c r="Y229" i="262"/>
  <c r="Y1597" i="259"/>
  <c r="BA308" i="261"/>
  <c r="BA269" i="262"/>
  <c r="CG29" i="267"/>
  <c r="CH3" i="267"/>
  <c r="CC44" i="267"/>
  <c r="CD4" i="267"/>
  <c r="BB876" i="275"/>
  <c r="AI54" i="262" l="1"/>
  <c r="AI178" i="262"/>
  <c r="AI837" i="259"/>
  <c r="BB835" i="259"/>
  <c r="BB837" i="259" s="1"/>
  <c r="AI835" i="275"/>
  <c r="AH837" i="275"/>
  <c r="AH56" i="262"/>
  <c r="AH180" i="262"/>
  <c r="AI1279" i="259"/>
  <c r="BB1008" i="259"/>
  <c r="BB1008" i="275" s="1"/>
  <c r="AI1008" i="275"/>
  <c r="AZ1431" i="259"/>
  <c r="G41" i="273"/>
  <c r="H25" i="276"/>
  <c r="AZ819" i="259"/>
  <c r="AZ53" i="275"/>
  <c r="L60" i="264"/>
  <c r="J16" i="263"/>
  <c r="AZ1579" i="259"/>
  <c r="AZ780" i="275"/>
  <c r="AZ119" i="262"/>
  <c r="AZ92" i="262"/>
  <c r="AY38" i="264"/>
  <c r="AW39" i="264"/>
  <c r="AZ244" i="261"/>
  <c r="J44" i="264"/>
  <c r="L44" i="264" s="1"/>
  <c r="J32" i="264"/>
  <c r="L32" i="264" s="1"/>
  <c r="L31" i="264"/>
  <c r="AZ652" i="259"/>
  <c r="AZ652" i="275" s="1"/>
  <c r="AY16" i="263"/>
  <c r="AZ58" i="275"/>
  <c r="J38" i="264"/>
  <c r="AZ59" i="259"/>
  <c r="AZ140" i="262"/>
  <c r="AW52" i="264"/>
  <c r="AW83" i="264" s="1"/>
  <c r="AY83" i="264" s="1"/>
  <c r="BE997" i="259"/>
  <c r="BE991" i="275"/>
  <c r="Z170" i="262"/>
  <c r="BD999" i="259"/>
  <c r="BD997" i="275"/>
  <c r="Z218" i="262"/>
  <c r="BC999" i="275"/>
  <c r="BC1008" i="259"/>
  <c r="BC835" i="259"/>
  <c r="Z169" i="262"/>
  <c r="Y223" i="262"/>
  <c r="CH29" i="267"/>
  <c r="CI3" i="267"/>
  <c r="CD44" i="267"/>
  <c r="CE4" i="267"/>
  <c r="BC1498" i="259"/>
  <c r="BC162" i="262" s="1"/>
  <c r="BD1498" i="259"/>
  <c r="BD162" i="262" s="1"/>
  <c r="BB178" i="262" l="1"/>
  <c r="BB54" i="262"/>
  <c r="BB835" i="275"/>
  <c r="BB1009" i="259"/>
  <c r="AI837" i="275"/>
  <c r="AI56" i="262"/>
  <c r="AI180" i="262"/>
  <c r="AI1009" i="259"/>
  <c r="BB1279" i="259"/>
  <c r="AI268" i="262"/>
  <c r="AZ59" i="275"/>
  <c r="AZ820" i="259"/>
  <c r="J52" i="264"/>
  <c r="L38" i="264"/>
  <c r="J39" i="264"/>
  <c r="AZ70" i="259"/>
  <c r="AW53" i="264"/>
  <c r="AW84" i="264" s="1"/>
  <c r="AY84" i="264" s="1"/>
  <c r="AY39" i="264"/>
  <c r="AW45" i="264"/>
  <c r="AY45" i="264" s="1"/>
  <c r="H27" i="276"/>
  <c r="AZ161" i="262"/>
  <c r="I12" i="273"/>
  <c r="L16" i="263"/>
  <c r="BE997" i="275"/>
  <c r="BE999" i="259"/>
  <c r="Z225" i="262"/>
  <c r="Z96" i="259"/>
  <c r="Z8" i="259"/>
  <c r="BB837" i="275"/>
  <c r="BB56" i="262"/>
  <c r="BB180" i="262"/>
  <c r="Z229" i="262"/>
  <c r="BC835" i="275"/>
  <c r="BC54" i="262"/>
  <c r="BC178" i="262"/>
  <c r="BC837" i="259"/>
  <c r="BC1009" i="259" s="1"/>
  <c r="BD1008" i="259"/>
  <c r="BD835" i="259"/>
  <c r="BD999" i="275"/>
  <c r="BC1008" i="275"/>
  <c r="BC1279" i="259"/>
  <c r="BC268" i="262" s="1"/>
  <c r="Z223" i="262"/>
  <c r="CI29" i="267"/>
  <c r="CJ3" i="267"/>
  <c r="CE44" i="267"/>
  <c r="CF4" i="267"/>
  <c r="BB1283" i="259" l="1"/>
  <c r="BB268" i="262"/>
  <c r="J53" i="264"/>
  <c r="J45" i="264"/>
  <c r="L45" i="264" s="1"/>
  <c r="L39" i="264"/>
  <c r="Z9" i="259"/>
  <c r="Z21" i="259" s="1"/>
  <c r="Z8" i="275"/>
  <c r="AZ71" i="259"/>
  <c r="AZ71" i="275" s="1"/>
  <c r="AZ70" i="275"/>
  <c r="J83" i="264"/>
  <c r="L83" i="264" s="1"/>
  <c r="L52" i="264"/>
  <c r="BD54" i="262"/>
  <c r="BD178" i="262"/>
  <c r="BE999" i="275"/>
  <c r="BE835" i="259"/>
  <c r="BE1008" i="259"/>
  <c r="Z136" i="262"/>
  <c r="BD835" i="275"/>
  <c r="BD837" i="259"/>
  <c r="BC837" i="275"/>
  <c r="BC180" i="262"/>
  <c r="BC56" i="262"/>
  <c r="BD1008" i="275"/>
  <c r="BD1279" i="259"/>
  <c r="BD268" i="262" s="1"/>
  <c r="AS11" i="264"/>
  <c r="AS12" i="264" s="1"/>
  <c r="AU12" i="264" s="1"/>
  <c r="CF44" i="267"/>
  <c r="CG4" i="267"/>
  <c r="CJ29" i="267"/>
  <c r="CK3" i="267"/>
  <c r="Z28" i="259" l="1"/>
  <c r="Z28" i="275" s="1"/>
  <c r="BB308" i="261"/>
  <c r="BB269" i="262"/>
  <c r="Z22" i="259"/>
  <c r="Z21" i="275"/>
  <c r="Z288" i="261"/>
  <c r="Z9" i="275"/>
  <c r="Z793" i="259"/>
  <c r="L53" i="264"/>
  <c r="J84" i="264"/>
  <c r="L84" i="264" s="1"/>
  <c r="BE178" i="262"/>
  <c r="BE837" i="259"/>
  <c r="BE835" i="275"/>
  <c r="BE54" i="262"/>
  <c r="BD1009" i="259"/>
  <c r="BD180" i="262"/>
  <c r="BD56" i="262"/>
  <c r="BE1279" i="259"/>
  <c r="BE268" i="262" s="1"/>
  <c r="BE1008" i="275"/>
  <c r="BD837" i="275"/>
  <c r="AS27" i="263"/>
  <c r="AU27" i="263" s="1"/>
  <c r="AU11" i="264"/>
  <c r="CK29" i="267"/>
  <c r="CL3" i="267"/>
  <c r="CG44" i="267"/>
  <c r="CH4" i="267"/>
  <c r="Z793" i="275" l="1"/>
  <c r="Z24" i="259"/>
  <c r="Z22" i="275"/>
  <c r="BE180" i="262"/>
  <c r="BE837" i="275"/>
  <c r="BE56" i="262"/>
  <c r="BE1009" i="259"/>
  <c r="Z102" i="262"/>
  <c r="CH44" i="267"/>
  <c r="CI4" i="267"/>
  <c r="CL29" i="267"/>
  <c r="CM3" i="267"/>
  <c r="Z13" i="259" l="1"/>
  <c r="Z24" i="275"/>
  <c r="CI44" i="267"/>
  <c r="CJ4" i="267"/>
  <c r="CM29" i="267"/>
  <c r="CN3" i="267"/>
  <c r="Z14" i="259" l="1"/>
  <c r="Z291" i="261"/>
  <c r="Z13" i="275"/>
  <c r="Z796" i="259"/>
  <c r="CJ44" i="267"/>
  <c r="CK4" i="267"/>
  <c r="CN29" i="267"/>
  <c r="CO3" i="267"/>
  <c r="AA96" i="259" l="1"/>
  <c r="AA8" i="259"/>
  <c r="Z14" i="275"/>
  <c r="Z27" i="259"/>
  <c r="Z30" i="259"/>
  <c r="Z30" i="275" s="1"/>
  <c r="Z26" i="259"/>
  <c r="Z26" i="275" s="1"/>
  <c r="Z796" i="275"/>
  <c r="Z797" i="259"/>
  <c r="CO29" i="267"/>
  <c r="CP3" i="267"/>
  <c r="CK44" i="267"/>
  <c r="CL4" i="267"/>
  <c r="AA9" i="259" l="1"/>
  <c r="AA28" i="259" s="1"/>
  <c r="AA28" i="275" s="1"/>
  <c r="AA8" i="275"/>
  <c r="Z797" i="275"/>
  <c r="Z1343" i="259"/>
  <c r="Z1345" i="259"/>
  <c r="Z804" i="259"/>
  <c r="Z1342" i="259"/>
  <c r="Z806" i="259"/>
  <c r="Z811" i="259"/>
  <c r="Z1292" i="259"/>
  <c r="Z1296" i="259" s="1"/>
  <c r="Z27" i="275"/>
  <c r="AA136" i="262"/>
  <c r="AW11" i="264"/>
  <c r="AZ1437" i="259"/>
  <c r="CL44" i="267"/>
  <c r="CM4" i="267"/>
  <c r="CP29" i="267"/>
  <c r="CQ3" i="267"/>
  <c r="AA21" i="259" l="1"/>
  <c r="AA21" i="275" s="1"/>
  <c r="AA793" i="259"/>
  <c r="AA793" i="275" s="1"/>
  <c r="AA288" i="261"/>
  <c r="AA9" i="275"/>
  <c r="AA22" i="259"/>
  <c r="AA22" i="275" s="1"/>
  <c r="AA1489" i="259"/>
  <c r="Z1344" i="259"/>
  <c r="Z1346" i="259" s="1"/>
  <c r="Z1347" i="259" s="1"/>
  <c r="Z1348" i="259" s="1"/>
  <c r="AW27" i="263"/>
  <c r="AY27" i="263" s="1"/>
  <c r="Z806" i="275"/>
  <c r="AZ1369" i="259"/>
  <c r="AZ1441" i="259" s="1"/>
  <c r="AZ1445" i="259" s="1"/>
  <c r="AZ1438" i="259"/>
  <c r="Z807" i="259"/>
  <c r="Z807" i="275" s="1"/>
  <c r="Z804" i="275"/>
  <c r="AW12" i="264"/>
  <c r="AY12" i="264" s="1"/>
  <c r="AY11" i="264"/>
  <c r="Z813" i="259"/>
  <c r="Z813" i="275" s="1"/>
  <c r="Z811" i="275"/>
  <c r="CM44" i="267"/>
  <c r="CN4" i="267"/>
  <c r="CQ29" i="267"/>
  <c r="CR3" i="267"/>
  <c r="AA24" i="259" l="1"/>
  <c r="AA1490" i="259"/>
  <c r="AA1492" i="259"/>
  <c r="AA1491" i="259"/>
  <c r="H36" i="276"/>
  <c r="I27" i="273"/>
  <c r="AZ1443" i="259"/>
  <c r="AZ1442" i="259"/>
  <c r="AZ339" i="261" s="1"/>
  <c r="AA102" i="262"/>
  <c r="CN44" i="267"/>
  <c r="CO4" i="267"/>
  <c r="CR29" i="267"/>
  <c r="CS3" i="267"/>
  <c r="AA13" i="259" l="1"/>
  <c r="AA796" i="259" s="1"/>
  <c r="AA24" i="275"/>
  <c r="CS29" i="267"/>
  <c r="CT3" i="267"/>
  <c r="CO44" i="267"/>
  <c r="CP4" i="267"/>
  <c r="AA14" i="259" l="1"/>
  <c r="AA14" i="275" s="1"/>
  <c r="AA797" i="259"/>
  <c r="AA797" i="275" s="1"/>
  <c r="AA796" i="275"/>
  <c r="AA13" i="275"/>
  <c r="AA291" i="261"/>
  <c r="CP44" i="267"/>
  <c r="CQ4" i="267"/>
  <c r="CT29" i="267"/>
  <c r="CU3" i="267"/>
  <c r="AA1342" i="259" l="1"/>
  <c r="AA806" i="259"/>
  <c r="AA27" i="259"/>
  <c r="AA1292" i="259" s="1"/>
  <c r="AA1296" i="259" s="1"/>
  <c r="AA26" i="259"/>
  <c r="AA26" i="275" s="1"/>
  <c r="AA1343" i="259"/>
  <c r="AA1344" i="259" s="1"/>
  <c r="AA804" i="259"/>
  <c r="AA807" i="259" s="1"/>
  <c r="AA807" i="275" s="1"/>
  <c r="AA1345" i="259"/>
  <c r="CQ44" i="267"/>
  <c r="CR4" i="267"/>
  <c r="CU29" i="267"/>
  <c r="CV3" i="267"/>
  <c r="AA27" i="275" l="1"/>
  <c r="AA806" i="275"/>
  <c r="AA1346" i="259"/>
  <c r="AA1347" i="259" s="1"/>
  <c r="AA1348" i="259" s="1"/>
  <c r="AA804" i="275"/>
  <c r="CV29" i="267"/>
  <c r="CW3" i="267"/>
  <c r="CR44" i="267"/>
  <c r="CS4" i="267"/>
  <c r="CW29" i="267" l="1"/>
  <c r="CX3" i="267"/>
  <c r="CS44" i="267"/>
  <c r="CT4" i="267"/>
  <c r="CX29" i="267" l="1"/>
  <c r="CY3" i="267"/>
  <c r="CT44" i="267"/>
  <c r="CU4" i="267"/>
  <c r="CY29" i="267" l="1"/>
  <c r="CZ3" i="267"/>
  <c r="CU44" i="267"/>
  <c r="CV4" i="267"/>
  <c r="CV44" i="267" l="1"/>
  <c r="CW4" i="267"/>
  <c r="CZ29" i="267"/>
  <c r="DA3" i="267"/>
  <c r="CW44" i="267" l="1"/>
  <c r="CX4" i="267"/>
  <c r="DA29" i="267"/>
  <c r="DB3" i="267"/>
  <c r="AO29" i="263"/>
  <c r="DB29" i="267" l="1"/>
  <c r="DC3" i="267"/>
  <c r="CX44" i="267"/>
  <c r="CY4" i="267"/>
  <c r="AQ29" i="263"/>
  <c r="AO15" i="264"/>
  <c r="DC29" i="267" l="1"/>
  <c r="DD3" i="267"/>
  <c r="CY44" i="267"/>
  <c r="CZ4" i="267"/>
  <c r="AQ15" i="264"/>
  <c r="CZ44" i="267" l="1"/>
  <c r="DA4" i="267"/>
  <c r="DD29" i="267"/>
  <c r="DE3" i="267"/>
  <c r="DE29" i="267" l="1"/>
  <c r="DF3" i="267"/>
  <c r="DA44" i="267"/>
  <c r="DB4" i="267"/>
  <c r="DF29" i="267" l="1"/>
  <c r="DG3" i="267"/>
  <c r="DB44" i="267"/>
  <c r="DC4" i="267"/>
  <c r="DG29" i="267" l="1"/>
  <c r="DH3" i="267"/>
  <c r="DC44" i="267"/>
  <c r="DD4" i="267"/>
  <c r="DD44" i="267" l="1"/>
  <c r="DE4" i="267"/>
  <c r="DH29" i="267"/>
  <c r="DI3" i="267"/>
  <c r="DI29" i="267" l="1"/>
  <c r="DJ3" i="267"/>
  <c r="DE44" i="267"/>
  <c r="DF4" i="267"/>
  <c r="DF44" i="267" l="1"/>
  <c r="DG4" i="267"/>
  <c r="DJ29" i="267"/>
  <c r="DK3" i="267"/>
  <c r="DG44" i="267" l="1"/>
  <c r="DH4" i="267"/>
  <c r="DK29" i="267"/>
  <c r="DL3" i="267"/>
  <c r="DL29" i="267" l="1"/>
  <c r="DM3" i="267"/>
  <c r="DH44" i="267"/>
  <c r="DI4" i="267"/>
  <c r="DI44" i="267" l="1"/>
  <c r="DJ4" i="267"/>
  <c r="DM29" i="267"/>
  <c r="DN3" i="267"/>
  <c r="DN29" i="267" l="1"/>
  <c r="DO3" i="267"/>
  <c r="DJ44" i="267"/>
  <c r="DK4" i="267"/>
  <c r="Y247" i="262"/>
  <c r="DO29" i="267" l="1"/>
  <c r="DP3" i="267"/>
  <c r="DK44" i="267"/>
  <c r="DL4" i="267"/>
  <c r="Z247" i="262"/>
  <c r="Y244" i="262" l="1"/>
  <c r="V325" i="261"/>
  <c r="DL44" i="267"/>
  <c r="DM4" i="267"/>
  <c r="DP29" i="267"/>
  <c r="DQ3" i="267"/>
  <c r="AA247" i="262"/>
  <c r="Z243" i="262"/>
  <c r="Y243" i="262"/>
  <c r="Z244" i="262" l="1"/>
  <c r="DQ29" i="267"/>
  <c r="DR3" i="267"/>
  <c r="DM44" i="267"/>
  <c r="DN4" i="267"/>
  <c r="AB247" i="262"/>
  <c r="AA244" i="262" l="1"/>
  <c r="DN44" i="267"/>
  <c r="DO4" i="267"/>
  <c r="DR29" i="267"/>
  <c r="DS3" i="267"/>
  <c r="AZ1333" i="259"/>
  <c r="AZ1334" i="259"/>
  <c r="AC1335" i="259"/>
  <c r="AC247" i="262" s="1"/>
  <c r="AB1294" i="259"/>
  <c r="AZ324" i="261" l="1"/>
  <c r="H34" i="276"/>
  <c r="AB244" i="262"/>
  <c r="AZ1335" i="259"/>
  <c r="AZ317" i="261" s="1"/>
  <c r="AZ318" i="261" s="1"/>
  <c r="AZ244" i="262"/>
  <c r="AZ1294" i="259"/>
  <c r="AA243" i="262"/>
  <c r="DS29" i="267"/>
  <c r="DT3" i="267"/>
  <c r="DO44" i="267"/>
  <c r="DP4" i="267"/>
  <c r="AD1335" i="259"/>
  <c r="AD247" i="262" s="1"/>
  <c r="AC1333" i="259"/>
  <c r="AC1334" i="259"/>
  <c r="AC1294" i="259" s="1"/>
  <c r="AC243" i="262" s="1"/>
  <c r="AC317" i="261"/>
  <c r="AB243" i="262"/>
  <c r="I14" i="273" l="1"/>
  <c r="AC324" i="261"/>
  <c r="AZ243" i="262"/>
  <c r="Z12" i="267"/>
  <c r="AC244" i="262"/>
  <c r="AZ1336" i="259"/>
  <c r="AZ319" i="261" s="1"/>
  <c r="AZ247" i="262"/>
  <c r="DP44" i="267"/>
  <c r="DQ4" i="267"/>
  <c r="DT29" i="267"/>
  <c r="DU3" i="267"/>
  <c r="AE1335" i="259"/>
  <c r="AD317" i="261"/>
  <c r="AD1334" i="259"/>
  <c r="AD1333" i="259"/>
  <c r="Z325" i="261" l="1"/>
  <c r="AE247" i="262"/>
  <c r="AF1335" i="259"/>
  <c r="AD244" i="262"/>
  <c r="AD324" i="261"/>
  <c r="Z18" i="267"/>
  <c r="DQ44" i="267"/>
  <c r="DR4" i="267"/>
  <c r="DU29" i="267"/>
  <c r="AD1294" i="259"/>
  <c r="AD243" i="262" s="1"/>
  <c r="AE317" i="261"/>
  <c r="AE1333" i="259"/>
  <c r="AE324" i="261" s="1"/>
  <c r="AE1334" i="259"/>
  <c r="AE1294" i="259" s="1"/>
  <c r="AE243" i="262" s="1"/>
  <c r="AF247" i="262" l="1"/>
  <c r="AF317" i="261"/>
  <c r="AF1334" i="259"/>
  <c r="AG1335" i="259"/>
  <c r="AF1333" i="259"/>
  <c r="AE244" i="262"/>
  <c r="DR44" i="267"/>
  <c r="DS4" i="267"/>
  <c r="BA1333" i="259"/>
  <c r="I34" i="276" s="1"/>
  <c r="BA1294" i="259"/>
  <c r="BA1334" i="259"/>
  <c r="AG317" i="261" l="1"/>
  <c r="AG247" i="262"/>
  <c r="AH1335" i="259"/>
  <c r="AG1334" i="259"/>
  <c r="AG1294" i="259" s="1"/>
  <c r="AG243" i="262" s="1"/>
  <c r="AG1333" i="259"/>
  <c r="AF1294" i="259"/>
  <c r="AF243" i="262" s="1"/>
  <c r="AF324" i="261"/>
  <c r="AF244" i="262"/>
  <c r="BA244" i="262"/>
  <c r="BA324" i="261"/>
  <c r="BA243" i="262"/>
  <c r="AA12" i="267"/>
  <c r="DS44" i="267"/>
  <c r="DT4" i="267"/>
  <c r="BA1335" i="259"/>
  <c r="BA247" i="262" s="1"/>
  <c r="AH317" i="261" l="1"/>
  <c r="AH247" i="262"/>
  <c r="AI1335" i="259"/>
  <c r="AH1334" i="259"/>
  <c r="AH1333" i="259"/>
  <c r="AG324" i="261"/>
  <c r="AD325" i="261" s="1"/>
  <c r="AG244" i="262"/>
  <c r="AA18" i="267"/>
  <c r="DT44" i="267"/>
  <c r="DU4" i="267"/>
  <c r="DU44" i="267" s="1"/>
  <c r="BA317" i="261"/>
  <c r="BA318" i="261" s="1"/>
  <c r="AH1294" i="259" l="1"/>
  <c r="AH243" i="262" s="1"/>
  <c r="AI317" i="261"/>
  <c r="AI247" i="262"/>
  <c r="AI1334" i="259"/>
  <c r="AI1294" i="259" s="1"/>
  <c r="AI1333" i="259"/>
  <c r="AH324" i="261"/>
  <c r="AH244" i="262"/>
  <c r="BB1334" i="259" l="1"/>
  <c r="AI244" i="262"/>
  <c r="AI324" i="261"/>
  <c r="AH325" i="261" s="1"/>
  <c r="BB1333" i="259"/>
  <c r="BB1294" i="259"/>
  <c r="AI243" i="262"/>
  <c r="AH326" i="261" l="1"/>
  <c r="AH327" i="261"/>
  <c r="BB324" i="261"/>
  <c r="BB1335" i="259"/>
  <c r="BB317" i="261" s="1"/>
  <c r="BB318" i="261" s="1"/>
  <c r="BB247" i="262" l="1"/>
  <c r="BC1335" i="259" l="1"/>
  <c r="J34" i="276" l="1"/>
  <c r="BC247" i="262"/>
  <c r="AB12" i="267"/>
  <c r="BB243" i="262"/>
  <c r="BB244" i="262"/>
  <c r="BC317" i="261"/>
  <c r="BC1334" i="259"/>
  <c r="BC1294" i="259" s="1"/>
  <c r="BD1335" i="259"/>
  <c r="BC1333" i="259"/>
  <c r="BE1335" i="259" l="1"/>
  <c r="BD247" i="262"/>
  <c r="BC324" i="261"/>
  <c r="K34" i="276"/>
  <c r="AB18" i="267"/>
  <c r="BC244" i="262"/>
  <c r="AC12" i="267"/>
  <c r="AC18" i="267" s="1"/>
  <c r="BC243" i="262"/>
  <c r="BD317" i="261"/>
  <c r="BD1333" i="259"/>
  <c r="BD1334" i="259"/>
  <c r="BD1294" i="259" s="1"/>
  <c r="BD243" i="262" s="1"/>
  <c r="BE317" i="261" l="1"/>
  <c r="BE247" i="262"/>
  <c r="BE1333" i="259"/>
  <c r="BE1334" i="259"/>
  <c r="BE1294" i="259" s="1"/>
  <c r="BD324" i="261"/>
  <c r="BD244" i="262"/>
  <c r="AD12" i="267"/>
  <c r="AD18" i="267" s="1"/>
  <c r="BE243" i="262" l="1"/>
  <c r="AE12" i="267"/>
  <c r="AE18" i="267" s="1"/>
  <c r="BE324" i="261"/>
  <c r="BE244" i="262"/>
  <c r="AZ269" i="262" l="1"/>
  <c r="AZ308" i="261"/>
  <c r="BC600" i="259" l="1"/>
  <c r="Y501" i="259"/>
  <c r="Y7" i="259"/>
  <c r="Y501" i="275" l="1"/>
  <c r="AC501" i="275"/>
  <c r="AZ7" i="259"/>
  <c r="AZ8" i="277" s="1"/>
  <c r="AZ39" i="277" s="1"/>
  <c r="H70" i="276" s="1"/>
  <c r="Y7" i="275"/>
  <c r="AC7" i="275"/>
  <c r="BC598" i="259"/>
  <c r="BC600" i="275"/>
  <c r="BD600" i="259"/>
  <c r="BE600" i="275" s="1"/>
  <c r="Y135" i="262"/>
  <c r="AO9" i="264"/>
  <c r="Y502" i="259"/>
  <c r="Y1620" i="259"/>
  <c r="BA600" i="259"/>
  <c r="J9" i="264" l="1"/>
  <c r="L9" i="264" s="1"/>
  <c r="BA7" i="275"/>
  <c r="AZ135" i="262"/>
  <c r="AZ7" i="275"/>
  <c r="Y502" i="275"/>
  <c r="Y213" i="261"/>
  <c r="AC502" i="275"/>
  <c r="BA598" i="259"/>
  <c r="BA598" i="275" s="1"/>
  <c r="BA600" i="275"/>
  <c r="BD598" i="259"/>
  <c r="BD600" i="275"/>
  <c r="BB600" i="275"/>
  <c r="AZ656" i="259"/>
  <c r="Y284" i="262"/>
  <c r="Y1623" i="259"/>
  <c r="Y286" i="262" s="1"/>
  <c r="Y1621" i="259"/>
  <c r="AQ9" i="264"/>
  <c r="BB598" i="275" l="1"/>
  <c r="BD598" i="275"/>
  <c r="BE598" i="275"/>
  <c r="AZ658" i="259"/>
  <c r="AZ1548" i="259" s="1"/>
  <c r="AZ656" i="275"/>
  <c r="BC598" i="275"/>
  <c r="Y285" i="262"/>
  <c r="Y1627" i="259"/>
  <c r="Y288" i="262" s="1"/>
  <c r="Y96" i="259"/>
  <c r="Y8" i="259"/>
  <c r="Y8" i="275" l="1"/>
  <c r="AZ653" i="259"/>
  <c r="AZ654" i="259" s="1"/>
  <c r="AZ658" i="275"/>
  <c r="AO11" i="264"/>
  <c r="Y136" i="262"/>
  <c r="AZ8" i="259"/>
  <c r="Y9" i="259"/>
  <c r="Y9" i="275" l="1"/>
  <c r="Y288" i="261"/>
  <c r="Y793" i="259"/>
  <c r="AZ9" i="277"/>
  <c r="AZ40" i="277" s="1"/>
  <c r="H83" i="276"/>
  <c r="AZ653" i="275"/>
  <c r="AZ8" i="275"/>
  <c r="AZ247" i="261"/>
  <c r="AZ654" i="275"/>
  <c r="AO27" i="263"/>
  <c r="AQ27" i="263" s="1"/>
  <c r="Y28" i="259"/>
  <c r="Y21" i="259"/>
  <c r="AZ136" i="262"/>
  <c r="J11" i="264"/>
  <c r="AZ9" i="259"/>
  <c r="AZ10" i="277" s="1"/>
  <c r="AZ41" i="277" s="1"/>
  <c r="AQ11" i="264"/>
  <c r="AO12" i="264"/>
  <c r="AQ12" i="264" s="1"/>
  <c r="Y1489" i="259" l="1"/>
  <c r="Y21" i="275"/>
  <c r="Y793" i="275"/>
  <c r="Y28" i="275"/>
  <c r="AZ9" i="275"/>
  <c r="AZ288" i="261"/>
  <c r="J27" i="263"/>
  <c r="L27" i="263" s="1"/>
  <c r="AZ28" i="259"/>
  <c r="AZ793" i="259"/>
  <c r="Y22" i="259"/>
  <c r="Y22" i="275" s="1"/>
  <c r="L11" i="264"/>
  <c r="J12" i="264"/>
  <c r="L12" i="264" s="1"/>
  <c r="Y102" i="262"/>
  <c r="AZ28" i="275" l="1"/>
  <c r="AZ793" i="275"/>
  <c r="Y1490" i="259"/>
  <c r="Y1491" i="259"/>
  <c r="Y1492" i="259"/>
  <c r="Y24" i="259"/>
  <c r="Y24" i="275" s="1"/>
  <c r="AZ102" i="262"/>
  <c r="Y13" i="259" l="1"/>
  <c r="Y13" i="275" s="1"/>
  <c r="Y796" i="259" l="1"/>
  <c r="Y291" i="261"/>
  <c r="AS29" i="263"/>
  <c r="AO30" i="263"/>
  <c r="Y14" i="259"/>
  <c r="Y14" i="275" s="1"/>
  <c r="Y797" i="259" l="1"/>
  <c r="Y797" i="275" s="1"/>
  <c r="Y796" i="275"/>
  <c r="AZ12" i="259"/>
  <c r="AZ12" i="275" s="1"/>
  <c r="Z1489" i="259"/>
  <c r="AU29" i="263"/>
  <c r="AS15" i="264"/>
  <c r="AU15" i="264" s="1"/>
  <c r="Y26" i="259"/>
  <c r="Y26" i="275" s="1"/>
  <c r="AO31" i="263"/>
  <c r="Y30" i="259"/>
  <c r="Y30" i="275" s="1"/>
  <c r="Y27" i="259"/>
  <c r="Y104" i="262"/>
  <c r="AO16" i="264"/>
  <c r="AQ16" i="264" s="1"/>
  <c r="AQ30" i="263"/>
  <c r="AW29" i="263"/>
  <c r="Y1485" i="259" l="1"/>
  <c r="Y1343" i="259"/>
  <c r="Y1342" i="259"/>
  <c r="Y811" i="259"/>
  <c r="Y811" i="275" s="1"/>
  <c r="Y1486" i="259"/>
  <c r="Y1481" i="259"/>
  <c r="Y1483" i="259"/>
  <c r="Y198" i="262" s="1"/>
  <c r="Y806" i="259"/>
  <c r="Y1482" i="259"/>
  <c r="Y1484" i="259"/>
  <c r="Y804" i="259"/>
  <c r="Y804" i="275" s="1"/>
  <c r="Y1345" i="259"/>
  <c r="Y1480" i="259"/>
  <c r="Y1292" i="259"/>
  <c r="Y1296" i="259" s="1"/>
  <c r="AZ1296" i="259" s="1"/>
  <c r="Y27" i="275"/>
  <c r="AZ290" i="261"/>
  <c r="J29" i="263"/>
  <c r="L29" i="263" s="1"/>
  <c r="AZ21" i="259"/>
  <c r="AZ21" i="275" s="1"/>
  <c r="AY29" i="263"/>
  <c r="AW15" i="264"/>
  <c r="AY15" i="264" s="1"/>
  <c r="AZ795" i="259"/>
  <c r="AZ795" i="275" s="1"/>
  <c r="AO35" i="263"/>
  <c r="Y105" i="262"/>
  <c r="AQ31" i="263"/>
  <c r="AO18" i="264"/>
  <c r="AQ18" i="264" s="1"/>
  <c r="Y813" i="259" l="1"/>
  <c r="Y813" i="275" s="1"/>
  <c r="Y807" i="259"/>
  <c r="Y807" i="275" s="1"/>
  <c r="Z1336" i="259"/>
  <c r="Z319" i="261" s="1"/>
  <c r="AA1336" i="259"/>
  <c r="AA319" i="261" s="1"/>
  <c r="Y254" i="262"/>
  <c r="Y1344" i="259"/>
  <c r="Y1346" i="259" s="1"/>
  <c r="Y1347" i="259" s="1"/>
  <c r="Y1348" i="259" s="1"/>
  <c r="Y806" i="275"/>
  <c r="Y1336" i="259"/>
  <c r="Y319" i="261" s="1"/>
  <c r="J15" i="264"/>
  <c r="L15" i="264" s="1"/>
  <c r="AZ1489" i="259"/>
  <c r="H18" i="276" s="1"/>
  <c r="AZ22" i="259"/>
  <c r="AZ22" i="275" s="1"/>
  <c r="AZ13" i="259"/>
  <c r="AZ13" i="275" s="1"/>
  <c r="AS30" i="263"/>
  <c r="AW30" i="263"/>
  <c r="Y77" i="259"/>
  <c r="Y77" i="275" s="1"/>
  <c r="Y195" i="262"/>
  <c r="Y112" i="262"/>
  <c r="Y121" i="262"/>
  <c r="Y122" i="262"/>
  <c r="Y114" i="262"/>
  <c r="Y253" i="262"/>
  <c r="AQ35" i="263"/>
  <c r="AQ33" i="263" s="1"/>
  <c r="AO22" i="264"/>
  <c r="AQ36" i="263"/>
  <c r="Y235" i="262"/>
  <c r="Y236" i="262"/>
  <c r="Y237" i="262"/>
  <c r="Y115" i="262" l="1"/>
  <c r="AZ24" i="259"/>
  <c r="AZ24" i="275" s="1"/>
  <c r="AW31" i="263"/>
  <c r="AA30" i="259"/>
  <c r="AA30" i="275" s="1"/>
  <c r="AS16" i="264"/>
  <c r="AU16" i="264" s="1"/>
  <c r="AU30" i="263"/>
  <c r="J30" i="263"/>
  <c r="AZ14" i="259"/>
  <c r="AZ291" i="261"/>
  <c r="AZ796" i="259"/>
  <c r="AZ796" i="275" s="1"/>
  <c r="AA104" i="262"/>
  <c r="AW16" i="264"/>
  <c r="AY16" i="264" s="1"/>
  <c r="AY30" i="263"/>
  <c r="AS31" i="263"/>
  <c r="Z104" i="262"/>
  <c r="Y239" i="262"/>
  <c r="Y255" i="262"/>
  <c r="Y258" i="262"/>
  <c r="Y174" i="262"/>
  <c r="AQ23" i="264"/>
  <c r="AQ22" i="264"/>
  <c r="AQ20" i="264" s="1"/>
  <c r="AO118" i="264"/>
  <c r="AQ118" i="264" s="1"/>
  <c r="AZ14" i="275" l="1"/>
  <c r="H20" i="276"/>
  <c r="Z255" i="262"/>
  <c r="AA31" i="259"/>
  <c r="AA31" i="275" s="1"/>
  <c r="AZ23" i="259"/>
  <c r="AU31" i="263"/>
  <c r="AS18" i="264"/>
  <c r="AU18" i="264" s="1"/>
  <c r="AA105" i="262"/>
  <c r="AW35" i="263"/>
  <c r="AZ104" i="262"/>
  <c r="AZ797" i="259"/>
  <c r="AZ797" i="275" s="1"/>
  <c r="L30" i="263"/>
  <c r="J16" i="264"/>
  <c r="L16" i="264" s="1"/>
  <c r="Z105" i="262"/>
  <c r="Z1483" i="259"/>
  <c r="Z198" i="262" s="1"/>
  <c r="Z1480" i="259"/>
  <c r="Z77" i="259" s="1"/>
  <c r="Z77" i="275" s="1"/>
  <c r="AS35" i="263"/>
  <c r="AZ26" i="259"/>
  <c r="AZ26" i="275" s="1"/>
  <c r="AZ30" i="259"/>
  <c r="AZ27" i="259"/>
  <c r="AZ27" i="275" s="1"/>
  <c r="J31" i="263"/>
  <c r="AY31" i="263"/>
  <c r="AW18" i="264"/>
  <c r="AY18" i="264" s="1"/>
  <c r="Y176" i="262"/>
  <c r="Y211" i="262"/>
  <c r="Y210" i="262"/>
  <c r="Y256" i="262"/>
  <c r="Y240" i="262"/>
  <c r="AZ30" i="275" l="1"/>
  <c r="H22" i="276"/>
  <c r="H23" i="276"/>
  <c r="AZ1292" i="259"/>
  <c r="AZ1297" i="259" s="1"/>
  <c r="AZ1299" i="259" s="1"/>
  <c r="AZ31" i="259"/>
  <c r="AZ31" i="275" s="1"/>
  <c r="AZ23" i="275"/>
  <c r="Z258" i="262"/>
  <c r="Z6" i="267"/>
  <c r="Z17" i="267" s="1"/>
  <c r="Z19" i="267" s="1"/>
  <c r="J35" i="263"/>
  <c r="AZ865" i="259"/>
  <c r="AZ865" i="275" s="1"/>
  <c r="Z235" i="262"/>
  <c r="AA253" i="262"/>
  <c r="AA114" i="262"/>
  <c r="AA122" i="262"/>
  <c r="AS22" i="264"/>
  <c r="AU36" i="263"/>
  <c r="AU35" i="263"/>
  <c r="AU33" i="263" s="1"/>
  <c r="Z195" i="262"/>
  <c r="AW22" i="264"/>
  <c r="AY35" i="263"/>
  <c r="AY33" i="263" s="1"/>
  <c r="AY36" i="263"/>
  <c r="AA235" i="262"/>
  <c r="L31" i="263"/>
  <c r="J18" i="264"/>
  <c r="L18" i="264" s="1"/>
  <c r="Z236" i="262"/>
  <c r="Z237" i="262"/>
  <c r="AA121" i="262"/>
  <c r="AA112" i="262"/>
  <c r="Z114" i="262"/>
  <c r="Z122" i="262"/>
  <c r="Z253" i="262"/>
  <c r="Z112" i="262"/>
  <c r="Z121" i="262"/>
  <c r="AZ105" i="262"/>
  <c r="AZ1483" i="259"/>
  <c r="AZ198" i="262" s="1"/>
  <c r="AZ806" i="259"/>
  <c r="AZ806" i="275" s="1"/>
  <c r="AZ1343" i="259"/>
  <c r="AZ1480" i="259"/>
  <c r="AZ1342" i="259"/>
  <c r="AZ1345" i="259"/>
  <c r="AZ804" i="259"/>
  <c r="AZ804" i="275" s="1"/>
  <c r="AA236" i="262"/>
  <c r="AA237" i="262"/>
  <c r="Y175" i="262"/>
  <c r="Y190" i="262"/>
  <c r="Y199" i="262"/>
  <c r="Y196" i="262"/>
  <c r="AZ919" i="259" l="1"/>
  <c r="AZ919" i="275" s="1"/>
  <c r="Z190" i="262"/>
  <c r="Z174" i="262"/>
  <c r="AA174" i="262"/>
  <c r="AZ1302" i="259"/>
  <c r="AZ1303" i="259" s="1"/>
  <c r="AZ258" i="262" s="1"/>
  <c r="AA115" i="262"/>
  <c r="Z115" i="262"/>
  <c r="Z254" i="262"/>
  <c r="Z8" i="267"/>
  <c r="Z40" i="267" s="1"/>
  <c r="AZ112" i="262"/>
  <c r="AZ807" i="259"/>
  <c r="AZ121" i="262"/>
  <c r="AZ77" i="259"/>
  <c r="AZ77" i="275" s="1"/>
  <c r="AZ195" i="262"/>
  <c r="AZ237" i="262"/>
  <c r="AZ236" i="262"/>
  <c r="AA239" i="262"/>
  <c r="BA1336" i="259"/>
  <c r="BA319" i="261" s="1"/>
  <c r="AZ122" i="262"/>
  <c r="AZ114" i="262"/>
  <c r="AZ253" i="262"/>
  <c r="AY23" i="264"/>
  <c r="AW118" i="264"/>
  <c r="AY118" i="264" s="1"/>
  <c r="AY22" i="264"/>
  <c r="AY20" i="264" s="1"/>
  <c r="Z239" i="262"/>
  <c r="L36" i="263"/>
  <c r="J22" i="264"/>
  <c r="L35" i="263"/>
  <c r="L33" i="263" s="1"/>
  <c r="AZ235" i="262"/>
  <c r="AZ1344" i="259"/>
  <c r="AS118" i="264"/>
  <c r="AU118" i="264" s="1"/>
  <c r="AU22" i="264"/>
  <c r="AU20" i="264" s="1"/>
  <c r="AU23" i="264"/>
  <c r="Y216" i="262"/>
  <c r="Y230" i="262"/>
  <c r="Y189" i="262"/>
  <c r="Y197" i="262"/>
  <c r="AA16" i="267"/>
  <c r="Z26" i="267"/>
  <c r="Z28" i="267" s="1"/>
  <c r="Z30" i="267" s="1"/>
  <c r="Y172" i="262"/>
  <c r="Z256" i="262" l="1"/>
  <c r="Z1491" i="259"/>
  <c r="Z210" i="262"/>
  <c r="Z176" i="262"/>
  <c r="Z1485" i="259"/>
  <c r="Z199" i="262" s="1"/>
  <c r="Z211" i="262"/>
  <c r="Z175" i="262"/>
  <c r="AZ255" i="262"/>
  <c r="AA255" i="262"/>
  <c r="AZ866" i="259"/>
  <c r="AZ1306" i="259"/>
  <c r="AZ1312" i="259" s="1"/>
  <c r="BA1291" i="259"/>
  <c r="AZ115" i="262"/>
  <c r="AZ807" i="275"/>
  <c r="Z1494" i="259"/>
  <c r="Z196" i="262" s="1"/>
  <c r="Z1484" i="259"/>
  <c r="Z43" i="267"/>
  <c r="Z45" i="267" s="1"/>
  <c r="Z13" i="267"/>
  <c r="Z240" i="262"/>
  <c r="J118" i="264"/>
  <c r="L118" i="264" s="1"/>
  <c r="L22" i="264"/>
  <c r="L20" i="264" s="1"/>
  <c r="L23" i="264"/>
  <c r="AA240" i="262"/>
  <c r="AZ1346" i="259"/>
  <c r="AZ239" i="262"/>
  <c r="AA39" i="267"/>
  <c r="AA35" i="267" s="1"/>
  <c r="Y213" i="262"/>
  <c r="Z41" i="267"/>
  <c r="V16" i="267"/>
  <c r="Y1384" i="259"/>
  <c r="Y1408" i="259" s="1"/>
  <c r="Y222" i="262"/>
  <c r="Z213" i="262" l="1"/>
  <c r="Z230" i="262"/>
  <c r="Z216" i="262"/>
  <c r="Z1482" i="259"/>
  <c r="AZ1315" i="259"/>
  <c r="AZ256" i="262" s="1"/>
  <c r="AZ20" i="277"/>
  <c r="AA258" i="262"/>
  <c r="AZ176" i="262"/>
  <c r="AZ1446" i="259"/>
  <c r="AZ1447" i="259" s="1"/>
  <c r="AZ1374" i="259"/>
  <c r="AZ1360" i="259"/>
  <c r="Z172" i="262"/>
  <c r="Z1481" i="259"/>
  <c r="Z197" i="262" s="1"/>
  <c r="Z1490" i="259"/>
  <c r="Z189" i="262"/>
  <c r="AZ868" i="259"/>
  <c r="AZ866" i="275"/>
  <c r="AA1484" i="259"/>
  <c r="AZ1347" i="259"/>
  <c r="AZ1348" i="259" s="1"/>
  <c r="AZ240" i="262"/>
  <c r="Y1393" i="259"/>
  <c r="Y1398" i="259" s="1"/>
  <c r="Y1385" i="259"/>
  <c r="Y1409" i="259" s="1"/>
  <c r="Y226" i="262"/>
  <c r="Z1407" i="259"/>
  <c r="Z1384" i="259"/>
  <c r="Z222" i="262" l="1"/>
  <c r="AA189" i="262"/>
  <c r="AA256" i="262"/>
  <c r="Z1393" i="259"/>
  <c r="Z1398" i="259" s="1"/>
  <c r="Z1596" i="259"/>
  <c r="Z1486" i="259"/>
  <c r="Z1492" i="259"/>
  <c r="AA175" i="262"/>
  <c r="H10" i="276"/>
  <c r="AZ30" i="277"/>
  <c r="AZ18" i="277"/>
  <c r="AZ920" i="259"/>
  <c r="AZ922" i="259" s="1"/>
  <c r="AA176" i="262"/>
  <c r="AZ1313" i="259"/>
  <c r="AZ1491" i="259" s="1"/>
  <c r="AA1485" i="259"/>
  <c r="AA199" i="262" s="1"/>
  <c r="AA190" i="262"/>
  <c r="AZ868" i="275"/>
  <c r="AZ174" i="262"/>
  <c r="AZ870" i="259"/>
  <c r="Z226" i="262"/>
  <c r="Y217" i="262"/>
  <c r="Y1596" i="259"/>
  <c r="AA1481" i="259" l="1"/>
  <c r="AA197" i="262" s="1"/>
  <c r="AZ1482" i="259"/>
  <c r="AZ191" i="262"/>
  <c r="AA191" i="262"/>
  <c r="I8" i="273"/>
  <c r="AZ43" i="277"/>
  <c r="H8" i="276"/>
  <c r="H16" i="276"/>
  <c r="AZ28" i="277"/>
  <c r="AZ920" i="275"/>
  <c r="AZ190" i="262"/>
  <c r="AZ1485" i="259"/>
  <c r="AZ199" i="262" s="1"/>
  <c r="AZ1481" i="259"/>
  <c r="AZ197" i="262" s="1"/>
  <c r="AZ189" i="262"/>
  <c r="AZ870" i="275"/>
  <c r="AZ924" i="259"/>
  <c r="AZ1490" i="259"/>
  <c r="AZ922" i="275"/>
  <c r="Y214" i="262"/>
  <c r="Z1408" i="259"/>
  <c r="Z217" i="262"/>
  <c r="AZ1370" i="259" l="1"/>
  <c r="AZ1451" i="259"/>
  <c r="AZ924" i="275"/>
  <c r="AZ1484" i="259"/>
  <c r="AZ926" i="259"/>
  <c r="AZ1494" i="259"/>
  <c r="AZ196" i="262" s="1"/>
  <c r="Z214" i="262"/>
  <c r="AA230" i="262" l="1"/>
  <c r="AA216" i="262"/>
  <c r="AZ1371" i="259"/>
  <c r="AZ1449" i="259"/>
  <c r="AA1482" i="259"/>
  <c r="AA1486" i="259"/>
  <c r="AZ1452" i="259"/>
  <c r="AZ913" i="259"/>
  <c r="AZ913" i="275" s="1"/>
  <c r="AZ926" i="275"/>
  <c r="AZ230" i="262" l="1"/>
  <c r="AZ216" i="262"/>
  <c r="AZ1492" i="259"/>
  <c r="AZ1486" i="259"/>
  <c r="AZ1383" i="259"/>
  <c r="I6" i="273" l="1"/>
  <c r="H7" i="276"/>
  <c r="AZ42" i="277"/>
  <c r="AZ1463" i="259"/>
  <c r="AA1384" i="259"/>
  <c r="AA1408" i="259" l="1"/>
  <c r="AA1596" i="259"/>
  <c r="AZ1465" i="259"/>
  <c r="AZ1384" i="259" l="1"/>
  <c r="AA217" i="262"/>
  <c r="AZ217" i="262" l="1"/>
  <c r="AZ1596" i="259"/>
  <c r="Y911" i="259" l="1"/>
  <c r="Y911" i="275" s="1"/>
  <c r="Y912" i="259" l="1"/>
  <c r="Y192" i="262" s="1"/>
  <c r="Y274" i="261" l="1"/>
  <c r="Y912" i="275"/>
  <c r="Z171" i="262"/>
  <c r="Z912" i="259" l="1"/>
  <c r="Z192" i="262" l="1"/>
  <c r="Z274" i="261"/>
  <c r="Z912" i="275"/>
  <c r="AZ853" i="259" l="1"/>
  <c r="AA171" i="262" l="1"/>
  <c r="AZ855" i="259"/>
  <c r="AZ877" i="259"/>
  <c r="AZ877" i="275" s="1"/>
  <c r="AZ853" i="275"/>
  <c r="AZ855" i="275" l="1"/>
  <c r="AZ171" i="262"/>
  <c r="Z1386" i="259" l="1"/>
  <c r="Z1385" i="259" l="1"/>
  <c r="Z1387" i="259"/>
  <c r="Z1409" i="259" l="1"/>
  <c r="AA696" i="259" l="1"/>
  <c r="AZ710" i="259"/>
  <c r="AZ712" i="259"/>
  <c r="AZ710" i="275"/>
  <c r="AZ712" i="275"/>
  <c r="AZ696" i="259" l="1"/>
  <c r="AC696" i="259"/>
  <c r="AD696" i="259" s="1"/>
  <c r="AA698" i="259"/>
  <c r="AA683" i="259" s="1"/>
  <c r="AA229" i="261" s="1"/>
  <c r="AA684" i="259"/>
  <c r="AZ698" i="259"/>
  <c r="AA676" i="259"/>
  <c r="AA228" i="261" s="1"/>
  <c r="AC698" i="259" l="1"/>
  <c r="AC1046" i="259" s="1"/>
  <c r="AC710" i="259"/>
  <c r="AD710" i="259" s="1"/>
  <c r="AZ1044" i="259"/>
  <c r="AZ1044" i="275" s="1"/>
  <c r="AZ239" i="261"/>
  <c r="AZ696" i="275"/>
  <c r="AA725" i="259"/>
  <c r="AC1044" i="259"/>
  <c r="AC1044" i="275" s="1"/>
  <c r="AC696" i="275"/>
  <c r="AB725" i="259"/>
  <c r="AE696" i="259"/>
  <c r="AD698" i="259"/>
  <c r="AD1044" i="259"/>
  <c r="AD696" i="275"/>
  <c r="AZ241" i="261"/>
  <c r="AZ683" i="259"/>
  <c r="AZ229" i="261" s="1"/>
  <c r="AZ684" i="259"/>
  <c r="AZ737" i="259"/>
  <c r="AZ676" i="259"/>
  <c r="AZ228" i="261" s="1"/>
  <c r="AZ698" i="275"/>
  <c r="AC698" i="275"/>
  <c r="AC681" i="259" l="1"/>
  <c r="AC667" i="259"/>
  <c r="AC667" i="275" s="1"/>
  <c r="AC1236" i="259"/>
  <c r="AC1240" i="259" s="1"/>
  <c r="AC241" i="261"/>
  <c r="AB737" i="259"/>
  <c r="AB723" i="259"/>
  <c r="AC710" i="275"/>
  <c r="AC712" i="259"/>
  <c r="AC712" i="275" s="1"/>
  <c r="AA723" i="259"/>
  <c r="AA737" i="259"/>
  <c r="AW66" i="264"/>
  <c r="AW73" i="264" s="1"/>
  <c r="AA148" i="262"/>
  <c r="AZ1236" i="259"/>
  <c r="AA785" i="259"/>
  <c r="AZ1046" i="259"/>
  <c r="AC649" i="259"/>
  <c r="AC639" i="259"/>
  <c r="AC681" i="275"/>
  <c r="AD1044" i="275"/>
  <c r="AF696" i="259"/>
  <c r="AE698" i="259"/>
  <c r="AE1044" i="259"/>
  <c r="AE1044" i="275" s="1"/>
  <c r="AE696" i="275"/>
  <c r="BA696" i="259"/>
  <c r="AB46" i="259"/>
  <c r="AB47" i="259" s="1"/>
  <c r="AC1048" i="259"/>
  <c r="AC1046" i="275"/>
  <c r="AC638" i="259"/>
  <c r="AD241" i="261"/>
  <c r="AD681" i="259"/>
  <c r="AD667" i="259"/>
  <c r="AD1236" i="259"/>
  <c r="AD1046" i="259"/>
  <c r="AD698" i="275"/>
  <c r="AD712" i="259"/>
  <c r="AD712" i="275" s="1"/>
  <c r="AE710" i="259"/>
  <c r="AD710" i="275"/>
  <c r="AB148" i="262"/>
  <c r="AB785" i="259"/>
  <c r="AB785" i="275" s="1"/>
  <c r="BA66" i="264"/>
  <c r="AB39" i="259"/>
  <c r="AB40" i="259" s="1"/>
  <c r="AB40" i="275" s="1"/>
  <c r="AC1235" i="259" l="1"/>
  <c r="BE66" i="264"/>
  <c r="AC148" i="262"/>
  <c r="AF723" i="275"/>
  <c r="AA959" i="259"/>
  <c r="AZ1127" i="259"/>
  <c r="AW67" i="264"/>
  <c r="AW74" i="264" s="1"/>
  <c r="AZ1048" i="259"/>
  <c r="AZ1046" i="275"/>
  <c r="AZ1235" i="259"/>
  <c r="AA784" i="259"/>
  <c r="AZ148" i="262"/>
  <c r="AZ1271" i="259"/>
  <c r="AZ1240" i="259"/>
  <c r="J66" i="264"/>
  <c r="J73" i="264" s="1"/>
  <c r="L73" i="264" s="1"/>
  <c r="P10" i="272"/>
  <c r="R10" i="272" s="1"/>
  <c r="AB64" i="259"/>
  <c r="AB65" i="259" s="1"/>
  <c r="AB65" i="275" s="1"/>
  <c r="AB784" i="259"/>
  <c r="AB784" i="275" s="1"/>
  <c r="AF710" i="259"/>
  <c r="BA710" i="259"/>
  <c r="BA710" i="275" s="1"/>
  <c r="AE712" i="259"/>
  <c r="AE710" i="275"/>
  <c r="AD148" i="262"/>
  <c r="AD649" i="259"/>
  <c r="AD1235" i="259"/>
  <c r="AD1240" i="259"/>
  <c r="BI66" i="264"/>
  <c r="AD639" i="259"/>
  <c r="AD681" i="275"/>
  <c r="BA239" i="261"/>
  <c r="BA696" i="275"/>
  <c r="AG696" i="259"/>
  <c r="AF698" i="259"/>
  <c r="AF1044" i="259"/>
  <c r="AF696" i="275"/>
  <c r="BA1044" i="259"/>
  <c r="BA1044" i="275" s="1"/>
  <c r="AC46" i="259"/>
  <c r="AC765" i="259"/>
  <c r="AC639" i="275"/>
  <c r="AC785" i="259"/>
  <c r="AC1127" i="259"/>
  <c r="BE67" i="264"/>
  <c r="AC725" i="259"/>
  <c r="AC649" i="275"/>
  <c r="P22" i="272"/>
  <c r="BA67" i="264"/>
  <c r="AD1048" i="259"/>
  <c r="AD1046" i="275"/>
  <c r="AD638" i="259"/>
  <c r="AD667" i="275"/>
  <c r="AC640" i="259"/>
  <c r="AC39" i="259"/>
  <c r="AC751" i="259"/>
  <c r="AC638" i="275"/>
  <c r="AC1057" i="259"/>
  <c r="AC1048" i="275"/>
  <c r="AB959" i="259"/>
  <c r="AE241" i="261"/>
  <c r="AE667" i="259"/>
  <c r="AE681" i="259"/>
  <c r="AE1046" i="259"/>
  <c r="AE1236" i="259"/>
  <c r="AE698" i="275"/>
  <c r="AC648" i="259"/>
  <c r="AC1239" i="259"/>
  <c r="BA698" i="259"/>
  <c r="AB821" i="259" l="1"/>
  <c r="AB786" i="259"/>
  <c r="AB786" i="275" s="1"/>
  <c r="AA821" i="259"/>
  <c r="AA786" i="259"/>
  <c r="AA809" i="259" s="1"/>
  <c r="J67" i="264"/>
  <c r="AZ1239" i="259"/>
  <c r="AZ1237" i="259"/>
  <c r="AZ253" i="261" s="1"/>
  <c r="AZ1057" i="259"/>
  <c r="AZ1048" i="275"/>
  <c r="AZ250" i="261"/>
  <c r="AZ152" i="262"/>
  <c r="AE723" i="275"/>
  <c r="AZ785" i="259"/>
  <c r="R22" i="272"/>
  <c r="AA96" i="262"/>
  <c r="AW22" i="263"/>
  <c r="AY22" i="263" s="1"/>
  <c r="AA184" i="262"/>
  <c r="BA241" i="261"/>
  <c r="BA698" i="275"/>
  <c r="AC64" i="259"/>
  <c r="AC650" i="259"/>
  <c r="AC650" i="275" s="1"/>
  <c r="AC648" i="275"/>
  <c r="AE148" i="262"/>
  <c r="AE649" i="259"/>
  <c r="BA649" i="259" s="1"/>
  <c r="AE1235" i="259"/>
  <c r="BA1235" i="259" s="1"/>
  <c r="AE1240" i="259"/>
  <c r="BM66" i="264"/>
  <c r="BA1236" i="259"/>
  <c r="AE639" i="259"/>
  <c r="AE681" i="275"/>
  <c r="AB184" i="262"/>
  <c r="P7" i="272"/>
  <c r="AC40" i="259"/>
  <c r="AC40" i="275" s="1"/>
  <c r="AC39" i="275"/>
  <c r="AB96" i="262"/>
  <c r="BA22" i="263"/>
  <c r="BC22" i="263" s="1"/>
  <c r="AC737" i="259"/>
  <c r="AC725" i="275"/>
  <c r="AC85" i="262"/>
  <c r="AC765" i="275"/>
  <c r="AF1044" i="275"/>
  <c r="AF241" i="261"/>
  <c r="AF681" i="259"/>
  <c r="AF667" i="259"/>
  <c r="AF1236" i="259"/>
  <c r="AF1046" i="259"/>
  <c r="AF698" i="275"/>
  <c r="AD648" i="259"/>
  <c r="AD1239" i="259"/>
  <c r="BA712" i="259"/>
  <c r="BA712" i="275" s="1"/>
  <c r="AE712" i="275"/>
  <c r="AF712" i="259"/>
  <c r="AF712" i="275" s="1"/>
  <c r="AG710" i="259"/>
  <c r="AF710" i="275"/>
  <c r="AC784" i="259"/>
  <c r="AC1124" i="259"/>
  <c r="AC1128" i="259" s="1"/>
  <c r="AE1048" i="259"/>
  <c r="AE1046" i="275"/>
  <c r="AE638" i="259"/>
  <c r="AE667" i="275"/>
  <c r="BA667" i="259"/>
  <c r="AB85" i="262"/>
  <c r="AC184" i="262"/>
  <c r="AC887" i="259"/>
  <c r="AC1058" i="259"/>
  <c r="AC1057" i="275"/>
  <c r="AC816" i="259"/>
  <c r="AC751" i="275"/>
  <c r="AC642" i="259"/>
  <c r="AC1423" i="259"/>
  <c r="AC1422" i="259" s="1"/>
  <c r="AC1426" i="259" s="1"/>
  <c r="AC640" i="275"/>
  <c r="AD39" i="259"/>
  <c r="AD751" i="259"/>
  <c r="AD640" i="259"/>
  <c r="AD638" i="275"/>
  <c r="AD1057" i="259"/>
  <c r="AD1048" i="275"/>
  <c r="AC96" i="262"/>
  <c r="AC785" i="275"/>
  <c r="BE22" i="263"/>
  <c r="BG22" i="263" s="1"/>
  <c r="AC47" i="259"/>
  <c r="AC47" i="275" s="1"/>
  <c r="AC46" i="275"/>
  <c r="AH696" i="259"/>
  <c r="AG698" i="259"/>
  <c r="AG1044" i="259"/>
  <c r="AG1044" i="275" s="1"/>
  <c r="AG696" i="275"/>
  <c r="AD765" i="259"/>
  <c r="AD46" i="259"/>
  <c r="AD639" i="275"/>
  <c r="AD785" i="259"/>
  <c r="AD1127" i="259"/>
  <c r="BI67" i="264"/>
  <c r="AD725" i="259"/>
  <c r="AD649" i="275"/>
  <c r="P21" i="272"/>
  <c r="AB52" i="259"/>
  <c r="AB53" i="259" s="1"/>
  <c r="BA1046" i="259"/>
  <c r="AB53" i="275" l="1"/>
  <c r="AB819" i="259"/>
  <c r="AA811" i="259"/>
  <c r="AA812" i="259"/>
  <c r="AA58" i="262"/>
  <c r="AZ887" i="259"/>
  <c r="AW7" i="263"/>
  <c r="AA261" i="262"/>
  <c r="AZ1124" i="259"/>
  <c r="AZ1128" i="259" s="1"/>
  <c r="L67" i="264"/>
  <c r="J74" i="264"/>
  <c r="L74" i="264" s="1"/>
  <c r="AZ785" i="275"/>
  <c r="AZ96" i="262"/>
  <c r="J22" i="263"/>
  <c r="L22" i="263" s="1"/>
  <c r="AZ784" i="259"/>
  <c r="AW21" i="263"/>
  <c r="AA95" i="262"/>
  <c r="AZ1057" i="275"/>
  <c r="AZ184" i="262"/>
  <c r="AZ1058" i="259"/>
  <c r="AB58" i="259"/>
  <c r="AB59" i="259" s="1"/>
  <c r="AB144" i="262"/>
  <c r="BA59" i="264"/>
  <c r="AB95" i="262"/>
  <c r="BA21" i="263"/>
  <c r="BA725" i="259"/>
  <c r="BA649" i="275"/>
  <c r="AD96" i="262"/>
  <c r="BI22" i="263"/>
  <c r="BK22" i="263" s="1"/>
  <c r="AD785" i="275"/>
  <c r="AD47" i="259"/>
  <c r="AD47" i="275" s="1"/>
  <c r="AD46" i="275"/>
  <c r="AI696" i="259"/>
  <c r="BB696" i="259" s="1"/>
  <c r="AH698" i="259"/>
  <c r="AH1044" i="259"/>
  <c r="AH1044" i="275" s="1"/>
  <c r="AH696" i="275"/>
  <c r="AD642" i="259"/>
  <c r="AD1423" i="259"/>
  <c r="AD1422" i="259" s="1"/>
  <c r="AD1426" i="259" s="1"/>
  <c r="AD640" i="275"/>
  <c r="AD85" i="262"/>
  <c r="AD765" i="275"/>
  <c r="AG241" i="261"/>
  <c r="AG667" i="259"/>
  <c r="AG681" i="259"/>
  <c r="AG1046" i="259"/>
  <c r="AG1236" i="259"/>
  <c r="AG698" i="275"/>
  <c r="AD816" i="259"/>
  <c r="AD751" i="275"/>
  <c r="AC52" i="259"/>
  <c r="AC644" i="259"/>
  <c r="AC646" i="259" s="1"/>
  <c r="AC684" i="259"/>
  <c r="AC642" i="275"/>
  <c r="AC58" i="262"/>
  <c r="AC885" i="259"/>
  <c r="AC885" i="275" s="1"/>
  <c r="AC889" i="259"/>
  <c r="AC887" i="275"/>
  <c r="BE7" i="263"/>
  <c r="AC1273" i="259"/>
  <c r="AC261" i="262" s="1"/>
  <c r="BA676" i="259"/>
  <c r="BA228" i="261" s="1"/>
  <c r="BA667" i="275"/>
  <c r="AE39" i="259"/>
  <c r="AE640" i="259"/>
  <c r="AE751" i="259"/>
  <c r="AE638" i="275"/>
  <c r="AE1057" i="259"/>
  <c r="AE1048" i="275"/>
  <c r="AC95" i="262"/>
  <c r="AC786" i="259"/>
  <c r="BE21" i="263"/>
  <c r="AC784" i="275"/>
  <c r="AH710" i="259"/>
  <c r="AG712" i="259"/>
  <c r="AG712" i="275" s="1"/>
  <c r="AG710" i="275"/>
  <c r="AD784" i="259"/>
  <c r="AD1124" i="259"/>
  <c r="AD1128" i="259" s="1"/>
  <c r="AF148" i="262"/>
  <c r="AF649" i="259"/>
  <c r="AF1235" i="259"/>
  <c r="AF1240" i="259"/>
  <c r="BA148" i="262"/>
  <c r="BA1240" i="259"/>
  <c r="BA1271" i="259"/>
  <c r="N66" i="264"/>
  <c r="P66" i="264" s="1"/>
  <c r="AE785" i="259"/>
  <c r="BA785" i="259" s="1"/>
  <c r="AE1127" i="259"/>
  <c r="BA1127" i="259" s="1"/>
  <c r="BM67" i="264"/>
  <c r="AE725" i="259"/>
  <c r="AE649" i="275"/>
  <c r="AC144" i="262"/>
  <c r="AC65" i="259"/>
  <c r="AC65" i="275" s="1"/>
  <c r="BE59" i="264"/>
  <c r="AC64" i="275"/>
  <c r="BA1048" i="259"/>
  <c r="BA1046" i="275"/>
  <c r="AD737" i="259"/>
  <c r="AD725" i="275"/>
  <c r="AD184" i="262"/>
  <c r="AD1058" i="259"/>
  <c r="AD887" i="259"/>
  <c r="AD1057" i="275"/>
  <c r="AD40" i="259"/>
  <c r="AD40" i="275" s="1"/>
  <c r="AD39" i="275"/>
  <c r="AC816" i="275"/>
  <c r="BA1237" i="259"/>
  <c r="BA253" i="261" s="1"/>
  <c r="BA1239" i="259"/>
  <c r="AD64" i="259"/>
  <c r="AD650" i="259"/>
  <c r="AD650" i="275" s="1"/>
  <c r="AD648" i="275"/>
  <c r="AF1048" i="259"/>
  <c r="AF1046" i="275"/>
  <c r="AF638" i="259"/>
  <c r="AF667" i="275"/>
  <c r="AF639" i="259"/>
  <c r="AF681" i="275"/>
  <c r="AB58" i="262"/>
  <c r="BA7" i="263"/>
  <c r="AB1273" i="259"/>
  <c r="AB261" i="262" s="1"/>
  <c r="AE46" i="259"/>
  <c r="AE765" i="259"/>
  <c r="AE639" i="275"/>
  <c r="BA639" i="259"/>
  <c r="AE648" i="259"/>
  <c r="AE1239" i="259"/>
  <c r="BA638" i="259"/>
  <c r="AB820" i="259" l="1"/>
  <c r="AB59" i="275"/>
  <c r="AA813" i="259"/>
  <c r="AA813" i="275" s="1"/>
  <c r="AA811" i="275"/>
  <c r="AZ786" i="259"/>
  <c r="AZ786" i="275" s="1"/>
  <c r="AY21" i="263"/>
  <c r="AW23" i="263"/>
  <c r="AY23" i="263" s="1"/>
  <c r="AZ95" i="262"/>
  <c r="AZ784" i="275"/>
  <c r="J21" i="263"/>
  <c r="AZ821" i="259"/>
  <c r="AA186" i="262"/>
  <c r="AA159" i="262"/>
  <c r="AW9" i="263"/>
  <c r="AY9" i="263" s="1"/>
  <c r="AY7" i="263"/>
  <c r="AZ889" i="259"/>
  <c r="AZ885" i="259"/>
  <c r="AZ885" i="275" s="1"/>
  <c r="J7" i="263"/>
  <c r="AZ58" i="262"/>
  <c r="AZ886" i="259"/>
  <c r="AZ886" i="275" s="1"/>
  <c r="AZ887" i="275"/>
  <c r="AZ1273" i="259"/>
  <c r="R21" i="272"/>
  <c r="P23" i="272"/>
  <c r="R23" i="272" s="1"/>
  <c r="AA267" i="262"/>
  <c r="AA272" i="262" s="1"/>
  <c r="AA266" i="262"/>
  <c r="AW77" i="264"/>
  <c r="AY77" i="264" s="1"/>
  <c r="AB266" i="262"/>
  <c r="P9" i="272"/>
  <c r="R7" i="272"/>
  <c r="BA39" i="259"/>
  <c r="BA640" i="259"/>
  <c r="BA638" i="275"/>
  <c r="AE784" i="259"/>
  <c r="BA784" i="259" s="1"/>
  <c r="AE1124" i="259"/>
  <c r="AE1128" i="259" s="1"/>
  <c r="BA681" i="259"/>
  <c r="BA46" i="259"/>
  <c r="BA639" i="275"/>
  <c r="AE85" i="262"/>
  <c r="AE765" i="275"/>
  <c r="BC7" i="263"/>
  <c r="BA9" i="263"/>
  <c r="BC9" i="263" s="1"/>
  <c r="AB186" i="262"/>
  <c r="AB159" i="262"/>
  <c r="BA96" i="262"/>
  <c r="BA785" i="275"/>
  <c r="E22" i="272"/>
  <c r="G22" i="272" s="1"/>
  <c r="N22" i="263"/>
  <c r="P22" i="263" s="1"/>
  <c r="AF765" i="259"/>
  <c r="AF46" i="259"/>
  <c r="AF639" i="275"/>
  <c r="AF39" i="259"/>
  <c r="AF751" i="259"/>
  <c r="AF640" i="259"/>
  <c r="AF638" i="275"/>
  <c r="AF1057" i="259"/>
  <c r="AF1048" i="275"/>
  <c r="AD58" i="262"/>
  <c r="AD889" i="259"/>
  <c r="AD885" i="259"/>
  <c r="AD885" i="275" s="1"/>
  <c r="BI7" i="263"/>
  <c r="AD887" i="275"/>
  <c r="AD1273" i="259"/>
  <c r="AD261" i="262" s="1"/>
  <c r="BA1057" i="259"/>
  <c r="BA1048" i="275"/>
  <c r="BE60" i="264"/>
  <c r="BG59" i="264"/>
  <c r="BE73" i="264"/>
  <c r="AE737" i="259"/>
  <c r="AE725" i="275"/>
  <c r="BA152" i="262"/>
  <c r="BA250" i="261"/>
  <c r="AF785" i="259"/>
  <c r="AF1127" i="259"/>
  <c r="AD95" i="262"/>
  <c r="AD786" i="259"/>
  <c r="AD784" i="275"/>
  <c r="BI21" i="263"/>
  <c r="AC821" i="259"/>
  <c r="AE184" i="262"/>
  <c r="AE887" i="259"/>
  <c r="AE1058" i="259"/>
  <c r="AE1057" i="275"/>
  <c r="AE816" i="259"/>
  <c r="AE751" i="275"/>
  <c r="BA751" i="259"/>
  <c r="AE40" i="259"/>
  <c r="AE40" i="275" s="1"/>
  <c r="AE39" i="275"/>
  <c r="AC652" i="259"/>
  <c r="AC646" i="275"/>
  <c r="AC128" i="262"/>
  <c r="AC53" i="259"/>
  <c r="BE31" i="264"/>
  <c r="AC52" i="275"/>
  <c r="AG148" i="262"/>
  <c r="AG649" i="259"/>
  <c r="AG1235" i="259"/>
  <c r="AG1240" i="259"/>
  <c r="AG639" i="259"/>
  <c r="AG681" i="275"/>
  <c r="BB239" i="261"/>
  <c r="BC696" i="259"/>
  <c r="BB696" i="275"/>
  <c r="AI698" i="259"/>
  <c r="AI1044" i="259"/>
  <c r="AI696" i="275"/>
  <c r="BC21" i="263"/>
  <c r="BA23" i="263"/>
  <c r="BC23" i="263" s="1"/>
  <c r="BA44" i="264"/>
  <c r="BC44" i="264" s="1"/>
  <c r="AE64" i="259"/>
  <c r="AE650" i="259"/>
  <c r="AE650" i="275" s="1"/>
  <c r="AE648" i="275"/>
  <c r="BA648" i="259"/>
  <c r="BA648" i="275" s="1"/>
  <c r="AE47" i="259"/>
  <c r="AE47" i="275" s="1"/>
  <c r="AE46" i="275"/>
  <c r="AD144" i="262"/>
  <c r="AD65" i="259"/>
  <c r="AD65" i="275" s="1"/>
  <c r="BI59" i="264"/>
  <c r="AD64" i="275"/>
  <c r="AE96" i="262"/>
  <c r="AE785" i="275"/>
  <c r="BM22" i="263"/>
  <c r="BO22" i="263" s="1"/>
  <c r="N67" i="264"/>
  <c r="P67" i="264" s="1"/>
  <c r="AF648" i="259"/>
  <c r="AF1239" i="259"/>
  <c r="AF725" i="259"/>
  <c r="AF649" i="275"/>
  <c r="AH712" i="259"/>
  <c r="AH712" i="275" s="1"/>
  <c r="AI710" i="259"/>
  <c r="AH710" i="275"/>
  <c r="BG21" i="263"/>
  <c r="BE23" i="263"/>
  <c r="BG23" i="263" s="1"/>
  <c r="AC809" i="259"/>
  <c r="AC786" i="275"/>
  <c r="AE642" i="259"/>
  <c r="AE1423" i="259"/>
  <c r="AE640" i="275"/>
  <c r="BA765" i="259"/>
  <c r="BG7" i="263"/>
  <c r="BE9" i="263"/>
  <c r="BG9" i="263" s="1"/>
  <c r="AC159" i="262"/>
  <c r="AC186" i="262"/>
  <c r="AC1081" i="259"/>
  <c r="AC889" i="275"/>
  <c r="AC1065" i="259"/>
  <c r="AC58" i="259"/>
  <c r="AC780" i="259"/>
  <c r="AC1511" i="259"/>
  <c r="BE44" i="264" s="1"/>
  <c r="BG44" i="264" s="1"/>
  <c r="AC644" i="275"/>
  <c r="AD816" i="275"/>
  <c r="AG1048" i="259"/>
  <c r="AG1046" i="275"/>
  <c r="AG638" i="259"/>
  <c r="AG667" i="275"/>
  <c r="AD684" i="259"/>
  <c r="AD52" i="259"/>
  <c r="AD644" i="259"/>
  <c r="AD642" i="275"/>
  <c r="AH241" i="261"/>
  <c r="AH681" i="259"/>
  <c r="AH667" i="259"/>
  <c r="AH1236" i="259"/>
  <c r="AH1046" i="259"/>
  <c r="AH698" i="275"/>
  <c r="BA737" i="259"/>
  <c r="BA725" i="275"/>
  <c r="AB809" i="259"/>
  <c r="AB809" i="275" s="1"/>
  <c r="BA60" i="264"/>
  <c r="BA73" i="264"/>
  <c r="BC59" i="264"/>
  <c r="AB128" i="262"/>
  <c r="BA31" i="264"/>
  <c r="AB812" i="259" l="1"/>
  <c r="AB812" i="275" s="1"/>
  <c r="P16" i="272"/>
  <c r="R16" i="272" s="1"/>
  <c r="AC1123" i="259"/>
  <c r="AC1130" i="259" s="1"/>
  <c r="AC267" i="262" s="1"/>
  <c r="AC272" i="262" s="1"/>
  <c r="BA77" i="264"/>
  <c r="BC77" i="264" s="1"/>
  <c r="AB267" i="262"/>
  <c r="AB272" i="262" s="1"/>
  <c r="BA1124" i="259"/>
  <c r="BA1128" i="259" s="1"/>
  <c r="L7" i="263"/>
  <c r="J9" i="263"/>
  <c r="L9" i="263" s="1"/>
  <c r="AZ186" i="262"/>
  <c r="AZ1065" i="259"/>
  <c r="AZ889" i="275"/>
  <c r="AZ159" i="262"/>
  <c r="AZ1081" i="259"/>
  <c r="L21" i="263"/>
  <c r="J23" i="263"/>
  <c r="L23" i="263" s="1"/>
  <c r="AZ841" i="259"/>
  <c r="AZ261" i="262"/>
  <c r="H31" i="276"/>
  <c r="AZ1071" i="259"/>
  <c r="AZ1077" i="259" s="1"/>
  <c r="AZ284" i="261" s="1"/>
  <c r="AZ1072" i="259"/>
  <c r="AZ809" i="259"/>
  <c r="AB70" i="259"/>
  <c r="AB71" i="259" s="1"/>
  <c r="AB71" i="275" s="1"/>
  <c r="BC31" i="264"/>
  <c r="BC60" i="264"/>
  <c r="BA74" i="264"/>
  <c r="AH148" i="262"/>
  <c r="AH649" i="259"/>
  <c r="AH1235" i="259"/>
  <c r="AH1240" i="259"/>
  <c r="AH639" i="259"/>
  <c r="AH681" i="275"/>
  <c r="AD128" i="262"/>
  <c r="AD53" i="259"/>
  <c r="BI31" i="264"/>
  <c r="AD52" i="275"/>
  <c r="AD646" i="259"/>
  <c r="AC92" i="262"/>
  <c r="AC119" i="262"/>
  <c r="AC1501" i="259"/>
  <c r="AC1579" i="259"/>
  <c r="AC780" i="275"/>
  <c r="BE16" i="263"/>
  <c r="AC1071" i="259"/>
  <c r="AC1073" i="259"/>
  <c r="AC1072" i="259"/>
  <c r="BA85" i="262"/>
  <c r="BA765" i="275"/>
  <c r="AE1422" i="259"/>
  <c r="BA1423" i="259"/>
  <c r="AF64" i="259"/>
  <c r="AF650" i="259"/>
  <c r="AF648" i="275"/>
  <c r="BI60" i="264"/>
  <c r="BI73" i="264"/>
  <c r="BK59" i="264"/>
  <c r="AE144" i="262"/>
  <c r="AE65" i="259"/>
  <c r="AE65" i="275" s="1"/>
  <c r="BM59" i="264"/>
  <c r="AE64" i="275"/>
  <c r="BA95" i="262"/>
  <c r="E21" i="272"/>
  <c r="N21" i="263"/>
  <c r="BA784" i="275"/>
  <c r="AI1044" i="275"/>
  <c r="BB1044" i="259"/>
  <c r="BB1044" i="275" s="1"/>
  <c r="AG46" i="259"/>
  <c r="AG765" i="259"/>
  <c r="AG639" i="275"/>
  <c r="AG648" i="259"/>
  <c r="AG1239" i="259"/>
  <c r="BE32" i="264"/>
  <c r="BG31" i="264"/>
  <c r="AC70" i="259"/>
  <c r="AC652" i="275"/>
  <c r="AE816" i="275"/>
  <c r="AD821" i="259"/>
  <c r="AF96" i="262"/>
  <c r="AF785" i="275"/>
  <c r="BA650" i="259"/>
  <c r="BA650" i="275" s="1"/>
  <c r="AF184" i="262"/>
  <c r="AF1058" i="259"/>
  <c r="AF887" i="259"/>
  <c r="AF1057" i="275"/>
  <c r="AF642" i="259"/>
  <c r="AF1423" i="259"/>
  <c r="AF640" i="275"/>
  <c r="AF47" i="259"/>
  <c r="AF47" i="275" s="1"/>
  <c r="AF46" i="275"/>
  <c r="BA47" i="259"/>
  <c r="BA47" i="275" s="1"/>
  <c r="BA46" i="275"/>
  <c r="BA40" i="259"/>
  <c r="BA40" i="275" s="1"/>
  <c r="BA39" i="275"/>
  <c r="AH1048" i="259"/>
  <c r="AH1046" i="275"/>
  <c r="AH638" i="259"/>
  <c r="AH667" i="275"/>
  <c r="AD58" i="259"/>
  <c r="AD780" i="259"/>
  <c r="AD1511" i="259"/>
  <c r="BI44" i="264" s="1"/>
  <c r="BK44" i="264" s="1"/>
  <c r="AD644" i="275"/>
  <c r="AG640" i="259"/>
  <c r="AG39" i="259"/>
  <c r="AG751" i="259"/>
  <c r="AG638" i="275"/>
  <c r="AG1057" i="259"/>
  <c r="AG1048" i="275"/>
  <c r="AC140" i="262"/>
  <c r="AC59" i="259"/>
  <c r="AC59" i="275" s="1"/>
  <c r="BE38" i="264"/>
  <c r="AC58" i="275"/>
  <c r="AE52" i="259"/>
  <c r="AE644" i="259"/>
  <c r="AE684" i="259"/>
  <c r="AE642" i="275"/>
  <c r="AC812" i="259"/>
  <c r="AC812" i="275" s="1"/>
  <c r="AC809" i="275"/>
  <c r="BB710" i="259"/>
  <c r="AI712" i="259"/>
  <c r="AI710" i="275"/>
  <c r="AF737" i="259"/>
  <c r="AF725" i="275"/>
  <c r="AF784" i="259"/>
  <c r="AF1124" i="259"/>
  <c r="AB92" i="262"/>
  <c r="AB119" i="262"/>
  <c r="BA16" i="263"/>
  <c r="AB140" i="262"/>
  <c r="BA38" i="264"/>
  <c r="BA52" i="264" s="1"/>
  <c r="BA83" i="264" s="1"/>
  <c r="BC83" i="264" s="1"/>
  <c r="AI241" i="261"/>
  <c r="AI667" i="259"/>
  <c r="AI681" i="259"/>
  <c r="AI1046" i="259"/>
  <c r="BB1046" i="259" s="1"/>
  <c r="AI1236" i="259"/>
  <c r="BB1236" i="259" s="1"/>
  <c r="AI698" i="275"/>
  <c r="BB698" i="259"/>
  <c r="BD696" i="259"/>
  <c r="BC698" i="259"/>
  <c r="BC1044" i="259"/>
  <c r="BC696" i="275"/>
  <c r="AG785" i="259"/>
  <c r="AG1127" i="259"/>
  <c r="AG725" i="259"/>
  <c r="AG649" i="275"/>
  <c r="AC1427" i="259"/>
  <c r="AC1428" i="259" s="1"/>
  <c r="AC53" i="275"/>
  <c r="AC819" i="259"/>
  <c r="BA816" i="259"/>
  <c r="E10" i="272"/>
  <c r="G10" i="272" s="1"/>
  <c r="BA751" i="275"/>
  <c r="AE58" i="262"/>
  <c r="AE885" i="259"/>
  <c r="AE885" i="275" s="1"/>
  <c r="AE889" i="259"/>
  <c r="AE887" i="275"/>
  <c r="BM7" i="263"/>
  <c r="BA887" i="259"/>
  <c r="AE1273" i="259"/>
  <c r="AE261" i="262" s="1"/>
  <c r="BK21" i="263"/>
  <c r="BI23" i="263"/>
  <c r="BK23" i="263" s="1"/>
  <c r="AD809" i="259"/>
  <c r="AD786" i="275"/>
  <c r="BE74" i="264"/>
  <c r="BG60" i="264"/>
  <c r="BA184" i="262"/>
  <c r="BA1058" i="259"/>
  <c r="BA1057" i="275"/>
  <c r="BK7" i="263"/>
  <c r="BI9" i="263"/>
  <c r="BK9" i="263" s="1"/>
  <c r="AD186" i="262"/>
  <c r="AD159" i="262"/>
  <c r="AD1081" i="259"/>
  <c r="AD889" i="275"/>
  <c r="AD1065" i="259"/>
  <c r="AF816" i="259"/>
  <c r="AF751" i="275"/>
  <c r="AF40" i="259"/>
  <c r="AF40" i="275" s="1"/>
  <c r="AF39" i="275"/>
  <c r="AF85" i="262"/>
  <c r="AF765" i="275"/>
  <c r="AC839" i="259"/>
  <c r="BA683" i="259"/>
  <c r="BA229" i="261" s="1"/>
  <c r="BA681" i="275"/>
  <c r="AE95" i="262"/>
  <c r="AE786" i="259"/>
  <c r="BM21" i="263"/>
  <c r="AE784" i="275"/>
  <c r="BA642" i="259"/>
  <c r="BA640" i="275"/>
  <c r="BA64" i="259"/>
  <c r="AD1123" i="259" l="1"/>
  <c r="AD1130" i="259" s="1"/>
  <c r="AE1123" i="259" s="1"/>
  <c r="AE1130" i="259" s="1"/>
  <c r="BE77" i="264"/>
  <c r="BG77" i="264" s="1"/>
  <c r="AC1172" i="259"/>
  <c r="AC266" i="262" s="1"/>
  <c r="AC841" i="259"/>
  <c r="AC891" i="259" s="1"/>
  <c r="AC891" i="275" s="1"/>
  <c r="AE821" i="259"/>
  <c r="BC1044" i="275"/>
  <c r="I23" i="273"/>
  <c r="AZ1078" i="259"/>
  <c r="AZ285" i="261" s="1"/>
  <c r="AZ1130" i="259"/>
  <c r="AZ841" i="275"/>
  <c r="AZ891" i="259"/>
  <c r="AZ812" i="259"/>
  <c r="AZ812" i="275" s="1"/>
  <c r="AZ809" i="275"/>
  <c r="AZ811" i="259"/>
  <c r="AZ838" i="259"/>
  <c r="BB1048" i="259"/>
  <c r="BB1046" i="275"/>
  <c r="BA58" i="262"/>
  <c r="BA885" i="259"/>
  <c r="BA885" i="275" s="1"/>
  <c r="BA886" i="259"/>
  <c r="BA886" i="275" s="1"/>
  <c r="BA889" i="259"/>
  <c r="BA887" i="275"/>
  <c r="E7" i="272"/>
  <c r="N7" i="263"/>
  <c r="BA1273" i="259"/>
  <c r="AI638" i="259"/>
  <c r="AI667" i="275"/>
  <c r="BC16" i="263"/>
  <c r="AF1128" i="259"/>
  <c r="AE58" i="259"/>
  <c r="AE780" i="259"/>
  <c r="AE1511" i="259"/>
  <c r="BM44" i="264" s="1"/>
  <c r="BO44" i="264" s="1"/>
  <c r="AE644" i="275"/>
  <c r="AD140" i="262"/>
  <c r="AD59" i="259"/>
  <c r="AD59" i="275" s="1"/>
  <c r="BI38" i="264"/>
  <c r="AD58" i="275"/>
  <c r="AF1422" i="259"/>
  <c r="AF58" i="262"/>
  <c r="AF889" i="259"/>
  <c r="AF885" i="259"/>
  <c r="AF885" i="275" s="1"/>
  <c r="AF887" i="275"/>
  <c r="AF1273" i="259"/>
  <c r="AF261" i="262" s="1"/>
  <c r="AG784" i="259"/>
  <c r="AG1124" i="259"/>
  <c r="AG1128" i="259" s="1"/>
  <c r="BM60" i="264"/>
  <c r="BO59" i="264"/>
  <c r="BM73" i="264"/>
  <c r="AF144" i="262"/>
  <c r="AF65" i="259"/>
  <c r="AF65" i="275" s="1"/>
  <c r="AF64" i="275"/>
  <c r="AC161" i="262"/>
  <c r="AC820" i="259"/>
  <c r="AD1427" i="259"/>
  <c r="AD1428" i="259" s="1"/>
  <c r="AD53" i="275"/>
  <c r="AD819" i="259"/>
  <c r="BB148" i="262"/>
  <c r="BB1271" i="259"/>
  <c r="BB1240" i="259"/>
  <c r="R66" i="264"/>
  <c r="T66" i="264" s="1"/>
  <c r="AH648" i="259"/>
  <c r="AH1239" i="259"/>
  <c r="AD1072" i="259"/>
  <c r="AD1071" i="259"/>
  <c r="AD1073" i="259"/>
  <c r="AD812" i="259"/>
  <c r="AD812" i="275" s="1"/>
  <c r="AD809" i="275"/>
  <c r="BA816" i="275"/>
  <c r="AC335" i="261"/>
  <c r="AC1431" i="259"/>
  <c r="AG737" i="259"/>
  <c r="AG725" i="275"/>
  <c r="AG96" i="262"/>
  <c r="AG785" i="275"/>
  <c r="BE696" i="259"/>
  <c r="BD698" i="259"/>
  <c r="BD1044" i="259"/>
  <c r="BD1044" i="275" s="1"/>
  <c r="BD696" i="275"/>
  <c r="AI1048" i="259"/>
  <c r="AI1046" i="275"/>
  <c r="AB161" i="262"/>
  <c r="BC710" i="259"/>
  <c r="BB710" i="275"/>
  <c r="AG40" i="259"/>
  <c r="AG40" i="275" s="1"/>
  <c r="AG39" i="275"/>
  <c r="AH1057" i="259"/>
  <c r="AH1048" i="275"/>
  <c r="AC71" i="259"/>
  <c r="AC71" i="275" s="1"/>
  <c r="AC70" i="275"/>
  <c r="AG47" i="259"/>
  <c r="AG47" i="275" s="1"/>
  <c r="AG46" i="275"/>
  <c r="G21" i="272"/>
  <c r="E23" i="272"/>
  <c r="G23" i="272" s="1"/>
  <c r="BA144" i="262"/>
  <c r="BA65" i="259"/>
  <c r="N59" i="264"/>
  <c r="BA64" i="275"/>
  <c r="BA684" i="259"/>
  <c r="BA642" i="275"/>
  <c r="BO21" i="263"/>
  <c r="BM23" i="263"/>
  <c r="BO23" i="263" s="1"/>
  <c r="AE809" i="259"/>
  <c r="AE786" i="275"/>
  <c r="BA786" i="259"/>
  <c r="BA786" i="275" s="1"/>
  <c r="AC838" i="259"/>
  <c r="AD839" i="259"/>
  <c r="AC839" i="275"/>
  <c r="AF816" i="275"/>
  <c r="BO7" i="263"/>
  <c r="BM9" i="263"/>
  <c r="BO9" i="263" s="1"/>
  <c r="AE159" i="262"/>
  <c r="AE186" i="262"/>
  <c r="AE1081" i="259"/>
  <c r="AE889" i="275"/>
  <c r="AE1065" i="259"/>
  <c r="BC241" i="261"/>
  <c r="BC681" i="259"/>
  <c r="BC667" i="259"/>
  <c r="BC1046" i="259"/>
  <c r="BC1236" i="259"/>
  <c r="V66" i="264" s="1"/>
  <c r="X66" i="264" s="1"/>
  <c r="BC698" i="275"/>
  <c r="BB241" i="261"/>
  <c r="BB698" i="275"/>
  <c r="AI148" i="262"/>
  <c r="AI649" i="259"/>
  <c r="BB649" i="259" s="1"/>
  <c r="AI1235" i="259"/>
  <c r="AI1240" i="259"/>
  <c r="AI639" i="259"/>
  <c r="AI681" i="275"/>
  <c r="BA39" i="264"/>
  <c r="BC38" i="264"/>
  <c r="AF95" i="262"/>
  <c r="AF786" i="259"/>
  <c r="AF784" i="275"/>
  <c r="BB712" i="259"/>
  <c r="BB712" i="275" s="1"/>
  <c r="AI712" i="275"/>
  <c r="AE646" i="259"/>
  <c r="AE128" i="262"/>
  <c r="AE53" i="259"/>
  <c r="BM31" i="264"/>
  <c r="AE52" i="275"/>
  <c r="BA52" i="259"/>
  <c r="BE39" i="264"/>
  <c r="BE53" i="264" s="1"/>
  <c r="BE84" i="264" s="1"/>
  <c r="BG84" i="264" s="1"/>
  <c r="BG38" i="264"/>
  <c r="AG184" i="262"/>
  <c r="AG887" i="259"/>
  <c r="AG1058" i="259"/>
  <c r="AG1057" i="275"/>
  <c r="AG816" i="259"/>
  <c r="AG751" i="275"/>
  <c r="AG642" i="259"/>
  <c r="AG1423" i="259"/>
  <c r="AG1422" i="259" s="1"/>
  <c r="AG1426" i="259" s="1"/>
  <c r="AG640" i="275"/>
  <c r="AD92" i="262"/>
  <c r="AD119" i="262"/>
  <c r="AD1501" i="259"/>
  <c r="AD1579" i="259"/>
  <c r="BI16" i="263"/>
  <c r="AD780" i="275"/>
  <c r="BB667" i="259"/>
  <c r="AH39" i="259"/>
  <c r="AH751" i="259"/>
  <c r="AH640" i="259"/>
  <c r="AH638" i="275"/>
  <c r="AF684" i="259"/>
  <c r="AF52" i="259"/>
  <c r="AF644" i="259"/>
  <c r="AF642" i="275"/>
  <c r="BE52" i="264"/>
  <c r="BE83" i="264" s="1"/>
  <c r="BG83" i="264" s="1"/>
  <c r="BG32" i="264"/>
  <c r="AG64" i="259"/>
  <c r="AG650" i="259"/>
  <c r="AG650" i="275" s="1"/>
  <c r="AG648" i="275"/>
  <c r="AG85" i="262"/>
  <c r="AG765" i="275"/>
  <c r="P21" i="263"/>
  <c r="N23" i="263"/>
  <c r="P23" i="263" s="1"/>
  <c r="BK60" i="264"/>
  <c r="BI74" i="264"/>
  <c r="AF650" i="275"/>
  <c r="AE1426" i="259"/>
  <c r="BA1422" i="259"/>
  <c r="BG16" i="263"/>
  <c r="AD652" i="259"/>
  <c r="AD646" i="275"/>
  <c r="BI32" i="264"/>
  <c r="BI52" i="264"/>
  <c r="BI83" i="264" s="1"/>
  <c r="BK83" i="264" s="1"/>
  <c r="BK31" i="264"/>
  <c r="AH765" i="259"/>
  <c r="AH46" i="259"/>
  <c r="AH639" i="275"/>
  <c r="AH785" i="259"/>
  <c r="AH1127" i="259"/>
  <c r="AH725" i="259"/>
  <c r="AH649" i="275"/>
  <c r="BA644" i="259"/>
  <c r="AD841" i="259" l="1"/>
  <c r="AD891" i="259" s="1"/>
  <c r="AD891" i="275" s="1"/>
  <c r="BI77" i="264"/>
  <c r="BK77" i="264" s="1"/>
  <c r="AD267" i="262"/>
  <c r="AD272" i="262" s="1"/>
  <c r="AD1172" i="259"/>
  <c r="AD266" i="262" s="1"/>
  <c r="AF821" i="259"/>
  <c r="AC841" i="275"/>
  <c r="AD820" i="259"/>
  <c r="AZ895" i="259"/>
  <c r="AZ895" i="275" s="1"/>
  <c r="AZ891" i="275"/>
  <c r="AZ1136" i="259"/>
  <c r="BA1123" i="259"/>
  <c r="AZ267" i="262"/>
  <c r="AZ272" i="262" s="1"/>
  <c r="AZ1172" i="259"/>
  <c r="AZ266" i="262" s="1"/>
  <c r="J77" i="264"/>
  <c r="L77" i="264" s="1"/>
  <c r="AZ839" i="259"/>
  <c r="AZ839" i="275" s="1"/>
  <c r="AZ875" i="259"/>
  <c r="AZ875" i="275" s="1"/>
  <c r="AZ838" i="275"/>
  <c r="AZ813" i="259"/>
  <c r="AZ811" i="275"/>
  <c r="AA254" i="262"/>
  <c r="AZ1584" i="259"/>
  <c r="AH96" i="262"/>
  <c r="AH785" i="275"/>
  <c r="AD70" i="259"/>
  <c r="AD652" i="275"/>
  <c r="AF58" i="259"/>
  <c r="AF780" i="259"/>
  <c r="AF1511" i="259"/>
  <c r="AF644" i="275"/>
  <c r="AH816" i="259"/>
  <c r="AH751" i="275"/>
  <c r="BK16" i="263"/>
  <c r="AD161" i="262"/>
  <c r="BA1511" i="259"/>
  <c r="BA644" i="275"/>
  <c r="BB725" i="259"/>
  <c r="BB649" i="275"/>
  <c r="AH737" i="259"/>
  <c r="AH725" i="275"/>
  <c r="AH85" i="262"/>
  <c r="AH765" i="275"/>
  <c r="BA1426" i="259"/>
  <c r="AG144" i="262"/>
  <c r="AG65" i="259"/>
  <c r="AG65" i="275" s="1"/>
  <c r="AG64" i="275"/>
  <c r="AF128" i="262"/>
  <c r="AF53" i="259"/>
  <c r="AF52" i="275"/>
  <c r="AF646" i="259"/>
  <c r="AH642" i="259"/>
  <c r="AH1423" i="259"/>
  <c r="AH1422" i="259" s="1"/>
  <c r="AH1426" i="259" s="1"/>
  <c r="AH640" i="275"/>
  <c r="AH40" i="259"/>
  <c r="AH40" i="275" s="1"/>
  <c r="AH39" i="275"/>
  <c r="AG816" i="275"/>
  <c r="BE45" i="264"/>
  <c r="BG45" i="264" s="1"/>
  <c r="BG39" i="264"/>
  <c r="AE1427" i="259"/>
  <c r="BA1427" i="259" s="1"/>
  <c r="AE53" i="275"/>
  <c r="AE819" i="259"/>
  <c r="AE652" i="259"/>
  <c r="AE646" i="275"/>
  <c r="BC39" i="264"/>
  <c r="AI46" i="259"/>
  <c r="AI765" i="259"/>
  <c r="AI639" i="275"/>
  <c r="BB639" i="259"/>
  <c r="AI648" i="259"/>
  <c r="AI1239" i="259"/>
  <c r="BC148" i="262"/>
  <c r="BC649" i="259"/>
  <c r="BC1235" i="259"/>
  <c r="BC1240" i="259"/>
  <c r="V67" i="264" s="1"/>
  <c r="X67" i="264" s="1"/>
  <c r="Z66" i="264"/>
  <c r="AB66" i="264" s="1"/>
  <c r="BC638" i="259"/>
  <c r="BC667" i="275"/>
  <c r="AD838" i="259"/>
  <c r="AE839" i="259"/>
  <c r="AD839" i="275"/>
  <c r="AE812" i="259"/>
  <c r="AE812" i="275" s="1"/>
  <c r="AE809" i="275"/>
  <c r="BA65" i="275"/>
  <c r="BA821" i="259"/>
  <c r="BD710" i="259"/>
  <c r="BC712" i="259"/>
  <c r="BC712" i="275" s="1"/>
  <c r="BC710" i="275"/>
  <c r="BD241" i="261"/>
  <c r="BD667" i="259"/>
  <c r="BD681" i="259"/>
  <c r="BD1236" i="259"/>
  <c r="BD1046" i="259"/>
  <c r="BD698" i="275"/>
  <c r="BB1235" i="259"/>
  <c r="AH64" i="259"/>
  <c r="AH650" i="259"/>
  <c r="AH648" i="275"/>
  <c r="R67" i="264"/>
  <c r="T67" i="264" s="1"/>
  <c r="BM74" i="264"/>
  <c r="BO60" i="264"/>
  <c r="AG95" i="262"/>
  <c r="AG786" i="259"/>
  <c r="AG784" i="275"/>
  <c r="AF1426" i="259"/>
  <c r="BI39" i="264"/>
  <c r="BI53" i="264" s="1"/>
  <c r="BI84" i="264" s="1"/>
  <c r="BK84" i="264" s="1"/>
  <c r="BK38" i="264"/>
  <c r="AE92" i="262"/>
  <c r="AE119" i="262"/>
  <c r="AE1501" i="259"/>
  <c r="AE1579" i="259"/>
  <c r="AE780" i="275"/>
  <c r="BM16" i="263"/>
  <c r="BA780" i="259"/>
  <c r="BA1500" i="259" s="1"/>
  <c r="BA261" i="262"/>
  <c r="I31" i="276"/>
  <c r="G7" i="272"/>
  <c r="E9" i="272"/>
  <c r="BA159" i="262"/>
  <c r="BA186" i="262"/>
  <c r="BA1081" i="259"/>
  <c r="BA889" i="275"/>
  <c r="BA1065" i="259"/>
  <c r="BB1057" i="259"/>
  <c r="BB1048" i="275"/>
  <c r="AH47" i="259"/>
  <c r="AH47" i="275" s="1"/>
  <c r="AH46" i="275"/>
  <c r="BK32" i="264"/>
  <c r="BB676" i="259"/>
  <c r="BB228" i="261" s="1"/>
  <c r="BB667" i="275"/>
  <c r="AG52" i="259"/>
  <c r="AG644" i="259"/>
  <c r="AG646" i="259" s="1"/>
  <c r="AG684" i="259"/>
  <c r="AG642" i="275"/>
  <c r="AG58" i="262"/>
  <c r="AG885" i="259"/>
  <c r="AG885" i="275" s="1"/>
  <c r="AG889" i="259"/>
  <c r="AG887" i="275"/>
  <c r="AG1273" i="259"/>
  <c r="AG261" i="262" s="1"/>
  <c r="BA128" i="262"/>
  <c r="BA53" i="259"/>
  <c r="N31" i="264"/>
  <c r="BA52" i="275"/>
  <c r="BM32" i="264"/>
  <c r="BO31" i="264"/>
  <c r="AF809" i="259"/>
  <c r="AF786" i="275"/>
  <c r="AI785" i="259"/>
  <c r="AI1127" i="259"/>
  <c r="BB1127" i="259" s="1"/>
  <c r="AI725" i="259"/>
  <c r="AI649" i="275"/>
  <c r="BC1048" i="259"/>
  <c r="BC1046" i="275"/>
  <c r="BC639" i="259"/>
  <c r="AE1071" i="259"/>
  <c r="BA1071" i="259" s="1"/>
  <c r="BF1071" i="259" s="1"/>
  <c r="AE1073" i="259"/>
  <c r="AE1072" i="259"/>
  <c r="BA1072" i="259" s="1"/>
  <c r="BF1072" i="259" s="1"/>
  <c r="AC875" i="259"/>
  <c r="AC838" i="275"/>
  <c r="BA646" i="259"/>
  <c r="BA646" i="275" s="1"/>
  <c r="N60" i="264"/>
  <c r="P59" i="264"/>
  <c r="N73" i="264"/>
  <c r="P73" i="264" s="1"/>
  <c r="AH184" i="262"/>
  <c r="AH1058" i="259"/>
  <c r="AH887" i="259"/>
  <c r="AH1057" i="275"/>
  <c r="AI1057" i="259"/>
  <c r="AI1048" i="275"/>
  <c r="BE698" i="259"/>
  <c r="BE1044" i="259"/>
  <c r="BE1044" i="275" s="1"/>
  <c r="BE696" i="275"/>
  <c r="AH784" i="259"/>
  <c r="AH1124" i="259"/>
  <c r="AH1128" i="259" s="1"/>
  <c r="BB152" i="262"/>
  <c r="BB250" i="261"/>
  <c r="AD335" i="261"/>
  <c r="AD1431" i="259"/>
  <c r="AF186" i="262"/>
  <c r="AF159" i="262"/>
  <c r="AF1081" i="259"/>
  <c r="AF889" i="275"/>
  <c r="AF1065" i="259"/>
  <c r="AE267" i="262"/>
  <c r="AE272" i="262" s="1"/>
  <c r="AF1123" i="259"/>
  <c r="AF1130" i="259" s="1"/>
  <c r="AE1172" i="259"/>
  <c r="AE266" i="262" s="1"/>
  <c r="AE841" i="259"/>
  <c r="BM77" i="264"/>
  <c r="BO77" i="264" s="1"/>
  <c r="AE140" i="262"/>
  <c r="AE59" i="259"/>
  <c r="AE59" i="275" s="1"/>
  <c r="BM38" i="264"/>
  <c r="BM52" i="264" s="1"/>
  <c r="BM83" i="264" s="1"/>
  <c r="BO83" i="264" s="1"/>
  <c r="AE58" i="275"/>
  <c r="BA58" i="259"/>
  <c r="AI39" i="259"/>
  <c r="AI640" i="259"/>
  <c r="AI751" i="259"/>
  <c r="BB751" i="259" s="1"/>
  <c r="I10" i="272" s="1"/>
  <c r="K10" i="272" s="1"/>
  <c r="AI638" i="275"/>
  <c r="BB638" i="259"/>
  <c r="P7" i="263"/>
  <c r="N9" i="263"/>
  <c r="P9" i="263" s="1"/>
  <c r="BA809" i="259"/>
  <c r="AE891" i="259" l="1"/>
  <c r="AE891" i="275" s="1"/>
  <c r="AD841" i="275"/>
  <c r="BA1078" i="259"/>
  <c r="BA285" i="261" s="1"/>
  <c r="BA1077" i="259"/>
  <c r="BA284" i="261" s="1"/>
  <c r="AG821" i="259"/>
  <c r="AC895" i="259"/>
  <c r="AZ1590" i="259"/>
  <c r="AA187" i="262"/>
  <c r="AA160" i="262"/>
  <c r="AA1480" i="259"/>
  <c r="AA196" i="262"/>
  <c r="AA188" i="262"/>
  <c r="AA1483" i="259"/>
  <c r="AA198" i="262" s="1"/>
  <c r="AZ254" i="262"/>
  <c r="AZ813" i="275"/>
  <c r="AZ929" i="259"/>
  <c r="AZ929" i="275" s="1"/>
  <c r="BB751" i="275"/>
  <c r="BA891" i="259"/>
  <c r="AI642" i="259"/>
  <c r="AI1423" i="259"/>
  <c r="AI640" i="275"/>
  <c r="AF1072" i="259"/>
  <c r="AF1073" i="259"/>
  <c r="AF1071" i="259"/>
  <c r="BE241" i="261"/>
  <c r="BE681" i="259"/>
  <c r="BE667" i="259"/>
  <c r="BE1046" i="259"/>
  <c r="BE1236" i="259"/>
  <c r="BE698" i="275"/>
  <c r="AI184" i="262"/>
  <c r="AI887" i="259"/>
  <c r="AI1058" i="259"/>
  <c r="AI1057" i="275"/>
  <c r="AH58" i="262"/>
  <c r="AH889" i="259"/>
  <c r="AH885" i="259"/>
  <c r="AH885" i="275" s="1"/>
  <c r="AH887" i="275"/>
  <c r="AH1273" i="259"/>
  <c r="AH261" i="262" s="1"/>
  <c r="AC875" i="275"/>
  <c r="BO32" i="264"/>
  <c r="P31" i="264"/>
  <c r="AG652" i="259"/>
  <c r="AG646" i="275"/>
  <c r="AG128" i="262"/>
  <c r="AG53" i="259"/>
  <c r="AG52" i="275"/>
  <c r="BO16" i="263"/>
  <c r="BI45" i="264"/>
  <c r="BK45" i="264" s="1"/>
  <c r="BK39" i="264"/>
  <c r="AH650" i="275"/>
  <c r="BB1237" i="259"/>
  <c r="BB253" i="261" s="1"/>
  <c r="BB1239" i="259"/>
  <c r="BD1048" i="259"/>
  <c r="BD1046" i="275"/>
  <c r="BD639" i="259"/>
  <c r="BD681" i="275"/>
  <c r="AD875" i="259"/>
  <c r="AD838" i="275"/>
  <c r="BC648" i="259"/>
  <c r="BC1239" i="259"/>
  <c r="AI64" i="259"/>
  <c r="AI650" i="259"/>
  <c r="AI650" i="275" s="1"/>
  <c r="AI648" i="275"/>
  <c r="BB648" i="259"/>
  <c r="BB648" i="275" s="1"/>
  <c r="AI47" i="259"/>
  <c r="AI47" i="275" s="1"/>
  <c r="AI46" i="275"/>
  <c r="AE1428" i="259"/>
  <c r="BB737" i="259"/>
  <c r="BB725" i="275"/>
  <c r="BA244" i="261"/>
  <c r="N44" i="264"/>
  <c r="P44" i="264" s="1"/>
  <c r="AF140" i="262"/>
  <c r="AF59" i="259"/>
  <c r="AF59" i="275" s="1"/>
  <c r="AF58" i="275"/>
  <c r="AD71" i="259"/>
  <c r="AD71" i="275" s="1"/>
  <c r="AD70" i="275"/>
  <c r="BA812" i="259"/>
  <c r="BA812" i="275" s="1"/>
  <c r="BA809" i="275"/>
  <c r="BB640" i="259"/>
  <c r="BB39" i="259"/>
  <c r="BB638" i="275"/>
  <c r="AI816" i="259"/>
  <c r="AI751" i="275"/>
  <c r="AI40" i="259"/>
  <c r="AI40" i="275" s="1"/>
  <c r="AI39" i="275"/>
  <c r="BA140" i="262"/>
  <c r="BA59" i="259"/>
  <c r="BA59" i="275" s="1"/>
  <c r="N38" i="264"/>
  <c r="N52" i="264" s="1"/>
  <c r="BA58" i="275"/>
  <c r="BM39" i="264"/>
  <c r="BM53" i="264" s="1"/>
  <c r="BM84" i="264" s="1"/>
  <c r="BO84" i="264" s="1"/>
  <c r="BO38" i="264"/>
  <c r="BA841" i="259"/>
  <c r="AE841" i="275"/>
  <c r="AF267" i="262"/>
  <c r="AF272" i="262" s="1"/>
  <c r="AF841" i="259"/>
  <c r="AF891" i="259" s="1"/>
  <c r="AG1123" i="259"/>
  <c r="AG1130" i="259" s="1"/>
  <c r="AF1172" i="259"/>
  <c r="AF266" i="262" s="1"/>
  <c r="AH95" i="262"/>
  <c r="AH786" i="259"/>
  <c r="AH784" i="275"/>
  <c r="N74" i="264"/>
  <c r="P74" i="264" s="1"/>
  <c r="P60" i="264"/>
  <c r="BC765" i="259"/>
  <c r="BC46" i="259"/>
  <c r="BC639" i="275"/>
  <c r="BC1057" i="259"/>
  <c r="BC1048" i="275"/>
  <c r="AI737" i="259"/>
  <c r="AI725" i="275"/>
  <c r="AI96" i="262"/>
  <c r="AI785" i="275"/>
  <c r="AF812" i="259"/>
  <c r="AF812" i="275" s="1"/>
  <c r="AF809" i="275"/>
  <c r="I25" i="276"/>
  <c r="BA53" i="275"/>
  <c r="BA819" i="259"/>
  <c r="AG159" i="262"/>
  <c r="AG186" i="262"/>
  <c r="AG1081" i="259"/>
  <c r="AG889" i="275"/>
  <c r="AG1065" i="259"/>
  <c r="AG58" i="259"/>
  <c r="AG780" i="259"/>
  <c r="AG1511" i="259"/>
  <c r="AG644" i="275"/>
  <c r="BB785" i="259"/>
  <c r="I22" i="272" s="1"/>
  <c r="K22" i="272" s="1"/>
  <c r="BB184" i="262"/>
  <c r="BB1058" i="259"/>
  <c r="BB1057" i="275"/>
  <c r="BA92" i="262"/>
  <c r="BA119" i="262"/>
  <c r="E16" i="272"/>
  <c r="BA1501" i="259"/>
  <c r="BA1579" i="259"/>
  <c r="N16" i="263"/>
  <c r="BA780" i="275"/>
  <c r="AE161" i="262"/>
  <c r="AE820" i="259"/>
  <c r="AG809" i="259"/>
  <c r="AG786" i="275"/>
  <c r="AH144" i="262"/>
  <c r="AH65" i="259"/>
  <c r="AH65" i="275" s="1"/>
  <c r="AH64" i="275"/>
  <c r="AC929" i="259"/>
  <c r="AC929" i="275" s="1"/>
  <c r="BD148" i="262"/>
  <c r="BD649" i="259"/>
  <c r="BD1235" i="259"/>
  <c r="BD1240" i="259"/>
  <c r="BD638" i="259"/>
  <c r="BD667" i="275"/>
  <c r="BD712" i="259"/>
  <c r="BD712" i="275" s="1"/>
  <c r="BE710" i="259"/>
  <c r="BD710" i="275"/>
  <c r="AE838" i="259"/>
  <c r="AF839" i="259"/>
  <c r="AE839" i="275"/>
  <c r="BC39" i="259"/>
  <c r="BC751" i="259"/>
  <c r="BC640" i="259"/>
  <c r="BC638" i="275"/>
  <c r="BC785" i="259"/>
  <c r="V22" i="263" s="1"/>
  <c r="X22" i="263" s="1"/>
  <c r="BC1127" i="259"/>
  <c r="Z67" i="264"/>
  <c r="AB67" i="264" s="1"/>
  <c r="BC725" i="259"/>
  <c r="BC649" i="275"/>
  <c r="AI784" i="259"/>
  <c r="AI1124" i="259"/>
  <c r="BB46" i="259"/>
  <c r="BB681" i="259"/>
  <c r="BB639" i="275"/>
  <c r="AI85" i="262"/>
  <c r="AI765" i="275"/>
  <c r="AE70" i="259"/>
  <c r="AE652" i="275"/>
  <c r="BA652" i="259"/>
  <c r="AH684" i="259"/>
  <c r="AH52" i="259"/>
  <c r="AH644" i="259"/>
  <c r="AH646" i="259" s="1"/>
  <c r="AH642" i="275"/>
  <c r="AF652" i="259"/>
  <c r="AF646" i="275"/>
  <c r="AF1427" i="259"/>
  <c r="AF1428" i="259" s="1"/>
  <c r="AF53" i="275"/>
  <c r="AF819" i="259"/>
  <c r="BA1428" i="259"/>
  <c r="BB765" i="259"/>
  <c r="AH816" i="275"/>
  <c r="AF92" i="262"/>
  <c r="AF119" i="262"/>
  <c r="AF1501" i="259"/>
  <c r="AF1579" i="259"/>
  <c r="AF780" i="275"/>
  <c r="AF820" i="259" l="1"/>
  <c r="BA820" i="259"/>
  <c r="AA77" i="259"/>
  <c r="AA77" i="275" s="1"/>
  <c r="AA195" i="262"/>
  <c r="AB187" i="262"/>
  <c r="AB160" i="262"/>
  <c r="AB188" i="262"/>
  <c r="AA170" i="262"/>
  <c r="AA169" i="262"/>
  <c r="AA210" i="262"/>
  <c r="AZ846" i="259"/>
  <c r="AZ1070" i="259"/>
  <c r="J39" i="263"/>
  <c r="AC896" i="259"/>
  <c r="AD895" i="259"/>
  <c r="AC895" i="275"/>
  <c r="AZ772" i="259"/>
  <c r="AA91" i="262"/>
  <c r="AF335" i="261"/>
  <c r="AF1431" i="259"/>
  <c r="P52" i="264"/>
  <c r="N83" i="264"/>
  <c r="P83" i="264" s="1"/>
  <c r="AF891" i="275"/>
  <c r="AF161" i="262"/>
  <c r="BA335" i="261"/>
  <c r="BA1431" i="259"/>
  <c r="AH58" i="259"/>
  <c r="AH780" i="259"/>
  <c r="AH1511" i="259"/>
  <c r="AH644" i="275"/>
  <c r="BB47" i="259"/>
  <c r="BB47" i="275" s="1"/>
  <c r="BB46" i="275"/>
  <c r="AI95" i="262"/>
  <c r="AI786" i="259"/>
  <c r="BB786" i="259" s="1"/>
  <c r="BB786" i="275" s="1"/>
  <c r="AI784" i="275"/>
  <c r="BC737" i="259"/>
  <c r="BC725" i="275"/>
  <c r="BC642" i="259"/>
  <c r="BC1423" i="259"/>
  <c r="BC1422" i="259" s="1"/>
  <c r="BC1426" i="259" s="1"/>
  <c r="BC640" i="275"/>
  <c r="BC40" i="259"/>
  <c r="BC39" i="275"/>
  <c r="AF838" i="259"/>
  <c r="AG839" i="259"/>
  <c r="AF839" i="275"/>
  <c r="BD39" i="259"/>
  <c r="BD640" i="259"/>
  <c r="BD751" i="259"/>
  <c r="BD638" i="275"/>
  <c r="BD648" i="259"/>
  <c r="BD1239" i="259"/>
  <c r="AG812" i="259"/>
  <c r="AG812" i="275" s="1"/>
  <c r="AG809" i="275"/>
  <c r="G16" i="272"/>
  <c r="BB96" i="262"/>
  <c r="R22" i="263"/>
  <c r="T22" i="263" s="1"/>
  <c r="BB785" i="275"/>
  <c r="AG140" i="262"/>
  <c r="AG59" i="259"/>
  <c r="AG59" i="275" s="1"/>
  <c r="AG58" i="275"/>
  <c r="BC184" i="262"/>
  <c r="BC887" i="259"/>
  <c r="V7" i="263" s="1"/>
  <c r="BC1058" i="259"/>
  <c r="BC1057" i="275"/>
  <c r="BC47" i="259"/>
  <c r="BC46" i="275"/>
  <c r="BB784" i="259"/>
  <c r="I21" i="272" s="1"/>
  <c r="AH809" i="259"/>
  <c r="AH786" i="275"/>
  <c r="AG267" i="262"/>
  <c r="AG272" i="262" s="1"/>
  <c r="AG841" i="259"/>
  <c r="AG891" i="259" s="1"/>
  <c r="AH1123" i="259"/>
  <c r="AH1130" i="259" s="1"/>
  <c r="AG1172" i="259"/>
  <c r="AG266" i="262" s="1"/>
  <c r="AI816" i="275"/>
  <c r="BB642" i="259"/>
  <c r="BB640" i="275"/>
  <c r="AI144" i="262"/>
  <c r="AI65" i="259"/>
  <c r="AI65" i="275" s="1"/>
  <c r="AI64" i="275"/>
  <c r="BB64" i="259"/>
  <c r="BC64" i="259"/>
  <c r="V59" i="264" s="1"/>
  <c r="BC650" i="259"/>
  <c r="BC648" i="275"/>
  <c r="AG70" i="259"/>
  <c r="AG652" i="275"/>
  <c r="AI58" i="262"/>
  <c r="AI885" i="259"/>
  <c r="AI885" i="275" s="1"/>
  <c r="AI889" i="259"/>
  <c r="AI887" i="275"/>
  <c r="AI1273" i="259"/>
  <c r="AI261" i="262" s="1"/>
  <c r="BB887" i="259"/>
  <c r="I7" i="272" s="1"/>
  <c r="BE1048" i="259"/>
  <c r="BE1046" i="275"/>
  <c r="BE639" i="259"/>
  <c r="BE681" i="275"/>
  <c r="AI52" i="259"/>
  <c r="AI644" i="259"/>
  <c r="AI646" i="259" s="1"/>
  <c r="AI684" i="259"/>
  <c r="AI642" i="275"/>
  <c r="BA891" i="275"/>
  <c r="BB85" i="262"/>
  <c r="BB765" i="275"/>
  <c r="AF70" i="259"/>
  <c r="AF652" i="275"/>
  <c r="AH128" i="262"/>
  <c r="AH53" i="259"/>
  <c r="AH52" i="275"/>
  <c r="AH652" i="259"/>
  <c r="AH646" i="275"/>
  <c r="BA652" i="275"/>
  <c r="AE71" i="259"/>
  <c r="AE71" i="275" s="1"/>
  <c r="AE70" i="275"/>
  <c r="BA70" i="259"/>
  <c r="BB683" i="259"/>
  <c r="BB229" i="261" s="1"/>
  <c r="BB681" i="275"/>
  <c r="BC681" i="275"/>
  <c r="AI1128" i="259"/>
  <c r="BB1124" i="259"/>
  <c r="BB1128" i="259" s="1"/>
  <c r="BC96" i="262"/>
  <c r="BC785" i="275"/>
  <c r="Z22" i="263"/>
  <c r="AB22" i="263" s="1"/>
  <c r="BC816" i="259"/>
  <c r="BC751" i="275"/>
  <c r="BA838" i="259"/>
  <c r="AE875" i="259"/>
  <c r="AE929" i="259" s="1"/>
  <c r="AE929" i="275" s="1"/>
  <c r="AE838" i="275"/>
  <c r="BE712" i="259"/>
  <c r="BE712" i="275" s="1"/>
  <c r="BE710" i="275"/>
  <c r="BD785" i="259"/>
  <c r="BD1127" i="259"/>
  <c r="BD725" i="259"/>
  <c r="BD649" i="275"/>
  <c r="P16" i="263"/>
  <c r="BA161" i="262"/>
  <c r="I27" i="276"/>
  <c r="J12" i="273"/>
  <c r="AG92" i="262"/>
  <c r="AG119" i="262"/>
  <c r="AG1501" i="259"/>
  <c r="AG1579" i="259"/>
  <c r="AG780" i="275"/>
  <c r="AG1071" i="259"/>
  <c r="AG1073" i="259"/>
  <c r="AG1072" i="259"/>
  <c r="BC85" i="262"/>
  <c r="BC765" i="275"/>
  <c r="AH821" i="259"/>
  <c r="AF841" i="275"/>
  <c r="BA1130" i="259"/>
  <c r="BA841" i="275"/>
  <c r="BM45" i="264"/>
  <c r="BO45" i="264" s="1"/>
  <c r="BO39" i="264"/>
  <c r="N39" i="264"/>
  <c r="P38" i="264"/>
  <c r="BB40" i="259"/>
  <c r="BB40" i="275" s="1"/>
  <c r="BB39" i="275"/>
  <c r="AE335" i="261"/>
  <c r="AE1431" i="259"/>
  <c r="BC784" i="259"/>
  <c r="V21" i="263" s="1"/>
  <c r="BC1124" i="259"/>
  <c r="BC1128" i="259" s="1"/>
  <c r="AD875" i="275"/>
  <c r="BD46" i="259"/>
  <c r="BD765" i="259"/>
  <c r="BD639" i="275"/>
  <c r="BD1057" i="259"/>
  <c r="BD1048" i="275"/>
  <c r="BB650" i="259"/>
  <c r="BB650" i="275" s="1"/>
  <c r="AG1427" i="259"/>
  <c r="AG1428" i="259" s="1"/>
  <c r="AG53" i="275"/>
  <c r="AG819" i="259"/>
  <c r="AD929" i="259"/>
  <c r="AD929" i="275" s="1"/>
  <c r="AH186" i="262"/>
  <c r="AH159" i="262"/>
  <c r="AH1081" i="259"/>
  <c r="AH889" i="275"/>
  <c r="AH1065" i="259"/>
  <c r="BE148" i="262"/>
  <c r="BE649" i="259"/>
  <c r="BE1235" i="259"/>
  <c r="BE1240" i="259"/>
  <c r="BE638" i="259"/>
  <c r="BE667" i="275"/>
  <c r="AI1422" i="259"/>
  <c r="BB1423" i="259"/>
  <c r="BB816" i="259"/>
  <c r="I9" i="272" l="1"/>
  <c r="K7" i="272"/>
  <c r="I23" i="272"/>
  <c r="K23" i="272" s="1"/>
  <c r="K21" i="272"/>
  <c r="X59" i="264"/>
  <c r="V73" i="264"/>
  <c r="X73" i="264" s="1"/>
  <c r="V60" i="264"/>
  <c r="X7" i="263"/>
  <c r="V9" i="263"/>
  <c r="X9" i="263" s="1"/>
  <c r="X21" i="263"/>
  <c r="V23" i="263"/>
  <c r="X23" i="263" s="1"/>
  <c r="AG820" i="259"/>
  <c r="BC47" i="275"/>
  <c r="AD895" i="275"/>
  <c r="AE895" i="259"/>
  <c r="AD896" i="259"/>
  <c r="AZ170" i="262"/>
  <c r="AZ1351" i="259"/>
  <c r="AZ1353" i="259"/>
  <c r="AZ210" i="262" s="1"/>
  <c r="AZ169" i="262"/>
  <c r="AZ873" i="259"/>
  <c r="AZ1352" i="259"/>
  <c r="AZ846" i="275"/>
  <c r="AA225" i="262"/>
  <c r="AA226" i="262"/>
  <c r="AZ1467" i="259"/>
  <c r="AB169" i="262"/>
  <c r="AB170" i="262"/>
  <c r="AC846" i="259"/>
  <c r="AZ778" i="259"/>
  <c r="AZ778" i="275" s="1"/>
  <c r="AZ91" i="262"/>
  <c r="AZ772" i="275"/>
  <c r="AZ1502" i="259"/>
  <c r="AZ1503" i="259" s="1"/>
  <c r="AC187" i="262"/>
  <c r="AC160" i="262"/>
  <c r="AC927" i="259"/>
  <c r="AC927" i="275" s="1"/>
  <c r="AC1537" i="259"/>
  <c r="AC1529" i="259" s="1"/>
  <c r="AC188" i="262"/>
  <c r="AC273" i="261"/>
  <c r="AC896" i="275"/>
  <c r="AZ1076" i="259"/>
  <c r="AZ283" i="261" s="1"/>
  <c r="I24" i="273"/>
  <c r="I22" i="273"/>
  <c r="AZ845" i="259"/>
  <c r="AZ845" i="275" s="1"/>
  <c r="AI652" i="259"/>
  <c r="BB652" i="259" s="1"/>
  <c r="AI646" i="275"/>
  <c r="BE785" i="259"/>
  <c r="BE1127" i="259"/>
  <c r="BD85" i="262"/>
  <c r="BD765" i="275"/>
  <c r="BB816" i="275"/>
  <c r="AI1426" i="259"/>
  <c r="BB1422" i="259"/>
  <c r="BE39" i="259"/>
  <c r="BE751" i="259"/>
  <c r="BE640" i="259"/>
  <c r="BE638" i="275"/>
  <c r="BE648" i="259"/>
  <c r="BE1239" i="259"/>
  <c r="AH1072" i="259"/>
  <c r="AH1071" i="259"/>
  <c r="AH1073" i="259"/>
  <c r="BD47" i="259"/>
  <c r="BD47" i="275" s="1"/>
  <c r="BD46" i="275"/>
  <c r="BC95" i="262"/>
  <c r="BC786" i="259"/>
  <c r="Z21" i="263"/>
  <c r="BC784" i="275"/>
  <c r="P39" i="264"/>
  <c r="BA267" i="262"/>
  <c r="BA272" i="262" s="1"/>
  <c r="BB1123" i="259"/>
  <c r="BA1136" i="259"/>
  <c r="BA1172" i="259"/>
  <c r="BA266" i="262" s="1"/>
  <c r="N77" i="264"/>
  <c r="P77" i="264" s="1"/>
  <c r="AG891" i="275"/>
  <c r="AG161" i="262"/>
  <c r="BA929" i="259"/>
  <c r="BA929" i="275" s="1"/>
  <c r="BD737" i="259"/>
  <c r="BD725" i="275"/>
  <c r="BA839" i="259"/>
  <c r="BA839" i="275" s="1"/>
  <c r="BA875" i="259"/>
  <c r="BA875" i="275" s="1"/>
  <c r="BA838" i="275"/>
  <c r="BC816" i="275"/>
  <c r="AF71" i="259"/>
  <c r="AF71" i="275" s="1"/>
  <c r="AF70" i="275"/>
  <c r="AI128" i="262"/>
  <c r="AI53" i="259"/>
  <c r="AI52" i="275"/>
  <c r="BB58" i="262"/>
  <c r="BB889" i="259"/>
  <c r="BB885" i="259"/>
  <c r="BB885" i="275" s="1"/>
  <c r="BB886" i="259"/>
  <c r="R7" i="263"/>
  <c r="BB887" i="275"/>
  <c r="BB1273" i="259"/>
  <c r="BC144" i="262"/>
  <c r="BC65" i="259"/>
  <c r="Z59" i="264"/>
  <c r="BC64" i="275"/>
  <c r="AG841" i="275"/>
  <c r="AH812" i="259"/>
  <c r="AH812" i="275" s="1"/>
  <c r="AH809" i="275"/>
  <c r="BD64" i="259"/>
  <c r="BD650" i="259"/>
  <c r="BD650" i="275" s="1"/>
  <c r="BD648" i="275"/>
  <c r="BD816" i="259"/>
  <c r="BD751" i="275"/>
  <c r="BD40" i="259"/>
  <c r="BD40" i="275" s="1"/>
  <c r="BD39" i="275"/>
  <c r="AG838" i="259"/>
  <c r="AH839" i="259"/>
  <c r="AG839" i="275"/>
  <c r="BC52" i="259"/>
  <c r="V31" i="264" s="1"/>
  <c r="BC644" i="259"/>
  <c r="BC684" i="259"/>
  <c r="BC642" i="275"/>
  <c r="AI821" i="259"/>
  <c r="AH140" i="262"/>
  <c r="AH59" i="259"/>
  <c r="AH59" i="275" s="1"/>
  <c r="AH58" i="275"/>
  <c r="BE725" i="259"/>
  <c r="BE649" i="275"/>
  <c r="AG335" i="261"/>
  <c r="AG1431" i="259"/>
  <c r="BD184" i="262"/>
  <c r="BD1058" i="259"/>
  <c r="BD887" i="259"/>
  <c r="BD1057" i="275"/>
  <c r="BD96" i="262"/>
  <c r="BD785" i="275"/>
  <c r="AE875" i="275"/>
  <c r="BA71" i="259"/>
  <c r="BA71" i="275" s="1"/>
  <c r="BA70" i="275"/>
  <c r="AH70" i="259"/>
  <c r="AH652" i="275"/>
  <c r="AH1427" i="259"/>
  <c r="AH1428" i="259" s="1"/>
  <c r="AH53" i="275"/>
  <c r="AH819" i="259"/>
  <c r="AI58" i="259"/>
  <c r="AI780" i="259"/>
  <c r="BB780" i="259" s="1"/>
  <c r="I16" i="272" s="1"/>
  <c r="AI1511" i="259"/>
  <c r="AI644" i="275"/>
  <c r="BB644" i="259"/>
  <c r="BB646" i="259" s="1"/>
  <c r="BB646" i="275" s="1"/>
  <c r="BE765" i="259"/>
  <c r="BE46" i="259"/>
  <c r="BE639" i="275"/>
  <c r="BE1057" i="259"/>
  <c r="BE1048" i="275"/>
  <c r="AI159" i="262"/>
  <c r="AI186" i="262"/>
  <c r="AI1081" i="259"/>
  <c r="AI889" i="275"/>
  <c r="AI1065" i="259"/>
  <c r="AG71" i="259"/>
  <c r="AG71" i="275" s="1"/>
  <c r="AG70" i="275"/>
  <c r="BC650" i="275"/>
  <c r="BB144" i="262"/>
  <c r="BB65" i="259"/>
  <c r="BB65" i="275" s="1"/>
  <c r="R59" i="264"/>
  <c r="BB64" i="275"/>
  <c r="BB684" i="259"/>
  <c r="BB642" i="275"/>
  <c r="AH267" i="262"/>
  <c r="AH272" i="262" s="1"/>
  <c r="AH841" i="259"/>
  <c r="AI1123" i="259"/>
  <c r="AI1130" i="259" s="1"/>
  <c r="AH1172" i="259"/>
  <c r="AH266" i="262" s="1"/>
  <c r="BB95" i="262"/>
  <c r="BB784" i="275"/>
  <c r="R21" i="263"/>
  <c r="BC58" i="262"/>
  <c r="BC885" i="259"/>
  <c r="BC889" i="259"/>
  <c r="BC887" i="275"/>
  <c r="Z7" i="263"/>
  <c r="BC1273" i="259"/>
  <c r="BD784" i="259"/>
  <c r="BD1124" i="259"/>
  <c r="BD1128" i="259" s="1"/>
  <c r="BD642" i="259"/>
  <c r="BD1423" i="259"/>
  <c r="BD1422" i="259" s="1"/>
  <c r="BD1426" i="259" s="1"/>
  <c r="BD640" i="275"/>
  <c r="AF875" i="259"/>
  <c r="AF838" i="275"/>
  <c r="BC40" i="275"/>
  <c r="AI809" i="259"/>
  <c r="AI786" i="275"/>
  <c r="AH92" i="262"/>
  <c r="AH119" i="262"/>
  <c r="AH1501" i="259"/>
  <c r="AH1579" i="259"/>
  <c r="AH780" i="275"/>
  <c r="BB52" i="259"/>
  <c r="K16" i="272" l="1"/>
  <c r="V74" i="264"/>
  <c r="X74" i="264" s="1"/>
  <c r="X60" i="264"/>
  <c r="X31" i="264"/>
  <c r="V32" i="264"/>
  <c r="X32" i="264" s="1"/>
  <c r="BC885" i="275"/>
  <c r="AH820" i="259"/>
  <c r="AZ1471" i="259"/>
  <c r="AZ1636" i="259" s="1"/>
  <c r="AZ1644" i="259" s="1"/>
  <c r="AZ1470" i="259"/>
  <c r="AZ344" i="261" s="1"/>
  <c r="AZ225" i="262"/>
  <c r="AZ1468" i="259"/>
  <c r="AZ226" i="262" s="1"/>
  <c r="AD160" i="262"/>
  <c r="AD188" i="262"/>
  <c r="AD927" i="259"/>
  <c r="AD927" i="275" s="1"/>
  <c r="AD896" i="275"/>
  <c r="AD187" i="262"/>
  <c r="AD273" i="261"/>
  <c r="AD1537" i="259"/>
  <c r="AD1529" i="259" s="1"/>
  <c r="AA172" i="262"/>
  <c r="AZ859" i="259"/>
  <c r="AC170" i="262"/>
  <c r="AC845" i="259"/>
  <c r="AC845" i="275" s="1"/>
  <c r="AC1467" i="259"/>
  <c r="AC169" i="262"/>
  <c r="AC873" i="259"/>
  <c r="AC873" i="275" s="1"/>
  <c r="AC846" i="275"/>
  <c r="AC1517" i="259"/>
  <c r="AD846" i="259"/>
  <c r="AB225" i="262"/>
  <c r="AZ873" i="275"/>
  <c r="AZ872" i="259"/>
  <c r="AE895" i="275"/>
  <c r="AF895" i="259"/>
  <c r="AE896" i="259"/>
  <c r="BA896" i="259" s="1"/>
  <c r="AH161" i="262"/>
  <c r="BB128" i="262"/>
  <c r="BB53" i="259"/>
  <c r="R31" i="264"/>
  <c r="BB52" i="275"/>
  <c r="BB92" i="262"/>
  <c r="BB119" i="262"/>
  <c r="BB1501" i="259"/>
  <c r="BB1579" i="259"/>
  <c r="BB780" i="275"/>
  <c r="R16" i="263"/>
  <c r="AI812" i="259"/>
  <c r="AI812" i="275" s="1"/>
  <c r="AI809" i="275"/>
  <c r="BB809" i="259"/>
  <c r="AF875" i="275"/>
  <c r="BC261" i="262"/>
  <c r="K31" i="276"/>
  <c r="T21" i="263"/>
  <c r="R23" i="263"/>
  <c r="T23" i="263" s="1"/>
  <c r="BB821" i="259"/>
  <c r="AH841" i="275"/>
  <c r="R60" i="264"/>
  <c r="T59" i="264"/>
  <c r="R73" i="264"/>
  <c r="T73" i="264" s="1"/>
  <c r="BE184" i="262"/>
  <c r="BE887" i="259"/>
  <c r="BE1058" i="259"/>
  <c r="BE1057" i="275"/>
  <c r="BE47" i="259"/>
  <c r="BE47" i="275" s="1"/>
  <c r="BE46" i="275"/>
  <c r="BB1511" i="259"/>
  <c r="BB644" i="275"/>
  <c r="AI140" i="262"/>
  <c r="AI59" i="259"/>
  <c r="AI59" i="275" s="1"/>
  <c r="AI58" i="275"/>
  <c r="BB58" i="259"/>
  <c r="AH335" i="261"/>
  <c r="AH1431" i="259"/>
  <c r="AF929" i="259"/>
  <c r="BC58" i="259"/>
  <c r="V38" i="264" s="1"/>
  <c r="V52" i="264" s="1"/>
  <c r="BC780" i="259"/>
  <c r="V16" i="263" s="1"/>
  <c r="BC1511" i="259"/>
  <c r="BC644" i="275"/>
  <c r="BC646" i="259"/>
  <c r="AH838" i="259"/>
  <c r="AI839" i="259"/>
  <c r="AH839" i="275"/>
  <c r="BD816" i="275"/>
  <c r="BD144" i="262"/>
  <c r="BD65" i="259"/>
  <c r="BD65" i="275" s="1"/>
  <c r="BD64" i="275"/>
  <c r="BC65" i="275"/>
  <c r="J31" i="276"/>
  <c r="BB261" i="262"/>
  <c r="T7" i="263"/>
  <c r="R9" i="263"/>
  <c r="T9" i="263" s="1"/>
  <c r="AI1427" i="259"/>
  <c r="BB1427" i="259" s="1"/>
  <c r="AI53" i="275"/>
  <c r="AI819" i="259"/>
  <c r="BC821" i="259"/>
  <c r="BE64" i="259"/>
  <c r="BE650" i="259"/>
  <c r="BE650" i="275" s="1"/>
  <c r="BE648" i="275"/>
  <c r="BE642" i="259"/>
  <c r="BE1423" i="259"/>
  <c r="BE1422" i="259" s="1"/>
  <c r="BE1426" i="259" s="1"/>
  <c r="BE640" i="275"/>
  <c r="BE40" i="259"/>
  <c r="BE40" i="275" s="1"/>
  <c r="BE39" i="275"/>
  <c r="BB1426" i="259"/>
  <c r="AI70" i="259"/>
  <c r="AI652" i="275"/>
  <c r="BD52" i="259"/>
  <c r="BD644" i="259"/>
  <c r="BD646" i="259" s="1"/>
  <c r="BD684" i="259"/>
  <c r="BD642" i="275"/>
  <c r="BD95" i="262"/>
  <c r="BD786" i="259"/>
  <c r="BD784" i="275"/>
  <c r="AB7" i="263"/>
  <c r="Z9" i="263"/>
  <c r="AB9" i="263" s="1"/>
  <c r="BC159" i="262"/>
  <c r="BC186" i="262"/>
  <c r="BC1081" i="259"/>
  <c r="BC889" i="275"/>
  <c r="BC1065" i="259"/>
  <c r="AI267" i="262"/>
  <c r="AI272" i="262" s="1"/>
  <c r="AI1172" i="259"/>
  <c r="AI266" i="262" s="1"/>
  <c r="AI841" i="259"/>
  <c r="AI1071" i="259"/>
  <c r="BB1071" i="259" s="1"/>
  <c r="AI1073" i="259"/>
  <c r="BB1073" i="259" s="1"/>
  <c r="AI1072" i="259"/>
  <c r="BB1072" i="259" s="1"/>
  <c r="BE85" i="262"/>
  <c r="BE765" i="275"/>
  <c r="AI92" i="262"/>
  <c r="AI119" i="262"/>
  <c r="AI1501" i="259"/>
  <c r="AI1579" i="259"/>
  <c r="AI780" i="275"/>
  <c r="BB652" i="275"/>
  <c r="AH71" i="259"/>
  <c r="AH71" i="275" s="1"/>
  <c r="AH70" i="275"/>
  <c r="BD58" i="262"/>
  <c r="BD889" i="259"/>
  <c r="BD885" i="259"/>
  <c r="BD885" i="275" s="1"/>
  <c r="BD887" i="275"/>
  <c r="BD1273" i="259"/>
  <c r="BD261" i="262" s="1"/>
  <c r="BE737" i="259"/>
  <c r="BE725" i="275"/>
  <c r="BC128" i="262"/>
  <c r="BC53" i="259"/>
  <c r="Z31" i="264"/>
  <c r="BC52" i="275"/>
  <c r="AG875" i="259"/>
  <c r="AG838" i="275"/>
  <c r="AH891" i="259"/>
  <c r="Z60" i="264"/>
  <c r="AB59" i="264"/>
  <c r="Z73" i="264"/>
  <c r="AB73" i="264" s="1"/>
  <c r="BB886" i="275"/>
  <c r="BC886" i="275"/>
  <c r="BB186" i="262"/>
  <c r="BB159" i="262"/>
  <c r="BB1081" i="259"/>
  <c r="BB889" i="275"/>
  <c r="BB1065" i="259"/>
  <c r="BB70" i="259"/>
  <c r="AB21" i="263"/>
  <c r="Z23" i="263"/>
  <c r="AB23" i="263" s="1"/>
  <c r="BC809" i="259"/>
  <c r="BC786" i="275"/>
  <c r="BE1124" i="259"/>
  <c r="BE1128" i="259" s="1"/>
  <c r="BE784" i="259"/>
  <c r="BE816" i="259"/>
  <c r="BE751" i="275"/>
  <c r="BE96" i="262"/>
  <c r="BE785" i="275"/>
  <c r="BG1071" i="259" l="1"/>
  <c r="V83" i="264"/>
  <c r="X83" i="264" s="1"/>
  <c r="X52" i="264"/>
  <c r="Z44" i="264"/>
  <c r="AB44" i="264" s="1"/>
  <c r="V44" i="264"/>
  <c r="X44" i="264" s="1"/>
  <c r="BD821" i="259"/>
  <c r="X38" i="264"/>
  <c r="V39" i="264"/>
  <c r="X16" i="263"/>
  <c r="BA896" i="275"/>
  <c r="BA1537" i="259"/>
  <c r="BA1529" i="259" s="1"/>
  <c r="BA927" i="259"/>
  <c r="BA927" i="275" s="1"/>
  <c r="BA187" i="262"/>
  <c r="BA160" i="262"/>
  <c r="BA188" i="262"/>
  <c r="BA273" i="261"/>
  <c r="BA895" i="259"/>
  <c r="BA895" i="275" s="1"/>
  <c r="AI1428" i="259"/>
  <c r="AI335" i="261" s="1"/>
  <c r="AI820" i="259"/>
  <c r="BB1077" i="259"/>
  <c r="BB284" i="261" s="1"/>
  <c r="BB1078" i="259"/>
  <c r="BB285" i="261" s="1"/>
  <c r="AF895" i="275"/>
  <c r="AG895" i="259"/>
  <c r="AH895" i="259" s="1"/>
  <c r="AH896" i="259" s="1"/>
  <c r="AF896" i="259"/>
  <c r="AZ175" i="262"/>
  <c r="AZ872" i="275"/>
  <c r="AD169" i="262"/>
  <c r="AD845" i="259"/>
  <c r="AD845" i="275" s="1"/>
  <c r="AD1467" i="259"/>
  <c r="AD846" i="275"/>
  <c r="AD170" i="262"/>
  <c r="AE846" i="259"/>
  <c r="AD873" i="259"/>
  <c r="AD873" i="275" s="1"/>
  <c r="AD1517" i="259"/>
  <c r="AZ858" i="259"/>
  <c r="AZ858" i="275" s="1"/>
  <c r="AZ1642" i="259"/>
  <c r="AZ295" i="262"/>
  <c r="AZ1653" i="259"/>
  <c r="AZ302" i="262" s="1"/>
  <c r="BB1079" i="259"/>
  <c r="BB286" i="261" s="1"/>
  <c r="AE188" i="262"/>
  <c r="AE273" i="261"/>
  <c r="AE896" i="275"/>
  <c r="AE187" i="262"/>
  <c r="AE160" i="262"/>
  <c r="AE927" i="259"/>
  <c r="AE927" i="275" s="1"/>
  <c r="AE1537" i="259"/>
  <c r="AE1529" i="259" s="1"/>
  <c r="AC225" i="262"/>
  <c r="AC1471" i="259"/>
  <c r="AZ172" i="262"/>
  <c r="AZ859" i="275"/>
  <c r="BE95" i="262"/>
  <c r="BE786" i="259"/>
  <c r="BE784" i="275"/>
  <c r="BC812" i="259"/>
  <c r="BC809" i="275"/>
  <c r="BB71" i="259"/>
  <c r="BB71" i="275" s="1"/>
  <c r="BB70" i="275"/>
  <c r="BE816" i="275"/>
  <c r="AH891" i="275"/>
  <c r="K25" i="276"/>
  <c r="BC1427" i="259"/>
  <c r="BC1428" i="259" s="1"/>
  <c r="BC53" i="275"/>
  <c r="BC819" i="259"/>
  <c r="AI161" i="262"/>
  <c r="BC1071" i="259"/>
  <c r="BC1073" i="259"/>
  <c r="BC1072" i="259"/>
  <c r="BD809" i="259"/>
  <c r="BD786" i="275"/>
  <c r="BD128" i="262"/>
  <c r="BD53" i="259"/>
  <c r="BD52" i="275"/>
  <c r="AI71" i="259"/>
  <c r="AI71" i="275" s="1"/>
  <c r="AI70" i="275"/>
  <c r="BB1428" i="259"/>
  <c r="BE52" i="259"/>
  <c r="BE644" i="259"/>
  <c r="BE684" i="259"/>
  <c r="BE642" i="275"/>
  <c r="AH875" i="259"/>
  <c r="AH929" i="259" s="1"/>
  <c r="AH929" i="275" s="1"/>
  <c r="AH838" i="275"/>
  <c r="BC92" i="262"/>
  <c r="BC119" i="262"/>
  <c r="BC1501" i="259"/>
  <c r="BC1579" i="259"/>
  <c r="Z16" i="263"/>
  <c r="BC780" i="275"/>
  <c r="AF929" i="275"/>
  <c r="BB244" i="261"/>
  <c r="R44" i="264"/>
  <c r="T44" i="264" s="1"/>
  <c r="BE58" i="262"/>
  <c r="BE885" i="259"/>
  <c r="BE885" i="275" s="1"/>
  <c r="BE889" i="259"/>
  <c r="BE887" i="275"/>
  <c r="BE1273" i="259"/>
  <c r="BE261" i="262" s="1"/>
  <c r="BB812" i="259"/>
  <c r="BB812" i="275" s="1"/>
  <c r="BB809" i="275"/>
  <c r="T16" i="263"/>
  <c r="BB161" i="262"/>
  <c r="J27" i="276"/>
  <c r="K12" i="273"/>
  <c r="J25" i="276"/>
  <c r="BB53" i="275"/>
  <c r="BB819" i="259"/>
  <c r="Z74" i="264"/>
  <c r="AB74" i="264" s="1"/>
  <c r="AB60" i="264"/>
  <c r="AG875" i="275"/>
  <c r="Z32" i="264"/>
  <c r="AB31" i="264"/>
  <c r="BD186" i="262"/>
  <c r="BD159" i="262"/>
  <c r="BD1081" i="259"/>
  <c r="BD889" i="275"/>
  <c r="BD1065" i="259"/>
  <c r="BB841" i="259"/>
  <c r="AI841" i="275"/>
  <c r="BD652" i="259"/>
  <c r="BD646" i="275"/>
  <c r="BD58" i="259"/>
  <c r="BD780" i="259"/>
  <c r="BD1511" i="259"/>
  <c r="BD644" i="275"/>
  <c r="BE144" i="262"/>
  <c r="BE65" i="259"/>
  <c r="BE65" i="275" s="1"/>
  <c r="BE64" i="275"/>
  <c r="AI838" i="259"/>
  <c r="AI839" i="275"/>
  <c r="BC652" i="259"/>
  <c r="BC646" i="275"/>
  <c r="BC140" i="262"/>
  <c r="BC59" i="259"/>
  <c r="Z38" i="264"/>
  <c r="BC58" i="275"/>
  <c r="BB140" i="262"/>
  <c r="BB59" i="259"/>
  <c r="R38" i="264"/>
  <c r="R52" i="264" s="1"/>
  <c r="BB58" i="275"/>
  <c r="R74" i="264"/>
  <c r="T74" i="264" s="1"/>
  <c r="T60" i="264"/>
  <c r="AI891" i="259"/>
  <c r="BB891" i="259" s="1"/>
  <c r="AG929" i="259"/>
  <c r="AG929" i="275" s="1"/>
  <c r="R32" i="264"/>
  <c r="T31" i="264"/>
  <c r="BH1071" i="259" l="1"/>
  <c r="AB8" i="259"/>
  <c r="AB9" i="259" s="1"/>
  <c r="AB96" i="259"/>
  <c r="V53" i="264"/>
  <c r="X39" i="264"/>
  <c r="V45" i="264"/>
  <c r="X45" i="264" s="1"/>
  <c r="AI1431" i="259"/>
  <c r="AE170" i="262"/>
  <c r="AE845" i="259"/>
  <c r="AE873" i="259"/>
  <c r="AE873" i="275" s="1"/>
  <c r="AE1467" i="259"/>
  <c r="AE169" i="262"/>
  <c r="AF846" i="259"/>
  <c r="BA846" i="259"/>
  <c r="AE846" i="275"/>
  <c r="AE1517" i="259"/>
  <c r="AG895" i="275"/>
  <c r="AG896" i="259"/>
  <c r="AH160" i="262" s="1"/>
  <c r="AZ294" i="262"/>
  <c r="AZ1664" i="259"/>
  <c r="AZ1666" i="259"/>
  <c r="AZ1668" i="259"/>
  <c r="AZ1672" i="259"/>
  <c r="AZ1674" i="259"/>
  <c r="AZ1652" i="259"/>
  <c r="AZ301" i="262" s="1"/>
  <c r="AZ1665" i="259"/>
  <c r="AZ1667" i="259"/>
  <c r="AZ1669" i="259"/>
  <c r="AZ1673" i="259"/>
  <c r="AZ1675" i="259"/>
  <c r="AD225" i="262"/>
  <c r="AD1471" i="259"/>
  <c r="AF160" i="262"/>
  <c r="AF188" i="262"/>
  <c r="AF927" i="259"/>
  <c r="AF927" i="275" s="1"/>
  <c r="AF896" i="275"/>
  <c r="AF187" i="262"/>
  <c r="AF273" i="261"/>
  <c r="AF1537" i="259"/>
  <c r="AF1529" i="259" s="1"/>
  <c r="BB891" i="275"/>
  <c r="AH187" i="262"/>
  <c r="AH188" i="262"/>
  <c r="AH273" i="261"/>
  <c r="AH927" i="259"/>
  <c r="AH1537" i="259"/>
  <c r="AH1529" i="259" s="1"/>
  <c r="AH896" i="275"/>
  <c r="T32" i="264"/>
  <c r="BB59" i="275"/>
  <c r="BB820" i="259"/>
  <c r="Z39" i="264"/>
  <c r="Z53" i="264" s="1"/>
  <c r="AB38" i="264"/>
  <c r="BC70" i="259"/>
  <c r="BC652" i="275"/>
  <c r="T52" i="264"/>
  <c r="R83" i="264"/>
  <c r="T83" i="264" s="1"/>
  <c r="R39" i="264"/>
  <c r="T38" i="264"/>
  <c r="BC59" i="275"/>
  <c r="BD140" i="262"/>
  <c r="BD59" i="259"/>
  <c r="BD59" i="275" s="1"/>
  <c r="BD58" i="275"/>
  <c r="BD70" i="259"/>
  <c r="BD652" i="275"/>
  <c r="BB1130" i="259"/>
  <c r="BB841" i="275"/>
  <c r="Z52" i="264"/>
  <c r="BE159" i="262"/>
  <c r="BE186" i="262"/>
  <c r="BE1081" i="259"/>
  <c r="BE889" i="275"/>
  <c r="BE1065" i="259"/>
  <c r="AH875" i="275"/>
  <c r="BE58" i="259"/>
  <c r="BE780" i="259"/>
  <c r="BE1511" i="259"/>
  <c r="BE644" i="275"/>
  <c r="BE646" i="259"/>
  <c r="BD1427" i="259"/>
  <c r="BD1428" i="259" s="1"/>
  <c r="BD53" i="275"/>
  <c r="BD819" i="259"/>
  <c r="BC335" i="261"/>
  <c r="BC1431" i="259"/>
  <c r="BE809" i="259"/>
  <c r="BE786" i="275"/>
  <c r="AI891" i="275"/>
  <c r="BB838" i="259"/>
  <c r="AI875" i="259"/>
  <c r="AI875" i="275" s="1"/>
  <c r="AI838" i="275"/>
  <c r="BD92" i="262"/>
  <c r="BD119" i="262"/>
  <c r="BD1501" i="259"/>
  <c r="BD1579" i="259"/>
  <c r="BD780" i="275"/>
  <c r="BD1072" i="259"/>
  <c r="BD1073" i="259"/>
  <c r="BD1071" i="259"/>
  <c r="BI1071" i="259" s="1"/>
  <c r="AB32" i="264"/>
  <c r="AB16" i="263"/>
  <c r="BC161" i="262"/>
  <c r="K27" i="276"/>
  <c r="BC820" i="259"/>
  <c r="BE128" i="262"/>
  <c r="BE53" i="259"/>
  <c r="BE52" i="275"/>
  <c r="BB335" i="261"/>
  <c r="BB1431" i="259"/>
  <c r="BD812" i="259"/>
  <c r="BD812" i="275" s="1"/>
  <c r="BD809" i="275"/>
  <c r="AI895" i="259"/>
  <c r="AI895" i="275" s="1"/>
  <c r="AH895" i="275"/>
  <c r="BC812" i="275"/>
  <c r="BE821" i="259"/>
  <c r="AB288" i="261" l="1"/>
  <c r="AB793" i="259"/>
  <c r="AB9" i="275"/>
  <c r="AB28" i="259"/>
  <c r="AB28" i="275" s="1"/>
  <c r="AB21" i="259"/>
  <c r="X53" i="264"/>
  <c r="V84" i="264"/>
  <c r="X84" i="264" s="1"/>
  <c r="BD820" i="259"/>
  <c r="AG187" i="262"/>
  <c r="AG160" i="262"/>
  <c r="AG927" i="259"/>
  <c r="AG927" i="275" s="1"/>
  <c r="AG1537" i="259"/>
  <c r="AG1529" i="259" s="1"/>
  <c r="AG188" i="262"/>
  <c r="AG273" i="261"/>
  <c r="AG896" i="275"/>
  <c r="AF170" i="262"/>
  <c r="AG846" i="259"/>
  <c r="AF1517" i="259"/>
  <c r="AF169" i="262"/>
  <c r="AF873" i="259"/>
  <c r="AF873" i="275" s="1"/>
  <c r="AF845" i="259"/>
  <c r="AF845" i="275" s="1"/>
  <c r="AF1467" i="259"/>
  <c r="AF846" i="275"/>
  <c r="BA1467" i="259"/>
  <c r="AE225" i="262"/>
  <c r="AE1471" i="259"/>
  <c r="BA169" i="262"/>
  <c r="BA846" i="275"/>
  <c r="BA170" i="262"/>
  <c r="BA873" i="259"/>
  <c r="BA873" i="275" s="1"/>
  <c r="AE845" i="275"/>
  <c r="BA845" i="259"/>
  <c r="BA845" i="275" s="1"/>
  <c r="BE1427" i="259"/>
  <c r="BE1428" i="259" s="1"/>
  <c r="BE53" i="275"/>
  <c r="BE819" i="259"/>
  <c r="BB875" i="259"/>
  <c r="BB839" i="259"/>
  <c r="BB838" i="275"/>
  <c r="AI896" i="259"/>
  <c r="BB896" i="259" s="1"/>
  <c r="BE812" i="259"/>
  <c r="BE812" i="275" s="1"/>
  <c r="BE809" i="275"/>
  <c r="BD335" i="261"/>
  <c r="BD1431" i="259"/>
  <c r="BE652" i="259"/>
  <c r="BE646" i="275"/>
  <c r="BE140" i="262"/>
  <c r="BE59" i="259"/>
  <c r="BE59" i="275" s="1"/>
  <c r="BE58" i="275"/>
  <c r="BE1071" i="259"/>
  <c r="BJ1071" i="259" s="1"/>
  <c r="BE1073" i="259"/>
  <c r="BE1072" i="259"/>
  <c r="BB267" i="262"/>
  <c r="BB272" i="262" s="1"/>
  <c r="BB1136" i="259"/>
  <c r="BB1172" i="259"/>
  <c r="BB266" i="262" s="1"/>
  <c r="BC1123" i="259"/>
  <c r="BC1130" i="259" s="1"/>
  <c r="V77" i="264" s="1"/>
  <c r="X77" i="264" s="1"/>
  <c r="R77" i="264"/>
  <c r="T77" i="264" s="1"/>
  <c r="BC71" i="259"/>
  <c r="BC71" i="275" s="1"/>
  <c r="BC70" i="275"/>
  <c r="AB53" i="264"/>
  <c r="Z84" i="264"/>
  <c r="AB84" i="264" s="1"/>
  <c r="BD161" i="262"/>
  <c r="BE92" i="262"/>
  <c r="BE119" i="262"/>
  <c r="BE1501" i="259"/>
  <c r="BE1579" i="259"/>
  <c r="BE780" i="275"/>
  <c r="AI929" i="259"/>
  <c r="AB52" i="264"/>
  <c r="Z83" i="264"/>
  <c r="AB83" i="264" s="1"/>
  <c r="BD71" i="259"/>
  <c r="BD70" i="275"/>
  <c r="R45" i="264"/>
  <c r="T45" i="264" s="1"/>
  <c r="T39" i="264"/>
  <c r="Z45" i="264"/>
  <c r="AB45" i="264" s="1"/>
  <c r="AB39" i="264"/>
  <c r="AB136" i="262"/>
  <c r="P29" i="272"/>
  <c r="BA11" i="264"/>
  <c r="R53" i="264"/>
  <c r="AH927" i="275"/>
  <c r="AB793" i="275" l="1"/>
  <c r="AB22" i="259"/>
  <c r="AB1489" i="259"/>
  <c r="AB21" i="275"/>
  <c r="BB927" i="259"/>
  <c r="BB927" i="275" s="1"/>
  <c r="BB1537" i="259"/>
  <c r="BB1529" i="259" s="1"/>
  <c r="BB273" i="261"/>
  <c r="BB187" i="262"/>
  <c r="BB160" i="262"/>
  <c r="BB896" i="275"/>
  <c r="BB188" i="262"/>
  <c r="BB895" i="259"/>
  <c r="BB895" i="275" s="1"/>
  <c r="BE820" i="259"/>
  <c r="BD71" i="275"/>
  <c r="BA225" i="262"/>
  <c r="BA1471" i="259"/>
  <c r="BA1636" i="259" s="1"/>
  <c r="BA1644" i="259" s="1"/>
  <c r="BA1470" i="259"/>
  <c r="BA344" i="261" s="1"/>
  <c r="AF1471" i="259"/>
  <c r="AF225" i="262"/>
  <c r="AG170" i="262"/>
  <c r="AG845" i="259"/>
  <c r="AG845" i="275" s="1"/>
  <c r="AG873" i="259"/>
  <c r="AG873" i="275" s="1"/>
  <c r="AG846" i="275"/>
  <c r="AG1517" i="259"/>
  <c r="AG169" i="262"/>
  <c r="AH846" i="259"/>
  <c r="AG1467" i="259"/>
  <c r="T53" i="264"/>
  <c r="R84" i="264"/>
  <c r="T84" i="264" s="1"/>
  <c r="BA12" i="264"/>
  <c r="BC12" i="264" s="1"/>
  <c r="BC11" i="264"/>
  <c r="BA27" i="263"/>
  <c r="BC27" i="263" s="1"/>
  <c r="AI929" i="275"/>
  <c r="BB929" i="259"/>
  <c r="BB929" i="275" s="1"/>
  <c r="AI187" i="262"/>
  <c r="AI188" i="262"/>
  <c r="AI160" i="262"/>
  <c r="AI273" i="261"/>
  <c r="AI927" i="259"/>
  <c r="AI896" i="275"/>
  <c r="AI1537" i="259"/>
  <c r="AI1529" i="259" s="1"/>
  <c r="BC839" i="259"/>
  <c r="BB839" i="275"/>
  <c r="BE161" i="262"/>
  <c r="BC267" i="262"/>
  <c r="BC272" i="262" s="1"/>
  <c r="BD1123" i="259"/>
  <c r="BD1130" i="259" s="1"/>
  <c r="BC1172" i="259"/>
  <c r="BC266" i="262" s="1"/>
  <c r="BC841" i="259"/>
  <c r="Z77" i="264"/>
  <c r="AB77" i="264" s="1"/>
  <c r="BE70" i="259"/>
  <c r="BE652" i="275"/>
  <c r="BB875" i="275"/>
  <c r="BE335" i="261"/>
  <c r="BE1431" i="259"/>
  <c r="AB24" i="259" l="1"/>
  <c r="AB22" i="275"/>
  <c r="AB1490" i="259"/>
  <c r="AB1491" i="259"/>
  <c r="AB1492" i="259"/>
  <c r="BA295" i="262"/>
  <c r="BA1642" i="259"/>
  <c r="BA1653" i="259"/>
  <c r="BA302" i="262" s="1"/>
  <c r="AG1471" i="259"/>
  <c r="AG225" i="262"/>
  <c r="AH169" i="262"/>
  <c r="AH845" i="259"/>
  <c r="AH845" i="275" s="1"/>
  <c r="AH1467" i="259"/>
  <c r="AH846" i="275"/>
  <c r="AH170" i="262"/>
  <c r="AI846" i="259"/>
  <c r="AH873" i="259"/>
  <c r="AH873" i="275" s="1"/>
  <c r="AH1517" i="259"/>
  <c r="BE71" i="259"/>
  <c r="BE71" i="275" s="1"/>
  <c r="BE70" i="275"/>
  <c r="BC841" i="275"/>
  <c r="BC891" i="259"/>
  <c r="BD267" i="262"/>
  <c r="BD272" i="262" s="1"/>
  <c r="BD841" i="259"/>
  <c r="BD1172" i="259"/>
  <c r="BD266" i="262" s="1"/>
  <c r="BE1123" i="259"/>
  <c r="BE1130" i="259" s="1"/>
  <c r="BC838" i="259"/>
  <c r="BD839" i="259"/>
  <c r="BC839" i="275"/>
  <c r="AI927" i="275"/>
  <c r="AB102" i="262"/>
  <c r="AB13" i="259" l="1"/>
  <c r="AB24" i="275"/>
  <c r="AH225" i="262"/>
  <c r="AH1471" i="259"/>
  <c r="AI846" i="275"/>
  <c r="AI169" i="262"/>
  <c r="BB846" i="259"/>
  <c r="AI1467" i="259"/>
  <c r="AI170" i="262"/>
  <c r="AI845" i="259"/>
  <c r="AI873" i="259"/>
  <c r="AI873" i="275" s="1"/>
  <c r="AI1517" i="259"/>
  <c r="BA294" i="262"/>
  <c r="BA1664" i="259"/>
  <c r="BA1666" i="259"/>
  <c r="BA1668" i="259"/>
  <c r="BA1672" i="259"/>
  <c r="BA1674" i="259"/>
  <c r="BA1652" i="259"/>
  <c r="BA301" i="262" s="1"/>
  <c r="BA1665" i="259"/>
  <c r="BA1667" i="259"/>
  <c r="BA1669" i="259"/>
  <c r="BA1673" i="259"/>
  <c r="BA1675" i="259"/>
  <c r="BE267" i="262"/>
  <c r="BE272" i="262" s="1"/>
  <c r="BE841" i="259"/>
  <c r="BE841" i="275" s="1"/>
  <c r="BE1172" i="259"/>
  <c r="BE266" i="262" s="1"/>
  <c r="BD841" i="275"/>
  <c r="P31" i="272"/>
  <c r="BD838" i="259"/>
  <c r="BE839" i="259"/>
  <c r="BD839" i="275"/>
  <c r="BC875" i="259"/>
  <c r="BC838" i="275"/>
  <c r="BC891" i="275"/>
  <c r="BC895" i="259"/>
  <c r="BD891" i="259"/>
  <c r="AB14" i="259" l="1"/>
  <c r="AB796" i="259"/>
  <c r="AB291" i="261"/>
  <c r="AB13" i="275"/>
  <c r="P32" i="272"/>
  <c r="BE891" i="259"/>
  <c r="BE891" i="275" s="1"/>
  <c r="AI845" i="275"/>
  <c r="BB845" i="259"/>
  <c r="BB845" i="275" s="1"/>
  <c r="BB1467" i="259"/>
  <c r="AI225" i="262"/>
  <c r="AI1471" i="259"/>
  <c r="BB846" i="275"/>
  <c r="BB169" i="262"/>
  <c r="BB873" i="259"/>
  <c r="BB873" i="275" s="1"/>
  <c r="BB170" i="262"/>
  <c r="BA30" i="263"/>
  <c r="BD891" i="275"/>
  <c r="BD875" i="259"/>
  <c r="BD929" i="259" s="1"/>
  <c r="BD838" i="275"/>
  <c r="BA29" i="263"/>
  <c r="P33" i="272"/>
  <c r="BD895" i="259"/>
  <c r="BC895" i="275"/>
  <c r="BC896" i="259"/>
  <c r="BC875" i="275"/>
  <c r="BC929" i="259"/>
  <c r="BC929" i="275" s="1"/>
  <c r="BE838" i="259"/>
  <c r="BE839" i="275"/>
  <c r="AB796" i="275" l="1"/>
  <c r="AB797" i="259"/>
  <c r="AB14" i="275"/>
  <c r="AB26" i="259"/>
  <c r="AB26" i="275" s="1"/>
  <c r="AB27" i="259"/>
  <c r="AB30" i="259"/>
  <c r="AB30" i="275" s="1"/>
  <c r="R35" i="272"/>
  <c r="R33" i="272"/>
  <c r="BB1471" i="259"/>
  <c r="BB1636" i="259" s="1"/>
  <c r="BB1644" i="259" s="1"/>
  <c r="BB225" i="262"/>
  <c r="BB1470" i="259"/>
  <c r="BD929" i="275"/>
  <c r="BC160" i="262"/>
  <c r="BC187" i="262"/>
  <c r="BC188" i="262"/>
  <c r="BC273" i="261"/>
  <c r="BC927" i="259"/>
  <c r="BC1537" i="259"/>
  <c r="BC1529" i="259" s="1"/>
  <c r="BC896" i="275"/>
  <c r="BC846" i="259"/>
  <c r="BE895" i="259"/>
  <c r="BD895" i="275"/>
  <c r="AB104" i="262"/>
  <c r="BD896" i="259"/>
  <c r="BE875" i="259"/>
  <c r="BE875" i="275" s="1"/>
  <c r="BE838" i="275"/>
  <c r="BA31" i="263"/>
  <c r="BC29" i="263"/>
  <c r="BA15" i="264"/>
  <c r="BC15" i="264" s="1"/>
  <c r="BD875" i="275"/>
  <c r="BC30" i="263"/>
  <c r="BA16" i="264"/>
  <c r="BC16" i="264" s="1"/>
  <c r="AB1483" i="259" l="1"/>
  <c r="AB198" i="262" s="1"/>
  <c r="AB1481" i="259"/>
  <c r="AB1485" i="259"/>
  <c r="AB1343" i="259"/>
  <c r="AB797" i="275"/>
  <c r="AB1482" i="259"/>
  <c r="AB1480" i="259"/>
  <c r="AB77" i="259" s="1"/>
  <c r="AB77" i="275" s="1"/>
  <c r="AB1484" i="259"/>
  <c r="AB1342" i="259"/>
  <c r="AB1486" i="259"/>
  <c r="AB1345" i="259"/>
  <c r="AB804" i="259"/>
  <c r="AB806" i="259"/>
  <c r="AB811" i="259"/>
  <c r="P37" i="272"/>
  <c r="P40" i="272" s="1"/>
  <c r="R40" i="272" s="1"/>
  <c r="AB1292" i="259"/>
  <c r="AB1296" i="259" s="1"/>
  <c r="BA1296" i="259" s="1"/>
  <c r="AB27" i="275"/>
  <c r="R37" i="272"/>
  <c r="P39" i="272"/>
  <c r="R39" i="272" s="1"/>
  <c r="BE929" i="259"/>
  <c r="BE929" i="275" s="1"/>
  <c r="BB344" i="261"/>
  <c r="BC1470" i="259"/>
  <c r="BC1467" i="259" s="1"/>
  <c r="BB1642" i="259"/>
  <c r="BB295" i="262"/>
  <c r="BB1653" i="259"/>
  <c r="BB302" i="262" s="1"/>
  <c r="BA35" i="263"/>
  <c r="AB105" i="262"/>
  <c r="BC170" i="262"/>
  <c r="BC169" i="262"/>
  <c r="BC845" i="259"/>
  <c r="BC845" i="275" s="1"/>
  <c r="BD846" i="259"/>
  <c r="BC873" i="259"/>
  <c r="BC1517" i="259"/>
  <c r="BC846" i="275"/>
  <c r="BC927" i="275"/>
  <c r="BC31" i="263"/>
  <c r="BA18" i="264"/>
  <c r="BC18" i="264" s="1"/>
  <c r="BD187" i="262"/>
  <c r="BD188" i="262"/>
  <c r="BD160" i="262"/>
  <c r="BD273" i="261"/>
  <c r="BD927" i="259"/>
  <c r="BD896" i="275"/>
  <c r="BD1537" i="259"/>
  <c r="BD1529" i="259" s="1"/>
  <c r="BE895" i="275"/>
  <c r="BE896" i="259"/>
  <c r="P41" i="272" l="1"/>
  <c r="R41" i="272" s="1"/>
  <c r="AB813" i="259"/>
  <c r="AB813" i="275" s="1"/>
  <c r="AB811" i="275"/>
  <c r="AB804" i="275"/>
  <c r="AB807" i="259"/>
  <c r="AB807" i="275" s="1"/>
  <c r="AB806" i="275"/>
  <c r="AB1336" i="259"/>
  <c r="AB319" i="261" s="1"/>
  <c r="AB1344" i="259"/>
  <c r="AB1346" i="259" s="1"/>
  <c r="AB1347" i="259" s="1"/>
  <c r="AB1348" i="259" s="1"/>
  <c r="BD1470" i="259"/>
  <c r="BD1467" i="259" s="1"/>
  <c r="BC344" i="261"/>
  <c r="BB1652" i="259"/>
  <c r="BB301" i="262" s="1"/>
  <c r="BB1665" i="259"/>
  <c r="BB1667" i="259"/>
  <c r="BB1669" i="259"/>
  <c r="BB1673" i="259"/>
  <c r="BB1675" i="259"/>
  <c r="BB1664" i="259"/>
  <c r="BB1666" i="259"/>
  <c r="BB1672" i="259"/>
  <c r="BB294" i="262"/>
  <c r="BB1668" i="259"/>
  <c r="BB1674" i="259"/>
  <c r="BE160" i="262"/>
  <c r="BE187" i="262"/>
  <c r="BE188" i="262"/>
  <c r="BE273" i="261"/>
  <c r="BE927" i="259"/>
  <c r="BE1537" i="259"/>
  <c r="BE1529" i="259" s="1"/>
  <c r="BE896" i="275"/>
  <c r="BD927" i="275"/>
  <c r="BC225" i="262"/>
  <c r="BC1471" i="259"/>
  <c r="BC1636" i="259" s="1"/>
  <c r="BC1644" i="259" s="1"/>
  <c r="BD169" i="262"/>
  <c r="BD170" i="262"/>
  <c r="BD873" i="259"/>
  <c r="BD845" i="259"/>
  <c r="BD845" i="275" s="1"/>
  <c r="BE846" i="259"/>
  <c r="BD1517" i="259"/>
  <c r="BD846" i="275"/>
  <c r="AB195" i="262"/>
  <c r="AB114" i="262"/>
  <c r="AB122" i="262"/>
  <c r="AB253" i="262"/>
  <c r="AB237" i="262"/>
  <c r="AB236" i="262"/>
  <c r="BC873" i="275"/>
  <c r="AB235" i="262"/>
  <c r="AB121" i="262"/>
  <c r="AB112" i="262"/>
  <c r="BC35" i="263"/>
  <c r="BC33" i="263" s="1"/>
  <c r="BC36" i="263"/>
  <c r="BA22" i="264"/>
  <c r="BE1470" i="259" l="1"/>
  <c r="BE344" i="261" s="1"/>
  <c r="BD344" i="261"/>
  <c r="BC22" i="264"/>
  <c r="BC20" i="264" s="1"/>
  <c r="BC23" i="264"/>
  <c r="BA118" i="264"/>
  <c r="BC118" i="264" s="1"/>
  <c r="AB115" i="262"/>
  <c r="BE170" i="262"/>
  <c r="BE169" i="262"/>
  <c r="BE845" i="259"/>
  <c r="BE845" i="275" s="1"/>
  <c r="BE873" i="259"/>
  <c r="BE1517" i="259"/>
  <c r="BE846" i="275"/>
  <c r="BD873" i="275"/>
  <c r="AC1291" i="259"/>
  <c r="BE927" i="275"/>
  <c r="AB239" i="262"/>
  <c r="AB254" i="262"/>
  <c r="BD225" i="262"/>
  <c r="BD1471" i="259"/>
  <c r="BD1636" i="259" s="1"/>
  <c r="BD1644" i="259" s="1"/>
  <c r="BC295" i="262"/>
  <c r="BC1642" i="259"/>
  <c r="BC1653" i="259"/>
  <c r="BC302" i="262" s="1"/>
  <c r="BE1467" i="259" l="1"/>
  <c r="BE225" i="262" s="1"/>
  <c r="BD295" i="262"/>
  <c r="BD1642" i="259"/>
  <c r="BD1653" i="259"/>
  <c r="BD302" i="262" s="1"/>
  <c r="AB255" i="262"/>
  <c r="AB258" i="262"/>
  <c r="BE873" i="275"/>
  <c r="BC294" i="262"/>
  <c r="BC1652" i="259"/>
  <c r="BC301" i="262" s="1"/>
  <c r="BC1664" i="259"/>
  <c r="BC1665" i="259"/>
  <c r="BC1666" i="259"/>
  <c r="BC1667" i="259"/>
  <c r="BC1668" i="259"/>
  <c r="BC1669" i="259"/>
  <c r="BC1672" i="259"/>
  <c r="BC1673" i="259"/>
  <c r="BC1674" i="259"/>
  <c r="BC1675" i="259"/>
  <c r="AB240" i="262"/>
  <c r="AB174" i="262"/>
  <c r="BE1471" i="259" l="1"/>
  <c r="BE1636" i="259" s="1"/>
  <c r="BE1644" i="259" s="1"/>
  <c r="BE295" i="262" s="1"/>
  <c r="AB1352" i="259"/>
  <c r="AB1351" i="259"/>
  <c r="AB176" i="262"/>
  <c r="AB256" i="262"/>
  <c r="AB1353" i="259"/>
  <c r="AB210" i="262" s="1"/>
  <c r="BD294" i="262"/>
  <c r="BD1652" i="259"/>
  <c r="BD301" i="262" s="1"/>
  <c r="BD1664" i="259"/>
  <c r="BD1665" i="259"/>
  <c r="BD1666" i="259"/>
  <c r="BD1667" i="259"/>
  <c r="BD1668" i="259"/>
  <c r="BD1669" i="259"/>
  <c r="BD1672" i="259"/>
  <c r="BD1673" i="259"/>
  <c r="BD1674" i="259"/>
  <c r="BD1675" i="259"/>
  <c r="BE1653" i="259" l="1"/>
  <c r="BE302" i="262" s="1"/>
  <c r="BE1642" i="259"/>
  <c r="BE294" i="262" s="1"/>
  <c r="AB190" i="262"/>
  <c r="AB199" i="262"/>
  <c r="AB196" i="262"/>
  <c r="AB175" i="262"/>
  <c r="BE1669" i="259" l="1"/>
  <c r="BE1675" i="259"/>
  <c r="BE1673" i="259"/>
  <c r="BE1665" i="259"/>
  <c r="BE1667" i="259"/>
  <c r="BE1652" i="259"/>
  <c r="BE301" i="262" s="1"/>
  <c r="BE1674" i="259"/>
  <c r="BE1668" i="259"/>
  <c r="BE1664" i="259"/>
  <c r="BE1672" i="259"/>
  <c r="BE1666" i="259"/>
  <c r="AB172" i="262"/>
  <c r="AB189" i="262"/>
  <c r="AB191" i="262"/>
  <c r="AB197" i="262"/>
  <c r="AC1370" i="259"/>
  <c r="AD1370" i="259" l="1"/>
  <c r="AE1370" i="259" l="1"/>
  <c r="AF1370" i="259" l="1"/>
  <c r="BA1370" i="259"/>
  <c r="BA1449" i="259" l="1"/>
  <c r="AG1370" i="259"/>
  <c r="AH1370" i="259" l="1"/>
  <c r="AI1370" i="259" l="1"/>
  <c r="BB1370" i="259" l="1"/>
  <c r="BB1449" i="259" l="1"/>
  <c r="BC1449" i="259" s="1"/>
  <c r="BD1449" i="259" s="1"/>
  <c r="BE1449" i="259" s="1"/>
  <c r="BC1370" i="259" l="1"/>
  <c r="BD1370" i="259" l="1"/>
  <c r="BE1370" i="259"/>
  <c r="AA911" i="259" l="1"/>
  <c r="AZ937" i="259"/>
  <c r="AZ937" i="275" s="1"/>
  <c r="AZ944" i="259"/>
  <c r="AZ944" i="275" s="1"/>
  <c r="AZ946" i="259"/>
  <c r="AZ948" i="259"/>
  <c r="AZ955" i="259"/>
  <c r="AZ956" i="259" s="1"/>
  <c r="AZ946" i="275"/>
  <c r="AZ948" i="275"/>
  <c r="AZ959" i="259" l="1"/>
  <c r="AZ956" i="275"/>
  <c r="AZ957" i="259"/>
  <c r="AZ955" i="275"/>
  <c r="AA912" i="259"/>
  <c r="AZ911" i="259"/>
  <c r="AZ265" i="261"/>
  <c r="AA274" i="261" l="1"/>
  <c r="AA912" i="275"/>
  <c r="AA192" i="262"/>
  <c r="AZ912" i="259"/>
  <c r="AZ192" i="262" s="1"/>
  <c r="AZ911" i="275"/>
  <c r="AZ274" i="261" l="1"/>
  <c r="AZ912" i="275"/>
  <c r="AB171" i="262" l="1"/>
  <c r="AA222" i="262" l="1"/>
  <c r="AA223" i="262"/>
  <c r="AZ1403" i="259"/>
  <c r="AZ1407" i="259"/>
  <c r="AZ222" i="262" s="1"/>
  <c r="AZ1408" i="259"/>
  <c r="AZ34" i="277"/>
  <c r="AZ32" i="277" l="1"/>
  <c r="AA1354" i="259"/>
  <c r="AA211" i="262" s="1"/>
  <c r="AA1597" i="259"/>
  <c r="AZ1388" i="259"/>
  <c r="AZ1404" i="259" s="1"/>
  <c r="AA1380" i="259"/>
  <c r="AZ223" i="262"/>
  <c r="AA1389" i="259"/>
  <c r="AA1393" i="259"/>
  <c r="AA1405" i="259"/>
  <c r="AA322" i="261" s="1"/>
  <c r="AA1392" i="259"/>
  <c r="AA1404" i="259"/>
  <c r="AA1386" i="259"/>
  <c r="AA229" i="262"/>
  <c r="AA218" i="262"/>
  <c r="AA220" i="262" l="1"/>
  <c r="AA313" i="261"/>
  <c r="AA1385" i="259"/>
  <c r="AA1409" i="259" s="1"/>
  <c r="AZ1386" i="259"/>
  <c r="AA1387" i="259"/>
  <c r="AA1397" i="259"/>
  <c r="AA213" i="262"/>
  <c r="AA1398" i="259"/>
  <c r="AA214" i="262"/>
  <c r="AZ1354" i="259"/>
  <c r="AZ211" i="262" s="1"/>
  <c r="AZ1380" i="259"/>
  <c r="AZ1389" i="259"/>
  <c r="AZ1393" i="259"/>
  <c r="AZ218" i="262"/>
  <c r="AZ229" i="262"/>
  <c r="AZ1392" i="259"/>
  <c r="AZ1405" i="259"/>
  <c r="AZ322" i="261" s="1"/>
  <c r="AZ1597" i="259"/>
  <c r="Z22" i="267"/>
  <c r="H33" i="276" l="1"/>
  <c r="AZ1397" i="259"/>
  <c r="I16" i="273"/>
  <c r="AZ213" i="262"/>
  <c r="AZ1385" i="259"/>
  <c r="AZ1409" i="259" s="1"/>
  <c r="Z32" i="267"/>
  <c r="AZ214" i="262"/>
  <c r="AZ1398" i="259"/>
  <c r="AZ1387" i="259"/>
  <c r="AZ1394" i="259"/>
  <c r="AZ1399" i="259" s="1"/>
  <c r="AZ313" i="261"/>
  <c r="AZ220" i="262"/>
  <c r="AB91" i="262" l="1"/>
  <c r="AB83" i="262"/>
  <c r="AB117" i="262"/>
  <c r="AB41" i="259"/>
  <c r="AB1069" i="259" s="1"/>
  <c r="AB753" i="259"/>
  <c r="AB767" i="259"/>
  <c r="AB88" i="262" s="1"/>
  <c r="AB164" i="262"/>
  <c r="BA10" i="263"/>
  <c r="BC10" i="263" s="1"/>
  <c r="P14" i="272" l="1"/>
  <c r="P17" i="272" s="1"/>
  <c r="BA14" i="263"/>
  <c r="BC14" i="263" s="1"/>
  <c r="BC25" i="263" s="1"/>
  <c r="AB1073" i="259"/>
  <c r="AB1075" i="259"/>
  <c r="AB282" i="261" s="1"/>
  <c r="AB769" i="259"/>
  <c r="BA6" i="263"/>
  <c r="BC6" i="263" s="1"/>
  <c r="P6" i="272"/>
  <c r="BA12" i="263"/>
  <c r="BC12" i="263" s="1"/>
  <c r="BA17" i="263"/>
  <c r="BC17" i="263" s="1"/>
  <c r="BA19" i="263"/>
  <c r="BC19" i="263" s="1"/>
  <c r="P12" i="272"/>
  <c r="R12" i="272" s="1"/>
  <c r="R14" i="272"/>
  <c r="R27" i="272" s="1"/>
  <c r="P19" i="272"/>
  <c r="AB754" i="259"/>
  <c r="AB279" i="261" s="1"/>
  <c r="AB87" i="262"/>
  <c r="AB118" i="262"/>
  <c r="AB1079" i="259" l="1"/>
  <c r="AB286" i="261" s="1"/>
  <c r="BA1073" i="259"/>
  <c r="AB1497" i="259"/>
  <c r="AB1498" i="259"/>
  <c r="AB782" i="259"/>
  <c r="R19" i="272"/>
  <c r="P25" i="272"/>
  <c r="R25" i="272" s="1"/>
  <c r="BA1079" i="259" l="1"/>
  <c r="BA286" i="261" s="1"/>
  <c r="BF1073" i="259"/>
  <c r="AB302" i="261"/>
  <c r="AB162" i="262"/>
  <c r="AB1499" i="259"/>
  <c r="AB301" i="261"/>
  <c r="AB163" i="262"/>
  <c r="AB789" i="259"/>
  <c r="AB94" i="262"/>
  <c r="AB257" i="262"/>
  <c r="AB230" i="262"/>
  <c r="AB216" i="262"/>
  <c r="AB1430" i="259" l="1"/>
  <c r="AB790" i="259"/>
  <c r="AB120" i="262"/>
  <c r="AB99" i="262"/>
  <c r="AB1384" i="259"/>
  <c r="AB1408" i="259" s="1"/>
  <c r="AB791" i="259" l="1"/>
  <c r="AB817" i="259"/>
  <c r="AB306" i="261"/>
  <c r="AB101" i="262"/>
  <c r="AB1455" i="259"/>
  <c r="AB1432" i="259"/>
  <c r="AB1435" i="259" s="1"/>
  <c r="AB1439" i="259" s="1"/>
  <c r="AB337" i="261" s="1"/>
  <c r="AB226" i="262"/>
  <c r="AB1456" i="259" l="1"/>
  <c r="AB1457" i="259" s="1"/>
  <c r="AB1458" i="259" s="1"/>
  <c r="AB305" i="261"/>
  <c r="AB100" i="262"/>
  <c r="BA25" i="263"/>
  <c r="P27" i="272"/>
  <c r="AB217" i="262"/>
  <c r="AB911" i="259" l="1"/>
  <c r="AB912" i="259"/>
  <c r="AB274" i="261" l="1"/>
  <c r="AB912" i="275"/>
  <c r="AB192" i="262"/>
  <c r="AC911" i="259"/>
  <c r="AC853" i="259" l="1"/>
  <c r="AD911" i="259"/>
  <c r="AC955" i="259"/>
  <c r="AC911" i="275"/>
  <c r="AC956" i="259" l="1"/>
  <c r="AC955" i="275"/>
  <c r="AD955" i="259"/>
  <c r="AE911" i="259"/>
  <c r="AD911" i="275"/>
  <c r="AC855" i="259"/>
  <c r="AD853" i="259"/>
  <c r="AC877" i="259"/>
  <c r="AC877" i="275" s="1"/>
  <c r="AC853" i="275"/>
  <c r="AC171" i="262" l="1"/>
  <c r="AC855" i="275"/>
  <c r="AD877" i="259"/>
  <c r="AD877" i="275" s="1"/>
  <c r="AD855" i="259"/>
  <c r="AE853" i="259"/>
  <c r="AD853" i="275"/>
  <c r="AD956" i="259"/>
  <c r="AD955" i="275"/>
  <c r="AE955" i="259"/>
  <c r="BA955" i="259" s="1"/>
  <c r="AF911" i="259"/>
  <c r="AE911" i="275"/>
  <c r="AC937" i="259"/>
  <c r="AC944" i="259"/>
  <c r="AC946" i="259"/>
  <c r="AC948" i="259"/>
  <c r="AC957" i="259"/>
  <c r="AC959" i="259"/>
  <c r="AC956" i="275"/>
  <c r="BA265" i="261" l="1"/>
  <c r="BA911" i="259"/>
  <c r="BA956" i="259"/>
  <c r="BA955" i="275"/>
  <c r="AD948" i="259"/>
  <c r="AC948" i="275"/>
  <c r="AD171" i="262"/>
  <c r="AD855" i="275"/>
  <c r="AD946" i="259"/>
  <c r="AC946" i="275"/>
  <c r="AF955" i="259"/>
  <c r="AG911" i="259"/>
  <c r="AF911" i="275"/>
  <c r="AD957" i="259"/>
  <c r="AD959" i="259"/>
  <c r="AD956" i="275"/>
  <c r="AD944" i="259"/>
  <c r="AC944" i="275"/>
  <c r="AE956" i="259"/>
  <c r="AE955" i="275"/>
  <c r="AD937" i="259"/>
  <c r="AC937" i="275"/>
  <c r="AE877" i="259"/>
  <c r="AE877" i="275" s="1"/>
  <c r="AE855" i="259"/>
  <c r="AF853" i="259"/>
  <c r="BA853" i="259"/>
  <c r="AE853" i="275"/>
  <c r="BA957" i="259" l="1"/>
  <c r="BA959" i="259"/>
  <c r="BA956" i="275"/>
  <c r="AE171" i="262"/>
  <c r="AE855" i="275"/>
  <c r="AE957" i="259"/>
  <c r="AE959" i="259"/>
  <c r="AE956" i="275"/>
  <c r="AF956" i="259"/>
  <c r="AF955" i="275"/>
  <c r="BA877" i="259"/>
  <c r="BA877" i="275" s="1"/>
  <c r="BA855" i="259"/>
  <c r="BA853" i="275"/>
  <c r="AG853" i="259"/>
  <c r="AF877" i="259"/>
  <c r="AF877" i="275" s="1"/>
  <c r="AF855" i="259"/>
  <c r="AF853" i="275"/>
  <c r="AE937" i="259"/>
  <c r="AD937" i="275"/>
  <c r="AE944" i="259"/>
  <c r="AD944" i="275"/>
  <c r="BA911" i="275"/>
  <c r="AH911" i="259"/>
  <c r="AG955" i="259"/>
  <c r="AG911" i="275"/>
  <c r="AE946" i="259"/>
  <c r="AD946" i="275"/>
  <c r="AE948" i="259"/>
  <c r="AD948" i="275"/>
  <c r="AG956" i="259" l="1"/>
  <c r="AG955" i="275"/>
  <c r="AF937" i="259"/>
  <c r="BA937" i="259"/>
  <c r="BA937" i="275" s="1"/>
  <c r="AE937" i="275"/>
  <c r="AF946" i="259"/>
  <c r="BA946" i="259"/>
  <c r="BA946" i="275" s="1"/>
  <c r="AE946" i="275"/>
  <c r="AF948" i="259"/>
  <c r="BA948" i="259"/>
  <c r="BA948" i="275" s="1"/>
  <c r="AE948" i="275"/>
  <c r="AG855" i="259"/>
  <c r="AH853" i="259"/>
  <c r="AG877" i="259"/>
  <c r="AG877" i="275" s="1"/>
  <c r="AG853" i="275"/>
  <c r="AH955" i="259"/>
  <c r="AI911" i="259"/>
  <c r="AH911" i="275"/>
  <c r="AF944" i="259"/>
  <c r="BA944" i="259"/>
  <c r="BA944" i="275" s="1"/>
  <c r="AE944" i="275"/>
  <c r="AF171" i="262"/>
  <c r="AF855" i="275"/>
  <c r="BA171" i="262"/>
  <c r="BA855" i="275"/>
  <c r="AF957" i="259"/>
  <c r="AF959" i="259"/>
  <c r="AF956" i="275"/>
  <c r="AG171" i="262" l="1"/>
  <c r="AG855" i="275"/>
  <c r="AG937" i="259"/>
  <c r="AF937" i="275"/>
  <c r="AI955" i="259"/>
  <c r="AI911" i="275"/>
  <c r="AG946" i="259"/>
  <c r="AF946" i="275"/>
  <c r="AG944" i="259"/>
  <c r="AF944" i="275"/>
  <c r="AH956" i="259"/>
  <c r="AH955" i="275"/>
  <c r="AH877" i="259"/>
  <c r="AH877" i="275" s="1"/>
  <c r="AH855" i="259"/>
  <c r="AI853" i="259"/>
  <c r="AH853" i="275"/>
  <c r="AG948" i="259"/>
  <c r="AF948" i="275"/>
  <c r="AG957" i="259"/>
  <c r="AG959" i="259"/>
  <c r="AG956" i="275"/>
  <c r="AH171" i="262" l="1"/>
  <c r="AH855" i="275"/>
  <c r="AH937" i="259"/>
  <c r="AG937" i="275"/>
  <c r="BB853" i="259"/>
  <c r="AI877" i="259"/>
  <c r="AI877" i="275" s="1"/>
  <c r="AI855" i="259"/>
  <c r="AI853" i="275"/>
  <c r="AH957" i="259"/>
  <c r="AH959" i="259"/>
  <c r="AH956" i="275"/>
  <c r="AH946" i="259"/>
  <c r="AG946" i="275"/>
  <c r="AH948" i="259"/>
  <c r="AG948" i="275"/>
  <c r="AH944" i="259"/>
  <c r="AG944" i="275"/>
  <c r="AI956" i="259"/>
  <c r="AI955" i="275"/>
  <c r="BB955" i="259"/>
  <c r="BB265" i="261" l="1"/>
  <c r="BB911" i="259"/>
  <c r="BB956" i="259"/>
  <c r="BB955" i="275"/>
  <c r="AI937" i="259"/>
  <c r="AH937" i="275"/>
  <c r="AI944" i="259"/>
  <c r="AH944" i="275"/>
  <c r="AI946" i="259"/>
  <c r="AH946" i="275"/>
  <c r="AI171" i="262"/>
  <c r="AI855" i="275"/>
  <c r="AI957" i="259"/>
  <c r="AI959" i="259"/>
  <c r="AI956" i="275"/>
  <c r="AI948" i="259"/>
  <c r="AH948" i="275"/>
  <c r="BB855" i="259"/>
  <c r="BB877" i="259"/>
  <c r="BB877" i="275" s="1"/>
  <c r="BB853" i="275"/>
  <c r="BB944" i="259" l="1"/>
  <c r="AI944" i="275"/>
  <c r="BB948" i="259"/>
  <c r="AI948" i="275"/>
  <c r="BB957" i="259"/>
  <c r="BB959" i="259"/>
  <c r="BB956" i="275"/>
  <c r="BB171" i="262"/>
  <c r="BB855" i="275"/>
  <c r="BC911" i="259"/>
  <c r="BB911" i="275"/>
  <c r="BB946" i="259"/>
  <c r="AI946" i="275"/>
  <c r="BB937" i="259"/>
  <c r="AI937" i="275"/>
  <c r="BB937" i="275" l="1"/>
  <c r="BB948" i="275"/>
  <c r="BC955" i="259"/>
  <c r="BC955" i="275" s="1"/>
  <c r="BD911" i="259"/>
  <c r="BC911" i="275"/>
  <c r="BC853" i="259"/>
  <c r="BB946" i="275"/>
  <c r="BB944" i="275"/>
  <c r="BD853" i="259" l="1"/>
  <c r="BC853" i="275"/>
  <c r="BD955" i="259"/>
  <c r="BD955" i="275" s="1"/>
  <c r="BE911" i="259"/>
  <c r="BD911" i="275"/>
  <c r="BE853" i="259" l="1"/>
  <c r="BE853" i="275" s="1"/>
  <c r="BD853" i="275"/>
  <c r="BE955" i="259"/>
  <c r="BE955" i="275" s="1"/>
  <c r="BE911" i="275"/>
  <c r="AB223" i="262"/>
  <c r="AB222" i="262"/>
  <c r="AB1389" i="259" l="1"/>
  <c r="AB1405" i="259"/>
  <c r="AB322" i="261" s="1"/>
  <c r="AB1597" i="259"/>
  <c r="AB1404" i="259"/>
  <c r="AB1393" i="259"/>
  <c r="AB214" i="262" s="1"/>
  <c r="AB1392" i="259"/>
  <c r="AB213" i="262" s="1"/>
  <c r="AB1386" i="259"/>
  <c r="AB218" i="262"/>
  <c r="AB229" i="262"/>
  <c r="AB1380" i="259"/>
  <c r="AB1354" i="259"/>
  <c r="AB211" i="262" s="1"/>
  <c r="AB1402" i="259"/>
  <c r="AB1397" i="259" l="1"/>
  <c r="AB1398" i="259"/>
  <c r="AB220" i="262"/>
  <c r="AB313" i="261"/>
  <c r="AB1385" i="259"/>
  <c r="AB1409" i="259" s="1"/>
  <c r="AB1387" i="259"/>
  <c r="AC1389" i="259" l="1"/>
  <c r="AC1385" i="259"/>
  <c r="AD1389" i="259" l="1"/>
  <c r="AC1388" i="259"/>
  <c r="AC220" i="262"/>
  <c r="AD1385" i="259"/>
  <c r="AD220" i="262" l="1"/>
  <c r="AD1388" i="259"/>
  <c r="AC1597" i="259"/>
  <c r="AC1380" i="259"/>
  <c r="AC1403" i="259"/>
  <c r="AC229" i="262"/>
  <c r="AC218" i="262"/>
  <c r="AE1389" i="259"/>
  <c r="AE1385" i="259"/>
  <c r="AC1404" i="259" l="1"/>
  <c r="AC223" i="262"/>
  <c r="AC1409" i="259"/>
  <c r="AF1389" i="259"/>
  <c r="AE1388" i="259"/>
  <c r="AE220" i="262"/>
  <c r="AD1597" i="259"/>
  <c r="AD1403" i="259"/>
  <c r="AD1380" i="259"/>
  <c r="AD218" i="262"/>
  <c r="AD229" i="262"/>
  <c r="AF1385" i="259"/>
  <c r="BA1385" i="259"/>
  <c r="AD223" i="262" l="1"/>
  <c r="AD1404" i="259"/>
  <c r="AD1409" i="259"/>
  <c r="AF220" i="262"/>
  <c r="AF1388" i="259"/>
  <c r="AG1389" i="259"/>
  <c r="AE1403" i="259"/>
  <c r="AE1380" i="259"/>
  <c r="AE1597" i="259"/>
  <c r="AE229" i="262"/>
  <c r="BA1388" i="259"/>
  <c r="AE218" i="262"/>
  <c r="AG1385" i="259"/>
  <c r="AH1389" i="259" l="1"/>
  <c r="AI1389" i="259"/>
  <c r="BA229" i="262"/>
  <c r="BA1380" i="259"/>
  <c r="BA1597" i="259"/>
  <c r="BA218" i="262"/>
  <c r="BA1389" i="259"/>
  <c r="AA22" i="267"/>
  <c r="AA23" i="267" s="1"/>
  <c r="AE1404" i="259"/>
  <c r="AE223" i="262"/>
  <c r="BA1403" i="259"/>
  <c r="AE1409" i="259"/>
  <c r="AG220" i="262"/>
  <c r="AG1388" i="259"/>
  <c r="AF229" i="262"/>
  <c r="AF1380" i="259"/>
  <c r="AF218" i="262"/>
  <c r="AF1597" i="259"/>
  <c r="AF1403" i="259"/>
  <c r="AH1385" i="259"/>
  <c r="AH1388" i="259" l="1"/>
  <c r="AH220" i="262"/>
  <c r="AF1404" i="259"/>
  <c r="AF223" i="262"/>
  <c r="AF1409" i="259"/>
  <c r="BA1405" i="259"/>
  <c r="BA322" i="261" s="1"/>
  <c r="BA1404" i="259"/>
  <c r="BA34" i="277"/>
  <c r="BA223" i="262"/>
  <c r="BA1409" i="259"/>
  <c r="BA313" i="261"/>
  <c r="BA220" i="262"/>
  <c r="AG1597" i="259"/>
  <c r="AG218" i="262"/>
  <c r="AG1403" i="259"/>
  <c r="AG229" i="262"/>
  <c r="AG1380" i="259"/>
  <c r="AI1388" i="259"/>
  <c r="AI220" i="262"/>
  <c r="AI1385" i="259"/>
  <c r="AG223" i="262" l="1"/>
  <c r="AG1404" i="259"/>
  <c r="AG1409" i="259"/>
  <c r="AI1403" i="259"/>
  <c r="AI229" i="262"/>
  <c r="BB1388" i="259"/>
  <c r="AI218" i="262"/>
  <c r="AI1597" i="259"/>
  <c r="AI1380" i="259"/>
  <c r="AH1380" i="259"/>
  <c r="AH1403" i="259"/>
  <c r="AH218" i="262"/>
  <c r="AH1597" i="259"/>
  <c r="AH229" i="262"/>
  <c r="BB1385" i="259"/>
  <c r="AI1404" i="259" l="1"/>
  <c r="AI223" i="262"/>
  <c r="BB1403" i="259"/>
  <c r="BB1409" i="259" s="1"/>
  <c r="AI1409" i="259"/>
  <c r="BB229" i="262"/>
  <c r="AB22" i="267"/>
  <c r="AB23" i="267" s="1"/>
  <c r="BB218" i="262"/>
  <c r="BB1380" i="259"/>
  <c r="BB1597" i="259"/>
  <c r="BB1389" i="259"/>
  <c r="AH1404" i="259"/>
  <c r="AH223" i="262"/>
  <c r="AH1409" i="259"/>
  <c r="BC1385" i="259"/>
  <c r="BB1405" i="259" l="1"/>
  <c r="BB322" i="261" s="1"/>
  <c r="BB34" i="277"/>
  <c r="BB1404" i="259"/>
  <c r="BB223" i="262"/>
  <c r="BB313" i="261"/>
  <c r="BC313" i="261" s="1"/>
  <c r="BB220" i="262"/>
  <c r="BD1385" i="259"/>
  <c r="BC1389" i="259" l="1"/>
  <c r="BD313" i="261"/>
  <c r="BE1385" i="259"/>
  <c r="AF279" i="261"/>
  <c r="AF754" i="259" s="1"/>
  <c r="AF753" i="259" s="1"/>
  <c r="BE313" i="261" l="1"/>
  <c r="BE1389" i="259" s="1"/>
  <c r="BD1389" i="259"/>
  <c r="BC220" i="262"/>
  <c r="BC1388" i="259"/>
  <c r="AF755" i="259"/>
  <c r="AF117" i="262" s="1"/>
  <c r="AF753" i="275"/>
  <c r="AF1067" i="259" l="1"/>
  <c r="AF164" i="262" s="1"/>
  <c r="BD220" i="262"/>
  <c r="BD1388" i="259"/>
  <c r="BC1403" i="259"/>
  <c r="BC1597" i="259"/>
  <c r="BC218" i="262"/>
  <c r="BC1380" i="259"/>
  <c r="AC22" i="267"/>
  <c r="AC23" i="267" s="1"/>
  <c r="BC229" i="262"/>
  <c r="BE220" i="262"/>
  <c r="BE1388" i="259"/>
  <c r="AF767" i="259"/>
  <c r="AF769" i="259" s="1"/>
  <c r="AF41" i="259"/>
  <c r="AF1069" i="259" s="1"/>
  <c r="AF1584" i="259"/>
  <c r="AF1590" i="259" s="1"/>
  <c r="AF1582" i="259"/>
  <c r="AF297" i="261" s="1"/>
  <c r="AF755" i="275"/>
  <c r="AF83" i="262"/>
  <c r="AF88" i="262" l="1"/>
  <c r="AF767" i="275"/>
  <c r="AF41" i="275"/>
  <c r="BE229" i="262"/>
  <c r="BE1380" i="259"/>
  <c r="BE218" i="262"/>
  <c r="BE1597" i="259"/>
  <c r="AE22" i="267"/>
  <c r="BE1403" i="259"/>
  <c r="BD1597" i="259"/>
  <c r="BD1403" i="259"/>
  <c r="AD22" i="267"/>
  <c r="BD1380" i="259"/>
  <c r="BD218" i="262"/>
  <c r="BD229" i="262"/>
  <c r="BC223" i="262"/>
  <c r="BC1404" i="259"/>
  <c r="BC34" i="277"/>
  <c r="BC1409" i="259"/>
  <c r="AF118" i="262"/>
  <c r="AF87" i="262"/>
  <c r="AF772" i="259"/>
  <c r="AF782" i="259"/>
  <c r="AF1497" i="259"/>
  <c r="AF769" i="275"/>
  <c r="AF1075" i="259"/>
  <c r="AF282" i="261" s="1"/>
  <c r="AF1070" i="259"/>
  <c r="BD34" i="277" l="1"/>
  <c r="BD223" i="262"/>
  <c r="BD1404" i="259"/>
  <c r="BD1409" i="259"/>
  <c r="BE34" i="277"/>
  <c r="BE223" i="262"/>
  <c r="BE1404" i="259"/>
  <c r="BE1409" i="259"/>
  <c r="O27" i="267"/>
  <c r="AD23" i="267"/>
  <c r="AE23" i="267"/>
  <c r="AF22" i="267"/>
  <c r="AF94" i="262"/>
  <c r="AF257" i="262"/>
  <c r="AF789" i="259"/>
  <c r="AF782" i="275"/>
  <c r="AF91" i="262"/>
  <c r="AF778" i="259"/>
  <c r="AF778" i="275" s="1"/>
  <c r="AF1502" i="259"/>
  <c r="AF1503" i="259" s="1"/>
  <c r="AF772" i="275"/>
  <c r="AF1076" i="259"/>
  <c r="AF283" i="261" s="1"/>
  <c r="AF163" i="262"/>
  <c r="AF301" i="261"/>
  <c r="AF1499" i="259"/>
  <c r="AF19" i="267" l="1"/>
  <c r="AG22" i="267"/>
  <c r="AF99" i="262"/>
  <c r="AF120" i="262"/>
  <c r="AF790" i="259"/>
  <c r="AF1430" i="259"/>
  <c r="AF789" i="275"/>
  <c r="AH22" i="267" l="1"/>
  <c r="AG19" i="267"/>
  <c r="AF26" i="267"/>
  <c r="AF28" i="267" s="1"/>
  <c r="AF30" i="267" s="1"/>
  <c r="AF32" i="267" s="1"/>
  <c r="AG16" i="267"/>
  <c r="AG39" i="267" s="1"/>
  <c r="AF1432" i="259"/>
  <c r="AF1455" i="259"/>
  <c r="AF101" i="262"/>
  <c r="AF306" i="261"/>
  <c r="AF653" i="259"/>
  <c r="AF791" i="259"/>
  <c r="AF817" i="259"/>
  <c r="AF790" i="275"/>
  <c r="AG26" i="267" l="1"/>
  <c r="AG28" i="267" s="1"/>
  <c r="AG30" i="267" s="1"/>
  <c r="AG32" i="267" s="1"/>
  <c r="AH16" i="267"/>
  <c r="AH39" i="267" s="1"/>
  <c r="AH35" i="267" s="1"/>
  <c r="O28" i="267"/>
  <c r="AI22" i="267"/>
  <c r="AH19" i="267"/>
  <c r="AF100" i="262"/>
  <c r="AF1456" i="259"/>
  <c r="AF1457" i="259" s="1"/>
  <c r="AF654" i="259"/>
  <c r="AF656" i="259"/>
  <c r="AF658" i="259"/>
  <c r="AF653" i="275"/>
  <c r="AF1435" i="259"/>
  <c r="AI19" i="267" l="1"/>
  <c r="AJ22" i="267"/>
  <c r="AI16" i="267"/>
  <c r="AI39" i="267" s="1"/>
  <c r="AI35" i="267" s="1"/>
  <c r="AH26" i="267"/>
  <c r="AH28" i="267" s="1"/>
  <c r="AH30" i="267" s="1"/>
  <c r="AH32" i="267" s="1"/>
  <c r="AF656" i="275"/>
  <c r="AF1438" i="259"/>
  <c r="AF1458" i="259" s="1"/>
  <c r="AF247" i="261"/>
  <c r="AF654" i="275"/>
  <c r="AF8" i="259"/>
  <c r="AF658" i="275"/>
  <c r="AK22" i="267" l="1"/>
  <c r="AJ19" i="267"/>
  <c r="AI26" i="267"/>
  <c r="AI28" i="267" s="1"/>
  <c r="AI30" i="267" s="1"/>
  <c r="AI32" i="267" s="1"/>
  <c r="AJ16" i="267"/>
  <c r="AJ39" i="267" s="1"/>
  <c r="AJ35" i="267" s="1"/>
  <c r="AF136" i="262"/>
  <c r="AF9" i="259"/>
  <c r="AF8" i="275"/>
  <c r="AJ26" i="267" l="1"/>
  <c r="AJ28" i="267" s="1"/>
  <c r="AJ30" i="267" s="1"/>
  <c r="AJ32" i="267" s="1"/>
  <c r="AK16" i="267"/>
  <c r="AK39" i="267" s="1"/>
  <c r="AK35" i="267" s="1"/>
  <c r="AL22" i="267"/>
  <c r="AK19" i="267"/>
  <c r="AF288" i="261"/>
  <c r="AF28" i="259"/>
  <c r="AF28" i="275" s="1"/>
  <c r="AF793" i="259"/>
  <c r="AF9" i="275"/>
  <c r="AL16" i="267" l="1"/>
  <c r="AL39" i="267" s="1"/>
  <c r="AL35" i="267" s="1"/>
  <c r="AK26" i="267"/>
  <c r="AK28" i="267" s="1"/>
  <c r="AK30" i="267" s="1"/>
  <c r="AK32" i="267" s="1"/>
  <c r="AM22" i="267"/>
  <c r="AL19" i="267"/>
  <c r="AF102" i="262"/>
  <c r="AF793" i="275"/>
  <c r="AM16" i="267" l="1"/>
  <c r="AM39" i="267" s="1"/>
  <c r="AM35" i="267" s="1"/>
  <c r="AL26" i="267"/>
  <c r="AL28" i="267" s="1"/>
  <c r="AL30" i="267" s="1"/>
  <c r="AL32" i="267" s="1"/>
  <c r="AM19" i="267"/>
  <c r="AN22" i="267"/>
  <c r="AN19" i="267" l="1"/>
  <c r="AO22" i="267"/>
  <c r="AM26" i="267"/>
  <c r="AM28" i="267" s="1"/>
  <c r="AM30" i="267" s="1"/>
  <c r="AM32" i="267" s="1"/>
  <c r="AN16" i="267"/>
  <c r="AN39" i="267" s="1"/>
  <c r="AN35" i="267" s="1"/>
  <c r="AP22" i="267" l="1"/>
  <c r="AO19" i="267"/>
  <c r="AN26" i="267"/>
  <c r="AN28" i="267" s="1"/>
  <c r="AN30" i="267" s="1"/>
  <c r="AN32" i="267" s="1"/>
  <c r="AO16" i="267"/>
  <c r="AO39" i="267" s="1"/>
  <c r="AO35" i="267" s="1"/>
  <c r="AP16" i="267" l="1"/>
  <c r="AP39" i="267" s="1"/>
  <c r="AP35" i="267" s="1"/>
  <c r="AO26" i="267"/>
  <c r="AO28" i="267" s="1"/>
  <c r="AO30" i="267" s="1"/>
  <c r="AO32" i="267" s="1"/>
  <c r="AP19" i="267"/>
  <c r="AQ22" i="267"/>
  <c r="AP26" i="267" l="1"/>
  <c r="AP28" i="267" s="1"/>
  <c r="AP30" i="267" s="1"/>
  <c r="AP32" i="267" s="1"/>
  <c r="AQ16" i="267"/>
  <c r="AQ39" i="267" s="1"/>
  <c r="AQ35" i="267" s="1"/>
  <c r="AR22" i="267"/>
  <c r="AQ19" i="267"/>
  <c r="AQ26" i="267" l="1"/>
  <c r="AQ28" i="267" s="1"/>
  <c r="AQ30" i="267" s="1"/>
  <c r="AQ32" i="267" s="1"/>
  <c r="AR16" i="267"/>
  <c r="AR39" i="267" s="1"/>
  <c r="AR35" i="267" s="1"/>
  <c r="AR19" i="267"/>
  <c r="AS22" i="267"/>
  <c r="AT22" i="267" l="1"/>
  <c r="AS19" i="267"/>
  <c r="AR26" i="267"/>
  <c r="AR28" i="267" s="1"/>
  <c r="AR30" i="267" s="1"/>
  <c r="AR32" i="267" s="1"/>
  <c r="AS16" i="267"/>
  <c r="AS39" i="267" s="1"/>
  <c r="AS35" i="267" s="1"/>
  <c r="AT16" i="267" l="1"/>
  <c r="AT39" i="267" s="1"/>
  <c r="AT35" i="267" s="1"/>
  <c r="AS26" i="267"/>
  <c r="AS28" i="267" s="1"/>
  <c r="AS30" i="267" s="1"/>
  <c r="AS32" i="267" s="1"/>
  <c r="AT19" i="267"/>
  <c r="AU22" i="267"/>
  <c r="AV22" i="267" l="1"/>
  <c r="AU19" i="267"/>
  <c r="AU16" i="267"/>
  <c r="AU39" i="267" s="1"/>
  <c r="AU35" i="267" s="1"/>
  <c r="AT26" i="267"/>
  <c r="AT28" i="267" s="1"/>
  <c r="AT30" i="267" s="1"/>
  <c r="AT32" i="267" s="1"/>
  <c r="AV16" i="267" l="1"/>
  <c r="AV39" i="267" s="1"/>
  <c r="AV35" i="267" s="1"/>
  <c r="AU26" i="267"/>
  <c r="AU28" i="267" s="1"/>
  <c r="AU30" i="267" s="1"/>
  <c r="AU32" i="267" s="1"/>
  <c r="AW22" i="267"/>
  <c r="AV19" i="267"/>
  <c r="AW16" i="267" l="1"/>
  <c r="AW39" i="267" s="1"/>
  <c r="AW35" i="267" s="1"/>
  <c r="AV26" i="267"/>
  <c r="AV28" i="267" s="1"/>
  <c r="AV30" i="267" s="1"/>
  <c r="AV32" i="267" s="1"/>
  <c r="AW19" i="267"/>
  <c r="AX22" i="267"/>
  <c r="AX19" i="267" l="1"/>
  <c r="AY22" i="267"/>
  <c r="AW26" i="267"/>
  <c r="AW28" i="267" s="1"/>
  <c r="AW30" i="267" s="1"/>
  <c r="AW32" i="267" s="1"/>
  <c r="AX16" i="267"/>
  <c r="AX39" i="267" s="1"/>
  <c r="AX35" i="267" s="1"/>
  <c r="AY19" i="267" l="1"/>
  <c r="AZ22" i="267"/>
  <c r="AX26" i="267"/>
  <c r="AX28" i="267" s="1"/>
  <c r="AX30" i="267" s="1"/>
  <c r="AX32" i="267" s="1"/>
  <c r="AY16" i="267"/>
  <c r="AY39" i="267" s="1"/>
  <c r="AY35" i="267" s="1"/>
  <c r="BA22" i="267" l="1"/>
  <c r="AZ19" i="267"/>
  <c r="AZ16" i="267"/>
  <c r="AZ39" i="267" s="1"/>
  <c r="AZ35" i="267" s="1"/>
  <c r="AY26" i="267"/>
  <c r="AY28" i="267" s="1"/>
  <c r="AY30" i="267" s="1"/>
  <c r="AY32" i="267" s="1"/>
  <c r="BA16" i="267" l="1"/>
  <c r="BA39" i="267" s="1"/>
  <c r="BA35" i="267" s="1"/>
  <c r="AZ26" i="267"/>
  <c r="AZ28" i="267" s="1"/>
  <c r="AZ30" i="267" s="1"/>
  <c r="AZ32" i="267" s="1"/>
  <c r="BA19" i="267"/>
  <c r="BB22" i="267"/>
  <c r="BB19" i="267" l="1"/>
  <c r="BC22" i="267"/>
  <c r="BA26" i="267"/>
  <c r="BA28" i="267" s="1"/>
  <c r="BA30" i="267" s="1"/>
  <c r="BA32" i="267" s="1"/>
  <c r="BB16" i="267"/>
  <c r="BB39" i="267" s="1"/>
  <c r="BB35" i="267" s="1"/>
  <c r="BC19" i="267" l="1"/>
  <c r="BD22" i="267"/>
  <c r="BC16" i="267"/>
  <c r="BC39" i="267" s="1"/>
  <c r="BC35" i="267" s="1"/>
  <c r="BB26" i="267"/>
  <c r="BB28" i="267" s="1"/>
  <c r="BB30" i="267" s="1"/>
  <c r="BB32" i="267" s="1"/>
  <c r="BD19" i="267" l="1"/>
  <c r="BE22" i="267"/>
  <c r="BC26" i="267"/>
  <c r="BC28" i="267" s="1"/>
  <c r="BC30" i="267" s="1"/>
  <c r="BC32" i="267" s="1"/>
  <c r="BD16" i="267"/>
  <c r="BD39" i="267" s="1"/>
  <c r="BD35" i="267" s="1"/>
  <c r="BF22" i="267" l="1"/>
  <c r="BE19" i="267"/>
  <c r="BD26" i="267"/>
  <c r="BD28" i="267" s="1"/>
  <c r="BD30" i="267" s="1"/>
  <c r="BD32" i="267" s="1"/>
  <c r="BE16" i="267"/>
  <c r="BE39" i="267" s="1"/>
  <c r="BE35" i="267" s="1"/>
  <c r="BF16" i="267" l="1"/>
  <c r="BF39" i="267" s="1"/>
  <c r="BF35" i="267" s="1"/>
  <c r="BE26" i="267"/>
  <c r="BE28" i="267" s="1"/>
  <c r="BE30" i="267" s="1"/>
  <c r="BE32" i="267" s="1"/>
  <c r="BG22" i="267"/>
  <c r="BF19" i="267"/>
  <c r="BG16" i="267" l="1"/>
  <c r="BG39" i="267" s="1"/>
  <c r="BG35" i="267" s="1"/>
  <c r="BF26" i="267"/>
  <c r="BF28" i="267" s="1"/>
  <c r="BF30" i="267" s="1"/>
  <c r="BF32" i="267" s="1"/>
  <c r="BG19" i="267"/>
  <c r="BH22" i="267"/>
  <c r="BG26" i="267" l="1"/>
  <c r="BG28" i="267" s="1"/>
  <c r="BG30" i="267" s="1"/>
  <c r="BG32" i="267" s="1"/>
  <c r="BH16" i="267"/>
  <c r="BH39" i="267" s="1"/>
  <c r="BH35" i="267" s="1"/>
  <c r="BI22" i="267"/>
  <c r="BH19" i="267"/>
  <c r="BJ22" i="267" l="1"/>
  <c r="BI19" i="267"/>
  <c r="BH26" i="267"/>
  <c r="BH28" i="267" s="1"/>
  <c r="BH30" i="267" s="1"/>
  <c r="BH32" i="267" s="1"/>
  <c r="BI16" i="267"/>
  <c r="BI39" i="267" s="1"/>
  <c r="BI35" i="267" s="1"/>
  <c r="BJ16" i="267" l="1"/>
  <c r="BJ39" i="267" s="1"/>
  <c r="BJ35" i="267" s="1"/>
  <c r="BI26" i="267"/>
  <c r="BI28" i="267" s="1"/>
  <c r="BI30" i="267" s="1"/>
  <c r="BI32" i="267" s="1"/>
  <c r="BK22" i="267"/>
  <c r="BJ19" i="267"/>
  <c r="BK16" i="267" l="1"/>
  <c r="BK39" i="267" s="1"/>
  <c r="BK35" i="267" s="1"/>
  <c r="BJ26" i="267"/>
  <c r="BJ28" i="267" s="1"/>
  <c r="BJ30" i="267" s="1"/>
  <c r="BJ32" i="267" s="1"/>
  <c r="BK19" i="267"/>
  <c r="BL22" i="267"/>
  <c r="BL19" i="267" l="1"/>
  <c r="BM22" i="267"/>
  <c r="BK26" i="267"/>
  <c r="BK28" i="267" s="1"/>
  <c r="BK30" i="267" s="1"/>
  <c r="BK32" i="267" s="1"/>
  <c r="BL16" i="267"/>
  <c r="BL39" i="267" s="1"/>
  <c r="BL35" i="267" s="1"/>
  <c r="BM19" i="267" l="1"/>
  <c r="BN22" i="267"/>
  <c r="BL26" i="267"/>
  <c r="BL28" i="267" s="1"/>
  <c r="BL30" i="267" s="1"/>
  <c r="BL32" i="267" s="1"/>
  <c r="BM16" i="267"/>
  <c r="BM39" i="267" s="1"/>
  <c r="BM35" i="267" s="1"/>
  <c r="BN19" i="267" l="1"/>
  <c r="BO22" i="267"/>
  <c r="BM26" i="267"/>
  <c r="BM28" i="267" s="1"/>
  <c r="BM30" i="267" s="1"/>
  <c r="BM32" i="267" s="1"/>
  <c r="BN16" i="267"/>
  <c r="BN39" i="267" s="1"/>
  <c r="BN35" i="267" s="1"/>
  <c r="BO19" i="267" l="1"/>
  <c r="BP22" i="267"/>
  <c r="BO16" i="267"/>
  <c r="BO39" i="267" s="1"/>
  <c r="BO35" i="267" s="1"/>
  <c r="BN26" i="267"/>
  <c r="BN28" i="267" s="1"/>
  <c r="BN30" i="267" s="1"/>
  <c r="BN32" i="267" s="1"/>
  <c r="BP19" i="267" l="1"/>
  <c r="BQ22" i="267"/>
  <c r="BP16" i="267"/>
  <c r="BP39" i="267" s="1"/>
  <c r="BP35" i="267" s="1"/>
  <c r="BO26" i="267"/>
  <c r="BO28" i="267" s="1"/>
  <c r="BO30" i="267" s="1"/>
  <c r="BO32" i="267" s="1"/>
  <c r="BR22" i="267" l="1"/>
  <c r="BQ19" i="267"/>
  <c r="BQ16" i="267"/>
  <c r="BQ39" i="267" s="1"/>
  <c r="BQ35" i="267" s="1"/>
  <c r="BP26" i="267"/>
  <c r="BP28" i="267" s="1"/>
  <c r="BP30" i="267" s="1"/>
  <c r="BP32" i="267" s="1"/>
  <c r="BQ26" i="267" l="1"/>
  <c r="BQ28" i="267" s="1"/>
  <c r="BQ30" i="267" s="1"/>
  <c r="BQ32" i="267" s="1"/>
  <c r="BR16" i="267"/>
  <c r="BR39" i="267" s="1"/>
  <c r="BR35" i="267" s="1"/>
  <c r="BS22" i="267"/>
  <c r="BR19" i="267"/>
  <c r="BR26" i="267" l="1"/>
  <c r="BR28" i="267" s="1"/>
  <c r="BR30" i="267" s="1"/>
  <c r="BR32" i="267" s="1"/>
  <c r="BS16" i="267"/>
  <c r="BS39" i="267" s="1"/>
  <c r="BS35" i="267" s="1"/>
  <c r="BT22" i="267"/>
  <c r="BS19" i="267"/>
  <c r="BT16" i="267" l="1"/>
  <c r="BT39" i="267" s="1"/>
  <c r="BT35" i="267" s="1"/>
  <c r="BS26" i="267"/>
  <c r="BS28" i="267" s="1"/>
  <c r="BS30" i="267" s="1"/>
  <c r="BS32" i="267" s="1"/>
  <c r="BU22" i="267"/>
  <c r="BT19" i="267"/>
  <c r="BT26" i="267" l="1"/>
  <c r="BT28" i="267" s="1"/>
  <c r="BT30" i="267" s="1"/>
  <c r="BT32" i="267" s="1"/>
  <c r="BU16" i="267"/>
  <c r="BU39" i="267" s="1"/>
  <c r="BU35" i="267" s="1"/>
  <c r="BU19" i="267"/>
  <c r="BV22" i="267"/>
  <c r="BW22" i="267" l="1"/>
  <c r="BV19" i="267"/>
  <c r="BV16" i="267"/>
  <c r="BV39" i="267" s="1"/>
  <c r="BV35" i="267" s="1"/>
  <c r="BU26" i="267"/>
  <c r="BU28" i="267" s="1"/>
  <c r="BU30" i="267" s="1"/>
  <c r="BU32" i="267" s="1"/>
  <c r="BW16" i="267" l="1"/>
  <c r="BW39" i="267" s="1"/>
  <c r="BW35" i="267" s="1"/>
  <c r="BV26" i="267"/>
  <c r="BV28" i="267" s="1"/>
  <c r="BV30" i="267" s="1"/>
  <c r="BV32" i="267" s="1"/>
  <c r="BW19" i="267"/>
  <c r="BX22" i="267"/>
  <c r="BX19" i="267" l="1"/>
  <c r="BY22" i="267"/>
  <c r="BW26" i="267"/>
  <c r="BW28" i="267" s="1"/>
  <c r="BW30" i="267" s="1"/>
  <c r="BW32" i="267" s="1"/>
  <c r="BX16" i="267"/>
  <c r="BX39" i="267" s="1"/>
  <c r="BX35" i="267" s="1"/>
  <c r="BY19" i="267" l="1"/>
  <c r="BZ22" i="267"/>
  <c r="BY16" i="267"/>
  <c r="BY39" i="267" s="1"/>
  <c r="BY35" i="267" s="1"/>
  <c r="BX26" i="267"/>
  <c r="BX28" i="267" s="1"/>
  <c r="BX30" i="267" s="1"/>
  <c r="BX32" i="267" s="1"/>
  <c r="CA22" i="267" l="1"/>
  <c r="BZ19" i="267"/>
  <c r="BZ16" i="267"/>
  <c r="BZ39" i="267" s="1"/>
  <c r="BZ35" i="267" s="1"/>
  <c r="BY26" i="267"/>
  <c r="BY28" i="267" s="1"/>
  <c r="BY30" i="267" s="1"/>
  <c r="BY32" i="267" s="1"/>
  <c r="BZ26" i="267" l="1"/>
  <c r="BZ28" i="267" s="1"/>
  <c r="BZ30" i="267" s="1"/>
  <c r="BZ32" i="267" s="1"/>
  <c r="CA16" i="267"/>
  <c r="CA39" i="267" s="1"/>
  <c r="CA35" i="267" s="1"/>
  <c r="CB22" i="267"/>
  <c r="CA19" i="267"/>
  <c r="CA26" i="267" l="1"/>
  <c r="CA28" i="267" s="1"/>
  <c r="CA30" i="267" s="1"/>
  <c r="CA32" i="267" s="1"/>
  <c r="CB16" i="267"/>
  <c r="CB39" i="267" s="1"/>
  <c r="CB35" i="267" s="1"/>
  <c r="CB19" i="267"/>
  <c r="CC22" i="267"/>
  <c r="CD22" i="267" l="1"/>
  <c r="CC19" i="267"/>
  <c r="CC16" i="267"/>
  <c r="CC39" i="267" s="1"/>
  <c r="CC35" i="267" s="1"/>
  <c r="CB26" i="267"/>
  <c r="CB28" i="267" s="1"/>
  <c r="CB30" i="267" s="1"/>
  <c r="CB32" i="267" s="1"/>
  <c r="CC26" i="267" l="1"/>
  <c r="CC28" i="267" s="1"/>
  <c r="CC30" i="267" s="1"/>
  <c r="CC32" i="267" s="1"/>
  <c r="CD16" i="267"/>
  <c r="CD39" i="267" s="1"/>
  <c r="CD35" i="267" s="1"/>
  <c r="CD19" i="267"/>
  <c r="CE22" i="267"/>
  <c r="CE16" i="267" l="1"/>
  <c r="CE39" i="267" s="1"/>
  <c r="CE35" i="267" s="1"/>
  <c r="CD26" i="267"/>
  <c r="CD28" i="267" s="1"/>
  <c r="CD30" i="267" s="1"/>
  <c r="CD32" i="267" s="1"/>
  <c r="CF22" i="267"/>
  <c r="CE19" i="267"/>
  <c r="CE26" i="267" l="1"/>
  <c r="CE28" i="267" s="1"/>
  <c r="CE30" i="267" s="1"/>
  <c r="CE32" i="267" s="1"/>
  <c r="CF16" i="267"/>
  <c r="CF39" i="267" s="1"/>
  <c r="CF35" i="267" s="1"/>
  <c r="CG22" i="267"/>
  <c r="CF19" i="267"/>
  <c r="CF26" i="267" l="1"/>
  <c r="CF28" i="267" s="1"/>
  <c r="CF30" i="267" s="1"/>
  <c r="CF32" i="267" s="1"/>
  <c r="CG16" i="267"/>
  <c r="CG39" i="267" s="1"/>
  <c r="CG35" i="267" s="1"/>
  <c r="CH22" i="267"/>
  <c r="CG19" i="267"/>
  <c r="CH16" i="267" l="1"/>
  <c r="CH39" i="267" s="1"/>
  <c r="CH35" i="267" s="1"/>
  <c r="CG26" i="267"/>
  <c r="CG28" i="267" s="1"/>
  <c r="CG30" i="267" s="1"/>
  <c r="CG32" i="267" s="1"/>
  <c r="CI22" i="267"/>
  <c r="CH19" i="267"/>
  <c r="CH26" i="267" l="1"/>
  <c r="CH28" i="267" s="1"/>
  <c r="CH30" i="267" s="1"/>
  <c r="CH32" i="267" s="1"/>
  <c r="CI16" i="267"/>
  <c r="CI39" i="267" s="1"/>
  <c r="CI35" i="267" s="1"/>
  <c r="CI19" i="267"/>
  <c r="CJ22" i="267"/>
  <c r="CK22" i="267" l="1"/>
  <c r="CJ19" i="267"/>
  <c r="CI26" i="267"/>
  <c r="CI28" i="267" s="1"/>
  <c r="CI30" i="267" s="1"/>
  <c r="CI32" i="267" s="1"/>
  <c r="CJ16" i="267"/>
  <c r="CJ39" i="267" s="1"/>
  <c r="CJ35" i="267" s="1"/>
  <c r="CK16" i="267" l="1"/>
  <c r="CK39" i="267" s="1"/>
  <c r="CK35" i="267" s="1"/>
  <c r="CJ26" i="267"/>
  <c r="CJ28" i="267" s="1"/>
  <c r="CJ30" i="267" s="1"/>
  <c r="CJ32" i="267" s="1"/>
  <c r="CK19" i="267"/>
  <c r="CL22" i="267"/>
  <c r="CM22" i="267" l="1"/>
  <c r="CL19" i="267"/>
  <c r="CK26" i="267"/>
  <c r="CK28" i="267" s="1"/>
  <c r="CK30" i="267" s="1"/>
  <c r="CK32" i="267" s="1"/>
  <c r="CL16" i="267"/>
  <c r="CL39" i="267" s="1"/>
  <c r="CL35" i="267" s="1"/>
  <c r="CM16" i="267" l="1"/>
  <c r="CM39" i="267" s="1"/>
  <c r="CM35" i="267" s="1"/>
  <c r="CL26" i="267"/>
  <c r="CL28" i="267" s="1"/>
  <c r="CL30" i="267" s="1"/>
  <c r="CL32" i="267" s="1"/>
  <c r="CN22" i="267"/>
  <c r="CM19" i="267"/>
  <c r="CN16" i="267" l="1"/>
  <c r="CN39" i="267" s="1"/>
  <c r="CN35" i="267" s="1"/>
  <c r="CM26" i="267"/>
  <c r="CM28" i="267" s="1"/>
  <c r="CM30" i="267" s="1"/>
  <c r="CM32" i="267" s="1"/>
  <c r="CN19" i="267"/>
  <c r="CO22" i="267"/>
  <c r="CP22" i="267" l="1"/>
  <c r="CO19" i="267"/>
  <c r="CO16" i="267"/>
  <c r="CO39" i="267" s="1"/>
  <c r="CO35" i="267" s="1"/>
  <c r="CN26" i="267"/>
  <c r="CN28" i="267" s="1"/>
  <c r="CN30" i="267" s="1"/>
  <c r="CN32" i="267" s="1"/>
  <c r="CO26" i="267" l="1"/>
  <c r="CO28" i="267" s="1"/>
  <c r="CO30" i="267" s="1"/>
  <c r="CO32" i="267" s="1"/>
  <c r="CP16" i="267"/>
  <c r="CP39" i="267" s="1"/>
  <c r="CP35" i="267" s="1"/>
  <c r="CP19" i="267"/>
  <c r="CQ22" i="267"/>
  <c r="CR22" i="267" l="1"/>
  <c r="CQ19" i="267"/>
  <c r="CP26" i="267"/>
  <c r="CP28" i="267" s="1"/>
  <c r="CP30" i="267" s="1"/>
  <c r="CP32" i="267" s="1"/>
  <c r="CQ16" i="267"/>
  <c r="CQ39" i="267" s="1"/>
  <c r="CQ35" i="267" s="1"/>
  <c r="CR16" i="267" l="1"/>
  <c r="CR39" i="267" s="1"/>
  <c r="CR35" i="267" s="1"/>
  <c r="CQ26" i="267"/>
  <c r="CQ28" i="267" s="1"/>
  <c r="CQ30" i="267" s="1"/>
  <c r="CQ32" i="267" s="1"/>
  <c r="CR19" i="267"/>
  <c r="CS22" i="267"/>
  <c r="CS19" i="267" l="1"/>
  <c r="CT22" i="267"/>
  <c r="CS16" i="267"/>
  <c r="CS39" i="267" s="1"/>
  <c r="CS35" i="267" s="1"/>
  <c r="CR26" i="267"/>
  <c r="CR28" i="267" s="1"/>
  <c r="CR30" i="267" s="1"/>
  <c r="CR32" i="267" s="1"/>
  <c r="CU22" i="267" l="1"/>
  <c r="CT19" i="267"/>
  <c r="CT16" i="267"/>
  <c r="CT39" i="267" s="1"/>
  <c r="CT35" i="267" s="1"/>
  <c r="CS26" i="267"/>
  <c r="CS28" i="267" s="1"/>
  <c r="CS30" i="267" s="1"/>
  <c r="CS32" i="267" s="1"/>
  <c r="CU16" i="267" l="1"/>
  <c r="CU39" i="267" s="1"/>
  <c r="CU35" i="267" s="1"/>
  <c r="CT26" i="267"/>
  <c r="CT28" i="267" s="1"/>
  <c r="CT30" i="267" s="1"/>
  <c r="CT32" i="267" s="1"/>
  <c r="CV22" i="267"/>
  <c r="CU19" i="267"/>
  <c r="CU26" i="267" l="1"/>
  <c r="CU28" i="267" s="1"/>
  <c r="CU30" i="267" s="1"/>
  <c r="CU32" i="267" s="1"/>
  <c r="CV16" i="267"/>
  <c r="CV39" i="267" s="1"/>
  <c r="CV35" i="267" s="1"/>
  <c r="CW22" i="267"/>
  <c r="CV19" i="267"/>
  <c r="CW19" i="267" l="1"/>
  <c r="CX22" i="267"/>
  <c r="CW16" i="267"/>
  <c r="CW39" i="267" s="1"/>
  <c r="CW35" i="267" s="1"/>
  <c r="CV26" i="267"/>
  <c r="CV28" i="267" s="1"/>
  <c r="CV30" i="267" s="1"/>
  <c r="CV32" i="267" s="1"/>
  <c r="CY22" i="267" l="1"/>
  <c r="CX19" i="267"/>
  <c r="CX16" i="267"/>
  <c r="CX39" i="267" s="1"/>
  <c r="CX35" i="267" s="1"/>
  <c r="CW26" i="267"/>
  <c r="CW28" i="267" s="1"/>
  <c r="CW30" i="267" s="1"/>
  <c r="CW32" i="267" s="1"/>
  <c r="CX26" i="267" l="1"/>
  <c r="CX28" i="267" s="1"/>
  <c r="CX30" i="267" s="1"/>
  <c r="CX32" i="267" s="1"/>
  <c r="CY16" i="267"/>
  <c r="CY39" i="267" s="1"/>
  <c r="CY35" i="267" s="1"/>
  <c r="CY19" i="267"/>
  <c r="CZ22" i="267"/>
  <c r="CZ19" i="267" l="1"/>
  <c r="DA22" i="267"/>
  <c r="CZ16" i="267"/>
  <c r="CZ39" i="267" s="1"/>
  <c r="CZ35" i="267" s="1"/>
  <c r="CY26" i="267"/>
  <c r="CY28" i="267" s="1"/>
  <c r="CY30" i="267" s="1"/>
  <c r="CY32" i="267" s="1"/>
  <c r="DB22" i="267" l="1"/>
  <c r="DA19" i="267"/>
  <c r="CZ26" i="267"/>
  <c r="CZ28" i="267" s="1"/>
  <c r="CZ30" i="267" s="1"/>
  <c r="CZ32" i="267" s="1"/>
  <c r="DA16" i="267"/>
  <c r="DA39" i="267" s="1"/>
  <c r="DA35" i="267" s="1"/>
  <c r="DA26" i="267" l="1"/>
  <c r="DA28" i="267" s="1"/>
  <c r="DA30" i="267" s="1"/>
  <c r="DA32" i="267" s="1"/>
  <c r="DB16" i="267"/>
  <c r="DB39" i="267" s="1"/>
  <c r="DB35" i="267" s="1"/>
  <c r="DB19" i="267"/>
  <c r="DC22" i="267"/>
  <c r="DD22" i="267" l="1"/>
  <c r="DC19" i="267"/>
  <c r="DC16" i="267"/>
  <c r="DC39" i="267" s="1"/>
  <c r="DC35" i="267" s="1"/>
  <c r="DB26" i="267"/>
  <c r="DB28" i="267" s="1"/>
  <c r="DB30" i="267" s="1"/>
  <c r="DB32" i="267" s="1"/>
  <c r="DD16" i="267" l="1"/>
  <c r="DD39" i="267" s="1"/>
  <c r="DD35" i="267" s="1"/>
  <c r="DC26" i="267"/>
  <c r="DC28" i="267" s="1"/>
  <c r="DC30" i="267" s="1"/>
  <c r="DC32" i="267" s="1"/>
  <c r="DD19" i="267"/>
  <c r="DE22" i="267"/>
  <c r="DE16" i="267" l="1"/>
  <c r="DE39" i="267" s="1"/>
  <c r="DE35" i="267" s="1"/>
  <c r="DD26" i="267"/>
  <c r="DD28" i="267" s="1"/>
  <c r="DD30" i="267" s="1"/>
  <c r="DD32" i="267" s="1"/>
  <c r="DE19" i="267"/>
  <c r="DF22" i="267"/>
  <c r="DG22" i="267" l="1"/>
  <c r="DF19" i="267"/>
  <c r="DE26" i="267"/>
  <c r="DE28" i="267" s="1"/>
  <c r="DE30" i="267" s="1"/>
  <c r="DE32" i="267" s="1"/>
  <c r="DF16" i="267"/>
  <c r="DF39" i="267" s="1"/>
  <c r="DF35" i="267" s="1"/>
  <c r="DF26" i="267" l="1"/>
  <c r="DF28" i="267" s="1"/>
  <c r="DF30" i="267" s="1"/>
  <c r="DF32" i="267" s="1"/>
  <c r="DG16" i="267"/>
  <c r="DG39" i="267" s="1"/>
  <c r="DG35" i="267" s="1"/>
  <c r="DH22" i="267"/>
  <c r="DG19" i="267"/>
  <c r="DH16" i="267" l="1"/>
  <c r="DH39" i="267" s="1"/>
  <c r="DH35" i="267" s="1"/>
  <c r="DG26" i="267"/>
  <c r="DG28" i="267" s="1"/>
  <c r="DG30" i="267" s="1"/>
  <c r="DG32" i="267" s="1"/>
  <c r="DI22" i="267"/>
  <c r="DH19" i="267"/>
  <c r="DI16" i="267" l="1"/>
  <c r="DI39" i="267" s="1"/>
  <c r="DI35" i="267" s="1"/>
  <c r="DH26" i="267"/>
  <c r="DH28" i="267" s="1"/>
  <c r="DH30" i="267" s="1"/>
  <c r="DH32" i="267" s="1"/>
  <c r="DI19" i="267"/>
  <c r="DJ22" i="267"/>
  <c r="DK22" i="267" l="1"/>
  <c r="DJ19" i="267"/>
  <c r="DJ16" i="267"/>
  <c r="DJ39" i="267" s="1"/>
  <c r="DJ35" i="267" s="1"/>
  <c r="DI26" i="267"/>
  <c r="DI28" i="267" s="1"/>
  <c r="DI30" i="267" s="1"/>
  <c r="DI32" i="267" s="1"/>
  <c r="DJ26" i="267" l="1"/>
  <c r="DJ28" i="267" s="1"/>
  <c r="DJ30" i="267" s="1"/>
  <c r="DJ32" i="267" s="1"/>
  <c r="DK16" i="267"/>
  <c r="DK39" i="267" s="1"/>
  <c r="DK35" i="267" s="1"/>
  <c r="DL22" i="267"/>
  <c r="DK19" i="267"/>
  <c r="DK26" i="267" l="1"/>
  <c r="DK28" i="267" s="1"/>
  <c r="DK30" i="267" s="1"/>
  <c r="DK32" i="267" s="1"/>
  <c r="DL16" i="267"/>
  <c r="DL39" i="267" s="1"/>
  <c r="DL35" i="267" s="1"/>
  <c r="DM22" i="267"/>
  <c r="DL19" i="267"/>
  <c r="DM16" i="267" l="1"/>
  <c r="DM39" i="267" s="1"/>
  <c r="DM35" i="267" s="1"/>
  <c r="DL26" i="267"/>
  <c r="DL28" i="267" s="1"/>
  <c r="DL30" i="267" s="1"/>
  <c r="DL32" i="267" s="1"/>
  <c r="DM19" i="267"/>
  <c r="DN22" i="267"/>
  <c r="DN19" i="267" l="1"/>
  <c r="DO22" i="267"/>
  <c r="DM26" i="267"/>
  <c r="DM28" i="267" s="1"/>
  <c r="DM30" i="267" s="1"/>
  <c r="DM32" i="267" s="1"/>
  <c r="DN16" i="267"/>
  <c r="DN39" i="267" s="1"/>
  <c r="DN35" i="267" s="1"/>
  <c r="DP22" i="267" l="1"/>
  <c r="DO19" i="267"/>
  <c r="DN26" i="267"/>
  <c r="DN28" i="267" s="1"/>
  <c r="DN30" i="267" s="1"/>
  <c r="DN32" i="267" s="1"/>
  <c r="DO16" i="267"/>
  <c r="DO39" i="267" s="1"/>
  <c r="DO35" i="267" s="1"/>
  <c r="DO26" i="267" l="1"/>
  <c r="DO28" i="267" s="1"/>
  <c r="DO30" i="267" s="1"/>
  <c r="DO32" i="267" s="1"/>
  <c r="DP16" i="267"/>
  <c r="DP39" i="267" s="1"/>
  <c r="DP35" i="267" s="1"/>
  <c r="DQ22" i="267"/>
  <c r="DP19" i="267"/>
  <c r="DQ16" i="267" l="1"/>
  <c r="DQ39" i="267" s="1"/>
  <c r="DQ35" i="267" s="1"/>
  <c r="DP26" i="267"/>
  <c r="DP28" i="267" s="1"/>
  <c r="DP30" i="267" s="1"/>
  <c r="DP32" i="267" s="1"/>
  <c r="DR22" i="267"/>
  <c r="DQ19" i="267"/>
  <c r="DR16" i="267" l="1"/>
  <c r="DR39" i="267" s="1"/>
  <c r="DR35" i="267" s="1"/>
  <c r="DQ26" i="267"/>
  <c r="DQ28" i="267" s="1"/>
  <c r="DQ30" i="267" s="1"/>
  <c r="DQ32" i="267" s="1"/>
  <c r="DR19" i="267"/>
  <c r="DS22" i="267"/>
  <c r="DS19" i="267" l="1"/>
  <c r="DT22" i="267"/>
  <c r="DS16" i="267"/>
  <c r="DS39" i="267" s="1"/>
  <c r="DS35" i="267" s="1"/>
  <c r="DR26" i="267"/>
  <c r="DR28" i="267" s="1"/>
  <c r="DR30" i="267" s="1"/>
  <c r="DR32" i="267" s="1"/>
  <c r="DT19" i="267" l="1"/>
  <c r="DU22" i="267"/>
  <c r="DU19" i="267" s="1"/>
  <c r="DU26" i="267" s="1"/>
  <c r="DU28" i="267" s="1"/>
  <c r="DU30" i="267" s="1"/>
  <c r="DU32" i="267" s="1"/>
  <c r="DS26" i="267"/>
  <c r="DS28" i="267" s="1"/>
  <c r="DS30" i="267" s="1"/>
  <c r="DS32" i="267" s="1"/>
  <c r="DT16" i="267"/>
  <c r="DT39" i="267" s="1"/>
  <c r="DT35" i="267" s="1"/>
  <c r="DU16" i="267" l="1"/>
  <c r="DU39" i="267" s="1"/>
  <c r="DU35" i="267" s="1"/>
  <c r="DT26" i="267"/>
  <c r="DT28" i="267" s="1"/>
  <c r="DT30" i="267" s="1"/>
  <c r="DT32" i="267" s="1"/>
  <c r="AB178" i="275" l="1"/>
  <c r="AF178" i="275"/>
  <c r="AB210" i="259"/>
  <c r="AB211" i="259" s="1"/>
  <c r="BA178" i="259"/>
  <c r="AB261" i="259"/>
  <c r="AB22" i="261" s="1"/>
  <c r="AB431" i="259"/>
  <c r="BA431" i="259" s="1"/>
  <c r="AB432" i="259" l="1"/>
  <c r="AB131" i="259" s="1"/>
  <c r="AB131" i="275" s="1"/>
  <c r="BB431" i="275"/>
  <c r="BA431" i="275"/>
  <c r="BA432" i="259"/>
  <c r="AB431" i="275"/>
  <c r="AF431" i="275"/>
  <c r="BB178" i="275"/>
  <c r="BA178" i="275"/>
  <c r="BA261" i="259"/>
  <c r="BA22" i="261" s="1"/>
  <c r="BA210" i="259"/>
  <c r="AB210" i="275"/>
  <c r="AF210" i="275"/>
  <c r="AB130" i="262" l="1"/>
  <c r="AF131" i="275"/>
  <c r="AB432" i="275"/>
  <c r="AB134" i="259"/>
  <c r="AB135" i="259" s="1"/>
  <c r="AF432" i="275"/>
  <c r="BB210" i="275"/>
  <c r="BA210" i="275"/>
  <c r="BA211" i="259"/>
  <c r="AF134" i="275"/>
  <c r="AB134" i="275"/>
  <c r="BA27" i="264"/>
  <c r="BB432" i="275"/>
  <c r="BA432" i="275"/>
  <c r="BA131" i="259"/>
  <c r="BC27" i="264" l="1"/>
  <c r="BA49" i="264"/>
  <c r="BA80" i="264" s="1"/>
  <c r="BC80" i="264" s="1"/>
  <c r="BA29" i="264"/>
  <c r="BC29" i="264" s="1"/>
  <c r="BA32" i="264"/>
  <c r="BA130" i="262"/>
  <c r="BA131" i="275"/>
  <c r="BB131" i="275"/>
  <c r="BA134" i="259"/>
  <c r="BA135" i="259" l="1"/>
  <c r="BB134" i="275"/>
  <c r="BA134" i="275"/>
  <c r="N27" i="264"/>
  <c r="BC32" i="264"/>
  <c r="BA53" i="264"/>
  <c r="BA84" i="264" s="1"/>
  <c r="BC84" i="264" s="1"/>
  <c r="BA45" i="264"/>
  <c r="BC45" i="264" s="1"/>
  <c r="P27" i="264" l="1"/>
  <c r="N29" i="264"/>
  <c r="P29" i="264" s="1"/>
  <c r="N32" i="264"/>
  <c r="N49" i="264"/>
  <c r="P49" i="264" l="1"/>
  <c r="N80" i="264"/>
  <c r="P80" i="264" s="1"/>
  <c r="P32" i="264"/>
  <c r="N45" i="264"/>
  <c r="P45" i="264" s="1"/>
  <c r="N53" i="264"/>
  <c r="P53" i="264" l="1"/>
  <c r="N84" i="264"/>
  <c r="P84" i="264" s="1"/>
  <c r="AA83" i="262"/>
  <c r="AA117" i="262"/>
  <c r="AA755" i="275"/>
  <c r="AA1588" i="259"/>
  <c r="AA298" i="261" s="1"/>
  <c r="AA1067" i="259"/>
  <c r="AA164" i="262" s="1"/>
  <c r="AW6" i="263"/>
  <c r="AY6" i="263" s="1"/>
  <c r="AA1582" i="259"/>
  <c r="AA297" i="261" s="1"/>
  <c r="AA41" i="259"/>
  <c r="AA41" i="275" s="1"/>
  <c r="AA1069" i="259"/>
  <c r="AA1075" i="259" s="1"/>
  <c r="AA282" i="261" s="1"/>
  <c r="AA767" i="259"/>
  <c r="AW14" i="263" s="1"/>
  <c r="AA769" i="259"/>
  <c r="AW10" i="263"/>
  <c r="AY10" i="263"/>
  <c r="AA753" i="259"/>
  <c r="AA753" i="275" s="1"/>
  <c r="AA754" i="259"/>
  <c r="AA279" i="261" s="1"/>
  <c r="AE279" i="261" s="1"/>
  <c r="AI279" i="261" l="1"/>
  <c r="AI754" i="259" s="1"/>
  <c r="AI753" i="259" s="1"/>
  <c r="AE754" i="259"/>
  <c r="AE753" i="259" s="1"/>
  <c r="AA87" i="262"/>
  <c r="AA118" i="262"/>
  <c r="AA1498" i="259"/>
  <c r="AA769" i="275"/>
  <c r="AA1497" i="259"/>
  <c r="AA782" i="259"/>
  <c r="AW19" i="263"/>
  <c r="AY19" i="263" s="1"/>
  <c r="AW12" i="263"/>
  <c r="AY12" i="263" s="1"/>
  <c r="AY14" i="263"/>
  <c r="AY25" i="263" s="1"/>
  <c r="AW17" i="263"/>
  <c r="AY17" i="263" s="1"/>
  <c r="AA767" i="275"/>
  <c r="AA88" i="262"/>
  <c r="AA1073" i="259"/>
  <c r="AA1079" i="259" s="1"/>
  <c r="AA286" i="261" s="1"/>
  <c r="AA94" i="262" l="1"/>
  <c r="AA782" i="275"/>
  <c r="AA257" i="262"/>
  <c r="AA789" i="259"/>
  <c r="AE753" i="275"/>
  <c r="AE755" i="259"/>
  <c r="AA301" i="261"/>
  <c r="AA163" i="262"/>
  <c r="AA1499" i="259"/>
  <c r="AA302" i="261"/>
  <c r="AA162" i="262"/>
  <c r="AI753" i="275"/>
  <c r="AI755" i="259"/>
  <c r="AA789" i="275" l="1"/>
  <c r="AA99" i="262"/>
  <c r="AA120" i="262"/>
  <c r="AA1430" i="259"/>
  <c r="AA790" i="259"/>
  <c r="AI117" i="262"/>
  <c r="AI755" i="275"/>
  <c r="AI83" i="262"/>
  <c r="AI1067" i="259"/>
  <c r="AI164" i="262" s="1"/>
  <c r="AI1584" i="259"/>
  <c r="AI1590" i="259" s="1"/>
  <c r="AI41" i="259"/>
  <c r="AI1582" i="259"/>
  <c r="AI297" i="261" s="1"/>
  <c r="AI767" i="259"/>
  <c r="AE755" i="275"/>
  <c r="AE83" i="262"/>
  <c r="AE117" i="262"/>
  <c r="AE1582" i="259"/>
  <c r="AE297" i="261" s="1"/>
  <c r="AE1067" i="259"/>
  <c r="BM10" i="263"/>
  <c r="BO10" i="263" s="1"/>
  <c r="AE1584" i="259"/>
  <c r="AE1590" i="259" s="1"/>
  <c r="AE41" i="259"/>
  <c r="AE767" i="259"/>
  <c r="AI767" i="275" l="1"/>
  <c r="AI88" i="262"/>
  <c r="AI769" i="259"/>
  <c r="AA790" i="275"/>
  <c r="AA306" i="261"/>
  <c r="G43" i="273"/>
  <c r="AA101" i="262"/>
  <c r="AA817" i="259"/>
  <c r="AA791" i="259"/>
  <c r="AA1455" i="259"/>
  <c r="AA1432" i="259"/>
  <c r="AA1435" i="259" s="1"/>
  <c r="AA1439" i="259" s="1"/>
  <c r="AA337" i="261" s="1"/>
  <c r="AE41" i="275"/>
  <c r="AE1069" i="259"/>
  <c r="AI41" i="275"/>
  <c r="AI1069" i="259"/>
  <c r="AE88" i="262"/>
  <c r="AE767" i="275"/>
  <c r="BM14" i="263"/>
  <c r="AE769" i="259"/>
  <c r="AE164" i="262"/>
  <c r="BM6" i="263"/>
  <c r="BO6" i="263" s="1"/>
  <c r="AE1070" i="259" l="1"/>
  <c r="AE1076" i="259" s="1"/>
  <c r="AE283" i="261" s="1"/>
  <c r="AE1075" i="259"/>
  <c r="AE282" i="261" s="1"/>
  <c r="AA100" i="262"/>
  <c r="AW25" i="263"/>
  <c r="AA305" i="261"/>
  <c r="AA1456" i="259"/>
  <c r="AA1457" i="259" s="1"/>
  <c r="AA1458" i="259" s="1"/>
  <c r="AE87" i="262"/>
  <c r="AE118" i="262"/>
  <c r="AE1497" i="259"/>
  <c r="AE769" i="275"/>
  <c r="AE772" i="259"/>
  <c r="AE782" i="259"/>
  <c r="AI1075" i="259"/>
  <c r="AI282" i="261" s="1"/>
  <c r="AI1070" i="259"/>
  <c r="AI1076" i="259" s="1"/>
  <c r="AI283" i="261" s="1"/>
  <c r="AI769" i="275"/>
  <c r="AI1497" i="259"/>
  <c r="AI87" i="262"/>
  <c r="AI118" i="262"/>
  <c r="AI772" i="259"/>
  <c r="AI782" i="259"/>
  <c r="BM17" i="263"/>
  <c r="BO17" i="263" s="1"/>
  <c r="BM12" i="263"/>
  <c r="BO12" i="263" s="1"/>
  <c r="BO14" i="263"/>
  <c r="BM19" i="263"/>
  <c r="BO19" i="263" s="1"/>
  <c r="AI772" i="275" l="1"/>
  <c r="AI91" i="262"/>
  <c r="AI1502" i="259"/>
  <c r="AI1503" i="259" s="1"/>
  <c r="AI778" i="259"/>
  <c r="AE163" i="262"/>
  <c r="AE1499" i="259"/>
  <c r="AE301" i="261"/>
  <c r="AI782" i="275"/>
  <c r="AI257" i="262"/>
  <c r="AI94" i="262"/>
  <c r="AI789" i="259"/>
  <c r="AI301" i="261"/>
  <c r="AI1499" i="259"/>
  <c r="AI163" i="262"/>
  <c r="AE257" i="262"/>
  <c r="AE782" i="275"/>
  <c r="AE94" i="262"/>
  <c r="AE789" i="259"/>
  <c r="AE91" i="262"/>
  <c r="AE772" i="275"/>
  <c r="AE1502" i="259"/>
  <c r="AE1503" i="259" s="1"/>
  <c r="AE778" i="259"/>
  <c r="AE778" i="275" s="1"/>
  <c r="AI778" i="275" l="1"/>
  <c r="AI120" i="262"/>
  <c r="AI99" i="262"/>
  <c r="AI789" i="275"/>
  <c r="AI790" i="259"/>
  <c r="AI1430" i="259"/>
  <c r="AE99" i="262"/>
  <c r="AE789" i="275"/>
  <c r="AE120" i="262"/>
  <c r="AE1430" i="259"/>
  <c r="AE790" i="259"/>
  <c r="AI101" i="262" l="1"/>
  <c r="AI306" i="261"/>
  <c r="AI790" i="275"/>
  <c r="AI817" i="259"/>
  <c r="AI791" i="259"/>
  <c r="AI653" i="259"/>
  <c r="AE790" i="275"/>
  <c r="AE101" i="262"/>
  <c r="AE817" i="259"/>
  <c r="AE306" i="261"/>
  <c r="AE791" i="259"/>
  <c r="AE653" i="259"/>
  <c r="AE1455" i="259"/>
  <c r="AE1432" i="259"/>
  <c r="AE1435" i="259" s="1"/>
  <c r="AE1438" i="259" s="1"/>
  <c r="AI1455" i="259"/>
  <c r="AI1432" i="259"/>
  <c r="AI1435" i="259" s="1"/>
  <c r="AI1438" i="259" s="1"/>
  <c r="AI100" i="262" l="1"/>
  <c r="AI1456" i="259"/>
  <c r="AI1457" i="259" s="1"/>
  <c r="AI1458" i="259" s="1"/>
  <c r="AE654" i="259"/>
  <c r="AE653" i="275"/>
  <c r="AE656" i="259"/>
  <c r="AE656" i="275" s="1"/>
  <c r="AE658" i="259"/>
  <c r="AE100" i="262"/>
  <c r="BM25" i="263"/>
  <c r="AE1456" i="259"/>
  <c r="AE1457" i="259" s="1"/>
  <c r="AE1458" i="259" s="1"/>
  <c r="AI653" i="275"/>
  <c r="AI654" i="259"/>
  <c r="AI656" i="259"/>
  <c r="AI658" i="259"/>
  <c r="AI656" i="275" l="1"/>
  <c r="AI658" i="275"/>
  <c r="AI8" i="259"/>
  <c r="AE658" i="275"/>
  <c r="AE8" i="259"/>
  <c r="AI247" i="261"/>
  <c r="AI654" i="275"/>
  <c r="AE247" i="261"/>
  <c r="AE654" i="275"/>
  <c r="AE136" i="262" l="1"/>
  <c r="AE8" i="275"/>
  <c r="BM11" i="264"/>
  <c r="AE9" i="259"/>
  <c r="AI8" i="275"/>
  <c r="AI136" i="262"/>
  <c r="AI9" i="259"/>
  <c r="AE9" i="275" l="1"/>
  <c r="AE288" i="261"/>
  <c r="AE28" i="259"/>
  <c r="AE28" i="275" s="1"/>
  <c r="BM27" i="263"/>
  <c r="BO27" i="263" s="1"/>
  <c r="BO25" i="263" s="1"/>
  <c r="AE793" i="259"/>
  <c r="AI9" i="275"/>
  <c r="AI288" i="261"/>
  <c r="AI793" i="259"/>
  <c r="AI28" i="259"/>
  <c r="BM12" i="264"/>
  <c r="BO12" i="264" s="1"/>
  <c r="BO11" i="264"/>
  <c r="AI28" i="275" l="1"/>
  <c r="AE793" i="275"/>
  <c r="AE102" i="262"/>
  <c r="AI793" i="275"/>
  <c r="AI102" i="262"/>
  <c r="X755" i="275"/>
  <c r="X117" i="262"/>
  <c r="AB755" i="275"/>
  <c r="X83" i="262"/>
  <c r="X1582" i="259"/>
  <c r="X297" i="261"/>
  <c r="X767" i="259"/>
  <c r="X769" i="259" s="1"/>
  <c r="X1067" i="259"/>
  <c r="X164" i="262" s="1"/>
  <c r="AK10" i="263"/>
  <c r="AM10" i="263"/>
  <c r="X41" i="259"/>
  <c r="X1069" i="259"/>
  <c r="X1588" i="259"/>
  <c r="X298" i="261" s="1"/>
  <c r="X753" i="259"/>
  <c r="X753" i="275" l="1"/>
  <c r="AB753" i="275"/>
  <c r="X754" i="259"/>
  <c r="X279" i="261" s="1"/>
  <c r="X1075" i="259"/>
  <c r="X282" i="261" s="1"/>
  <c r="X769" i="275"/>
  <c r="X118" i="262"/>
  <c r="X1497" i="259"/>
  <c r="X87" i="262"/>
  <c r="X1498" i="259"/>
  <c r="AB769" i="275"/>
  <c r="X782" i="259"/>
  <c r="X1073" i="259"/>
  <c r="AK6" i="263"/>
  <c r="AM6" i="263" s="1"/>
  <c r="AK14" i="263"/>
  <c r="X88" i="262"/>
  <c r="X767" i="275"/>
  <c r="AB767" i="275"/>
  <c r="AB41" i="275"/>
  <c r="X41" i="275"/>
  <c r="X257" i="262" l="1"/>
  <c r="AB782" i="275"/>
  <c r="X782" i="275"/>
  <c r="X94" i="262"/>
  <c r="X789" i="259"/>
  <c r="X1499" i="259"/>
  <c r="X163" i="262"/>
  <c r="X301" i="261"/>
  <c r="X162" i="262"/>
  <c r="X302" i="261"/>
  <c r="AK19" i="263"/>
  <c r="AM19" i="263" s="1"/>
  <c r="AM14" i="263"/>
  <c r="AM25" i="263" s="1"/>
  <c r="AK17" i="263"/>
  <c r="AM17" i="263" s="1"/>
  <c r="AK12" i="263"/>
  <c r="AM12" i="263" s="1"/>
  <c r="X1079" i="259"/>
  <c r="X286" i="261" s="1"/>
  <c r="X120" i="262" l="1"/>
  <c r="X789" i="275"/>
  <c r="X99" i="262"/>
  <c r="AB789" i="275"/>
  <c r="X1430" i="259"/>
  <c r="X790" i="259"/>
  <c r="X101" i="262" l="1"/>
  <c r="X790" i="275"/>
  <c r="X817" i="259"/>
  <c r="AB790" i="275"/>
  <c r="X306" i="261"/>
  <c r="X791" i="259"/>
  <c r="X1455" i="259"/>
  <c r="X1432" i="259"/>
  <c r="X100" i="262" l="1"/>
  <c r="AK25" i="263"/>
  <c r="X305" i="261"/>
  <c r="X1456" i="259"/>
  <c r="X1457" i="259" s="1"/>
  <c r="X1458" i="259" s="1"/>
  <c r="X1435" i="259"/>
  <c r="X1439" i="259" l="1"/>
  <c r="X337" i="261" s="1"/>
  <c r="Z117" i="262"/>
  <c r="Z755" i="275"/>
  <c r="Z83" i="262"/>
  <c r="Y83" i="262"/>
  <c r="Y755" i="275"/>
  <c r="Y117" i="262"/>
  <c r="Z41" i="259"/>
  <c r="Z41" i="275" s="1"/>
  <c r="Z1069" i="259"/>
  <c r="Z1075" i="259" s="1"/>
  <c r="Z282" i="261" s="1"/>
  <c r="Y1582" i="259"/>
  <c r="Y297" i="261" s="1"/>
  <c r="Z1067" i="259"/>
  <c r="Z164" i="262" s="1"/>
  <c r="Y41" i="259"/>
  <c r="Y1069" i="259"/>
  <c r="AZ1069" i="259" s="1"/>
  <c r="AZ1075" i="259" s="1"/>
  <c r="AZ282" i="261" s="1"/>
  <c r="Z1582" i="259"/>
  <c r="Z297" i="261"/>
  <c r="Z1588" i="259"/>
  <c r="Z298" i="261"/>
  <c r="Y1067" i="259"/>
  <c r="Y164" i="262" s="1"/>
  <c r="Y1588" i="259"/>
  <c r="Y298" i="261"/>
  <c r="AZ755" i="259"/>
  <c r="AZ1588" i="259" s="1"/>
  <c r="AZ298" i="261" s="1"/>
  <c r="AO10" i="263"/>
  <c r="AQ10" i="263" s="1"/>
  <c r="AS10" i="263"/>
  <c r="AU10" i="263" s="1"/>
  <c r="Z767" i="259"/>
  <c r="AS14" i="263" s="1"/>
  <c r="AS19" i="263"/>
  <c r="AU19" i="263" s="1"/>
  <c r="Y767" i="259"/>
  <c r="AO14" i="263" s="1"/>
  <c r="Z753" i="259"/>
  <c r="Z753" i="275" s="1"/>
  <c r="Y753" i="259"/>
  <c r="Y753" i="275" s="1"/>
  <c r="AO12" i="263" l="1"/>
  <c r="AQ12" i="263" s="1"/>
  <c r="AO17" i="263"/>
  <c r="AQ17" i="263" s="1"/>
  <c r="AQ14" i="263"/>
  <c r="AQ25" i="263" s="1"/>
  <c r="AO19" i="263"/>
  <c r="AQ19" i="263" s="1"/>
  <c r="Y754" i="259"/>
  <c r="Y279" i="261" s="1"/>
  <c r="AC279" i="261" s="1"/>
  <c r="Z754" i="259"/>
  <c r="Z279" i="261" s="1"/>
  <c r="AD279" i="261" s="1"/>
  <c r="Y767" i="275"/>
  <c r="Y88" i="262"/>
  <c r="Y769" i="259"/>
  <c r="AS17" i="263"/>
  <c r="AU17" i="263" s="1"/>
  <c r="AU14" i="263"/>
  <c r="AU25" i="263" s="1"/>
  <c r="AS12" i="263"/>
  <c r="AU12" i="263" s="1"/>
  <c r="Z769" i="259"/>
  <c r="AZ1582" i="259"/>
  <c r="AZ297" i="261" s="1"/>
  <c r="AZ41" i="259"/>
  <c r="AZ41" i="275" s="1"/>
  <c r="AO6" i="263"/>
  <c r="AQ6" i="263" s="1"/>
  <c r="AZ83" i="262"/>
  <c r="AZ755" i="275"/>
  <c r="AZ117" i="262"/>
  <c r="I25" i="273"/>
  <c r="J10" i="263"/>
  <c r="AZ753" i="259"/>
  <c r="AZ1067" i="259"/>
  <c r="AZ767" i="259"/>
  <c r="Z88" i="262"/>
  <c r="Z767" i="275"/>
  <c r="Y1073" i="259"/>
  <c r="AS6" i="263"/>
  <c r="AU6" i="263" s="1"/>
  <c r="Z1073" i="259"/>
  <c r="Z1079" i="259" s="1"/>
  <c r="Z286" i="261" s="1"/>
  <c r="Y1075" i="259"/>
  <c r="Y282" i="261" s="1"/>
  <c r="Y41" i="275"/>
  <c r="J38" i="263"/>
  <c r="AZ88" i="262" l="1"/>
  <c r="AZ767" i="275"/>
  <c r="AZ769" i="259"/>
  <c r="J14" i="263"/>
  <c r="AZ164" i="262"/>
  <c r="J6" i="263"/>
  <c r="L6" i="263" s="1"/>
  <c r="AZ754" i="259"/>
  <c r="AZ279" i="261" s="1"/>
  <c r="AZ753" i="275"/>
  <c r="AD754" i="259"/>
  <c r="AD753" i="259" s="1"/>
  <c r="AH279" i="261"/>
  <c r="AH754" i="259" s="1"/>
  <c r="AH753" i="259" s="1"/>
  <c r="AZ1073" i="259"/>
  <c r="AZ1079" i="259" s="1"/>
  <c r="AZ286" i="261" s="1"/>
  <c r="Y1079" i="259"/>
  <c r="Y286" i="261" s="1"/>
  <c r="L10" i="263"/>
  <c r="J40" i="263"/>
  <c r="Z87" i="262"/>
  <c r="Z769" i="275"/>
  <c r="Z118" i="262"/>
  <c r="Z1497" i="259"/>
  <c r="Z1498" i="259"/>
  <c r="Z782" i="259"/>
  <c r="Y1498" i="259"/>
  <c r="Y769" i="275"/>
  <c r="Y1497" i="259"/>
  <c r="Y118" i="262"/>
  <c r="Y87" i="262"/>
  <c r="Y782" i="259"/>
  <c r="AC754" i="259"/>
  <c r="AC753" i="259" s="1"/>
  <c r="AG279" i="261"/>
  <c r="AG754" i="259" s="1"/>
  <c r="AG753" i="259" s="1"/>
  <c r="Z94" i="262" l="1"/>
  <c r="Z782" i="275"/>
  <c r="Z257" i="262"/>
  <c r="Z789" i="259"/>
  <c r="J19" i="263"/>
  <c r="L19" i="263" s="1"/>
  <c r="J17" i="263"/>
  <c r="L17" i="263" s="1"/>
  <c r="L14" i="263"/>
  <c r="L25" i="263" s="1"/>
  <c r="J12" i="263"/>
  <c r="L12" i="263" s="1"/>
  <c r="AC753" i="275"/>
  <c r="AC755" i="259"/>
  <c r="Y301" i="261"/>
  <c r="Y1499" i="259"/>
  <c r="Y163" i="262"/>
  <c r="Z302" i="261"/>
  <c r="Z162" i="262"/>
  <c r="AH753" i="275"/>
  <c r="AH755" i="259"/>
  <c r="AG753" i="275"/>
  <c r="AG755" i="259"/>
  <c r="AZ118" i="262"/>
  <c r="AZ87" i="262"/>
  <c r="AZ769" i="275"/>
  <c r="AZ1497" i="259"/>
  <c r="AZ1498" i="259"/>
  <c r="AZ782" i="259"/>
  <c r="Y257" i="262"/>
  <c r="Y94" i="262"/>
  <c r="Y782" i="275"/>
  <c r="Y789" i="259"/>
  <c r="Z301" i="261"/>
  <c r="Z163" i="262"/>
  <c r="Z1499" i="259"/>
  <c r="Y302" i="261"/>
  <c r="Y162" i="262"/>
  <c r="AD753" i="275"/>
  <c r="AD755" i="259"/>
  <c r="AD117" i="262" l="1"/>
  <c r="AD755" i="275"/>
  <c r="AD83" i="262"/>
  <c r="AD1582" i="259"/>
  <c r="AD297" i="261" s="1"/>
  <c r="BI10" i="263"/>
  <c r="BK10" i="263" s="1"/>
  <c r="AD41" i="259"/>
  <c r="AD1067" i="259"/>
  <c r="AD767" i="259"/>
  <c r="AD1584" i="259"/>
  <c r="AD1590" i="259" s="1"/>
  <c r="AZ302" i="261"/>
  <c r="AZ162" i="262"/>
  <c r="Z99" i="262"/>
  <c r="Z120" i="262"/>
  <c r="Z789" i="275"/>
  <c r="Z1430" i="259"/>
  <c r="Z790" i="259"/>
  <c r="AC83" i="262"/>
  <c r="AC117" i="262"/>
  <c r="AC755" i="275"/>
  <c r="AC1067" i="259"/>
  <c r="AC1582" i="259"/>
  <c r="AC297" i="261" s="1"/>
  <c r="AC1584" i="259"/>
  <c r="AC41" i="259"/>
  <c r="BE10" i="263"/>
  <c r="BG10" i="263" s="1"/>
  <c r="BA755" i="259"/>
  <c r="AC767" i="259"/>
  <c r="AZ1499" i="259"/>
  <c r="AZ163" i="262"/>
  <c r="AZ301" i="261"/>
  <c r="AG117" i="262"/>
  <c r="AG755" i="275"/>
  <c r="AG83" i="262"/>
  <c r="AG1582" i="259"/>
  <c r="AG297" i="261" s="1"/>
  <c r="AG1584" i="259"/>
  <c r="AG1067" i="259"/>
  <c r="AG164" i="262" s="1"/>
  <c r="AG41" i="259"/>
  <c r="BB755" i="259"/>
  <c r="AG767" i="259"/>
  <c r="Y99" i="262"/>
  <c r="Y789" i="275"/>
  <c r="Y120" i="262"/>
  <c r="Y790" i="259"/>
  <c r="Y1430" i="259"/>
  <c r="AZ94" i="262"/>
  <c r="AZ257" i="262"/>
  <c r="AZ789" i="259"/>
  <c r="AZ782" i="275"/>
  <c r="AH1067" i="259"/>
  <c r="AH164" i="262" s="1"/>
  <c r="AH117" i="262"/>
  <c r="AH83" i="262"/>
  <c r="AH755" i="275"/>
  <c r="AH1582" i="259"/>
  <c r="AH297" i="261" s="1"/>
  <c r="AH1584" i="259"/>
  <c r="AH1590" i="259" s="1"/>
  <c r="AH41" i="259"/>
  <c r="AH767" i="259"/>
  <c r="AH88" i="262" l="1"/>
  <c r="AH767" i="275"/>
  <c r="AH769" i="259"/>
  <c r="AG41" i="275"/>
  <c r="AG1069" i="259"/>
  <c r="AC164" i="262"/>
  <c r="BE6" i="263"/>
  <c r="BG6" i="263" s="1"/>
  <c r="Z101" i="262"/>
  <c r="F43" i="273"/>
  <c r="Z817" i="259"/>
  <c r="Z306" i="261"/>
  <c r="Z790" i="275"/>
  <c r="Z791" i="259"/>
  <c r="AD767" i="275"/>
  <c r="AD88" i="262"/>
  <c r="BI14" i="263"/>
  <c r="AD769" i="259"/>
  <c r="AH1069" i="259"/>
  <c r="AH41" i="275"/>
  <c r="AZ120" i="262"/>
  <c r="AZ790" i="259"/>
  <c r="AZ789" i="275"/>
  <c r="AZ99" i="262"/>
  <c r="Y306" i="261"/>
  <c r="Y101" i="262"/>
  <c r="Y790" i="275"/>
  <c r="E43" i="273"/>
  <c r="Y817" i="259"/>
  <c r="Y791" i="259"/>
  <c r="AG88" i="262"/>
  <c r="AG767" i="275"/>
  <c r="AG769" i="259"/>
  <c r="AG1590" i="259"/>
  <c r="BB1584" i="259"/>
  <c r="AC88" i="262"/>
  <c r="AC767" i="275"/>
  <c r="BE14" i="263"/>
  <c r="AC769" i="259"/>
  <c r="AC1590" i="259"/>
  <c r="BA1584" i="259"/>
  <c r="AD41" i="275"/>
  <c r="AD1069" i="259"/>
  <c r="Y1455" i="259"/>
  <c r="Y1432" i="259"/>
  <c r="AZ1430" i="259"/>
  <c r="AC41" i="275"/>
  <c r="AC1069" i="259"/>
  <c r="Z1455" i="259"/>
  <c r="Z1432" i="259"/>
  <c r="Z1435" i="259" s="1"/>
  <c r="Z1439" i="259" s="1"/>
  <c r="Z337" i="261" s="1"/>
  <c r="AD164" i="262"/>
  <c r="BI6" i="263"/>
  <c r="BK6" i="263" s="1"/>
  <c r="BB755" i="275"/>
  <c r="BB83" i="262"/>
  <c r="BB117" i="262"/>
  <c r="BB1067" i="259"/>
  <c r="BB1582" i="259"/>
  <c r="BB297" i="261" s="1"/>
  <c r="BB41" i="259"/>
  <c r="R10" i="263"/>
  <c r="T10" i="263" s="1"/>
  <c r="BB767" i="259"/>
  <c r="BB753" i="259"/>
  <c r="BA117" i="262"/>
  <c r="BA83" i="262"/>
  <c r="BA755" i="275"/>
  <c r="BA753" i="259"/>
  <c r="BA1582" i="259"/>
  <c r="BA297" i="261" s="1"/>
  <c r="N10" i="263"/>
  <c r="P10" i="263" s="1"/>
  <c r="BA41" i="259"/>
  <c r="BA41" i="275" s="1"/>
  <c r="BA1067" i="259"/>
  <c r="BA767" i="259"/>
  <c r="BB769" i="259" l="1"/>
  <c r="BB88" i="262"/>
  <c r="BB767" i="275"/>
  <c r="I14" i="272"/>
  <c r="R14" i="263"/>
  <c r="AC1075" i="259"/>
  <c r="AC282" i="261" s="1"/>
  <c r="AC1070" i="259"/>
  <c r="BA1069" i="259"/>
  <c r="BA164" i="262"/>
  <c r="E6" i="272"/>
  <c r="N6" i="263"/>
  <c r="P6" i="263" s="1"/>
  <c r="BA754" i="259"/>
  <c r="BA279" i="261" s="1"/>
  <c r="BA753" i="275"/>
  <c r="BB753" i="275"/>
  <c r="BB754" i="259"/>
  <c r="BB279" i="261" s="1"/>
  <c r="BC279" i="261" s="1"/>
  <c r="Y1435" i="259"/>
  <c r="AZ1432" i="259"/>
  <c r="BA1588" i="259"/>
  <c r="BA298" i="261" s="1"/>
  <c r="BA1590" i="259"/>
  <c r="AG87" i="262"/>
  <c r="AG118" i="262"/>
  <c r="AG769" i="275"/>
  <c r="AG1497" i="259"/>
  <c r="AG772" i="259"/>
  <c r="AG782" i="259"/>
  <c r="BK14" i="263"/>
  <c r="BI19" i="263"/>
  <c r="BK19" i="263" s="1"/>
  <c r="BI12" i="263"/>
  <c r="BK12" i="263" s="1"/>
  <c r="BI17" i="263"/>
  <c r="BK17" i="263" s="1"/>
  <c r="I6" i="272"/>
  <c r="BB164" i="262"/>
  <c r="R6" i="263"/>
  <c r="T6" i="263" s="1"/>
  <c r="AD1075" i="259"/>
  <c r="AD282" i="261" s="1"/>
  <c r="AD1070" i="259"/>
  <c r="AD1076" i="259" s="1"/>
  <c r="AD283" i="261" s="1"/>
  <c r="AC1497" i="259"/>
  <c r="AC87" i="262"/>
  <c r="AC118" i="262"/>
  <c r="AC769" i="275"/>
  <c r="AC772" i="259"/>
  <c r="AC782" i="259"/>
  <c r="BB1590" i="259"/>
  <c r="BB1588" i="259"/>
  <c r="BB298" i="261" s="1"/>
  <c r="AH1075" i="259"/>
  <c r="AH282" i="261" s="1"/>
  <c r="AH1070" i="259"/>
  <c r="AH1076" i="259" s="1"/>
  <c r="AH283" i="261" s="1"/>
  <c r="AH1497" i="259"/>
  <c r="AH118" i="262"/>
  <c r="AH769" i="275"/>
  <c r="AH87" i="262"/>
  <c r="AH772" i="259"/>
  <c r="AH782" i="259"/>
  <c r="BA767" i="275"/>
  <c r="BA88" i="262"/>
  <c r="BA769" i="259"/>
  <c r="E14" i="272"/>
  <c r="N14" i="263"/>
  <c r="BB41" i="275"/>
  <c r="BG14" i="263"/>
  <c r="BE12" i="263"/>
  <c r="BG12" i="263" s="1"/>
  <c r="BE17" i="263"/>
  <c r="BG17" i="263" s="1"/>
  <c r="BE19" i="263"/>
  <c r="BG19" i="263" s="1"/>
  <c r="Y305" i="261"/>
  <c r="AO25" i="263"/>
  <c r="Y100" i="262"/>
  <c r="Y1456" i="259"/>
  <c r="Y1457" i="259" s="1"/>
  <c r="Y1458" i="259" s="1"/>
  <c r="AZ790" i="275"/>
  <c r="AZ306" i="261"/>
  <c r="AZ791" i="259"/>
  <c r="AZ817" i="259"/>
  <c r="AZ101" i="262"/>
  <c r="AD118" i="262"/>
  <c r="AD87" i="262"/>
  <c r="AD1497" i="259"/>
  <c r="AD769" i="275"/>
  <c r="AD782" i="259"/>
  <c r="AD772" i="259"/>
  <c r="Z100" i="262"/>
  <c r="Z305" i="261"/>
  <c r="AS25" i="263"/>
  <c r="Z1456" i="259"/>
  <c r="Z1457" i="259" s="1"/>
  <c r="Z1458" i="259" s="1"/>
  <c r="BB1069" i="259"/>
  <c r="AG1075" i="259"/>
  <c r="AG282" i="261" s="1"/>
  <c r="AG1070" i="259"/>
  <c r="BB1075" i="259" l="1"/>
  <c r="BB282" i="261" s="1"/>
  <c r="BG1069" i="259"/>
  <c r="BA1075" i="259"/>
  <c r="BA282" i="261" s="1"/>
  <c r="BF1069" i="259"/>
  <c r="AD1499" i="259"/>
  <c r="AD301" i="261"/>
  <c r="AD163" i="262"/>
  <c r="AC782" i="275"/>
  <c r="AC257" i="262"/>
  <c r="AC94" i="262"/>
  <c r="AC789" i="259"/>
  <c r="AG772" i="275"/>
  <c r="AG91" i="262"/>
  <c r="AG778" i="259"/>
  <c r="BB772" i="259"/>
  <c r="AG1502" i="259"/>
  <c r="AG1503" i="259" s="1"/>
  <c r="AZ1435" i="259"/>
  <c r="AZ1439" i="259" s="1"/>
  <c r="AZ337" i="261" s="1"/>
  <c r="Y1439" i="259"/>
  <c r="Y337" i="261" s="1"/>
  <c r="I17" i="272"/>
  <c r="K14" i="272"/>
  <c r="I19" i="272"/>
  <c r="I12" i="272"/>
  <c r="K12" i="272" s="1"/>
  <c r="AZ100" i="262"/>
  <c r="AZ305" i="261"/>
  <c r="J25" i="263"/>
  <c r="AC163" i="262"/>
  <c r="AC1499" i="259"/>
  <c r="AC301" i="261"/>
  <c r="AG301" i="261"/>
  <c r="AG163" i="262"/>
  <c r="AG1499" i="259"/>
  <c r="AD94" i="262"/>
  <c r="AD257" i="262"/>
  <c r="AD782" i="275"/>
  <c r="AD789" i="259"/>
  <c r="G14" i="272"/>
  <c r="E17" i="272"/>
  <c r="E19" i="272"/>
  <c r="E12" i="272"/>
  <c r="G12" i="272" s="1"/>
  <c r="AH782" i="275"/>
  <c r="AH257" i="262"/>
  <c r="AH94" i="262"/>
  <c r="AH789" i="259"/>
  <c r="AD772" i="275"/>
  <c r="AD91" i="262"/>
  <c r="AD778" i="259"/>
  <c r="AD778" i="275" s="1"/>
  <c r="AD1502" i="259"/>
  <c r="AD1503" i="259" s="1"/>
  <c r="P14" i="263"/>
  <c r="N19" i="263"/>
  <c r="P19" i="263" s="1"/>
  <c r="N17" i="263"/>
  <c r="P17" i="263" s="1"/>
  <c r="N12" i="263"/>
  <c r="P12" i="263" s="1"/>
  <c r="AC772" i="275"/>
  <c r="AC91" i="262"/>
  <c r="BA772" i="259"/>
  <c r="AC778" i="259"/>
  <c r="AC778" i="275" s="1"/>
  <c r="AC1502" i="259"/>
  <c r="AC1503" i="259" s="1"/>
  <c r="BC754" i="259"/>
  <c r="BC753" i="259" s="1"/>
  <c r="BD279" i="261"/>
  <c r="BC910" i="259"/>
  <c r="BA1070" i="259"/>
  <c r="AC1076" i="259"/>
  <c r="AC283" i="261" s="1"/>
  <c r="AG1076" i="259"/>
  <c r="AG283" i="261" s="1"/>
  <c r="BB1070" i="259"/>
  <c r="BA87" i="262"/>
  <c r="BA118" i="262"/>
  <c r="BA782" i="259"/>
  <c r="BA769" i="275"/>
  <c r="BA1497" i="259"/>
  <c r="AH772" i="275"/>
  <c r="AH91" i="262"/>
  <c r="AH1502" i="259"/>
  <c r="AH1503" i="259" s="1"/>
  <c r="AH778" i="259"/>
  <c r="AH163" i="262"/>
  <c r="AH301" i="261"/>
  <c r="AH1499" i="259"/>
  <c r="AG782" i="275"/>
  <c r="AG94" i="262"/>
  <c r="AG257" i="262"/>
  <c r="AG789" i="259"/>
  <c r="T14" i="263"/>
  <c r="R17" i="263"/>
  <c r="T17" i="263" s="1"/>
  <c r="R19" i="263"/>
  <c r="T19" i="263" s="1"/>
  <c r="R12" i="263"/>
  <c r="T12" i="263" s="1"/>
  <c r="BB769" i="275"/>
  <c r="BB1497" i="259"/>
  <c r="BB87" i="262"/>
  <c r="BB118" i="262"/>
  <c r="BB782" i="259"/>
  <c r="BB1076" i="259" l="1"/>
  <c r="BB283" i="261" s="1"/>
  <c r="BG1070" i="259"/>
  <c r="BA1076" i="259"/>
  <c r="BA283" i="261" s="1"/>
  <c r="BF1070" i="259"/>
  <c r="AH778" i="275"/>
  <c r="BB789" i="259"/>
  <c r="BB257" i="262"/>
  <c r="BB94" i="262"/>
  <c r="BB782" i="275"/>
  <c r="BA301" i="261"/>
  <c r="BA163" i="262"/>
  <c r="BB772" i="275"/>
  <c r="BB91" i="262"/>
  <c r="BB1498" i="259"/>
  <c r="BB1499" i="259" s="1"/>
  <c r="BB1502" i="259"/>
  <c r="BB1503" i="259" s="1"/>
  <c r="BB778" i="259"/>
  <c r="AC789" i="275"/>
  <c r="AC120" i="262"/>
  <c r="AC99" i="262"/>
  <c r="AC1430" i="259"/>
  <c r="AC790" i="259"/>
  <c r="BA257" i="262"/>
  <c r="BA782" i="275"/>
  <c r="BA789" i="259"/>
  <c r="BA94" i="262"/>
  <c r="BD754" i="259"/>
  <c r="BD753" i="259" s="1"/>
  <c r="BE279" i="261"/>
  <c r="BE754" i="259" s="1"/>
  <c r="BE753" i="259" s="1"/>
  <c r="BA772" i="275"/>
  <c r="BA91" i="262"/>
  <c r="BA1498" i="259"/>
  <c r="BA1499" i="259" s="1"/>
  <c r="BA778" i="259"/>
  <c r="BA778" i="275" s="1"/>
  <c r="BA1502" i="259"/>
  <c r="BA1503" i="259" s="1"/>
  <c r="G19" i="272"/>
  <c r="E25" i="272"/>
  <c r="G25" i="272" s="1"/>
  <c r="AG778" i="275"/>
  <c r="AG120" i="262"/>
  <c r="AG99" i="262"/>
  <c r="AG789" i="275"/>
  <c r="AG1430" i="259"/>
  <c r="AG790" i="259"/>
  <c r="BC910" i="275"/>
  <c r="BD910" i="259"/>
  <c r="BC954" i="259"/>
  <c r="BC851" i="259"/>
  <c r="AH99" i="262"/>
  <c r="AH789" i="275"/>
  <c r="AH120" i="262"/>
  <c r="AH1430" i="259"/>
  <c r="AH790" i="259"/>
  <c r="AD99" i="262"/>
  <c r="AD789" i="275"/>
  <c r="AD120" i="262"/>
  <c r="AD1430" i="259"/>
  <c r="AD790" i="259"/>
  <c r="BB301" i="261"/>
  <c r="BB163" i="262"/>
  <c r="BC753" i="275"/>
  <c r="BC755" i="259"/>
  <c r="K19" i="272"/>
  <c r="I25" i="272"/>
  <c r="K25" i="272" s="1"/>
  <c r="AD790" i="275" l="1"/>
  <c r="AD817" i="259"/>
  <c r="AD101" i="262"/>
  <c r="AD306" i="261"/>
  <c r="AD791" i="259"/>
  <c r="AD653" i="259"/>
  <c r="BC755" i="275"/>
  <c r="BC83" i="262"/>
  <c r="BC117" i="262"/>
  <c r="BC1582" i="259"/>
  <c r="BC297" i="261" s="1"/>
  <c r="BC41" i="259"/>
  <c r="BC1584" i="259"/>
  <c r="BC1590" i="259" s="1"/>
  <c r="BC1067" i="259"/>
  <c r="Z10" i="263"/>
  <c r="AB10" i="263" s="1"/>
  <c r="V10" i="263"/>
  <c r="X10" i="263" s="1"/>
  <c r="BC767" i="259"/>
  <c r="BC954" i="275"/>
  <c r="BC956" i="259"/>
  <c r="AG306" i="261"/>
  <c r="AG101" i="262"/>
  <c r="AG817" i="259"/>
  <c r="AG790" i="275"/>
  <c r="AG791" i="259"/>
  <c r="AG653" i="259"/>
  <c r="BA120" i="262"/>
  <c r="BA99" i="262"/>
  <c r="BA789" i="275"/>
  <c r="AC1455" i="259"/>
  <c r="BA1430" i="259"/>
  <c r="AC1432" i="259"/>
  <c r="BB778" i="275"/>
  <c r="BD910" i="275"/>
  <c r="BD954" i="259"/>
  <c r="BE910" i="259"/>
  <c r="AD1455" i="259"/>
  <c r="AD1432" i="259"/>
  <c r="AD1435" i="259" s="1"/>
  <c r="AD1438" i="259" s="1"/>
  <c r="AH790" i="275"/>
  <c r="AH817" i="259"/>
  <c r="AH101" i="262"/>
  <c r="AH306" i="261"/>
  <c r="AH791" i="259"/>
  <c r="AH653" i="259"/>
  <c r="BA302" i="261"/>
  <c r="BA162" i="262"/>
  <c r="BD753" i="275"/>
  <c r="BD755" i="259"/>
  <c r="BB162" i="262"/>
  <c r="BB302" i="261"/>
  <c r="BB1430" i="259"/>
  <c r="AG1455" i="259"/>
  <c r="AG1432" i="259"/>
  <c r="BE753" i="275"/>
  <c r="BE755" i="259"/>
  <c r="AH1455" i="259"/>
  <c r="AH1432" i="259"/>
  <c r="AH1435" i="259" s="1"/>
  <c r="AH1438" i="259" s="1"/>
  <c r="BC851" i="275"/>
  <c r="BC855" i="259"/>
  <c r="BC877" i="259"/>
  <c r="BC877" i="275" s="1"/>
  <c r="BC876" i="259"/>
  <c r="BC876" i="275" s="1"/>
  <c r="BD851" i="259"/>
  <c r="AC790" i="275"/>
  <c r="AC817" i="259"/>
  <c r="AC101" i="262"/>
  <c r="AC306" i="261"/>
  <c r="AC791" i="259"/>
  <c r="AC653" i="259"/>
  <c r="BB99" i="262"/>
  <c r="BB789" i="275"/>
  <c r="BB120" i="262"/>
  <c r="AC654" i="259" l="1"/>
  <c r="AC653" i="275"/>
  <c r="AC656" i="259"/>
  <c r="AC658" i="259"/>
  <c r="BD755" i="275"/>
  <c r="BD117" i="262"/>
  <c r="BD83" i="262"/>
  <c r="BD1067" i="259"/>
  <c r="BD164" i="262" s="1"/>
  <c r="BD1584" i="259"/>
  <c r="BD1590" i="259" s="1"/>
  <c r="BD41" i="259"/>
  <c r="BD1582" i="259"/>
  <c r="BD297" i="261" s="1"/>
  <c r="BD767" i="259"/>
  <c r="AH653" i="275"/>
  <c r="AH654" i="259"/>
  <c r="AH656" i="259"/>
  <c r="AH658" i="259"/>
  <c r="BE910" i="275"/>
  <c r="BE954" i="259"/>
  <c r="AG653" i="275"/>
  <c r="AG654" i="259"/>
  <c r="AG656" i="259"/>
  <c r="AG658" i="259"/>
  <c r="BC88" i="262"/>
  <c r="BC767" i="275"/>
  <c r="Z14" i="263"/>
  <c r="BC769" i="259"/>
  <c r="V14" i="263"/>
  <c r="BE25" i="263"/>
  <c r="AC100" i="262"/>
  <c r="AC1456" i="259"/>
  <c r="AC1457" i="259" s="1"/>
  <c r="AH100" i="262"/>
  <c r="AH1456" i="259"/>
  <c r="AH1457" i="259" s="1"/>
  <c r="AH1458" i="259" s="1"/>
  <c r="BD956" i="259"/>
  <c r="BD954" i="275"/>
  <c r="AC1435" i="259"/>
  <c r="BA1432" i="259"/>
  <c r="AG100" i="262"/>
  <c r="AG1456" i="259"/>
  <c r="AG1457" i="259" s="1"/>
  <c r="BC41" i="275"/>
  <c r="BC1069" i="259"/>
  <c r="BE755" i="275"/>
  <c r="BE83" i="262"/>
  <c r="BE117" i="262"/>
  <c r="BE1067" i="259"/>
  <c r="BE164" i="262" s="1"/>
  <c r="BE1582" i="259"/>
  <c r="BE297" i="261" s="1"/>
  <c r="BE41" i="259"/>
  <c r="BE1584" i="259"/>
  <c r="BE1590" i="259" s="1"/>
  <c r="BE767" i="259"/>
  <c r="BD855" i="259"/>
  <c r="BD851" i="275"/>
  <c r="BD876" i="259"/>
  <c r="BD876" i="275" s="1"/>
  <c r="BD877" i="259"/>
  <c r="BD877" i="275" s="1"/>
  <c r="BE851" i="259"/>
  <c r="BC959" i="259"/>
  <c r="BC956" i="275"/>
  <c r="BC957" i="259"/>
  <c r="BC944" i="259"/>
  <c r="BC946" i="259"/>
  <c r="BC948" i="259"/>
  <c r="BC937" i="259"/>
  <c r="AD653" i="275"/>
  <c r="AD654" i="259"/>
  <c r="AD656" i="259"/>
  <c r="AD656" i="275" s="1"/>
  <c r="AD658" i="259"/>
  <c r="BC171" i="262"/>
  <c r="BC855" i="275"/>
  <c r="BB1432" i="259"/>
  <c r="AG1435" i="259"/>
  <c r="V6" i="263"/>
  <c r="X6" i="263" s="1"/>
  <c r="BC164" i="262"/>
  <c r="Z6" i="263"/>
  <c r="AB6" i="263" s="1"/>
  <c r="AD100" i="262"/>
  <c r="BI25" i="263"/>
  <c r="AD1456" i="259"/>
  <c r="AD1457" i="259" s="1"/>
  <c r="AD1458" i="259" s="1"/>
  <c r="BH1069" i="259" l="1"/>
  <c r="BI1069" i="259"/>
  <c r="BC948" i="275"/>
  <c r="BD948" i="259"/>
  <c r="BC1070" i="259"/>
  <c r="BC1075" i="259"/>
  <c r="BC282" i="261" s="1"/>
  <c r="AG247" i="261"/>
  <c r="AG654" i="275"/>
  <c r="AD247" i="261"/>
  <c r="AD654" i="275"/>
  <c r="BC946" i="275"/>
  <c r="BD946" i="259"/>
  <c r="BA1435" i="259"/>
  <c r="AC1438" i="259"/>
  <c r="V12" i="263"/>
  <c r="X12" i="263" s="1"/>
  <c r="X14" i="263"/>
  <c r="V17" i="263"/>
  <c r="X17" i="263" s="1"/>
  <c r="V19" i="263"/>
  <c r="X19" i="263" s="1"/>
  <c r="AH658" i="275"/>
  <c r="AH8" i="259"/>
  <c r="BD767" i="275"/>
  <c r="BD88" i="262"/>
  <c r="BD769" i="259"/>
  <c r="AC658" i="275"/>
  <c r="AC8" i="259"/>
  <c r="BB1435" i="259"/>
  <c r="AG1438" i="259"/>
  <c r="AG1458" i="259" s="1"/>
  <c r="BC944" i="275"/>
  <c r="BD944" i="259"/>
  <c r="BE41" i="275"/>
  <c r="BE1069" i="259"/>
  <c r="BC769" i="275"/>
  <c r="BC118" i="262"/>
  <c r="BC1497" i="259"/>
  <c r="BC87" i="262"/>
  <c r="BC772" i="259"/>
  <c r="BC782" i="259"/>
  <c r="AG658" i="275"/>
  <c r="AG8" i="259"/>
  <c r="BE956" i="259"/>
  <c r="BE954" i="275"/>
  <c r="AH656" i="275"/>
  <c r="BA656" i="259"/>
  <c r="AC656" i="275"/>
  <c r="AD658" i="275"/>
  <c r="AD8" i="259"/>
  <c r="BC937" i="275"/>
  <c r="BD937" i="259"/>
  <c r="BE855" i="259"/>
  <c r="BE851" i="275"/>
  <c r="BE876" i="259"/>
  <c r="BE876" i="275" s="1"/>
  <c r="BE877" i="259"/>
  <c r="BE877" i="275" s="1"/>
  <c r="BD171" i="262"/>
  <c r="BD855" i="275"/>
  <c r="BD959" i="259"/>
  <c r="BD956" i="275"/>
  <c r="BD957" i="259"/>
  <c r="AB14" i="263"/>
  <c r="Z17" i="263"/>
  <c r="AB17" i="263" s="1"/>
  <c r="Z19" i="263"/>
  <c r="AB19" i="263" s="1"/>
  <c r="Z12" i="263"/>
  <c r="AB12" i="263" s="1"/>
  <c r="AG656" i="275"/>
  <c r="BB656" i="259"/>
  <c r="AH247" i="261"/>
  <c r="AH654" i="275"/>
  <c r="BD41" i="275"/>
  <c r="BD1069" i="259"/>
  <c r="BJ1069" i="259" s="1"/>
  <c r="BE88" i="262"/>
  <c r="BE767" i="275"/>
  <c r="BE769" i="259"/>
  <c r="AC654" i="275"/>
  <c r="AC247" i="261"/>
  <c r="BC1076" i="259" l="1"/>
  <c r="BC283" i="261" s="1"/>
  <c r="BH1070" i="259"/>
  <c r="AC1458" i="259"/>
  <c r="AC1437" i="259"/>
  <c r="BD944" i="275"/>
  <c r="BE944" i="259"/>
  <c r="BE944" i="275" s="1"/>
  <c r="AC8" i="275"/>
  <c r="AC136" i="262"/>
  <c r="BE11" i="264"/>
  <c r="BA8" i="259"/>
  <c r="AC9" i="259"/>
  <c r="BE87" i="262"/>
  <c r="BE769" i="275"/>
  <c r="BE118" i="262"/>
  <c r="BE1497" i="259"/>
  <c r="BE772" i="259"/>
  <c r="BE782" i="259"/>
  <c r="BD937" i="275"/>
  <c r="BE937" i="259"/>
  <c r="BE937" i="275" s="1"/>
  <c r="BE959" i="259"/>
  <c r="BE956" i="275"/>
  <c r="BE957" i="259"/>
  <c r="BC772" i="275"/>
  <c r="BC91" i="262"/>
  <c r="BC1502" i="259"/>
  <c r="BC1503" i="259" s="1"/>
  <c r="BC778" i="259"/>
  <c r="BC778" i="275" s="1"/>
  <c r="AH8" i="275"/>
  <c r="AH136" i="262"/>
  <c r="AH9" i="259"/>
  <c r="BD946" i="275"/>
  <c r="BE946" i="259"/>
  <c r="BE946" i="275" s="1"/>
  <c r="BD948" i="275"/>
  <c r="BE948" i="259"/>
  <c r="BE948" i="275" s="1"/>
  <c r="AD8" i="275"/>
  <c r="AD136" i="262"/>
  <c r="BI11" i="264"/>
  <c r="AD9" i="259"/>
  <c r="BC301" i="261"/>
  <c r="BC163" i="262"/>
  <c r="BC1499" i="259"/>
  <c r="BE855" i="275"/>
  <c r="BE171" i="262"/>
  <c r="BC94" i="262"/>
  <c r="BC257" i="262"/>
  <c r="BC782" i="275"/>
  <c r="BC789" i="259"/>
  <c r="BD1075" i="259"/>
  <c r="BD282" i="261" s="1"/>
  <c r="BD1070" i="259"/>
  <c r="BB656" i="275"/>
  <c r="BB658" i="259"/>
  <c r="BA658" i="259"/>
  <c r="BA656" i="275"/>
  <c r="AG136" i="262"/>
  <c r="AG8" i="275"/>
  <c r="AG9" i="259"/>
  <c r="BB8" i="259"/>
  <c r="BE1075" i="259"/>
  <c r="BE282" i="261" s="1"/>
  <c r="BE1070" i="259"/>
  <c r="BE1076" i="259" s="1"/>
  <c r="BE283" i="261" s="1"/>
  <c r="BD769" i="275"/>
  <c r="BD118" i="262"/>
  <c r="BD87" i="262"/>
  <c r="BD1497" i="259"/>
  <c r="BD772" i="259"/>
  <c r="BD782" i="259"/>
  <c r="BD1076" i="259" l="1"/>
  <c r="BD283" i="261" s="1"/>
  <c r="BJ1070" i="259"/>
  <c r="BI1070" i="259"/>
  <c r="AH288" i="261"/>
  <c r="AH9" i="275"/>
  <c r="AH28" i="259"/>
  <c r="AH793" i="259"/>
  <c r="BE782" i="275"/>
  <c r="BE257" i="262"/>
  <c r="BE94" i="262"/>
  <c r="BE789" i="259"/>
  <c r="BG11" i="264"/>
  <c r="BE12" i="264"/>
  <c r="BG12" i="264" s="1"/>
  <c r="BD301" i="261"/>
  <c r="BD163" i="262"/>
  <c r="BD1499" i="259"/>
  <c r="BB1548" i="259"/>
  <c r="BB658" i="275"/>
  <c r="BB653" i="259"/>
  <c r="BD782" i="275"/>
  <c r="BD257" i="262"/>
  <c r="BD94" i="262"/>
  <c r="BD789" i="259"/>
  <c r="J83" i="276"/>
  <c r="BB136" i="262"/>
  <c r="BB8" i="275"/>
  <c r="BB9" i="277"/>
  <c r="R11" i="264"/>
  <c r="BB9" i="259"/>
  <c r="BK11" i="264"/>
  <c r="BI12" i="264"/>
  <c r="BK12" i="264" s="1"/>
  <c r="BE772" i="275"/>
  <c r="BE91" i="262"/>
  <c r="BE1502" i="259"/>
  <c r="BE1503" i="259" s="1"/>
  <c r="BE778" i="259"/>
  <c r="AC1441" i="259"/>
  <c r="AC1445" i="259" s="1"/>
  <c r="AD1437" i="259"/>
  <c r="BC120" i="262"/>
  <c r="BC99" i="262"/>
  <c r="BC789" i="275"/>
  <c r="BC1430" i="259"/>
  <c r="BC1432" i="259" s="1"/>
  <c r="BC1435" i="259" s="1"/>
  <c r="BC1438" i="259" s="1"/>
  <c r="K36" i="276" s="1"/>
  <c r="BC790" i="259"/>
  <c r="BA8" i="275"/>
  <c r="BA136" i="262"/>
  <c r="I83" i="276"/>
  <c r="BA9" i="277"/>
  <c r="N11" i="264"/>
  <c r="BA9" i="259"/>
  <c r="AD9" i="275"/>
  <c r="AD288" i="261"/>
  <c r="AD28" i="259"/>
  <c r="AD28" i="275" s="1"/>
  <c r="BI27" i="263"/>
  <c r="BK27" i="263" s="1"/>
  <c r="BK25" i="263" s="1"/>
  <c r="AD793" i="259"/>
  <c r="BD772" i="275"/>
  <c r="BD91" i="262"/>
  <c r="BD778" i="259"/>
  <c r="BD778" i="275" s="1"/>
  <c r="BD1502" i="259"/>
  <c r="BD1503" i="259" s="1"/>
  <c r="AG288" i="261"/>
  <c r="AG9" i="275"/>
  <c r="AG793" i="259"/>
  <c r="AG28" i="259"/>
  <c r="BA1548" i="259"/>
  <c r="BA653" i="259"/>
  <c r="BA658" i="275"/>
  <c r="BE163" i="262"/>
  <c r="BE1499" i="259"/>
  <c r="BE301" i="261"/>
  <c r="AC9" i="275"/>
  <c r="AC28" i="259"/>
  <c r="AC28" i="275" s="1"/>
  <c r="BE27" i="263"/>
  <c r="BG27" i="263" s="1"/>
  <c r="BG25" i="263" s="1"/>
  <c r="AC793" i="259"/>
  <c r="AC288" i="261"/>
  <c r="AC102" i="262" l="1"/>
  <c r="AC793" i="275"/>
  <c r="BA653" i="275"/>
  <c r="BA654" i="259"/>
  <c r="AD102" i="262"/>
  <c r="AD793" i="275"/>
  <c r="T11" i="264"/>
  <c r="R12" i="264"/>
  <c r="T12" i="264" s="1"/>
  <c r="AG28" i="275"/>
  <c r="AC290" i="261"/>
  <c r="AC291" i="261"/>
  <c r="AG102" i="262"/>
  <c r="AG793" i="275"/>
  <c r="BA9" i="275"/>
  <c r="E29" i="272"/>
  <c r="BA288" i="261"/>
  <c r="BA793" i="259"/>
  <c r="BA28" i="259"/>
  <c r="BA28" i="275" s="1"/>
  <c r="BA10" i="277"/>
  <c r="N27" i="263"/>
  <c r="P27" i="263" s="1"/>
  <c r="P25" i="263" s="1"/>
  <c r="AC1443" i="259"/>
  <c r="AC1369" i="259"/>
  <c r="BB288" i="261"/>
  <c r="BB9" i="275"/>
  <c r="I29" i="272"/>
  <c r="BB28" i="259"/>
  <c r="BB28" i="275" s="1"/>
  <c r="R27" i="263"/>
  <c r="T27" i="263" s="1"/>
  <c r="T25" i="263" s="1"/>
  <c r="BB793" i="259"/>
  <c r="BB10" i="277"/>
  <c r="AH793" i="275"/>
  <c r="AH102" i="262"/>
  <c r="AH28" i="275"/>
  <c r="BC101" i="262"/>
  <c r="BC306" i="261"/>
  <c r="BC817" i="259"/>
  <c r="BC791" i="259"/>
  <c r="BC653" i="259"/>
  <c r="BE778" i="275"/>
  <c r="BD99" i="262"/>
  <c r="BD120" i="262"/>
  <c r="BD789" i="275"/>
  <c r="BD1430" i="259"/>
  <c r="BD1432" i="259" s="1"/>
  <c r="BD1435" i="259" s="1"/>
  <c r="BD1438" i="259" s="1"/>
  <c r="BD790" i="259"/>
  <c r="BB653" i="275"/>
  <c r="BB654" i="259"/>
  <c r="BE99" i="262"/>
  <c r="BE120" i="262"/>
  <c r="BE789" i="275"/>
  <c r="BE1430" i="259"/>
  <c r="BE1432" i="259" s="1"/>
  <c r="BE1435" i="259" s="1"/>
  <c r="BE1438" i="259" s="1"/>
  <c r="BE790" i="259"/>
  <c r="P11" i="264"/>
  <c r="N12" i="264"/>
  <c r="P12" i="264" s="1"/>
  <c r="AD1441" i="259"/>
  <c r="AE1437" i="259"/>
  <c r="AD1443" i="259" l="1"/>
  <c r="AD1369" i="259"/>
  <c r="BB247" i="261"/>
  <c r="BB654" i="275"/>
  <c r="BA102" i="262"/>
  <c r="BA793" i="275"/>
  <c r="BA790" i="259"/>
  <c r="AD290" i="261"/>
  <c r="AC12" i="259"/>
  <c r="BC653" i="275"/>
  <c r="BC654" i="259"/>
  <c r="BC656" i="259"/>
  <c r="BC656" i="275" s="1"/>
  <c r="BC658" i="259"/>
  <c r="AE1441" i="259"/>
  <c r="BA1437" i="259"/>
  <c r="AF1437" i="259"/>
  <c r="BD306" i="261"/>
  <c r="BD817" i="259"/>
  <c r="BD101" i="262"/>
  <c r="BD790" i="275"/>
  <c r="BD791" i="259"/>
  <c r="BD100" i="262" s="1"/>
  <c r="BD653" i="259"/>
  <c r="Z25" i="263"/>
  <c r="V25" i="263"/>
  <c r="BC100" i="262"/>
  <c r="BB793" i="275"/>
  <c r="BB102" i="262"/>
  <c r="BB790" i="259"/>
  <c r="AD1445" i="259"/>
  <c r="BE790" i="275"/>
  <c r="BE101" i="262"/>
  <c r="BE306" i="261"/>
  <c r="BE817" i="259"/>
  <c r="BE791" i="259"/>
  <c r="BE100" i="262" s="1"/>
  <c r="BE653" i="259"/>
  <c r="AC13" i="259"/>
  <c r="AD291" i="261"/>
  <c r="BA247" i="261"/>
  <c r="BA654" i="275"/>
  <c r="AD13" i="259" l="1"/>
  <c r="AE1443" i="259"/>
  <c r="AE1369" i="259"/>
  <c r="BA1369" i="259" s="1"/>
  <c r="BA1441" i="259" s="1"/>
  <c r="BA817" i="259"/>
  <c r="BA791" i="259"/>
  <c r="BA101" i="262"/>
  <c r="BA306" i="261"/>
  <c r="BA790" i="275"/>
  <c r="BE654" i="259"/>
  <c r="BE653" i="275"/>
  <c r="BE656" i="259"/>
  <c r="BE658" i="259"/>
  <c r="BB306" i="261"/>
  <c r="BB791" i="259"/>
  <c r="BB817" i="259"/>
  <c r="BB790" i="275"/>
  <c r="BB101" i="262"/>
  <c r="BC790" i="275"/>
  <c r="AE1445" i="259"/>
  <c r="BC654" i="275"/>
  <c r="BC247" i="261"/>
  <c r="AC12" i="275"/>
  <c r="AC795" i="259"/>
  <c r="BE29" i="263"/>
  <c r="AC14" i="259"/>
  <c r="AC21" i="259"/>
  <c r="AC13" i="275"/>
  <c r="AC24" i="259"/>
  <c r="AC796" i="259"/>
  <c r="BE30" i="263"/>
  <c r="BD653" i="275"/>
  <c r="BD654" i="259"/>
  <c r="BD656" i="259"/>
  <c r="BD656" i="275" s="1"/>
  <c r="BD658" i="259"/>
  <c r="AF1441" i="259"/>
  <c r="AG1437" i="259"/>
  <c r="AD12" i="259"/>
  <c r="AE291" i="261"/>
  <c r="AF291" i="261" s="1"/>
  <c r="AF13" i="259" s="1"/>
  <c r="BA1438" i="259"/>
  <c r="BC658" i="275"/>
  <c r="BC8" i="259"/>
  <c r="AE290" i="261"/>
  <c r="AG291" i="261" l="1"/>
  <c r="AG13" i="259" s="1"/>
  <c r="AG24" i="259" s="1"/>
  <c r="AG24" i="275" s="1"/>
  <c r="AD12" i="275"/>
  <c r="AD795" i="259"/>
  <c r="BI29" i="263"/>
  <c r="AD21" i="259"/>
  <c r="AD14" i="259"/>
  <c r="BD247" i="261"/>
  <c r="BD654" i="275"/>
  <c r="AE12" i="259"/>
  <c r="BA12" i="259" s="1"/>
  <c r="AF290" i="261"/>
  <c r="AC24" i="275"/>
  <c r="BE654" i="275"/>
  <c r="BE247" i="261"/>
  <c r="AF1443" i="259"/>
  <c r="AF1369" i="259"/>
  <c r="AC14" i="275"/>
  <c r="BE31" i="263"/>
  <c r="AC865" i="259"/>
  <c r="AC26" i="259"/>
  <c r="AC26" i="275" s="1"/>
  <c r="AC30" i="259"/>
  <c r="AC27" i="259"/>
  <c r="I27" i="272"/>
  <c r="BB305" i="261"/>
  <c r="R25" i="263"/>
  <c r="BB100" i="262"/>
  <c r="BA1442" i="259"/>
  <c r="BA339" i="261" s="1"/>
  <c r="BA1443" i="259"/>
  <c r="I36" i="276"/>
  <c r="J27" i="273"/>
  <c r="BA1439" i="259"/>
  <c r="BA337" i="261" s="1"/>
  <c r="BA19" i="277"/>
  <c r="BC136" i="262"/>
  <c r="BC8" i="275"/>
  <c r="K83" i="276"/>
  <c r="V11" i="264"/>
  <c r="Z11" i="264"/>
  <c r="BC9" i="277"/>
  <c r="BC9" i="259"/>
  <c r="BA1445" i="259"/>
  <c r="AG1441" i="259"/>
  <c r="AG1445" i="259" s="1"/>
  <c r="AH1437" i="259"/>
  <c r="BD658" i="275"/>
  <c r="BD8" i="259"/>
  <c r="BG30" i="263"/>
  <c r="BE16" i="264"/>
  <c r="BG16" i="264" s="1"/>
  <c r="BG29" i="263"/>
  <c r="BE15" i="264"/>
  <c r="BG15" i="264" s="1"/>
  <c r="BE658" i="275"/>
  <c r="BE8" i="259"/>
  <c r="AF24" i="259"/>
  <c r="AF13" i="275"/>
  <c r="AF796" i="259"/>
  <c r="E27" i="272"/>
  <c r="BA305" i="261"/>
  <c r="N25" i="263"/>
  <c r="BA100" i="262"/>
  <c r="AD13" i="275"/>
  <c r="AD24" i="259"/>
  <c r="AD24" i="275" s="1"/>
  <c r="BI30" i="263"/>
  <c r="AD796" i="259"/>
  <c r="AD796" i="275" s="1"/>
  <c r="AE13" i="259"/>
  <c r="AF1445" i="259"/>
  <c r="AC796" i="275"/>
  <c r="AC21" i="275"/>
  <c r="AC1489" i="259"/>
  <c r="AC22" i="259"/>
  <c r="AC104" i="262"/>
  <c r="AC795" i="275"/>
  <c r="AC797" i="259"/>
  <c r="BE656" i="275"/>
  <c r="AH291" i="261" l="1"/>
  <c r="AH13" i="259" s="1"/>
  <c r="AH796" i="259" s="1"/>
  <c r="AH796" i="275" s="1"/>
  <c r="AG796" i="259"/>
  <c r="AG796" i="275" s="1"/>
  <c r="AG13" i="275"/>
  <c r="AC1345" i="259"/>
  <c r="AC105" i="262"/>
  <c r="AC797" i="275"/>
  <c r="AC804" i="259"/>
  <c r="AC1343" i="259"/>
  <c r="AC811" i="259"/>
  <c r="AC1342" i="259"/>
  <c r="AC806" i="259"/>
  <c r="AC1483" i="259"/>
  <c r="AC198" i="262" s="1"/>
  <c r="AC1480" i="259"/>
  <c r="AC865" i="275"/>
  <c r="AC919" i="259"/>
  <c r="AD865" i="259"/>
  <c r="AD1489" i="259"/>
  <c r="AD21" i="275"/>
  <c r="AD22" i="259"/>
  <c r="BK30" i="263"/>
  <c r="BI16" i="264"/>
  <c r="BK16" i="264" s="1"/>
  <c r="AF796" i="275"/>
  <c r="AC27" i="275"/>
  <c r="AC1292" i="259"/>
  <c r="BG31" i="263"/>
  <c r="BE18" i="264"/>
  <c r="BG18" i="264" s="1"/>
  <c r="BK29" i="263"/>
  <c r="BI15" i="264"/>
  <c r="BK15" i="264" s="1"/>
  <c r="AC22" i="275"/>
  <c r="AC23" i="259"/>
  <c r="BE8" i="275"/>
  <c r="BE136" i="262"/>
  <c r="BE9" i="259"/>
  <c r="BE9" i="277"/>
  <c r="AH1441" i="259"/>
  <c r="AH1445" i="259" s="1"/>
  <c r="AI1437" i="259"/>
  <c r="BC288" i="261"/>
  <c r="BC9" i="275"/>
  <c r="Z27" i="263"/>
  <c r="AB27" i="263" s="1"/>
  <c r="AB25" i="263" s="1"/>
  <c r="V27" i="263"/>
  <c r="X27" i="263" s="1"/>
  <c r="X25" i="263" s="1"/>
  <c r="BC793" i="259"/>
  <c r="BC28" i="259"/>
  <c r="BC28" i="275" s="1"/>
  <c r="BC10" i="277"/>
  <c r="BD8" i="275"/>
  <c r="BD136" i="262"/>
  <c r="BD9" i="277"/>
  <c r="BD9" i="259"/>
  <c r="AG1369" i="259"/>
  <c r="AG1443" i="259"/>
  <c r="AB11" i="264"/>
  <c r="Z12" i="264"/>
  <c r="AB12" i="264" s="1"/>
  <c r="AC30" i="275"/>
  <c r="BE35" i="263"/>
  <c r="AF12" i="259"/>
  <c r="AG290" i="261"/>
  <c r="AD104" i="262"/>
  <c r="AD795" i="275"/>
  <c r="AD797" i="259"/>
  <c r="AE13" i="275"/>
  <c r="BM30" i="263"/>
  <c r="AE24" i="259"/>
  <c r="AE24" i="275" s="1"/>
  <c r="AE796" i="259"/>
  <c r="AE796" i="275" s="1"/>
  <c r="BA13" i="259"/>
  <c r="BA14" i="259" s="1"/>
  <c r="AF24" i="275"/>
  <c r="X11" i="264"/>
  <c r="V12" i="264"/>
  <c r="X12" i="264" s="1"/>
  <c r="BA29" i="277"/>
  <c r="I11" i="276"/>
  <c r="E31" i="272"/>
  <c r="BA290" i="261"/>
  <c r="BA12" i="275"/>
  <c r="N29" i="263"/>
  <c r="BA21" i="259"/>
  <c r="AE12" i="275"/>
  <c r="BM29" i="263"/>
  <c r="AE795" i="259"/>
  <c r="AE21" i="259"/>
  <c r="AE14" i="259"/>
  <c r="AD27" i="259"/>
  <c r="AD14" i="275"/>
  <c r="AD26" i="259"/>
  <c r="AD26" i="275" s="1"/>
  <c r="AD30" i="259"/>
  <c r="BI31" i="263"/>
  <c r="AH24" i="259" l="1"/>
  <c r="AH24" i="275" s="1"/>
  <c r="AH13" i="275"/>
  <c r="AI291" i="261"/>
  <c r="AI13" i="259" s="1"/>
  <c r="AI13" i="275" s="1"/>
  <c r="AD27" i="275"/>
  <c r="AD1292" i="259"/>
  <c r="BA796" i="259"/>
  <c r="BA796" i="275" s="1"/>
  <c r="BD288" i="261"/>
  <c r="BD9" i="275"/>
  <c r="BD28" i="259"/>
  <c r="BD28" i="275" s="1"/>
  <c r="BD793" i="259"/>
  <c r="BD10" i="277"/>
  <c r="AD22" i="275"/>
  <c r="AD23" i="259"/>
  <c r="AC195" i="262"/>
  <c r="AC77" i="259"/>
  <c r="AC77" i="275" s="1"/>
  <c r="AC122" i="262"/>
  <c r="AC253" i="262"/>
  <c r="AC114" i="262"/>
  <c r="AC806" i="275"/>
  <c r="AC1336" i="259"/>
  <c r="AC319" i="261" s="1"/>
  <c r="AD30" i="275"/>
  <c r="BI35" i="263"/>
  <c r="AE27" i="259"/>
  <c r="AE14" i="275"/>
  <c r="AE26" i="259"/>
  <c r="AE26" i="275" s="1"/>
  <c r="BM31" i="263"/>
  <c r="AE30" i="259"/>
  <c r="AD105" i="262"/>
  <c r="AD1345" i="259"/>
  <c r="AD797" i="275"/>
  <c r="AD1343" i="259"/>
  <c r="AD804" i="259"/>
  <c r="AD1342" i="259"/>
  <c r="AD811" i="259"/>
  <c r="AD1483" i="259"/>
  <c r="AD198" i="262" s="1"/>
  <c r="AD1480" i="259"/>
  <c r="AD806" i="259"/>
  <c r="AF14" i="259"/>
  <c r="AF795" i="259"/>
  <c r="AF21" i="259"/>
  <c r="AF12" i="275"/>
  <c r="BB1437" i="259"/>
  <c r="AI1441" i="259"/>
  <c r="AI1445" i="259" s="1"/>
  <c r="BE9" i="275"/>
  <c r="BE288" i="261"/>
  <c r="BE793" i="259"/>
  <c r="BE28" i="259"/>
  <c r="BE10" i="277"/>
  <c r="AC1297" i="259"/>
  <c r="AC919" i="275"/>
  <c r="AC235" i="262"/>
  <c r="AC1344" i="259"/>
  <c r="BK31" i="263"/>
  <c r="BI18" i="264"/>
  <c r="BK18" i="264" s="1"/>
  <c r="BO29" i="263"/>
  <c r="BM15" i="264"/>
  <c r="BO15" i="264" s="1"/>
  <c r="N15" i="264"/>
  <c r="P15" i="264" s="1"/>
  <c r="P29" i="263"/>
  <c r="AG12" i="259"/>
  <c r="AC23" i="275"/>
  <c r="AC31" i="259"/>
  <c r="AC31" i="275" s="1"/>
  <c r="AD865" i="275"/>
  <c r="AE865" i="259"/>
  <c r="AC121" i="262"/>
  <c r="AC807" i="259"/>
  <c r="AC804" i="275"/>
  <c r="AC112" i="262"/>
  <c r="AE1489" i="259"/>
  <c r="AE21" i="275"/>
  <c r="AE22" i="259"/>
  <c r="BA21" i="275"/>
  <c r="BA22" i="259"/>
  <c r="BA1489" i="259"/>
  <c r="I18" i="276" s="1"/>
  <c r="BO30" i="263"/>
  <c r="BM16" i="264"/>
  <c r="BO16" i="264" s="1"/>
  <c r="BG36" i="263"/>
  <c r="BE22" i="264"/>
  <c r="BG35" i="263"/>
  <c r="BG33" i="263" s="1"/>
  <c r="AD919" i="259"/>
  <c r="AC813" i="259"/>
  <c r="AC811" i="275"/>
  <c r="AE104" i="262"/>
  <c r="AE795" i="275"/>
  <c r="AE797" i="259"/>
  <c r="BA795" i="259"/>
  <c r="BA26" i="259"/>
  <c r="BA14" i="275"/>
  <c r="I20" i="276"/>
  <c r="BA27" i="259"/>
  <c r="BA27" i="275" s="1"/>
  <c r="E33" i="272"/>
  <c r="N31" i="263"/>
  <c r="BA30" i="259"/>
  <c r="BA291" i="261"/>
  <c r="BA13" i="275"/>
  <c r="E32" i="272"/>
  <c r="N30" i="263"/>
  <c r="BC793" i="275"/>
  <c r="BC102" i="262"/>
  <c r="AH1369" i="259"/>
  <c r="AH1443" i="259"/>
  <c r="BA24" i="259"/>
  <c r="BA24" i="275" s="1"/>
  <c r="AC236" i="262"/>
  <c r="AC237" i="262"/>
  <c r="AH290" i="261"/>
  <c r="AH12" i="259" s="1"/>
  <c r="BE28" i="275" l="1"/>
  <c r="BB13" i="259"/>
  <c r="R30" i="263" s="1"/>
  <c r="AI24" i="259"/>
  <c r="AI24" i="275" s="1"/>
  <c r="AI796" i="259"/>
  <c r="AI796" i="275" s="1"/>
  <c r="AI290" i="261"/>
  <c r="AI12" i="259" s="1"/>
  <c r="AI12" i="275" s="1"/>
  <c r="P30" i="263"/>
  <c r="N16" i="264"/>
  <c r="P16" i="264" s="1"/>
  <c r="AE105" i="262"/>
  <c r="AE797" i="275"/>
  <c r="AE1345" i="259"/>
  <c r="AE804" i="259"/>
  <c r="AE1342" i="259"/>
  <c r="AE1343" i="259"/>
  <c r="AE1483" i="259"/>
  <c r="AE198" i="262" s="1"/>
  <c r="AE811" i="259"/>
  <c r="AE806" i="259"/>
  <c r="AE1480" i="259"/>
  <c r="AD813" i="259"/>
  <c r="AD811" i="275"/>
  <c r="AD236" i="262"/>
  <c r="AD237" i="262"/>
  <c r="AE27" i="275"/>
  <c r="AE1292" i="259"/>
  <c r="BA1292" i="259" s="1"/>
  <c r="BA1297" i="259" s="1"/>
  <c r="BA1299" i="259" s="1"/>
  <c r="P31" i="263"/>
  <c r="N18" i="264"/>
  <c r="P18" i="264" s="1"/>
  <c r="AD919" i="275"/>
  <c r="AE865" i="275"/>
  <c r="BA865" i="259"/>
  <c r="AF865" i="259"/>
  <c r="AF919" i="259" s="1"/>
  <c r="AG12" i="275"/>
  <c r="AG795" i="259"/>
  <c r="AG21" i="259"/>
  <c r="AG14" i="259"/>
  <c r="AC1299" i="259"/>
  <c r="AC1302" i="259"/>
  <c r="AC1303" i="259" s="1"/>
  <c r="AC868" i="259"/>
  <c r="AD1291" i="259"/>
  <c r="AD1297" i="259" s="1"/>
  <c r="AF1489" i="259"/>
  <c r="AF21" i="275"/>
  <c r="AF22" i="259"/>
  <c r="AD195" i="262"/>
  <c r="AD77" i="259"/>
  <c r="AD77" i="275" s="1"/>
  <c r="BO31" i="263"/>
  <c r="BM18" i="264"/>
  <c r="BO18" i="264" s="1"/>
  <c r="BK36" i="263"/>
  <c r="BK35" i="263"/>
  <c r="BK33" i="263" s="1"/>
  <c r="BI22" i="264"/>
  <c r="AD23" i="275"/>
  <c r="AD31" i="259"/>
  <c r="AD31" i="275" s="1"/>
  <c r="BD793" i="275"/>
  <c r="BD102" i="262"/>
  <c r="G35" i="272"/>
  <c r="G33" i="272"/>
  <c r="G27" i="272" s="1"/>
  <c r="BA29" i="259"/>
  <c r="BA26" i="275"/>
  <c r="AE22" i="275"/>
  <c r="AE23" i="259"/>
  <c r="AI1443" i="259"/>
  <c r="AI1369" i="259"/>
  <c r="BB1369" i="259" s="1"/>
  <c r="BB1441" i="259" s="1"/>
  <c r="AF795" i="275"/>
  <c r="AF104" i="262"/>
  <c r="AF797" i="259"/>
  <c r="AD235" i="262"/>
  <c r="AD1344" i="259"/>
  <c r="I23" i="276"/>
  <c r="BA30" i="275"/>
  <c r="I22" i="276"/>
  <c r="N35" i="263"/>
  <c r="E37" i="272"/>
  <c r="AC813" i="275"/>
  <c r="AC254" i="262"/>
  <c r="BA22" i="275"/>
  <c r="AC239" i="262"/>
  <c r="AC1346" i="259"/>
  <c r="AD806" i="275"/>
  <c r="AD114" i="262"/>
  <c r="AD122" i="262"/>
  <c r="AD253" i="262"/>
  <c r="BM35" i="263"/>
  <c r="AE30" i="275"/>
  <c r="AH795" i="259"/>
  <c r="AH12" i="275"/>
  <c r="AH14" i="259"/>
  <c r="AH21" i="259"/>
  <c r="BA104" i="262"/>
  <c r="BA795" i="275"/>
  <c r="BA797" i="259"/>
  <c r="BG23" i="264"/>
  <c r="BE118" i="264"/>
  <c r="BG118" i="264" s="1"/>
  <c r="BG22" i="264"/>
  <c r="BG20" i="264" s="1"/>
  <c r="AC115" i="262"/>
  <c r="AC807" i="275"/>
  <c r="AE919" i="259"/>
  <c r="BE793" i="275"/>
  <c r="BE102" i="262"/>
  <c r="BC1437" i="259"/>
  <c r="BB1438" i="259"/>
  <c r="AF14" i="275"/>
  <c r="AF27" i="259"/>
  <c r="AF26" i="259"/>
  <c r="AF26" i="275" s="1"/>
  <c r="AF30" i="259"/>
  <c r="AF30" i="275" s="1"/>
  <c r="AD804" i="275"/>
  <c r="AD121" i="262"/>
  <c r="AD112" i="262"/>
  <c r="AD807" i="259"/>
  <c r="AD1336" i="259"/>
  <c r="AD319" i="261" s="1"/>
  <c r="BB13" i="275" l="1"/>
  <c r="I32" i="272"/>
  <c r="BB291" i="261"/>
  <c r="BC291" i="261" s="1"/>
  <c r="BC13" i="259" s="1"/>
  <c r="BB24" i="259"/>
  <c r="BB24" i="275" s="1"/>
  <c r="BB796" i="259"/>
  <c r="BB796" i="275" s="1"/>
  <c r="BB12" i="259"/>
  <c r="R29" i="263" s="1"/>
  <c r="AI14" i="259"/>
  <c r="AI14" i="275" s="1"/>
  <c r="AI21" i="259"/>
  <c r="AI21" i="275" s="1"/>
  <c r="AI795" i="259"/>
  <c r="AI795" i="275" s="1"/>
  <c r="K27" i="273"/>
  <c r="J36" i="276"/>
  <c r="BB1439" i="259"/>
  <c r="BB337" i="261" s="1"/>
  <c r="BB19" i="277"/>
  <c r="AE919" i="275"/>
  <c r="AH795" i="275"/>
  <c r="AH104" i="262"/>
  <c r="AH797" i="259"/>
  <c r="AF27" i="275"/>
  <c r="AF1292" i="259"/>
  <c r="BD1437" i="259"/>
  <c r="BC1441" i="259"/>
  <c r="AH21" i="275"/>
  <c r="AH1489" i="259"/>
  <c r="AH22" i="259"/>
  <c r="AF1345" i="259"/>
  <c r="AF797" i="275"/>
  <c r="AF105" i="262"/>
  <c r="AF804" i="259"/>
  <c r="AF1343" i="259"/>
  <c r="AF811" i="259"/>
  <c r="AF1342" i="259"/>
  <c r="AF1483" i="259"/>
  <c r="AF198" i="262" s="1"/>
  <c r="AF806" i="259"/>
  <c r="AF1480" i="259"/>
  <c r="BB1443" i="259"/>
  <c r="BB1442" i="259"/>
  <c r="BB339" i="261" s="1"/>
  <c r="AF22" i="275"/>
  <c r="AF23" i="259"/>
  <c r="AC868" i="275"/>
  <c r="AC174" i="262"/>
  <c r="AC1306" i="259"/>
  <c r="AC1312" i="259" s="1"/>
  <c r="AC1374" i="259"/>
  <c r="AC1360" i="259" s="1"/>
  <c r="AC1371" i="259" s="1"/>
  <c r="AC870" i="259"/>
  <c r="AC866" i="259"/>
  <c r="AG1489" i="259"/>
  <c r="AG21" i="275"/>
  <c r="AG22" i="259"/>
  <c r="BA865" i="275"/>
  <c r="AE1344" i="259"/>
  <c r="AE235" i="262"/>
  <c r="BB1445" i="259"/>
  <c r="BA1345" i="259"/>
  <c r="BA797" i="275"/>
  <c r="BA105" i="262"/>
  <c r="BA804" i="259"/>
  <c r="BA811" i="259"/>
  <c r="BA1343" i="259"/>
  <c r="BA1342" i="259"/>
  <c r="BA806" i="259"/>
  <c r="BA1483" i="259"/>
  <c r="BA198" i="262" s="1"/>
  <c r="BA1480" i="259"/>
  <c r="AH14" i="275"/>
  <c r="AH27" i="259"/>
  <c r="AH30" i="259"/>
  <c r="AH30" i="275" s="1"/>
  <c r="AH26" i="259"/>
  <c r="AH26" i="275" s="1"/>
  <c r="AC240" i="262"/>
  <c r="AC1347" i="259"/>
  <c r="AC1348" i="259" s="1"/>
  <c r="E39" i="272"/>
  <c r="G39" i="272" s="1"/>
  <c r="G37" i="272"/>
  <c r="E41" i="272"/>
  <c r="G41" i="272" s="1"/>
  <c r="E40" i="272"/>
  <c r="G40" i="272" s="1"/>
  <c r="BK23" i="264"/>
  <c r="BI118" i="264"/>
  <c r="BK118" i="264" s="1"/>
  <c r="BK22" i="264"/>
  <c r="BK20" i="264" s="1"/>
  <c r="AC255" i="262"/>
  <c r="AC258" i="262"/>
  <c r="AG795" i="275"/>
  <c r="AG104" i="262"/>
  <c r="AG797" i="259"/>
  <c r="AF919" i="275"/>
  <c r="AD813" i="275"/>
  <c r="AD254" i="262"/>
  <c r="AE813" i="259"/>
  <c r="AE811" i="275"/>
  <c r="AE121" i="262"/>
  <c r="AE804" i="275"/>
  <c r="AE112" i="262"/>
  <c r="AE807" i="259"/>
  <c r="AD115" i="262"/>
  <c r="AD807" i="275"/>
  <c r="BO36" i="263"/>
  <c r="BO35" i="263"/>
  <c r="BO33" i="263" s="1"/>
  <c r="BM22" i="264"/>
  <c r="P36" i="263"/>
  <c r="P35" i="263"/>
  <c r="P33" i="263" s="1"/>
  <c r="N22" i="264"/>
  <c r="AD239" i="262"/>
  <c r="AD1346" i="259"/>
  <c r="BA919" i="259"/>
  <c r="T30" i="263"/>
  <c r="R16" i="264"/>
  <c r="T16" i="264" s="1"/>
  <c r="AE195" i="262"/>
  <c r="AE77" i="259"/>
  <c r="AE77" i="275" s="1"/>
  <c r="AE23" i="275"/>
  <c r="AE31" i="259"/>
  <c r="AE31" i="275" s="1"/>
  <c r="BA23" i="259"/>
  <c r="AD1299" i="259"/>
  <c r="AD1302" i="259"/>
  <c r="AD1303" i="259" s="1"/>
  <c r="AE1291" i="259"/>
  <c r="AE1297" i="259" s="1"/>
  <c r="AD868" i="259"/>
  <c r="AG27" i="259"/>
  <c r="AG14" i="275"/>
  <c r="AG30" i="259"/>
  <c r="AG30" i="275" s="1"/>
  <c r="AG26" i="259"/>
  <c r="AG26" i="275" s="1"/>
  <c r="AF865" i="275"/>
  <c r="AG865" i="259"/>
  <c r="AG919" i="259" s="1"/>
  <c r="AE806" i="275"/>
  <c r="AE114" i="262"/>
  <c r="AE253" i="262"/>
  <c r="AE122" i="262"/>
  <c r="AE236" i="262"/>
  <c r="AE237" i="262"/>
  <c r="AE1336" i="259"/>
  <c r="AE319" i="261" s="1"/>
  <c r="AI104" i="262" l="1"/>
  <c r="BD291" i="261"/>
  <c r="BE291" i="261" s="1"/>
  <c r="BE13" i="259" s="1"/>
  <c r="AI30" i="259"/>
  <c r="AI30" i="275" s="1"/>
  <c r="AI27" i="259"/>
  <c r="AI27" i="275" s="1"/>
  <c r="I31" i="272"/>
  <c r="BB21" i="259"/>
  <c r="BB1489" i="259" s="1"/>
  <c r="J18" i="276" s="1"/>
  <c r="AI1489" i="259"/>
  <c r="AI22" i="259"/>
  <c r="AI22" i="275" s="1"/>
  <c r="AI26" i="259"/>
  <c r="AI26" i="275" s="1"/>
  <c r="AI797" i="259"/>
  <c r="AI105" i="262" s="1"/>
  <c r="BB795" i="259"/>
  <c r="BB797" i="259" s="1"/>
  <c r="BB14" i="259"/>
  <c r="BB26" i="259" s="1"/>
  <c r="BB12" i="275"/>
  <c r="BB290" i="261"/>
  <c r="BC290" i="261" s="1"/>
  <c r="BC12" i="259" s="1"/>
  <c r="AG865" i="275"/>
  <c r="AH865" i="259"/>
  <c r="AE1299" i="259"/>
  <c r="AE1302" i="259"/>
  <c r="AE868" i="259"/>
  <c r="AF1291" i="259"/>
  <c r="AD240" i="262"/>
  <c r="AD1347" i="259"/>
  <c r="AD1348" i="259" s="1"/>
  <c r="AE115" i="262"/>
  <c r="AE807" i="275"/>
  <c r="BA253" i="262"/>
  <c r="BA122" i="262"/>
  <c r="BA806" i="275"/>
  <c r="BA114" i="262"/>
  <c r="BB1336" i="259"/>
  <c r="BB319" i="261" s="1"/>
  <c r="BA813" i="259"/>
  <c r="BA811" i="275"/>
  <c r="AC866" i="275"/>
  <c r="AC920" i="259"/>
  <c r="AF236" i="262"/>
  <c r="AF237" i="262"/>
  <c r="BD1441" i="259"/>
  <c r="BE1437" i="259"/>
  <c r="J11" i="276"/>
  <c r="BB29" i="277"/>
  <c r="BC19" i="277"/>
  <c r="AC1351" i="259"/>
  <c r="AC1352" i="259"/>
  <c r="AC870" i="275"/>
  <c r="AC924" i="259"/>
  <c r="AC872" i="259"/>
  <c r="AD258" i="262"/>
  <c r="AD255" i="262"/>
  <c r="BA195" i="262"/>
  <c r="BA77" i="259"/>
  <c r="BA77" i="275" s="1"/>
  <c r="AG22" i="275"/>
  <c r="AG23" i="259"/>
  <c r="AF112" i="262"/>
  <c r="AF804" i="275"/>
  <c r="AF121" i="262"/>
  <c r="AF807" i="259"/>
  <c r="BA235" i="262"/>
  <c r="BA1344" i="259"/>
  <c r="AE239" i="262"/>
  <c r="AE1346" i="259"/>
  <c r="AC230" i="262"/>
  <c r="AC1392" i="259"/>
  <c r="AC216" i="262"/>
  <c r="AC1383" i="259"/>
  <c r="AF23" i="275"/>
  <c r="AF31" i="259"/>
  <c r="AF31" i="275" s="1"/>
  <c r="AF235" i="262"/>
  <c r="AF1344" i="259"/>
  <c r="BC1369" i="259"/>
  <c r="BC1443" i="259"/>
  <c r="AG919" i="275"/>
  <c r="BO23" i="264"/>
  <c r="BO22" i="264"/>
  <c r="BO20" i="264" s="1"/>
  <c r="BM118" i="264"/>
  <c r="BO118" i="264" s="1"/>
  <c r="AE813" i="275"/>
  <c r="AE254" i="262"/>
  <c r="AF195" i="262"/>
  <c r="AF77" i="259"/>
  <c r="AF77" i="275" s="1"/>
  <c r="BD13" i="259"/>
  <c r="AG27" i="275"/>
  <c r="AG1292" i="259"/>
  <c r="BA919" i="275"/>
  <c r="P23" i="264"/>
  <c r="N118" i="264"/>
  <c r="P118" i="264" s="1"/>
  <c r="P22" i="264"/>
  <c r="P20" i="264" s="1"/>
  <c r="BC13" i="275"/>
  <c r="BC24" i="259"/>
  <c r="BC24" i="275" s="1"/>
  <c r="Z30" i="263"/>
  <c r="BC796" i="259"/>
  <c r="BC796" i="275" s="1"/>
  <c r="V30" i="263"/>
  <c r="AD174" i="262"/>
  <c r="AD868" i="275"/>
  <c r="AD866" i="259"/>
  <c r="AD920" i="259" s="1"/>
  <c r="AD870" i="259"/>
  <c r="AD1374" i="259"/>
  <c r="AD1360" i="259" s="1"/>
  <c r="AD1371" i="259" s="1"/>
  <c r="AD1306" i="259"/>
  <c r="AD1312" i="259" s="1"/>
  <c r="AD1313" i="259" s="1"/>
  <c r="BA23" i="275"/>
  <c r="BA31" i="259"/>
  <c r="BA31" i="275" s="1"/>
  <c r="AA6" i="267"/>
  <c r="T29" i="263"/>
  <c r="R15" i="264"/>
  <c r="T15" i="264" s="1"/>
  <c r="AG804" i="259"/>
  <c r="AG105" i="262"/>
  <c r="AG806" i="259"/>
  <c r="AG1336" i="259" s="1"/>
  <c r="AG319" i="261" s="1"/>
  <c r="AG797" i="275"/>
  <c r="AG1345" i="259"/>
  <c r="AG1343" i="259"/>
  <c r="AG1342" i="259"/>
  <c r="AG811" i="259"/>
  <c r="AG1483" i="259"/>
  <c r="AG198" i="262" s="1"/>
  <c r="AG1480" i="259"/>
  <c r="AH1292" i="259"/>
  <c r="AH27" i="275"/>
  <c r="BA236" i="262"/>
  <c r="BA237" i="262"/>
  <c r="BA121" i="262"/>
  <c r="BA807" i="259"/>
  <c r="BA112" i="262"/>
  <c r="BA804" i="275"/>
  <c r="AC1354" i="259"/>
  <c r="AC211" i="262" s="1"/>
  <c r="AC176" i="262"/>
  <c r="AC1313" i="259"/>
  <c r="AC1315" i="259"/>
  <c r="AC256" i="262" s="1"/>
  <c r="AC1446" i="259"/>
  <c r="AC1447" i="259" s="1"/>
  <c r="AC1451" i="259" s="1"/>
  <c r="AC1353" i="259"/>
  <c r="AC210" i="262" s="1"/>
  <c r="AF122" i="262"/>
  <c r="AF253" i="262"/>
  <c r="AF114" i="262"/>
  <c r="AF806" i="275"/>
  <c r="AF1336" i="259"/>
  <c r="AF319" i="261" s="1"/>
  <c r="AF811" i="275"/>
  <c r="AF813" i="259"/>
  <c r="AH22" i="275"/>
  <c r="AH23" i="259"/>
  <c r="BC1445" i="259"/>
  <c r="AH105" i="262"/>
  <c r="AH797" i="275"/>
  <c r="AH1345" i="259"/>
  <c r="AH804" i="259"/>
  <c r="AH806" i="259"/>
  <c r="AH1342" i="259"/>
  <c r="AH1343" i="259"/>
  <c r="AH811" i="259"/>
  <c r="AH1483" i="259"/>
  <c r="AH198" i="262" s="1"/>
  <c r="AH1480" i="259"/>
  <c r="AI23" i="259" l="1"/>
  <c r="AI23" i="275" s="1"/>
  <c r="BB795" i="275"/>
  <c r="AI1292" i="259"/>
  <c r="BB1292" i="259" s="1"/>
  <c r="BB104" i="262"/>
  <c r="BB22" i="259"/>
  <c r="BB22" i="275" s="1"/>
  <c r="BB21" i="275"/>
  <c r="AI806" i="259"/>
  <c r="AI1336" i="259" s="1"/>
  <c r="AI319" i="261" s="1"/>
  <c r="J20" i="276"/>
  <c r="BD290" i="261"/>
  <c r="BD12" i="259" s="1"/>
  <c r="AI1480" i="259"/>
  <c r="AI77" i="259" s="1"/>
  <c r="AI77" i="275" s="1"/>
  <c r="AI1345" i="259"/>
  <c r="AI1342" i="259"/>
  <c r="AI235" i="262" s="1"/>
  <c r="AI1483" i="259"/>
  <c r="AI198" i="262" s="1"/>
  <c r="AI1343" i="259"/>
  <c r="AI236" i="262" s="1"/>
  <c r="AI797" i="275"/>
  <c r="AI811" i="259"/>
  <c r="AI811" i="275" s="1"/>
  <c r="AI804" i="259"/>
  <c r="AI112" i="262" s="1"/>
  <c r="BB14" i="275"/>
  <c r="I33" i="272"/>
  <c r="K33" i="272" s="1"/>
  <c r="K27" i="272" s="1"/>
  <c r="BB27" i="259"/>
  <c r="BB27" i="275" s="1"/>
  <c r="BB30" i="259"/>
  <c r="I37" i="272" s="1"/>
  <c r="R31" i="263"/>
  <c r="R18" i="264" s="1"/>
  <c r="T18" i="264" s="1"/>
  <c r="AD920" i="275"/>
  <c r="AD922" i="259"/>
  <c r="AH236" i="262"/>
  <c r="AH237" i="262"/>
  <c r="AF813" i="275"/>
  <c r="AF254" i="262"/>
  <c r="AC190" i="262"/>
  <c r="AC1485" i="259"/>
  <c r="AC199" i="262" s="1"/>
  <c r="AC1491" i="259"/>
  <c r="AD1354" i="259"/>
  <c r="AD211" i="262" s="1"/>
  <c r="AD176" i="262"/>
  <c r="AD1353" i="259"/>
  <c r="AD210" i="262" s="1"/>
  <c r="AD1315" i="259"/>
  <c r="AD256" i="262" s="1"/>
  <c r="AD1446" i="259"/>
  <c r="AD1447" i="259" s="1"/>
  <c r="AD1451" i="259" s="1"/>
  <c r="Z16" i="264"/>
  <c r="AB16" i="264" s="1"/>
  <c r="AB30" i="263"/>
  <c r="BE796" i="259"/>
  <c r="BE13" i="275"/>
  <c r="BE24" i="259"/>
  <c r="AC213" i="262"/>
  <c r="AC1397" i="259"/>
  <c r="BA1346" i="259"/>
  <c r="BA239" i="262"/>
  <c r="AC175" i="262"/>
  <c r="AC872" i="275"/>
  <c r="AC859" i="259"/>
  <c r="BE1441" i="259"/>
  <c r="BA813" i="275"/>
  <c r="BA254" i="262"/>
  <c r="BB1291" i="259"/>
  <c r="AF1297" i="259"/>
  <c r="AH865" i="275"/>
  <c r="AI865" i="259"/>
  <c r="AG811" i="275"/>
  <c r="AG813" i="259"/>
  <c r="AA36" i="267"/>
  <c r="AA8" i="267"/>
  <c r="AA17" i="267"/>
  <c r="AA19" i="267" s="1"/>
  <c r="AD1392" i="259"/>
  <c r="AD216" i="262"/>
  <c r="AD230" i="262"/>
  <c r="AD1383" i="259"/>
  <c r="BD13" i="275"/>
  <c r="BD796" i="259"/>
  <c r="BD796" i="275" s="1"/>
  <c r="BD24" i="259"/>
  <c r="BD24" i="275" s="1"/>
  <c r="AF1346" i="259"/>
  <c r="AF239" i="262"/>
  <c r="AC924" i="275"/>
  <c r="AC1494" i="259"/>
  <c r="AC196" i="262" s="1"/>
  <c r="AC926" i="259"/>
  <c r="AC1484" i="259"/>
  <c r="BC29" i="277"/>
  <c r="K11" i="276"/>
  <c r="BD19" i="277"/>
  <c r="BD1369" i="259"/>
  <c r="BD1443" i="259"/>
  <c r="AC920" i="275"/>
  <c r="AC922" i="259"/>
  <c r="AE174" i="262"/>
  <c r="AE868" i="275"/>
  <c r="AE866" i="259"/>
  <c r="AE920" i="259" s="1"/>
  <c r="BA920" i="259" s="1"/>
  <c r="AE1374" i="259"/>
  <c r="AE870" i="259"/>
  <c r="AE924" i="259" s="1"/>
  <c r="AE1306" i="259"/>
  <c r="AH919" i="259"/>
  <c r="AD190" i="262"/>
  <c r="AD1491" i="259"/>
  <c r="AD1485" i="259"/>
  <c r="AD199" i="262" s="1"/>
  <c r="AH253" i="262"/>
  <c r="AH114" i="262"/>
  <c r="AH806" i="275"/>
  <c r="AH122" i="262"/>
  <c r="AC1452" i="259"/>
  <c r="AC1486" i="259" s="1"/>
  <c r="BA807" i="275"/>
  <c r="BA115" i="262"/>
  <c r="AG235" i="262"/>
  <c r="AG1344" i="259"/>
  <c r="AG806" i="275"/>
  <c r="AG114" i="262"/>
  <c r="AG122" i="262"/>
  <c r="AG253" i="262"/>
  <c r="AH1336" i="259"/>
  <c r="AH319" i="261" s="1"/>
  <c r="AG112" i="262"/>
  <c r="AG804" i="275"/>
  <c r="AG807" i="259"/>
  <c r="AG121" i="262"/>
  <c r="BB1345" i="259"/>
  <c r="BB105" i="262"/>
  <c r="BB797" i="275"/>
  <c r="BB804" i="259"/>
  <c r="BB1343" i="259"/>
  <c r="BB1483" i="259"/>
  <c r="BB198" i="262" s="1"/>
  <c r="BB811" i="259"/>
  <c r="BB1342" i="259"/>
  <c r="BB806" i="259"/>
  <c r="BB1480" i="259"/>
  <c r="AD1351" i="259"/>
  <c r="AD870" i="275"/>
  <c r="AD1352" i="259"/>
  <c r="AD872" i="259"/>
  <c r="V16" i="264"/>
  <c r="X16" i="264" s="1"/>
  <c r="X30" i="263"/>
  <c r="AC1407" i="259"/>
  <c r="AC222" i="262" s="1"/>
  <c r="AC1463" i="259"/>
  <c r="AC1465" i="259" s="1"/>
  <c r="AE240" i="262"/>
  <c r="AE1347" i="259"/>
  <c r="AE1348" i="259" s="1"/>
  <c r="AF807" i="275"/>
  <c r="AF115" i="262"/>
  <c r="AG31" i="259"/>
  <c r="AG31" i="275" s="1"/>
  <c r="AG23" i="275"/>
  <c r="AD924" i="259"/>
  <c r="BB26" i="275"/>
  <c r="BB29" i="259"/>
  <c r="BD1445" i="259"/>
  <c r="AI804" i="275"/>
  <c r="AE1303" i="259"/>
  <c r="BA1302" i="259"/>
  <c r="BA1303" i="259" s="1"/>
  <c r="AH235" i="262"/>
  <c r="AH1344" i="259"/>
  <c r="AH195" i="262"/>
  <c r="AH77" i="259"/>
  <c r="AH77" i="275" s="1"/>
  <c r="AH811" i="275"/>
  <c r="AH813" i="259"/>
  <c r="AH804" i="275"/>
  <c r="AH112" i="262"/>
  <c r="AH121" i="262"/>
  <c r="AH807" i="259"/>
  <c r="AH23" i="275"/>
  <c r="AH31" i="259"/>
  <c r="AH31" i="275" s="1"/>
  <c r="AG195" i="262"/>
  <c r="AG77" i="259"/>
  <c r="AG77" i="275" s="1"/>
  <c r="AG236" i="262"/>
  <c r="AG237" i="262"/>
  <c r="AD866" i="275"/>
  <c r="BC12" i="275"/>
  <c r="BC795" i="259"/>
  <c r="Z29" i="263"/>
  <c r="V29" i="263"/>
  <c r="BC14" i="259"/>
  <c r="BC21" i="259"/>
  <c r="AI121" i="262" l="1"/>
  <c r="AI807" i="259"/>
  <c r="AI115" i="262" s="1"/>
  <c r="AI31" i="259"/>
  <c r="AI31" i="275" s="1"/>
  <c r="AI195" i="262"/>
  <c r="BB23" i="259"/>
  <c r="BB31" i="259" s="1"/>
  <c r="BB31" i="275" s="1"/>
  <c r="K35" i="272"/>
  <c r="AI122" i="262"/>
  <c r="AI253" i="262"/>
  <c r="AI806" i="275"/>
  <c r="AI114" i="262"/>
  <c r="AI1344" i="259"/>
  <c r="AI1346" i="259" s="1"/>
  <c r="T31" i="263"/>
  <c r="AI237" i="262"/>
  <c r="BB30" i="275"/>
  <c r="BE290" i="261"/>
  <c r="BE12" i="259" s="1"/>
  <c r="BE14" i="259" s="1"/>
  <c r="J23" i="276"/>
  <c r="R35" i="263"/>
  <c r="R22" i="264" s="1"/>
  <c r="J22" i="276"/>
  <c r="AI813" i="259"/>
  <c r="AI813" i="275" s="1"/>
  <c r="BB1297" i="259"/>
  <c r="BC1291" i="259" s="1"/>
  <c r="BA920" i="275"/>
  <c r="BA922" i="259"/>
  <c r="BC21" i="275"/>
  <c r="BC1489" i="259"/>
  <c r="K18" i="276" s="1"/>
  <c r="BC22" i="259"/>
  <c r="AE258" i="262"/>
  <c r="AE255" i="262"/>
  <c r="AD1494" i="259"/>
  <c r="AD196" i="262" s="1"/>
  <c r="AD924" i="275"/>
  <c r="AD926" i="259"/>
  <c r="AD1484" i="259"/>
  <c r="AC1468" i="259"/>
  <c r="AC226" i="262" s="1"/>
  <c r="AC1384" i="259"/>
  <c r="AD872" i="275"/>
  <c r="AD175" i="262"/>
  <c r="AD859" i="259"/>
  <c r="BB235" i="262"/>
  <c r="BB1344" i="259"/>
  <c r="BB236" i="262"/>
  <c r="BB237" i="262"/>
  <c r="AH919" i="275"/>
  <c r="AE866" i="275"/>
  <c r="BA866" i="259"/>
  <c r="AA13" i="267"/>
  <c r="AA9" i="267"/>
  <c r="AA43" i="267"/>
  <c r="AA45" i="267" s="1"/>
  <c r="AA40" i="267"/>
  <c r="AI865" i="275"/>
  <c r="BB865" i="259"/>
  <c r="BE796" i="275"/>
  <c r="BC795" i="275"/>
  <c r="BC104" i="262"/>
  <c r="BC797" i="259"/>
  <c r="AE920" i="275"/>
  <c r="AE922" i="259"/>
  <c r="AH115" i="262"/>
  <c r="AH807" i="275"/>
  <c r="AE924" i="275"/>
  <c r="AE1494" i="259"/>
  <c r="AE196" i="262" s="1"/>
  <c r="AE926" i="259"/>
  <c r="AE1484" i="259"/>
  <c r="BB195" i="262"/>
  <c r="BB77" i="259"/>
  <c r="BB77" i="275" s="1"/>
  <c r="BB813" i="259"/>
  <c r="BB811" i="275"/>
  <c r="BB112" i="262"/>
  <c r="BB804" i="275"/>
  <c r="BB121" i="262"/>
  <c r="BB807" i="259"/>
  <c r="AG115" i="262"/>
  <c r="AG807" i="275"/>
  <c r="AG1346" i="259"/>
  <c r="AG239" i="262"/>
  <c r="AE1312" i="259"/>
  <c r="BA1306" i="259"/>
  <c r="BA1312" i="259" s="1"/>
  <c r="AI919" i="259"/>
  <c r="BE1369" i="259"/>
  <c r="BE1443" i="259"/>
  <c r="AD1452" i="259"/>
  <c r="AD1482" i="259" s="1"/>
  <c r="BC14" i="275"/>
  <c r="K20" i="276"/>
  <c r="BC27" i="259"/>
  <c r="V31" i="263"/>
  <c r="Z31" i="263"/>
  <c r="BC30" i="259"/>
  <c r="BC26" i="259"/>
  <c r="BC26" i="275" s="1"/>
  <c r="X29" i="263"/>
  <c r="V15" i="264"/>
  <c r="X15" i="264" s="1"/>
  <c r="AH813" i="275"/>
  <c r="AH254" i="262"/>
  <c r="AH1346" i="259"/>
  <c r="AH239" i="262"/>
  <c r="Z15" i="264"/>
  <c r="AB15" i="264" s="1"/>
  <c r="AB29" i="263"/>
  <c r="AE1352" i="259"/>
  <c r="AE1351" i="259"/>
  <c r="AE870" i="275"/>
  <c r="AE872" i="259"/>
  <c r="BE19" i="277"/>
  <c r="BE29" i="277" s="1"/>
  <c r="BD29" i="277"/>
  <c r="K37" i="272"/>
  <c r="I40" i="272"/>
  <c r="K40" i="272" s="1"/>
  <c r="I39" i="272"/>
  <c r="K39" i="272" s="1"/>
  <c r="I41" i="272"/>
  <c r="K41" i="272" s="1"/>
  <c r="AD213" i="262"/>
  <c r="AD1397" i="259"/>
  <c r="AG254" i="262"/>
  <c r="AG813" i="275"/>
  <c r="BE1445" i="259"/>
  <c r="BE24" i="275"/>
  <c r="BD795" i="259"/>
  <c r="BD12" i="275"/>
  <c r="BD14" i="259"/>
  <c r="BD21" i="259"/>
  <c r="AD191" i="262"/>
  <c r="AD189" i="262"/>
  <c r="AD922" i="275"/>
  <c r="AD1481" i="259"/>
  <c r="AD197" i="262" s="1"/>
  <c r="AD1490" i="259"/>
  <c r="BA258" i="262"/>
  <c r="BA255" i="262"/>
  <c r="BB806" i="275"/>
  <c r="BB114" i="262"/>
  <c r="BB253" i="262"/>
  <c r="BB122" i="262"/>
  <c r="BC1336" i="259"/>
  <c r="BC319" i="261" s="1"/>
  <c r="BA1374" i="259"/>
  <c r="AE1360" i="259"/>
  <c r="AC191" i="262"/>
  <c r="AC922" i="275"/>
  <c r="AC189" i="262"/>
  <c r="AC1481" i="259"/>
  <c r="AC197" i="262" s="1"/>
  <c r="AC1482" i="259"/>
  <c r="AC1490" i="259"/>
  <c r="AC926" i="275"/>
  <c r="AC913" i="259"/>
  <c r="AF240" i="262"/>
  <c r="AF1347" i="259"/>
  <c r="AF1348" i="259" s="1"/>
  <c r="AD1407" i="259"/>
  <c r="AD222" i="262" s="1"/>
  <c r="AD1463" i="259"/>
  <c r="AD1465" i="259" s="1"/>
  <c r="AA26" i="267"/>
  <c r="AA28" i="267" s="1"/>
  <c r="AA30" i="267" s="1"/>
  <c r="AA32" i="267" s="1"/>
  <c r="AB16" i="267"/>
  <c r="AF1302" i="259"/>
  <c r="AF1303" i="259" s="1"/>
  <c r="AF1299" i="259"/>
  <c r="AF868" i="259"/>
  <c r="AG1291" i="259"/>
  <c r="AG1297" i="259" s="1"/>
  <c r="AC172" i="262"/>
  <c r="AC859" i="275"/>
  <c r="AC858" i="259"/>
  <c r="AC858" i="275" s="1"/>
  <c r="BA1347" i="259"/>
  <c r="BA1348" i="259" s="1"/>
  <c r="BA240" i="262"/>
  <c r="AC1492" i="259"/>
  <c r="BB23" i="275" l="1"/>
  <c r="AI807" i="275"/>
  <c r="BB1299" i="259"/>
  <c r="T36" i="263"/>
  <c r="AB6" i="267"/>
  <c r="AB8" i="267" s="1"/>
  <c r="AB9" i="267" s="1"/>
  <c r="AI239" i="262"/>
  <c r="AI254" i="262"/>
  <c r="BE12" i="275"/>
  <c r="BE795" i="259"/>
  <c r="BE795" i="275" s="1"/>
  <c r="T35" i="263"/>
  <c r="T33" i="263" s="1"/>
  <c r="BE21" i="259"/>
  <c r="BE21" i="275" s="1"/>
  <c r="AG1299" i="259"/>
  <c r="AG1302" i="259"/>
  <c r="AG1303" i="259" s="1"/>
  <c r="AG868" i="259"/>
  <c r="AH1291" i="259"/>
  <c r="AH1297" i="259" s="1"/>
  <c r="BD1489" i="259"/>
  <c r="BD21" i="275"/>
  <c r="BD22" i="259"/>
  <c r="AE872" i="275"/>
  <c r="AE175" i="262"/>
  <c r="AE859" i="259"/>
  <c r="K22" i="276"/>
  <c r="BC30" i="275"/>
  <c r="K23" i="276"/>
  <c r="Z35" i="263"/>
  <c r="V35" i="263"/>
  <c r="BB115" i="262"/>
  <c r="BB807" i="275"/>
  <c r="AE922" i="275"/>
  <c r="AE189" i="262"/>
  <c r="AE191" i="262"/>
  <c r="AE1481" i="259"/>
  <c r="AE197" i="262" s="1"/>
  <c r="AE1490" i="259"/>
  <c r="BB865" i="275"/>
  <c r="BC865" i="259"/>
  <c r="BC919" i="259" s="1"/>
  <c r="AD859" i="275"/>
  <c r="AD172" i="262"/>
  <c r="AD858" i="259"/>
  <c r="AD858" i="275" s="1"/>
  <c r="AE1371" i="259"/>
  <c r="BA1360" i="259"/>
  <c r="BA1371" i="259" s="1"/>
  <c r="BD14" i="275"/>
  <c r="BD27" i="259"/>
  <c r="BD26" i="259"/>
  <c r="BD26" i="275" s="1"/>
  <c r="BD30" i="259"/>
  <c r="BD30" i="275" s="1"/>
  <c r="AB31" i="263"/>
  <c r="Z18" i="264"/>
  <c r="AB18" i="264" s="1"/>
  <c r="AI919" i="275"/>
  <c r="BA176" i="262"/>
  <c r="BA1354" i="259"/>
  <c r="BA211" i="262" s="1"/>
  <c r="BA20" i="277"/>
  <c r="BA1315" i="259"/>
  <c r="BA256" i="262" s="1"/>
  <c r="BA1446" i="259"/>
  <c r="BA1447" i="259" s="1"/>
  <c r="BA1353" i="259"/>
  <c r="BA210" i="262" s="1"/>
  <c r="AG1347" i="259"/>
  <c r="AG1348" i="259" s="1"/>
  <c r="AG240" i="262"/>
  <c r="BB254" i="262"/>
  <c r="BB813" i="275"/>
  <c r="AE926" i="275"/>
  <c r="AE913" i="259"/>
  <c r="BB919" i="259"/>
  <c r="AB39" i="267"/>
  <c r="AB35" i="267" s="1"/>
  <c r="AF868" i="275"/>
  <c r="AF174" i="262"/>
  <c r="AF866" i="259"/>
  <c r="AF1374" i="259"/>
  <c r="AF1360" i="259" s="1"/>
  <c r="AF1371" i="259" s="1"/>
  <c r="AF1306" i="259"/>
  <c r="AF1312" i="259" s="1"/>
  <c r="AF870" i="259"/>
  <c r="AD1468" i="259"/>
  <c r="AD226" i="262" s="1"/>
  <c r="AD1384" i="259"/>
  <c r="AI1347" i="259"/>
  <c r="AI1348" i="259" s="1"/>
  <c r="AI240" i="262"/>
  <c r="AH1347" i="259"/>
  <c r="AH1348" i="259" s="1"/>
  <c r="AH240" i="262"/>
  <c r="X31" i="263"/>
  <c r="V18" i="264"/>
  <c r="X18" i="264" s="1"/>
  <c r="AD1492" i="259"/>
  <c r="AD1486" i="259"/>
  <c r="AE1353" i="259"/>
  <c r="AE210" i="262" s="1"/>
  <c r="AE176" i="262"/>
  <c r="AE1354" i="259"/>
  <c r="AE211" i="262" s="1"/>
  <c r="AE1315" i="259"/>
  <c r="AE256" i="262" s="1"/>
  <c r="AE1446" i="259"/>
  <c r="AE1447" i="259" s="1"/>
  <c r="AE1451" i="259" s="1"/>
  <c r="AE1313" i="259"/>
  <c r="BC1345" i="259"/>
  <c r="BC797" i="275"/>
  <c r="BC105" i="262"/>
  <c r="BC804" i="259"/>
  <c r="BC1343" i="259"/>
  <c r="BC1342" i="259"/>
  <c r="BC811" i="259"/>
  <c r="BC806" i="259"/>
  <c r="BC1483" i="259"/>
  <c r="BC198" i="262" s="1"/>
  <c r="BC1480" i="259"/>
  <c r="AA41" i="267"/>
  <c r="BA866" i="275"/>
  <c r="BA868" i="259"/>
  <c r="BB1346" i="259"/>
  <c r="BB239" i="262"/>
  <c r="AD926" i="275"/>
  <c r="AD913" i="259"/>
  <c r="BA189" i="262"/>
  <c r="BA922" i="275"/>
  <c r="BA191" i="262"/>
  <c r="BA1490" i="259"/>
  <c r="BA1481" i="259"/>
  <c r="BA197" i="262" s="1"/>
  <c r="BA1482" i="259"/>
  <c r="AF258" i="262"/>
  <c r="AF255" i="262"/>
  <c r="AC913" i="275"/>
  <c r="AC912" i="259"/>
  <c r="BD104" i="262"/>
  <c r="BD795" i="275"/>
  <c r="BD797" i="259"/>
  <c r="BC1292" i="259"/>
  <c r="BC1297" i="259" s="1"/>
  <c r="BC27" i="275"/>
  <c r="BE14" i="275"/>
  <c r="BE27" i="259"/>
  <c r="BE26" i="259"/>
  <c r="BE30" i="259"/>
  <c r="T23" i="264"/>
  <c r="T22" i="264"/>
  <c r="T20" i="264" s="1"/>
  <c r="AC1408" i="259"/>
  <c r="AC217" i="262"/>
  <c r="AC1596" i="259"/>
  <c r="AC1393" i="259"/>
  <c r="AC1386" i="259"/>
  <c r="BC22" i="275"/>
  <c r="BC23" i="259"/>
  <c r="AB13" i="267" l="1"/>
  <c r="AB17" i="267"/>
  <c r="AB19" i="267" s="1"/>
  <c r="AB26" i="267" s="1"/>
  <c r="AB28" i="267" s="1"/>
  <c r="AB30" i="267" s="1"/>
  <c r="AB32" i="267" s="1"/>
  <c r="AB36" i="267"/>
  <c r="BE104" i="262"/>
  <c r="BE1489" i="259"/>
  <c r="BE797" i="259"/>
  <c r="BE105" i="262" s="1"/>
  <c r="BE22" i="259"/>
  <c r="BE22" i="275" s="1"/>
  <c r="BE30" i="275"/>
  <c r="BE26" i="275"/>
  <c r="AB40" i="267"/>
  <c r="AB41" i="267" s="1"/>
  <c r="AB43" i="267"/>
  <c r="AB45" i="267" s="1"/>
  <c r="BC1299" i="259"/>
  <c r="BC1302" i="259"/>
  <c r="BC1303" i="259" s="1"/>
  <c r="BC868" i="259"/>
  <c r="BD1291" i="259"/>
  <c r="BC23" i="275"/>
  <c r="BC31" i="259"/>
  <c r="BC31" i="275" s="1"/>
  <c r="AC6" i="267"/>
  <c r="BC806" i="275"/>
  <c r="BC122" i="262"/>
  <c r="BC114" i="262"/>
  <c r="BC253" i="262"/>
  <c r="BD1336" i="259"/>
  <c r="BD319" i="261" s="1"/>
  <c r="BC1344" i="259"/>
  <c r="BC235" i="262"/>
  <c r="AF176" i="262"/>
  <c r="AF1354" i="259"/>
  <c r="AF211" i="262" s="1"/>
  <c r="AF1315" i="259"/>
  <c r="AF256" i="262" s="1"/>
  <c r="AF1446" i="259"/>
  <c r="AF1447" i="259" s="1"/>
  <c r="AF1451" i="259" s="1"/>
  <c r="AF1353" i="259"/>
  <c r="AF210" i="262" s="1"/>
  <c r="AE912" i="259"/>
  <c r="AE913" i="275"/>
  <c r="AH1299" i="259"/>
  <c r="AH1302" i="259"/>
  <c r="AH1303" i="259" s="1"/>
  <c r="AH868" i="259"/>
  <c r="AI1291" i="259"/>
  <c r="AI1297" i="259" s="1"/>
  <c r="AC274" i="261"/>
  <c r="AC192" i="262"/>
  <c r="AC912" i="275"/>
  <c r="BC813" i="259"/>
  <c r="BC811" i="275"/>
  <c r="BC237" i="262"/>
  <c r="BC236" i="262"/>
  <c r="AE190" i="262"/>
  <c r="AE1491" i="259"/>
  <c r="AE1485" i="259"/>
  <c r="AE199" i="262" s="1"/>
  <c r="BA1313" i="259"/>
  <c r="AD1596" i="259"/>
  <c r="AD1393" i="259"/>
  <c r="AD1408" i="259"/>
  <c r="AD217" i="262"/>
  <c r="AD1386" i="259"/>
  <c r="AF216" i="262"/>
  <c r="AF1392" i="259"/>
  <c r="AF230" i="262"/>
  <c r="AF1383" i="259"/>
  <c r="BA230" i="262"/>
  <c r="BA216" i="262"/>
  <c r="BA1392" i="259"/>
  <c r="BC919" i="275"/>
  <c r="X36" i="263"/>
  <c r="X35" i="263"/>
  <c r="X33" i="263" s="1"/>
  <c r="V22" i="264"/>
  <c r="BD22" i="275"/>
  <c r="BD23" i="259"/>
  <c r="AG174" i="262"/>
  <c r="AG868" i="275"/>
  <c r="AG870" i="259"/>
  <c r="AG924" i="259" s="1"/>
  <c r="AG866" i="259"/>
  <c r="AG920" i="259" s="1"/>
  <c r="AG1306" i="259"/>
  <c r="AG1312" i="259" s="1"/>
  <c r="AG1374" i="259"/>
  <c r="AG1360" i="259" s="1"/>
  <c r="AG1371" i="259" s="1"/>
  <c r="BE27" i="275"/>
  <c r="BE1292" i="259"/>
  <c r="BD797" i="275"/>
  <c r="BD105" i="262"/>
  <c r="BD1345" i="259"/>
  <c r="BD804" i="259"/>
  <c r="BD1343" i="259"/>
  <c r="BD1342" i="259"/>
  <c r="BD806" i="259"/>
  <c r="BD811" i="259"/>
  <c r="BD1480" i="259"/>
  <c r="BD1483" i="259"/>
  <c r="BD198" i="262" s="1"/>
  <c r="BB1347" i="259"/>
  <c r="BB1348" i="259" s="1"/>
  <c r="BB240" i="262"/>
  <c r="BC195" i="262"/>
  <c r="BC77" i="259"/>
  <c r="BC77" i="275" s="1"/>
  <c r="BC804" i="275"/>
  <c r="BC121" i="262"/>
  <c r="BC807" i="259"/>
  <c r="BC112" i="262"/>
  <c r="AE1452" i="259"/>
  <c r="BA1451" i="259"/>
  <c r="AF866" i="275"/>
  <c r="AF920" i="259"/>
  <c r="I10" i="276"/>
  <c r="BA30" i="277"/>
  <c r="AE1392" i="259"/>
  <c r="AE230" i="262"/>
  <c r="AE216" i="262"/>
  <c r="AE1383" i="259"/>
  <c r="BD865" i="259"/>
  <c r="BD919" i="259" s="1"/>
  <c r="BC865" i="275"/>
  <c r="AB36" i="263"/>
  <c r="AB35" i="263"/>
  <c r="AB33" i="263" s="1"/>
  <c r="Z22" i="264"/>
  <c r="AE172" i="262"/>
  <c r="AE859" i="275"/>
  <c r="BA859" i="259"/>
  <c r="AE858" i="259"/>
  <c r="AG255" i="262"/>
  <c r="AG258" i="262"/>
  <c r="AC1394" i="259"/>
  <c r="AC1399" i="259" s="1"/>
  <c r="AC1387" i="259"/>
  <c r="AC214" i="262"/>
  <c r="AC1398" i="259"/>
  <c r="AD912" i="259"/>
  <c r="AD913" i="275"/>
  <c r="BA868" i="275"/>
  <c r="BA174" i="262"/>
  <c r="BA870" i="259"/>
  <c r="AF1313" i="259"/>
  <c r="AF1352" i="259"/>
  <c r="AF870" i="275"/>
  <c r="AF1351" i="259"/>
  <c r="AF872" i="259"/>
  <c r="AF924" i="259"/>
  <c r="BB919" i="275"/>
  <c r="BD1292" i="259"/>
  <c r="BD27" i="275"/>
  <c r="AC16" i="267" l="1"/>
  <c r="AC39" i="267" s="1"/>
  <c r="AC35" i="267" s="1"/>
  <c r="AC36" i="267" s="1"/>
  <c r="BE797" i="275"/>
  <c r="BE1483" i="259"/>
  <c r="BE198" i="262" s="1"/>
  <c r="BE1345" i="259"/>
  <c r="BE811" i="259"/>
  <c r="BE811" i="275" s="1"/>
  <c r="BE1343" i="259"/>
  <c r="BE1342" i="259"/>
  <c r="BE235" i="262" s="1"/>
  <c r="BE804" i="259"/>
  <c r="BE804" i="275" s="1"/>
  <c r="BE1480" i="259"/>
  <c r="BE77" i="259" s="1"/>
  <c r="BE806" i="259"/>
  <c r="BE122" i="262" s="1"/>
  <c r="BE23" i="259"/>
  <c r="BE31" i="259" s="1"/>
  <c r="BD919" i="275"/>
  <c r="BD235" i="262"/>
  <c r="BD1344" i="259"/>
  <c r="BD112" i="262"/>
  <c r="BD804" i="275"/>
  <c r="BD807" i="259"/>
  <c r="BD121" i="262"/>
  <c r="AG1392" i="259"/>
  <c r="AG216" i="262"/>
  <c r="AG230" i="262"/>
  <c r="AG1383" i="259"/>
  <c r="BA213" i="262"/>
  <c r="J16" i="273"/>
  <c r="BA1397" i="259"/>
  <c r="I33" i="276"/>
  <c r="AD214" i="262"/>
  <c r="AD1398" i="259"/>
  <c r="AH255" i="262"/>
  <c r="AH258" i="262"/>
  <c r="BC174" i="262"/>
  <c r="BC870" i="259"/>
  <c r="BC866" i="259"/>
  <c r="BC1374" i="259"/>
  <c r="BC1360" i="259" s="1"/>
  <c r="BC1371" i="259" s="1"/>
  <c r="BC1306" i="259"/>
  <c r="BC1312" i="259" s="1"/>
  <c r="AD274" i="261"/>
  <c r="AD912" i="275"/>
  <c r="AD192" i="262"/>
  <c r="BA172" i="262"/>
  <c r="BA859" i="275"/>
  <c r="BA872" i="259"/>
  <c r="AE1397" i="259"/>
  <c r="AE213" i="262"/>
  <c r="AF920" i="275"/>
  <c r="AF922" i="259"/>
  <c r="AE1482" i="259"/>
  <c r="BA1452" i="259"/>
  <c r="BA1492" i="259" s="1"/>
  <c r="BD195" i="262"/>
  <c r="BD77" i="259"/>
  <c r="BD77" i="275" s="1"/>
  <c r="AG176" i="262"/>
  <c r="AG1354" i="259"/>
  <c r="AG211" i="262" s="1"/>
  <c r="AG1353" i="259"/>
  <c r="AG210" i="262" s="1"/>
  <c r="AG1446" i="259"/>
  <c r="AG1447" i="259" s="1"/>
  <c r="AG1451" i="259" s="1"/>
  <c r="AG1315" i="259"/>
  <c r="AG256" i="262" s="1"/>
  <c r="AF1407" i="259"/>
  <c r="AF222" i="262" s="1"/>
  <c r="AF1463" i="259"/>
  <c r="AF1465" i="259" s="1"/>
  <c r="AD1387" i="259"/>
  <c r="AD1394" i="259"/>
  <c r="AD1399" i="259" s="1"/>
  <c r="AE1486" i="259"/>
  <c r="AF1452" i="259"/>
  <c r="AF1486" i="259" s="1"/>
  <c r="BC258" i="262"/>
  <c r="BC255" i="262"/>
  <c r="BD865" i="275"/>
  <c r="BE865" i="259"/>
  <c r="BE865" i="275" s="1"/>
  <c r="AF926" i="259"/>
  <c r="AF924" i="275"/>
  <c r="AF1494" i="259"/>
  <c r="AF196" i="262" s="1"/>
  <c r="AF1484" i="259"/>
  <c r="AF872" i="275"/>
  <c r="AF175" i="262"/>
  <c r="AF859" i="259"/>
  <c r="AE1407" i="259"/>
  <c r="AE222" i="262" s="1"/>
  <c r="AE1463" i="259"/>
  <c r="BA1383" i="259"/>
  <c r="BA1407" i="259" s="1"/>
  <c r="BD811" i="275"/>
  <c r="BD813" i="259"/>
  <c r="BD236" i="262"/>
  <c r="BD237" i="262"/>
  <c r="AG866" i="275"/>
  <c r="BA190" i="262"/>
  <c r="BA1491" i="259"/>
  <c r="BA1485" i="259"/>
  <c r="BA199" i="262" s="1"/>
  <c r="AI1299" i="259"/>
  <c r="AI1302" i="259"/>
  <c r="AI868" i="259"/>
  <c r="AG1313" i="259"/>
  <c r="BC239" i="262"/>
  <c r="BC1346" i="259"/>
  <c r="BA1352" i="259"/>
  <c r="BA870" i="275"/>
  <c r="BA1351" i="259"/>
  <c r="BA924" i="259"/>
  <c r="AG1494" i="259"/>
  <c r="AG196" i="262" s="1"/>
  <c r="AG924" i="275"/>
  <c r="AG926" i="259"/>
  <c r="AG1484" i="259"/>
  <c r="AF190" i="262"/>
  <c r="AF1491" i="259"/>
  <c r="AF1485" i="259"/>
  <c r="AF199" i="262" s="1"/>
  <c r="AE858" i="275"/>
  <c r="BA858" i="259"/>
  <c r="BA858" i="275" s="1"/>
  <c r="AB23" i="264"/>
  <c r="AB22" i="264"/>
  <c r="AB20" i="264" s="1"/>
  <c r="AG920" i="275"/>
  <c r="AG922" i="259"/>
  <c r="BC807" i="275"/>
  <c r="BC115" i="262"/>
  <c r="BD253" i="262"/>
  <c r="BD806" i="275"/>
  <c r="BD122" i="262"/>
  <c r="BD114" i="262"/>
  <c r="BE1336" i="259"/>
  <c r="BE319" i="261" s="1"/>
  <c r="AG1352" i="259"/>
  <c r="AG870" i="275"/>
  <c r="AG1351" i="259"/>
  <c r="AG872" i="259"/>
  <c r="AD6" i="267"/>
  <c r="BD31" i="259"/>
  <c r="BD31" i="275" s="1"/>
  <c r="BD23" i="275"/>
  <c r="X23" i="264"/>
  <c r="X22" i="264"/>
  <c r="X20" i="264" s="1"/>
  <c r="AF1397" i="259"/>
  <c r="AF213" i="262"/>
  <c r="AE1492" i="259"/>
  <c r="BC254" i="262"/>
  <c r="BC813" i="275"/>
  <c r="AH174" i="262"/>
  <c r="AH868" i="275"/>
  <c r="AH870" i="259"/>
  <c r="AH924" i="259" s="1"/>
  <c r="AH866" i="259"/>
  <c r="AH1306" i="259"/>
  <c r="AH1312" i="259" s="1"/>
  <c r="AH1313" i="259" s="1"/>
  <c r="AH1374" i="259"/>
  <c r="AH1360" i="259" s="1"/>
  <c r="AH1371" i="259" s="1"/>
  <c r="AE912" i="275"/>
  <c r="AE274" i="261"/>
  <c r="AE192" i="262"/>
  <c r="AC17" i="267"/>
  <c r="AC8" i="267"/>
  <c r="BD1297" i="259"/>
  <c r="AC19" i="267" l="1"/>
  <c r="AC26" i="267" s="1"/>
  <c r="AC28" i="267" s="1"/>
  <c r="AC30" i="267" s="1"/>
  <c r="AC32" i="267" s="1"/>
  <c r="AE6" i="267"/>
  <c r="AE17" i="267" s="1"/>
  <c r="BE112" i="262"/>
  <c r="BE807" i="259"/>
  <c r="BE115" i="262" s="1"/>
  <c r="BE195" i="262"/>
  <c r="BE1344" i="259"/>
  <c r="BE239" i="262" s="1"/>
  <c r="BE121" i="262"/>
  <c r="BE236" i="262"/>
  <c r="BE237" i="262"/>
  <c r="BE114" i="262"/>
  <c r="BE253" i="262"/>
  <c r="BE806" i="275"/>
  <c r="BE813" i="259"/>
  <c r="BE254" i="262" s="1"/>
  <c r="BE23" i="275"/>
  <c r="BE77" i="275"/>
  <c r="AF1492" i="259"/>
  <c r="BA1486" i="259"/>
  <c r="BE919" i="259"/>
  <c r="BE919" i="275" s="1"/>
  <c r="AH924" i="275"/>
  <c r="AH926" i="259"/>
  <c r="AH1494" i="259"/>
  <c r="AH196" i="262" s="1"/>
  <c r="AH1484" i="259"/>
  <c r="AH190" i="262"/>
  <c r="AH1491" i="259"/>
  <c r="AH1485" i="259"/>
  <c r="AH199" i="262" s="1"/>
  <c r="BE1346" i="259"/>
  <c r="AH866" i="275"/>
  <c r="AG872" i="275"/>
  <c r="AG175" i="262"/>
  <c r="AG859" i="259"/>
  <c r="AG922" i="275"/>
  <c r="AG191" i="262"/>
  <c r="AG189" i="262"/>
  <c r="AG1490" i="259"/>
  <c r="AG1481" i="259"/>
  <c r="AG197" i="262" s="1"/>
  <c r="BA924" i="275"/>
  <c r="BA926" i="259"/>
  <c r="BA1494" i="259"/>
  <c r="BA196" i="262" s="1"/>
  <c r="BA1484" i="259"/>
  <c r="AI174" i="262"/>
  <c r="AI868" i="275"/>
  <c r="AI866" i="259"/>
  <c r="AI870" i="259"/>
  <c r="AI924" i="259" s="1"/>
  <c r="AI1374" i="259"/>
  <c r="AI1306" i="259"/>
  <c r="AH920" i="259"/>
  <c r="BD813" i="275"/>
  <c r="BD254" i="262"/>
  <c r="AF1468" i="259"/>
  <c r="AF226" i="262" s="1"/>
  <c r="AF1384" i="259"/>
  <c r="AF189" i="262"/>
  <c r="AF922" i="275"/>
  <c r="AF191" i="262"/>
  <c r="AF1482" i="259"/>
  <c r="AF1490" i="259"/>
  <c r="AF1481" i="259"/>
  <c r="AF197" i="262" s="1"/>
  <c r="BA175" i="262"/>
  <c r="BA872" i="275"/>
  <c r="AG1463" i="259"/>
  <c r="AG1465" i="259" s="1"/>
  <c r="AG1407" i="259"/>
  <c r="AG222" i="262" s="1"/>
  <c r="BD239" i="262"/>
  <c r="BD1346" i="259"/>
  <c r="BD1299" i="259"/>
  <c r="BD1302" i="259"/>
  <c r="BD1303" i="259" s="1"/>
  <c r="BE1291" i="259"/>
  <c r="BE1297" i="259" s="1"/>
  <c r="BD868" i="259"/>
  <c r="AG913" i="259"/>
  <c r="AG926" i="275"/>
  <c r="BC1347" i="259"/>
  <c r="BC1348" i="259" s="1"/>
  <c r="BC240" i="262"/>
  <c r="AI1303" i="259"/>
  <c r="BB1302" i="259"/>
  <c r="BB1303" i="259" s="1"/>
  <c r="J6" i="273"/>
  <c r="BA42" i="277"/>
  <c r="I7" i="276"/>
  <c r="AF859" i="275"/>
  <c r="AF172" i="262"/>
  <c r="AF858" i="259"/>
  <c r="AF858" i="275" s="1"/>
  <c r="BE31" i="275"/>
  <c r="BC1352" i="259"/>
  <c r="BC1351" i="259"/>
  <c r="BC872" i="259"/>
  <c r="BD807" i="275"/>
  <c r="BD115" i="262"/>
  <c r="AH230" i="262"/>
  <c r="AH216" i="262"/>
  <c r="AH1392" i="259"/>
  <c r="AH1383" i="259"/>
  <c r="BA43" i="277"/>
  <c r="I8" i="276"/>
  <c r="J8" i="273"/>
  <c r="BA222" i="262"/>
  <c r="BA32" i="277"/>
  <c r="BA18" i="277" s="1"/>
  <c r="BC176" i="262"/>
  <c r="BC20" i="277"/>
  <c r="BC1354" i="259"/>
  <c r="BC211" i="262" s="1"/>
  <c r="BC1315" i="259"/>
  <c r="BC256" i="262" s="1"/>
  <c r="BC1353" i="259"/>
  <c r="BC210" i="262" s="1"/>
  <c r="BC1446" i="259"/>
  <c r="BC1447" i="259" s="1"/>
  <c r="AH1351" i="259"/>
  <c r="AH870" i="275"/>
  <c r="AH1352" i="259"/>
  <c r="AH872" i="259"/>
  <c r="AC9" i="267"/>
  <c r="AC13" i="267"/>
  <c r="AC40" i="267"/>
  <c r="AC43" i="267"/>
  <c r="AC45" i="267" s="1"/>
  <c r="AH176" i="262"/>
  <c r="AH1353" i="259"/>
  <c r="AH210" i="262" s="1"/>
  <c r="AH1315" i="259"/>
  <c r="AH256" i="262" s="1"/>
  <c r="AH1446" i="259"/>
  <c r="AH1447" i="259" s="1"/>
  <c r="AH1451" i="259" s="1"/>
  <c r="AH1354" i="259"/>
  <c r="AH211" i="262" s="1"/>
  <c r="AD17" i="267"/>
  <c r="AD8" i="267"/>
  <c r="AG190" i="262"/>
  <c r="AG1485" i="259"/>
  <c r="AG199" i="262" s="1"/>
  <c r="AG1491" i="259"/>
  <c r="BA1463" i="259"/>
  <c r="AE1465" i="259"/>
  <c r="AF926" i="275"/>
  <c r="AF913" i="259"/>
  <c r="AG1452" i="259"/>
  <c r="AG1482" i="259" s="1"/>
  <c r="BC216" i="262"/>
  <c r="BC1392" i="259"/>
  <c r="BC230" i="262"/>
  <c r="BC1383" i="259"/>
  <c r="AG1397" i="259"/>
  <c r="AG213" i="262"/>
  <c r="AD16" i="267" l="1"/>
  <c r="AD19" i="267" s="1"/>
  <c r="BE807" i="275"/>
  <c r="AE8" i="267"/>
  <c r="AE9" i="267" s="1"/>
  <c r="BE813" i="275"/>
  <c r="AC41" i="267"/>
  <c r="AI924" i="275"/>
  <c r="AI1494" i="259"/>
  <c r="AI196" i="262" s="1"/>
  <c r="AI926" i="259"/>
  <c r="AI1484" i="259"/>
  <c r="BA28" i="277"/>
  <c r="I16" i="276"/>
  <c r="BA17" i="277"/>
  <c r="AI258" i="262"/>
  <c r="AI255" i="262"/>
  <c r="BD174" i="262"/>
  <c r="BD868" i="275"/>
  <c r="BD870" i="259"/>
  <c r="BD866" i="259"/>
  <c r="BD1306" i="259"/>
  <c r="BD1312" i="259" s="1"/>
  <c r="BD1374" i="259"/>
  <c r="BD1360" i="259" s="1"/>
  <c r="BD1371" i="259" s="1"/>
  <c r="BD1347" i="259"/>
  <c r="BD1348" i="259" s="1"/>
  <c r="BD240" i="262"/>
  <c r="BB1374" i="259"/>
  <c r="AI1360" i="259"/>
  <c r="AF912" i="259"/>
  <c r="AF913" i="275"/>
  <c r="AE13" i="267"/>
  <c r="AH1407" i="259"/>
  <c r="AH222" i="262" s="1"/>
  <c r="AH1463" i="259"/>
  <c r="AH1465" i="259" s="1"/>
  <c r="AG912" i="259"/>
  <c r="AG913" i="275"/>
  <c r="BE1299" i="259"/>
  <c r="BE1302" i="259"/>
  <c r="BE1303" i="259" s="1"/>
  <c r="BE868" i="259"/>
  <c r="AI870" i="275"/>
  <c r="AI1351" i="259"/>
  <c r="AI1352" i="259"/>
  <c r="AI872" i="259"/>
  <c r="BE1347" i="259"/>
  <c r="BE1348" i="259" s="1"/>
  <c r="BE240" i="262"/>
  <c r="AG1486" i="259"/>
  <c r="N27" i="267"/>
  <c r="AD9" i="267"/>
  <c r="AD13" i="267"/>
  <c r="R27" i="267" s="1"/>
  <c r="AH1452" i="259"/>
  <c r="K10" i="276"/>
  <c r="AH213" i="262"/>
  <c r="AH1397" i="259"/>
  <c r="AD39" i="267"/>
  <c r="AD35" i="267" s="1"/>
  <c r="AD36" i="267" s="1"/>
  <c r="BD255" i="262"/>
  <c r="BD258" i="262"/>
  <c r="AF1596" i="259"/>
  <c r="AF1408" i="259"/>
  <c r="AF217" i="262"/>
  <c r="AF1393" i="259"/>
  <c r="AF1386" i="259"/>
  <c r="AH920" i="275"/>
  <c r="AH922" i="259"/>
  <c r="BB866" i="259"/>
  <c r="AI866" i="275"/>
  <c r="AI920" i="259"/>
  <c r="AH926" i="275"/>
  <c r="AH913" i="259"/>
  <c r="BC213" i="262"/>
  <c r="K33" i="276"/>
  <c r="BC1463" i="259"/>
  <c r="BC1465" i="259" s="1"/>
  <c r="BC1407" i="259"/>
  <c r="AE1468" i="259"/>
  <c r="AE226" i="262" s="1"/>
  <c r="AE1384" i="259"/>
  <c r="BA1465" i="259"/>
  <c r="BA1468" i="259" s="1"/>
  <c r="BA226" i="262" s="1"/>
  <c r="AG1492" i="259"/>
  <c r="AH872" i="275"/>
  <c r="AH175" i="262"/>
  <c r="AH859" i="259"/>
  <c r="BC175" i="262"/>
  <c r="BC859" i="259"/>
  <c r="BB255" i="262"/>
  <c r="BB258" i="262"/>
  <c r="BB1301" i="259"/>
  <c r="AG1468" i="259"/>
  <c r="AG226" i="262" s="1"/>
  <c r="AG1384" i="259"/>
  <c r="AI1312" i="259"/>
  <c r="BB1306" i="259"/>
  <c r="BB1312" i="259" s="1"/>
  <c r="BA913" i="259"/>
  <c r="BA926" i="275"/>
  <c r="AG172" i="262"/>
  <c r="AG859" i="275"/>
  <c r="AG858" i="259"/>
  <c r="AG858" i="275" s="1"/>
  <c r="AD40" i="267" l="1"/>
  <c r="Q27" i="267" s="1"/>
  <c r="AI920" i="275"/>
  <c r="AI922" i="259"/>
  <c r="AH189" i="262"/>
  <c r="AH191" i="262"/>
  <c r="AH922" i="275"/>
  <c r="AH1490" i="259"/>
  <c r="AH1482" i="259"/>
  <c r="AH1481" i="259"/>
  <c r="AH197" i="262" s="1"/>
  <c r="AI872" i="275"/>
  <c r="AI175" i="262"/>
  <c r="AI859" i="259"/>
  <c r="BE868" i="275"/>
  <c r="BE174" i="262"/>
  <c r="BE870" i="259"/>
  <c r="BE924" i="259" s="1"/>
  <c r="BE866" i="259"/>
  <c r="BE866" i="275" s="1"/>
  <c r="BE1374" i="259"/>
  <c r="BE1360" i="259" s="1"/>
  <c r="BE1371" i="259" s="1"/>
  <c r="BE1306" i="259"/>
  <c r="BE1312" i="259" s="1"/>
  <c r="BE1313" i="259" s="1"/>
  <c r="AG192" i="262"/>
  <c r="AG912" i="275"/>
  <c r="AG274" i="261"/>
  <c r="BD1354" i="259"/>
  <c r="BD211" i="262" s="1"/>
  <c r="BD176" i="262"/>
  <c r="BD1315" i="259"/>
  <c r="BD256" i="262" s="1"/>
  <c r="BD1353" i="259"/>
  <c r="BD210" i="262" s="1"/>
  <c r="BD1446" i="259"/>
  <c r="BD1447" i="259" s="1"/>
  <c r="BD1451" i="259" s="1"/>
  <c r="BD20" i="277"/>
  <c r="BD1313" i="259"/>
  <c r="AG1408" i="259"/>
  <c r="AG217" i="262"/>
  <c r="AG1596" i="259"/>
  <c r="AG1393" i="259"/>
  <c r="AG1386" i="259"/>
  <c r="AH172" i="262"/>
  <c r="AH859" i="275"/>
  <c r="AH858" i="259"/>
  <c r="AH858" i="275" s="1"/>
  <c r="BC222" i="262"/>
  <c r="BC32" i="277"/>
  <c r="BC18" i="277" s="1"/>
  <c r="AD26" i="267"/>
  <c r="AD28" i="267" s="1"/>
  <c r="AD30" i="267" s="1"/>
  <c r="AD32" i="267" s="1"/>
  <c r="AE16" i="267"/>
  <c r="AD43" i="267"/>
  <c r="AD45" i="267" s="1"/>
  <c r="BE255" i="262"/>
  <c r="BE258" i="262"/>
  <c r="AH1384" i="259"/>
  <c r="AH1468" i="259"/>
  <c r="AH226" i="262" s="1"/>
  <c r="AF274" i="261"/>
  <c r="AF192" i="262"/>
  <c r="AF912" i="275"/>
  <c r="BD866" i="275"/>
  <c r="BD920" i="259"/>
  <c r="BA912" i="259"/>
  <c r="BA913" i="275"/>
  <c r="BC172" i="262"/>
  <c r="BC858" i="259"/>
  <c r="BC1468" i="259"/>
  <c r="BC226" i="262" s="1"/>
  <c r="BC1384" i="259"/>
  <c r="AH912" i="259"/>
  <c r="AH913" i="275"/>
  <c r="BB866" i="275"/>
  <c r="BC920" i="259"/>
  <c r="BB868" i="259"/>
  <c r="BC866" i="275"/>
  <c r="AF1387" i="259"/>
  <c r="AF1394" i="259"/>
  <c r="AH1492" i="259"/>
  <c r="AH1486" i="259"/>
  <c r="BB1360" i="259"/>
  <c r="BB1371" i="259" s="1"/>
  <c r="AI1371" i="259"/>
  <c r="BD1352" i="259"/>
  <c r="BD1351" i="259"/>
  <c r="BD870" i="275"/>
  <c r="BD872" i="259"/>
  <c r="BD924" i="259"/>
  <c r="AI1353" i="259"/>
  <c r="AI210" i="262" s="1"/>
  <c r="AI176" i="262"/>
  <c r="AI1315" i="259"/>
  <c r="AI256" i="262" s="1"/>
  <c r="AI1446" i="259"/>
  <c r="AI1447" i="259" s="1"/>
  <c r="AI1451" i="259" s="1"/>
  <c r="AI1354" i="259"/>
  <c r="AI211" i="262" s="1"/>
  <c r="AI1313" i="259"/>
  <c r="BB176" i="262"/>
  <c r="BB20" i="277"/>
  <c r="BC1313" i="259"/>
  <c r="BB1315" i="259"/>
  <c r="BB256" i="262" s="1"/>
  <c r="BB1354" i="259"/>
  <c r="BB211" i="262" s="1"/>
  <c r="BB1353" i="259"/>
  <c r="BB210" i="262" s="1"/>
  <c r="BB1446" i="259"/>
  <c r="BB1447" i="259" s="1"/>
  <c r="BC1451" i="259" s="1"/>
  <c r="AE1596" i="259"/>
  <c r="AE217" i="262"/>
  <c r="AE1408" i="259"/>
  <c r="BA1384" i="259"/>
  <c r="AE1393" i="259"/>
  <c r="AF1398" i="259" s="1"/>
  <c r="AE1386" i="259"/>
  <c r="BB920" i="259"/>
  <c r="AF214" i="262"/>
  <c r="BD216" i="262"/>
  <c r="BD1392" i="259"/>
  <c r="BD230" i="262"/>
  <c r="BD1383" i="259"/>
  <c r="BA27" i="277"/>
  <c r="I12" i="276"/>
  <c r="BA16" i="277"/>
  <c r="BA41" i="277"/>
  <c r="AI926" i="275"/>
  <c r="AI913" i="259"/>
  <c r="BE920" i="259" l="1"/>
  <c r="BE920" i="275" s="1"/>
  <c r="AD41" i="267"/>
  <c r="BA1386" i="259"/>
  <c r="AE1387" i="259"/>
  <c r="AE1394" i="259"/>
  <c r="AE1399" i="259" s="1"/>
  <c r="BD1494" i="259"/>
  <c r="BD196" i="262" s="1"/>
  <c r="BD926" i="259"/>
  <c r="BD1484" i="259"/>
  <c r="AH1596" i="259"/>
  <c r="AH217" i="262"/>
  <c r="AH1408" i="259"/>
  <c r="AH1393" i="259"/>
  <c r="AH1386" i="259"/>
  <c r="AE39" i="267"/>
  <c r="AE19" i="267"/>
  <c r="AG1398" i="259"/>
  <c r="AG214" i="262"/>
  <c r="BD190" i="262"/>
  <c r="BD1485" i="259"/>
  <c r="BD199" i="262" s="1"/>
  <c r="BD1491" i="259"/>
  <c r="BD43" i="277" s="1"/>
  <c r="BE1392" i="259"/>
  <c r="BE230" i="262"/>
  <c r="BE216" i="262"/>
  <c r="BE1383" i="259"/>
  <c r="BD1463" i="259"/>
  <c r="BD1465" i="259" s="1"/>
  <c r="BD1407" i="259"/>
  <c r="AE1398" i="259"/>
  <c r="AE214" i="262"/>
  <c r="AI190" i="262"/>
  <c r="AI1491" i="259"/>
  <c r="AI1485" i="259"/>
  <c r="AI199" i="262" s="1"/>
  <c r="BB1313" i="259"/>
  <c r="BD872" i="275"/>
  <c r="BD175" i="262"/>
  <c r="BD859" i="259"/>
  <c r="BA912" i="275"/>
  <c r="BA274" i="261"/>
  <c r="BA192" i="262"/>
  <c r="BD920" i="275"/>
  <c r="BD922" i="259"/>
  <c r="BD30" i="277"/>
  <c r="BE190" i="262"/>
  <c r="BE1485" i="259"/>
  <c r="BE199" i="262" s="1"/>
  <c r="BE1491" i="259"/>
  <c r="BE43" i="277" s="1"/>
  <c r="AI859" i="275"/>
  <c r="AI172" i="262"/>
  <c r="BB859" i="259"/>
  <c r="AI858" i="259"/>
  <c r="I15" i="276"/>
  <c r="BA26" i="277"/>
  <c r="BA40" i="277"/>
  <c r="BA217" i="262"/>
  <c r="BA1393" i="259"/>
  <c r="BA1596" i="259"/>
  <c r="BA1408" i="259"/>
  <c r="BC190" i="262"/>
  <c r="BC1485" i="259"/>
  <c r="BC199" i="262" s="1"/>
  <c r="BC1491" i="259"/>
  <c r="BE926" i="259"/>
  <c r="BE924" i="275"/>
  <c r="BE1494" i="259"/>
  <c r="BE196" i="262" s="1"/>
  <c r="BE1484" i="259"/>
  <c r="AI216" i="262"/>
  <c r="AI230" i="262"/>
  <c r="AI1392" i="259"/>
  <c r="AI1383" i="259"/>
  <c r="BB868" i="275"/>
  <c r="BB174" i="262"/>
  <c r="BB870" i="259"/>
  <c r="BC868" i="275"/>
  <c r="AH912" i="275"/>
  <c r="AH192" i="262"/>
  <c r="AH274" i="261"/>
  <c r="K16" i="276"/>
  <c r="BC17" i="277"/>
  <c r="BE1351" i="259"/>
  <c r="BE870" i="275"/>
  <c r="BE1352" i="259"/>
  <c r="BE872" i="259"/>
  <c r="AI189" i="262"/>
  <c r="AI191" i="262"/>
  <c r="AI922" i="275"/>
  <c r="AI1481" i="259"/>
  <c r="AI197" i="262" s="1"/>
  <c r="AI1490" i="259"/>
  <c r="AI912" i="259"/>
  <c r="AI913" i="275"/>
  <c r="BD1397" i="259"/>
  <c r="BD213" i="262"/>
  <c r="BB920" i="275"/>
  <c r="BB922" i="259"/>
  <c r="BB30" i="277"/>
  <c r="J10" i="276"/>
  <c r="BC30" i="277"/>
  <c r="AI1452" i="259"/>
  <c r="BB1452" i="259" s="1"/>
  <c r="BB1451" i="259"/>
  <c r="BB216" i="262"/>
  <c r="BB230" i="262"/>
  <c r="BB1392" i="259"/>
  <c r="BC920" i="275"/>
  <c r="BC922" i="259"/>
  <c r="BC1596" i="259"/>
  <c r="BC1408" i="259"/>
  <c r="BC217" i="262"/>
  <c r="BC1393" i="259"/>
  <c r="BC1386" i="259"/>
  <c r="AG1394" i="259"/>
  <c r="AG1399" i="259" s="1"/>
  <c r="AG1387" i="259"/>
  <c r="BE176" i="262"/>
  <c r="BE1353" i="259"/>
  <c r="BE210" i="262" s="1"/>
  <c r="BE1315" i="259"/>
  <c r="BE256" i="262" s="1"/>
  <c r="BE1354" i="259"/>
  <c r="BE211" i="262" s="1"/>
  <c r="BE1446" i="259"/>
  <c r="BE1447" i="259" s="1"/>
  <c r="BE1451" i="259" s="1"/>
  <c r="BE20" i="277"/>
  <c r="AF1399" i="259" l="1"/>
  <c r="BE922" i="259"/>
  <c r="BE189" i="262" s="1"/>
  <c r="BC1452" i="259"/>
  <c r="BC1486" i="259" s="1"/>
  <c r="AI1482" i="259"/>
  <c r="AI192" i="262"/>
  <c r="AI912" i="275"/>
  <c r="AI274" i="261"/>
  <c r="K12" i="276"/>
  <c r="BC16" i="277"/>
  <c r="BC41" i="277"/>
  <c r="AI1407" i="259"/>
  <c r="AI222" i="262" s="1"/>
  <c r="AI1463" i="259"/>
  <c r="BB1383" i="259"/>
  <c r="BB1407" i="259" s="1"/>
  <c r="BA214" i="262"/>
  <c r="BA1398" i="259"/>
  <c r="BD189" i="262"/>
  <c r="BD191" i="262"/>
  <c r="BD922" i="275"/>
  <c r="BD1481" i="259"/>
  <c r="BD197" i="262" s="1"/>
  <c r="BD1490" i="259"/>
  <c r="BD1482" i="259"/>
  <c r="AI1486" i="259"/>
  <c r="AH1387" i="259"/>
  <c r="AH1394" i="259"/>
  <c r="AH1399" i="259" s="1"/>
  <c r="BC924" i="259"/>
  <c r="BB1351" i="259"/>
  <c r="BB870" i="275"/>
  <c r="BB1352" i="259"/>
  <c r="BB924" i="259"/>
  <c r="BC870" i="275"/>
  <c r="AI1397" i="259"/>
  <c r="AI213" i="262"/>
  <c r="BC43" i="277"/>
  <c r="K8" i="276"/>
  <c r="AI858" i="275"/>
  <c r="BB858" i="259"/>
  <c r="BB190" i="262"/>
  <c r="BB1485" i="259"/>
  <c r="BB199" i="262" s="1"/>
  <c r="BB1492" i="259"/>
  <c r="BB1491" i="259"/>
  <c r="BB1486" i="259"/>
  <c r="BD222" i="262"/>
  <c r="BD32" i="277"/>
  <c r="BD18" i="277" s="1"/>
  <c r="AH214" i="262"/>
  <c r="AH1398" i="259"/>
  <c r="BE30" i="277"/>
  <c r="BC1394" i="259"/>
  <c r="BC1387" i="259"/>
  <c r="J33" i="276"/>
  <c r="BB213" i="262"/>
  <c r="K16" i="273"/>
  <c r="BB1397" i="259"/>
  <c r="BC1397" i="259"/>
  <c r="BB172" i="262"/>
  <c r="BB872" i="259"/>
  <c r="BB859" i="275"/>
  <c r="BC859" i="275"/>
  <c r="BD859" i="275"/>
  <c r="BD172" i="262"/>
  <c r="BD858" i="259"/>
  <c r="BD858" i="275" s="1"/>
  <c r="AI1492" i="259"/>
  <c r="BD1468" i="259"/>
  <c r="BD226" i="262" s="1"/>
  <c r="BD1384" i="259"/>
  <c r="BE1397" i="259"/>
  <c r="BE213" i="262"/>
  <c r="AE26" i="267"/>
  <c r="AE28" i="267" s="1"/>
  <c r="AE30" i="267" s="1"/>
  <c r="AE32" i="267" s="1"/>
  <c r="AF16" i="267"/>
  <c r="AF39" i="267" s="1"/>
  <c r="BD913" i="259"/>
  <c r="BC214" i="262"/>
  <c r="BC189" i="262"/>
  <c r="BC922" i="275"/>
  <c r="BC191" i="262"/>
  <c r="BC1481" i="259"/>
  <c r="BC197" i="262" s="1"/>
  <c r="BC1490" i="259"/>
  <c r="BC1482" i="259"/>
  <c r="BB189" i="262"/>
  <c r="BB191" i="262"/>
  <c r="BB922" i="275"/>
  <c r="BB1482" i="259"/>
  <c r="BB1490" i="259"/>
  <c r="BB1481" i="259"/>
  <c r="BB197" i="262" s="1"/>
  <c r="BE872" i="275"/>
  <c r="BE175" i="262"/>
  <c r="BE859" i="259"/>
  <c r="BE913" i="259"/>
  <c r="BE926" i="275"/>
  <c r="BE1463" i="259"/>
  <c r="BE1465" i="259" s="1"/>
  <c r="BE1407" i="259"/>
  <c r="AE35" i="267"/>
  <c r="AE36" i="267" s="1"/>
  <c r="AE43" i="267"/>
  <c r="AE45" i="267" s="1"/>
  <c r="AE40" i="267"/>
  <c r="BA1387" i="259"/>
  <c r="BA1394" i="259"/>
  <c r="BA1399" i="259" s="1"/>
  <c r="BE1490" i="259" l="1"/>
  <c r="BE191" i="262"/>
  <c r="BE1481" i="259"/>
  <c r="BE197" i="262" s="1"/>
  <c r="BE922" i="275"/>
  <c r="BE1482" i="259"/>
  <c r="BC1492" i="259"/>
  <c r="BC42" i="277" s="1"/>
  <c r="BD1452" i="259"/>
  <c r="BE1452" i="259" s="1"/>
  <c r="BE1492" i="259" s="1"/>
  <c r="BE42" i="277" s="1"/>
  <c r="BE172" i="262"/>
  <c r="BE859" i="275"/>
  <c r="BE858" i="259"/>
  <c r="BE858" i="275" s="1"/>
  <c r="AG35" i="267"/>
  <c r="AF35" i="267"/>
  <c r="AF40" i="267" s="1"/>
  <c r="AF6" i="267" s="1"/>
  <c r="BD217" i="262"/>
  <c r="BD1596" i="259"/>
  <c r="BD1408" i="259"/>
  <c r="BD1393" i="259"/>
  <c r="BD1386" i="259"/>
  <c r="BB175" i="262"/>
  <c r="BB872" i="275"/>
  <c r="BC872" i="275"/>
  <c r="J8" i="276"/>
  <c r="BB43" i="277"/>
  <c r="K8" i="273"/>
  <c r="BB858" i="275"/>
  <c r="BC858" i="275"/>
  <c r="BB1463" i="259"/>
  <c r="AI1465" i="259"/>
  <c r="BD28" i="277"/>
  <c r="BD17" i="277"/>
  <c r="BB42" i="277"/>
  <c r="J7" i="276"/>
  <c r="K6" i="273"/>
  <c r="BE222" i="262"/>
  <c r="BE32" i="277"/>
  <c r="BE18" i="277" s="1"/>
  <c r="BE913" i="275"/>
  <c r="BE912" i="259"/>
  <c r="AE41" i="267"/>
  <c r="BE1468" i="259"/>
  <c r="BE226" i="262" s="1"/>
  <c r="BE1384" i="259"/>
  <c r="BD912" i="259"/>
  <c r="BB924" i="275"/>
  <c r="BB926" i="259"/>
  <c r="BB1494" i="259"/>
  <c r="BB196" i="262" s="1"/>
  <c r="BB1484" i="259"/>
  <c r="BC924" i="275"/>
  <c r="BC1494" i="259"/>
  <c r="BC196" i="262" s="1"/>
  <c r="BC926" i="259"/>
  <c r="BC1484" i="259"/>
  <c r="BD924" i="275"/>
  <c r="BB222" i="262"/>
  <c r="BB32" i="277"/>
  <c r="BB18" i="277" s="1"/>
  <c r="K15" i="276"/>
  <c r="BC40" i="277"/>
  <c r="K7" i="276" l="1"/>
  <c r="BE1486" i="259"/>
  <c r="BD1492" i="259"/>
  <c r="BD42" i="277" s="1"/>
  <c r="BD1486" i="259"/>
  <c r="AF41" i="267"/>
  <c r="AF17" i="267"/>
  <c r="AF12" i="267"/>
  <c r="AF8" i="267"/>
  <c r="BB913" i="259"/>
  <c r="BB926" i="275"/>
  <c r="BE1393" i="259"/>
  <c r="BE1596" i="259"/>
  <c r="BE1408" i="259"/>
  <c r="BE217" i="262"/>
  <c r="BE1386" i="259"/>
  <c r="BD27" i="277"/>
  <c r="BD16" i="277"/>
  <c r="BD41" i="277"/>
  <c r="BE912" i="275"/>
  <c r="BE274" i="261"/>
  <c r="BE192" i="262"/>
  <c r="BD1387" i="259"/>
  <c r="BD1394" i="259"/>
  <c r="BD1399" i="259" s="1"/>
  <c r="BD274" i="261"/>
  <c r="BD192" i="262"/>
  <c r="AI1468" i="259"/>
  <c r="AI226" i="262" s="1"/>
  <c r="BB1465" i="259"/>
  <c r="BB1468" i="259" s="1"/>
  <c r="BB226" i="262" s="1"/>
  <c r="AI1384" i="259"/>
  <c r="BD214" i="262"/>
  <c r="BD1398" i="259"/>
  <c r="J16" i="276"/>
  <c r="BB28" i="277"/>
  <c r="BC28" i="277"/>
  <c r="BB17" i="277"/>
  <c r="BC926" i="275"/>
  <c r="BC913" i="259"/>
  <c r="BD926" i="275"/>
  <c r="BE28" i="277"/>
  <c r="BE17" i="277"/>
  <c r="BC912" i="259" l="1"/>
  <c r="BC913" i="275"/>
  <c r="BD913" i="275"/>
  <c r="AI1596" i="259"/>
  <c r="AI1393" i="259"/>
  <c r="AI217" i="262"/>
  <c r="AI1408" i="259"/>
  <c r="BB1384" i="259"/>
  <c r="AI1386" i="259"/>
  <c r="BD26" i="277"/>
  <c r="BD40" i="277"/>
  <c r="BB913" i="275"/>
  <c r="BB912" i="259"/>
  <c r="AF9" i="267"/>
  <c r="AF43" i="267"/>
  <c r="AF45" i="267" s="1"/>
  <c r="AG40" i="267"/>
  <c r="BE27" i="277"/>
  <c r="BE16" i="277"/>
  <c r="BE41" i="277"/>
  <c r="BE1394" i="259"/>
  <c r="BE1399" i="259" s="1"/>
  <c r="BE1387" i="259"/>
  <c r="BE1398" i="259"/>
  <c r="BE214" i="262"/>
  <c r="AF13" i="267"/>
  <c r="AF18" i="267"/>
  <c r="J12" i="276"/>
  <c r="BB27" i="277"/>
  <c r="BB16" i="277"/>
  <c r="BB41" i="277"/>
  <c r="BC27" i="277"/>
  <c r="AG6" i="267" l="1"/>
  <c r="AG41" i="267"/>
  <c r="BB217" i="262"/>
  <c r="BB1393" i="259"/>
  <c r="BB1596" i="259"/>
  <c r="BB1408" i="259"/>
  <c r="BE26" i="277"/>
  <c r="BE40" i="277"/>
  <c r="BB26" i="277"/>
  <c r="J15" i="276"/>
  <c r="BB40" i="277"/>
  <c r="BC26" i="277"/>
  <c r="BB192" i="262"/>
  <c r="BB912" i="275"/>
  <c r="BB274" i="261"/>
  <c r="AI1387" i="259"/>
  <c r="BB1386" i="259"/>
  <c r="AI1394" i="259"/>
  <c r="AI1399" i="259" s="1"/>
  <c r="AI1398" i="259"/>
  <c r="AI214" i="262"/>
  <c r="BC912" i="275"/>
  <c r="BC274" i="261"/>
  <c r="BC192" i="262"/>
  <c r="BD912" i="275"/>
  <c r="BB1387" i="259" l="1"/>
  <c r="BB1394" i="259"/>
  <c r="BB1398" i="259"/>
  <c r="BB214" i="262"/>
  <c r="BC1398" i="259"/>
  <c r="AG12" i="267"/>
  <c r="AG17" i="267"/>
  <c r="AG8" i="267"/>
  <c r="AG13" i="267" l="1"/>
  <c r="AG18" i="267"/>
  <c r="BB1399" i="259"/>
  <c r="BC1399" i="259"/>
  <c r="AG9" i="267"/>
  <c r="AG43" i="267"/>
  <c r="AG45" i="267" s="1"/>
  <c r="AH40" i="267"/>
  <c r="Q28" i="267" l="1"/>
  <c r="AH6" i="267"/>
  <c r="AH41" i="267"/>
  <c r="AH17" i="267" l="1"/>
  <c r="AH12" i="267"/>
  <c r="AH8" i="267"/>
  <c r="N28" i="267" l="1"/>
  <c r="AH9" i="267"/>
  <c r="AH43" i="267"/>
  <c r="AH45" i="267" s="1"/>
  <c r="AI40" i="267"/>
  <c r="AH18" i="267"/>
  <c r="AH13" i="267"/>
  <c r="R28" i="267" s="1"/>
  <c r="DD40" i="267" l="1"/>
  <c r="DN40" i="267"/>
  <c r="BW40" i="267"/>
  <c r="DU40" i="267"/>
  <c r="DT40" i="267"/>
  <c r="DA40" i="267"/>
  <c r="CW40" i="267"/>
  <c r="DS40" i="267"/>
  <c r="DK40" i="267"/>
  <c r="DP40" i="267"/>
  <c r="AP40" i="267"/>
  <c r="AV40" i="267"/>
  <c r="DB40" i="267"/>
  <c r="DQ40" i="267"/>
  <c r="CS40" i="267"/>
  <c r="CY40" i="267"/>
  <c r="AX40" i="267"/>
  <c r="BQ40" i="267"/>
  <c r="DE40" i="267"/>
  <c r="CT40" i="267"/>
  <c r="CX40" i="267"/>
  <c r="BA40" i="267"/>
  <c r="AR40" i="267"/>
  <c r="BO40" i="267"/>
  <c r="AZ40" i="267"/>
  <c r="CL40" i="267"/>
  <c r="CG40" i="267"/>
  <c r="BB40" i="267"/>
  <c r="BT40" i="267"/>
  <c r="BM40" i="267"/>
  <c r="DI40" i="267"/>
  <c r="BF40" i="267"/>
  <c r="BH40" i="267"/>
  <c r="DC40" i="267"/>
  <c r="CN40" i="267"/>
  <c r="CQ40" i="267"/>
  <c r="AI6" i="267"/>
  <c r="CC40" i="267"/>
  <c r="CM40" i="267"/>
  <c r="DG40" i="267"/>
  <c r="CO40" i="267"/>
  <c r="CB40" i="267"/>
  <c r="BZ40" i="267"/>
  <c r="BJ40" i="267"/>
  <c r="CA40" i="267"/>
  <c r="CZ40" i="267"/>
  <c r="DL40" i="267"/>
  <c r="AS40" i="267"/>
  <c r="CE40" i="267"/>
  <c r="BK40" i="267"/>
  <c r="BP40" i="267"/>
  <c r="AT40" i="267"/>
  <c r="AK40" i="267"/>
  <c r="DF40" i="267"/>
  <c r="BC40" i="267"/>
  <c r="CJ40" i="267"/>
  <c r="AW40" i="267"/>
  <c r="BV40" i="267"/>
  <c r="CR40" i="267"/>
  <c r="CU40" i="267"/>
  <c r="BG40" i="267"/>
  <c r="AU40" i="267"/>
  <c r="BL40" i="267"/>
  <c r="BE40" i="267"/>
  <c r="BX40" i="267"/>
  <c r="CV40" i="267"/>
  <c r="AM40" i="267"/>
  <c r="CK40" i="267"/>
  <c r="BD40" i="267"/>
  <c r="BI40" i="267"/>
  <c r="CH40" i="267"/>
  <c r="CD40" i="267"/>
  <c r="CF40" i="267"/>
  <c r="DJ40" i="267"/>
  <c r="BY40" i="267"/>
  <c r="DR40" i="267"/>
  <c r="CP40" i="267"/>
  <c r="DH40" i="267"/>
  <c r="CI40" i="267"/>
  <c r="BR40" i="267"/>
  <c r="AN40" i="267"/>
  <c r="DM40" i="267"/>
  <c r="BU40" i="267"/>
  <c r="BS40" i="267"/>
  <c r="AY40" i="267"/>
  <c r="AL40" i="267"/>
  <c r="AJ40" i="267"/>
  <c r="AO40" i="267"/>
  <c r="BN40" i="267"/>
  <c r="AQ40" i="267"/>
  <c r="DO40" i="267"/>
  <c r="AI41" i="267"/>
  <c r="AO6" i="267" l="1"/>
  <c r="AO41" i="267"/>
  <c r="BS6" i="267"/>
  <c r="BS41" i="267"/>
  <c r="BR6" i="267"/>
  <c r="BR41" i="267"/>
  <c r="DR6" i="267"/>
  <c r="DR41" i="267"/>
  <c r="CD6" i="267"/>
  <c r="CD41" i="267"/>
  <c r="CK6" i="267"/>
  <c r="CK41" i="267"/>
  <c r="BE6" i="267"/>
  <c r="BE41" i="267"/>
  <c r="CU6" i="267"/>
  <c r="CU41" i="267"/>
  <c r="CJ6" i="267"/>
  <c r="CJ41" i="267"/>
  <c r="AT6" i="267"/>
  <c r="AT41" i="267"/>
  <c r="AS6" i="267"/>
  <c r="AS41" i="267"/>
  <c r="BJ6" i="267"/>
  <c r="BJ41" i="267"/>
  <c r="DG6" i="267"/>
  <c r="DG41" i="267"/>
  <c r="CQ6" i="267"/>
  <c r="CQ41" i="267"/>
  <c r="BF6" i="267"/>
  <c r="BF41" i="267"/>
  <c r="BB6" i="267"/>
  <c r="BB41" i="267"/>
  <c r="BO6" i="267"/>
  <c r="BO41" i="267"/>
  <c r="CT6" i="267"/>
  <c r="CT41" i="267"/>
  <c r="CY6" i="267"/>
  <c r="CY41" i="267"/>
  <c r="AV6" i="267"/>
  <c r="AV41" i="267"/>
  <c r="DS6" i="267"/>
  <c r="DS41" i="267"/>
  <c r="DU6" i="267"/>
  <c r="DU41" i="267"/>
  <c r="AJ6" i="267"/>
  <c r="AJ41" i="267"/>
  <c r="BU6" i="267"/>
  <c r="BU41" i="267"/>
  <c r="CI6" i="267"/>
  <c r="CI41" i="267"/>
  <c r="BY6" i="267"/>
  <c r="BY41" i="267"/>
  <c r="CH6" i="267"/>
  <c r="CH41" i="267"/>
  <c r="AM6" i="267"/>
  <c r="AM41" i="267"/>
  <c r="BL6" i="267"/>
  <c r="BL41" i="267"/>
  <c r="CR6" i="267"/>
  <c r="CR41" i="267"/>
  <c r="BC6" i="267"/>
  <c r="BC41" i="267"/>
  <c r="BP6" i="267"/>
  <c r="BP41" i="267"/>
  <c r="DL6" i="267"/>
  <c r="DL41" i="267"/>
  <c r="BZ6" i="267"/>
  <c r="BZ41" i="267"/>
  <c r="CM6" i="267"/>
  <c r="CM41" i="267"/>
  <c r="CN6" i="267"/>
  <c r="CN41" i="267"/>
  <c r="DI6" i="267"/>
  <c r="DI41" i="267"/>
  <c r="CG6" i="267"/>
  <c r="CG41" i="267"/>
  <c r="AR6" i="267"/>
  <c r="AR41" i="267"/>
  <c r="DE6" i="267"/>
  <c r="DE41" i="267"/>
  <c r="CS6" i="267"/>
  <c r="CS41" i="267"/>
  <c r="AP6" i="267"/>
  <c r="AP41" i="267"/>
  <c r="CW6" i="267"/>
  <c r="CW41" i="267"/>
  <c r="BW6" i="267"/>
  <c r="BW41" i="267"/>
  <c r="DO6" i="267"/>
  <c r="DO41" i="267"/>
  <c r="AL6" i="267"/>
  <c r="AL41" i="267"/>
  <c r="DM6" i="267"/>
  <c r="DM41" i="267"/>
  <c r="DH6" i="267"/>
  <c r="DH41" i="267"/>
  <c r="DJ6" i="267"/>
  <c r="DJ41" i="267"/>
  <c r="BI6" i="267"/>
  <c r="BI41" i="267"/>
  <c r="CV6" i="267"/>
  <c r="CV41" i="267"/>
  <c r="AU6" i="267"/>
  <c r="AU41" i="267"/>
  <c r="BV6" i="267"/>
  <c r="BV41" i="267"/>
  <c r="DF6" i="267"/>
  <c r="DF41" i="267"/>
  <c r="BK6" i="267"/>
  <c r="BK41" i="267"/>
  <c r="CZ6" i="267"/>
  <c r="CZ41" i="267"/>
  <c r="CB6" i="267"/>
  <c r="CB41" i="267"/>
  <c r="CC6" i="267"/>
  <c r="CC41" i="267"/>
  <c r="DC6" i="267"/>
  <c r="DC41" i="267"/>
  <c r="BM6" i="267"/>
  <c r="BM41" i="267"/>
  <c r="CL6" i="267"/>
  <c r="CL41" i="267"/>
  <c r="BA6" i="267"/>
  <c r="BA41" i="267"/>
  <c r="BQ6" i="267"/>
  <c r="BQ41" i="267"/>
  <c r="DQ6" i="267"/>
  <c r="DQ41" i="267"/>
  <c r="DP6" i="267"/>
  <c r="DP41" i="267"/>
  <c r="DA6" i="267"/>
  <c r="DA41" i="267"/>
  <c r="DN6" i="267"/>
  <c r="DN41" i="267"/>
  <c r="AQ6" i="267"/>
  <c r="AQ41" i="267"/>
  <c r="BN6" i="267"/>
  <c r="BN41" i="267"/>
  <c r="AY6" i="267"/>
  <c r="AY41" i="267"/>
  <c r="AN6" i="267"/>
  <c r="AN41" i="267"/>
  <c r="CP6" i="267"/>
  <c r="CP41" i="267"/>
  <c r="CF6" i="267"/>
  <c r="CF41" i="267"/>
  <c r="BD6" i="267"/>
  <c r="BD41" i="267"/>
  <c r="BX6" i="267"/>
  <c r="BX41" i="267"/>
  <c r="BG6" i="267"/>
  <c r="BG41" i="267"/>
  <c r="AW6" i="267"/>
  <c r="AW41" i="267"/>
  <c r="AK6" i="267"/>
  <c r="AK41" i="267"/>
  <c r="CE6" i="267"/>
  <c r="CE41" i="267"/>
  <c r="CA6" i="267"/>
  <c r="CA41" i="267"/>
  <c r="CO6" i="267"/>
  <c r="CO41" i="267"/>
  <c r="AI8" i="267"/>
  <c r="AI17" i="267"/>
  <c r="AI12" i="267"/>
  <c r="BH6" i="267"/>
  <c r="BH41" i="267"/>
  <c r="BT6" i="267"/>
  <c r="BT41" i="267"/>
  <c r="AZ6" i="267"/>
  <c r="AZ41" i="267"/>
  <c r="CX6" i="267"/>
  <c r="CX41" i="267"/>
  <c r="AX6" i="267"/>
  <c r="AX41" i="267"/>
  <c r="Z59" i="267"/>
  <c r="DB6" i="267"/>
  <c r="DB41" i="267"/>
  <c r="DK6" i="267"/>
  <c r="DK41" i="267"/>
  <c r="DT6" i="267"/>
  <c r="DT41" i="267"/>
  <c r="DD6" i="267"/>
  <c r="DD41" i="267"/>
  <c r="AA59" i="267" l="1"/>
  <c r="AB59" i="267" s="1"/>
  <c r="AC59" i="267" s="1"/>
  <c r="AD59" i="267" s="1"/>
  <c r="AE59" i="267" s="1"/>
  <c r="AF59" i="267" s="1"/>
  <c r="AG59" i="267" s="1"/>
  <c r="AH59" i="267" s="1"/>
  <c r="AI59" i="267" s="1"/>
  <c r="AJ59" i="267" s="1"/>
  <c r="AK59" i="267" s="1"/>
  <c r="AL59" i="267" s="1"/>
  <c r="AM59" i="267" s="1"/>
  <c r="AN59" i="267" s="1"/>
  <c r="AO59" i="267" s="1"/>
  <c r="AP59" i="267" s="1"/>
  <c r="AQ59" i="267" s="1"/>
  <c r="AR59" i="267" s="1"/>
  <c r="AS59" i="267" s="1"/>
  <c r="AT59" i="267" s="1"/>
  <c r="AU59" i="267" s="1"/>
  <c r="AV59" i="267" s="1"/>
  <c r="AW59" i="267" s="1"/>
  <c r="AX59" i="267" s="1"/>
  <c r="AY59" i="267" s="1"/>
  <c r="AZ59" i="267" s="1"/>
  <c r="BA59" i="267" s="1"/>
  <c r="BB59" i="267" s="1"/>
  <c r="BC59" i="267" s="1"/>
  <c r="BD59" i="267" s="1"/>
  <c r="BE59" i="267" s="1"/>
  <c r="BF59" i="267" s="1"/>
  <c r="BG59" i="267" s="1"/>
  <c r="BH59" i="267" s="1"/>
  <c r="BI59" i="267" s="1"/>
  <c r="BJ59" i="267" s="1"/>
  <c r="BK59" i="267" s="1"/>
  <c r="BL59" i="267" s="1"/>
  <c r="BM59" i="267" s="1"/>
  <c r="BN59" i="267" s="1"/>
  <c r="BO59" i="267" s="1"/>
  <c r="BP59" i="267" s="1"/>
  <c r="BQ59" i="267" s="1"/>
  <c r="BR59" i="267" s="1"/>
  <c r="BS59" i="267" s="1"/>
  <c r="BT59" i="267" s="1"/>
  <c r="BU59" i="267" s="1"/>
  <c r="BV59" i="267" s="1"/>
  <c r="BW59" i="267" s="1"/>
  <c r="BX59" i="267" s="1"/>
  <c r="BT17" i="267"/>
  <c r="BT12" i="267"/>
  <c r="BT8" i="267"/>
  <c r="CX12" i="267"/>
  <c r="CX8" i="267"/>
  <c r="CX17" i="267"/>
  <c r="DD17" i="267"/>
  <c r="DD8" i="267"/>
  <c r="DD12" i="267"/>
  <c r="DK17" i="267"/>
  <c r="DK12" i="267"/>
  <c r="DK8" i="267"/>
  <c r="AI9" i="267"/>
  <c r="AI43" i="267"/>
  <c r="AI45" i="267" s="1"/>
  <c r="CA17" i="267"/>
  <c r="CA12" i="267"/>
  <c r="CA8" i="267"/>
  <c r="AK17" i="267"/>
  <c r="AK12" i="267"/>
  <c r="AK8" i="267"/>
  <c r="BG17" i="267"/>
  <c r="BG12" i="267"/>
  <c r="BG8" i="267"/>
  <c r="BD12" i="267"/>
  <c r="BD17" i="267"/>
  <c r="BD8" i="267"/>
  <c r="CP12" i="267"/>
  <c r="CP17" i="267"/>
  <c r="CP8" i="267"/>
  <c r="AY17" i="267"/>
  <c r="AY12" i="267"/>
  <c r="AY8" i="267"/>
  <c r="AQ17" i="267"/>
  <c r="AQ12" i="267"/>
  <c r="AQ8" i="267"/>
  <c r="DA17" i="267"/>
  <c r="DA12" i="267"/>
  <c r="DA8" i="267"/>
  <c r="DQ17" i="267"/>
  <c r="DQ12" i="267"/>
  <c r="DQ8" i="267"/>
  <c r="BA12" i="267"/>
  <c r="BA17" i="267"/>
  <c r="BA8" i="267"/>
  <c r="BM12" i="267"/>
  <c r="BM17" i="267"/>
  <c r="BM8" i="267"/>
  <c r="CC17" i="267"/>
  <c r="CC8" i="267"/>
  <c r="CC12" i="267"/>
  <c r="CZ12" i="267"/>
  <c r="CZ17" i="267"/>
  <c r="CZ8" i="267"/>
  <c r="DF12" i="267"/>
  <c r="DF17" i="267"/>
  <c r="DF8" i="267"/>
  <c r="AU17" i="267"/>
  <c r="AU12" i="267"/>
  <c r="AU8" i="267"/>
  <c r="BI12" i="267"/>
  <c r="BI17" i="267"/>
  <c r="BI8" i="267"/>
  <c r="DH12" i="267"/>
  <c r="DH17" i="267"/>
  <c r="DH8" i="267"/>
  <c r="AL17" i="267"/>
  <c r="AL12" i="267"/>
  <c r="AL8" i="267"/>
  <c r="BW17" i="267"/>
  <c r="BW12" i="267"/>
  <c r="BW8" i="267"/>
  <c r="AP17" i="267"/>
  <c r="AP8" i="267"/>
  <c r="AP12" i="267"/>
  <c r="DE12" i="267"/>
  <c r="DE17" i="267"/>
  <c r="DE8" i="267"/>
  <c r="CG17" i="267"/>
  <c r="CG12" i="267"/>
  <c r="CG8" i="267"/>
  <c r="CN17" i="267"/>
  <c r="CN12" i="267"/>
  <c r="CN8" i="267"/>
  <c r="BZ12" i="267"/>
  <c r="BZ17" i="267"/>
  <c r="BZ8" i="267"/>
  <c r="BP17" i="267"/>
  <c r="BP8" i="267"/>
  <c r="BP12" i="267"/>
  <c r="CR12" i="267"/>
  <c r="CR17" i="267"/>
  <c r="CR8" i="267"/>
  <c r="AM17" i="267"/>
  <c r="AM12" i="267"/>
  <c r="AM8" i="267"/>
  <c r="BY12" i="267"/>
  <c r="BY17" i="267"/>
  <c r="BY8" i="267"/>
  <c r="BU17" i="267"/>
  <c r="BU12" i="267"/>
  <c r="BU8" i="267"/>
  <c r="DU12" i="267"/>
  <c r="DU17" i="267"/>
  <c r="DU8" i="267"/>
  <c r="AV12" i="267"/>
  <c r="AV17" i="267"/>
  <c r="AV8" i="267"/>
  <c r="CT17" i="267"/>
  <c r="CT12" i="267"/>
  <c r="CT8" i="267"/>
  <c r="BB17" i="267"/>
  <c r="BB12" i="267"/>
  <c r="BB8" i="267"/>
  <c r="CQ12" i="267"/>
  <c r="CQ17" i="267"/>
  <c r="CQ8" i="267"/>
  <c r="BJ17" i="267"/>
  <c r="BJ12" i="267"/>
  <c r="BJ8" i="267"/>
  <c r="AT12" i="267"/>
  <c r="AT17" i="267"/>
  <c r="AT8" i="267"/>
  <c r="CU12" i="267"/>
  <c r="CU17" i="267"/>
  <c r="CU8" i="267"/>
  <c r="CK12" i="267"/>
  <c r="CK17" i="267"/>
  <c r="CK8" i="267"/>
  <c r="DR17" i="267"/>
  <c r="DR12" i="267"/>
  <c r="DR8" i="267"/>
  <c r="BS12" i="267"/>
  <c r="BS17" i="267"/>
  <c r="BS8" i="267"/>
  <c r="AX17" i="267"/>
  <c r="AX12" i="267"/>
  <c r="AX8" i="267"/>
  <c r="BH17" i="267"/>
  <c r="BH12" i="267"/>
  <c r="BH8" i="267"/>
  <c r="AZ17" i="267"/>
  <c r="AZ8" i="267"/>
  <c r="AZ12" i="267"/>
  <c r="DT17" i="267"/>
  <c r="DT12" i="267"/>
  <c r="DT8" i="267"/>
  <c r="DB12" i="267"/>
  <c r="DB17" i="267"/>
  <c r="DB8" i="267"/>
  <c r="AI18" i="267"/>
  <c r="AI13" i="267"/>
  <c r="CO12" i="267"/>
  <c r="CO17" i="267"/>
  <c r="CO8" i="267"/>
  <c r="CE12" i="267"/>
  <c r="CE17" i="267"/>
  <c r="CE8" i="267"/>
  <c r="AW17" i="267"/>
  <c r="AW12" i="267"/>
  <c r="AW8" i="267"/>
  <c r="BX12" i="267"/>
  <c r="BX17" i="267"/>
  <c r="BX8" i="267"/>
  <c r="CF12" i="267"/>
  <c r="CF17" i="267"/>
  <c r="CF8" i="267"/>
  <c r="AN12" i="267"/>
  <c r="AN17" i="267"/>
  <c r="AN8" i="267"/>
  <c r="BN17" i="267"/>
  <c r="BN12" i="267"/>
  <c r="BN8" i="267"/>
  <c r="DN17" i="267"/>
  <c r="DN12" i="267"/>
  <c r="DN8" i="267"/>
  <c r="DP17" i="267"/>
  <c r="DP12" i="267"/>
  <c r="DP8" i="267"/>
  <c r="BQ17" i="267"/>
  <c r="BQ12" i="267"/>
  <c r="BQ8" i="267"/>
  <c r="CL12" i="267"/>
  <c r="CL17" i="267"/>
  <c r="CL8" i="267"/>
  <c r="DC8" i="267"/>
  <c r="DC17" i="267"/>
  <c r="DC12" i="267"/>
  <c r="CB12" i="267"/>
  <c r="CB17" i="267"/>
  <c r="CB8" i="267"/>
  <c r="BK12" i="267"/>
  <c r="BK17" i="267"/>
  <c r="BK8" i="267"/>
  <c r="BV17" i="267"/>
  <c r="BV12" i="267"/>
  <c r="BV8" i="267"/>
  <c r="CV12" i="267"/>
  <c r="CV17" i="267"/>
  <c r="CV8" i="267"/>
  <c r="DJ12" i="267"/>
  <c r="DJ17" i="267"/>
  <c r="DJ8" i="267"/>
  <c r="DM17" i="267"/>
  <c r="DM12" i="267"/>
  <c r="DM8" i="267"/>
  <c r="DO17" i="267"/>
  <c r="DO12" i="267"/>
  <c r="DO8" i="267"/>
  <c r="CW17" i="267"/>
  <c r="CW12" i="267"/>
  <c r="CW8" i="267"/>
  <c r="CS17" i="267"/>
  <c r="CS12" i="267"/>
  <c r="CS8" i="267"/>
  <c r="AR17" i="267"/>
  <c r="AR12" i="267"/>
  <c r="AR8" i="267"/>
  <c r="DI12" i="267"/>
  <c r="DI17" i="267"/>
  <c r="DI8" i="267"/>
  <c r="CM17" i="267"/>
  <c r="CM8" i="267"/>
  <c r="CM12" i="267"/>
  <c r="DL12" i="267"/>
  <c r="DL17" i="267"/>
  <c r="DL8" i="267"/>
  <c r="BC12" i="267"/>
  <c r="BC17" i="267"/>
  <c r="BC8" i="267"/>
  <c r="BL17" i="267"/>
  <c r="BL12" i="267"/>
  <c r="BL8" i="267"/>
  <c r="CH12" i="267"/>
  <c r="CH17" i="267"/>
  <c r="CH8" i="267"/>
  <c r="CI17" i="267"/>
  <c r="CI12" i="267"/>
  <c r="CI8" i="267"/>
  <c r="AJ12" i="267"/>
  <c r="AJ17" i="267"/>
  <c r="AJ8" i="267"/>
  <c r="DS17" i="267"/>
  <c r="DS12" i="267"/>
  <c r="DS8" i="267"/>
  <c r="CY12" i="267"/>
  <c r="CY17" i="267"/>
  <c r="CY8" i="267"/>
  <c r="BO12" i="267"/>
  <c r="BO17" i="267"/>
  <c r="BO8" i="267"/>
  <c r="BF12" i="267"/>
  <c r="BF17" i="267"/>
  <c r="BF8" i="267"/>
  <c r="DG12" i="267"/>
  <c r="DG17" i="267"/>
  <c r="DG8" i="267"/>
  <c r="AS17" i="267"/>
  <c r="AS12" i="267"/>
  <c r="AS8" i="267"/>
  <c r="CJ12" i="267"/>
  <c r="CJ17" i="267"/>
  <c r="CJ8" i="267"/>
  <c r="BE8" i="267"/>
  <c r="BE17" i="267"/>
  <c r="BE12" i="267"/>
  <c r="CD17" i="267"/>
  <c r="CD12" i="267"/>
  <c r="CD8" i="267"/>
  <c r="BR12" i="267"/>
  <c r="BR17" i="267"/>
  <c r="BR8" i="267"/>
  <c r="AO17" i="267"/>
  <c r="AO12" i="267"/>
  <c r="AO8" i="267"/>
  <c r="U41" i="267" l="1"/>
  <c r="CJ13" i="267"/>
  <c r="CJ18" i="267"/>
  <c r="DS9" i="267"/>
  <c r="DS43" i="267"/>
  <c r="DS45" i="267" s="1"/>
  <c r="DI43" i="267"/>
  <c r="DI45" i="267" s="1"/>
  <c r="DI9" i="267"/>
  <c r="DJ13" i="267"/>
  <c r="DJ18" i="267"/>
  <c r="CL9" i="267"/>
  <c r="CL43" i="267"/>
  <c r="CL45" i="267" s="1"/>
  <c r="BN9" i="267"/>
  <c r="BN43" i="267"/>
  <c r="BN45" i="267" s="1"/>
  <c r="AW9" i="267"/>
  <c r="AW43" i="267"/>
  <c r="AW45" i="267" s="1"/>
  <c r="AX18" i="267"/>
  <c r="AX13" i="267"/>
  <c r="CQ9" i="267"/>
  <c r="CQ43" i="267"/>
  <c r="CQ45" i="267" s="1"/>
  <c r="DU9" i="267"/>
  <c r="DU43" i="267"/>
  <c r="DU45" i="267" s="1"/>
  <c r="CR43" i="267"/>
  <c r="CR45" i="267" s="1"/>
  <c r="CR9" i="267"/>
  <c r="CG9" i="267"/>
  <c r="CG43" i="267"/>
  <c r="CG45" i="267" s="1"/>
  <c r="AL9" i="267"/>
  <c r="AL43" i="267"/>
  <c r="AL45" i="267" s="1"/>
  <c r="DF9" i="267"/>
  <c r="DF43" i="267"/>
  <c r="DF45" i="267" s="1"/>
  <c r="CX18" i="267"/>
  <c r="CX13" i="267"/>
  <c r="BE43" i="267"/>
  <c r="BE45" i="267" s="1"/>
  <c r="BE9" i="267"/>
  <c r="DS13" i="267"/>
  <c r="DS18" i="267"/>
  <c r="AJ13" i="267"/>
  <c r="AJ18" i="267"/>
  <c r="CH9" i="267"/>
  <c r="CH43" i="267"/>
  <c r="CH45" i="267" s="1"/>
  <c r="BL13" i="267"/>
  <c r="BL18" i="267"/>
  <c r="BC18" i="267"/>
  <c r="BC13" i="267"/>
  <c r="CM13" i="267"/>
  <c r="CM18" i="267"/>
  <c r="CW9" i="267"/>
  <c r="CW43" i="267"/>
  <c r="CW45" i="267" s="1"/>
  <c r="DO13" i="267"/>
  <c r="DO18" i="267"/>
  <c r="CV9" i="267"/>
  <c r="CV43" i="267"/>
  <c r="CV45" i="267" s="1"/>
  <c r="BV13" i="267"/>
  <c r="BV18" i="267"/>
  <c r="BK13" i="267"/>
  <c r="BK18" i="267"/>
  <c r="DC13" i="267"/>
  <c r="DC18" i="267"/>
  <c r="DN9" i="267"/>
  <c r="DN43" i="267"/>
  <c r="DN45" i="267" s="1"/>
  <c r="BN13" i="267"/>
  <c r="BN18" i="267"/>
  <c r="AN13" i="267"/>
  <c r="AN18" i="267"/>
  <c r="BX9" i="267"/>
  <c r="BX43" i="267"/>
  <c r="BX45" i="267" s="1"/>
  <c r="AW13" i="267"/>
  <c r="AW18" i="267"/>
  <c r="CE13" i="267"/>
  <c r="CE18" i="267"/>
  <c r="DB18" i="267"/>
  <c r="DB13" i="267"/>
  <c r="AZ13" i="267"/>
  <c r="AZ18" i="267"/>
  <c r="BH13" i="267"/>
  <c r="BH18" i="267"/>
  <c r="DR9" i="267"/>
  <c r="DR43" i="267"/>
  <c r="DR45" i="267" s="1"/>
  <c r="CU18" i="267"/>
  <c r="CU13" i="267"/>
  <c r="BJ43" i="267"/>
  <c r="BJ45" i="267" s="1"/>
  <c r="BJ9" i="267"/>
  <c r="AV9" i="267"/>
  <c r="AV43" i="267"/>
  <c r="AV45" i="267" s="1"/>
  <c r="AM9" i="267"/>
  <c r="AM43" i="267"/>
  <c r="AM45" i="267" s="1"/>
  <c r="CN9" i="267"/>
  <c r="CN43" i="267"/>
  <c r="CN45" i="267" s="1"/>
  <c r="CG13" i="267"/>
  <c r="CG18" i="267"/>
  <c r="DE18" i="267"/>
  <c r="DE13" i="267"/>
  <c r="BW9" i="267"/>
  <c r="BW43" i="267"/>
  <c r="BW45" i="267" s="1"/>
  <c r="AL18" i="267"/>
  <c r="AL13" i="267"/>
  <c r="DH13" i="267"/>
  <c r="DH18" i="267"/>
  <c r="AU43" i="267"/>
  <c r="AU45" i="267" s="1"/>
  <c r="AU9" i="267"/>
  <c r="CZ13" i="267"/>
  <c r="CZ18" i="267"/>
  <c r="BM43" i="267"/>
  <c r="BM45" i="267" s="1"/>
  <c r="BM9" i="267"/>
  <c r="AQ43" i="267"/>
  <c r="AQ45" i="267" s="1"/>
  <c r="AQ9" i="267"/>
  <c r="AY18" i="267"/>
  <c r="AY13" i="267"/>
  <c r="CP18" i="267"/>
  <c r="CP13" i="267"/>
  <c r="BG43" i="267"/>
  <c r="BG45" i="267" s="1"/>
  <c r="BG9" i="267"/>
  <c r="AK13" i="267"/>
  <c r="AK18" i="267"/>
  <c r="DK13" i="267"/>
  <c r="DK18" i="267"/>
  <c r="BT9" i="267"/>
  <c r="BT43" i="267"/>
  <c r="BT45" i="267" s="1"/>
  <c r="U43" i="267"/>
  <c r="U40" i="267"/>
  <c r="CD43" i="267"/>
  <c r="CD45" i="267" s="1"/>
  <c r="CD9" i="267"/>
  <c r="BO18" i="267"/>
  <c r="BO13" i="267"/>
  <c r="BL9" i="267"/>
  <c r="BL43" i="267"/>
  <c r="BL45" i="267" s="1"/>
  <c r="AR18" i="267"/>
  <c r="AR13" i="267"/>
  <c r="DO9" i="267"/>
  <c r="DO43" i="267"/>
  <c r="DO45" i="267" s="1"/>
  <c r="BV9" i="267"/>
  <c r="BV43" i="267"/>
  <c r="BV45" i="267" s="1"/>
  <c r="BQ13" i="267"/>
  <c r="BQ18" i="267"/>
  <c r="BS18" i="267"/>
  <c r="BS13" i="267"/>
  <c r="AT13" i="267"/>
  <c r="AT18" i="267"/>
  <c r="BU18" i="267"/>
  <c r="BU13" i="267"/>
  <c r="BP43" i="267"/>
  <c r="BP45" i="267" s="1"/>
  <c r="BP9" i="267"/>
  <c r="BI18" i="267"/>
  <c r="BI13" i="267"/>
  <c r="DQ13" i="267"/>
  <c r="DQ18" i="267"/>
  <c r="AY43" i="267"/>
  <c r="AY45" i="267" s="1"/>
  <c r="AY9" i="267"/>
  <c r="CA13" i="267"/>
  <c r="CA18" i="267"/>
  <c r="DK9" i="267"/>
  <c r="DK43" i="267"/>
  <c r="DK45" i="267" s="1"/>
  <c r="BR9" i="267"/>
  <c r="BR43" i="267"/>
  <c r="BR45" i="267" s="1"/>
  <c r="BF18" i="267"/>
  <c r="BF13" i="267"/>
  <c r="AS18" i="267"/>
  <c r="AS13" i="267"/>
  <c r="BO9" i="267"/>
  <c r="BO43" i="267"/>
  <c r="BO45" i="267" s="1"/>
  <c r="DI13" i="267"/>
  <c r="DI18" i="267"/>
  <c r="CW13" i="267"/>
  <c r="CW18" i="267"/>
  <c r="DJ9" i="267"/>
  <c r="DJ43" i="267"/>
  <c r="DJ45" i="267" s="1"/>
  <c r="CB9" i="267"/>
  <c r="CB43" i="267"/>
  <c r="CB45" i="267" s="1"/>
  <c r="CL13" i="267"/>
  <c r="CL18" i="267"/>
  <c r="DP9" i="267"/>
  <c r="DP43" i="267"/>
  <c r="DP45" i="267" s="1"/>
  <c r="DN18" i="267"/>
  <c r="DN13" i="267"/>
  <c r="CF9" i="267"/>
  <c r="CF43" i="267"/>
  <c r="CF45" i="267" s="1"/>
  <c r="CO9" i="267"/>
  <c r="CO43" i="267"/>
  <c r="CO45" i="267" s="1"/>
  <c r="DT9" i="267"/>
  <c r="DT43" i="267"/>
  <c r="DT45" i="267" s="1"/>
  <c r="AZ9" i="267"/>
  <c r="AZ43" i="267"/>
  <c r="AZ45" i="267" s="1"/>
  <c r="BS43" i="267"/>
  <c r="BS45" i="267" s="1"/>
  <c r="BS9" i="267"/>
  <c r="DR18" i="267"/>
  <c r="DR13" i="267"/>
  <c r="CK18" i="267"/>
  <c r="CK13" i="267"/>
  <c r="AT43" i="267"/>
  <c r="AT45" i="267" s="1"/>
  <c r="AT9" i="267"/>
  <c r="BJ13" i="267"/>
  <c r="BJ18" i="267"/>
  <c r="CQ18" i="267"/>
  <c r="CQ13" i="267"/>
  <c r="CT43" i="267"/>
  <c r="CT45" i="267" s="1"/>
  <c r="CT9" i="267"/>
  <c r="DU13" i="267"/>
  <c r="DU18" i="267"/>
  <c r="BY9" i="267"/>
  <c r="BY43" i="267"/>
  <c r="BY45" i="267" s="1"/>
  <c r="AM13" i="267"/>
  <c r="AM18" i="267"/>
  <c r="CR13" i="267"/>
  <c r="CR18" i="267"/>
  <c r="BZ9" i="267"/>
  <c r="BZ43" i="267"/>
  <c r="BZ45" i="267" s="1"/>
  <c r="CN18" i="267"/>
  <c r="CN13" i="267"/>
  <c r="AP18" i="267"/>
  <c r="AP13" i="267"/>
  <c r="BW18" i="267"/>
  <c r="BW13" i="267"/>
  <c r="BI9" i="267"/>
  <c r="BI43" i="267"/>
  <c r="BI45" i="267" s="1"/>
  <c r="AU13" i="267"/>
  <c r="AU18" i="267"/>
  <c r="DF18" i="267"/>
  <c r="DF13" i="267"/>
  <c r="CC18" i="267"/>
  <c r="CC13" i="267"/>
  <c r="BA18" i="267"/>
  <c r="BA13" i="267"/>
  <c r="DA43" i="267"/>
  <c r="DA45" i="267" s="1"/>
  <c r="DA9" i="267"/>
  <c r="AQ13" i="267"/>
  <c r="AQ18" i="267"/>
  <c r="BD9" i="267"/>
  <c r="BD43" i="267"/>
  <c r="BD45" i="267" s="1"/>
  <c r="BG18" i="267"/>
  <c r="BG13" i="267"/>
  <c r="BT18" i="267"/>
  <c r="BT13" i="267"/>
  <c r="U45" i="267"/>
  <c r="U42" i="267"/>
  <c r="DG9" i="267"/>
  <c r="DG43" i="267"/>
  <c r="DG45" i="267" s="1"/>
  <c r="DL18" i="267"/>
  <c r="DL13" i="267"/>
  <c r="DM13" i="267"/>
  <c r="DM18" i="267"/>
  <c r="CB18" i="267"/>
  <c r="CB13" i="267"/>
  <c r="CF13" i="267"/>
  <c r="CF18" i="267"/>
  <c r="CO18" i="267"/>
  <c r="CO13" i="267"/>
  <c r="BH9" i="267"/>
  <c r="BH43" i="267"/>
  <c r="BH45" i="267" s="1"/>
  <c r="CK9" i="267"/>
  <c r="CK43" i="267"/>
  <c r="CK45" i="267" s="1"/>
  <c r="BB13" i="267"/>
  <c r="BB18" i="267"/>
  <c r="BY13" i="267"/>
  <c r="BY18" i="267"/>
  <c r="BZ18" i="267"/>
  <c r="BZ13" i="267"/>
  <c r="BA9" i="267"/>
  <c r="BA43" i="267"/>
  <c r="BA45" i="267" s="1"/>
  <c r="BD13" i="267"/>
  <c r="BD18" i="267"/>
  <c r="AK9" i="267"/>
  <c r="AK43" i="267"/>
  <c r="AK45" i="267" s="1"/>
  <c r="DD9" i="267"/>
  <c r="DD43" i="267"/>
  <c r="DD45" i="267" s="1"/>
  <c r="CD13" i="267"/>
  <c r="CD18" i="267"/>
  <c r="AS9" i="267"/>
  <c r="AS43" i="267"/>
  <c r="AS45" i="267" s="1"/>
  <c r="CY43" i="267"/>
  <c r="CY45" i="267" s="1"/>
  <c r="CY9" i="267"/>
  <c r="AO9" i="267"/>
  <c r="AO43" i="267"/>
  <c r="AO45" i="267" s="1"/>
  <c r="CJ9" i="267"/>
  <c r="CJ43" i="267"/>
  <c r="CJ45" i="267" s="1"/>
  <c r="DG18" i="267"/>
  <c r="DG13" i="267"/>
  <c r="CI9" i="267"/>
  <c r="CI43" i="267"/>
  <c r="CI45" i="267" s="1"/>
  <c r="DL9" i="267"/>
  <c r="DL43" i="267"/>
  <c r="DL45" i="267" s="1"/>
  <c r="CM9" i="267"/>
  <c r="CM43" i="267"/>
  <c r="CM45" i="267" s="1"/>
  <c r="CS9" i="267"/>
  <c r="CS43" i="267"/>
  <c r="CS45" i="267" s="1"/>
  <c r="AO13" i="267"/>
  <c r="AO18" i="267"/>
  <c r="BR13" i="267"/>
  <c r="BR18" i="267"/>
  <c r="BE18" i="267"/>
  <c r="BE13" i="267"/>
  <c r="BF43" i="267"/>
  <c r="BF45" i="267" s="1"/>
  <c r="BF9" i="267"/>
  <c r="CY18" i="267"/>
  <c r="CY13" i="267"/>
  <c r="AJ9" i="267"/>
  <c r="AJ43" i="267"/>
  <c r="AJ45" i="267" s="1"/>
  <c r="CI13" i="267"/>
  <c r="CI18" i="267"/>
  <c r="CH18" i="267"/>
  <c r="CH13" i="267"/>
  <c r="BC9" i="267"/>
  <c r="BC43" i="267"/>
  <c r="BC45" i="267" s="1"/>
  <c r="AR9" i="267"/>
  <c r="AR43" i="267"/>
  <c r="AR45" i="267" s="1"/>
  <c r="CS18" i="267"/>
  <c r="CS13" i="267"/>
  <c r="DM9" i="267"/>
  <c r="DM43" i="267"/>
  <c r="DM45" i="267" s="1"/>
  <c r="CV13" i="267"/>
  <c r="CV18" i="267"/>
  <c r="BK9" i="267"/>
  <c r="BK43" i="267"/>
  <c r="BK45" i="267" s="1"/>
  <c r="DC9" i="267"/>
  <c r="DC43" i="267"/>
  <c r="DC45" i="267" s="1"/>
  <c r="BQ43" i="267"/>
  <c r="BQ45" i="267" s="1"/>
  <c r="BQ9" i="267"/>
  <c r="DP18" i="267"/>
  <c r="DP13" i="267"/>
  <c r="AN9" i="267"/>
  <c r="AN43" i="267"/>
  <c r="AN45" i="267" s="1"/>
  <c r="BX18" i="267"/>
  <c r="BX13" i="267"/>
  <c r="CE9" i="267"/>
  <c r="CE43" i="267"/>
  <c r="CE45" i="267" s="1"/>
  <c r="DB9" i="267"/>
  <c r="DB43" i="267"/>
  <c r="DB45" i="267" s="1"/>
  <c r="DT13" i="267"/>
  <c r="DT18" i="267"/>
  <c r="AX9" i="267"/>
  <c r="AX43" i="267"/>
  <c r="AX45" i="267" s="1"/>
  <c r="CU43" i="267"/>
  <c r="CU45" i="267" s="1"/>
  <c r="CU9" i="267"/>
  <c r="BB9" i="267"/>
  <c r="BB43" i="267"/>
  <c r="BB45" i="267" s="1"/>
  <c r="CT13" i="267"/>
  <c r="CT18" i="267"/>
  <c r="AV18" i="267"/>
  <c r="AV13" i="267"/>
  <c r="BU43" i="267"/>
  <c r="BU45" i="267" s="1"/>
  <c r="BU9" i="267"/>
  <c r="BP13" i="267"/>
  <c r="BP18" i="267"/>
  <c r="DE9" i="267"/>
  <c r="DE43" i="267"/>
  <c r="DE45" i="267" s="1"/>
  <c r="AP43" i="267"/>
  <c r="AP45" i="267" s="1"/>
  <c r="AP9" i="267"/>
  <c r="DH9" i="267"/>
  <c r="DH43" i="267"/>
  <c r="DH45" i="267" s="1"/>
  <c r="CZ43" i="267"/>
  <c r="CZ45" i="267" s="1"/>
  <c r="CZ9" i="267"/>
  <c r="CC9" i="267"/>
  <c r="CC43" i="267"/>
  <c r="CC45" i="267" s="1"/>
  <c r="BM18" i="267"/>
  <c r="BM13" i="267"/>
  <c r="DQ43" i="267"/>
  <c r="DQ45" i="267" s="1"/>
  <c r="DQ9" i="267"/>
  <c r="DA18" i="267"/>
  <c r="DA13" i="267"/>
  <c r="CP9" i="267"/>
  <c r="CP43" i="267"/>
  <c r="CP45" i="267" s="1"/>
  <c r="CA9" i="267"/>
  <c r="CA43" i="267"/>
  <c r="CA45" i="267" s="1"/>
  <c r="DD13" i="267"/>
  <c r="DD18" i="267"/>
  <c r="CX43" i="267"/>
  <c r="CX45" i="267" s="1"/>
  <c r="CX9" i="267"/>
  <c r="U46" i="267"/>
  <c r="U44" i="267"/>
  <c r="AD91" i="267" l="1"/>
  <c r="AI91" i="267"/>
  <c r="AA49" i="267"/>
  <c r="AA50" i="267" s="1"/>
  <c r="BA46" i="267" s="1"/>
  <c r="DO46" i="267" l="1"/>
  <c r="AZ46" i="267"/>
  <c r="BH46" i="267"/>
  <c r="DL46" i="267"/>
  <c r="AR46" i="267"/>
  <c r="DE46" i="267"/>
  <c r="DB46" i="267"/>
  <c r="AU46" i="267"/>
  <c r="BS46" i="267"/>
  <c r="AP46" i="267"/>
  <c r="BC46" i="267"/>
  <c r="CQ46" i="267"/>
  <c r="CV46" i="267"/>
  <c r="BV46" i="267"/>
  <c r="DP46" i="267"/>
  <c r="BD46" i="267"/>
  <c r="BE46" i="267"/>
  <c r="BP46" i="267"/>
  <c r="CU46" i="267"/>
  <c r="DH46" i="267"/>
  <c r="BX46" i="267"/>
  <c r="DR46" i="267"/>
  <c r="BW46" i="267"/>
  <c r="BR46" i="267"/>
  <c r="BZ46" i="267"/>
  <c r="DD46" i="267"/>
  <c r="CS46" i="267"/>
  <c r="DM46" i="267"/>
  <c r="CC46" i="267"/>
  <c r="CA46" i="267"/>
  <c r="BM46" i="267"/>
  <c r="CT46" i="267"/>
  <c r="CZ46" i="267"/>
  <c r="BB46" i="267"/>
  <c r="AL46" i="267"/>
  <c r="DN46" i="267"/>
  <c r="DK46" i="267"/>
  <c r="CF46" i="267"/>
  <c r="CK46" i="267"/>
  <c r="BJ46" i="267"/>
  <c r="AT46" i="267"/>
  <c r="BU46" i="267"/>
  <c r="G40" i="267"/>
  <c r="Z46" i="267"/>
  <c r="D40" i="267"/>
  <c r="F38" i="267"/>
  <c r="E41" i="267"/>
  <c r="F39" i="267"/>
  <c r="E38" i="267"/>
  <c r="G39" i="267"/>
  <c r="V19" i="267"/>
  <c r="D42" i="267"/>
  <c r="G41" i="267"/>
  <c r="E39" i="267"/>
  <c r="F42" i="267"/>
  <c r="D39" i="267"/>
  <c r="F41" i="267"/>
  <c r="E42" i="267"/>
  <c r="E40" i="267"/>
  <c r="D41" i="267"/>
  <c r="G42" i="267"/>
  <c r="F40" i="267"/>
  <c r="D38" i="267"/>
  <c r="T26" i="267"/>
  <c r="G38" i="267"/>
  <c r="AA51" i="267"/>
  <c r="AA46" i="267"/>
  <c r="AB46" i="267"/>
  <c r="AC46" i="267"/>
  <c r="T27" i="267"/>
  <c r="AD46" i="267"/>
  <c r="AE46" i="267"/>
  <c r="AF46" i="267"/>
  <c r="AG46" i="267"/>
  <c r="AH46" i="267"/>
  <c r="AI46" i="267"/>
  <c r="T28" i="267"/>
  <c r="DU46" i="267"/>
  <c r="DS46" i="267"/>
  <c r="CG46" i="267"/>
  <c r="AM46" i="267"/>
  <c r="BT46" i="267"/>
  <c r="DJ46" i="267"/>
  <c r="BI46" i="267"/>
  <c r="AS46" i="267"/>
  <c r="AJ46" i="267"/>
  <c r="BK46" i="267"/>
  <c r="CP46" i="267"/>
  <c r="DI46" i="267"/>
  <c r="BG46" i="267"/>
  <c r="DA46" i="267"/>
  <c r="CX46" i="267"/>
  <c r="CL46" i="267"/>
  <c r="CH46" i="267"/>
  <c r="AV46" i="267"/>
  <c r="BO46" i="267"/>
  <c r="DT46" i="267"/>
  <c r="AK46" i="267"/>
  <c r="AQ46" i="267"/>
  <c r="BF46" i="267"/>
  <c r="DQ46" i="267"/>
  <c r="DC46" i="267"/>
  <c r="BN46" i="267"/>
  <c r="DF46" i="267"/>
  <c r="BL46" i="267"/>
  <c r="CO46" i="267"/>
  <c r="DG46" i="267"/>
  <c r="AO46" i="267"/>
  <c r="T29" i="267"/>
  <c r="CE46" i="267"/>
  <c r="CI46" i="267"/>
  <c r="CR46" i="267"/>
  <c r="AY46" i="267"/>
  <c r="CY46" i="267"/>
  <c r="CJ46" i="267"/>
  <c r="AW46" i="267"/>
  <c r="CW46" i="267"/>
  <c r="CN46" i="267"/>
  <c r="CB46" i="267"/>
  <c r="BY46" i="267"/>
  <c r="CM46" i="267"/>
  <c r="CD46" i="267"/>
  <c r="BQ46" i="267"/>
  <c r="AN46" i="267"/>
  <c r="AX46" i="267"/>
  <c r="U26" i="267" l="1"/>
  <c r="U27" i="267" s="1"/>
  <c r="U28" i="267" s="1"/>
  <c r="U29" i="267" s="1"/>
  <c r="AA57" i="267"/>
  <c r="AA52" i="267"/>
  <c r="V10" i="267"/>
  <c r="Z92" i="267" s="1"/>
  <c r="Z95" i="267" l="1"/>
  <c r="Z94" i="267"/>
  <c r="V11" i="267"/>
  <c r="AA53" i="267"/>
  <c r="V12" i="267" s="1"/>
  <c r="L29" i="267"/>
  <c r="O29" i="267" s="1"/>
  <c r="R29" i="267"/>
  <c r="Q29" i="267"/>
  <c r="Z93" i="267"/>
  <c r="AF180" i="275"/>
  <c r="AB180" i="275"/>
  <c r="BA180" i="259"/>
  <c r="BA180" i="275" s="1"/>
  <c r="AB263" i="259"/>
  <c r="AB24" i="261" s="1"/>
  <c r="N29" i="267" l="1"/>
  <c r="BB180" i="275"/>
  <c r="BA263" i="259"/>
  <c r="BA24" i="261" s="1"/>
  <c r="AF179" i="275"/>
  <c r="AB179" i="275"/>
  <c r="AB181" i="275"/>
  <c r="BA179" i="259"/>
  <c r="BA179" i="275" s="1"/>
  <c r="AB23" i="261"/>
  <c r="AB452" i="259"/>
  <c r="AF452" i="275" s="1"/>
  <c r="BA181" i="259" l="1"/>
  <c r="BB181" i="275" s="1"/>
  <c r="BB179" i="275"/>
  <c r="BA452" i="259"/>
  <c r="BA453" i="259" s="1"/>
  <c r="BA453" i="275" s="1"/>
  <c r="BA262" i="259"/>
  <c r="BA23" i="261" s="1"/>
  <c r="AB453" i="259"/>
  <c r="AF453" i="275" s="1"/>
  <c r="AF181" i="275"/>
  <c r="AB452" i="275"/>
  <c r="BA181" i="275" l="1"/>
  <c r="BB452" i="275"/>
  <c r="BA452" i="275"/>
  <c r="BB453" i="275"/>
  <c r="AB453" i="275"/>
</calcChain>
</file>

<file path=xl/comments1.xml><?xml version="1.0" encoding="utf-8"?>
<comments xmlns="http://schemas.openxmlformats.org/spreadsheetml/2006/main">
  <authors>
    <author>Gosalia, Manan (Research)</author>
  </authors>
  <commentList>
    <comment ref="F8" authorId="0">
      <text>
        <r>
          <rPr>
            <b/>
            <sz val="9"/>
            <color indexed="81"/>
            <rFont val="Tahoma"/>
            <family val="2"/>
          </rPr>
          <t>Gosalia, Manan (Research):</t>
        </r>
        <r>
          <rPr>
            <sz val="9"/>
            <color indexed="81"/>
            <rFont val="Tahoma"/>
            <family val="2"/>
          </rPr>
          <t xml:space="preserve">
assumes no disallowed DTA</t>
        </r>
      </text>
    </comment>
    <comment ref="E50" authorId="0">
      <text>
        <r>
          <rPr>
            <b/>
            <sz val="9"/>
            <color indexed="81"/>
            <rFont val="Tahoma"/>
            <family val="2"/>
          </rPr>
          <t>Gosalia, Manan (Research):</t>
        </r>
        <r>
          <rPr>
            <sz val="9"/>
            <color indexed="81"/>
            <rFont val="Tahoma"/>
            <family val="2"/>
          </rPr>
          <t xml:space="preserve">
core growth is 5%</t>
        </r>
      </text>
    </comment>
    <comment ref="L108" authorId="0">
      <text>
        <r>
          <rPr>
            <b/>
            <sz val="9"/>
            <color indexed="81"/>
            <rFont val="Tahoma"/>
            <family val="2"/>
          </rPr>
          <t>Gosalia, Manan (Research):</t>
        </r>
        <r>
          <rPr>
            <sz val="9"/>
            <color indexed="81"/>
            <rFont val="Tahoma"/>
            <family val="2"/>
          </rPr>
          <t xml:space="preserve">
4Q Q/Q</t>
        </r>
      </text>
    </comment>
    <comment ref="D117" authorId="0">
      <text>
        <r>
          <rPr>
            <b/>
            <sz val="9"/>
            <color indexed="81"/>
            <rFont val="Tahoma"/>
            <family val="2"/>
          </rPr>
          <t>Gosalia, Manan (Research):</t>
        </r>
        <r>
          <rPr>
            <sz val="9"/>
            <color indexed="81"/>
            <rFont val="Tahoma"/>
            <family val="2"/>
          </rPr>
          <t xml:space="preserve">
i.e. -18% q/q is a little lower than 1Q17 which is their guidance</t>
        </r>
      </text>
    </comment>
  </commentList>
</comments>
</file>

<file path=xl/comments2.xml><?xml version="1.0" encoding="utf-8"?>
<comments xmlns="http://schemas.openxmlformats.org/spreadsheetml/2006/main">
  <authors>
    <author>Gosalia, Manan (Research)</author>
  </authors>
  <commentList>
    <comment ref="C12" authorId="0">
      <text>
        <r>
          <rPr>
            <b/>
            <sz val="9"/>
            <color indexed="81"/>
            <rFont val="Tahoma"/>
            <family val="2"/>
          </rPr>
          <t>Gosalia, Manan (Research):</t>
        </r>
        <r>
          <rPr>
            <sz val="9"/>
            <color indexed="81"/>
            <rFont val="Tahoma"/>
            <family val="2"/>
          </rPr>
          <t xml:space="preserve">
non-FTE</t>
        </r>
      </text>
    </comment>
    <comment ref="C19" authorId="0">
      <text>
        <r>
          <rPr>
            <b/>
            <sz val="9"/>
            <color indexed="81"/>
            <rFont val="Tahoma"/>
            <family val="2"/>
          </rPr>
          <t>Gosalia, Manan (Research):</t>
        </r>
        <r>
          <rPr>
            <sz val="9"/>
            <color indexed="81"/>
            <rFont val="Tahoma"/>
            <family val="2"/>
          </rPr>
          <t xml:space="preserve">
changed from 4.35% in 2Q17</t>
        </r>
      </text>
    </comment>
    <comment ref="C22" authorId="0">
      <text>
        <r>
          <rPr>
            <b/>
            <sz val="9"/>
            <color indexed="81"/>
            <rFont val="Tahoma"/>
            <family val="2"/>
          </rPr>
          <t>Gosalia, Manan (Research):</t>
        </r>
        <r>
          <rPr>
            <sz val="9"/>
            <color indexed="81"/>
            <rFont val="Tahoma"/>
            <family val="2"/>
          </rPr>
          <t xml:space="preserve">
$1B already in 1H17</t>
        </r>
      </text>
    </comment>
    <comment ref="I24" authorId="0">
      <text>
        <r>
          <rPr>
            <b/>
            <sz val="9"/>
            <color indexed="81"/>
            <rFont val="Tahoma"/>
            <family val="2"/>
          </rPr>
          <t>Gosalia, Manan (Research):</t>
        </r>
        <r>
          <rPr>
            <sz val="9"/>
            <color indexed="81"/>
            <rFont val="Tahoma"/>
            <family val="2"/>
          </rPr>
          <t xml:space="preserve">
forecast per model</t>
        </r>
      </text>
    </comment>
    <comment ref="I25" authorId="0">
      <text>
        <r>
          <rPr>
            <b/>
            <sz val="9"/>
            <color indexed="81"/>
            <rFont val="Tahoma"/>
            <family val="2"/>
          </rPr>
          <t>Gosalia, Manan (Research):</t>
        </r>
        <r>
          <rPr>
            <sz val="9"/>
            <color indexed="81"/>
            <rFont val="Tahoma"/>
            <family val="2"/>
          </rPr>
          <t xml:space="preserve">
alternate calculation: adding back trading related NII decline </t>
        </r>
      </text>
    </comment>
    <comment ref="M30" authorId="0">
      <text>
        <r>
          <rPr>
            <b/>
            <sz val="9"/>
            <color indexed="81"/>
            <rFont val="Tahoma"/>
            <family val="2"/>
          </rPr>
          <t>Gosalia, Manan (Research):</t>
        </r>
        <r>
          <rPr>
            <sz val="9"/>
            <color indexed="81"/>
            <rFont val="Tahoma"/>
            <family val="2"/>
          </rPr>
          <t xml:space="preserve">
4Q Q/Q</t>
        </r>
      </text>
    </comment>
    <comment ref="C39" authorId="0">
      <text>
        <r>
          <rPr>
            <b/>
            <sz val="9"/>
            <color indexed="81"/>
            <rFont val="Tahoma"/>
            <family val="2"/>
          </rPr>
          <t>Gosalia, Manan (Research):</t>
        </r>
        <r>
          <rPr>
            <sz val="9"/>
            <color indexed="81"/>
            <rFont val="Tahoma"/>
            <family val="2"/>
          </rPr>
          <t xml:space="preserve">
i.e. -18% q/q is a little lower than 1Q17 which is their guidance</t>
        </r>
      </text>
    </comment>
  </commentList>
</comments>
</file>

<file path=xl/comments3.xml><?xml version="1.0" encoding="utf-8"?>
<comments xmlns="http://schemas.openxmlformats.org/spreadsheetml/2006/main">
  <authors>
    <author>michcy</author>
    <author>Cyprys, Michael J (Research)</author>
    <author>Gosalia, Manan (Research)</author>
    <author>VL</author>
    <author>Graseck, Betsy (Research)</author>
    <author>Michcy</author>
    <author>Somani, Piyush (Research)</author>
  </authors>
  <commentList>
    <comment ref="G11" authorId="0">
      <text>
        <r>
          <rPr>
            <b/>
            <sz val="8"/>
            <color indexed="81"/>
            <rFont val="Tahoma"/>
            <family val="2"/>
          </rPr>
          <t>michcy:</t>
        </r>
        <r>
          <rPr>
            <sz val="8"/>
            <color indexed="81"/>
            <rFont val="Tahoma"/>
            <family val="2"/>
          </rPr>
          <t xml:space="preserve">
</t>
        </r>
        <r>
          <rPr>
            <b/>
            <sz val="8"/>
            <color indexed="81"/>
            <rFont val="Tahoma"/>
            <family val="2"/>
          </rPr>
          <t>Dec 13, 2012</t>
        </r>
        <r>
          <rPr>
            <sz val="8"/>
            <color indexed="81"/>
            <rFont val="Tahoma"/>
            <family val="2"/>
          </rPr>
          <t xml:space="preserve">: Citi issues $750m of Perp NC 10 Pref at 5.90% for 10yrs then floats at 3mL+423 bp thereafter; paid semi-annually on Feb/Aug 15 beginning Aug 15, 2013
Series B, cusip = 172967GF2
$44.25m annual divi; paid $22.125m semi-annually in 1Q/3Q beginning in 3q13
</t>
        </r>
        <r>
          <rPr>
            <b/>
            <sz val="8"/>
            <color indexed="81"/>
            <rFont val="Tahoma"/>
            <family val="2"/>
          </rPr>
          <t>Oct 23, 2012</t>
        </r>
        <r>
          <rPr>
            <sz val="8"/>
            <color indexed="81"/>
            <rFont val="Tahoma"/>
            <family val="2"/>
          </rPr>
          <t xml:space="preserve">: Citi issues $1.5b Perp NC10 at 5.95% fixed for 10 yrs, then floats at 3mL+406.8 bp thereafter; first pay date is 7/30/2013; assume declared in 2q and hits in 2q;  
Series A; cusip = 172967GD7; $1K par 
$89m annual divi worth 3c/share;
est $44.5m paid semi-annually beginning in 3q13
est divi hits 2q13 results as payment in 3q13
</t>
        </r>
      </text>
    </comment>
    <comment ref="H11" authorId="0">
      <text>
        <r>
          <rPr>
            <b/>
            <sz val="8"/>
            <color indexed="81"/>
            <rFont val="Tahoma"/>
            <family val="2"/>
          </rPr>
          <t>michcy:</t>
        </r>
        <r>
          <rPr>
            <sz val="8"/>
            <color indexed="81"/>
            <rFont val="Tahoma"/>
            <family val="2"/>
          </rPr>
          <t xml:space="preserve">
3/19/2013: Citi issues $500m Perp NC5 $25 par Pref at 5.80% quarterly beginning July 22, 2013; 
annual divi worth $33.35m or $8.3375m quarterly; expect mostly comes thru in 2q; 
Series C, cusip = 172967366
we est Citi will target 50 bp of b3 rwa in pref; est $4.8b of incremental issuance over next two years to reach about $6.5b pref total; est $2.4b in 2013 (all in 1q) and 2.4b in 2014; at 5.75% and 5.55%, lower vs Oct 2012 issuance of 5.95% assuming improving and sustainable earnings reduces credit spreads, partially offset by eventual rate rise</t>
        </r>
      </text>
    </comment>
    <comment ref="I11" authorId="0">
      <text>
        <r>
          <rPr>
            <b/>
            <sz val="8"/>
            <color indexed="81"/>
            <rFont val="Tahoma"/>
            <family val="2"/>
          </rPr>
          <t>michcy:</t>
        </r>
        <r>
          <rPr>
            <sz val="8"/>
            <color indexed="81"/>
            <rFont val="Tahoma"/>
            <family val="2"/>
          </rPr>
          <t xml:space="preserve">
3/19/2013: Citi issues $500m Perp NC5 $25 par Pref at 5.80% quarterly beginning July 22, 2013; 
annual divi worth $33.35m or $8.3375m quarterly; expect mostly comes thru in 2q; 
Series C, cusip = 172967366
we est Citi will target 50 bp of b3 rwa in pref; est $4.8b of incremental issuance over next two years to reach about $6.5b pref total; est $2.4b in 2013 (all in 1q) and 2.4b in 2014; at 5.75% and 5.55%, lower vs Oct 2012 issuance of 5.95% assuming improving and sustainable earnings reduces credit spreads, partially offset by eventual rate rise</t>
        </r>
      </text>
    </comment>
    <comment ref="J11" authorId="0">
      <text>
        <r>
          <rPr>
            <b/>
            <sz val="8"/>
            <color indexed="81"/>
            <rFont val="Tahoma"/>
            <family val="2"/>
          </rPr>
          <t>michcy:</t>
        </r>
        <r>
          <rPr>
            <sz val="8"/>
            <color indexed="81"/>
            <rFont val="Tahoma"/>
            <family val="2"/>
          </rPr>
          <t xml:space="preserve">
2q13; Citi discloses on slide 41 that pref divis are:
3q13 = 110m
4q13 = 52m
as of o/s pref at 7/15/2013
2014 = 252m
1q14 = 77
2q14 = 49
3q14 = 77
4q14 = 49
4/23/13: Citi issues $1.25b pref at 5.35%
annual divi of $66.875m worth $16.72m quarterly; estimate $11.15m comes thru in 2q13 and remaining $5.74m comes thru in 3q13</t>
        </r>
      </text>
    </comment>
    <comment ref="K11" authorId="0">
      <text>
        <r>
          <rPr>
            <b/>
            <sz val="8"/>
            <color indexed="81"/>
            <rFont val="Tahoma"/>
            <family val="2"/>
          </rPr>
          <t>michcy:</t>
        </r>
        <r>
          <rPr>
            <sz val="8"/>
            <color indexed="81"/>
            <rFont val="Tahoma"/>
            <family val="2"/>
          </rPr>
          <t xml:space="preserve">
2q13; Citi discloses on slide 41 that pref divis are:
3q13 = 110m
4q13 = 52m
as of o/s pref at 7/15/2013
2014 = 252m
1q14 = 77
2q14 = 49
3q14 = 77
4q14 = 49
4/23/13: Citi issues $1.25b pref at 5.35%
annual divi of $66.875m worth $16.72m quarterly; estimate $11.15m comes thru in 2q13 and remaining $5.74m comes thru in 3q13
we est Citi will target 50 bp of b3 rwa in pref; est $4.8b of incremental issuance over next two years to reach about $6.5b pref total; est $2.4b in 2013 (all in 1q with divi declared semi annually, beginning in 3q13) and 2.4b in 2014 (all in 1q14); at 5.75% and 5.55%, lower vs Oct 2012 issuance of 5.95% assuming improving and sustainable earnings reduces credit spreads, partially offset by eventual rate rise</t>
        </r>
      </text>
    </comment>
    <comment ref="L11" authorId="0">
      <text>
        <r>
          <rPr>
            <b/>
            <sz val="8"/>
            <color indexed="81"/>
            <rFont val="Tahoma"/>
            <family val="2"/>
          </rPr>
          <t>michcy:</t>
        </r>
        <r>
          <rPr>
            <sz val="8"/>
            <color indexed="81"/>
            <rFont val="Tahoma"/>
            <family val="2"/>
          </rPr>
          <t xml:space="preserve">
4q13; Citi discloses on slide 41 that pref divis are:
2014 = 427m
1q14 = 124
2q14 = 91
3q14 = 120
4q14 = 91
we expect Citi to issue $1b of Pref each quarter in 2014-15</t>
        </r>
      </text>
    </comment>
    <comment ref="M11" authorId="1">
      <text>
        <r>
          <rPr>
            <b/>
            <sz val="9"/>
            <color indexed="81"/>
            <rFont val="Tahoma"/>
            <family val="2"/>
          </rPr>
          <t>Cyprys, Michael J (Research):</t>
        </r>
        <r>
          <rPr>
            <sz val="9"/>
            <color indexed="81"/>
            <rFont val="Tahoma"/>
            <family val="2"/>
          </rPr>
          <t xml:space="preserve">
we expect Citi issues $1b of Pref per quarter in each 2014-15.
1q14; Citi guides to pref divi of:
2q14; 100
3q14; 128
4q14; 100
1q15; 128
2q15; 100
3q15; 128
4q15; 100
based on pref o/s as of april 14, 2014</t>
        </r>
      </text>
    </comment>
    <comment ref="O11" authorId="1">
      <text>
        <r>
          <rPr>
            <b/>
            <sz val="9"/>
            <color indexed="81"/>
            <rFont val="Tahoma"/>
            <family val="2"/>
          </rPr>
          <t>Cyprys, Michael J (Research):</t>
        </r>
        <r>
          <rPr>
            <sz val="9"/>
            <color indexed="81"/>
            <rFont val="Tahoma"/>
            <family val="2"/>
          </rPr>
          <t xml:space="preserve">
C 2Q14 divi schedule suggests $159M +  we assume $1B issuance</t>
        </r>
      </text>
    </comment>
    <comment ref="X11" authorId="2">
      <text>
        <r>
          <rPr>
            <b/>
            <sz val="9"/>
            <color indexed="81"/>
            <rFont val="Tahoma"/>
            <family val="2"/>
          </rPr>
          <t>Gosalia, Manan (Research):</t>
        </r>
        <r>
          <rPr>
            <sz val="9"/>
            <color indexed="81"/>
            <rFont val="Tahoma"/>
            <family val="2"/>
          </rPr>
          <t xml:space="preserve">
assuming $1B issuance @7%</t>
        </r>
      </text>
    </comment>
    <comment ref="Y11" authorId="2">
      <text>
        <r>
          <rPr>
            <b/>
            <sz val="9"/>
            <color indexed="81"/>
            <rFont val="Tahoma"/>
            <family val="2"/>
          </rPr>
          <t>Gosalia, Manan (Research):</t>
        </r>
        <r>
          <rPr>
            <sz val="9"/>
            <color indexed="81"/>
            <rFont val="Tahoma"/>
            <family val="2"/>
          </rPr>
          <t xml:space="preserve">
assuming $1B issuance @7%</t>
        </r>
      </text>
    </comment>
    <comment ref="BB11" authorId="2">
      <text>
        <r>
          <rPr>
            <b/>
            <sz val="9"/>
            <color indexed="81"/>
            <rFont val="Tahoma"/>
            <family val="2"/>
          </rPr>
          <t>Gosalia, Manan (Research):</t>
        </r>
        <r>
          <rPr>
            <sz val="9"/>
            <color indexed="81"/>
            <rFont val="Tahoma"/>
            <family val="2"/>
          </rPr>
          <t xml:space="preserve">
assuming $1B issuance @7%</t>
        </r>
      </text>
    </comment>
    <comment ref="N13" authorId="2">
      <text>
        <r>
          <rPr>
            <b/>
            <sz val="9"/>
            <color indexed="81"/>
            <rFont val="Tahoma"/>
            <family val="2"/>
          </rPr>
          <t>Gosalia, Manan (Research):</t>
        </r>
        <r>
          <rPr>
            <sz val="9"/>
            <color indexed="81"/>
            <rFont val="Tahoma"/>
            <family val="2"/>
          </rPr>
          <t xml:space="preserve">
$10M plug</t>
        </r>
      </text>
    </comment>
    <comment ref="AA19" authorId="2">
      <text>
        <r>
          <rPr>
            <b/>
            <sz val="9"/>
            <color indexed="81"/>
            <rFont val="Tahoma"/>
            <family val="2"/>
          </rPr>
          <t>Gosalia, Manan (Research):</t>
        </r>
        <r>
          <rPr>
            <sz val="9"/>
            <color indexed="81"/>
            <rFont val="Tahoma"/>
            <family val="2"/>
          </rPr>
          <t xml:space="preserve">
$22B one time charge from tax reform (DTA write down and repatriation tax)</t>
        </r>
      </text>
    </comment>
    <comment ref="B26" authorId="3">
      <text>
        <r>
          <rPr>
            <b/>
            <sz val="9"/>
            <color indexed="81"/>
            <rFont val="Tahoma"/>
            <family val="2"/>
          </rPr>
          <t>VL:</t>
        </r>
        <r>
          <rPr>
            <sz val="9"/>
            <color indexed="81"/>
            <rFont val="Tahoma"/>
            <family val="2"/>
          </rPr>
          <t xml:space="preserve">
Income allocated to unrestricted common shareholders - basic</t>
        </r>
      </text>
    </comment>
    <comment ref="AS26" authorId="3">
      <text>
        <r>
          <rPr>
            <b/>
            <sz val="9"/>
            <color indexed="81"/>
            <rFont val="Tahoma"/>
            <family val="2"/>
          </rPr>
          <t>VL:</t>
        </r>
        <r>
          <rPr>
            <sz val="9"/>
            <color indexed="81"/>
            <rFont val="Tahoma"/>
            <family val="2"/>
          </rPr>
          <t xml:space="preserve">
Income allocated to unrestricted common shareholders - basic</t>
        </r>
      </text>
    </comment>
    <comment ref="D376" authorId="3">
      <text>
        <r>
          <rPr>
            <b/>
            <sz val="9"/>
            <color indexed="81"/>
            <rFont val="Tahoma"/>
            <family val="2"/>
          </rPr>
          <t>VL:</t>
        </r>
        <r>
          <rPr>
            <sz val="9"/>
            <color indexed="81"/>
            <rFont val="Tahoma"/>
            <family val="2"/>
          </rPr>
          <t xml:space="preserve">
Not the same</t>
        </r>
      </text>
    </comment>
    <comment ref="D381" authorId="3">
      <text>
        <r>
          <rPr>
            <b/>
            <sz val="9"/>
            <color indexed="81"/>
            <rFont val="Tahoma"/>
            <family val="2"/>
          </rPr>
          <t>VL:</t>
        </r>
        <r>
          <rPr>
            <sz val="9"/>
            <color indexed="81"/>
            <rFont val="Tahoma"/>
            <family val="2"/>
          </rPr>
          <t xml:space="preserve">
A bit off from the number above</t>
        </r>
      </text>
    </comment>
    <comment ref="C471" authorId="3">
      <text>
        <r>
          <rPr>
            <b/>
            <sz val="9"/>
            <color indexed="81"/>
            <rFont val="Tahoma"/>
            <family val="2"/>
          </rPr>
          <t>VL:</t>
        </r>
        <r>
          <rPr>
            <sz val="9"/>
            <color indexed="81"/>
            <rFont val="Tahoma"/>
            <family val="2"/>
          </rPr>
          <t xml:space="preserve">
Changed</t>
        </r>
      </text>
    </comment>
    <comment ref="AT471" authorId="3">
      <text>
        <r>
          <rPr>
            <b/>
            <sz val="9"/>
            <color indexed="81"/>
            <rFont val="Tahoma"/>
            <family val="2"/>
          </rPr>
          <t>VL:</t>
        </r>
        <r>
          <rPr>
            <sz val="9"/>
            <color indexed="81"/>
            <rFont val="Tahoma"/>
            <family val="2"/>
          </rPr>
          <t xml:space="preserve">
Changed</t>
        </r>
      </text>
    </comment>
    <comment ref="B473" authorId="3">
      <text>
        <r>
          <rPr>
            <b/>
            <sz val="9"/>
            <color indexed="81"/>
            <rFont val="Tahoma"/>
            <family val="2"/>
          </rPr>
          <t>VL:</t>
        </r>
        <r>
          <rPr>
            <sz val="9"/>
            <color indexed="81"/>
            <rFont val="Tahoma"/>
            <family val="2"/>
          </rPr>
          <t xml:space="preserve">
Changed</t>
        </r>
      </text>
    </comment>
    <comment ref="AS473" authorId="3">
      <text>
        <r>
          <rPr>
            <b/>
            <sz val="9"/>
            <color indexed="81"/>
            <rFont val="Tahoma"/>
            <family val="2"/>
          </rPr>
          <t>VL:</t>
        </r>
        <r>
          <rPr>
            <sz val="9"/>
            <color indexed="81"/>
            <rFont val="Tahoma"/>
            <family val="2"/>
          </rPr>
          <t xml:space="preserve">
Changed</t>
        </r>
      </text>
    </comment>
    <comment ref="B474" authorId="3">
      <text>
        <r>
          <rPr>
            <b/>
            <sz val="9"/>
            <color indexed="81"/>
            <rFont val="Tahoma"/>
            <family val="2"/>
          </rPr>
          <t>VL:</t>
        </r>
        <r>
          <rPr>
            <sz val="9"/>
            <color indexed="81"/>
            <rFont val="Tahoma"/>
            <family val="2"/>
          </rPr>
          <t xml:space="preserve">
Changed</t>
        </r>
      </text>
    </comment>
    <comment ref="AS474" authorId="3">
      <text>
        <r>
          <rPr>
            <b/>
            <sz val="9"/>
            <color indexed="81"/>
            <rFont val="Tahoma"/>
            <family val="2"/>
          </rPr>
          <t>VL:</t>
        </r>
        <r>
          <rPr>
            <sz val="9"/>
            <color indexed="81"/>
            <rFont val="Tahoma"/>
            <family val="2"/>
          </rPr>
          <t xml:space="preserve">
Changed</t>
        </r>
      </text>
    </comment>
    <comment ref="B475" authorId="3">
      <text>
        <r>
          <rPr>
            <b/>
            <sz val="9"/>
            <color indexed="81"/>
            <rFont val="Tahoma"/>
            <family val="2"/>
          </rPr>
          <t>VL:</t>
        </r>
        <r>
          <rPr>
            <sz val="9"/>
            <color indexed="81"/>
            <rFont val="Tahoma"/>
            <family val="2"/>
          </rPr>
          <t xml:space="preserve">
Changed</t>
        </r>
      </text>
    </comment>
    <comment ref="AS475" authorId="3">
      <text>
        <r>
          <rPr>
            <b/>
            <sz val="9"/>
            <color indexed="81"/>
            <rFont val="Tahoma"/>
            <family val="2"/>
          </rPr>
          <t>VL:</t>
        </r>
        <r>
          <rPr>
            <sz val="9"/>
            <color indexed="81"/>
            <rFont val="Tahoma"/>
            <family val="2"/>
          </rPr>
          <t xml:space="preserve">
Changed</t>
        </r>
      </text>
    </comment>
    <comment ref="C491" authorId="3">
      <text>
        <r>
          <rPr>
            <b/>
            <sz val="9"/>
            <color indexed="81"/>
            <rFont val="Tahoma"/>
            <family val="2"/>
          </rPr>
          <t>VL:</t>
        </r>
        <r>
          <rPr>
            <sz val="9"/>
            <color indexed="81"/>
            <rFont val="Tahoma"/>
            <family val="2"/>
          </rPr>
          <t xml:space="preserve">
Primary related to affordable housing, alt energy investments, and tax-exempt income from muni boind investments.</t>
        </r>
      </text>
    </comment>
    <comment ref="AT491" authorId="3">
      <text>
        <r>
          <rPr>
            <b/>
            <sz val="9"/>
            <color indexed="81"/>
            <rFont val="Tahoma"/>
            <family val="2"/>
          </rPr>
          <t>VL:</t>
        </r>
        <r>
          <rPr>
            <sz val="9"/>
            <color indexed="81"/>
            <rFont val="Tahoma"/>
            <family val="2"/>
          </rPr>
          <t xml:space="preserve">
Primary related to affordable housing, alt energy investments, and tax-exempt income from muni boind investments.</t>
        </r>
      </text>
    </comment>
    <comment ref="B500" authorId="3">
      <text>
        <r>
          <rPr>
            <b/>
            <sz val="9"/>
            <color indexed="81"/>
            <rFont val="Tahoma"/>
            <family val="2"/>
          </rPr>
          <t>VL:</t>
        </r>
        <r>
          <rPr>
            <sz val="9"/>
            <color indexed="81"/>
            <rFont val="Tahoma"/>
            <family val="2"/>
          </rPr>
          <t xml:space="preserve">
Need to check w Manan abt DVA vs. Non-DVA</t>
        </r>
      </text>
    </comment>
    <comment ref="AS500" authorId="3">
      <text>
        <r>
          <rPr>
            <b/>
            <sz val="9"/>
            <color indexed="81"/>
            <rFont val="Tahoma"/>
            <family val="2"/>
          </rPr>
          <t>VL:</t>
        </r>
        <r>
          <rPr>
            <sz val="9"/>
            <color indexed="81"/>
            <rFont val="Tahoma"/>
            <family val="2"/>
          </rPr>
          <t xml:space="preserve">
Need to check w Manan abt DVA vs. Non-DVA</t>
        </r>
      </text>
    </comment>
    <comment ref="D549" authorId="3">
      <text>
        <r>
          <rPr>
            <b/>
            <sz val="9"/>
            <color indexed="81"/>
            <rFont val="Tahoma"/>
            <family val="2"/>
          </rPr>
          <t>VL:</t>
        </r>
        <r>
          <rPr>
            <sz val="9"/>
            <color indexed="81"/>
            <rFont val="Tahoma"/>
            <family val="2"/>
          </rPr>
          <t xml:space="preserve">
ex HDFC sale, ECM share about 7.3% rank #3, instead of #1</t>
        </r>
      </text>
    </comment>
    <comment ref="X632" authorId="2">
      <text>
        <r>
          <rPr>
            <b/>
            <sz val="9"/>
            <color indexed="81"/>
            <rFont val="Tahoma"/>
            <family val="2"/>
          </rPr>
          <t>Gosalia, Manan (Research):</t>
        </r>
        <r>
          <rPr>
            <sz val="9"/>
            <color indexed="81"/>
            <rFont val="Tahoma"/>
            <family val="2"/>
          </rPr>
          <t xml:space="preserve">
changed at investor day</t>
        </r>
      </text>
    </comment>
    <comment ref="X639" authorId="4">
      <text>
        <r>
          <rPr>
            <b/>
            <sz val="9"/>
            <color indexed="81"/>
            <rFont val="Tahoma"/>
            <family val="2"/>
          </rPr>
          <t>Graseck, Betsy (Research): 
$750M in gain on sale of assets, $300M loss on sale of mortgage servicing, net $450m… so core revs is $182m</t>
        </r>
      </text>
    </comment>
    <comment ref="X644" authorId="4">
      <text>
        <r>
          <rPr>
            <b/>
            <sz val="9"/>
            <color indexed="81"/>
            <rFont val="Tahoma"/>
            <family val="2"/>
          </rPr>
          <t>Graseck, Betsy (Research):</t>
        </r>
        <r>
          <rPr>
            <sz val="9"/>
            <color indexed="81"/>
            <rFont val="Tahoma"/>
            <family val="2"/>
          </rPr>
          <t xml:space="preserve">
$100m high on mortgage servicing sale</t>
        </r>
      </text>
    </comment>
    <comment ref="D656" authorId="3">
      <text>
        <r>
          <rPr>
            <b/>
            <sz val="9"/>
            <color indexed="81"/>
            <rFont val="Tahoma"/>
            <family val="2"/>
          </rPr>
          <t>VL:</t>
        </r>
        <r>
          <rPr>
            <sz val="9"/>
            <color indexed="81"/>
            <rFont val="Tahoma"/>
            <family val="2"/>
          </rPr>
          <t xml:space="preserve">
minority investments
$1.1b gain on sale of HDFC (711m after-tax; 24c)
$542m gain on sale of Pudong (350m after-tax; 12c)
$1.165b impairment of Akbank stake (753m after-tax; 25c)
total $477m gain or $308m after-tax; 10c
exclude from corporate/other (fee line)</t>
        </r>
      </text>
    </comment>
    <comment ref="E656" authorId="3">
      <text>
        <r>
          <rPr>
            <b/>
            <sz val="9"/>
            <color indexed="81"/>
            <rFont val="Tahoma"/>
            <family val="2"/>
          </rPr>
          <t>VL:</t>
        </r>
        <r>
          <rPr>
            <sz val="9"/>
            <color indexed="81"/>
            <rFont val="Tahoma"/>
            <family val="2"/>
          </rPr>
          <t xml:space="preserve">
5/25/12:$274m AT loss ($424m pre-tax loss) or 9c loss on sale of Akbank; sold 404m shares or 10.1% stake for TRY5.24/share; total proceeds of $1.15b; sale generates 23 bp of B3 CT1; Citi commits to lock up remaining 9.9% stake for 3 years... add back to corporate/other (fee line)</t>
        </r>
      </text>
    </comment>
    <comment ref="F656" authorId="3">
      <text>
        <r>
          <rPr>
            <b/>
            <sz val="9"/>
            <color indexed="81"/>
            <rFont val="Tahoma"/>
            <family val="2"/>
          </rPr>
          <t>VL:</t>
        </r>
        <r>
          <rPr>
            <sz val="9"/>
            <color indexed="81"/>
            <rFont val="Tahoma"/>
            <family val="2"/>
          </rPr>
          <t xml:space="preserve">
1) tax benefit of $582m or 19c/share related to resolution of certain tax audit items… remove from corporate/other
2) mssb impairment of $4,684m pre-tax, or $2,897m after-tax, or 94c/share… add back to corporate other (fee line)</t>
        </r>
      </text>
    </comment>
    <comment ref="J656" authorId="3">
      <text>
        <r>
          <rPr>
            <b/>
            <sz val="9"/>
            <color indexed="81"/>
            <rFont val="Tahoma"/>
            <family val="2"/>
          </rPr>
          <t>VL:</t>
        </r>
        <r>
          <rPr>
            <sz val="9"/>
            <color indexed="81"/>
            <rFont val="Tahoma"/>
            <family val="2"/>
          </rPr>
          <t xml:space="preserve">
tax benefit, remove from corporate/other</t>
        </r>
      </text>
    </comment>
    <comment ref="L656" authorId="3">
      <text>
        <r>
          <rPr>
            <b/>
            <sz val="9"/>
            <color indexed="81"/>
            <rFont val="Tahoma"/>
            <family val="2"/>
          </rPr>
          <t>VL:</t>
        </r>
        <r>
          <rPr>
            <sz val="9"/>
            <color indexed="81"/>
            <rFont val="Tahoma"/>
            <family val="2"/>
          </rPr>
          <t xml:space="preserve">
tax charge $210 million… add back to corporate/other</t>
        </r>
      </text>
    </comment>
    <comment ref="AA656" authorId="2">
      <text>
        <r>
          <rPr>
            <b/>
            <sz val="9"/>
            <color indexed="81"/>
            <rFont val="Tahoma"/>
            <family val="2"/>
          </rPr>
          <t>Gosalia, Manan (Research):</t>
        </r>
        <r>
          <rPr>
            <sz val="9"/>
            <color indexed="81"/>
            <rFont val="Tahoma"/>
            <family val="2"/>
          </rPr>
          <t xml:space="preserve">
$22594B one time charge from tax reform (DTA write down and repatriation tax)</t>
        </r>
      </text>
    </comment>
    <comment ref="X679" authorId="3">
      <text>
        <r>
          <rPr>
            <b/>
            <sz val="9"/>
            <color indexed="81"/>
            <rFont val="Tahoma"/>
            <family val="2"/>
          </rPr>
          <t>VL:</t>
        </r>
        <r>
          <rPr>
            <sz val="9"/>
            <color indexed="81"/>
            <rFont val="Tahoma"/>
            <family val="2"/>
          </rPr>
          <t xml:space="preserve">
Includes loss related to Citi's announced exit of it's U.S. mortgage servicing operations.</t>
        </r>
      </text>
    </comment>
    <comment ref="BA755" authorId="2">
      <text>
        <r>
          <rPr>
            <b/>
            <sz val="9"/>
            <color indexed="81"/>
            <rFont val="Tahoma"/>
            <family val="2"/>
          </rPr>
          <t>Gosalia, Manan (Research):</t>
        </r>
        <r>
          <rPr>
            <sz val="9"/>
            <color indexed="81"/>
            <rFont val="Tahoma"/>
            <family val="2"/>
          </rPr>
          <t xml:space="preserve">
Guidance: core NII up $2.7B with one rate hike in march and one in june less $0.5B from legacy asset runoff. Every additional rate hike is $80M per quarter.
</t>
        </r>
      </text>
    </comment>
    <comment ref="D765" authorId="3">
      <text>
        <r>
          <rPr>
            <b/>
            <sz val="9"/>
            <color indexed="81"/>
            <rFont val="Tahoma"/>
            <family val="2"/>
          </rPr>
          <t>VL:</t>
        </r>
        <r>
          <rPr>
            <sz val="9"/>
            <color indexed="81"/>
            <rFont val="Tahoma"/>
            <family val="2"/>
          </rPr>
          <t xml:space="preserve">
minority investments
$1.1b gain on sale of HDFC (711m after-tax; 24c)
$542m gain on sale of Pudong (350m after-tax; 12c)
$1.165b impairment of Akbank stake (753m after-tax; 25c)
total $477m gain or $308m after-tax; 10c
exclude from corporate/other (fee line)</t>
        </r>
      </text>
    </comment>
    <comment ref="E765" authorId="3">
      <text>
        <r>
          <rPr>
            <b/>
            <sz val="9"/>
            <color indexed="81"/>
            <rFont val="Tahoma"/>
            <family val="2"/>
          </rPr>
          <t>VL:</t>
        </r>
        <r>
          <rPr>
            <sz val="9"/>
            <color indexed="81"/>
            <rFont val="Tahoma"/>
            <family val="2"/>
          </rPr>
          <t xml:space="preserve">
5/25/12:$274m AT loss ($424m pre-tax loss) or 9c loss on sale of Akbank; sold 404m shares or 10.1% stake for TRY5.24/share; total proceeds of $1.15b; sale generates 23 bp of B3 CT1; Citi commits to lock up remaining 9.9% stake for 3 years... add back to corporate/other (fee line)</t>
        </r>
      </text>
    </comment>
    <comment ref="F765" authorId="3">
      <text>
        <r>
          <rPr>
            <b/>
            <sz val="9"/>
            <color indexed="81"/>
            <rFont val="Tahoma"/>
            <family val="2"/>
          </rPr>
          <t>VL:</t>
        </r>
        <r>
          <rPr>
            <sz val="9"/>
            <color indexed="81"/>
            <rFont val="Tahoma"/>
            <family val="2"/>
          </rPr>
          <t xml:space="preserve">
1) tax benefit of $582m or 19c/share related to resolution of certain tax audit items… remove from corporate/other
2) mssb impairment of $4,684m pre-tax, or $2,897m after-tax, or 94c/share… add back to corporate other (fee line)</t>
        </r>
      </text>
    </comment>
    <comment ref="C838" authorId="3">
      <text>
        <r>
          <rPr>
            <b/>
            <sz val="9"/>
            <color indexed="81"/>
            <rFont val="Tahoma"/>
            <family val="2"/>
          </rPr>
          <t>VL:</t>
        </r>
        <r>
          <rPr>
            <sz val="9"/>
            <color indexed="81"/>
            <rFont val="Tahoma"/>
            <family val="2"/>
          </rPr>
          <t xml:space="preserve">
(1) Fed Funds sold and securities borrowed/purchased
(2) Brokerage receivables
(3) Trading account assets</t>
        </r>
      </text>
    </comment>
    <comment ref="AT838" authorId="3">
      <text>
        <r>
          <rPr>
            <b/>
            <sz val="9"/>
            <color indexed="81"/>
            <rFont val="Tahoma"/>
            <family val="2"/>
          </rPr>
          <t>VL:</t>
        </r>
        <r>
          <rPr>
            <sz val="9"/>
            <color indexed="81"/>
            <rFont val="Tahoma"/>
            <family val="2"/>
          </rPr>
          <t xml:space="preserve">
(1) Fed Funds sold and securities borrowed/purchased
(2) Brokerage receivables
(3) Trading account assets</t>
        </r>
      </text>
    </comment>
    <comment ref="AF862" authorId="2">
      <text>
        <r>
          <rPr>
            <b/>
            <sz val="9"/>
            <color indexed="81"/>
            <rFont val="Tahoma"/>
            <family val="2"/>
          </rPr>
          <t>Gosalia, Manan (Research):</t>
        </r>
        <r>
          <rPr>
            <sz val="9"/>
            <color indexed="81"/>
            <rFont val="Tahoma"/>
            <family val="2"/>
          </rPr>
          <t xml:space="preserve">
assuming $2B issuance @7%</t>
        </r>
      </text>
    </comment>
    <comment ref="BB862" authorId="2">
      <text>
        <r>
          <rPr>
            <b/>
            <sz val="9"/>
            <color indexed="81"/>
            <rFont val="Tahoma"/>
            <family val="2"/>
          </rPr>
          <t>Gosalia, Manan (Research):</t>
        </r>
        <r>
          <rPr>
            <sz val="9"/>
            <color indexed="81"/>
            <rFont val="Tahoma"/>
            <family val="2"/>
          </rPr>
          <t xml:space="preserve">
assuming $1B issuance @7.5%</t>
        </r>
      </text>
    </comment>
    <comment ref="D902" authorId="3">
      <text>
        <r>
          <rPr>
            <b/>
            <sz val="9"/>
            <color indexed="81"/>
            <rFont val="Tahoma"/>
            <family val="2"/>
          </rPr>
          <t>VL:</t>
        </r>
        <r>
          <rPr>
            <sz val="9"/>
            <color indexed="81"/>
            <rFont val="Tahoma"/>
            <family val="2"/>
          </rPr>
          <t xml:space="preserve">
From current model</t>
        </r>
      </text>
    </comment>
    <comment ref="C903" authorId="3">
      <text>
        <r>
          <rPr>
            <b/>
            <sz val="9"/>
            <color indexed="81"/>
            <rFont val="Tahoma"/>
            <family val="2"/>
          </rPr>
          <t>VL:</t>
        </r>
        <r>
          <rPr>
            <sz val="9"/>
            <color indexed="81"/>
            <rFont val="Tahoma"/>
            <family val="2"/>
          </rPr>
          <t xml:space="preserve">
From current model</t>
        </r>
      </text>
    </comment>
    <comment ref="AT903" authorId="3">
      <text>
        <r>
          <rPr>
            <b/>
            <sz val="9"/>
            <color indexed="81"/>
            <rFont val="Tahoma"/>
            <family val="2"/>
          </rPr>
          <t>VL:</t>
        </r>
        <r>
          <rPr>
            <sz val="9"/>
            <color indexed="81"/>
            <rFont val="Tahoma"/>
            <family val="2"/>
          </rPr>
          <t xml:space="preserve">
From current model</t>
        </r>
      </text>
    </comment>
    <comment ref="C904" authorId="3">
      <text>
        <r>
          <rPr>
            <b/>
            <sz val="9"/>
            <color indexed="81"/>
            <rFont val="Tahoma"/>
            <family val="2"/>
          </rPr>
          <t>VL:</t>
        </r>
        <r>
          <rPr>
            <sz val="9"/>
            <color indexed="81"/>
            <rFont val="Tahoma"/>
            <family val="2"/>
          </rPr>
          <t xml:space="preserve">
From current model</t>
        </r>
      </text>
    </comment>
    <comment ref="D904" authorId="5">
      <text>
        <r>
          <rPr>
            <b/>
            <sz val="8"/>
            <color indexed="81"/>
            <rFont val="Tahoma"/>
            <family val="2"/>
          </rPr>
          <t>Michcy:</t>
        </r>
        <r>
          <rPr>
            <sz val="8"/>
            <color indexed="81"/>
            <rFont val="Tahoma"/>
            <family val="2"/>
          </rPr>
          <t xml:space="preserve">
4Q11: expect to issue $15-20b of LTD during 2012; vs $60.7b of LTD maturing in 2012; 
Citi expects LTD to decline to $250-260b, by 4q12; down $64-74b from 4q11 eop (slide 17);
2Q11: Mgmt expects LTD to decline by $42.5b in 2012 vs 2011 EOP.  
$38b of TLGP debt to mature and $24.5b of non-TLGP debt to mature in 2012;  all TLGP will not be replaced and $4.5b of non-TLGP won't be replaced…all in, $20b of projected debt issuance and $42.5b of LTD decline. </t>
        </r>
      </text>
    </comment>
    <comment ref="G904" authorId="5">
      <text>
        <r>
          <rPr>
            <b/>
            <sz val="8"/>
            <color indexed="81"/>
            <rFont val="Tahoma"/>
            <family val="2"/>
          </rPr>
          <t>Michcy:</t>
        </r>
        <r>
          <rPr>
            <sz val="8"/>
            <color indexed="81"/>
            <rFont val="Tahoma"/>
            <family val="2"/>
          </rPr>
          <t xml:space="preserve">
4q11 (fixed income conf call): Citi expects LTD to decline to $250-260b, by 4q12; down $64-74b from 4q11 eop (slide 17);
2011; LT debt maturities were $50.6b (of which $20.3b was TLGP); Citi issued $15.1b of LTD (i.e, $35.5b net reduction to LTD)
2012 LT debt maturities of $60.7b (of which $38b is TLGP); Citi expects to issue $15-20b of LTD in 2012 (i.e., will shrink LTD by 40-45b in 2012)
2013 LT debt maturities of $28.7b; issuance is TBD</t>
        </r>
      </text>
    </comment>
    <comment ref="H904" authorId="5">
      <text>
        <r>
          <rPr>
            <b/>
            <sz val="8"/>
            <color indexed="81"/>
            <rFont val="Tahoma"/>
            <family val="2"/>
          </rPr>
          <t>Michcy:</t>
        </r>
        <r>
          <rPr>
            <sz val="8"/>
            <color indexed="81"/>
            <rFont val="Tahoma"/>
            <family val="2"/>
          </rPr>
          <t xml:space="preserve">
2Q11: We assume $6.5b LTD decline in 2013 vs 2012 EOP….that's $1.625b per q
Mgmt expects $28.7b of LTD maturities in 2013; we assume 82% is not replaced or $6.5b, in line with Citi's replacement rate for non-TLGP debt in 2012</t>
        </r>
      </text>
    </comment>
    <comment ref="I904" authorId="5">
      <text>
        <r>
          <rPr>
            <b/>
            <sz val="8"/>
            <color indexed="81"/>
            <rFont val="Tahoma"/>
            <family val="2"/>
          </rPr>
          <t>Michcy:</t>
        </r>
        <r>
          <rPr>
            <sz val="8"/>
            <color indexed="81"/>
            <rFont val="Tahoma"/>
            <family val="2"/>
          </rPr>
          <t xml:space="preserve">
2Q11: We assume $6.5b LTD decline in 2013 vs 2012 EOP….that's $1.625b per q
Mgmt expects $28.7b of LTD maturities in 2013; we assume 82% is not replaced or $6.5b, in line with Citi's replacement rate for non-TLGP debt in 2012</t>
        </r>
      </text>
    </comment>
    <comment ref="J904" authorId="5">
      <text>
        <r>
          <rPr>
            <b/>
            <sz val="8"/>
            <color indexed="81"/>
            <rFont val="Tahoma"/>
            <family val="2"/>
          </rPr>
          <t>Michcy:</t>
        </r>
        <r>
          <rPr>
            <sz val="8"/>
            <color indexed="81"/>
            <rFont val="Tahoma"/>
            <family val="2"/>
          </rPr>
          <t xml:space="preserve">
2Q11: We assume $6.5b LTD decline in 2013 vs 2012 EOP….that's $1.625b per q
Mgmt expects $28.7b of LTD maturities in 2013; we assume 82% is not replaced or $6.5b, in line with Citi's replacement rate for non-TLGP debt in 2012</t>
        </r>
      </text>
    </comment>
    <comment ref="K904" authorId="5">
      <text>
        <r>
          <rPr>
            <b/>
            <sz val="8"/>
            <color indexed="81"/>
            <rFont val="Tahoma"/>
            <family val="2"/>
          </rPr>
          <t>Michcy:</t>
        </r>
        <r>
          <rPr>
            <sz val="8"/>
            <color indexed="81"/>
            <rFont val="Tahoma"/>
            <family val="2"/>
          </rPr>
          <t xml:space="preserve">
2Q11: We assume $6.5b LTD decline in 2013 vs 2012 EOP….that's $1.625b per q
Mgmt expects $28.7b of LTD maturities in 2013; we assume 82% is not replaced or $6.5b, in line with Citi's replacement rate for non-TLGP debt in 2012</t>
        </r>
      </text>
    </comment>
    <comment ref="L904" authorId="5">
      <text>
        <r>
          <rPr>
            <b/>
            <sz val="8"/>
            <color indexed="81"/>
            <rFont val="Tahoma"/>
            <family val="2"/>
          </rPr>
          <t>Michcy:</t>
        </r>
        <r>
          <rPr>
            <sz val="8"/>
            <color indexed="81"/>
            <rFont val="Tahoma"/>
            <family val="2"/>
          </rPr>
          <t xml:space="preserve">
2Q11: We assume $5.5b LTD decline in 2014 vs 2013 EOP. 
Mgmt expects $25b of LTD maturities in 2014; we assume 82% is not replaced or $5.5b, in line with Citi's replacement rate for non-TLGP debt in 2012</t>
        </r>
      </text>
    </comment>
    <comment ref="M904" authorId="5">
      <text>
        <r>
          <rPr>
            <b/>
            <sz val="8"/>
            <color indexed="81"/>
            <rFont val="Tahoma"/>
            <family val="2"/>
          </rPr>
          <t>Michcy:</t>
        </r>
        <r>
          <rPr>
            <sz val="8"/>
            <color indexed="81"/>
            <rFont val="Tahoma"/>
            <family val="2"/>
          </rPr>
          <t xml:space="preserve">
2Q11: We assume $5.5b LTD decline in 2014 vs 2013 EOP. 
Mgmt expects $25b of LTD maturities in 2014; we assume 82% is not replaced or $5.5b, in line with Citi's replacement rate for non-TLGP debt in 2012</t>
        </r>
      </text>
    </comment>
    <comment ref="N904" authorId="5">
      <text>
        <r>
          <rPr>
            <b/>
            <sz val="8"/>
            <color indexed="81"/>
            <rFont val="Tahoma"/>
            <family val="2"/>
          </rPr>
          <t>Michcy:</t>
        </r>
        <r>
          <rPr>
            <sz val="8"/>
            <color indexed="81"/>
            <rFont val="Tahoma"/>
            <family val="2"/>
          </rPr>
          <t xml:space="preserve">
2Q11: We assume $5.5b LTD decline in 2014 vs 2013 EOP. 
Mgmt expects $25b of LTD maturities in 2014; we assume 82% is not replaced or $5.5b, in line with Citi's replacement rate for non-TLGP debt in 2012</t>
        </r>
      </text>
    </comment>
    <comment ref="O904" authorId="5">
      <text>
        <r>
          <rPr>
            <b/>
            <sz val="8"/>
            <color indexed="81"/>
            <rFont val="Tahoma"/>
            <family val="2"/>
          </rPr>
          <t>Michcy:</t>
        </r>
        <r>
          <rPr>
            <sz val="8"/>
            <color indexed="81"/>
            <rFont val="Tahoma"/>
            <family val="2"/>
          </rPr>
          <t xml:space="preserve">
2Q11: We assume $5.5b LTD decline in 2014 vs 2013 EOP. 
Mgmt expects $25b of LTD maturities in 2014; we assume 82% is not replaced or $5.5b, in line with Citi's replacement rate for non-TLGP debt in 2012</t>
        </r>
      </text>
    </comment>
    <comment ref="AT904" authorId="3">
      <text>
        <r>
          <rPr>
            <b/>
            <sz val="9"/>
            <color indexed="81"/>
            <rFont val="Tahoma"/>
            <family val="2"/>
          </rPr>
          <t>VL:</t>
        </r>
        <r>
          <rPr>
            <sz val="9"/>
            <color indexed="81"/>
            <rFont val="Tahoma"/>
            <family val="2"/>
          </rPr>
          <t xml:space="preserve">
From current model</t>
        </r>
      </text>
    </comment>
    <comment ref="C905" authorId="3">
      <text>
        <r>
          <rPr>
            <b/>
            <sz val="9"/>
            <color indexed="81"/>
            <rFont val="Tahoma"/>
            <family val="2"/>
          </rPr>
          <t>VL:</t>
        </r>
        <r>
          <rPr>
            <sz val="9"/>
            <color indexed="81"/>
            <rFont val="Tahoma"/>
            <family val="2"/>
          </rPr>
          <t xml:space="preserve">
Consists of Fed Funds purchased and repo agreements and trading acct liabilities</t>
        </r>
      </text>
    </comment>
    <comment ref="AT905" authorId="3">
      <text>
        <r>
          <rPr>
            <b/>
            <sz val="9"/>
            <color indexed="81"/>
            <rFont val="Tahoma"/>
            <family val="2"/>
          </rPr>
          <t>VL:</t>
        </r>
        <r>
          <rPr>
            <sz val="9"/>
            <color indexed="81"/>
            <rFont val="Tahoma"/>
            <family val="2"/>
          </rPr>
          <t xml:space="preserve">
Consists of Fed Funds purchased and repo agreements and trading acct liabilities</t>
        </r>
      </text>
    </comment>
    <comment ref="AB1070" authorId="2">
      <text>
        <r>
          <rPr>
            <b/>
            <sz val="9"/>
            <color indexed="81"/>
            <rFont val="Tahoma"/>
            <family val="2"/>
          </rPr>
          <t>Gosalia, Manan (Research):</t>
        </r>
        <r>
          <rPr>
            <sz val="9"/>
            <color indexed="81"/>
            <rFont val="Tahoma"/>
            <family val="2"/>
          </rPr>
          <t xml:space="preserve">
presentation - net interest revenue &amp; margin slide</t>
        </r>
      </text>
    </comment>
    <comment ref="B1096" authorId="3">
      <text>
        <r>
          <rPr>
            <b/>
            <sz val="9"/>
            <color indexed="81"/>
            <rFont val="Tahoma"/>
            <family val="2"/>
          </rPr>
          <t>VL:</t>
        </r>
        <r>
          <rPr>
            <sz val="9"/>
            <color indexed="81"/>
            <rFont val="Tahoma"/>
            <family val="2"/>
          </rPr>
          <t xml:space="preserve">
Excludes guaranteed US mortgage loans</t>
        </r>
      </text>
    </comment>
    <comment ref="AS1096" authorId="3">
      <text>
        <r>
          <rPr>
            <b/>
            <sz val="9"/>
            <color indexed="81"/>
            <rFont val="Tahoma"/>
            <family val="2"/>
          </rPr>
          <t>VL:</t>
        </r>
        <r>
          <rPr>
            <sz val="9"/>
            <color indexed="81"/>
            <rFont val="Tahoma"/>
            <family val="2"/>
          </rPr>
          <t xml:space="preserve">
Excludes guaranteed US mortgage loans</t>
        </r>
      </text>
    </comment>
    <comment ref="C1097" authorId="3">
      <text>
        <r>
          <rPr>
            <b/>
            <sz val="9"/>
            <color indexed="81"/>
            <rFont val="Tahoma"/>
            <family val="2"/>
          </rPr>
          <t>VL:</t>
        </r>
        <r>
          <rPr>
            <sz val="9"/>
            <color indexed="81"/>
            <rFont val="Tahoma"/>
            <family val="2"/>
          </rPr>
          <t xml:space="preserve">
Excludes guaranteed US mortgage loans</t>
        </r>
      </text>
    </comment>
    <comment ref="AT1097" authorId="3">
      <text>
        <r>
          <rPr>
            <b/>
            <sz val="9"/>
            <color indexed="81"/>
            <rFont val="Tahoma"/>
            <family val="2"/>
          </rPr>
          <t>VL:</t>
        </r>
        <r>
          <rPr>
            <sz val="9"/>
            <color indexed="81"/>
            <rFont val="Tahoma"/>
            <family val="2"/>
          </rPr>
          <t xml:space="preserve">
Excludes guaranteed US mortgage loans</t>
        </r>
      </text>
    </comment>
    <comment ref="B1103" authorId="3">
      <text>
        <r>
          <rPr>
            <b/>
            <sz val="9"/>
            <color indexed="81"/>
            <rFont val="Tahoma"/>
            <family val="2"/>
          </rPr>
          <t>VL:</t>
        </r>
        <r>
          <rPr>
            <sz val="9"/>
            <color indexed="81"/>
            <rFont val="Tahoma"/>
            <family val="2"/>
          </rPr>
          <t xml:space="preserve">
Excludes guaranteed US mortgage loans. </t>
        </r>
      </text>
    </comment>
    <comment ref="AS1103" authorId="3">
      <text>
        <r>
          <rPr>
            <b/>
            <sz val="9"/>
            <color indexed="81"/>
            <rFont val="Tahoma"/>
            <family val="2"/>
          </rPr>
          <t>VL:</t>
        </r>
        <r>
          <rPr>
            <sz val="9"/>
            <color indexed="81"/>
            <rFont val="Tahoma"/>
            <family val="2"/>
          </rPr>
          <t xml:space="preserve">
Excludes guaranteed US mortgage loans. </t>
        </r>
      </text>
    </comment>
    <comment ref="C1104" authorId="3">
      <text>
        <r>
          <rPr>
            <b/>
            <sz val="9"/>
            <color indexed="81"/>
            <rFont val="Tahoma"/>
            <family val="2"/>
          </rPr>
          <t>VL:</t>
        </r>
        <r>
          <rPr>
            <sz val="9"/>
            <color indexed="81"/>
            <rFont val="Tahoma"/>
            <family val="2"/>
          </rPr>
          <t xml:space="preserve">
Excludes guaranteed US mortgage loans</t>
        </r>
      </text>
    </comment>
    <comment ref="AT1104" authorId="3">
      <text>
        <r>
          <rPr>
            <b/>
            <sz val="9"/>
            <color indexed="81"/>
            <rFont val="Tahoma"/>
            <family val="2"/>
          </rPr>
          <t>VL:</t>
        </r>
        <r>
          <rPr>
            <sz val="9"/>
            <color indexed="81"/>
            <rFont val="Tahoma"/>
            <family val="2"/>
          </rPr>
          <t xml:space="preserve">
Excludes guaranteed US mortgage loans</t>
        </r>
      </text>
    </comment>
    <comment ref="B1111" authorId="3">
      <text>
        <r>
          <rPr>
            <b/>
            <sz val="9"/>
            <color indexed="81"/>
            <rFont val="Tahoma"/>
            <family val="2"/>
          </rPr>
          <t>VL:</t>
        </r>
        <r>
          <rPr>
            <sz val="9"/>
            <color indexed="81"/>
            <rFont val="Tahoma"/>
            <family val="2"/>
          </rPr>
          <t xml:space="preserve">
Excludes guaranteed US mortgage loans</t>
        </r>
      </text>
    </comment>
    <comment ref="AS1111" authorId="3">
      <text>
        <r>
          <rPr>
            <b/>
            <sz val="9"/>
            <color indexed="81"/>
            <rFont val="Tahoma"/>
            <family val="2"/>
          </rPr>
          <t>VL:</t>
        </r>
        <r>
          <rPr>
            <sz val="9"/>
            <color indexed="81"/>
            <rFont val="Tahoma"/>
            <family val="2"/>
          </rPr>
          <t xml:space="preserve">
Excludes guaranteed US mortgage loans</t>
        </r>
      </text>
    </comment>
    <comment ref="C1112" authorId="3">
      <text>
        <r>
          <rPr>
            <b/>
            <sz val="9"/>
            <color indexed="81"/>
            <rFont val="Tahoma"/>
            <family val="2"/>
          </rPr>
          <t>VL:</t>
        </r>
        <r>
          <rPr>
            <sz val="9"/>
            <color indexed="81"/>
            <rFont val="Tahoma"/>
            <family val="2"/>
          </rPr>
          <t xml:space="preserve">
Excludes guaranteed US mortgage loans</t>
        </r>
      </text>
    </comment>
    <comment ref="AT1112" authorId="3">
      <text>
        <r>
          <rPr>
            <b/>
            <sz val="9"/>
            <color indexed="81"/>
            <rFont val="Tahoma"/>
            <family val="2"/>
          </rPr>
          <t>VL:</t>
        </r>
        <r>
          <rPr>
            <sz val="9"/>
            <color indexed="81"/>
            <rFont val="Tahoma"/>
            <family val="2"/>
          </rPr>
          <t xml:space="preserve">
Excludes guaranteed US mortgage loans</t>
        </r>
      </text>
    </comment>
    <comment ref="B1118" authorId="3">
      <text>
        <r>
          <rPr>
            <b/>
            <sz val="9"/>
            <color indexed="81"/>
            <rFont val="Tahoma"/>
            <family val="2"/>
          </rPr>
          <t>VL:</t>
        </r>
        <r>
          <rPr>
            <sz val="9"/>
            <color indexed="81"/>
            <rFont val="Tahoma"/>
            <family val="2"/>
          </rPr>
          <t xml:space="preserve">
Excludes guaranteed US mortgage loans</t>
        </r>
      </text>
    </comment>
    <comment ref="AS1118" authorId="3">
      <text>
        <r>
          <rPr>
            <b/>
            <sz val="9"/>
            <color indexed="81"/>
            <rFont val="Tahoma"/>
            <family val="2"/>
          </rPr>
          <t>VL:</t>
        </r>
        <r>
          <rPr>
            <sz val="9"/>
            <color indexed="81"/>
            <rFont val="Tahoma"/>
            <family val="2"/>
          </rPr>
          <t xml:space="preserve">
Excludes guaranteed US mortgage loans</t>
        </r>
      </text>
    </comment>
    <comment ref="C1119" authorId="3">
      <text>
        <r>
          <rPr>
            <b/>
            <sz val="9"/>
            <color indexed="81"/>
            <rFont val="Tahoma"/>
            <family val="2"/>
          </rPr>
          <t>VL:</t>
        </r>
        <r>
          <rPr>
            <sz val="9"/>
            <color indexed="81"/>
            <rFont val="Tahoma"/>
            <family val="2"/>
          </rPr>
          <t xml:space="preserve">
Excludes guaranteed US mortgage loans</t>
        </r>
      </text>
    </comment>
    <comment ref="AT1119" authorId="3">
      <text>
        <r>
          <rPr>
            <b/>
            <sz val="9"/>
            <color indexed="81"/>
            <rFont val="Tahoma"/>
            <family val="2"/>
          </rPr>
          <t>VL:</t>
        </r>
        <r>
          <rPr>
            <sz val="9"/>
            <color indexed="81"/>
            <rFont val="Tahoma"/>
            <family val="2"/>
          </rPr>
          <t xml:space="preserve">
Excludes guaranteed US mortgage loans</t>
        </r>
      </text>
    </comment>
    <comment ref="D1295" authorId="3">
      <text>
        <r>
          <rPr>
            <b/>
            <sz val="9"/>
            <color indexed="81"/>
            <rFont val="Tahoma"/>
            <family val="2"/>
          </rPr>
          <t>VL:</t>
        </r>
        <r>
          <rPr>
            <sz val="9"/>
            <color indexed="81"/>
            <rFont val="Tahoma"/>
            <family val="2"/>
          </rPr>
          <t xml:space="preserve">
-$17,788 is AOCI as of EOP 4Q11</t>
        </r>
      </text>
    </comment>
    <comment ref="I1319" authorId="0">
      <text>
        <r>
          <rPr>
            <b/>
            <sz val="8"/>
            <color indexed="81"/>
            <rFont val="Tahoma"/>
            <family val="2"/>
          </rPr>
          <t>michcy:</t>
        </r>
        <r>
          <rPr>
            <sz val="8"/>
            <color indexed="81"/>
            <rFont val="Tahoma"/>
            <family val="2"/>
          </rPr>
          <t xml:space="preserve">
2q13: Citi buybacks $200m of stock; we assume repurchased at avg quarterly price of $45.88; await the 10-Q filing for details
3/15/2013: Citi announces that Fed did not object to Citi's capital plan which included buybacks of $1.2b from 2q13-1q14; suggests quarterly buyback potential of $300m</t>
        </r>
      </text>
    </comment>
    <comment ref="J1319" authorId="0">
      <text>
        <r>
          <rPr>
            <b/>
            <sz val="8"/>
            <color indexed="81"/>
            <rFont val="Tahoma"/>
            <family val="2"/>
          </rPr>
          <t>michcy:</t>
        </r>
        <r>
          <rPr>
            <sz val="8"/>
            <color indexed="81"/>
            <rFont val="Tahoma"/>
            <family val="2"/>
          </rPr>
          <t xml:space="preserve">
3q13: Citi buybacks $600m of stock per slide 41 of earnings deck; we assume repurchased at avg quarterly price of $48.38; await the 10-Q filing for details
3/15/2013: Citi announces that Fed did not object to Citi's capital plan which included buybacks of $1.2b from 2q13-1q14; suggests quarterly buyback potential of $300m</t>
        </r>
      </text>
    </comment>
    <comment ref="M1330" authorId="1">
      <text>
        <r>
          <rPr>
            <b/>
            <sz val="9"/>
            <color indexed="81"/>
            <rFont val="Tahoma"/>
            <family val="2"/>
          </rPr>
          <t>Cyprys, Michael J (Research):</t>
        </r>
        <r>
          <rPr>
            <sz val="9"/>
            <color indexed="81"/>
            <rFont val="Tahoma"/>
            <family val="2"/>
          </rPr>
          <t xml:space="preserve">
3/26/2014: Fed objected to Citi's capital plan on a qualitative basis citing concerns on its capital planning process.  Citi to resubmit capital plan. 
Although, Citi was well above the minimum required capital ratios in the stress test, even after reflecting it's capital request for a 4c divi hike to 5c, and a buyback of $6.4b.  Citi is permitted to continue with its current capital plan which includes $1.2b buyback through 1q15.</t>
        </r>
      </text>
    </comment>
    <comment ref="Z1388" authorId="2">
      <text>
        <r>
          <rPr>
            <b/>
            <sz val="9"/>
            <color indexed="81"/>
            <rFont val="Tahoma"/>
            <family val="2"/>
          </rPr>
          <t>Gosalia, Manan (Research):</t>
        </r>
        <r>
          <rPr>
            <sz val="9"/>
            <color indexed="81"/>
            <rFont val="Tahoma"/>
            <family val="2"/>
          </rPr>
          <t xml:space="preserve">
get from10-Q</t>
        </r>
      </text>
    </comment>
    <comment ref="AB1388" authorId="2">
      <text>
        <r>
          <rPr>
            <b/>
            <sz val="9"/>
            <color indexed="81"/>
            <rFont val="Tahoma"/>
            <family val="2"/>
          </rPr>
          <t>Gosalia, Manan (Research):</t>
        </r>
        <r>
          <rPr>
            <sz val="9"/>
            <color indexed="81"/>
            <rFont val="Tahoma"/>
            <family val="2"/>
          </rPr>
          <t xml:space="preserve">
presentation, update from 10Q</t>
        </r>
      </text>
    </comment>
    <comment ref="X1403" authorId="2">
      <text>
        <r>
          <rPr>
            <b/>
            <sz val="9"/>
            <color indexed="81"/>
            <rFont val="Tahoma"/>
            <family val="2"/>
          </rPr>
          <t>Gosalia, Manan (Research):</t>
        </r>
        <r>
          <rPr>
            <sz val="9"/>
            <color indexed="81"/>
            <rFont val="Tahoma"/>
            <family val="2"/>
          </rPr>
          <t xml:space="preserve">
10-Q</t>
        </r>
      </text>
    </comment>
    <comment ref="Y1403" authorId="2">
      <text>
        <r>
          <rPr>
            <b/>
            <sz val="9"/>
            <color indexed="81"/>
            <rFont val="Tahoma"/>
            <family val="2"/>
          </rPr>
          <t>Gosalia, Manan (Research):</t>
        </r>
        <r>
          <rPr>
            <sz val="9"/>
            <color indexed="81"/>
            <rFont val="Tahoma"/>
            <family val="2"/>
          </rPr>
          <t xml:space="preserve">
standardized is the binding constraint in 2Q17, numbers in the earnings release are based on standardized</t>
        </r>
      </text>
    </comment>
    <comment ref="AB1403" authorId="2">
      <text>
        <r>
          <rPr>
            <b/>
            <sz val="9"/>
            <color indexed="81"/>
            <rFont val="Tahoma"/>
            <family val="2"/>
          </rPr>
          <t>Gosalia, Manan (Research):</t>
        </r>
        <r>
          <rPr>
            <sz val="9"/>
            <color indexed="81"/>
            <rFont val="Tahoma"/>
            <family val="2"/>
          </rPr>
          <t xml:space="preserve">
update from 10Q</t>
        </r>
      </text>
    </comment>
    <comment ref="B1422" authorId="3">
      <text>
        <r>
          <rPr>
            <b/>
            <sz val="9"/>
            <color indexed="81"/>
            <rFont val="Tahoma"/>
            <family val="2"/>
          </rPr>
          <t>VL:</t>
        </r>
        <r>
          <rPr>
            <sz val="9"/>
            <color indexed="81"/>
            <rFont val="Tahoma"/>
            <family val="2"/>
          </rPr>
          <t xml:space="preserve">
Assume that Corporate / Others is primarily North America based on the loan skew. </t>
        </r>
      </text>
    </comment>
    <comment ref="B1438" authorId="3">
      <text>
        <r>
          <rPr>
            <b/>
            <sz val="9"/>
            <color indexed="81"/>
            <rFont val="Tahoma"/>
            <family val="2"/>
          </rPr>
          <t>VL:</t>
        </r>
        <r>
          <rPr>
            <sz val="9"/>
            <color indexed="81"/>
            <rFont val="Tahoma"/>
            <family val="2"/>
          </rPr>
          <t xml:space="preserve">
$1.5-$2B per year utilized</t>
        </r>
      </text>
    </comment>
    <comment ref="AA1438" authorId="2">
      <text>
        <r>
          <rPr>
            <b/>
            <sz val="9"/>
            <color indexed="81"/>
            <rFont val="Tahoma"/>
            <family val="2"/>
          </rPr>
          <t>Gosalia, Manan (Research):</t>
        </r>
        <r>
          <rPr>
            <sz val="9"/>
            <color indexed="81"/>
            <rFont val="Tahoma"/>
            <family val="2"/>
          </rPr>
          <t xml:space="preserve">
hit from tax reform is $16B to DTA and $4B to repatriation tax, which can be paid off through FTCs</t>
        </r>
      </text>
    </comment>
    <comment ref="AS1438" authorId="3">
      <text>
        <r>
          <rPr>
            <b/>
            <sz val="9"/>
            <color indexed="81"/>
            <rFont val="Tahoma"/>
            <family val="2"/>
          </rPr>
          <t>VL:</t>
        </r>
        <r>
          <rPr>
            <sz val="9"/>
            <color indexed="81"/>
            <rFont val="Tahoma"/>
            <family val="2"/>
          </rPr>
          <t xml:space="preserve">
$1.5-$2B per year utilized</t>
        </r>
      </text>
    </comment>
    <comment ref="X1452" authorId="3">
      <text>
        <r>
          <rPr>
            <b/>
            <sz val="9"/>
            <color indexed="81"/>
            <rFont val="Tahoma"/>
            <family val="2"/>
          </rPr>
          <t>VL:</t>
        </r>
        <r>
          <rPr>
            <sz val="9"/>
            <color indexed="81"/>
            <rFont val="Tahoma"/>
            <family val="2"/>
          </rPr>
          <t xml:space="preserve">
New disclosure.</t>
        </r>
      </text>
    </comment>
    <comment ref="AA1452" authorId="6">
      <text>
        <r>
          <rPr>
            <b/>
            <sz val="9"/>
            <color indexed="81"/>
            <rFont val="Tahoma"/>
            <family val="2"/>
          </rPr>
          <t>Somani, Piyush (Research):</t>
        </r>
        <r>
          <rPr>
            <sz val="9"/>
            <color indexed="81"/>
            <rFont val="Tahoma"/>
            <family val="2"/>
          </rPr>
          <t xml:space="preserve">
ER</t>
        </r>
      </text>
    </comment>
    <comment ref="B1489" authorId="3">
      <text>
        <r>
          <rPr>
            <b/>
            <sz val="9"/>
            <color indexed="81"/>
            <rFont val="Tahoma"/>
            <family val="2"/>
          </rPr>
          <t>VL:</t>
        </r>
        <r>
          <rPr>
            <sz val="9"/>
            <color indexed="81"/>
            <rFont val="Tahoma"/>
            <family val="2"/>
          </rPr>
          <t xml:space="preserve">
Citi includes pref divi in this calculation
</t>
        </r>
      </text>
    </comment>
    <comment ref="AB1500" authorId="2">
      <text>
        <r>
          <rPr>
            <b/>
            <sz val="9"/>
            <color indexed="81"/>
            <rFont val="Tahoma"/>
            <family val="2"/>
          </rPr>
          <t>Gosalia, Manan (Research):</t>
        </r>
        <r>
          <rPr>
            <sz val="9"/>
            <color indexed="81"/>
            <rFont val="Tahoma"/>
            <family val="2"/>
          </rPr>
          <t xml:space="preserve">
ex rev recognition</t>
        </r>
      </text>
    </comment>
    <comment ref="BA1500" authorId="2">
      <text>
        <r>
          <rPr>
            <b/>
            <sz val="9"/>
            <color indexed="81"/>
            <rFont val="Tahoma"/>
            <family val="2"/>
          </rPr>
          <t>Gosalia, Manan (Research):</t>
        </r>
        <r>
          <rPr>
            <sz val="9"/>
            <color indexed="81"/>
            <rFont val="Tahoma"/>
            <family val="2"/>
          </rPr>
          <t xml:space="preserve">
ex rev recognition</t>
        </r>
      </text>
    </comment>
    <comment ref="Z1501" authorId="2">
      <text>
        <r>
          <rPr>
            <b/>
            <sz val="9"/>
            <color indexed="81"/>
            <rFont val="Tahoma"/>
            <family val="2"/>
          </rPr>
          <t>Gosalia, Manan (Research):</t>
        </r>
        <r>
          <rPr>
            <sz val="9"/>
            <color indexed="81"/>
            <rFont val="Tahoma"/>
            <family val="2"/>
          </rPr>
          <t xml:space="preserve">
excludes gain on sale of fixed income analytics business $500M</t>
        </r>
      </text>
    </comment>
    <comment ref="AZ1501" authorId="2">
      <text>
        <r>
          <rPr>
            <b/>
            <sz val="9"/>
            <color indexed="81"/>
            <rFont val="Tahoma"/>
            <family val="2"/>
          </rPr>
          <t>Gosalia, Manan (Research):</t>
        </r>
        <r>
          <rPr>
            <sz val="9"/>
            <color indexed="81"/>
            <rFont val="Tahoma"/>
            <family val="2"/>
          </rPr>
          <t xml:space="preserve">
excludes gain on sale of fixed income analytics business $500M</t>
        </r>
      </text>
    </comment>
    <comment ref="D1581" authorId="0">
      <text>
        <r>
          <rPr>
            <b/>
            <sz val="8"/>
            <color indexed="81"/>
            <rFont val="Tahoma"/>
            <family val="2"/>
          </rPr>
          <t>michcy:</t>
        </r>
        <r>
          <rPr>
            <sz val="8"/>
            <color indexed="81"/>
            <rFont val="Tahoma"/>
            <family val="2"/>
          </rPr>
          <t xml:space="preserve">
legal and related costs of $545m; assume all in corp/other</t>
        </r>
      </text>
    </comment>
    <comment ref="E1581" authorId="0">
      <text>
        <r>
          <rPr>
            <b/>
            <sz val="8"/>
            <color indexed="81"/>
            <rFont val="Tahoma"/>
            <family val="2"/>
          </rPr>
          <t>michcy:</t>
        </r>
        <r>
          <rPr>
            <sz val="8"/>
            <color indexed="81"/>
            <rFont val="Tahoma"/>
            <family val="2"/>
          </rPr>
          <t xml:space="preserve">
legal and related costs of $480m; assume all in corp/other</t>
        </r>
      </text>
    </comment>
    <comment ref="F1581" authorId="0">
      <text>
        <r>
          <rPr>
            <b/>
            <sz val="8"/>
            <color indexed="81"/>
            <rFont val="Tahoma"/>
            <family val="2"/>
          </rPr>
          <t>michcy:</t>
        </r>
        <r>
          <rPr>
            <sz val="8"/>
            <color indexed="81"/>
            <rFont val="Tahoma"/>
            <family val="2"/>
          </rPr>
          <t xml:space="preserve">
$529m of legal and related costs with $279m in citicorp and $250m in citi holdings; aggregate worth 11c</t>
        </r>
      </text>
    </comment>
    <comment ref="G1581" authorId="0">
      <text>
        <r>
          <rPr>
            <b/>
            <sz val="8"/>
            <color indexed="81"/>
            <rFont val="Tahoma"/>
            <family val="2"/>
          </rPr>
          <t>michcy:</t>
        </r>
        <r>
          <rPr>
            <sz val="8"/>
            <color indexed="81"/>
            <rFont val="Tahoma"/>
            <family val="2"/>
          </rPr>
          <t xml:space="preserve">
$1,286 of legal and related costs with $735m in citicorp and $551m in citi holdings; aggregate worth 27c;
legal costs in Citicorp are reflected in GCB, GTS and corp/other</t>
        </r>
      </text>
    </comment>
    <comment ref="H1581" authorId="0">
      <text>
        <r>
          <rPr>
            <b/>
            <sz val="8"/>
            <color indexed="81"/>
            <rFont val="Tahoma"/>
            <family val="2"/>
          </rPr>
          <t>michcy:</t>
        </r>
        <r>
          <rPr>
            <sz val="8"/>
            <color indexed="81"/>
            <rFont val="Tahoma"/>
            <family val="2"/>
          </rPr>
          <t xml:space="preserve">
1q13; litigation charges of over $700m with $66m in Citicorp and over $600m in Citi Holdings (largely in SAP)</t>
        </r>
      </text>
    </comment>
    <comment ref="I1581" authorId="0">
      <text>
        <r>
          <rPr>
            <b/>
            <sz val="8"/>
            <color indexed="81"/>
            <rFont val="Tahoma"/>
            <family val="2"/>
          </rPr>
          <t>michcy:</t>
        </r>
        <r>
          <rPr>
            <sz val="8"/>
            <color indexed="81"/>
            <rFont val="Tahoma"/>
            <family val="2"/>
          </rPr>
          <t xml:space="preserve">
2q13: Legal costs were $832m; slide 4 shows $131m in Citicorp and $701m in Citi Holdings (mostly SAP)</t>
        </r>
      </text>
    </comment>
    <comment ref="K1581" authorId="0">
      <text>
        <r>
          <rPr>
            <b/>
            <sz val="8"/>
            <color indexed="81"/>
            <rFont val="Tahoma"/>
            <family val="2"/>
          </rPr>
          <t>michcy:</t>
        </r>
        <r>
          <rPr>
            <sz val="8"/>
            <color indexed="81"/>
            <rFont val="Tahoma"/>
            <family val="2"/>
          </rPr>
          <t xml:space="preserve">
assume $700m for libor litigation split over 2 yrs with 350m in each 2013 and 2014</t>
        </r>
      </text>
    </comment>
    <comment ref="N1581" authorId="2">
      <text>
        <r>
          <rPr>
            <b/>
            <sz val="9"/>
            <color indexed="81"/>
            <rFont val="Tahoma"/>
            <family val="2"/>
          </rPr>
          <t>Gosalia, Manan (Research):</t>
        </r>
        <r>
          <rPr>
            <sz val="9"/>
            <color indexed="81"/>
            <rFont val="Tahoma"/>
            <family val="2"/>
          </rPr>
          <t xml:space="preserve">
$600M additional legal costs announced on 10/30 when earnings were restated… goes into corp other</t>
        </r>
      </text>
    </comment>
    <comment ref="X1581" authorId="2">
      <text>
        <r>
          <rPr>
            <b/>
            <sz val="9"/>
            <color indexed="81"/>
            <rFont val="Tahoma"/>
            <family val="2"/>
          </rPr>
          <t>Gosalia, Manan (Research):</t>
        </r>
        <r>
          <rPr>
            <sz val="9"/>
            <color indexed="81"/>
            <rFont val="Tahoma"/>
            <family val="2"/>
          </rPr>
          <t xml:space="preserve">
assumed, Citi stopped disclosing</t>
        </r>
      </text>
    </comment>
    <comment ref="Y1581" authorId="2">
      <text>
        <r>
          <rPr>
            <b/>
            <sz val="9"/>
            <color indexed="81"/>
            <rFont val="Tahoma"/>
            <family val="2"/>
          </rPr>
          <t>Gosalia, Manan (Research):</t>
        </r>
        <r>
          <rPr>
            <sz val="9"/>
            <color indexed="81"/>
            <rFont val="Tahoma"/>
            <family val="2"/>
          </rPr>
          <t xml:space="preserve">
assumed, Citi stopped disclosing</t>
        </r>
      </text>
    </comment>
    <comment ref="X1584" authorId="2">
      <text>
        <r>
          <rPr>
            <b/>
            <sz val="9"/>
            <color indexed="81"/>
            <rFont val="Tahoma"/>
            <family val="2"/>
          </rPr>
          <t>Gosalia, Manan (Research):</t>
        </r>
        <r>
          <rPr>
            <sz val="9"/>
            <color indexed="81"/>
            <rFont val="Tahoma"/>
            <family val="2"/>
          </rPr>
          <t xml:space="preserve">
Citi stopped disclosing</t>
        </r>
      </text>
    </comment>
    <comment ref="X1586" authorId="2">
      <text>
        <r>
          <rPr>
            <b/>
            <sz val="9"/>
            <color indexed="81"/>
            <rFont val="Tahoma"/>
            <family val="2"/>
          </rPr>
          <t>Gosalia, Manan (Research):</t>
        </r>
        <r>
          <rPr>
            <sz val="9"/>
            <color indexed="81"/>
            <rFont val="Tahoma"/>
            <family val="2"/>
          </rPr>
          <t xml:space="preserve">
Citi stopped disclosing</t>
        </r>
      </text>
    </comment>
    <comment ref="W1625" authorId="2">
      <text>
        <r>
          <rPr>
            <b/>
            <sz val="9"/>
            <color indexed="81"/>
            <rFont val="Tahoma"/>
            <family val="2"/>
          </rPr>
          <t>Gosalia, Manan (Research):</t>
        </r>
        <r>
          <rPr>
            <sz val="9"/>
            <color indexed="81"/>
            <rFont val="Tahoma"/>
            <family val="2"/>
          </rPr>
          <t xml:space="preserve">
earnings presentation (TCE)</t>
        </r>
      </text>
    </comment>
    <comment ref="AX1643" authorId="2">
      <text>
        <r>
          <rPr>
            <b/>
            <sz val="9"/>
            <color indexed="81"/>
            <rFont val="Tahoma"/>
            <family val="2"/>
          </rPr>
          <t>Gosalia, Manan (Research):</t>
        </r>
        <r>
          <rPr>
            <sz val="9"/>
            <color indexed="81"/>
            <rFont val="Tahoma"/>
            <family val="2"/>
          </rPr>
          <t xml:space="preserve">
not available post 2014</t>
        </r>
      </text>
    </comment>
  </commentList>
</comments>
</file>

<file path=xl/comments4.xml><?xml version="1.0" encoding="utf-8"?>
<comments xmlns="http://schemas.openxmlformats.org/spreadsheetml/2006/main">
  <authors>
    <author>Gosalia, Manan (Research)</author>
    <author>VL</author>
  </authors>
  <commentList>
    <comment ref="Z9" authorId="0">
      <text>
        <r>
          <rPr>
            <b/>
            <sz val="9"/>
            <color indexed="81"/>
            <rFont val="Tahoma"/>
            <family val="2"/>
          </rPr>
          <t>Gosalia, Manan (Research):</t>
        </r>
        <r>
          <rPr>
            <sz val="9"/>
            <color indexed="81"/>
            <rFont val="Tahoma"/>
            <family val="2"/>
          </rPr>
          <t xml:space="preserve">
expect yields to improve driven by rate increases as well as full rate revolving growth</t>
        </r>
      </text>
    </comment>
    <comment ref="AA9" authorId="0">
      <text>
        <r>
          <rPr>
            <b/>
            <sz val="9"/>
            <color indexed="81"/>
            <rFont val="Tahoma"/>
            <family val="2"/>
          </rPr>
          <t>Gosalia, Manan (Research):</t>
        </r>
        <r>
          <rPr>
            <sz val="9"/>
            <color indexed="81"/>
            <rFont val="Tahoma"/>
            <family val="2"/>
          </rPr>
          <t xml:space="preserve">
expect yields to improve driven by rate increases as well as full rate revolving growth</t>
        </r>
      </text>
    </comment>
    <comment ref="AC9" authorId="0">
      <text>
        <r>
          <rPr>
            <b/>
            <sz val="9"/>
            <color indexed="81"/>
            <rFont val="Tahoma"/>
            <family val="2"/>
          </rPr>
          <t>Gosalia, Manan (Research):</t>
        </r>
        <r>
          <rPr>
            <sz val="9"/>
            <color indexed="81"/>
            <rFont val="Tahoma"/>
            <family val="2"/>
          </rPr>
          <t xml:space="preserve">
seasonally lower</t>
        </r>
      </text>
    </comment>
    <comment ref="AB23" authorId="0">
      <text>
        <r>
          <rPr>
            <b/>
            <sz val="9"/>
            <color indexed="81"/>
            <rFont val="Tahoma"/>
            <family val="2"/>
          </rPr>
          <t>Gosalia, Manan (Research):</t>
        </r>
        <r>
          <rPr>
            <sz val="9"/>
            <color indexed="81"/>
            <rFont val="Tahoma"/>
            <family val="2"/>
          </rPr>
          <t xml:space="preserve">
includes $150M gain on sale of Hilton portfolio
0.36% without the gain</t>
        </r>
      </text>
    </comment>
    <comment ref="Z39" authorId="0">
      <text>
        <r>
          <rPr>
            <b/>
            <sz val="9"/>
            <color indexed="81"/>
            <rFont val="Tahoma"/>
            <family val="2"/>
          </rPr>
          <t>Gosalia, Manan (Research):</t>
        </r>
        <r>
          <rPr>
            <sz val="9"/>
            <color indexed="81"/>
            <rFont val="Tahoma"/>
            <family val="2"/>
          </rPr>
          <t xml:space="preserve">
expect growth in full rate revolving loans in 2H17 as investments mature</t>
        </r>
      </text>
    </comment>
    <comment ref="AA39" authorId="0">
      <text>
        <r>
          <rPr>
            <b/>
            <sz val="9"/>
            <color indexed="81"/>
            <rFont val="Tahoma"/>
            <family val="2"/>
          </rPr>
          <t>Gosalia, Manan (Research):</t>
        </r>
        <r>
          <rPr>
            <sz val="9"/>
            <color indexed="81"/>
            <rFont val="Tahoma"/>
            <family val="2"/>
          </rPr>
          <t xml:space="preserve">
expect growth in full rate revolving loans in 2H17 as investments mature</t>
        </r>
      </text>
    </comment>
    <comment ref="AB39" authorId="0">
      <text>
        <r>
          <rPr>
            <b/>
            <sz val="9"/>
            <color indexed="81"/>
            <rFont val="Tahoma"/>
            <family val="2"/>
          </rPr>
          <t>Gosalia, Manan (Research):</t>
        </r>
        <r>
          <rPr>
            <sz val="9"/>
            <color indexed="81"/>
            <rFont val="Tahoma"/>
            <family val="2"/>
          </rPr>
          <t xml:space="preserve">
hilton portfolio sale ~$1B in loans</t>
        </r>
      </text>
    </comment>
    <comment ref="Y46" authorId="0">
      <text>
        <r>
          <rPr>
            <b/>
            <sz val="9"/>
            <color indexed="81"/>
            <rFont val="Tahoma"/>
            <family val="2"/>
          </rPr>
          <t>Gosalia, Manan (Research):</t>
        </r>
        <r>
          <rPr>
            <sz val="9"/>
            <color indexed="81"/>
            <rFont val="Tahoma"/>
            <family val="2"/>
          </rPr>
          <t xml:space="preserve">
part of this jump due to FX</t>
        </r>
      </text>
    </comment>
    <comment ref="Y47" authorId="0">
      <text>
        <r>
          <rPr>
            <b/>
            <sz val="9"/>
            <color indexed="81"/>
            <rFont val="Tahoma"/>
            <family val="2"/>
          </rPr>
          <t>Gosalia, Manan (Research):</t>
        </r>
        <r>
          <rPr>
            <sz val="9"/>
            <color indexed="81"/>
            <rFont val="Tahoma"/>
            <family val="2"/>
          </rPr>
          <t xml:space="preserve">
part of this jump due to FX</t>
        </r>
      </text>
    </comment>
    <comment ref="AA181" authorId="0">
      <text>
        <r>
          <rPr>
            <b/>
            <sz val="9"/>
            <color indexed="81"/>
            <rFont val="Tahoma"/>
            <family val="2"/>
          </rPr>
          <t>Gosalia, Manan (Research):</t>
        </r>
        <r>
          <rPr>
            <sz val="9"/>
            <color indexed="81"/>
            <rFont val="Tahoma"/>
            <family val="2"/>
          </rPr>
          <t xml:space="preserve">
includes $130M loss related to Steinhoff</t>
        </r>
      </text>
    </comment>
    <comment ref="Z183" authorId="0">
      <text>
        <r>
          <rPr>
            <b/>
            <sz val="9"/>
            <color indexed="81"/>
            <rFont val="Tahoma"/>
            <family val="2"/>
          </rPr>
          <t>Gosalia, Manan (Research):</t>
        </r>
        <r>
          <rPr>
            <sz val="9"/>
            <color indexed="81"/>
            <rFont val="Tahoma"/>
            <family val="2"/>
          </rPr>
          <t xml:space="preserve">
$580M gain on sale of fixed income analytics business</t>
        </r>
      </text>
    </comment>
    <comment ref="AB210" authorId="0">
      <text>
        <r>
          <rPr>
            <b/>
            <sz val="9"/>
            <color indexed="81"/>
            <rFont val="Tahoma"/>
            <family val="2"/>
          </rPr>
          <t>Gosalia, Manan (Research):</t>
        </r>
        <r>
          <rPr>
            <sz val="9"/>
            <color indexed="81"/>
            <rFont val="Tahoma"/>
            <family val="2"/>
          </rPr>
          <t xml:space="preserve">
$800M gross up for revenue recognition. Revenues go up by the same number</t>
        </r>
      </text>
    </comment>
    <comment ref="AC210" authorId="0">
      <text>
        <r>
          <rPr>
            <b/>
            <sz val="9"/>
            <color indexed="81"/>
            <rFont val="Tahoma"/>
            <family val="2"/>
          </rPr>
          <t>Gosalia, Manan (Research):</t>
        </r>
        <r>
          <rPr>
            <sz val="9"/>
            <color indexed="81"/>
            <rFont val="Tahoma"/>
            <family val="2"/>
          </rPr>
          <t xml:space="preserve">
$800M gross up for revenue recognition. Revenues go up by the same number</t>
        </r>
      </text>
    </comment>
    <comment ref="AD210" authorId="0">
      <text>
        <r>
          <rPr>
            <b/>
            <sz val="9"/>
            <color indexed="81"/>
            <rFont val="Tahoma"/>
            <family val="2"/>
          </rPr>
          <t>Gosalia, Manan (Research):</t>
        </r>
        <r>
          <rPr>
            <sz val="9"/>
            <color indexed="81"/>
            <rFont val="Tahoma"/>
            <family val="2"/>
          </rPr>
          <t xml:space="preserve">
$800M gross up for revenue recognition. Revenues go up by the same number</t>
        </r>
      </text>
    </comment>
    <comment ref="AE210" authorId="0">
      <text>
        <r>
          <rPr>
            <b/>
            <sz val="9"/>
            <color indexed="81"/>
            <rFont val="Tahoma"/>
            <family val="2"/>
          </rPr>
          <t>Gosalia, Manan (Research):</t>
        </r>
        <r>
          <rPr>
            <sz val="9"/>
            <color indexed="81"/>
            <rFont val="Tahoma"/>
            <family val="2"/>
          </rPr>
          <t xml:space="preserve">
$800M gross up for revenue recognition. Revenues go up by the same number</t>
        </r>
      </text>
    </comment>
    <comment ref="AB222" authorId="0">
      <text>
        <r>
          <rPr>
            <b/>
            <sz val="9"/>
            <color indexed="81"/>
            <rFont val="Tahoma"/>
            <family val="2"/>
          </rPr>
          <t>Gosalia, Manan (Research):</t>
        </r>
        <r>
          <rPr>
            <sz val="9"/>
            <color indexed="81"/>
            <rFont val="Tahoma"/>
            <family val="2"/>
          </rPr>
          <t xml:space="preserve">
lower as tax reform drives down the FTE adjustment</t>
        </r>
      </text>
    </comment>
    <comment ref="AC244" authorId="0">
      <text>
        <r>
          <rPr>
            <b/>
            <sz val="9"/>
            <color indexed="81"/>
            <rFont val="Tahoma"/>
            <family val="2"/>
          </rPr>
          <t>Gosalia, Manan (Research):</t>
        </r>
        <r>
          <rPr>
            <sz val="9"/>
            <color indexed="81"/>
            <rFont val="Tahoma"/>
            <family val="2"/>
          </rPr>
          <t xml:space="preserve">
expect $200-250M pretax losses in corporate/other per quarter in 2018</t>
        </r>
      </text>
    </comment>
    <comment ref="AD244" authorId="0">
      <text>
        <r>
          <rPr>
            <b/>
            <sz val="9"/>
            <color indexed="81"/>
            <rFont val="Tahoma"/>
            <family val="2"/>
          </rPr>
          <t>Gosalia, Manan (Research):</t>
        </r>
        <r>
          <rPr>
            <sz val="9"/>
            <color indexed="81"/>
            <rFont val="Tahoma"/>
            <family val="2"/>
          </rPr>
          <t xml:space="preserve">
expect $200-250M pretax losses in corporate/other per quarter in 2018</t>
        </r>
      </text>
    </comment>
    <comment ref="AE244" authorId="0">
      <text>
        <r>
          <rPr>
            <b/>
            <sz val="9"/>
            <color indexed="81"/>
            <rFont val="Tahoma"/>
            <family val="2"/>
          </rPr>
          <t>Gosalia, Manan (Research):</t>
        </r>
        <r>
          <rPr>
            <sz val="9"/>
            <color indexed="81"/>
            <rFont val="Tahoma"/>
            <family val="2"/>
          </rPr>
          <t xml:space="preserve">
expect $200-250M pretax losses in corporate/other per quarter in 2018</t>
        </r>
      </text>
    </comment>
    <comment ref="BA244" authorId="0">
      <text>
        <r>
          <rPr>
            <b/>
            <sz val="9"/>
            <color indexed="81"/>
            <rFont val="Tahoma"/>
            <family val="2"/>
          </rPr>
          <t>Gosalia, Manan (Research):</t>
        </r>
        <r>
          <rPr>
            <sz val="9"/>
            <color indexed="81"/>
            <rFont val="Tahoma"/>
            <family val="2"/>
          </rPr>
          <t xml:space="preserve">
runrate of $250-300M pre tax loss per quarter in 2018</t>
        </r>
      </text>
    </comment>
    <comment ref="X269" authorId="1">
      <text>
        <r>
          <rPr>
            <b/>
            <sz val="9"/>
            <color indexed="81"/>
            <rFont val="Tahoma"/>
            <family val="2"/>
          </rPr>
          <t>VL:</t>
        </r>
        <r>
          <rPr>
            <sz val="9"/>
            <color indexed="81"/>
            <rFont val="Tahoma"/>
            <family val="2"/>
          </rPr>
          <t xml:space="preserve">
from the model</t>
        </r>
      </text>
    </comment>
    <comment ref="AB279" authorId="0">
      <text>
        <r>
          <rPr>
            <b/>
            <sz val="9"/>
            <color indexed="81"/>
            <rFont val="Tahoma"/>
            <family val="2"/>
          </rPr>
          <t>Gosalia, Manan (Research):</t>
        </r>
        <r>
          <rPr>
            <sz val="9"/>
            <color indexed="81"/>
            <rFont val="Tahoma"/>
            <family val="2"/>
          </rPr>
          <t xml:space="preserve">
lower as tax reform drives down the FTE adjustment</t>
        </r>
      </text>
    </comment>
    <comment ref="BA283" authorId="0">
      <text>
        <r>
          <rPr>
            <b/>
            <sz val="9"/>
            <color indexed="81"/>
            <rFont val="Tahoma"/>
            <family val="2"/>
          </rPr>
          <t>Gosalia, Manan (Research):</t>
        </r>
        <r>
          <rPr>
            <sz val="9"/>
            <color indexed="81"/>
            <rFont val="Tahoma"/>
            <family val="2"/>
          </rPr>
          <t xml:space="preserve">
expect up $2.7B in 2018 given March and June hike
$80M per quarter more per rate hike</t>
        </r>
      </text>
    </comment>
    <comment ref="BA285" authorId="0">
      <text>
        <r>
          <rPr>
            <b/>
            <sz val="9"/>
            <color indexed="81"/>
            <rFont val="Tahoma"/>
            <family val="2"/>
          </rPr>
          <t>Gosalia, Manan (Research):</t>
        </r>
        <r>
          <rPr>
            <sz val="9"/>
            <color indexed="81"/>
            <rFont val="Tahoma"/>
            <family val="2"/>
          </rPr>
          <t xml:space="preserve">
legacy asset runoff $500M</t>
        </r>
      </text>
    </comment>
    <comment ref="AF289" authorId="0">
      <text>
        <r>
          <rPr>
            <b/>
            <sz val="9"/>
            <color indexed="81"/>
            <rFont val="Tahoma"/>
            <family val="2"/>
          </rPr>
          <t>Gosalia, Manan (Research):</t>
        </r>
        <r>
          <rPr>
            <sz val="9"/>
            <color indexed="81"/>
            <rFont val="Tahoma"/>
            <family val="2"/>
          </rPr>
          <t xml:space="preserve">
assuming $2B issuance @7%</t>
        </r>
      </text>
    </comment>
    <comment ref="AC306" authorId="0">
      <text>
        <r>
          <rPr>
            <b/>
            <sz val="9"/>
            <color indexed="81"/>
            <rFont val="Tahoma"/>
            <family val="2"/>
          </rPr>
          <t>Gosalia, Manan (Research):</t>
        </r>
        <r>
          <rPr>
            <sz val="9"/>
            <color indexed="81"/>
            <rFont val="Tahoma"/>
            <family val="2"/>
          </rPr>
          <t xml:space="preserve">
tax rate should be around 25%</t>
        </r>
      </text>
    </comment>
    <comment ref="V316" authorId="0">
      <text>
        <r>
          <rPr>
            <b/>
            <sz val="9"/>
            <color indexed="81"/>
            <rFont val="Tahoma"/>
            <family val="2"/>
          </rPr>
          <t>Gosalia, Manan (Research):</t>
        </r>
        <r>
          <rPr>
            <sz val="9"/>
            <color indexed="81"/>
            <rFont val="Tahoma"/>
            <family val="2"/>
          </rPr>
          <t xml:space="preserve">
approved for $8.6B + $1.75B de minimus = $10.35B</t>
        </r>
      </text>
    </comment>
    <comment ref="V326" authorId="0">
      <text>
        <r>
          <rPr>
            <b/>
            <sz val="9"/>
            <color indexed="81"/>
            <rFont val="Tahoma"/>
            <family val="2"/>
          </rPr>
          <t>Gosalia, Manan (Research):</t>
        </r>
        <r>
          <rPr>
            <sz val="9"/>
            <color indexed="81"/>
            <rFont val="Tahoma"/>
            <family val="2"/>
          </rPr>
          <t xml:space="preserve">
approved for $8.6B + $1.75B de minimus = $10.35B</t>
        </r>
      </text>
    </comment>
    <comment ref="AH326" authorId="0">
      <text>
        <r>
          <rPr>
            <b/>
            <sz val="9"/>
            <color indexed="81"/>
            <rFont val="Tahoma"/>
            <family val="2"/>
          </rPr>
          <t>Gosalia, Manan (Research):</t>
        </r>
        <r>
          <rPr>
            <sz val="9"/>
            <color indexed="81"/>
            <rFont val="Tahoma"/>
            <family val="2"/>
          </rPr>
          <t xml:space="preserve">
target $60B in total capital return (bb + gross buybacks) over 3 ccar cycles 2017, 18, 19</t>
        </r>
      </text>
    </comment>
  </commentList>
</comments>
</file>

<file path=xl/comments5.xml><?xml version="1.0" encoding="utf-8"?>
<comments xmlns="http://schemas.openxmlformats.org/spreadsheetml/2006/main">
  <authors>
    <author>Michcy</author>
  </authors>
  <commentList>
    <comment ref="A200" authorId="0">
      <text>
        <r>
          <rPr>
            <b/>
            <sz val="8"/>
            <color indexed="81"/>
            <rFont val="Tahoma"/>
            <family val="2"/>
          </rPr>
          <t>Michcy:</t>
        </r>
        <r>
          <rPr>
            <sz val="8"/>
            <color indexed="81"/>
            <rFont val="Tahoma"/>
            <family val="2"/>
          </rPr>
          <t xml:space="preserve">
No major GS acquisitions under pooling method so this calc is same as traditional ROE.
ROEE adjusts for acquisitions accounted for under the pooling method by adding back "phantom goodwill"  as if those transactions were accounted for under purchase accounting method. </t>
        </r>
      </text>
    </comment>
  </commentList>
</comments>
</file>

<file path=xl/comments6.xml><?xml version="1.0" encoding="utf-8"?>
<comments xmlns="http://schemas.openxmlformats.org/spreadsheetml/2006/main">
  <authors>
    <author>VL</author>
  </authors>
  <commentList>
    <comment ref="F14" authorId="0">
      <text>
        <r>
          <rPr>
            <b/>
            <sz val="9"/>
            <color indexed="81"/>
            <rFont val="Tahoma"/>
            <family val="2"/>
          </rPr>
          <t>VL:</t>
        </r>
        <r>
          <rPr>
            <sz val="9"/>
            <color indexed="81"/>
            <rFont val="Tahoma"/>
            <family val="2"/>
          </rPr>
          <t xml:space="preserve">
Why do we use GAAP in the old model?</t>
        </r>
      </text>
    </comment>
    <comment ref="F16" authorId="0">
      <text>
        <r>
          <rPr>
            <b/>
            <sz val="9"/>
            <color indexed="81"/>
            <rFont val="Tahoma"/>
            <family val="2"/>
          </rPr>
          <t>VL:</t>
        </r>
        <r>
          <rPr>
            <sz val="9"/>
            <color indexed="81"/>
            <rFont val="Tahoma"/>
            <family val="2"/>
          </rPr>
          <t xml:space="preserve">
Different because of repositioning charges</t>
        </r>
      </text>
    </comment>
  </commentList>
</comments>
</file>

<file path=xl/comments7.xml><?xml version="1.0" encoding="utf-8"?>
<comments xmlns="http://schemas.openxmlformats.org/spreadsheetml/2006/main">
  <authors>
    <author>Gosalia, Manan (Research)</author>
  </authors>
  <commentList>
    <comment ref="B10" authorId="0">
      <text>
        <r>
          <rPr>
            <b/>
            <sz val="9"/>
            <color indexed="81"/>
            <rFont val="Tahoma"/>
            <family val="2"/>
          </rPr>
          <t>Gosalia, Manan (Research):</t>
        </r>
        <r>
          <rPr>
            <sz val="9"/>
            <color indexed="81"/>
            <rFont val="Tahoma"/>
            <family val="2"/>
          </rPr>
          <t xml:space="preserve">
assuming consensus is non-FTE</t>
        </r>
      </text>
    </comment>
    <comment ref="B27" authorId="0">
      <text>
        <r>
          <rPr>
            <b/>
            <sz val="9"/>
            <color indexed="81"/>
            <rFont val="Tahoma"/>
            <family val="2"/>
          </rPr>
          <t>Gosalia, Manan (Research):</t>
        </r>
        <r>
          <rPr>
            <sz val="9"/>
            <color indexed="81"/>
            <rFont val="Tahoma"/>
            <family val="2"/>
          </rPr>
          <t xml:space="preserve">
consensus likely non FTE, hence the larger difference</t>
        </r>
      </text>
    </comment>
  </commentList>
</comments>
</file>

<file path=xl/sharedStrings.xml><?xml version="1.0" encoding="utf-8"?>
<sst xmlns="http://schemas.openxmlformats.org/spreadsheetml/2006/main" count="8511" uniqueCount="1810">
  <si>
    <t>Year</t>
  </si>
  <si>
    <t>Compensation and benefits</t>
  </si>
  <si>
    <t>Other operating</t>
  </si>
  <si>
    <t xml:space="preserve">   Non-Accrual Loans (NAL)</t>
  </si>
  <si>
    <t>Allowance for Loan Losses as a % of NAL</t>
  </si>
  <si>
    <t>Latin America</t>
  </si>
  <si>
    <t>Net Income</t>
  </si>
  <si>
    <t>Commissions and Fees</t>
  </si>
  <si>
    <t>Administration and Other Fiduciary Fees</t>
  </si>
  <si>
    <t>Principal Transactions</t>
  </si>
  <si>
    <t>Treasury and Trade Solutions</t>
  </si>
  <si>
    <t xml:space="preserve">Allowance for loan losses </t>
  </si>
  <si>
    <t>Equity</t>
  </si>
  <si>
    <t>Total liabilities and equity</t>
  </si>
  <si>
    <t>Total equity</t>
  </si>
  <si>
    <t>Private Bank</t>
  </si>
  <si>
    <t>Other</t>
  </si>
  <si>
    <t>Corporate / Other</t>
  </si>
  <si>
    <t>Technology / communication expense</t>
  </si>
  <si>
    <t>Treasury stock</t>
  </si>
  <si>
    <t>Income Taxes</t>
  </si>
  <si>
    <t>Total</t>
  </si>
  <si>
    <t xml:space="preserve"> </t>
  </si>
  <si>
    <t>Total Operating Expenses</t>
  </si>
  <si>
    <t>Interest expense</t>
  </si>
  <si>
    <t>Investment Banking:</t>
  </si>
  <si>
    <t>Assets</t>
  </si>
  <si>
    <t>EMEA</t>
  </si>
  <si>
    <t xml:space="preserve">Investments </t>
  </si>
  <si>
    <t>Loans, net of unearned income</t>
  </si>
  <si>
    <t>Total assets</t>
  </si>
  <si>
    <t>Liabilities</t>
  </si>
  <si>
    <t>Short-term borrowings</t>
  </si>
  <si>
    <t>Long-term debt</t>
  </si>
  <si>
    <t>Additional paid-in capital</t>
  </si>
  <si>
    <t>Retained earnings</t>
  </si>
  <si>
    <t>Corporate Non-Accrual Loans</t>
  </si>
  <si>
    <t>International</t>
  </si>
  <si>
    <t>Corporate/Other</t>
  </si>
  <si>
    <t>Held-to-maturity</t>
  </si>
  <si>
    <t xml:space="preserve">Total Investments </t>
  </si>
  <si>
    <t>Average Deposits</t>
  </si>
  <si>
    <t>Investment Sales</t>
  </si>
  <si>
    <t>Investment AUMs</t>
  </si>
  <si>
    <t>Revenues</t>
  </si>
  <si>
    <t>Insurance premiums</t>
  </si>
  <si>
    <t>Commissions and fees</t>
  </si>
  <si>
    <t>Principal transactions</t>
  </si>
  <si>
    <t>Operating Expenses</t>
  </si>
  <si>
    <t>Deposits with banks</t>
  </si>
  <si>
    <t>EOP Open Accounts (in millions)</t>
  </si>
  <si>
    <t>Common Equity</t>
  </si>
  <si>
    <t>Net Servicing &amp; Gain/(Loss) on Sale</t>
  </si>
  <si>
    <t>As a % of Average Loans</t>
  </si>
  <si>
    <t>Total Deposits</t>
  </si>
  <si>
    <t xml:space="preserve">Total </t>
  </si>
  <si>
    <t xml:space="preserve">Consumer </t>
  </si>
  <si>
    <t>Institutional Clients Group (ICG)</t>
  </si>
  <si>
    <t>Components of Provision for Loan Losses</t>
  </si>
  <si>
    <t>ICG</t>
  </si>
  <si>
    <t>Less:</t>
  </si>
  <si>
    <t>Goodwill</t>
  </si>
  <si>
    <t>Corporate</t>
  </si>
  <si>
    <t>Debt Underwriting</t>
  </si>
  <si>
    <t>Equity Underwriting</t>
  </si>
  <si>
    <t>Investment Banking</t>
  </si>
  <si>
    <t>Average Assets</t>
  </si>
  <si>
    <t>Total Citigroup stockholders' equity</t>
  </si>
  <si>
    <t>Total Investment Banking</t>
  </si>
  <si>
    <t>Administrative and other fiduciary fees</t>
  </si>
  <si>
    <t>Average Loans</t>
  </si>
  <si>
    <t>Gross Recoveries</t>
  </si>
  <si>
    <t>Advertising and marketing expense</t>
  </si>
  <si>
    <t>Revenue by Business</t>
  </si>
  <si>
    <t>Retail Banking</t>
  </si>
  <si>
    <t>Citi-Branded Cards</t>
  </si>
  <si>
    <t>North America</t>
  </si>
  <si>
    <t>Asia</t>
  </si>
  <si>
    <t>Equity Markets</t>
  </si>
  <si>
    <t>Fixed Income Markets</t>
  </si>
  <si>
    <t>Income from Continuing Operations</t>
  </si>
  <si>
    <t>Total Citigroup</t>
  </si>
  <si>
    <t>Non-Accrual Assets</t>
  </si>
  <si>
    <t>NAL as a % of Total Loans</t>
  </si>
  <si>
    <t>NAA as a % of Total Assets</t>
  </si>
  <si>
    <t xml:space="preserve">   Non-Accrual Assets (NAA)</t>
  </si>
  <si>
    <t>Personal and Other</t>
  </si>
  <si>
    <t>Total EOP Loans</t>
  </si>
  <si>
    <t xml:space="preserve">EOP Loans </t>
  </si>
  <si>
    <t>Income from Continuing Operations before Taxes</t>
  </si>
  <si>
    <t xml:space="preserve">Income Taxes </t>
  </si>
  <si>
    <t xml:space="preserve">Advisory </t>
  </si>
  <si>
    <t>Credit Cards</t>
  </si>
  <si>
    <t>Intangible assets (other than MSRs)</t>
  </si>
  <si>
    <t>Total Consumer Loans</t>
  </si>
  <si>
    <t>Total Corporate Loans</t>
  </si>
  <si>
    <t>Income from Continuing Operations by Business</t>
  </si>
  <si>
    <t>Noncontrolling interests</t>
  </si>
  <si>
    <t>Purchase Sales (in billions)</t>
  </si>
  <si>
    <t>Mortgage servicing rights (MSRs)</t>
  </si>
  <si>
    <t>Global Consumer Banking</t>
  </si>
  <si>
    <t>GLOBAL CONSUMER BANKING</t>
  </si>
  <si>
    <t>Citi Retail Services</t>
  </si>
  <si>
    <t>Residential First</t>
  </si>
  <si>
    <t>Home Equity</t>
  </si>
  <si>
    <t xml:space="preserve">As a % of Average Loans </t>
  </si>
  <si>
    <t>Consumer Non-Accrual Loans</t>
  </si>
  <si>
    <t xml:space="preserve">Realized gains (losses) on investments </t>
  </si>
  <si>
    <t xml:space="preserve">Cards </t>
  </si>
  <si>
    <t xml:space="preserve">Investment Sales </t>
  </si>
  <si>
    <t xml:space="preserve">Goodwill </t>
  </si>
  <si>
    <t>Total common equity</t>
  </si>
  <si>
    <t>Stockholders' equity</t>
  </si>
  <si>
    <t>Preferred stock</t>
  </si>
  <si>
    <t xml:space="preserve">Common stock </t>
  </si>
  <si>
    <t>Securities Services</t>
  </si>
  <si>
    <t>All Other ICG Businesses</t>
  </si>
  <si>
    <t>Other revenue</t>
  </si>
  <si>
    <t>Regulatory Capital Adjustments and Deductions:</t>
  </si>
  <si>
    <t>Tangible Common Equity (TCE)</t>
  </si>
  <si>
    <t>Tangible Book Value Per Share (TCE/CSO)</t>
  </si>
  <si>
    <t>Average Loans (in billions) (4)</t>
  </si>
  <si>
    <t>Total GCB</t>
  </si>
  <si>
    <t>Global Consumer Banking (GCB)</t>
  </si>
  <si>
    <t>Common Equity Tier 1 Capital (CET1)</t>
  </si>
  <si>
    <t>Risk-Weighted Assets (RWA)</t>
  </si>
  <si>
    <t>Total Leverage Exposure (TLE)</t>
  </si>
  <si>
    <t>Total Tier 1 Capital (T1C) (CET1 + AT1)</t>
  </si>
  <si>
    <t>Supplementary Leverage Ratio (T1C/TLE)</t>
  </si>
  <si>
    <t xml:space="preserve">North America </t>
  </si>
  <si>
    <t>Other assets</t>
  </si>
  <si>
    <t>EOP Loans (in billions) (4)</t>
  </si>
  <si>
    <t>Income Taxes (Benefits)</t>
  </si>
  <si>
    <t>Commercial Banking</t>
  </si>
  <si>
    <t>Mortgages</t>
  </si>
  <si>
    <t>Total Provision for Loan Losses</t>
  </si>
  <si>
    <t>Total Loans</t>
  </si>
  <si>
    <t>Total GCB Consumer Loans</t>
  </si>
  <si>
    <t>Total Deposits - EOP</t>
  </si>
  <si>
    <t>CORPORATE / OTHER</t>
  </si>
  <si>
    <t>Corporate/Other - Other Consumer</t>
  </si>
  <si>
    <t>Corporate/Other - Consumer:</t>
  </si>
  <si>
    <t>.</t>
  </si>
  <si>
    <t>Rates and Currencies</t>
  </si>
  <si>
    <t>Spread Products / Other Fixed Income</t>
  </si>
  <si>
    <t>[1Q12 - 1Q13 - Not Presented]</t>
  </si>
  <si>
    <t>Total Corporate/Other - Consumer</t>
  </si>
  <si>
    <t xml:space="preserve">Institutional Clients Group </t>
  </si>
  <si>
    <t>($ millions)</t>
  </si>
  <si>
    <t>Citigroup</t>
  </si>
  <si>
    <t>1Q12</t>
  </si>
  <si>
    <t>2Q12</t>
  </si>
  <si>
    <t>3Q12</t>
  </si>
  <si>
    <t>4Q12</t>
  </si>
  <si>
    <t>1Q13</t>
  </si>
  <si>
    <t>2Q13</t>
  </si>
  <si>
    <t>3Q13</t>
  </si>
  <si>
    <t>4Q13</t>
  </si>
  <si>
    <t>1Q14</t>
  </si>
  <si>
    <t>2Q14</t>
  </si>
  <si>
    <t>3Q14</t>
  </si>
  <si>
    <t>4Q14</t>
  </si>
  <si>
    <t>1Q15</t>
  </si>
  <si>
    <t>2Q15</t>
  </si>
  <si>
    <t>3Q15</t>
  </si>
  <si>
    <t>4Q15</t>
  </si>
  <si>
    <t>1Q16</t>
  </si>
  <si>
    <t>2Q16</t>
  </si>
  <si>
    <t>3Q16</t>
  </si>
  <si>
    <t>4Q16</t>
  </si>
  <si>
    <t>3Q17E</t>
  </si>
  <si>
    <t>4Q17E</t>
  </si>
  <si>
    <t>1Q18E</t>
  </si>
  <si>
    <t>2Q18E</t>
  </si>
  <si>
    <t>3Q18E</t>
  </si>
  <si>
    <t>4Q18E</t>
  </si>
  <si>
    <t>BUSINESS LINE SUMMARY</t>
  </si>
  <si>
    <t>GEOGRAPHIC SUMMARY</t>
  </si>
  <si>
    <t>GCB - North America</t>
  </si>
  <si>
    <t>GCB - LATAM</t>
  </si>
  <si>
    <t>GCB - Retail Banking</t>
  </si>
  <si>
    <t>INSTITUTIONAL CLIENTS GROUP (ICG)</t>
  </si>
  <si>
    <t>Institutional Clients Group</t>
  </si>
  <si>
    <t>Corporate / Others</t>
  </si>
  <si>
    <t>Noninterest Expense</t>
  </si>
  <si>
    <t xml:space="preserve">Loan Loss Provision </t>
  </si>
  <si>
    <t>Pre-Tax Earnings (Ex DVA/CVA)</t>
  </si>
  <si>
    <t>Revenues (Ex DVA/CVA)</t>
  </si>
  <si>
    <t>Income Statement</t>
  </si>
  <si>
    <t>Total Revenues</t>
  </si>
  <si>
    <t>Provision for Credit Losses</t>
  </si>
  <si>
    <t>Income Tax Rate</t>
  </si>
  <si>
    <t>Reserve Build / (Release)</t>
  </si>
  <si>
    <t>Net Charge Offs</t>
  </si>
  <si>
    <t>x</t>
  </si>
  <si>
    <t>Citi Branded Cards</t>
  </si>
  <si>
    <t>Mortgage Banking Indicators</t>
  </si>
  <si>
    <t xml:space="preserve">Mortgage Originations </t>
  </si>
  <si>
    <t>Industry Mortgage Origination Volume ($B)</t>
  </si>
  <si>
    <t>Citi's Market Share</t>
  </si>
  <si>
    <t>Citi's Mortgage Originations ($B)</t>
  </si>
  <si>
    <t>Net Servicing &amp; Gain on Sale ($M)</t>
  </si>
  <si>
    <t>Net Servicing &amp; GoS Margin (%)</t>
  </si>
  <si>
    <t>Citi's Market Share (%)</t>
  </si>
  <si>
    <t>NA Fees ex. Mortgage</t>
  </si>
  <si>
    <t>NA Fees ex. Mortgage / Avg. Deposits</t>
  </si>
  <si>
    <t>Noninterest Income</t>
  </si>
  <si>
    <t>Revenue by Business (NA)</t>
  </si>
  <si>
    <t>NIM</t>
  </si>
  <si>
    <t>Net Interest Income</t>
  </si>
  <si>
    <t>Average Balances ($B)</t>
  </si>
  <si>
    <t>EOP Balances ($B)</t>
  </si>
  <si>
    <t>EOP Loans ($B)</t>
  </si>
  <si>
    <t>NCO Ratio</t>
  </si>
  <si>
    <t>Net Interest Income by Business (NA)</t>
  </si>
  <si>
    <t>Noninterest Income by Business (NA)</t>
  </si>
  <si>
    <t>Citi Branded Cards NA - Key Indicators</t>
  </si>
  <si>
    <t>Purchase Sales ($B)</t>
  </si>
  <si>
    <t xml:space="preserve">Average Yield </t>
  </si>
  <si>
    <t>Cost of Funding</t>
  </si>
  <si>
    <t>Net Credit Margin</t>
  </si>
  <si>
    <t xml:space="preserve">As a % of Avg. Loans </t>
  </si>
  <si>
    <t>Citi Retail Services NA - Key Indicators</t>
  </si>
  <si>
    <t xml:space="preserve">Net Credit Margin </t>
  </si>
  <si>
    <t>NCOs</t>
  </si>
  <si>
    <t>Average Loans ($B)</t>
  </si>
  <si>
    <t>NF</t>
  </si>
  <si>
    <t>New</t>
  </si>
  <si>
    <t>Average Yield</t>
  </si>
  <si>
    <t>NA</t>
  </si>
  <si>
    <t>GCB - Asia &amp; EMEA</t>
  </si>
  <si>
    <t xml:space="preserve">Net Interest Income by Business </t>
  </si>
  <si>
    <t xml:space="preserve">Revenue by Business </t>
  </si>
  <si>
    <t xml:space="preserve">Noninterest Income by Business </t>
  </si>
  <si>
    <t>EOP Assets ($B)</t>
  </si>
  <si>
    <t xml:space="preserve">Branches </t>
  </si>
  <si>
    <t>GEOGRAPHIC REGION</t>
  </si>
  <si>
    <t>Check</t>
  </si>
  <si>
    <t>LATAM</t>
  </si>
  <si>
    <t>Asia &amp; EMEA</t>
  </si>
  <si>
    <t>Noninterest Expenses</t>
  </si>
  <si>
    <t>Investment AUMs ($B)</t>
  </si>
  <si>
    <t>GCB -  Credit Cards</t>
  </si>
  <si>
    <t>Reserve Build / (Release) &amp; Others</t>
  </si>
  <si>
    <t>3rd Party Mortgage Servicing Portfolio (EOP) ($B)</t>
  </si>
  <si>
    <t>Saleable Mortgage Rate Locks ($B)</t>
  </si>
  <si>
    <t>GAAP Revenue Lines</t>
  </si>
  <si>
    <t>Income Statement by Business Line</t>
  </si>
  <si>
    <t>Corporate Lending - Gain/Loss on Loan Hedges</t>
  </si>
  <si>
    <t xml:space="preserve">Total Banking Revs (Ex-CVA/DVA and Gain on Loan Hedges) </t>
  </si>
  <si>
    <t>Taxable-equivalent adjustments</t>
  </si>
  <si>
    <t>Total ICG Revenues, GAAP</t>
  </si>
  <si>
    <t>Provision</t>
  </si>
  <si>
    <t>Reserve Build (Release) &amp; Others</t>
  </si>
  <si>
    <t>Tax Rate</t>
  </si>
  <si>
    <t xml:space="preserve">Principal Transctions </t>
  </si>
  <si>
    <t xml:space="preserve">CVA/DVA for Periods Prior to 1Q16 </t>
  </si>
  <si>
    <t>Total Income from Continuining Operations</t>
  </si>
  <si>
    <t xml:space="preserve">Total Loans </t>
  </si>
  <si>
    <t>Fixed Income Markets Rev. (ex CVA/DVA)</t>
  </si>
  <si>
    <t>Equity Markets Rev. (ex CVA/DVA)</t>
  </si>
  <si>
    <t>Corporate Lending, Ex. Gain on Loan Hedges</t>
  </si>
  <si>
    <t>Revenue by Region - Ex. CVA/DVA</t>
  </si>
  <si>
    <t xml:space="preserve">Income from Continuing Operations by Region - Ex. CVA/DVA </t>
  </si>
  <si>
    <t>ECM</t>
  </si>
  <si>
    <t>DCM</t>
  </si>
  <si>
    <t>Market Share</t>
  </si>
  <si>
    <t>M&amp;A Advisory Revenues</t>
  </si>
  <si>
    <t>Industry Volumes ($B)</t>
  </si>
  <si>
    <t>Citi's Volumes ($B)</t>
  </si>
  <si>
    <t>ECM Revenues</t>
  </si>
  <si>
    <t>DCM Revenues</t>
  </si>
  <si>
    <t>Citi's Fees ($M)</t>
  </si>
  <si>
    <t>Gross Margin</t>
  </si>
  <si>
    <t>Drivers</t>
  </si>
  <si>
    <t>CITI MARKETS</t>
  </si>
  <si>
    <t>FICC</t>
  </si>
  <si>
    <t>Equities</t>
  </si>
  <si>
    <t xml:space="preserve">Other </t>
  </si>
  <si>
    <t>Revenue Growth - Sequential</t>
  </si>
  <si>
    <t>Revenue Growth - Y/Y</t>
  </si>
  <si>
    <t xml:space="preserve">Private Banking Growth - Sequential </t>
  </si>
  <si>
    <t xml:space="preserve">Total Corporate Loans </t>
  </si>
  <si>
    <t xml:space="preserve">Corporate Lending Rev / Avg. C&amp;I Loans </t>
  </si>
  <si>
    <t>Corporate Lending Gain (Loss) on Hedging</t>
  </si>
  <si>
    <t xml:space="preserve">Average C&amp;I Loan Growth -Sequential </t>
  </si>
  <si>
    <t>Average ICG Deposits</t>
  </si>
  <si>
    <t>Treasury and Trade Soln Rev / Avg. Deposits</t>
  </si>
  <si>
    <t>Provision / NCOs</t>
  </si>
  <si>
    <t>CITI ADVISORY &amp; UNDERWRITING</t>
  </si>
  <si>
    <t xml:space="preserve">M&amp;A Advisory </t>
  </si>
  <si>
    <t xml:space="preserve">Citi's Advisory &amp; Underwriting Fees Growth - Sequential </t>
  </si>
  <si>
    <t>Net Interest Income (incl. Dividends)</t>
  </si>
  <si>
    <t>Total Noninterest Income</t>
  </si>
  <si>
    <t xml:space="preserve">Noninterest Income </t>
  </si>
  <si>
    <t>PPoP</t>
  </si>
  <si>
    <t>Net Interest Income By Business Lines</t>
  </si>
  <si>
    <t>Consumer - North America</t>
  </si>
  <si>
    <t>Mortgages - North America</t>
  </si>
  <si>
    <t xml:space="preserve">NII - Corporate &amp; Other </t>
  </si>
  <si>
    <t>Noninterest Income By Business Lines</t>
  </si>
  <si>
    <t>Consumer - International</t>
  </si>
  <si>
    <t>Net Interest Margin</t>
  </si>
  <si>
    <t xml:space="preserve">Mortgage Net Servicing &amp; GoS </t>
  </si>
  <si>
    <t>Noninterest Income - Corporate &amp; Others</t>
  </si>
  <si>
    <t>Third Party Mortgage Serv. Portfolio (EOP, $B)</t>
  </si>
  <si>
    <t>Net Servicing &amp; GoS / Servicing Portfolio</t>
  </si>
  <si>
    <t>Third Party Mortgage Serv. Portfolio (Avg., $B)</t>
  </si>
  <si>
    <t>North America Mortgage Indicators</t>
  </si>
  <si>
    <t>Average Loan Growth - Sequential</t>
  </si>
  <si>
    <t xml:space="preserve">DEPOSITS </t>
  </si>
  <si>
    <t>EOP LOANS</t>
  </si>
  <si>
    <t>Total Asia &amp; EMEA</t>
  </si>
  <si>
    <t>Total LATAM</t>
  </si>
  <si>
    <t>Total North America</t>
  </si>
  <si>
    <t>Retail Bank</t>
  </si>
  <si>
    <t>Corporate/Other - Consumer</t>
  </si>
  <si>
    <t xml:space="preserve">Consumer Loans 90+ Days Past Due </t>
  </si>
  <si>
    <t xml:space="preserve">Total Citigroup </t>
  </si>
  <si>
    <t>Consumer Loans 90+ Days Past Due Ratios</t>
  </si>
  <si>
    <t xml:space="preserve">Consumer Loans 30-89 Days Past Due </t>
  </si>
  <si>
    <t>Consumer Loans 30-89 Days Past Due Ratios</t>
  </si>
  <si>
    <t xml:space="preserve">Gross Charge-Offs </t>
  </si>
  <si>
    <t>Reserves, EOP</t>
  </si>
  <si>
    <t>Reserves, BOP</t>
  </si>
  <si>
    <t>Reserve Builds/ (Releases) &amp; Others</t>
  </si>
  <si>
    <t>(+) Other Changes to Reserve</t>
  </si>
  <si>
    <t xml:space="preserve">(+) Provision </t>
  </si>
  <si>
    <t xml:space="preserve">Allowance for Unfunded Lending Commitments </t>
  </si>
  <si>
    <t xml:space="preserve">Provision for Unfunded Lending Commitments </t>
  </si>
  <si>
    <t>ALLL &amp; Unfunded Commitments</t>
  </si>
  <si>
    <t>Allowance for Loan Losses - Consolidated</t>
  </si>
  <si>
    <t>Allowance for Loan Losses - Consumer</t>
  </si>
  <si>
    <t>Reserve Ratios</t>
  </si>
  <si>
    <t>Consumer Loans</t>
  </si>
  <si>
    <t>Corporate Loans</t>
  </si>
  <si>
    <t>Allowance for Loan Losses - Corporate</t>
  </si>
  <si>
    <t>(-) Net Charge-Offs</t>
  </si>
  <si>
    <t>EMEA &amp; Asia</t>
  </si>
  <si>
    <t>OREO &amp; Other Repossessed Assets</t>
  </si>
  <si>
    <t>CREDIT ANALYSIS</t>
  </si>
  <si>
    <t>EQUITY ANALYSIS</t>
  </si>
  <si>
    <t>Other comprehensive income</t>
  </si>
  <si>
    <t>Other change in equity</t>
  </si>
  <si>
    <t>Ending Common Shareholders Equity</t>
  </si>
  <si>
    <t>Beginning Shareholders Equity</t>
  </si>
  <si>
    <t>Average Shares</t>
  </si>
  <si>
    <t>BALANCE SHEET - EOP</t>
  </si>
  <si>
    <t xml:space="preserve">Cash and due from banks </t>
  </si>
  <si>
    <t>NIB deposits in U.S. offices</t>
  </si>
  <si>
    <t>IB deposits in U.S. offices</t>
  </si>
  <si>
    <t>NIB deposits in offices outside the U.S.</t>
  </si>
  <si>
    <t>IB deposits in offices outside the U.S.</t>
  </si>
  <si>
    <t>AFS and non-marketable equity securities</t>
  </si>
  <si>
    <t>Other Interest Earning Assets</t>
  </si>
  <si>
    <t>Total Interest-Earning Assets</t>
  </si>
  <si>
    <t>Total interest-bearing liabilities</t>
  </si>
  <si>
    <t>Total non-interest-earning liabilities</t>
  </si>
  <si>
    <t>Total Liabilities</t>
  </si>
  <si>
    <t>Other noninterest-bearing liabilities</t>
  </si>
  <si>
    <t>Noninterest-bearing Deposits</t>
  </si>
  <si>
    <t>Interest-bearing deposits</t>
  </si>
  <si>
    <t>Total IB deposits</t>
  </si>
  <si>
    <t>BALANCE SHEET - AVERAGE</t>
  </si>
  <si>
    <t>AOCI / (Loss)</t>
  </si>
  <si>
    <t>Basic</t>
  </si>
  <si>
    <t>Dilution</t>
  </si>
  <si>
    <t>Diluted</t>
  </si>
  <si>
    <t>Shares Outstanding Roll Forward</t>
  </si>
  <si>
    <t>Equity Roll Forward</t>
  </si>
  <si>
    <t>Beginning common shares outstanding</t>
  </si>
  <si>
    <t>Ending common shares outstanding</t>
  </si>
  <si>
    <t>Dividends</t>
  </si>
  <si>
    <t>Dividends per share</t>
  </si>
  <si>
    <t>Dividend payments</t>
  </si>
  <si>
    <t>Share Repurchase</t>
  </si>
  <si>
    <t>Gross share repurchase</t>
  </si>
  <si>
    <t>Average share repurchase price</t>
  </si>
  <si>
    <t>Trailing 12 mth multiple</t>
  </si>
  <si>
    <t>Gross repurchase / outstanding</t>
  </si>
  <si>
    <t>Net repurchase / outstanding</t>
  </si>
  <si>
    <t>Dividend payout ratio</t>
  </si>
  <si>
    <t>Buyback ratio (buybacks / reported net income)</t>
  </si>
  <si>
    <t>Gross distribution to shareholders</t>
  </si>
  <si>
    <t>Less: issuance for options, etc..</t>
  </si>
  <si>
    <t>Net distribution to shareholders</t>
  </si>
  <si>
    <t>Implied reinvestment rate</t>
  </si>
  <si>
    <t>Total uses of capital</t>
  </si>
  <si>
    <t>Payout Ratios</t>
  </si>
  <si>
    <t>Net interest income</t>
  </si>
  <si>
    <t>INCOME STATEMENT - CONSOLIDATED BASIS</t>
  </si>
  <si>
    <t>Total revenues</t>
  </si>
  <si>
    <t>OTTI losses on investments and other assets</t>
  </si>
  <si>
    <t>NET INCOME SUMMARY (EX CVA/DVA)</t>
  </si>
  <si>
    <t>Income from continuing operations</t>
  </si>
  <si>
    <t>Earnings allocated to participating securities</t>
  </si>
  <si>
    <t>Minority interests</t>
  </si>
  <si>
    <t>Preferred dividends</t>
  </si>
  <si>
    <t>Operating EPS</t>
  </si>
  <si>
    <t>Net Income before noncontrolling interests</t>
  </si>
  <si>
    <t>Net Income from discontinued op., net of taxes</t>
  </si>
  <si>
    <t>Reported EPS</t>
  </si>
  <si>
    <t>Tax rate</t>
  </si>
  <si>
    <t>Extraordinary item, post-tax</t>
  </si>
  <si>
    <t>Total noninterest expense</t>
  </si>
  <si>
    <t>Total loan loss provision</t>
  </si>
  <si>
    <t>Pre-tax Income from continuing operations</t>
  </si>
  <si>
    <t>Income taxes (benefits)</t>
  </si>
  <si>
    <t>(-) CVA/DVA adjustments</t>
  </si>
  <si>
    <t>Noninterest expense</t>
  </si>
  <si>
    <t>Statutory tax rate</t>
  </si>
  <si>
    <t>Reserve build / (release) &amp; Others</t>
  </si>
  <si>
    <t>Operating earnings, ex reserve bleed</t>
  </si>
  <si>
    <t>Reserve bleed, post-tax</t>
  </si>
  <si>
    <t>EPS impact</t>
  </si>
  <si>
    <t>EPS ex reserve bleed</t>
  </si>
  <si>
    <t>Net share repurchase</t>
  </si>
  <si>
    <t>Net income</t>
  </si>
  <si>
    <t>Preferred shares</t>
  </si>
  <si>
    <t>Total shareholders' equity</t>
  </si>
  <si>
    <t xml:space="preserve">Intangible assets (ex MSRs) </t>
  </si>
  <si>
    <t xml:space="preserve">Goodwill and intangible assets (ex MSRs) related to assets held-for-sale </t>
  </si>
  <si>
    <t>Net deferred taxes related to goodwill &amp; Other intangibles</t>
  </si>
  <si>
    <t>Common Equity Tier 1 Ratio</t>
  </si>
  <si>
    <t>(+) Qualifying noncontrolling interests</t>
  </si>
  <si>
    <t>Pre-tax Income, Consolidated</t>
  </si>
  <si>
    <t>Balance sheet % gross-up</t>
  </si>
  <si>
    <t>Balance sheet gross-up</t>
  </si>
  <si>
    <t>Acc. net gain/ (loss) on cash flow hedges</t>
  </si>
  <si>
    <t>Changes in FV of financial liabilites</t>
  </si>
  <si>
    <t>Disallowed goodwill, net of related DTLs</t>
  </si>
  <si>
    <t>Disallowed intangible assets ex MSRs, net of related DTLs</t>
  </si>
  <si>
    <t>Defined benefit pension plan net assets</t>
  </si>
  <si>
    <t>DTAs arising fron NOLs, foreign tax credit and general business credit carry-forwards</t>
  </si>
  <si>
    <t>Items in excess of 15% (DTAs, MSRs, common stock investments)</t>
  </si>
  <si>
    <t>RWA as % of Total Assets</t>
  </si>
  <si>
    <t>Book Value Calculations</t>
  </si>
  <si>
    <t>Book Value Per Share</t>
  </si>
  <si>
    <t xml:space="preserve">Book Value </t>
  </si>
  <si>
    <t>BASEL 3 REGULATORY CAPITAL</t>
  </si>
  <si>
    <t>Tier 1 Capital</t>
  </si>
  <si>
    <t>Tier 2 Capital</t>
  </si>
  <si>
    <t>Total Capital</t>
  </si>
  <si>
    <t>Total capital ratio</t>
  </si>
  <si>
    <t>Tier 1 ratio</t>
  </si>
  <si>
    <t>Common Equity Tier 1</t>
  </si>
  <si>
    <t>CET 1 Ratio</t>
  </si>
  <si>
    <t>Regulatory Capital, Advanced Approaches</t>
  </si>
  <si>
    <t>Regulatory Capital Ratios, Advanced App.</t>
  </si>
  <si>
    <t>Regulatory Capital Ratios, Sequential Change</t>
  </si>
  <si>
    <t>Tier 1 ratio, sequential change (bps)</t>
  </si>
  <si>
    <t>CET 1 ratio, sequential change (bps)</t>
  </si>
  <si>
    <t>Total capital ratio, sequential change (bps)</t>
  </si>
  <si>
    <t>Capital Ratios</t>
  </si>
  <si>
    <t>Total equity / total assets</t>
  </si>
  <si>
    <t>TCE / TA</t>
  </si>
  <si>
    <t>TCE / RWA</t>
  </si>
  <si>
    <t>TE / TA</t>
  </si>
  <si>
    <t>Return on common equity</t>
  </si>
  <si>
    <t>Return on tangible assets</t>
  </si>
  <si>
    <t xml:space="preserve">Return on tangible equity </t>
  </si>
  <si>
    <t>Return on tangible common equity (ROTCE)</t>
  </si>
  <si>
    <t>Return on assets (ROA)</t>
  </si>
  <si>
    <t>Return on equity (ROE)</t>
  </si>
  <si>
    <t>Leverage ratio (Assets / Equity, Avg.)</t>
  </si>
  <si>
    <t>Efficiency Ratios</t>
  </si>
  <si>
    <t>Institutional Client Groups (ICG)</t>
  </si>
  <si>
    <t>PERFORMANCE METRICS</t>
  </si>
  <si>
    <t>SUPPLEMENTARY LEVERAGE RATIO</t>
  </si>
  <si>
    <t>Average Assets by Segments ($B)</t>
  </si>
  <si>
    <t>Average Assets by Regions ($B)</t>
  </si>
  <si>
    <t xml:space="preserve">EMEA </t>
  </si>
  <si>
    <t xml:space="preserve">Asia </t>
  </si>
  <si>
    <t>ROA by Segments ($B)</t>
  </si>
  <si>
    <t>ROA by Regions ($B)</t>
  </si>
  <si>
    <t>OTHER METRICS</t>
  </si>
  <si>
    <t>Direct staff (in thousands)</t>
  </si>
  <si>
    <t>Institutional Client Groups (ICG) incl. CVA/DVA</t>
  </si>
  <si>
    <t>Institutional Client Groups (ICG) ex. CVA/DVA</t>
  </si>
  <si>
    <t>CVA/DVA for periods prior to 1Q16, pre-tax</t>
  </si>
  <si>
    <t>Income from continuing op. ex CVA/DVA</t>
  </si>
  <si>
    <t xml:space="preserve">Provision </t>
  </si>
  <si>
    <t>NCO Ratios</t>
  </si>
  <si>
    <t>Citi Credi Cards</t>
  </si>
  <si>
    <t>Total GCB - North America</t>
  </si>
  <si>
    <t>Credit Cards - North America</t>
  </si>
  <si>
    <t xml:space="preserve">Citi Retail Services </t>
  </si>
  <si>
    <t>Noninterest Income Metrics</t>
  </si>
  <si>
    <t>Citi Retail Services' Fees / Purchase Sales</t>
  </si>
  <si>
    <t>Retail Banking's Fees / Deposits</t>
  </si>
  <si>
    <t>Citi Branded Cards' Fees / Avg. Loans</t>
  </si>
  <si>
    <t>Open Credit Card Accounts (in millions)</t>
  </si>
  <si>
    <t>Purchase Sales: Citi Branded Cards</t>
  </si>
  <si>
    <t>Purchase Sales: Citi Retail Services</t>
  </si>
  <si>
    <t>Total Purchase Sales</t>
  </si>
  <si>
    <t>Retail Banking Loans</t>
  </si>
  <si>
    <t>Retail Banking Deposits</t>
  </si>
  <si>
    <t>GCB - North America Loans</t>
  </si>
  <si>
    <t>Citi Retail Services Loans</t>
  </si>
  <si>
    <t>Citi Branded Card Loans</t>
  </si>
  <si>
    <t>Retail Banking: Mortgage Income Metrics</t>
  </si>
  <si>
    <t xml:space="preserve">Retail Banking </t>
  </si>
  <si>
    <t xml:space="preserve">Citi Retail Banking </t>
  </si>
  <si>
    <t>Retail Banking: Investment Mgmt. ($B)</t>
  </si>
  <si>
    <t>Retail Banking: Fees / Avg. Deposits</t>
  </si>
  <si>
    <t>Credit Card Accts &amp; Purchase Sales: NA</t>
  </si>
  <si>
    <t>Credit Card Accts &amp; Purchase Sales: LATAM</t>
  </si>
  <si>
    <t xml:space="preserve">Citi Branded Card Loans </t>
  </si>
  <si>
    <t>Net Credit Margin: LATAM</t>
  </si>
  <si>
    <t>Credit Card Accts &amp; Purchase Sales: Asia &amp; EMEA</t>
  </si>
  <si>
    <t>Net Credit Margin: Asia &amp; EMEA</t>
  </si>
  <si>
    <t>Retail Banking NIM</t>
  </si>
  <si>
    <t>Citi Branded Card NIM</t>
  </si>
  <si>
    <t>Total Consumer - North America</t>
  </si>
  <si>
    <t>Total Loans, net</t>
  </si>
  <si>
    <t>NET INTEREST MARGIN</t>
  </si>
  <si>
    <t>Net interest margin</t>
  </si>
  <si>
    <t>Interest income / Avg. earning assets</t>
  </si>
  <si>
    <t>Interest expense / Avg. earning assets</t>
  </si>
  <si>
    <t>Cost of all funds</t>
  </si>
  <si>
    <t>Cost of interest bearing liabilities</t>
  </si>
  <si>
    <t>Total GCB - LATAM</t>
  </si>
  <si>
    <t>Total GCB - EMEA &amp; Asia</t>
  </si>
  <si>
    <t xml:space="preserve">Other Consumer </t>
  </si>
  <si>
    <t>Total Pre-tax earnings</t>
  </si>
  <si>
    <t>ROA (Ex DVA/CVA)</t>
  </si>
  <si>
    <t xml:space="preserve">Income from discontinuing operations </t>
  </si>
  <si>
    <t>Income from Cont. Operations (Ex DVA/CVA)</t>
  </si>
  <si>
    <t>Total ICG</t>
  </si>
  <si>
    <t>By Regions (Ex DVA/CVA)</t>
  </si>
  <si>
    <t>Total ICG &amp; GCB</t>
  </si>
  <si>
    <t>North America (%)</t>
  </si>
  <si>
    <t>Latin America (%)</t>
  </si>
  <si>
    <t>Asia &amp; EMEA (%)</t>
  </si>
  <si>
    <t>Income from Cont. Operations by Business</t>
  </si>
  <si>
    <t>Income from cont. op., ex. CVA/DVA</t>
  </si>
  <si>
    <t>Reported net income to common incl CVA/DVA</t>
  </si>
  <si>
    <t>Reported net income to common ex. CVA/DVA</t>
  </si>
  <si>
    <t>CVA/DVA adjustments, post-tax</t>
  </si>
  <si>
    <t>CVA / DVA ADJUSTMENTS (HISTORICAL)</t>
  </si>
  <si>
    <t>Total CVA / DVA adjustments, pre-tax</t>
  </si>
  <si>
    <t>Total CVA / DVA adjustments, post-tax</t>
  </si>
  <si>
    <t>Total adjustments, pre-tax</t>
  </si>
  <si>
    <t>Total adjustments, post-tax</t>
  </si>
  <si>
    <t>Total Revenues, ex CVA / DVA</t>
  </si>
  <si>
    <t>Total Revenues, GAAP</t>
  </si>
  <si>
    <t>Income from Continuing Operations before Taxes, GAAP</t>
  </si>
  <si>
    <t>Income from Continuing Operations, GAAP</t>
  </si>
  <si>
    <t>Pre-tax Income from Continuing Operations, Ex CVA/DVA</t>
  </si>
  <si>
    <t>GCB - ASIA &amp; EMEA</t>
  </si>
  <si>
    <t>Retail Banking: Fees / Deposits</t>
  </si>
  <si>
    <t>Citi Retail Services: Fees / Purchase Sales</t>
  </si>
  <si>
    <t>Average Balances - Sequential Growth</t>
  </si>
  <si>
    <t>Purchase Sales - Sequential Growth</t>
  </si>
  <si>
    <t>Income Tax Rates</t>
  </si>
  <si>
    <t>Revenues (ex CVA/DVA)</t>
  </si>
  <si>
    <t>Noninterest income</t>
  </si>
  <si>
    <t>Total revenues ex. CVA/DVA</t>
  </si>
  <si>
    <t>C&amp;I NIM</t>
  </si>
  <si>
    <t>Consumer North-America</t>
  </si>
  <si>
    <t>Other NII / Avg.Other Interest Earning Assets</t>
  </si>
  <si>
    <t>Fees / Avg.Other Interest Earning Assets</t>
  </si>
  <si>
    <t>Others</t>
  </si>
  <si>
    <t>Other Loans</t>
  </si>
  <si>
    <t>Memo: Non-loan interest earning assets</t>
  </si>
  <si>
    <t>Other liabilities</t>
  </si>
  <si>
    <t>Memo: Total domestic deposits</t>
  </si>
  <si>
    <t>Memo: Total NIB deposits</t>
  </si>
  <si>
    <t>Memo: Total IB deposits</t>
  </si>
  <si>
    <t>Other interest-bearing liabilities</t>
  </si>
  <si>
    <t>Average Total Loans</t>
  </si>
  <si>
    <t>Sequential growth rate</t>
  </si>
  <si>
    <t>Other interest earning assets</t>
  </si>
  <si>
    <t>Average Deposits Y/Y Growth Rate</t>
  </si>
  <si>
    <t>Other interest bearing liabilities ($B)</t>
  </si>
  <si>
    <t>Short-term borrowings ($B)</t>
  </si>
  <si>
    <t>Long-term debt ($B)</t>
  </si>
  <si>
    <t>Avg. Liabilities Sequential Growth Rate</t>
  </si>
  <si>
    <t>RWA / Total Assets</t>
  </si>
  <si>
    <t>% of shares repurchased</t>
  </si>
  <si>
    <t>Average share price</t>
  </si>
  <si>
    <t xml:space="preserve">Repurchases </t>
  </si>
  <si>
    <t>Options issuance and other</t>
  </si>
  <si>
    <t>2017E</t>
  </si>
  <si>
    <t>2018E</t>
  </si>
  <si>
    <t>2019E</t>
  </si>
  <si>
    <t>2020E</t>
  </si>
  <si>
    <t>2021E</t>
  </si>
  <si>
    <t>Qualifying noncontrolling interests</t>
  </si>
  <si>
    <t>Qualifying as % of total noncontrolling interests</t>
  </si>
  <si>
    <t>Common Equity, EOP</t>
  </si>
  <si>
    <t xml:space="preserve">Issuance cost of outstanding pref stocks. </t>
  </si>
  <si>
    <t>Sequential growth</t>
  </si>
  <si>
    <t>ICG - North America</t>
  </si>
  <si>
    <t>As % of Total GCB</t>
  </si>
  <si>
    <t>Revenue by Regions, GAAP</t>
  </si>
  <si>
    <t>Corporate / Others, North America</t>
  </si>
  <si>
    <t>GCB - Total</t>
  </si>
  <si>
    <t>ICG - Total</t>
  </si>
  <si>
    <t>Corporate / Others - Total</t>
  </si>
  <si>
    <t>Revenue - North America</t>
  </si>
  <si>
    <t>As % of Total Revs</t>
  </si>
  <si>
    <t>Total Revs</t>
  </si>
  <si>
    <t>% Pre-tax income US-based</t>
  </si>
  <si>
    <t>Pre-tax income US-based</t>
  </si>
  <si>
    <t>AVERGAE LOANS ($B)</t>
  </si>
  <si>
    <t>Income from cont. op.,GAAP</t>
  </si>
  <si>
    <t>Total Revenues Ex. CVA/DVA</t>
  </si>
  <si>
    <t>Global Consumer Banking - EOP</t>
  </si>
  <si>
    <t>ICG - EOP</t>
  </si>
  <si>
    <t>Corporate / Other - EOP</t>
  </si>
  <si>
    <t>Other Adjustments</t>
  </si>
  <si>
    <t>Other Key Indicators</t>
  </si>
  <si>
    <t>Retail Banking: Other Key Indicators</t>
  </si>
  <si>
    <t>Investment Management</t>
  </si>
  <si>
    <t>Mortgage Income Metrics</t>
  </si>
  <si>
    <t>NII Adjustments</t>
  </si>
  <si>
    <t>Other NII Adjustments - GCB North America</t>
  </si>
  <si>
    <t>GCB NA: Other NII Adjustments / Avg. Retail Banking Deposits</t>
  </si>
  <si>
    <t>Other NII Adjustments / Avg. Retail Banking Deposits</t>
  </si>
  <si>
    <t>Citi Credit Cards NIM</t>
  </si>
  <si>
    <t>FTE adjustment / Avg. earning assets</t>
  </si>
  <si>
    <t>FTE adjustments</t>
  </si>
  <si>
    <t>FTE adjustments / Avg. earning assets</t>
  </si>
  <si>
    <r>
      <t xml:space="preserve">PPoP </t>
    </r>
    <r>
      <rPr>
        <sz val="8"/>
        <color indexed="10"/>
        <rFont val="Arial"/>
        <family val="2"/>
      </rPr>
      <t>(C-D)</t>
    </r>
  </si>
  <si>
    <t>Revenues (Ex DVA/CVA), GAAP</t>
  </si>
  <si>
    <t>Net income from continuing operations</t>
  </si>
  <si>
    <t>Net Income to common shareholders</t>
  </si>
  <si>
    <t>Reported net income to unrestricted common - Diluted</t>
  </si>
  <si>
    <t>Reported net income GAAP</t>
  </si>
  <si>
    <t>Reported net income GAAP ex pref divi</t>
  </si>
  <si>
    <t>Earnings to participating securities</t>
  </si>
  <si>
    <t>Revenues by Regions</t>
  </si>
  <si>
    <t>Revenues by Business Lines</t>
  </si>
  <si>
    <t>Total NII, GAAP</t>
  </si>
  <si>
    <t>Total Income from Continuing Operations</t>
  </si>
  <si>
    <t>NII (Ex DVA/CVA), non-FTE</t>
  </si>
  <si>
    <t>Noninterest Income (Ex DVA/CVA)</t>
  </si>
  <si>
    <t>Total NII, FTE</t>
  </si>
  <si>
    <t>Revenues (Ex DVA/CVA), Non-FTE</t>
  </si>
  <si>
    <t>NII (Ex DVA/CVA), Non-FTE</t>
  </si>
  <si>
    <t>Total NII, Non-FTE</t>
  </si>
  <si>
    <t>Net Interest Income, Non-FTE</t>
  </si>
  <si>
    <t>Total Revenues, Non-FTE</t>
  </si>
  <si>
    <t>Total Revenues (Incl. CVA/DVA), Non-FTE</t>
  </si>
  <si>
    <t>Taxable-equivalent adj. / Avg. C&amp;I Loans</t>
  </si>
  <si>
    <t>Total revenues ex. CVA/DVA, Non-FTE</t>
  </si>
  <si>
    <t>Net interest income, Non-FTE</t>
  </si>
  <si>
    <t xml:space="preserve">Total Banking Revs (ex CVA/DVA) and incl. Gain/Loss on Loan Hedges </t>
  </si>
  <si>
    <t xml:space="preserve">Total Markets and Securities Services (ex CVA/DVA) </t>
  </si>
  <si>
    <t>Total Revenues (ex CVA/DVA), Non-FTE</t>
  </si>
  <si>
    <t xml:space="preserve">Total ICG Revenues (ex CVA/DVA) </t>
  </si>
  <si>
    <t>Total Revs (ex CVA/DVA) &amp; Inclu. Taxable-equivalent adj.</t>
  </si>
  <si>
    <t>Total ICG Revs (ex CVA/DVA) &amp; Inclu. Taxable-equivalent adj.</t>
  </si>
  <si>
    <t>Total Fixed Income Markets (ex CVA/DVA)</t>
  </si>
  <si>
    <t>Total Equity Markets (ex CVA/DVA)</t>
  </si>
  <si>
    <t>Total Revenues ex CVA/DVA, Non-FTE</t>
  </si>
  <si>
    <t>Total Revenues, incl CVA/DVA, Non-FTE</t>
  </si>
  <si>
    <t>NII - Corporate &amp; Other, Non-FTE</t>
  </si>
  <si>
    <t>Net Interest Margin, Non-FTE</t>
  </si>
  <si>
    <t>Interest revenue, Non-FTE</t>
  </si>
  <si>
    <t>Interest expense, Non-FTE</t>
  </si>
  <si>
    <r>
      <t xml:space="preserve">Total revenues incl. CVA/DVA, FTE </t>
    </r>
    <r>
      <rPr>
        <sz val="8"/>
        <color indexed="10"/>
        <rFont val="Arial"/>
        <family val="2"/>
      </rPr>
      <t>(A+B)</t>
    </r>
  </si>
  <si>
    <r>
      <t xml:space="preserve">Total revenues ex CVA/DVA, FTE </t>
    </r>
    <r>
      <rPr>
        <sz val="8"/>
        <color indexed="10"/>
        <rFont val="Arial"/>
        <family val="2"/>
      </rPr>
      <t>(C)</t>
    </r>
  </si>
  <si>
    <t>Memo: Total Revenues, Non-FTE</t>
  </si>
  <si>
    <t>Total Citigroup, FTE</t>
  </si>
  <si>
    <t>Comps Ratio</t>
  </si>
  <si>
    <t>Non-Comp Ratio</t>
  </si>
  <si>
    <t>Comp Ratio</t>
  </si>
  <si>
    <t>Global Consumer Banking (GCB), Non-FTE</t>
  </si>
  <si>
    <t>Institutional Client Groups (ICG), Non-FTE</t>
  </si>
  <si>
    <t>Corporate / Others, Non-FTE</t>
  </si>
  <si>
    <t>Net Income from discontinued op., post-tax</t>
  </si>
  <si>
    <t>Memo: Loan to Deposit Ratio (Average)</t>
  </si>
  <si>
    <t>Citi Branded Cards' Fees / Purchase Sales</t>
  </si>
  <si>
    <t>Citi Branded Cards: Fees / Purchase Sales</t>
  </si>
  <si>
    <t>Purchase Sales - Y/Y Growth</t>
  </si>
  <si>
    <t>Branded Cards: Fees / Purchase Sales</t>
  </si>
  <si>
    <t>Average Corporate Loans by Region ($B)</t>
  </si>
  <si>
    <t>Basel 3 Advanced Approaches</t>
  </si>
  <si>
    <t>Basel 3 Standardized</t>
  </si>
  <si>
    <t>Risk-Weighted Assets (RWA), standardized</t>
  </si>
  <si>
    <t>vs. B3 Advanced (%)</t>
  </si>
  <si>
    <t>vs. B3 Advanced ($B)</t>
  </si>
  <si>
    <t>CET 1 Ratio, Standardized</t>
  </si>
  <si>
    <t>Tier 1 Ratio, Standardized</t>
  </si>
  <si>
    <t>Total Capital Ratio, Standardized</t>
  </si>
  <si>
    <t>CORE EXPENSES</t>
  </si>
  <si>
    <t>Legal Costs</t>
  </si>
  <si>
    <t>Legal Costs/ Total Revenues (FTE)</t>
  </si>
  <si>
    <t>NOTES</t>
  </si>
  <si>
    <t>Underwriting and Advisory Volume</t>
  </si>
  <si>
    <t>Completed M&amp;A Volume</t>
  </si>
  <si>
    <t>ECM Volume</t>
  </si>
  <si>
    <t>DCM Volume</t>
  </si>
  <si>
    <t>Underwriting and Advisory Revenue</t>
  </si>
  <si>
    <t>Completed M&amp;A Revenue</t>
  </si>
  <si>
    <t>ECM Revenue</t>
  </si>
  <si>
    <t>DCM Revenue</t>
  </si>
  <si>
    <t>FICC Trading</t>
  </si>
  <si>
    <t>Reported FICC Revenue</t>
  </si>
  <si>
    <t>Normalized FICC Revenue</t>
  </si>
  <si>
    <t>Normalized FICC Revenue (Ex CVA/DVA, Incl MTM)</t>
  </si>
  <si>
    <t>Equity Trading</t>
  </si>
  <si>
    <t>Equity Commissions</t>
  </si>
  <si>
    <t>Security Services</t>
  </si>
  <si>
    <t>Equity Trading Revenues / UW Fees</t>
  </si>
  <si>
    <t>FICC Trading Revenues / UW Fees</t>
  </si>
  <si>
    <t>NII</t>
  </si>
  <si>
    <t>Fee Income</t>
  </si>
  <si>
    <t>Revenue</t>
  </si>
  <si>
    <t>Pretax Income</t>
  </si>
  <si>
    <t>EPS</t>
  </si>
  <si>
    <t>Share Count</t>
  </si>
  <si>
    <t>RWA Basel 3</t>
  </si>
  <si>
    <t>Common Tier 1 Basel 3</t>
  </si>
  <si>
    <t>Underwriting and Advisory Market Share</t>
  </si>
  <si>
    <t>M&amp;A market share</t>
  </si>
  <si>
    <t>ECM market share</t>
  </si>
  <si>
    <t>DCM market share</t>
  </si>
  <si>
    <t>INCOME STATEMENT</t>
  </si>
  <si>
    <t>Interest income</t>
  </si>
  <si>
    <t>Total reported revenues</t>
  </si>
  <si>
    <t>Compensation expense</t>
  </si>
  <si>
    <t>Operating Expense</t>
  </si>
  <si>
    <t>Pre-provision earnings</t>
  </si>
  <si>
    <t>Pretax income</t>
  </si>
  <si>
    <t>Tax Expense</t>
  </si>
  <si>
    <t>Operating income</t>
  </si>
  <si>
    <t>Preferred dividend</t>
  </si>
  <si>
    <t>Minority interest</t>
  </si>
  <si>
    <t>Operating income to common</t>
  </si>
  <si>
    <t>Extraordinary item pre-tax</t>
  </si>
  <si>
    <t>Extraordinary item after-tax</t>
  </si>
  <si>
    <t>Reported net income to common</t>
  </si>
  <si>
    <t xml:space="preserve">Avg Earning Asset Growth </t>
  </si>
  <si>
    <t>Avg Asset Growth</t>
  </si>
  <si>
    <t>Rptd Comp Ratio</t>
  </si>
  <si>
    <t>Expense Ratio</t>
  </si>
  <si>
    <t>Balances</t>
  </si>
  <si>
    <t>EOP Goodwill</t>
  </si>
  <si>
    <t>EOP Other Intangibles</t>
  </si>
  <si>
    <t>EOP Tangible Assets</t>
  </si>
  <si>
    <t>EOP Deposits</t>
  </si>
  <si>
    <t>EOP Liabilities</t>
  </si>
  <si>
    <t>EOP Preferred Equity</t>
  </si>
  <si>
    <t>Common</t>
  </si>
  <si>
    <t>EOP Total Equity</t>
  </si>
  <si>
    <t>EOP Tangible Common Equity</t>
  </si>
  <si>
    <t>Average Tangible Assets</t>
  </si>
  <si>
    <t>Average Common Equity</t>
  </si>
  <si>
    <t>Average Tangible Common Equity</t>
  </si>
  <si>
    <t>Average Noninterest-Bearing Liabilities</t>
  </si>
  <si>
    <t>Profitability</t>
  </si>
  <si>
    <t>ROA</t>
  </si>
  <si>
    <t>Assets / Equity</t>
  </si>
  <si>
    <t>ROE</t>
  </si>
  <si>
    <t>ROTA</t>
  </si>
  <si>
    <t>ROTCE</t>
  </si>
  <si>
    <t>ROEE</t>
  </si>
  <si>
    <t>PPOP / Avg Assets</t>
  </si>
  <si>
    <t>Return on B3 RWA</t>
  </si>
  <si>
    <t xml:space="preserve">Return on B3 Capital </t>
  </si>
  <si>
    <t>Target B3 Capital Level</t>
  </si>
  <si>
    <t>Return on B3 Capital At Minimum</t>
  </si>
  <si>
    <t>Return on B3 RWA At Minimum</t>
  </si>
  <si>
    <t>Capital</t>
  </si>
  <si>
    <t>Tier 1 Leverage</t>
  </si>
  <si>
    <t>Common Tier 1 Ratio (Basel 3)</t>
  </si>
  <si>
    <t>Basel 3: Tier 1 Ratio</t>
  </si>
  <si>
    <t>Common Tier 1 Capital (Basel 3)</t>
  </si>
  <si>
    <t>Tier 1 Capital (Basel 3)</t>
  </si>
  <si>
    <t>RWA (Basel 3)</t>
  </si>
  <si>
    <t>RWA/Assets (Basel 3)</t>
  </si>
  <si>
    <t>Common Tier 1 Ratio (Basel 3 Standardized)</t>
  </si>
  <si>
    <t>RWA (Basel 3 Standardized)</t>
  </si>
  <si>
    <t>Leverage Exposure</t>
  </si>
  <si>
    <t>Supplementary Leverage Ratio (Basel 3)</t>
  </si>
  <si>
    <t>Supplementary Leverage Ratio Bank Level (Basel 3)</t>
  </si>
  <si>
    <t>Dividends / Repurchases</t>
  </si>
  <si>
    <t>Dividend per share</t>
  </si>
  <si>
    <t>Dividend Payout Ratio</t>
  </si>
  <si>
    <t>Gross Buyback Ratio</t>
  </si>
  <si>
    <t>Buyback ratio</t>
  </si>
  <si>
    <t>Share Buybacks (As % of Sharecount)</t>
  </si>
  <si>
    <t>Gross Payout Ratio</t>
  </si>
  <si>
    <t>Payout Ratio</t>
  </si>
  <si>
    <t>Net Repurchases</t>
  </si>
  <si>
    <t>Gross Repurchases</t>
  </si>
  <si>
    <t>Gross Shares Repurchased</t>
  </si>
  <si>
    <t>Net Shares Repurchased</t>
  </si>
  <si>
    <t>Avg share repurchase price</t>
  </si>
  <si>
    <t>Average Diluted Shares Outstanding</t>
  </si>
  <si>
    <t>EOP Shares Outstanding</t>
  </si>
  <si>
    <t>EOP Diluted Shares Outstanding</t>
  </si>
  <si>
    <t>Operating EPS to Common Ex- Reserve Change</t>
  </si>
  <si>
    <t>BVPS</t>
  </si>
  <si>
    <t>TBVPS</t>
  </si>
  <si>
    <t>PPOP/Share</t>
  </si>
  <si>
    <t>Advisory Revenue</t>
  </si>
  <si>
    <t>Equity U/W Revenue</t>
  </si>
  <si>
    <t>Debt U/W Revenue</t>
  </si>
  <si>
    <t>Advisory Volume</t>
  </si>
  <si>
    <t>Equity U/W Volume</t>
  </si>
  <si>
    <t>Debt U/W Volume</t>
  </si>
  <si>
    <t>Total Reported Equity Revenues</t>
  </si>
  <si>
    <t>Total Normalized Equity Revenues (Ex CVA/DVA)</t>
  </si>
  <si>
    <t>Total IB and Trading Revenue (Reported)</t>
  </si>
  <si>
    <t>Total IB and Trading Revenue (Normalized)</t>
  </si>
  <si>
    <t>Litigation Expense (Total)</t>
  </si>
  <si>
    <t>Total Headcount</t>
  </si>
  <si>
    <t>IB REVENUE FOR MODELWARE</t>
  </si>
  <si>
    <t>IB Model Revenues</t>
  </si>
  <si>
    <t>IB Model Expenses</t>
  </si>
  <si>
    <t>IB Model Provisions</t>
  </si>
  <si>
    <t>IB Model PBT</t>
  </si>
  <si>
    <t>IB Model Tax</t>
  </si>
  <si>
    <t>IB Model PAT</t>
  </si>
  <si>
    <t>IB Model Tax Rate</t>
  </si>
  <si>
    <t>IB Model Allocated Equity</t>
  </si>
  <si>
    <t>IB Model ROAE (%)</t>
  </si>
  <si>
    <t>IB Model Assets</t>
  </si>
  <si>
    <t>IB Model Equity/Assets</t>
  </si>
  <si>
    <t>IB Model Operating Expenses</t>
  </si>
  <si>
    <t>IB Model Expense Ratio</t>
  </si>
  <si>
    <t>IB Model RWA (Basel 3)</t>
  </si>
  <si>
    <t>IB Model Leverage Exposure</t>
  </si>
  <si>
    <t>IB Model Balance Sheet Gross Up</t>
  </si>
  <si>
    <t>IB Model Implied CT1 Ratio</t>
  </si>
  <si>
    <t>IB Model Avg Allocated Tangible Equity</t>
  </si>
  <si>
    <t>IB Model Allocated Tangible Equity / Assets</t>
  </si>
  <si>
    <t>IB Model Avg Allocated CET1 Capital</t>
  </si>
  <si>
    <t>IB Model RWA / Assets</t>
  </si>
  <si>
    <t>IB Model Leverage Exposure / Assets</t>
  </si>
  <si>
    <t>IB Model SLR Gross up as a % of Total Firm Gross up</t>
  </si>
  <si>
    <t>PPOP</t>
  </si>
  <si>
    <t>NCO</t>
  </si>
  <si>
    <t>Reported net income to common, incl. CVA/DVA</t>
  </si>
  <si>
    <t>Revenues, non-FTE</t>
  </si>
  <si>
    <t>Citicorp</t>
  </si>
  <si>
    <t>Citi Holdings</t>
  </si>
  <si>
    <t>Repositioning Charges / Total Revenues (FTE)</t>
  </si>
  <si>
    <t>Total Noninterest Expenses</t>
  </si>
  <si>
    <t>Core Expenses</t>
  </si>
  <si>
    <t>Repositioning Charges - Total Citigroup</t>
  </si>
  <si>
    <t>ROE ex. DTA</t>
  </si>
  <si>
    <t>Net DTA</t>
  </si>
  <si>
    <t>BALANCE SHEET</t>
  </si>
  <si>
    <t>CONSOLIDATED INCOME STATEMENT</t>
  </si>
  <si>
    <t>CAPITAL MANAGEMENT</t>
  </si>
  <si>
    <t>Additional Tier 1 Capital % gross-up</t>
  </si>
  <si>
    <t>Additional Tier 1 Capital (AT1)</t>
  </si>
  <si>
    <t>KEY DRIVERS</t>
  </si>
  <si>
    <t>Balance Sheet</t>
  </si>
  <si>
    <t>Consumer Loans (EOP)</t>
  </si>
  <si>
    <t>Total Loans (EOP)</t>
  </si>
  <si>
    <t>Mortgage Originations ($bn)</t>
  </si>
  <si>
    <t>NA Branded Card Volumes ($B)</t>
  </si>
  <si>
    <t>Total Branded Card Volumes ($B)</t>
  </si>
  <si>
    <t>Retail Services Card Volumes ($B)</t>
  </si>
  <si>
    <t>Net interest margin, FTE</t>
  </si>
  <si>
    <t>Retail Banking NIM, Non-FTE</t>
  </si>
  <si>
    <t>Citi Credit Cards NIM, Non-FTE</t>
  </si>
  <si>
    <t>C&amp;I NIM, Non-FTE</t>
  </si>
  <si>
    <t>Interest income / Avg. earning assets, Non-FTE</t>
  </si>
  <si>
    <t>Interest expense / Avg. earning assets, Non-FTE</t>
  </si>
  <si>
    <t>Net interest margin, non-FTE</t>
  </si>
  <si>
    <t>Statutory Tax Rate</t>
  </si>
  <si>
    <t>Reduction to DTA for Earnings Generation</t>
  </si>
  <si>
    <t>DTA Utilization Factor</t>
  </si>
  <si>
    <t>DTA Decline / (Gain) ($B)</t>
  </si>
  <si>
    <t>As % of Total ICG</t>
  </si>
  <si>
    <t>As % of Total Corporate/Others</t>
  </si>
  <si>
    <t>Sequential change</t>
  </si>
  <si>
    <t>As % of total net DTA</t>
  </si>
  <si>
    <t>North America Statutory Tax Expense</t>
  </si>
  <si>
    <t>Effective Tax Rate</t>
  </si>
  <si>
    <t>Disallowed DTA</t>
  </si>
  <si>
    <t>CET 1: Items in excess of 15% (DTAs, MSRs, common stock investments)</t>
  </si>
  <si>
    <t xml:space="preserve">DTAs arising fron temp differences </t>
  </si>
  <si>
    <t>Max DTA Allowed: 10% of TCE</t>
  </si>
  <si>
    <t>Additional Analysis: Global Citigroup</t>
  </si>
  <si>
    <t>DTA ESTIMATE</t>
  </si>
  <si>
    <t>CVA/DVA for periods prior to 1Q16, post-tax</t>
  </si>
  <si>
    <t>New vs. Old Forecast Comparison</t>
  </si>
  <si>
    <t>C</t>
  </si>
  <si>
    <t>Difference</t>
  </si>
  <si>
    <t>1Q17</t>
  </si>
  <si>
    <t>2Q17</t>
  </si>
  <si>
    <t>3Q17</t>
  </si>
  <si>
    <t>4Q17</t>
  </si>
  <si>
    <t>Old</t>
  </si>
  <si>
    <t>in EPS</t>
  </si>
  <si>
    <t>Total Managed Revenue</t>
  </si>
  <si>
    <t>Total NonInterest Expense</t>
  </si>
  <si>
    <t>Managed Provisions</t>
  </si>
  <si>
    <t>Reserve Build/(Relase)</t>
  </si>
  <si>
    <t>Operating Income</t>
  </si>
  <si>
    <t>Preferred Dividend</t>
  </si>
  <si>
    <t>Minority Interest</t>
  </si>
  <si>
    <t>Earnings Allocated to Participating Securities</t>
  </si>
  <si>
    <t>Operating Income to Common</t>
  </si>
  <si>
    <t>Cons</t>
  </si>
  <si>
    <t>Reserves</t>
  </si>
  <si>
    <t xml:space="preserve">New </t>
  </si>
  <si>
    <t>CITICORP</t>
  </si>
  <si>
    <t>Total CITI HOLDINGS</t>
  </si>
  <si>
    <t>TOTAL BANK</t>
  </si>
  <si>
    <t>Reserve Build/(Release)</t>
  </si>
  <si>
    <t>Total Reserves</t>
  </si>
  <si>
    <t>Pre-Tax Income</t>
  </si>
  <si>
    <t>Advisory</t>
  </si>
  <si>
    <t>Equity Markets  (Ex DVA)</t>
  </si>
  <si>
    <t>Fixed Income Markets (Ex DVA)</t>
  </si>
  <si>
    <t>Lending Hedge Gain/(Loss)</t>
  </si>
  <si>
    <t>Other Securities and Banking</t>
  </si>
  <si>
    <t>Total ICG Revenue (Ex DVA)</t>
  </si>
  <si>
    <t>IB Revenue</t>
  </si>
  <si>
    <t>Trading Revenue (Ex DVA)</t>
  </si>
  <si>
    <t>Reported FICC</t>
  </si>
  <si>
    <t>Reported Equity</t>
  </si>
  <si>
    <t>Total Reported Trading (Incl DVA)</t>
  </si>
  <si>
    <t>DVA Gain / (Loss)</t>
  </si>
  <si>
    <t>EPS Impact</t>
  </si>
  <si>
    <t>Reported EPS (Incl DVA)</t>
  </si>
  <si>
    <t>Trading Volumes / UW Fees</t>
  </si>
  <si>
    <t>Fixed Income</t>
  </si>
  <si>
    <t>International Loan Growth</t>
  </si>
  <si>
    <t>Card - Average Loans</t>
  </si>
  <si>
    <t>Card Purchase Sales</t>
  </si>
  <si>
    <t>Retail Banking - Avg Loans</t>
  </si>
  <si>
    <t>Retail Banking - Average Deposits</t>
  </si>
  <si>
    <t>Managed  Earning Asset Volume</t>
  </si>
  <si>
    <t>Other Earning Assets</t>
  </si>
  <si>
    <t>Total Managed Loan &amp; Leases</t>
  </si>
  <si>
    <t>NIM (Managed Basis)</t>
  </si>
  <si>
    <t>EPS Change (%)</t>
  </si>
  <si>
    <t>Provisions</t>
  </si>
  <si>
    <t>Total Citicorp</t>
  </si>
  <si>
    <t>gosamana</t>
  </si>
  <si>
    <t>USD</t>
  </si>
  <si>
    <t>C.N</t>
  </si>
  <si>
    <t>Citigroup Inc.</t>
  </si>
  <si>
    <t>EOP Deposits by Region ($B)</t>
  </si>
  <si>
    <t>EOP Deposits by Business ($B)</t>
  </si>
  <si>
    <t>Average Deposits by Business ($B)</t>
  </si>
  <si>
    <t>Additional Tier 1 Capital (AT1)(6)</t>
  </si>
  <si>
    <t>Q/Q Growth</t>
  </si>
  <si>
    <t>Y/Y Growth</t>
  </si>
  <si>
    <r>
      <t xml:space="preserve">Net interest income, FTE </t>
    </r>
    <r>
      <rPr>
        <b/>
        <sz val="8"/>
        <color indexed="10"/>
        <rFont val="Arial"/>
        <family val="2"/>
      </rPr>
      <t>(A)</t>
    </r>
  </si>
  <si>
    <r>
      <t xml:space="preserve">Noninterest Income </t>
    </r>
    <r>
      <rPr>
        <b/>
        <sz val="8"/>
        <color indexed="10"/>
        <rFont val="Arial"/>
        <family val="2"/>
      </rPr>
      <t>(B)</t>
    </r>
  </si>
  <si>
    <t>Corporate Lending, Ex. Hedge Gain</t>
  </si>
  <si>
    <t>Total Banking Revs</t>
  </si>
  <si>
    <t>Total Market and Securities Services</t>
  </si>
  <si>
    <t>GLOBAL CONSUMER BANKING (GCB)</t>
  </si>
  <si>
    <t>North America Loan Growth</t>
  </si>
  <si>
    <t>Citi Branded Card - Avg Loans</t>
  </si>
  <si>
    <t>Card - Avg Loans</t>
  </si>
  <si>
    <t>Citi Retail Services - Avg Loans</t>
  </si>
  <si>
    <t>Citi Branded Card - Purchase Sales</t>
  </si>
  <si>
    <t>Citi Retail Services - Purchase Sales</t>
  </si>
  <si>
    <t>LATAM Loan Growth</t>
  </si>
  <si>
    <t>Asia &amp; EMEA Loan Growth</t>
  </si>
  <si>
    <t xml:space="preserve">Citi's Advisory &amp; Underwriting Fees Growth - Y/Y </t>
  </si>
  <si>
    <t>Total Trading (FICC + Equities)</t>
  </si>
  <si>
    <t>IB &amp; Trading Revenues</t>
  </si>
  <si>
    <t>Total IBD Q/Q</t>
  </si>
  <si>
    <t>Total Trading Q/Q</t>
  </si>
  <si>
    <t>Total IBD Y/Y</t>
  </si>
  <si>
    <t>Total Trading Y/Y</t>
  </si>
  <si>
    <t>Fees / Avg. Corporate/Other Loans</t>
  </si>
  <si>
    <t>Total Revs / Avg. Corporate/Other Loans</t>
  </si>
  <si>
    <t>NII / Avg. Corporate/Other Loans</t>
  </si>
  <si>
    <t>Noncomp expenses</t>
  </si>
  <si>
    <r>
      <t xml:space="preserve">Total operating expenses </t>
    </r>
    <r>
      <rPr>
        <b/>
        <sz val="8"/>
        <color indexed="10"/>
        <rFont val="Arial"/>
        <family val="2"/>
      </rPr>
      <t>(D)</t>
    </r>
  </si>
  <si>
    <t>Premises and equipment</t>
  </si>
  <si>
    <t xml:space="preserve">Legal Costs </t>
  </si>
  <si>
    <t>North America Revenues, GAAP</t>
  </si>
  <si>
    <t>Corporate Others - NA % of Total Corporate/Others</t>
  </si>
  <si>
    <t>ICG - N.A. % of Total ICG</t>
  </si>
  <si>
    <t>GCB - N.A.% of Total GCB</t>
  </si>
  <si>
    <t>DTAs fron NOLs, FTCs, Business Credit as % of Total</t>
  </si>
  <si>
    <t>Other interest-bearing liabilites / Avg. assets</t>
  </si>
  <si>
    <t>Other NIB liabilites / Avg. assets</t>
  </si>
  <si>
    <t>Liabilities (Sequential Growth)</t>
  </si>
  <si>
    <t>Assets (Sequential Growth)</t>
  </si>
  <si>
    <t xml:space="preserve">Average Deposits </t>
  </si>
  <si>
    <t xml:space="preserve">Avg. Liabilities </t>
  </si>
  <si>
    <t>Avg. Liabilities / Avg. Assets</t>
  </si>
  <si>
    <t>Total Citigroup, Non-FTE</t>
  </si>
  <si>
    <t>ROTCE ex. DTA</t>
  </si>
  <si>
    <t xml:space="preserve">Average net DTA excluded from CET1 </t>
  </si>
  <si>
    <t>Tangible Common Equity (TCE), EOP</t>
  </si>
  <si>
    <t>TCE, Average</t>
  </si>
  <si>
    <t>Performance Metrics (Reported)</t>
  </si>
  <si>
    <t>Performance Metrics (MS est.)</t>
  </si>
  <si>
    <t>ROTCE (reported ROTCE)</t>
  </si>
  <si>
    <t>Avg. disallowed DTA from NOLs/FTC + Temp Diff.</t>
  </si>
  <si>
    <t>Corporate / Others ex. CVA/DVA</t>
  </si>
  <si>
    <t>Total Income from Continuining Operations, ex. CVA/DVA</t>
  </si>
  <si>
    <t>Total Revenues inc. CVA/DVA, non-FTE</t>
  </si>
  <si>
    <t>Total Revenues ex. CVA/DVA, non-FTE</t>
  </si>
  <si>
    <t>Income from Continuing Operations incl. CVA/DVA</t>
  </si>
  <si>
    <t>Valuation</t>
  </si>
  <si>
    <t>DEVELOPMENT</t>
  </si>
  <si>
    <t>($ Millions Except Per Share Data)</t>
  </si>
  <si>
    <t xml:space="preserve">Assumptions  </t>
  </si>
  <si>
    <t xml:space="preserve">Valuation Analysis  </t>
  </si>
  <si>
    <t>Reported Earnings (after pref divs)</t>
  </si>
  <si>
    <t xml:space="preserve"> Share Information  </t>
  </si>
  <si>
    <t xml:space="preserve">     Present Value of Residual Income ($ Millions)</t>
  </si>
  <si>
    <t>Key Valuation Measures</t>
  </si>
  <si>
    <t>Goodwill Amortization</t>
  </si>
  <si>
    <t xml:space="preserve">  Expected 12 Month Dividend  </t>
  </si>
  <si>
    <t>Cash Earnings</t>
  </si>
  <si>
    <t xml:space="preserve">  Current Stock Price  </t>
  </si>
  <si>
    <t xml:space="preserve"> Stock Price  </t>
  </si>
  <si>
    <t xml:space="preserve">  YOY Change (%)</t>
  </si>
  <si>
    <t xml:space="preserve">  Issued Shares (million)  </t>
  </si>
  <si>
    <t xml:space="preserve"> Est. Current Fair Value ($)  </t>
  </si>
  <si>
    <t xml:space="preserve">  Reported Book Value Per Share</t>
  </si>
  <si>
    <t xml:space="preserve"> 12 Month Intrinsic Value ($)  </t>
  </si>
  <si>
    <t>Cash Distributed to Common Shareholders</t>
  </si>
  <si>
    <t xml:space="preserve"> 12 Month Total Return (%)  </t>
  </si>
  <si>
    <t xml:space="preserve">  Dividends &amp; Net Stock Repurchases</t>
  </si>
  <si>
    <t xml:space="preserve"> Cost of Capital  </t>
  </si>
  <si>
    <t xml:space="preserve">  Total Payout Ratio (%)</t>
  </si>
  <si>
    <t xml:space="preserve">  10-yr. Govt. Bond Yield (%)  </t>
  </si>
  <si>
    <t xml:space="preserve"> Price/Book Value  </t>
  </si>
  <si>
    <t xml:space="preserve">  Beta  </t>
  </si>
  <si>
    <t xml:space="preserve"> Price/Economic Book Value  </t>
  </si>
  <si>
    <t>EOP Common Equity</t>
  </si>
  <si>
    <t xml:space="preserve">  Market Risk Premium (%)  </t>
  </si>
  <si>
    <t xml:space="preserve">  BOP Common Equity</t>
  </si>
  <si>
    <t xml:space="preserve">  Cost of Common Equity (%)    </t>
  </si>
  <si>
    <t xml:space="preserve"> Cost of Common Equity (%)     </t>
  </si>
  <si>
    <t xml:space="preserve">  Earnings</t>
  </si>
  <si>
    <t xml:space="preserve">  Less:  Distributions</t>
  </si>
  <si>
    <t xml:space="preserve"> Maturity Phase  </t>
  </si>
  <si>
    <t xml:space="preserve">  EOP Common Equity</t>
  </si>
  <si>
    <t xml:space="preserve">  Number of Years </t>
  </si>
  <si>
    <t xml:space="preserve">  Target Capital Ratio (%)  </t>
  </si>
  <si>
    <t>Business Risk Units</t>
  </si>
  <si>
    <t>Valuation Drivers</t>
  </si>
  <si>
    <t xml:space="preserve">  Risk Weighted Assets</t>
  </si>
  <si>
    <t xml:space="preserve"> Decline Phase  </t>
  </si>
  <si>
    <t>CAGR (%)</t>
  </si>
  <si>
    <t>End of Phase</t>
  </si>
  <si>
    <t>% of Fair Value</t>
  </si>
  <si>
    <t xml:space="preserve">  Decay Factor (0-10%)  </t>
  </si>
  <si>
    <t>Cash</t>
  </si>
  <si>
    <t>Payout</t>
  </si>
  <si>
    <t xml:space="preserve">  Growth in RWA (%)  </t>
  </si>
  <si>
    <t>Phase</t>
  </si>
  <si>
    <t>Years</t>
  </si>
  <si>
    <t>Earnings</t>
  </si>
  <si>
    <t>RWA</t>
  </si>
  <si>
    <t>(%)</t>
  </si>
  <si>
    <t>Ratio (%)</t>
  </si>
  <si>
    <t>Cumulative</t>
  </si>
  <si>
    <t>Economic BV</t>
  </si>
  <si>
    <t>-</t>
  </si>
  <si>
    <t xml:space="preserve"> Goodwill  </t>
  </si>
  <si>
    <t>Development</t>
  </si>
  <si>
    <t xml:space="preserve">  Less: Nonqualifying Intangibles</t>
  </si>
  <si>
    <t xml:space="preserve">  Current Goodwill </t>
  </si>
  <si>
    <t>Maturity</t>
  </si>
  <si>
    <t xml:space="preserve">  Subtotal</t>
  </si>
  <si>
    <t xml:space="preserve">  BV Adjustment  </t>
  </si>
  <si>
    <t>Decline</t>
  </si>
  <si>
    <t xml:space="preserve">  Trust Preferred Securities/Other</t>
  </si>
  <si>
    <t xml:space="preserve">    Total</t>
  </si>
  <si>
    <t>Valuation Parameters</t>
  </si>
  <si>
    <t xml:space="preserve">Return on Economic Equity  </t>
  </si>
  <si>
    <t>Capital Ratio (%)</t>
  </si>
  <si>
    <t xml:space="preserve">     ROEE (%)  </t>
  </si>
  <si>
    <t xml:space="preserve">Distribution of Forecasted ROEE  </t>
  </si>
  <si>
    <t>Incremental Rates of Return</t>
  </si>
  <si>
    <t xml:space="preserve">  Incremental Economic Equity</t>
  </si>
  <si>
    <t>Est. Current Fair Value as a Multiple of</t>
  </si>
  <si>
    <t xml:space="preserve">  Return on Incremental Economic Equity (%)</t>
  </si>
  <si>
    <t>Bk Val</t>
  </si>
  <si>
    <t>Econ Bk</t>
  </si>
  <si>
    <t>Cash Earn</t>
  </si>
  <si>
    <t>Frequency</t>
  </si>
  <si>
    <t>Threshold</t>
  </si>
  <si>
    <t>Return on Economic Equity</t>
  </si>
  <si>
    <t xml:space="preserve">  Beginning Economic Common Equity</t>
  </si>
  <si>
    <t xml:space="preserve">  Return on Economic Equity (%)</t>
  </si>
  <si>
    <t xml:space="preserve">  Cumulative Average ROEE (%)</t>
  </si>
  <si>
    <t>Residual Income</t>
  </si>
  <si>
    <t xml:space="preserve">  Discount Factor (mid-year discounting)  </t>
  </si>
  <si>
    <t xml:space="preserve">  Present Value</t>
  </si>
  <si>
    <t xml:space="preserve">  Beginning Book Value (mid-year discounting)  </t>
  </si>
  <si>
    <t xml:space="preserve">  Book Value Adjustment (mid-year discounting)  </t>
  </si>
  <si>
    <t xml:space="preserve">  Present Value of Future Residual Income</t>
  </si>
  <si>
    <t xml:space="preserve">  Total Value</t>
  </si>
  <si>
    <t xml:space="preserve">  Est. Current Fair Value per share</t>
  </si>
  <si>
    <t xml:space="preserve">  12 Month Intrinsic Value</t>
  </si>
  <si>
    <t xml:space="preserve">  12 Month Total Return (%)</t>
  </si>
  <si>
    <t>Needed for graph - do NOT DELETE, hide or print</t>
  </si>
  <si>
    <t xml:space="preserve"> Competive Advantage Period (yrs)  </t>
  </si>
  <si>
    <t xml:space="preserve">  Frequency distribution</t>
  </si>
  <si>
    <t>Graph Data: Do Not Erase</t>
  </si>
  <si>
    <t>Residual Income Valuation Model  (5 years - Bank Version)</t>
  </si>
  <si>
    <r>
      <t xml:space="preserve"> Current Operations Value</t>
    </r>
    <r>
      <rPr>
        <vertAlign val="superscript"/>
        <sz val="8"/>
        <rFont val="Arial"/>
        <family val="2"/>
      </rPr>
      <t>TM</t>
    </r>
    <r>
      <rPr>
        <sz val="8"/>
        <rFont val="Arial"/>
        <family val="2"/>
      </rPr>
      <t xml:space="preserve">/Est. Fair Value (%)    </t>
    </r>
  </si>
  <si>
    <t/>
  </si>
  <si>
    <t>MATURITY</t>
  </si>
  <si>
    <t>DECLINE</t>
  </si>
  <si>
    <t>PER SHARE DATA</t>
  </si>
  <si>
    <t>Average C&amp;I</t>
  </si>
  <si>
    <t>Average Credit Card</t>
  </si>
  <si>
    <t>Average Other Earning Assets</t>
  </si>
  <si>
    <t>CREDIT</t>
  </si>
  <si>
    <t>EOP Reserves</t>
  </si>
  <si>
    <t>Retail Banking NCO Ratio</t>
  </si>
  <si>
    <t>Credit Card NCO Ratio</t>
  </si>
  <si>
    <t>C&amp;I NCO Ratio</t>
  </si>
  <si>
    <t>NPL</t>
  </si>
  <si>
    <t>NPL Ratio</t>
  </si>
  <si>
    <t>NPA</t>
  </si>
  <si>
    <t>NPA Ratio</t>
  </si>
  <si>
    <t>Underwriting and Advisory Margin</t>
  </si>
  <si>
    <t>Advisory Market Share</t>
  </si>
  <si>
    <t>Equity U/W Market Share</t>
  </si>
  <si>
    <t>Debt U/W Market Share</t>
  </si>
  <si>
    <t>Advisory Margin</t>
  </si>
  <si>
    <t>Equity U/W Margin</t>
  </si>
  <si>
    <t>Debt U/W Margin</t>
  </si>
  <si>
    <t>Corporate Loans (EOP)</t>
  </si>
  <si>
    <t>LATAM Branded Card Volumes ($B)</t>
  </si>
  <si>
    <t>Asia Branded Card Volumes ($B)</t>
  </si>
  <si>
    <t>Net Servicing &amp; GoS Margin</t>
  </si>
  <si>
    <t>MODELWARE ADJUSTMENTS</t>
  </si>
  <si>
    <t>Reported net income ex. CVA/DVA</t>
  </si>
  <si>
    <t>Unrecorded goodwill from poolings, write-offs and cumulative amortization</t>
  </si>
  <si>
    <t>Tier 1 capital</t>
  </si>
  <si>
    <t>Currency</t>
  </si>
  <si>
    <t>Current Stock Price</t>
  </si>
  <si>
    <t>Count</t>
  </si>
  <si>
    <t>C.N,mscalc:sedolCodeCalc</t>
  </si>
  <si>
    <t>C.N,mscalc:closePriceCurrencyCalc</t>
  </si>
  <si>
    <t>C.N,mscalc:targetPrice,,,,USD</t>
  </si>
  <si>
    <t>$F$2</t>
  </si>
  <si>
    <t>2297907</t>
  </si>
  <si>
    <t>Average Balances - Y/Y Growth</t>
  </si>
  <si>
    <t>Total IBD</t>
  </si>
  <si>
    <t>Preferred stock as a % of RWA</t>
  </si>
  <si>
    <t>Net Interest Income, FTE</t>
  </si>
  <si>
    <t>Core Accrual NII</t>
  </si>
  <si>
    <t>Trading NII</t>
  </si>
  <si>
    <t>Legacy Asset NII</t>
  </si>
  <si>
    <t>FTE/FX Impact</t>
  </si>
  <si>
    <t>Average Earning Assets</t>
  </si>
  <si>
    <t>As a % of Interest Earning Assets</t>
  </si>
  <si>
    <t>As a % of Total Interest Earning Assets</t>
  </si>
  <si>
    <t>Total NII (FTE)</t>
  </si>
  <si>
    <t>Net Interest Income (non-FTE)</t>
  </si>
  <si>
    <t>MS</t>
  </si>
  <si>
    <t>Thomson Mean</t>
  </si>
  <si>
    <t>Thomson High</t>
  </si>
  <si>
    <t>Thomson Low</t>
  </si>
  <si>
    <t>C-US</t>
  </si>
  <si>
    <t>Thomson Formula: Consensus Mean</t>
  </si>
  <si>
    <t>Thomson Formula: Consensus High</t>
  </si>
  <si>
    <t>Thomson Formula: Consensus Low</t>
  </si>
  <si>
    <t>Total NII 2Q17-4Q17 y/y</t>
  </si>
  <si>
    <t>Core NII 2Q17-4Q17 y/y</t>
  </si>
  <si>
    <t>Total NII 2017 y/y</t>
  </si>
  <si>
    <t>FTE Tax Rate</t>
  </si>
  <si>
    <t>GAAP Tax Rate</t>
  </si>
  <si>
    <t xml:space="preserve">NIM </t>
  </si>
  <si>
    <t xml:space="preserve">NIM  </t>
  </si>
  <si>
    <t>Total Loan &amp; Leases</t>
  </si>
  <si>
    <t>Earning Asset Volume</t>
  </si>
  <si>
    <t>Net Interest Income (FTE)</t>
  </si>
  <si>
    <t>Tax Rate (FTE)</t>
  </si>
  <si>
    <t>Non-FTE Tax Rate</t>
  </si>
  <si>
    <t>Income Tax Rates (Non-FTE)</t>
  </si>
  <si>
    <t>Citi's Advisory &amp; Underwriting Fees Growth - Q/Q</t>
  </si>
  <si>
    <t>Company Guidance</t>
  </si>
  <si>
    <t>2019 ROTCE</t>
  </si>
  <si>
    <t>2018 ROTCE ex DTA</t>
  </si>
  <si>
    <t>2017 Expense Ratio</t>
  </si>
  <si>
    <t>$15-18B</t>
  </si>
  <si>
    <t>2017 CCAR Total Gross Payouts</t>
  </si>
  <si>
    <t>Normalized FICC Trading (Ex CVA/DVA and MTM)</t>
  </si>
  <si>
    <t>IB REVENUE MODELWARE TAGS</t>
  </si>
  <si>
    <t>Reported ($m)</t>
  </si>
  <si>
    <t>IBD</t>
  </si>
  <si>
    <t>IB Segment Revenues</t>
  </si>
  <si>
    <t>Revenues ex CVA/DVA ($m)</t>
  </si>
  <si>
    <t>IB Revenues</t>
  </si>
  <si>
    <t>IB Expenses</t>
  </si>
  <si>
    <t>IB Provisions</t>
  </si>
  <si>
    <t>PBT</t>
  </si>
  <si>
    <t>Tax</t>
  </si>
  <si>
    <t>PAT</t>
  </si>
  <si>
    <t>Allocated Equity</t>
  </si>
  <si>
    <t>IB ROAE (%)</t>
  </si>
  <si>
    <t>IB Assets</t>
  </si>
  <si>
    <t>Equity/Assets</t>
  </si>
  <si>
    <t>IB Expense Ratio</t>
  </si>
  <si>
    <t>Total Company Metrics</t>
  </si>
  <si>
    <t>Balance Sheet Gross Up</t>
  </si>
  <si>
    <t>Unconditionally cancellable credits Lev Exp</t>
  </si>
  <si>
    <t>Credit Card Loans ($B)</t>
  </si>
  <si>
    <t>IB RWA &amp; Lev Exposure Calc</t>
  </si>
  <si>
    <t>IB RWA (Basel 3)</t>
  </si>
  <si>
    <t>IB Leverage Exposure</t>
  </si>
  <si>
    <t>IB Assets (excluding allocated liquidity)</t>
  </si>
  <si>
    <t>IB Balance Sheet Gross Up</t>
  </si>
  <si>
    <t>IB Implied CT1 Ratio</t>
  </si>
  <si>
    <t>IB Assets (including liquidity)</t>
  </si>
  <si>
    <t>IB Avg Allocated Tangible Equity</t>
  </si>
  <si>
    <t>IB Allocated Tangible Equity / Assets</t>
  </si>
  <si>
    <t>IB Avg Allocated CET1 Capital</t>
  </si>
  <si>
    <t>IB RWA / Assets</t>
  </si>
  <si>
    <t>IB Leverage Exposure / Assets</t>
  </si>
  <si>
    <t>IB SLR Gross up as a % of Total Firm Gross up</t>
  </si>
  <si>
    <t>As a % of IB RWA</t>
  </si>
  <si>
    <t>IB Revenues / IB RWA</t>
  </si>
  <si>
    <t>IB Expenses / IB RWA</t>
  </si>
  <si>
    <t>IB Provisions / IB RWA</t>
  </si>
  <si>
    <t>IB PBT / IB RWA</t>
  </si>
  <si>
    <t>IB Tax / IB RWA</t>
  </si>
  <si>
    <t>IB PAT / IB RWA</t>
  </si>
  <si>
    <t>As a % of IB Leverage Exposure</t>
  </si>
  <si>
    <t>IB Revenues / IB Leverage Exposure</t>
  </si>
  <si>
    <t>IB Expenses / IB Leverage Exposure</t>
  </si>
  <si>
    <t>IB Provisions / IB Leverage Exposure</t>
  </si>
  <si>
    <t>IB PBT / IB Leverage Exposure</t>
  </si>
  <si>
    <t>IB Tax / IB Leverage Exposure</t>
  </si>
  <si>
    <t>IB PAT / IB Leverage Exposure</t>
  </si>
  <si>
    <t>Revenues as a % of IB Leverage Exposure</t>
  </si>
  <si>
    <t>Equities Revenues / IB Leverage Exposure</t>
  </si>
  <si>
    <t>FICC Revenues / IB Leverage Exposure</t>
  </si>
  <si>
    <t>IBD Revenues / IB Leverage Exposure</t>
  </si>
  <si>
    <t>Other Revenues / IB Leverage Exposure</t>
  </si>
  <si>
    <t>Assets ($B)</t>
  </si>
  <si>
    <t>Average Total Asset Growth - Sequential</t>
  </si>
  <si>
    <t>Average TCE/Assets Ratio</t>
  </si>
  <si>
    <t>Total Advisory and U/W Revenue</t>
  </si>
  <si>
    <t>Reserves / nonperforming loans</t>
  </si>
  <si>
    <t>NA Branded</t>
  </si>
  <si>
    <t>NA Retail Card</t>
  </si>
  <si>
    <t>NA Total Card</t>
  </si>
  <si>
    <t>Global Total Card</t>
  </si>
  <si>
    <t>Gross Buybacks</t>
  </si>
  <si>
    <t>2017 CCAR</t>
  </si>
  <si>
    <t>2016 CCAR</t>
  </si>
  <si>
    <t>Other ICG</t>
  </si>
  <si>
    <t>GCB Revenues</t>
  </si>
  <si>
    <t>ICG Revenues</t>
  </si>
  <si>
    <t>Corp Other Revenues</t>
  </si>
  <si>
    <t>Annualization Factor</t>
  </si>
  <si>
    <t>Segment Information</t>
  </si>
  <si>
    <t>GCB Net Income</t>
  </si>
  <si>
    <t>ICG Net Income</t>
  </si>
  <si>
    <t>Corp Other Net Income</t>
  </si>
  <si>
    <t>GCB - Retail Banking Revenues</t>
  </si>
  <si>
    <t>GCB - Branded Card Revenues</t>
  </si>
  <si>
    <t>GCB - Retail Services Revenues</t>
  </si>
  <si>
    <t>GCB Provisions</t>
  </si>
  <si>
    <t>ICG Provisions</t>
  </si>
  <si>
    <t>Corp Other Provisions</t>
  </si>
  <si>
    <t>GCB Expenses</t>
  </si>
  <si>
    <t>ICG Expenses</t>
  </si>
  <si>
    <t>Corp Other Expenses</t>
  </si>
  <si>
    <t>GCB NCO Ratio</t>
  </si>
  <si>
    <t>ICG NCO Ratio</t>
  </si>
  <si>
    <t>Corp Other NCO Ratio</t>
  </si>
  <si>
    <t>GCB - Retail Banking NCO Ratio</t>
  </si>
  <si>
    <t>GCB - Branded Card NCO Ratio</t>
  </si>
  <si>
    <t>GCB - Retail Services NCO Ratio</t>
  </si>
  <si>
    <t>GCB NCOs</t>
  </si>
  <si>
    <t>ICG NCOs</t>
  </si>
  <si>
    <t>Corp Other NCOs</t>
  </si>
  <si>
    <t>EOP Consumer Loans</t>
  </si>
  <si>
    <t>EOP Commercial Loans</t>
  </si>
  <si>
    <t>EOP Total Loans</t>
  </si>
  <si>
    <t>GLOBAL CONSUMER BANK (GCB)</t>
  </si>
  <si>
    <t>NA Branded Card Volumes Y/Y</t>
  </si>
  <si>
    <t>LATAM Branded Card Volumes Y/Y</t>
  </si>
  <si>
    <t>Asia Branded Card Volumes Y/Y</t>
  </si>
  <si>
    <t>Total Branded Card Volumes Y/Y</t>
  </si>
  <si>
    <t>Retail Services Card Volumes Y/Y</t>
  </si>
  <si>
    <t>International Branded Card Volumes ($B)</t>
  </si>
  <si>
    <t>International Branded Card Volumes Y/Y</t>
  </si>
  <si>
    <t>Mortgage Loans</t>
  </si>
  <si>
    <t>Commercial Banking Loans</t>
  </si>
  <si>
    <t>Personal and Other Loans</t>
  </si>
  <si>
    <t>Total Retail Banking Loans</t>
  </si>
  <si>
    <t>Credit Cards Loans - North America</t>
  </si>
  <si>
    <t>GCB Loans - North America</t>
  </si>
  <si>
    <t>Citi Branded Cards: # of Open Accounts</t>
  </si>
  <si>
    <t>Citi Retail Services: # of Open Accounts</t>
  </si>
  <si>
    <t>Total # of Open Accounts</t>
  </si>
  <si>
    <t>Mortgages Loans</t>
  </si>
  <si>
    <t>2017 NA Branded Card NCOs</t>
  </si>
  <si>
    <t>2017 NA Retail Services NCOs</t>
  </si>
  <si>
    <t>2017 Core Accrual NII Growth</t>
  </si>
  <si>
    <t>GCB + ICG</t>
  </si>
  <si>
    <t>$1B+</t>
  </si>
  <si>
    <t>Corp/Other</t>
  </si>
  <si>
    <t>($1B)</t>
  </si>
  <si>
    <t>$2B+</t>
  </si>
  <si>
    <t>NII Breakdown</t>
  </si>
  <si>
    <t>Citigroup NIM</t>
  </si>
  <si>
    <t>Core Accrual NIM</t>
  </si>
  <si>
    <t>Core Accrual ($B)</t>
  </si>
  <si>
    <t>Trading-Related ($B)</t>
  </si>
  <si>
    <t>Legacy Assets ($B)</t>
  </si>
  <si>
    <t>MS Estimate ($mn)</t>
  </si>
  <si>
    <t>Net</t>
  </si>
  <si>
    <t>1H17-1H16</t>
  </si>
  <si>
    <t>Y/Y Decline</t>
  </si>
  <si>
    <t>Modest Growth y/y</t>
  </si>
  <si>
    <t>Y/Y Revenue Growth</t>
  </si>
  <si>
    <t>Y/Y Positive Op Lev</t>
  </si>
  <si>
    <t>Seasonal Q/Q Decline</t>
  </si>
  <si>
    <t>Down Q/Q</t>
  </si>
  <si>
    <t>Up Q/Q</t>
  </si>
  <si>
    <t>2H17 Tax Rate (Non FTE)</t>
  </si>
  <si>
    <t>Full Year</t>
  </si>
  <si>
    <t>NA Retail Banking ex Mtg</t>
  </si>
  <si>
    <t>NA Retail Banking Mtg</t>
  </si>
  <si>
    <t>NA Card</t>
  </si>
  <si>
    <t>NA Earnings</t>
  </si>
  <si>
    <t>International Consumer</t>
  </si>
  <si>
    <t>ICG Accrual Biz (TTS, Sec Serv, Private Bank)</t>
  </si>
  <si>
    <t>ICG Markets revenues</t>
  </si>
  <si>
    <t>ICG IBD</t>
  </si>
  <si>
    <t>20%+</t>
  </si>
  <si>
    <t>Long Term Consumer ROTCE</t>
  </si>
  <si>
    <t>Annual DTA Utilization</t>
  </si>
  <si>
    <t>$2B</t>
  </si>
  <si>
    <t>Up Y/Y</t>
  </si>
  <si>
    <t>Down Q/Q &gt;18%</t>
  </si>
  <si>
    <t>Total Expenses</t>
  </si>
  <si>
    <t>Total Provision</t>
  </si>
  <si>
    <t>NA Retail Banking</t>
  </si>
  <si>
    <t>Target Capital Ratio</t>
  </si>
  <si>
    <t>11.0% - 11.5%</t>
  </si>
  <si>
    <t>Net interest income, FTE (A)</t>
  </si>
  <si>
    <t>Noninterest Income (B)</t>
  </si>
  <si>
    <t>Total revenues incl. CVA/DVA, FTE (A+B)</t>
  </si>
  <si>
    <t>Total revenues ex CVA/DVA, FTE (C)</t>
  </si>
  <si>
    <t>Total operating expenses (D)</t>
  </si>
  <si>
    <t>PPoP (C-D)</t>
  </si>
  <si>
    <t>NA Retail Services ROA</t>
  </si>
  <si>
    <t>NA Branded Card ROA</t>
  </si>
  <si>
    <t>Low-50s</t>
  </si>
  <si>
    <t>14%+</t>
  </si>
  <si>
    <t>3-3.25%</t>
  </si>
  <si>
    <t>$0.8B</t>
  </si>
  <si>
    <t>Increase in Annual Investment Spend</t>
  </si>
  <si>
    <t>$1.5B</t>
  </si>
  <si>
    <t>Annual Efficiency Savings</t>
  </si>
  <si>
    <t>&lt;50%</t>
  </si>
  <si>
    <t>$20B+</t>
  </si>
  <si>
    <t>Total Capital Return</t>
  </si>
  <si>
    <t>$2.5B</t>
  </si>
  <si>
    <t>0.90%-1.10%</t>
  </si>
  <si>
    <t>120bps</t>
  </si>
  <si>
    <r>
      <t xml:space="preserve">Return </t>
    </r>
    <r>
      <rPr>
        <b/>
        <i/>
        <u/>
        <sz val="11"/>
        <rFont val="Calibri"/>
        <family val="2"/>
        <scheme val="minor"/>
      </rPr>
      <t>of</t>
    </r>
    <r>
      <rPr>
        <sz val="11"/>
        <rFont val="Calibri"/>
        <family val="2"/>
        <scheme val="minor"/>
      </rPr>
      <t xml:space="preserve"> Capital</t>
    </r>
  </si>
  <si>
    <t>220bps</t>
  </si>
  <si>
    <r>
      <t xml:space="preserve">Return </t>
    </r>
    <r>
      <rPr>
        <b/>
        <i/>
        <u/>
        <sz val="11"/>
        <rFont val="Calibri"/>
        <family val="2"/>
        <scheme val="minor"/>
      </rPr>
      <t>on</t>
    </r>
    <r>
      <rPr>
        <sz val="11"/>
        <rFont val="Calibri"/>
        <family val="2"/>
        <scheme val="minor"/>
      </rPr>
      <t xml:space="preserve"> Capital</t>
    </r>
  </si>
  <si>
    <t>ROTCE Improvement from</t>
  </si>
  <si>
    <t>ROTCE ex DTA</t>
  </si>
  <si>
    <t>Firmwide</t>
  </si>
  <si>
    <t>MS Estimates</t>
  </si>
  <si>
    <t>LT Targets</t>
  </si>
  <si>
    <t>2020 Targets</t>
  </si>
  <si>
    <t>2019 Targets</t>
  </si>
  <si>
    <t>2018 Targets</t>
  </si>
  <si>
    <t>Citi 2017 Investor Day Targets</t>
  </si>
  <si>
    <t>Net Income CAGR</t>
  </si>
  <si>
    <t>5-10%</t>
  </si>
  <si>
    <t>Implied EPS</t>
  </si>
  <si>
    <t>15-20%</t>
  </si>
  <si>
    <t>EPS CAGR</t>
  </si>
  <si>
    <t>Corporate Other</t>
  </si>
  <si>
    <t>Breakeven</t>
  </si>
  <si>
    <t>Revenue CAGR</t>
  </si>
  <si>
    <t>EBT CAGR</t>
  </si>
  <si>
    <t>13-15%</t>
  </si>
  <si>
    <t>4-6%</t>
  </si>
  <si>
    <t>Tangible Common Equity</t>
  </si>
  <si>
    <t>Deployed in the Business</t>
  </si>
  <si>
    <t>$145B</t>
  </si>
  <si>
    <t>$166B</t>
  </si>
  <si>
    <t>$21B</t>
  </si>
  <si>
    <t>NA Retail (ex-mortgage)</t>
  </si>
  <si>
    <t>NA Retail Services</t>
  </si>
  <si>
    <t>NA Branded Card</t>
  </si>
  <si>
    <t>Mexico</t>
  </si>
  <si>
    <t>Revenue CAGR (constant dollar)</t>
  </si>
  <si>
    <t>GCB</t>
  </si>
  <si>
    <t>TCE Supporting the Business</t>
  </si>
  <si>
    <t>Total TCE</t>
  </si>
  <si>
    <t>Tangible Common Equity Growth Y/Y</t>
  </si>
  <si>
    <t>Excess TCE</t>
  </si>
  <si>
    <t>Target Standardized CET1 Ratio</t>
  </si>
  <si>
    <t>Standardized CET1 Ratio</t>
  </si>
  <si>
    <t>Standardized RWA</t>
  </si>
  <si>
    <t>Core ROTCE</t>
  </si>
  <si>
    <t>ROTCE Ex Disallowed DTA</t>
  </si>
  <si>
    <t>Supporting Disallowed DTA</t>
  </si>
  <si>
    <t>Excess (above 11.5% CET1)</t>
  </si>
  <si>
    <t>NA Branded Card NCO Ratio</t>
  </si>
  <si>
    <t>NA Retail Card NCO Ratio</t>
  </si>
  <si>
    <t>NA Retail Banking NCO Ratio</t>
  </si>
  <si>
    <t>LatAM NCO Ratio</t>
  </si>
  <si>
    <t>Asia NCO Ratio</t>
  </si>
  <si>
    <t>Normalize</t>
  </si>
  <si>
    <t>Reserves / Loans</t>
  </si>
  <si>
    <t>Remember to exclude $500M Gain on sale of FICC Analytics biz</t>
  </si>
  <si>
    <t>Participating Securities</t>
  </si>
  <si>
    <t>Total Regulatory Capital</t>
  </si>
  <si>
    <t>2022E</t>
  </si>
  <si>
    <t>Average Tangible Equity</t>
  </si>
  <si>
    <t>1Q19E</t>
  </si>
  <si>
    <t>2Q19E</t>
  </si>
  <si>
    <t>3Q19E</t>
  </si>
  <si>
    <t>4Q19E</t>
  </si>
  <si>
    <t>1Q18</t>
  </si>
  <si>
    <t>2Q18</t>
  </si>
  <si>
    <t>3Q18</t>
  </si>
  <si>
    <t>4Q18</t>
  </si>
  <si>
    <t>2018 CCAR</t>
  </si>
  <si>
    <t>2019 CCAR</t>
  </si>
  <si>
    <t>2017-19 CCAR</t>
  </si>
  <si>
    <t>Memo: Tax Rate, Non-FTE</t>
  </si>
  <si>
    <t>Tax rate (FTE)</t>
  </si>
  <si>
    <t>Actual</t>
  </si>
  <si>
    <t>Estimate</t>
  </si>
  <si>
    <t>Revised to $1.3-1.4B a year post tax reform</t>
  </si>
  <si>
    <t>Revised to 10.5% in 2018, 12% in 2019 and 13%+ in 2020 post tax reform</t>
  </si>
  <si>
    <t>93</t>
  </si>
  <si>
    <t>Research</t>
  </si>
  <si>
    <t>e = Morgan Stanley Research estimates unless otherwise noted</t>
  </si>
  <si>
    <t>Source: Morgan Stanley Research unless otherwise noted</t>
  </si>
  <si>
    <t>Stocks ratings are relative to the analyst's industry coverage universe.</t>
  </si>
  <si>
    <t>1585 Broadway</t>
  </si>
  <si>
    <t>New York, NY  10036-8293</t>
  </si>
  <si>
    <t>United States</t>
  </si>
  <si>
    <t>Tel: +1 (1)212 761 4000</t>
  </si>
  <si>
    <t>Authors: Betsy Graseck, Manan Gosalia</t>
  </si>
  <si>
    <t>Date: 16 Apr 2018</t>
  </si>
  <si>
    <t>Ticker: C.N</t>
  </si>
  <si>
    <t>Stock Rating: Overweight</t>
  </si>
  <si>
    <t>Industry: Banking - Large Cap Banks</t>
  </si>
  <si>
    <t>Industry View: Attractive</t>
  </si>
  <si>
    <t>Price as of 16 Apr 2018: 71.00</t>
  </si>
  <si>
    <t>Target Price: 93</t>
  </si>
  <si>
    <t>Analyst Certification</t>
  </si>
  <si>
    <t>Unless otherwise stated, the individuals listed on the cover page of this report are research analysts.</t>
  </si>
  <si>
    <t>Global Research Conflict Management Policy</t>
  </si>
  <si>
    <t>Important US Regulatory Disclosures on Subject Companies</t>
  </si>
  <si>
    <t>Morgan Stanley &amp; Co. LLC makes a market in the securities of Citigroup Inc..</t>
  </si>
  <si>
    <t>STOCK RATINGS</t>
  </si>
  <si>
    <t>Global Stock Ratings Distribution</t>
  </si>
  <si>
    <t>(as of March 31, 2018)</t>
  </si>
  <si>
    <t>Coverage Universe</t>
  </si>
  <si>
    <t>Investment Banking Clients (IBC)</t>
  </si>
  <si>
    <t>Other Material Investment Services Clients (MISC)</t>
  </si>
  <si>
    <t>Stock Rating Category</t>
  </si>
  <si>
    <t>% of Total</t>
  </si>
  <si>
    <t>% of Total IBC</t>
  </si>
  <si>
    <t>% of Rating Category</t>
  </si>
  <si>
    <t>% of Total Other MISC</t>
  </si>
  <si>
    <t>Overweight/Buy</t>
  </si>
  <si>
    <t>Equal-weight/Hold</t>
  </si>
  <si>
    <t>Not-Rated/Hold</t>
  </si>
  <si>
    <t>Underweight/Sell</t>
  </si>
  <si>
    <t>Analyst Stock Ratings</t>
  </si>
  <si>
    <t>Analyst Industry Views</t>
  </si>
  <si>
    <t>Stock Price, Price Target and Rating History (See Rating Definitions)</t>
  </si>
  <si>
    <t>Important Disclosures for Morgan Stanley Smith Barney LLC Customers</t>
  </si>
  <si>
    <t>Other Important Disclosures</t>
  </si>
  <si>
    <t>Morgan Stanley Research, or any portion thereof may not be reprinted, sold or redistributed without the</t>
  </si>
  <si>
    <t>written consent of Morgan Stanley.</t>
  </si>
  <si>
    <t>The trademarks and service marks contained in Morgan Stanley Research are the property of their</t>
  </si>
  <si>
    <t>respective owners. Third-party data providers make no warranties or representations relating to the</t>
  </si>
  <si>
    <t>accuracy, completeness, or timeliness of the data they provide and shall not have liability for any</t>
  </si>
  <si>
    <t>damages relating to such data. The Global Industry Classification Standard (GICS) was developed by and</t>
  </si>
  <si>
    <t>is the exclusive property of MSCI and S&amp;P.</t>
  </si>
  <si>
    <t>As required by the Capital Markets Board of Turkey, investment information, comments and recommendations</t>
  </si>
  <si>
    <t>stated here, are not within the scope of investment advisory activity. Investment advisory service is</t>
  </si>
  <si>
    <t>provided exclusively to persons based on their risk and income preferences by the authorized firms.</t>
  </si>
  <si>
    <t>Comments and recommendations stated here are general in nature. These opinions may not fit to your</t>
  </si>
  <si>
    <t>financial status, risk and return preferences. For this reason, to make an investment decision by</t>
  </si>
  <si>
    <t>relying solely to this information stated here may not bring about outcomes that fit your expectations.</t>
  </si>
  <si>
    <t>The information in Morgan Stanley Research is being communicated by Morgan Stanley &amp; Co. International</t>
  </si>
  <si>
    <t>plc (QFC Branch), regulated by the Qatar Financial Centre Regulatory Authority (the QFCRA), and is</t>
  </si>
  <si>
    <t>directed at business customers and market counterparties only and is not intended for Retail Customers</t>
  </si>
  <si>
    <t>as defined by the QFCRA.</t>
  </si>
  <si>
    <t>plc (DIFC Branch), regulated by the Dubai Financial Services Authority (the DFSA), and is directed at</t>
  </si>
  <si>
    <t>Professional Clients only, as defined by the DFSA. The financial products or financial services to which</t>
  </si>
  <si>
    <t>this research relates will only be made available to a customer who we are satisfied meets the</t>
  </si>
  <si>
    <t>regulatory criteria to be a Professional Client.</t>
  </si>
  <si>
    <t>Morgan Stanley Research is disseminated in Brazil by Morgan Stanley C.T.V.M. S.A.; in Mexico by Morgan</t>
  </si>
  <si>
    <t>Stanley México, Casa de Bolsa, S.A. de C.V which is regulated by Comision Nacional Bancaria y de</t>
  </si>
  <si>
    <t>Valores. Paseo de los Tamarindos 90, Torre 1, Col. Bosques de las Lomas Floor 29, 05120 Mexico City; in</t>
  </si>
  <si>
    <t>Japan by Morgan Stanley MUFG Securities Co., Ltd. and, for Commodities related research reports only,</t>
  </si>
  <si>
    <t>Morgan Stanley Capital Group Japan Co., Ltd; in Hong Kong by Morgan Stanley Asia Limited (which accepts</t>
  </si>
  <si>
    <t>responsibility for its contents) and by Morgan Stanley Asia International Limited, Hong Kong Branch; in</t>
  </si>
  <si>
    <t>Singapore by Morgan Stanley Asia (Singapore) Pte. (Registration number 199206298Z) and/or Morgan Stanley</t>
  </si>
  <si>
    <t>Asia (Singapore) Securities Pte Ltd (Registration number 200008434H), regulated by the Monetary</t>
  </si>
  <si>
    <t>Authority of Singapore (which accepts legal responsibility for its contents and should be contacted with</t>
  </si>
  <si>
    <t>respect to any matters arising from, or in connection with, Morgan Stanley Research) and by Morgan</t>
  </si>
  <si>
    <t>Stanley Asia International Limited, Singapore Branch (Registration number T11FC0207F); in Australia to</t>
  </si>
  <si>
    <t>"wholesale clients" within the meaning of the Australian Corporations Act by Morgan Stanley Australia</t>
  </si>
  <si>
    <t>Limited A.B.N. 67 003 734 576, holder of Australian financial services license No. 233742, which accepts</t>
  </si>
  <si>
    <t>responsibility for its contents; in Australia to "wholesale clients" and "retail clients" within the</t>
  </si>
  <si>
    <t>meaning of the Australian Corporations Act by Morgan Stanley Wealth Management Australia Pty Ltd (A.B.N.</t>
  </si>
  <si>
    <t>19 009 145 555, holder of Australian financial services license No. 240813, which accepts responsibility</t>
  </si>
  <si>
    <t>for its contents; in Korea by Morgan Stanley &amp; Co International plc, Seoul Branch; in India by Morgan</t>
  </si>
  <si>
    <t>Stanley India Company Private Limited; in Indonesia by PT. Morgan Stanley Sekuritas Indonesia; in Canada</t>
  </si>
  <si>
    <t>by Morgan Stanley Canada Limited, which has approved of and takes responsibility for its contents in</t>
  </si>
  <si>
    <t>Canada; in Germany by Morgan Stanley Bank AG, Frankfurt am Main and Morgan Stanley Private Wealth</t>
  </si>
  <si>
    <t>Management Limited, Niederlassung Deutschland, regulated by Bundesanstalt fuer</t>
  </si>
  <si>
    <t>Finanzdienstleistungsaufsicht (BaFin); in Spain by Morgan Stanley, S.V., S.A., a Morgan Stanley group</t>
  </si>
  <si>
    <t>company, which is supervised by the Spanish Securities Markets Commission (CNMV) and states that Morgan</t>
  </si>
  <si>
    <t>Stanley Research has been written and distributed in accordance with the rules of conduct applicable to</t>
  </si>
  <si>
    <t>financial research as established under Spanish regulations; in the US by Morgan Stanley &amp; Co. LLC,</t>
  </si>
  <si>
    <t>which accepts responsibility for its contents. Morgan Stanley &amp; Co. International plc, authorized by the</t>
  </si>
  <si>
    <t>Prudential Regulatory Authority and regulated by the Financial Conduct Authority and the Prudential</t>
  </si>
  <si>
    <t>Regulatory Authority, disseminates in the UK research that it has prepared, and approves solely for the</t>
  </si>
  <si>
    <t>purposes of section 21 of the Financial Services and Markets Act 2000, research which has been prepared</t>
  </si>
  <si>
    <t>by any of its affiliates. RMB Morgan Stanley Proprietary Limited is a member of the JSE Limited and</t>
  </si>
  <si>
    <t>regulated by the Financial Services Board in South Africa. RMB Morgan Stanley Proprietary Limited is a</t>
  </si>
  <si>
    <t>joint venture owned equally by Morgan Stanley International Holdings Inc. and RMB Investment Advisory</t>
  </si>
  <si>
    <t>(Proprietary) Limited, which is wholly owned by FirstRand Limited. The information in Morgan Stanley</t>
  </si>
  <si>
    <t>Research is being disseminated by Morgan Stanley Saudi Arabia, regulated by the Capital Market Authority</t>
  </si>
  <si>
    <t>in the Kingdom of Saudi Arabia , and is directed at Sophisticated investors only.</t>
  </si>
  <si>
    <t>Morgan Stanley is not incorporated under PRC law and the research in relation to this report is</t>
  </si>
  <si>
    <t>conducted outside the PRC. Morgan Stanley Research does not constitute an offer to sell or the</t>
  </si>
  <si>
    <t>solicitation of an offer to buy any securities in the PRC. PRC investors shall have the relevant</t>
  </si>
  <si>
    <t>qualifications to invest in such securities and shall be responsible for obtaining all relevant</t>
  </si>
  <si>
    <t>approvals, licenses, verifications and/or registrations from the relevant governmental authorities</t>
  </si>
  <si>
    <t>themselves. Neither this report nor any part of it is intended as, or shall constitute, provision of any</t>
  </si>
  <si>
    <t>consultancy or advisory service of securities investment as defined under PRC law. Such information is</t>
  </si>
  <si>
    <t>provided for your reference only.</t>
  </si>
  <si>
    <t>To our readers based in Taiwan or trading in Taiwan securities/instruments: Information on</t>
  </si>
  <si>
    <t>securities/instruments that trade in Taiwan is distributed by Morgan Stanley Taiwan Limited ("MSTL").</t>
  </si>
  <si>
    <t>Such information is for your reference only. The reader should independently evaluate the investment</t>
  </si>
  <si>
    <t>risks and is solely responsible for their investment decisions. Morgan Stanley Research may not be</t>
  </si>
  <si>
    <t>distributed to the public media or quoted or used by the public media without the express written</t>
  </si>
  <si>
    <t>consent of Morgan Stanley. Any non-customer reader within the scope of Article 7-1 of the Taiwan Stock</t>
  </si>
  <si>
    <t>Exchange Recommendation Regulations accessing and/or receiving Morgan Stanley Research is not permitted</t>
  </si>
  <si>
    <t>to provide Morgan Stanley Research to any third party (including but not limited to related parties,</t>
  </si>
  <si>
    <t>affiliated companies and any other third parties) or engage in any activities regarding Morgan Stanley</t>
  </si>
  <si>
    <t>Research which may create or give the appearance of creating a conflict of interest. Information on</t>
  </si>
  <si>
    <t>securities/instruments that do not trade in Taiwan is for informational purposes only and is not to be</t>
  </si>
  <si>
    <t>construed as a recommendation or a solicitation to trade in such securities/instruments. MSTL may not</t>
  </si>
  <si>
    <t>execute transactions for clients in these securities/instruments.</t>
  </si>
  <si>
    <t>Morgan Stanley may make investment decisions that are inconsistent with the recommendations or views in</t>
  </si>
  <si>
    <t>this report.</t>
  </si>
  <si>
    <t>Morgan Stanley Research personnel may participate in company events such as site visits and are</t>
  </si>
  <si>
    <t>generally prohibited from accepting payment by the company of associated expenses unless pre-approved by</t>
  </si>
  <si>
    <t>authorized members of Research management.</t>
  </si>
  <si>
    <t>With the exception of information regarding Morgan Stanley, Morgan Stanley Research is based on public</t>
  </si>
  <si>
    <t>information. Morgan Stanley makes every effort to use reliable, comprehensive information, but we make</t>
  </si>
  <si>
    <t>no representation that it is accurate or complete. We have no obligation to tell you when opinions or</t>
  </si>
  <si>
    <t>information in Morgan Stanley Research change apart from when we intend to discontinue equity research</t>
  </si>
  <si>
    <t>coverage of a subject company. Facts and views presented in Morgan Stanley Research have not been</t>
  </si>
  <si>
    <t>reviewed by, and may not reflect information known to, professionals in other Morgan Stanley business</t>
  </si>
  <si>
    <t>areas, including investment banking personnel.</t>
  </si>
  <si>
    <t>The "Important US Regulatory Disclosures on Subject Companies" section in Morgan Stanley Research lists</t>
  </si>
  <si>
    <t>all companies mentioned where Morgan Stanley owns 1% or more of a class of common equity securities of</t>
  </si>
  <si>
    <t>the companies. For all other companies mentioned in Morgan Stanley Research, Morgan Stanley may have an</t>
  </si>
  <si>
    <t>investment of less than 1% in securities/instruments or derivatives of securities/instruments of</t>
  </si>
  <si>
    <t>companies and may trade them in ways different from those discussed in Morgan Stanley Research.</t>
  </si>
  <si>
    <t>Employees of Morgan Stanley not involved in the preparation of Morgan Stanley Research may have</t>
  </si>
  <si>
    <t>investments in securities/instruments or derivatives of securities/instruments of companies mentioned</t>
  </si>
  <si>
    <t>and may trade them in ways different from those discussed in Morgan Stanley Research. Derivatives may be</t>
  </si>
  <si>
    <t>issued by Morgan Stanley or associated persons.</t>
  </si>
  <si>
    <t>The fixed income research analysts, strategists or economists principally responsible for the</t>
  </si>
  <si>
    <t>preparation of Morgan Stanley Research have received compensation based upon various factors, including</t>
  </si>
  <si>
    <t>quality, accuracy and value of research, firm profitability or revenues (which include fixed income</t>
  </si>
  <si>
    <t>trading and capital markets profitability or revenues), client feedback and competitive factors. Fixed</t>
  </si>
  <si>
    <t>Income Research analysts', strategists' or economists' compensation is not linked to investment banking</t>
  </si>
  <si>
    <t>or capital markets transactions performed by Morgan Stanley or the profitability or revenues of</t>
  </si>
  <si>
    <t>particular trading desks.</t>
  </si>
  <si>
    <t>Morgan Stanley Research does not provide individually tailored investment advice. Morgan Stanley</t>
  </si>
  <si>
    <t>Research has been prepared without regard to the circumstances and objectives of those who receive it.</t>
  </si>
  <si>
    <t>Morgan Stanley recommends that investors independently evaluate particular investments and strategies,</t>
  </si>
  <si>
    <t>and encourages investors to seek the advice of a financial adviser. The appropriateness of an investment</t>
  </si>
  <si>
    <t>or strategy will depend on an investor's circumstances and objectives. The securities, instruments, or</t>
  </si>
  <si>
    <t>strategies discussed in Morgan Stanley Research may not be suitable for all investors, and certain</t>
  </si>
  <si>
    <t>investors may not be eligible to purchase or participate in some or all of them. Morgan Stanley Research</t>
  </si>
  <si>
    <t>is not an offer to buy or sell or the solicitation of an offer to buy or sell any security/instrument or</t>
  </si>
  <si>
    <t>to participate in any particular trading strategy. The value of and income from your investments may</t>
  </si>
  <si>
    <t>vary because of changes in interest rates, foreign exchange rates, default rates, prepayment rates,</t>
  </si>
  <si>
    <t>securities/instruments prices, market indexes, operational or financial conditions of companies or other</t>
  </si>
  <si>
    <t>factors. There may be time limitations on the exercise of options or other rights in</t>
  </si>
  <si>
    <t>securities/instruments transactions. Past performance is not necessarily a guide to future performance.</t>
  </si>
  <si>
    <t>Estimates of future performance are based on assumptions that may not be realized. If provided, and</t>
  </si>
  <si>
    <t>unless otherwise stated, the closing price on the cover page is that of the primary exchange for the</t>
  </si>
  <si>
    <t>subject company's securities/instruments.</t>
  </si>
  <si>
    <t>If you do not agree to our Terms of Use and/or if you do not wish to provide your consent to Morgan</t>
  </si>
  <si>
    <t>Stanley processing your personal data or using cookies please do not access our research.</t>
  </si>
  <si>
    <t>Any access and/or use of Morgan Stanley Research is subject to Morgan Stanley's Terms of Use</t>
  </si>
  <si>
    <t>(http://www.morganstanley.com/terms.html). By accessing and/or using Morgan Stanley Research, you are</t>
  </si>
  <si>
    <t>indicating that you have read and agree to be bound by our Terms of Use</t>
  </si>
  <si>
    <t>(http://www.morganstanley.com/terms.html). In addition you consent to Morgan Stanley processing your</t>
  </si>
  <si>
    <t>personal data and using cookies in accordance with our Privacy Policy and our Global Cookies Policy</t>
  </si>
  <si>
    <t>(http://www.morganstanley.com/privacy_pledge.html), including for the purposes of setting your</t>
  </si>
  <si>
    <t>preferences and to collect readership data so that we can deliver better and more personalized service</t>
  </si>
  <si>
    <t>and products to you. To find out more information about how Morgan Stanley processes personal data, how</t>
  </si>
  <si>
    <t>we use cookies and how to reject cookies see our Privacy Policy and our Global Cookies Policy</t>
  </si>
  <si>
    <t>(http://www.morganstanley.com/privacy_pledge.html).</t>
  </si>
  <si>
    <t>Morgan Stanley Research is provided to our clients through our proprietary research portal on Matrix and</t>
  </si>
  <si>
    <t>also distributed electronically by Morgan Stanley to clients. Certain, but not all, Morgan Stanley</t>
  </si>
  <si>
    <t>Research products are also made available to clients through third-party vendors or redistributed to</t>
  </si>
  <si>
    <t>clients through alternate electronic means as a convenience. For access to all available Morgan Stanley</t>
  </si>
  <si>
    <t>Research, please contact your sales representative or go to Matrix at</t>
  </si>
  <si>
    <t>http://www.morganstanley.com/matrix.</t>
  </si>
  <si>
    <t>Morgan Stanley produces an equity research product called a "Tactical Idea." Views contained in a</t>
  </si>
  <si>
    <t>"Tactical Idea" on a particular stock may be contrary to the recommendations or views expressed in</t>
  </si>
  <si>
    <t>research on the same stock. This may be the result of differing time horizons, methodologies, market</t>
  </si>
  <si>
    <t>events, or other factors. For all research available on a particular stock, please contact your sales</t>
  </si>
  <si>
    <t>representative or go to Matrix at http://www.morganstanley.com/matrix.</t>
  </si>
  <si>
    <t>Morgan Stanley is not acting as a municipal advisor and the opinions or views contained herein are not</t>
  </si>
  <si>
    <t>intended to be, and do not constitute, advice within the meaning of Section 975 of the Dodd-Frank Wall</t>
  </si>
  <si>
    <t>Street Reform and Consumer Protection Act.</t>
  </si>
  <si>
    <t>Morgan Stanley Research policy is to update research reports as and when the Research Analyst and</t>
  </si>
  <si>
    <t>Research Management deem appropriate, based on developments with the issuer, the sector, or the market</t>
  </si>
  <si>
    <t>that may have a material impact on the research views or opinions stated therein. In addition, certain</t>
  </si>
  <si>
    <t>Research publications are intended to be updated on a regular periodic basis</t>
  </si>
  <si>
    <t>(weekly/monthly/quarterly/annual) and will ordinarily be updated with that frequency, unless the</t>
  </si>
  <si>
    <t>Research Analyst and Research Management determine that a different publication schedule is appropriate</t>
  </si>
  <si>
    <t>based on current conditions.</t>
  </si>
  <si>
    <t>Morgan Stanley &amp; Co. International PLC and its affiliates have a significant financial interest in the</t>
  </si>
  <si>
    <t>debt securities of Citigroup Inc..</t>
  </si>
  <si>
    <t>Each Morgan Stanley Equity Research report is reviewed and approved on behalf of Morgan Stanley Smith</t>
  </si>
  <si>
    <t>Barney LLC. This review and approval is conducted by the same person who reviews the Equity Research</t>
  </si>
  <si>
    <t>report on behalf of Morgan Stanley. This could create a conflict of interest.</t>
  </si>
  <si>
    <t>Important disclosures regarding the relationship between the companies that are the subject of Morgan</t>
  </si>
  <si>
    <t>Stanley Research and Morgan Stanley Smith Barney LLC or Morgan Stanley or any of their affiliates, are</t>
  </si>
  <si>
    <t>available on the Morgan Stanley Wealth Management disclosure website at</t>
  </si>
  <si>
    <t>www.morganstanley.com/online/researchdisclosures. For Morgan Stanley specific disclosures, you may refer</t>
  </si>
  <si>
    <t>to www.morganstanley.com/researchdisclosures.</t>
  </si>
  <si>
    <t>Benchmarks for each region are as follows: North America - S&amp;P 500; Latin America - relevant MSCI</t>
  </si>
  <si>
    <t>country index or MSCI Latin America Index; Europe - MSCI Europe; Japan - TOPIX; Asia - relevant MSCI</t>
  </si>
  <si>
    <t>country index or MSCI sub-regional index or MSCI AC Asia Pacific ex Japan Index.</t>
  </si>
  <si>
    <t>Cautious (C): The analyst views the performance of his or her industry coverage universe over the next</t>
  </si>
  <si>
    <t>12-18 months with caution vs. the relevant broad market benchmark, as indicated below.</t>
  </si>
  <si>
    <t>In-Line (I): The analyst expects the performance of his or her industry coverage universe over the next</t>
  </si>
  <si>
    <t>12-18 months to be in line with the relevant broad market benchmark, as indicated below.</t>
  </si>
  <si>
    <t>Attractive (A): The analyst expects the performance of his or her industry coverage universe over the</t>
  </si>
  <si>
    <t>next 12-18 months to be attractive vs. the relevant broad market benchmark, as indicated below.</t>
  </si>
  <si>
    <t>Unless otherwise specified, the time frame for price targets included in Morgan Stanley Research is 12</t>
  </si>
  <si>
    <t>to 18 months.</t>
  </si>
  <si>
    <t>Underweight (U). The stock's total return is expected to be below the average total return of the</t>
  </si>
  <si>
    <t>analyst's industry (or industry team's) coverage universe, on a risk-adjusted basis, over the next 12-18</t>
  </si>
  <si>
    <t>months.</t>
  </si>
  <si>
    <t>Not-Rated (NR). Currently the analyst does not have adequate conviction about the stock's total return</t>
  </si>
  <si>
    <t>relative to the average total return of the analyst's industry (or industry team's) coverage universe,</t>
  </si>
  <si>
    <t>on a risk-adjusted basis, over the next 12-18 months.</t>
  </si>
  <si>
    <t>Equal-weight (E). The stock's total return is expected to be in line with the average total return of</t>
  </si>
  <si>
    <t>the analyst's industry (or industry team's) coverage universe, on a risk-adjusted basis, over the next</t>
  </si>
  <si>
    <t>12-18 months.</t>
  </si>
  <si>
    <t>Overweight (O). The stock's total return is expected to exceed the average total return of the analyst's</t>
  </si>
  <si>
    <t>industry (or industry team's) coverage universe, on a risk-adjusted basis, over the next 12-18 months.</t>
  </si>
  <si>
    <t>Data include common stock and ADRs currently assigned ratings. Investment Banking Clients are companies</t>
  </si>
  <si>
    <t>from whom Morgan Stanley received investment banking compensation in the last 12 months. Due to rounding</t>
  </si>
  <si>
    <t>off of decimals, the percentages provided in the "% of total" column may not add up to exactly 100</t>
  </si>
  <si>
    <t>percent.</t>
  </si>
  <si>
    <t>For disclosure purposes only (in accordance with NASD and NYSE requirements), we include the category</t>
  </si>
  <si>
    <t>headings of Buy, Hold, and Sell alongside our ratings of Overweight, Equal-weight, Not-Rated and</t>
  </si>
  <si>
    <t>Underweight. Morgan Stanley does not assign ratings of Buy, Hold or Sell to the stocks we cover.</t>
  </si>
  <si>
    <t>Overweight, Equal-weight, Not-Rated and Underweight are not the equivalent of buy, hold, and sell but</t>
  </si>
  <si>
    <t>represent recommended relative weightings (see definitions below). To satisfy regulatory requirements,</t>
  </si>
  <si>
    <t>we correspond Overweight, our most positive stock rating, with a buy recommendation; we correspond</t>
  </si>
  <si>
    <t>Equal-weight and Not-Rated to hold and Underweight to sell recommendations, respectively.</t>
  </si>
  <si>
    <t>The Stock Ratings described below apply to Morgan Stanley's Fundamental Equity Research and do not apply</t>
  </si>
  <si>
    <t>to Debt Research produced by the Firm.</t>
  </si>
  <si>
    <t>Morgan Stanley uses a relative rating system using terms such as Overweight, Equal-weight, Not-Rated or</t>
  </si>
  <si>
    <t>Underweight (see definitions below). Morgan Stanley does not assign ratings of Buy, Hold or Sell to the</t>
  </si>
  <si>
    <t>stocks we cover. Overweight, Equal-weight, Not-Rated and Underweight are not the equivalent of buy, hold</t>
  </si>
  <si>
    <t>and sell. Investors should carefully read the definitions of all ratings used in Morgan Stanley</t>
  </si>
  <si>
    <t>Research. In addition, since Morgan Stanley Research contains more complete information concerning the</t>
  </si>
  <si>
    <t>analyst's views, investors should carefully read Morgan Stanley Research, in its entirety, and not infer</t>
  </si>
  <si>
    <t>the contents from the rating alone. In any case, ratings (or research) should not be used or relied upon</t>
  </si>
  <si>
    <t>as investment advice. An investor's decision to buy or sell a stock should depend on individual</t>
  </si>
  <si>
    <t>circumstances (such as the investor's existing holdings) and other considerations.</t>
  </si>
  <si>
    <t>Certain disclosures listed above are also for compliance with applicable regulations in non-US</t>
  </si>
  <si>
    <t>jurisdictions.</t>
  </si>
  <si>
    <t>Morgan Stanley and its affiliates do business that relates to companies/instruments covered in Morgan</t>
  </si>
  <si>
    <t>Stanley Research, including market making, providing liquidity, fund management, commercial banking,</t>
  </si>
  <si>
    <t>extension of credit, investment services and investment banking. Morgan Stanley sells to and buys from</t>
  </si>
  <si>
    <t>customers the securities/instruments of companies covered in Morgan Stanley Research on a principal</t>
  </si>
  <si>
    <t>basis. Morgan Stanley may have a position in the debt of the Company or instruments discussed in this</t>
  </si>
  <si>
    <t>report. Morgan Stanley trades or may trade as principal in the debt securities (or in related</t>
  </si>
  <si>
    <t>derivatives) that are the subject of the debt research report.</t>
  </si>
  <si>
    <t>The equity research analysts or strategists principally responsible for the preparation of Morgan</t>
  </si>
  <si>
    <t>Stanley Research have received compensation based upon various factors, including quality of research,</t>
  </si>
  <si>
    <t>investor client feedback, stock picking, competitive factors, firm revenues and overall investment</t>
  </si>
  <si>
    <t>banking revenues. Equity Research analysts' or strategists' compensation is not linked to investment</t>
  </si>
  <si>
    <t>banking or capital markets transactions performed by Morgan Stanley or the profitability or revenues of</t>
  </si>
  <si>
    <t>Within the last 12 months, Morgan Stanley has either provided or is providing non-investment banking,</t>
  </si>
  <si>
    <t>securities-related services to and/or in the past has entered into an agreement to provide services or</t>
  </si>
  <si>
    <t>has a client relationship with the following company: Citigroup Inc..</t>
  </si>
  <si>
    <t>Within the last 12 months, Morgan Stanley has provided or is providing investment banking services to,</t>
  </si>
  <si>
    <t>or has an investment banking client relationship with, the following company: Citigroup Inc..</t>
  </si>
  <si>
    <t>Within the last 12 months, Morgan Stanley has received compensation for products and services other than</t>
  </si>
  <si>
    <t>investment banking services from Citigroup Inc..</t>
  </si>
  <si>
    <t>In the next 3 months, Morgan Stanley expects to receive or intends to seek compensation for investment</t>
  </si>
  <si>
    <t>banking services from Citigroup Inc..</t>
  </si>
  <si>
    <t>Within the last 12 months, Morgan Stanley has received compensation for investment banking services from</t>
  </si>
  <si>
    <t>Citigroup Inc..</t>
  </si>
  <si>
    <t>Within the last 12 months, Morgan Stanley managed or co-managed a public offering (or 144A offering) of</t>
  </si>
  <si>
    <t>securities of Citigroup Inc..</t>
  </si>
  <si>
    <t>As of March 29, 2018, Morgan Stanley beneficially owned 1% or more of a class of common equity</t>
  </si>
  <si>
    <t>securities of the following companies covered in Morgan Stanley Research: Citigroup Inc..</t>
  </si>
  <si>
    <t>Morgan Stanley Research has been published in accordance with our conflict management policy, which is</t>
  </si>
  <si>
    <t>available at www.morganstanley.com/institutional/research/conflictpolicies.</t>
  </si>
  <si>
    <t>The following analysts hereby certify that their views about the companies and their securities</t>
  </si>
  <si>
    <t>discussed in this report are accurately expressed and that they have not received and will not receive</t>
  </si>
  <si>
    <t>direct or indirect compensation in exchange for expressing specific recommendations or views in this</t>
  </si>
  <si>
    <t>report: Betsy L. Graseck, CFA.</t>
  </si>
  <si>
    <t>For valuation methodology and risks associated with any recommendation, rating or price target</t>
  </si>
  <si>
    <t>referenced in this research report, please contact the Client Support Team as follows: US/Canada +1 800</t>
  </si>
  <si>
    <t>303-2495; Hong Kong +852 2848-5999; Latin America +1 718 754-5444 (U.S.); London +44 (0)20-7425-8169;</t>
  </si>
  <si>
    <t>Singapore +65 6834-6860; Sydney +61 (0)2-9770-1505; Tokyo +81 (0)3-6836-9000. Alternatively you may</t>
  </si>
  <si>
    <t>contact your investment representative or Morgan Stanley Research at 1585 Broadway, (Attention: Research</t>
  </si>
  <si>
    <t>Management), New York, NY 10036 USA.</t>
  </si>
  <si>
    <t>For important disclosures, stock price charts and equity rating histories regarding companies that are</t>
  </si>
  <si>
    <t>the subject of this report, please see the Morgan Stanley Research Disclosure Website at</t>
  </si>
  <si>
    <t>www.morganstanley.com/researchdisclosures, or contact your investment representative or Morgan Stanley</t>
  </si>
  <si>
    <t>Research at 1585 Broadway, (Attention: Research Management), New York, NY, 10036 USA.</t>
  </si>
  <si>
    <t>The information and opinions in Morgan Stanley Research were prepared by Morgan Stanley &amp; Co. LLC,</t>
  </si>
  <si>
    <t>and/or Morgan Stanley C.T.V.M. S.A., and/or Morgan Stanley Mexico, Casa de Bolsa, S.A. de C.V., and/or</t>
  </si>
  <si>
    <t>Morgan Stanley Canada Limited. As used in this disclosure section, "Morgan Stanley" includes Morgan</t>
  </si>
  <si>
    <t>Stanley &amp; Co. LLC, Morgan Stanley C.T.V.M. S.A., Morgan Stanley Mexico, Casa de Bolsa, S.A. de C.V.,</t>
  </si>
  <si>
    <t>Morgan Stanley Canada Limited and their affiliates as necessary.</t>
  </si>
  <si>
    <t>Morgan Stanley does and seeks to do business with companies covered in Morgan Stanley Research. As a</t>
  </si>
  <si>
    <t>result, investors should be aware that the firm may have a conflict of interest that could affect the</t>
  </si>
  <si>
    <t>objectivity of Morgan Stanley Research. Investors should consider Morgan Stanley Research as only a</t>
  </si>
  <si>
    <t>single factor in making their investment decision.</t>
  </si>
  <si>
    <t>© Copyright 2018 Morgan Stanley</t>
  </si>
  <si>
    <t>MacroVersion</t>
  </si>
  <si>
    <t>PublishDate</t>
  </si>
  <si>
    <t>Discipline</t>
  </si>
  <si>
    <t>ResearchTopic</t>
  </si>
  <si>
    <t>Company</t>
  </si>
  <si>
    <t>DocType</t>
  </si>
  <si>
    <t>Model</t>
  </si>
  <si>
    <t>SubjectCode</t>
  </si>
  <si>
    <t>Description</t>
  </si>
  <si>
    <t>KeepVersions</t>
  </si>
  <si>
    <t>All</t>
  </si>
  <si>
    <t>Rating</t>
  </si>
  <si>
    <t>CurrYearTotalRevenue*</t>
  </si>
  <si>
    <t>CurrYearEPS*</t>
  </si>
  <si>
    <t>NextYearTotalRevenue*</t>
  </si>
  <si>
    <t>NextYearEPS*</t>
  </si>
  <si>
    <t>FollowingYearTotalRevenue*</t>
  </si>
  <si>
    <t>FollowingYearEPS*</t>
  </si>
  <si>
    <t>5YearGrowthRate</t>
  </si>
  <si>
    <t>UpdateReason</t>
  </si>
  <si>
    <t>Authors</t>
  </si>
  <si>
    <t>Tickers</t>
  </si>
  <si>
    <t>CUSIP</t>
  </si>
  <si>
    <t>RIC</t>
  </si>
  <si>
    <t>SEDOL</t>
  </si>
  <si>
    <t>PathName</t>
  </si>
  <si>
    <t>Distribution</t>
  </si>
  <si>
    <t>Deleted</t>
  </si>
  <si>
    <t>NO</t>
  </si>
  <si>
    <t>EmailAlert</t>
  </si>
  <si>
    <t>YES</t>
  </si>
  <si>
    <t>CurrQtrEPS</t>
  </si>
  <si>
    <t>CYEnd</t>
  </si>
  <si>
    <t>CQEnd</t>
  </si>
  <si>
    <t>CurrYearTotalRevenueActual*</t>
  </si>
  <si>
    <t>NextYearTotalRevenueActual*</t>
  </si>
  <si>
    <t>FollowingYearTotalRevenueActual*</t>
  </si>
  <si>
    <t>Multiplier</t>
  </si>
  <si>
    <t>TemplateRegion</t>
  </si>
  <si>
    <t>ObjectType</t>
  </si>
  <si>
    <t>excel</t>
  </si>
  <si>
    <t>LanguageCode</t>
  </si>
  <si>
    <t>en-US</t>
  </si>
  <si>
    <t>SubmitterUserId</t>
  </si>
  <si>
    <t>IndustryId</t>
  </si>
  <si>
    <t>TickerRegion</t>
  </si>
  <si>
    <t>AdditionalInstructions</t>
  </si>
  <si>
    <t>*Estimated</t>
  </si>
  <si>
    <t>Overweight / Attractive</t>
  </si>
  <si>
    <t>Quarterly Update</t>
  </si>
  <si>
    <t>NorthAmerica</t>
  </si>
  <si>
    <t>MSA00114, MSA114VV</t>
  </si>
  <si>
    <t>L:\BANK RESEARCH\Banking Industry Files\EPS Models\C.xlsm</t>
  </si>
  <si>
    <t>[BRO MSA]</t>
  </si>
  <si>
    <t>[PRODUCT MODEL]</t>
  </si>
  <si>
    <t>[EMAIL_ALERT YES]</t>
  </si>
  <si>
    <t>[DISCIPLINE Company]</t>
  </si>
  <si>
    <t>[SUPPRESSED NO]</t>
  </si>
  <si>
    <t>[DOCDAT 2018-04-16]</t>
  </si>
  <si>
    <t>[DOCTIME 06:25]</t>
  </si>
  <si>
    <t>[PSYM C.N(S&amp;P) (None)]</t>
  </si>
  <si>
    <t>[COU 1]</t>
  </si>
  <si>
    <t>[ANA MSA114VV]</t>
  </si>
  <si>
    <t>[HL C.N Model]</t>
  </si>
  <si>
    <t>[IND BANKIN MERBNK]</t>
  </si>
  <si>
    <t>[PANA MSA00114]</t>
  </si>
</sst>
</file>

<file path=xl/styles.xml><?xml version="1.0" encoding="utf-8"?>
<styleSheet xmlns="http://schemas.openxmlformats.org/spreadsheetml/2006/main" xmlns:mc="http://schemas.openxmlformats.org/markup-compatibility/2006" xmlns:x14ac="http://schemas.microsoft.com/office/spreadsheetml/2009/9/ac" mc:Ignorable="x14ac">
  <numFmts count="40">
    <numFmt numFmtId="5" formatCode="&quot;$&quot;#,##0_);\(&quot;$&quot;#,##0\)"/>
    <numFmt numFmtId="8" formatCode="&quot;$&quot;#,##0.00_);[Red]\(&quot;$&quot;#,##0.0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
    <numFmt numFmtId="165" formatCode="0.0%"/>
    <numFmt numFmtId="166" formatCode="_(&quot;$&quot;* #,##0.0_);_(&quot;$&quot;* \(#,##0.0\);_(&quot;$&quot;* &quot;-&quot;??_);_(@_)"/>
    <numFmt numFmtId="167" formatCode="0.0%;\(0.0%\)"/>
    <numFmt numFmtId="168" formatCode="_(* #,##0_);_(* \(#,##0\);_(* &quot;-&quot;?_);_(@_)"/>
    <numFmt numFmtId="169" formatCode="_(&quot;$&quot;* #,##0_);_(&quot;$&quot;* \(#,##0\);_(&quot;$&quot;* &quot;-&quot;?_);_(@_)"/>
    <numFmt numFmtId="170" formatCode="#,##0.0"/>
    <numFmt numFmtId="171" formatCode="#,##0.0_);\(#,##0.0\)"/>
    <numFmt numFmtId="173" formatCode="_(&quot;$&quot;* #,##0.000_);_(&quot;$&quot;* \(#,##0.000\);_(&quot;$&quot;* &quot;-&quot;??_);_(@_)"/>
    <numFmt numFmtId="175" formatCode="_(&quot;$&quot;* #,##0_);_(&quot;$&quot;* \(#,##0\);_(&quot;$&quot;* &quot;-&quot;??_);_(@_)"/>
    <numFmt numFmtId="176" formatCode="_(* #,##0_);_(* \(#,##0\);_(* &quot;-&quot;??_);_(@_)"/>
    <numFmt numFmtId="177" formatCode="_(* #,##0.0_);_(* \(#,##0.0\);_(* &quot;-&quot;??_);_(@_)"/>
    <numFmt numFmtId="179" formatCode="_(* #,##0.0_);_(* \(#,##0.0\);_(* &quot;-&quot;?_);_(@_)"/>
    <numFmt numFmtId="180" formatCode="_(* #,##0.0_);_(* \(#,##0.0\);_(* &quot;-&quot;_);_(@_)"/>
    <numFmt numFmtId="181" formatCode="0.00%;\(0.00%\)"/>
    <numFmt numFmtId="182" formatCode="0.0\x"/>
    <numFmt numFmtId="183" formatCode="0.000%"/>
    <numFmt numFmtId="184" formatCode="&quot;$&quot;#,##0.00"/>
    <numFmt numFmtId="185" formatCode="0\ &quot;bps&quot;"/>
    <numFmt numFmtId="186" formatCode="&quot;$&quot;_(#,##0.00_);&quot;$&quot;\(#,##0.00\)"/>
    <numFmt numFmtId="187" formatCode="0.0"/>
    <numFmt numFmtId="188" formatCode="#,##0_);\(#,##0\);\–_);&quot;–&quot;_)"/>
    <numFmt numFmtId="189" formatCode="0.00%_);\(0.00%\);&quot;–&quot;_)"/>
    <numFmt numFmtId="190" formatCode="0%_);\(0%\);&quot;–&quot;_)"/>
    <numFmt numFmtId="191" formatCode="0.0%_);\(0.0%\);&quot;–&quot;_)"/>
    <numFmt numFmtId="192" formatCode="_([$$-409]* #,##0.00_);_([$$-409]* \(#,##0.00\);_([$$-409]* &quot;-&quot;??_);_(@_)"/>
    <numFmt numFmtId="193" formatCode="0\ \b\p;\-0\ \b\p"/>
    <numFmt numFmtId="194" formatCode="yyyy"/>
    <numFmt numFmtId="195" formatCode="_(&quot;$&quot;* #,##0.00_);_(&quot;$&quot;* \(#,##0.00\);_(&quot;$&quot;* &quot;-&quot;??_);_(@_)\ \ \ "/>
    <numFmt numFmtId="196" formatCode="#,##0.0_);\(#,##0.0\);\–_);&quot;–&quot;_)"/>
    <numFmt numFmtId="202" formatCode="_(#,##0.0_)_%;_(\(#,##0.0\)_%;_(&quot;–&quot;_)_%;@_(_%"/>
    <numFmt numFmtId="203" formatCode="#,##0.00_);\(#,##0.00\);\–_);&quot;–&quot;_)"/>
    <numFmt numFmtId="204" formatCode="&quot;$&quot;#,##0.00_);\(&quot;$&quot;#,##0.00\);\–_);&quot;–&quot;_)"/>
    <numFmt numFmtId="210" formatCode="mm/dd/yy\ hh:mm"/>
  </numFmts>
  <fonts count="81" x14ac:knownFonts="1">
    <font>
      <sz val="10"/>
      <name val="Times New Roman"/>
    </font>
    <font>
      <sz val="10"/>
      <name val="Times New Roman"/>
      <family val="1"/>
    </font>
    <font>
      <sz val="10"/>
      <name val="Arial"/>
      <family val="2"/>
    </font>
    <font>
      <sz val="8"/>
      <name val="Arial"/>
      <family val="2"/>
    </font>
    <font>
      <b/>
      <sz val="12"/>
      <name val="Arial"/>
      <family val="2"/>
    </font>
    <font>
      <sz val="12"/>
      <name val="Times New Roman"/>
      <family val="1"/>
    </font>
    <font>
      <sz val="10"/>
      <name val="Times New Roman"/>
      <family val="1"/>
    </font>
    <font>
      <sz val="11"/>
      <color indexed="8"/>
      <name val="Calibri"/>
      <family val="2"/>
    </font>
    <font>
      <b/>
      <sz val="14"/>
      <name val="Arial"/>
      <family val="2"/>
    </font>
    <font>
      <b/>
      <sz val="8"/>
      <name val="Arial"/>
      <family val="2"/>
    </font>
    <font>
      <sz val="8"/>
      <color indexed="8"/>
      <name val="Arial"/>
      <family val="2"/>
    </font>
    <font>
      <sz val="9"/>
      <color indexed="81"/>
      <name val="Tahoma"/>
      <family val="2"/>
    </font>
    <font>
      <b/>
      <sz val="9"/>
      <color indexed="81"/>
      <name val="Tahoma"/>
      <family val="2"/>
    </font>
    <font>
      <i/>
      <sz val="8"/>
      <name val="Arial"/>
      <family val="2"/>
    </font>
    <font>
      <sz val="8"/>
      <color indexed="12"/>
      <name val="Arial"/>
      <family val="2"/>
    </font>
    <font>
      <b/>
      <sz val="8"/>
      <color indexed="8"/>
      <name val="Arial"/>
      <family val="2"/>
    </font>
    <font>
      <b/>
      <sz val="8"/>
      <color indexed="81"/>
      <name val="Tahoma"/>
      <family val="2"/>
    </font>
    <font>
      <sz val="8"/>
      <color indexed="81"/>
      <name val="Tahoma"/>
      <family val="2"/>
    </font>
    <font>
      <b/>
      <u/>
      <sz val="8"/>
      <name val="Arial"/>
      <family val="2"/>
    </font>
    <font>
      <b/>
      <i/>
      <sz val="8"/>
      <name val="Arial"/>
      <family val="2"/>
    </font>
    <font>
      <sz val="8"/>
      <color indexed="17"/>
      <name val="Arial"/>
      <family val="2"/>
    </font>
    <font>
      <sz val="8"/>
      <color indexed="10"/>
      <name val="Arial"/>
      <family val="2"/>
    </font>
    <font>
      <sz val="10"/>
      <color indexed="8"/>
      <name val="Times New Roman"/>
      <family val="1"/>
    </font>
    <font>
      <sz val="9"/>
      <name val="Times New Roman"/>
      <family val="1"/>
    </font>
    <font>
      <sz val="10"/>
      <name val="MS Sans Serif"/>
      <family val="2"/>
    </font>
    <font>
      <b/>
      <sz val="10"/>
      <color indexed="8"/>
      <name val="Times New Roman"/>
      <family val="1"/>
    </font>
    <font>
      <i/>
      <sz val="8"/>
      <name val="Times New Roman"/>
      <family val="1"/>
    </font>
    <font>
      <sz val="8"/>
      <name val="Calibri"/>
      <family val="2"/>
    </font>
    <font>
      <b/>
      <sz val="12"/>
      <name val="Helv"/>
    </font>
    <font>
      <b/>
      <i/>
      <sz val="10"/>
      <name val="Helv"/>
    </font>
    <font>
      <b/>
      <sz val="8"/>
      <name val="Helv"/>
    </font>
    <font>
      <i/>
      <sz val="8"/>
      <color indexed="10"/>
      <name val="Arial"/>
      <family val="2"/>
    </font>
    <font>
      <i/>
      <sz val="8"/>
      <color indexed="8"/>
      <name val="Arial"/>
      <family val="2"/>
    </font>
    <font>
      <b/>
      <i/>
      <sz val="8"/>
      <color indexed="8"/>
      <name val="Arial"/>
      <family val="2"/>
    </font>
    <font>
      <i/>
      <sz val="8"/>
      <color indexed="12"/>
      <name val="Arial"/>
      <family val="2"/>
    </font>
    <font>
      <b/>
      <u/>
      <sz val="8"/>
      <color indexed="8"/>
      <name val="Arial"/>
      <family val="2"/>
    </font>
    <font>
      <u/>
      <sz val="8"/>
      <color indexed="8"/>
      <name val="Arial"/>
      <family val="2"/>
    </font>
    <font>
      <b/>
      <sz val="8"/>
      <color indexed="12"/>
      <name val="Arial"/>
      <family val="2"/>
    </font>
    <font>
      <b/>
      <i/>
      <sz val="8"/>
      <color indexed="10"/>
      <name val="Arial"/>
      <family val="2"/>
    </font>
    <font>
      <sz val="6"/>
      <color indexed="10"/>
      <name val="Arial"/>
      <family val="2"/>
    </font>
    <font>
      <sz val="8"/>
      <color indexed="9"/>
      <name val="Arial"/>
      <family val="2"/>
    </font>
    <font>
      <b/>
      <sz val="8"/>
      <color indexed="9"/>
      <name val="Arial"/>
      <family val="2"/>
    </font>
    <font>
      <i/>
      <u/>
      <sz val="8"/>
      <color indexed="8"/>
      <name val="Arial"/>
      <family val="2"/>
    </font>
    <font>
      <b/>
      <sz val="8"/>
      <color indexed="17"/>
      <name val="Arial"/>
      <family val="2"/>
    </font>
    <font>
      <i/>
      <sz val="8"/>
      <color indexed="17"/>
      <name val="Arial"/>
      <family val="2"/>
    </font>
    <font>
      <b/>
      <sz val="10"/>
      <name val="Arial"/>
      <family val="2"/>
    </font>
    <font>
      <sz val="8"/>
      <color indexed="9"/>
      <name val="Arial"/>
      <family val="2"/>
    </font>
    <font>
      <sz val="11"/>
      <color theme="1"/>
      <name val="Calibri"/>
      <family val="2"/>
      <scheme val="minor"/>
    </font>
    <font>
      <b/>
      <sz val="8"/>
      <color rgb="FF0000FF"/>
      <name val="Arial"/>
      <family val="2"/>
    </font>
    <font>
      <i/>
      <sz val="8"/>
      <color rgb="FF0000FF"/>
      <name val="Arial"/>
      <family val="2"/>
    </font>
    <font>
      <sz val="8"/>
      <color rgb="FF000000"/>
      <name val="Arial"/>
      <family val="2"/>
    </font>
    <font>
      <sz val="8"/>
      <color rgb="FF0000FF"/>
      <name val="Arial"/>
      <family val="2"/>
    </font>
    <font>
      <sz val="8"/>
      <color rgb="FF008000"/>
      <name val="Arial"/>
      <family val="2"/>
    </font>
    <font>
      <b/>
      <sz val="8"/>
      <color indexed="10"/>
      <name val="Arial"/>
      <family val="2"/>
    </font>
    <font>
      <b/>
      <sz val="8"/>
      <color rgb="FF000000"/>
      <name val="Arial"/>
      <family val="2"/>
    </font>
    <font>
      <b/>
      <sz val="15"/>
      <name val="Arial"/>
      <family val="2"/>
    </font>
    <font>
      <i/>
      <sz val="8"/>
      <color theme="0" tint="-0.34998626667073579"/>
      <name val="Arial"/>
      <family val="2"/>
    </font>
    <font>
      <i/>
      <sz val="8"/>
      <color indexed="9"/>
      <name val="Arial"/>
      <family val="2"/>
    </font>
    <font>
      <b/>
      <i/>
      <sz val="8"/>
      <color indexed="9"/>
      <name val="Arial"/>
      <family val="2"/>
    </font>
    <font>
      <vertAlign val="superscript"/>
      <sz val="8"/>
      <name val="Arial"/>
      <family val="2"/>
    </font>
    <font>
      <b/>
      <sz val="15"/>
      <color indexed="8"/>
      <name val="Arial"/>
      <family val="2"/>
    </font>
    <font>
      <b/>
      <i/>
      <sz val="12"/>
      <color indexed="8"/>
      <name val="Arial"/>
      <family val="2"/>
    </font>
    <font>
      <b/>
      <sz val="8"/>
      <color rgb="FFFF0000"/>
      <name val="Arial"/>
      <family val="2"/>
    </font>
    <font>
      <sz val="10"/>
      <name val="Arial"/>
      <family val="2"/>
    </font>
    <font>
      <sz val="8"/>
      <color indexed="23"/>
      <name val="Arial"/>
      <family val="2"/>
    </font>
    <font>
      <sz val="8"/>
      <color theme="0" tint="-0.499984740745262"/>
      <name val="Arial"/>
      <family val="2"/>
    </font>
    <font>
      <sz val="11"/>
      <name val="Calibri"/>
      <family val="2"/>
      <scheme val="minor"/>
    </font>
    <font>
      <b/>
      <sz val="11"/>
      <name val="Calibri"/>
      <family val="2"/>
      <scheme val="minor"/>
    </font>
    <font>
      <i/>
      <sz val="11"/>
      <name val="Calibri"/>
      <family val="2"/>
      <scheme val="minor"/>
    </font>
    <font>
      <b/>
      <sz val="11"/>
      <color rgb="FFFF0000"/>
      <name val="Calibri"/>
      <family val="2"/>
      <scheme val="minor"/>
    </font>
    <font>
      <b/>
      <sz val="11"/>
      <color rgb="FF00B050"/>
      <name val="Calibri"/>
      <family val="2"/>
      <scheme val="minor"/>
    </font>
    <font>
      <b/>
      <sz val="11"/>
      <color rgb="FF0070C0"/>
      <name val="Calibri"/>
      <family val="2"/>
      <scheme val="minor"/>
    </font>
    <font>
      <b/>
      <i/>
      <u/>
      <sz val="11"/>
      <name val="Calibri"/>
      <family val="2"/>
      <scheme val="minor"/>
    </font>
    <font>
      <sz val="11"/>
      <color rgb="FF000000"/>
      <name val="Calibri"/>
      <family val="2"/>
      <scheme val="minor"/>
    </font>
    <font>
      <sz val="8"/>
      <color rgb="FFFF0000"/>
      <name val="Arial"/>
      <family val="2"/>
    </font>
    <font>
      <sz val="8"/>
      <color theme="0" tint="-0.249977111117893"/>
      <name val="Arial"/>
      <family val="2"/>
    </font>
    <font>
      <sz val="10"/>
      <name val="Courier"/>
      <family val="3"/>
    </font>
    <font>
      <sz val="11"/>
      <name val="Arial"/>
      <family val="2"/>
    </font>
    <font>
      <i/>
      <sz val="10"/>
      <name val="Arial"/>
      <family val="2"/>
    </font>
    <font>
      <sz val="10"/>
      <color rgb="FF000000"/>
      <name val="Arial"/>
      <family val="2"/>
    </font>
    <font>
      <b/>
      <sz val="12"/>
      <color rgb="FF000080"/>
      <name val="Arial"/>
      <family val="2"/>
    </font>
  </fonts>
  <fills count="27">
    <fill>
      <patternFill patternType="none"/>
    </fill>
    <fill>
      <patternFill patternType="gray125"/>
    </fill>
    <fill>
      <patternFill patternType="solid">
        <fgColor indexed="8"/>
      </patternFill>
    </fill>
    <fill>
      <patternFill patternType="solid">
        <fgColor indexed="44"/>
        <bgColor indexed="64"/>
      </patternFill>
    </fill>
    <fill>
      <patternFill patternType="solid">
        <fgColor indexed="22"/>
        <bgColor indexed="64"/>
      </patternFill>
    </fill>
    <fill>
      <patternFill patternType="solid">
        <fgColor indexed="55"/>
        <bgColor indexed="64"/>
      </patternFill>
    </fill>
    <fill>
      <patternFill patternType="solid">
        <fgColor indexed="43"/>
        <bgColor indexed="64"/>
      </patternFill>
    </fill>
    <fill>
      <patternFill patternType="solid">
        <fgColor indexed="29"/>
        <bgColor indexed="64"/>
      </patternFill>
    </fill>
    <fill>
      <patternFill patternType="solid">
        <fgColor indexed="49"/>
        <bgColor indexed="64"/>
      </patternFill>
    </fill>
    <fill>
      <patternFill patternType="solid">
        <fgColor indexed="56"/>
        <bgColor indexed="64"/>
      </patternFill>
    </fill>
    <fill>
      <patternFill patternType="solid">
        <fgColor rgb="FFFF0000"/>
        <bgColor indexed="64"/>
      </patternFill>
    </fill>
    <fill>
      <patternFill patternType="solid">
        <fgColor theme="0" tint="-0.14999847407452621"/>
        <bgColor indexed="64"/>
      </patternFill>
    </fill>
    <fill>
      <patternFill patternType="solid">
        <fgColor theme="9" tint="0.59999389629810485"/>
        <bgColor indexed="64"/>
      </patternFill>
    </fill>
    <fill>
      <patternFill patternType="solid">
        <fgColor theme="0" tint="-0.249977111117893"/>
        <bgColor indexed="64"/>
      </patternFill>
    </fill>
    <fill>
      <patternFill patternType="solid">
        <fgColor rgb="FF76C490"/>
        <bgColor indexed="64"/>
      </patternFill>
    </fill>
    <fill>
      <patternFill patternType="solid">
        <fgColor theme="0" tint="-0.34998626667073579"/>
        <bgColor indexed="64"/>
      </patternFill>
    </fill>
    <fill>
      <patternFill patternType="solid">
        <fgColor theme="5" tint="0.59999389629810485"/>
        <bgColor indexed="64"/>
      </patternFill>
    </fill>
    <fill>
      <patternFill patternType="solid">
        <fgColor theme="3" tint="0.59999389629810485"/>
        <bgColor indexed="64"/>
      </patternFill>
    </fill>
    <fill>
      <patternFill patternType="solid">
        <fgColor theme="3" tint="0.79998168889431442"/>
        <bgColor indexed="64"/>
      </patternFill>
    </fill>
    <fill>
      <patternFill patternType="solid">
        <fgColor theme="0" tint="-4.9989318521683403E-2"/>
        <bgColor indexed="64"/>
      </patternFill>
    </fill>
    <fill>
      <patternFill patternType="solid">
        <fgColor theme="7" tint="0.59999389629810485"/>
        <bgColor indexed="64"/>
      </patternFill>
    </fill>
    <fill>
      <patternFill patternType="solid">
        <fgColor theme="4" tint="0.59999389629810485"/>
        <bgColor indexed="64"/>
      </patternFill>
    </fill>
    <fill>
      <patternFill patternType="solid">
        <fgColor theme="5" tint="0.39997558519241921"/>
        <bgColor indexed="64"/>
      </patternFill>
    </fill>
    <fill>
      <patternFill patternType="solid">
        <fgColor rgb="FFFFFF99"/>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indexed="65"/>
        <bgColor indexed="64"/>
      </patternFill>
    </fill>
  </fills>
  <borders count="38">
    <border>
      <left/>
      <right/>
      <top/>
      <bottom/>
      <diagonal/>
    </border>
    <border>
      <left/>
      <right/>
      <top/>
      <bottom style="thin">
        <color indexed="64"/>
      </bottom>
      <diagonal/>
    </border>
    <border>
      <left/>
      <right/>
      <top/>
      <bottom style="medium">
        <color indexed="64"/>
      </bottom>
      <diagonal/>
    </border>
    <border>
      <left/>
      <right/>
      <top style="thin">
        <color indexed="64"/>
      </top>
      <bottom/>
      <diagonal/>
    </border>
    <border>
      <left style="medium">
        <color indexed="64"/>
      </left>
      <right/>
      <top/>
      <bottom/>
      <diagonal/>
    </border>
    <border>
      <left/>
      <right/>
      <top style="thin">
        <color indexed="64"/>
      </top>
      <bottom style="thin">
        <color indexed="64"/>
      </bottom>
      <diagonal/>
    </border>
    <border>
      <left style="thin">
        <color indexed="64"/>
      </left>
      <right/>
      <top style="thin">
        <color indexed="64"/>
      </top>
      <bottom/>
      <diagonal/>
    </border>
    <border>
      <left/>
      <right/>
      <top style="medium">
        <color indexed="64"/>
      </top>
      <bottom style="medium">
        <color indexed="64"/>
      </bottom>
      <diagonal/>
    </border>
    <border>
      <left style="thin">
        <color indexed="64"/>
      </left>
      <right/>
      <top/>
      <bottom/>
      <diagonal/>
    </border>
    <border>
      <left/>
      <right style="thin">
        <color indexed="64"/>
      </right>
      <top/>
      <bottom/>
      <diagonal/>
    </border>
    <border>
      <left/>
      <right/>
      <top/>
      <bottom style="thin">
        <color indexed="8"/>
      </bottom>
      <diagonal/>
    </border>
    <border>
      <left/>
      <right/>
      <top style="thin">
        <color indexed="64"/>
      </top>
      <bottom style="double">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top/>
      <bottom style="double">
        <color indexed="64"/>
      </bottom>
      <diagonal/>
    </border>
    <border>
      <left style="thin">
        <color indexed="64"/>
      </left>
      <right/>
      <top/>
      <bottom style="thin">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right style="medium">
        <color indexed="8"/>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medium">
        <color indexed="64"/>
      </bottom>
      <diagonal/>
    </border>
    <border>
      <left/>
      <right style="thin">
        <color indexed="64"/>
      </right>
      <top/>
      <bottom style="medium">
        <color indexed="64"/>
      </bottom>
      <diagonal/>
    </border>
    <border>
      <left/>
      <right style="medium">
        <color indexed="64"/>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ck">
        <color rgb="FFFF0000"/>
      </left>
      <right style="thick">
        <color rgb="FFFF0000"/>
      </right>
      <top style="thick">
        <color rgb="FFFF0000"/>
      </top>
      <bottom style="thick">
        <color rgb="FFFF0000"/>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right/>
      <top/>
      <bottom style="thin">
        <color rgb="FF000000"/>
      </bottom>
      <diagonal/>
    </border>
    <border>
      <left/>
      <right/>
      <top style="thin">
        <color rgb="FF000000"/>
      </top>
      <bottom/>
      <diagonal/>
    </border>
  </borders>
  <cellStyleXfs count="47">
    <xf numFmtId="0" fontId="0" fillId="0" borderId="0"/>
    <xf numFmtId="0" fontId="2" fillId="0" borderId="0"/>
    <xf numFmtId="0" fontId="2" fillId="0" borderId="0"/>
    <xf numFmtId="0" fontId="27" fillId="0" borderId="0"/>
    <xf numFmtId="44" fontId="2" fillId="0" borderId="0" applyFont="0" applyFill="0" applyBorder="0" applyAlignment="0" applyProtection="0"/>
    <xf numFmtId="186" fontId="2" fillId="0" borderId="0" applyFont="0" applyFill="0" applyBorder="0" applyAlignment="0" applyProtection="0"/>
    <xf numFmtId="0" fontId="2" fillId="2" borderId="0"/>
    <xf numFmtId="0" fontId="2" fillId="0" borderId="0"/>
    <xf numFmtId="0" fontId="24" fillId="0" borderId="0"/>
    <xf numFmtId="0" fontId="24" fillId="0" borderId="0"/>
    <xf numFmtId="39" fontId="28" fillId="0" borderId="0">
      <alignment horizontal="center"/>
    </xf>
    <xf numFmtId="0" fontId="28" fillId="0" borderId="0">
      <alignment horizontal="center"/>
    </xf>
    <xf numFmtId="0" fontId="28" fillId="0" borderId="0">
      <alignment horizontal="center"/>
    </xf>
    <xf numFmtId="0" fontId="29" fillId="0" borderId="0">
      <alignment horizontal="center"/>
    </xf>
    <xf numFmtId="0" fontId="29" fillId="0" borderId="0">
      <alignment horizontal="center"/>
    </xf>
    <xf numFmtId="39" fontId="30" fillId="0" borderId="0">
      <alignment horizontal="center"/>
    </xf>
    <xf numFmtId="0" fontId="25" fillId="0" borderId="0"/>
    <xf numFmtId="43" fontId="1" fillId="0" borderId="0" applyFont="0" applyFill="0" applyBorder="0" applyAlignment="0" applyProtection="0"/>
    <xf numFmtId="43" fontId="6" fillId="0" borderId="0" applyFont="0" applyFill="0" applyBorder="0" applyAlignment="0" applyProtection="0"/>
    <xf numFmtId="43" fontId="2" fillId="0" borderId="0" applyFont="0" applyFill="0" applyBorder="0" applyAlignment="0" applyProtection="0"/>
    <xf numFmtId="43" fontId="7" fillId="0" borderId="0" applyFont="0" applyFill="0" applyBorder="0" applyAlignment="0" applyProtection="0"/>
    <xf numFmtId="44" fontId="1" fillId="0" borderId="0" applyFont="0" applyFill="0" applyBorder="0" applyAlignment="0" applyProtection="0"/>
    <xf numFmtId="44" fontId="6" fillId="0" borderId="0" applyFont="0" applyFill="0" applyBorder="0" applyAlignment="0" applyProtection="0"/>
    <xf numFmtId="44" fontId="7" fillId="0" borderId="0" applyFont="0" applyFill="0" applyBorder="0" applyAlignment="0" applyProtection="0"/>
    <xf numFmtId="0" fontId="1" fillId="0" borderId="0"/>
    <xf numFmtId="0" fontId="47" fillId="0" borderId="0"/>
    <xf numFmtId="0" fontId="2" fillId="0" borderId="0"/>
    <xf numFmtId="0" fontId="1" fillId="0" borderId="0"/>
    <xf numFmtId="0" fontId="6" fillId="0" borderId="0"/>
    <xf numFmtId="0" fontId="5" fillId="0" borderId="0"/>
    <xf numFmtId="0" fontId="1" fillId="0" borderId="0"/>
    <xf numFmtId="0" fontId="1" fillId="0" borderId="0"/>
    <xf numFmtId="0" fontId="1" fillId="0" borderId="0"/>
    <xf numFmtId="0" fontId="23" fillId="0" borderId="0">
      <alignment vertical="center"/>
    </xf>
    <xf numFmtId="9" fontId="1" fillId="0" borderId="0" applyFont="0" applyFill="0" applyBorder="0" applyAlignment="0" applyProtection="0"/>
    <xf numFmtId="9" fontId="2" fillId="0" borderId="0" applyFont="0" applyFill="0" applyBorder="0" applyAlignment="0" applyProtection="0"/>
    <xf numFmtId="9" fontId="6" fillId="0" borderId="0" applyFont="0" applyFill="0" applyBorder="0" applyAlignment="0" applyProtection="0"/>
    <xf numFmtId="0" fontId="2" fillId="6" borderId="0" applyNumberFormat="0" applyFont="0" applyBorder="0" applyAlignment="0" applyProtection="0"/>
    <xf numFmtId="0" fontId="22" fillId="0" borderId="0"/>
    <xf numFmtId="0" fontId="22" fillId="0" borderId="10">
      <alignment horizontal="centerContinuous"/>
    </xf>
    <xf numFmtId="0" fontId="26" fillId="0" borderId="10"/>
    <xf numFmtId="37" fontId="1" fillId="0" borderId="0"/>
    <xf numFmtId="0" fontId="2" fillId="0" borderId="0"/>
    <xf numFmtId="0" fontId="3" fillId="0" borderId="0"/>
    <xf numFmtId="0" fontId="63" fillId="0" borderId="0"/>
    <xf numFmtId="0" fontId="2" fillId="0" borderId="0"/>
    <xf numFmtId="0" fontId="76" fillId="0" borderId="0"/>
  </cellStyleXfs>
  <cellXfs count="1823">
    <xf numFmtId="0" fontId="0" fillId="0" borderId="0" xfId="0"/>
    <xf numFmtId="0" fontId="2" fillId="0" borderId="0" xfId="26"/>
    <xf numFmtId="191" fontId="32" fillId="0" borderId="0" xfId="0" applyNumberFormat="1" applyFont="1" applyFill="1" applyBorder="1" applyAlignment="1">
      <alignment horizontal="right"/>
    </xf>
    <xf numFmtId="188" fontId="10" fillId="0" borderId="0" xfId="0" applyNumberFormat="1" applyFont="1" applyFill="1" applyBorder="1" applyAlignment="1">
      <alignment horizontal="right"/>
    </xf>
    <xf numFmtId="0" fontId="8" fillId="0" borderId="0" xfId="19" applyNumberFormat="1" applyFont="1"/>
    <xf numFmtId="0" fontId="3" fillId="0" borderId="0" xfId="1" applyFont="1" applyAlignment="1">
      <alignment horizontal="left"/>
    </xf>
    <xf numFmtId="0" fontId="3" fillId="0" borderId="0" xfId="1" applyFont="1" applyAlignment="1">
      <alignment horizontal="right"/>
    </xf>
    <xf numFmtId="14" fontId="3" fillId="0" borderId="0" xfId="1" applyNumberFormat="1" applyFont="1" applyAlignment="1">
      <alignment horizontal="right"/>
    </xf>
    <xf numFmtId="14" fontId="3" fillId="0" borderId="0" xfId="1" applyNumberFormat="1" applyFont="1" applyFill="1" applyAlignment="1">
      <alignment horizontal="right"/>
    </xf>
    <xf numFmtId="0" fontId="3" fillId="0" borderId="0" xfId="0" applyFont="1"/>
    <xf numFmtId="0" fontId="3" fillId="0" borderId="0" xfId="0" applyFont="1" applyAlignment="1">
      <alignment wrapText="1"/>
    </xf>
    <xf numFmtId="0" fontId="9" fillId="4" borderId="0" xfId="2" applyFont="1" applyFill="1"/>
    <xf numFmtId="0" fontId="3" fillId="4" borderId="0" xfId="0" applyFont="1" applyFill="1"/>
    <xf numFmtId="0" fontId="9" fillId="3" borderId="0" xfId="2" applyFont="1" applyFill="1"/>
    <xf numFmtId="0" fontId="3" fillId="3" borderId="0" xfId="0" applyFont="1" applyFill="1"/>
    <xf numFmtId="0" fontId="3" fillId="0" borderId="0" xfId="0" applyFont="1" applyFill="1"/>
    <xf numFmtId="0" fontId="9" fillId="0" borderId="0" xfId="2" applyFont="1" applyFill="1"/>
    <xf numFmtId="0" fontId="3" fillId="0" borderId="0" xfId="2" applyFont="1" applyFill="1"/>
    <xf numFmtId="0" fontId="3" fillId="0" borderId="0" xfId="0" applyFont="1" applyFill="1" applyAlignment="1">
      <alignment wrapText="1"/>
    </xf>
    <xf numFmtId="0" fontId="9" fillId="0" borderId="0" xfId="0" applyFont="1" applyFill="1"/>
    <xf numFmtId="0" fontId="3" fillId="0" borderId="0" xfId="0" applyFont="1" applyFill="1" applyAlignment="1">
      <alignment horizontal="right"/>
    </xf>
    <xf numFmtId="165" fontId="3" fillId="0" borderId="0" xfId="0" applyNumberFormat="1" applyFont="1" applyFill="1"/>
    <xf numFmtId="43" fontId="3" fillId="0" borderId="0" xfId="17" applyFont="1"/>
    <xf numFmtId="165" fontId="3" fillId="0" borderId="0" xfId="34" applyNumberFormat="1" applyFont="1" applyFill="1"/>
    <xf numFmtId="181" fontId="3" fillId="0" borderId="0" xfId="0" applyNumberFormat="1" applyFont="1" applyFill="1"/>
    <xf numFmtId="0" fontId="3" fillId="0" borderId="1" xfId="0" applyFont="1" applyBorder="1"/>
    <xf numFmtId="165" fontId="3" fillId="0" borderId="0" xfId="34" applyNumberFormat="1" applyFont="1"/>
    <xf numFmtId="165" fontId="13" fillId="0" borderId="0" xfId="34" applyNumberFormat="1" applyFont="1"/>
    <xf numFmtId="0" fontId="3" fillId="0" borderId="1" xfId="0" applyFont="1" applyFill="1" applyBorder="1"/>
    <xf numFmtId="0" fontId="3" fillId="0" borderId="1" xfId="2" applyFont="1" applyFill="1" applyBorder="1"/>
    <xf numFmtId="10" fontId="3" fillId="0" borderId="1" xfId="0" applyNumberFormat="1" applyFont="1" applyFill="1" applyBorder="1"/>
    <xf numFmtId="181" fontId="3" fillId="0" borderId="0" xfId="0" applyNumberFormat="1" applyFont="1"/>
    <xf numFmtId="0" fontId="3" fillId="0" borderId="0" xfId="0" applyFont="1" applyAlignment="1">
      <alignment horizontal="right"/>
    </xf>
    <xf numFmtId="176" fontId="3" fillId="0" borderId="0" xfId="17" applyNumberFormat="1" applyFont="1"/>
    <xf numFmtId="176" fontId="3" fillId="0" borderId="0" xfId="0" applyNumberFormat="1" applyFont="1" applyFill="1"/>
    <xf numFmtId="0" fontId="3" fillId="0" borderId="0" xfId="0" applyFont="1" applyAlignment="1"/>
    <xf numFmtId="177" fontId="3" fillId="0" borderId="0" xfId="17" applyNumberFormat="1" applyFont="1" applyFill="1"/>
    <xf numFmtId="176" fontId="3" fillId="0" borderId="0" xfId="17" applyNumberFormat="1" applyFont="1" applyFill="1"/>
    <xf numFmtId="0" fontId="13" fillId="0" borderId="0" xfId="0" applyFont="1" applyFill="1"/>
    <xf numFmtId="0" fontId="31" fillId="0" borderId="0" xfId="2" applyFont="1" applyFill="1"/>
    <xf numFmtId="176" fontId="31" fillId="0" borderId="0" xfId="0" applyNumberFormat="1" applyFont="1" applyFill="1"/>
    <xf numFmtId="176" fontId="3" fillId="0" borderId="1" xfId="0" applyNumberFormat="1" applyFont="1" applyFill="1" applyBorder="1"/>
    <xf numFmtId="176" fontId="3" fillId="0" borderId="1" xfId="17" applyNumberFormat="1" applyFont="1" applyFill="1" applyBorder="1"/>
    <xf numFmtId="0" fontId="3" fillId="0" borderId="1" xfId="0" applyFont="1" applyBorder="1" applyAlignment="1"/>
    <xf numFmtId="0" fontId="9" fillId="0" borderId="1" xfId="2" applyFont="1" applyFill="1" applyBorder="1"/>
    <xf numFmtId="168" fontId="3" fillId="0" borderId="0" xfId="27" quotePrefix="1" applyNumberFormat="1" applyFont="1" applyFill="1" applyBorder="1" applyAlignment="1">
      <alignment horizontal="right"/>
    </xf>
    <xf numFmtId="0" fontId="32" fillId="0" borderId="0" xfId="27" applyFont="1" applyFill="1" applyAlignment="1">
      <alignment horizontal="left"/>
    </xf>
    <xf numFmtId="0" fontId="32" fillId="0" borderId="0" xfId="27" applyFont="1" applyFill="1" applyAlignment="1"/>
    <xf numFmtId="0" fontId="9" fillId="4" borderId="0" xfId="0" applyFont="1" applyFill="1" applyAlignment="1"/>
    <xf numFmtId="9" fontId="3" fillId="0" borderId="0" xfId="34" applyFont="1"/>
    <xf numFmtId="176" fontId="3" fillId="0" borderId="0" xfId="0" applyNumberFormat="1" applyFont="1"/>
    <xf numFmtId="176" fontId="3" fillId="0" borderId="0" xfId="0" applyNumberFormat="1" applyFont="1" applyAlignment="1">
      <alignment horizontal="right"/>
    </xf>
    <xf numFmtId="0" fontId="33" fillId="0" borderId="0" xfId="27" applyFont="1" applyFill="1" applyBorder="1"/>
    <xf numFmtId="0" fontId="13" fillId="0" borderId="0" xfId="0" applyFont="1"/>
    <xf numFmtId="0" fontId="32" fillId="0" borderId="0" xfId="27" applyFont="1" applyFill="1" applyBorder="1"/>
    <xf numFmtId="176" fontId="13" fillId="0" borderId="0" xfId="0" applyNumberFormat="1" applyFont="1" applyAlignment="1">
      <alignment horizontal="right"/>
    </xf>
    <xf numFmtId="9" fontId="13" fillId="0" borderId="0" xfId="34" applyFont="1"/>
    <xf numFmtId="0" fontId="13" fillId="4" borderId="0" xfId="0" applyFont="1" applyFill="1"/>
    <xf numFmtId="165" fontId="3" fillId="4" borderId="0" xfId="34" applyNumberFormat="1" applyFont="1" applyFill="1"/>
    <xf numFmtId="0" fontId="9" fillId="0" borderId="0" xfId="0" applyFont="1"/>
    <xf numFmtId="165" fontId="3" fillId="0" borderId="0" xfId="34" applyNumberFormat="1" applyFont="1" applyAlignment="1">
      <alignment horizontal="right"/>
    </xf>
    <xf numFmtId="0" fontId="32" fillId="0" borderId="0" xfId="27" applyFont="1" applyFill="1"/>
    <xf numFmtId="0" fontId="31" fillId="0" borderId="0" xfId="0" applyFont="1"/>
    <xf numFmtId="0" fontId="3" fillId="0" borderId="0" xfId="0" applyFont="1" applyFill="1" applyAlignment="1"/>
    <xf numFmtId="165" fontId="3" fillId="0" borderId="1" xfId="34" applyNumberFormat="1" applyFont="1" applyBorder="1"/>
    <xf numFmtId="0" fontId="9" fillId="0" borderId="0" xfId="0" applyFont="1" applyAlignment="1"/>
    <xf numFmtId="10" fontId="3" fillId="0" borderId="0" xfId="34" applyNumberFormat="1" applyFont="1"/>
    <xf numFmtId="10" fontId="3" fillId="0" borderId="0" xfId="0" applyNumberFormat="1" applyFont="1"/>
    <xf numFmtId="165" fontId="3" fillId="0" borderId="0" xfId="0" applyNumberFormat="1" applyFont="1"/>
    <xf numFmtId="176" fontId="3" fillId="0" borderId="0" xfId="17" applyNumberFormat="1" applyFont="1" applyFill="1" applyBorder="1" applyAlignment="1" applyProtection="1">
      <alignment horizontal="right"/>
    </xf>
    <xf numFmtId="0" fontId="3" fillId="0" borderId="0" xfId="0" applyFont="1" applyFill="1" applyBorder="1"/>
    <xf numFmtId="0" fontId="3" fillId="0" borderId="0" xfId="0" applyFont="1" applyBorder="1"/>
    <xf numFmtId="0" fontId="13" fillId="0" borderId="0" xfId="0" applyFont="1" applyFill="1" applyBorder="1"/>
    <xf numFmtId="0" fontId="13" fillId="0" borderId="0" xfId="0" applyFont="1" applyBorder="1"/>
    <xf numFmtId="0" fontId="32" fillId="0" borderId="0" xfId="27" applyFont="1" applyFill="1" applyBorder="1" applyAlignment="1"/>
    <xf numFmtId="165" fontId="13" fillId="0" borderId="0" xfId="34" applyNumberFormat="1" applyFont="1" applyBorder="1"/>
    <xf numFmtId="176" fontId="3" fillId="0" borderId="1" xfId="17" applyNumberFormat="1" applyFont="1" applyFill="1" applyBorder="1" applyAlignment="1" applyProtection="1">
      <alignment horizontal="right"/>
    </xf>
    <xf numFmtId="177" fontId="3" fillId="0" borderId="0" xfId="17" applyNumberFormat="1" applyFont="1" applyFill="1" applyBorder="1" applyAlignment="1" applyProtection="1">
      <alignment horizontal="right"/>
    </xf>
    <xf numFmtId="10" fontId="34" fillId="0" borderId="0" xfId="34" applyNumberFormat="1" applyFont="1" applyFill="1" applyBorder="1" applyAlignment="1" applyProtection="1">
      <alignment horizontal="right"/>
    </xf>
    <xf numFmtId="10" fontId="13" fillId="0" borderId="0" xfId="34" applyNumberFormat="1" applyFont="1" applyFill="1" applyBorder="1" applyAlignment="1" applyProtection="1">
      <alignment horizontal="right"/>
    </xf>
    <xf numFmtId="10" fontId="3" fillId="0" borderId="0" xfId="0" applyNumberFormat="1" applyFont="1" applyAlignment="1">
      <alignment horizontal="right"/>
    </xf>
    <xf numFmtId="0" fontId="9" fillId="0" borderId="0" xfId="0" applyFont="1" applyAlignment="1">
      <alignment horizontal="right"/>
    </xf>
    <xf numFmtId="179" fontId="3" fillId="0" borderId="0" xfId="0" applyNumberFormat="1" applyFont="1"/>
    <xf numFmtId="177" fontId="3" fillId="0" borderId="0" xfId="0" applyNumberFormat="1" applyFont="1"/>
    <xf numFmtId="0" fontId="32" fillId="0" borderId="0" xfId="0" applyFont="1" applyFill="1" applyBorder="1" applyAlignment="1" applyProtection="1">
      <alignment horizontal="left"/>
    </xf>
    <xf numFmtId="1" fontId="35" fillId="0" borderId="0" xfId="0" applyNumberFormat="1" applyFont="1" applyFill="1" applyAlignment="1" applyProtection="1"/>
    <xf numFmtId="1" fontId="36" fillId="0" borderId="0" xfId="0" applyNumberFormat="1" applyFont="1" applyFill="1" applyAlignment="1" applyProtection="1"/>
    <xf numFmtId="0" fontId="35" fillId="0" borderId="0" xfId="28" applyFont="1" applyFill="1" applyAlignment="1">
      <alignment horizontal="left"/>
    </xf>
    <xf numFmtId="176" fontId="37" fillId="0" borderId="0" xfId="17" applyNumberFormat="1" applyFont="1" applyBorder="1"/>
    <xf numFmtId="176" fontId="37" fillId="0" borderId="3" xfId="17" applyNumberFormat="1" applyFont="1" applyBorder="1"/>
    <xf numFmtId="37" fontId="3" fillId="0" borderId="0" xfId="1" applyNumberFormat="1" applyFont="1" applyFill="1"/>
    <xf numFmtId="37" fontId="9" fillId="0" borderId="0" xfId="1" applyNumberFormat="1" applyFont="1" applyFill="1"/>
    <xf numFmtId="176" fontId="9" fillId="0" borderId="0" xfId="17" applyNumberFormat="1" applyFont="1" applyFill="1" applyBorder="1" applyAlignment="1" applyProtection="1">
      <alignment horizontal="right"/>
    </xf>
    <xf numFmtId="0" fontId="3" fillId="0" borderId="0" xfId="29" applyFont="1" applyBorder="1"/>
    <xf numFmtId="176" fontId="3" fillId="0" borderId="0" xfId="17" applyNumberFormat="1" applyFont="1" applyFill="1" applyBorder="1" applyAlignment="1"/>
    <xf numFmtId="41" fontId="14" fillId="0" borderId="0" xfId="21" applyNumberFormat="1" applyFont="1" applyFill="1" applyBorder="1" applyAlignment="1" applyProtection="1">
      <alignment horizontal="right"/>
    </xf>
    <xf numFmtId="41" fontId="3" fillId="0" borderId="0" xfId="0" applyNumberFormat="1" applyFont="1"/>
    <xf numFmtId="37" fontId="14" fillId="0" borderId="1" xfId="19" applyNumberFormat="1" applyFont="1" applyFill="1" applyBorder="1"/>
    <xf numFmtId="0" fontId="3" fillId="0" borderId="1" xfId="0" applyFont="1" applyBorder="1" applyAlignment="1">
      <alignment horizontal="right"/>
    </xf>
    <xf numFmtId="41" fontId="9" fillId="0" borderId="0" xfId="0" applyNumberFormat="1" applyFont="1"/>
    <xf numFmtId="41" fontId="3" fillId="0" borderId="1" xfId="0" applyNumberFormat="1" applyFont="1" applyBorder="1"/>
    <xf numFmtId="177" fontId="14" fillId="0" borderId="0" xfId="17" applyNumberFormat="1" applyFont="1" applyFill="1"/>
    <xf numFmtId="177" fontId="3" fillId="0" borderId="0" xfId="0" applyNumberFormat="1" applyFont="1" applyAlignment="1">
      <alignment horizontal="right"/>
    </xf>
    <xf numFmtId="177" fontId="3" fillId="0" borderId="1" xfId="0" applyNumberFormat="1" applyFont="1" applyBorder="1" applyAlignment="1">
      <alignment horizontal="right"/>
    </xf>
    <xf numFmtId="43" fontId="14" fillId="0" borderId="0" xfId="1" applyNumberFormat="1" applyFont="1" applyFill="1"/>
    <xf numFmtId="176" fontId="14" fillId="0" borderId="0" xfId="17" applyNumberFormat="1" applyFont="1" applyFill="1"/>
    <xf numFmtId="184" fontId="3" fillId="0" borderId="0" xfId="1" applyNumberFormat="1" applyFont="1" applyFill="1" applyAlignment="1">
      <alignment horizontal="right"/>
    </xf>
    <xf numFmtId="0" fontId="9" fillId="0" borderId="0" xfId="0" applyFont="1" applyFill="1" applyAlignment="1">
      <alignment horizontal="right"/>
    </xf>
    <xf numFmtId="10" fontId="3" fillId="0" borderId="0" xfId="34" applyNumberFormat="1" applyFont="1" applyAlignment="1">
      <alignment horizontal="right"/>
    </xf>
    <xf numFmtId="9" fontId="3" fillId="0" borderId="0" xfId="34" applyFont="1" applyFill="1"/>
    <xf numFmtId="0" fontId="18" fillId="0" borderId="0" xfId="0" applyFont="1" applyAlignment="1"/>
    <xf numFmtId="176" fontId="3" fillId="0" borderId="0" xfId="17" applyNumberFormat="1" applyFont="1" applyFill="1" applyBorder="1" applyAlignment="1" applyProtection="1"/>
    <xf numFmtId="166" fontId="32" fillId="0" borderId="0" xfId="21" applyNumberFormat="1" applyFont="1" applyFill="1" applyBorder="1" applyAlignment="1"/>
    <xf numFmtId="41" fontId="32" fillId="0" borderId="0" xfId="0" applyNumberFormat="1" applyFont="1" applyFill="1" applyBorder="1" applyAlignment="1" applyProtection="1"/>
    <xf numFmtId="10" fontId="32" fillId="0" borderId="0" xfId="0" applyNumberFormat="1" applyFont="1" applyFill="1" applyBorder="1" applyAlignment="1"/>
    <xf numFmtId="166" fontId="32" fillId="0" borderId="0" xfId="0" applyNumberFormat="1" applyFont="1" applyFill="1" applyBorder="1" applyAlignment="1" applyProtection="1"/>
    <xf numFmtId="168" fontId="3" fillId="0" borderId="0" xfId="0" applyNumberFormat="1" applyFont="1"/>
    <xf numFmtId="168" fontId="3" fillId="0" borderId="1" xfId="0" applyNumberFormat="1" applyFont="1" applyBorder="1"/>
    <xf numFmtId="37" fontId="14" fillId="0" borderId="0" xfId="1" applyNumberFormat="1" applyFont="1" applyFill="1"/>
    <xf numFmtId="0" fontId="3" fillId="0" borderId="0" xfId="0" applyFont="1" applyBorder="1" applyAlignment="1"/>
    <xf numFmtId="37" fontId="3" fillId="0" borderId="0" xfId="1" applyNumberFormat="1" applyFont="1" applyFill="1" applyBorder="1"/>
    <xf numFmtId="168" fontId="3" fillId="0" borderId="0" xfId="0" applyNumberFormat="1" applyFont="1" applyFill="1"/>
    <xf numFmtId="176" fontId="9" fillId="0" borderId="0" xfId="0" applyNumberFormat="1" applyFont="1" applyFill="1"/>
    <xf numFmtId="0" fontId="33" fillId="0" borderId="0" xfId="27" applyFont="1" applyFill="1" applyAlignment="1">
      <alignment horizontal="left"/>
    </xf>
    <xf numFmtId="0" fontId="31" fillId="0" borderId="0" xfId="0" applyNumberFormat="1" applyFont="1" applyAlignment="1">
      <alignment horizontal="left"/>
    </xf>
    <xf numFmtId="168" fontId="9" fillId="0" borderId="0" xfId="0" applyNumberFormat="1" applyFont="1" applyFill="1"/>
    <xf numFmtId="168" fontId="3" fillId="0" borderId="1" xfId="0" applyNumberFormat="1" applyFont="1" applyFill="1" applyBorder="1"/>
    <xf numFmtId="176" fontId="31" fillId="0" borderId="0" xfId="17" applyNumberFormat="1" applyFont="1" applyFill="1"/>
    <xf numFmtId="176" fontId="31" fillId="0" borderId="0" xfId="17" applyNumberFormat="1" applyFont="1"/>
    <xf numFmtId="165" fontId="13" fillId="0" borderId="0" xfId="34" applyNumberFormat="1" applyFont="1" applyFill="1"/>
    <xf numFmtId="43" fontId="3" fillId="0" borderId="0" xfId="17" applyNumberFormat="1" applyFont="1" applyFill="1"/>
    <xf numFmtId="176" fontId="3" fillId="0" borderId="0" xfId="17" applyNumberFormat="1" applyFont="1" applyFill="1" applyAlignment="1">
      <alignment horizontal="right"/>
    </xf>
    <xf numFmtId="176" fontId="3" fillId="0" borderId="1" xfId="17" applyNumberFormat="1" applyFont="1" applyBorder="1"/>
    <xf numFmtId="9" fontId="3" fillId="0" borderId="0" xfId="34" applyFont="1" applyFill="1" applyBorder="1"/>
    <xf numFmtId="9" fontId="3" fillId="0" borderId="0" xfId="34" applyNumberFormat="1" applyFont="1" applyAlignment="1">
      <alignment horizontal="right"/>
    </xf>
    <xf numFmtId="9" fontId="3" fillId="0" borderId="1" xfId="34" applyNumberFormat="1" applyFont="1" applyBorder="1" applyAlignment="1">
      <alignment horizontal="right"/>
    </xf>
    <xf numFmtId="9" fontId="3" fillId="0" borderId="0" xfId="0" applyNumberFormat="1" applyFont="1" applyAlignment="1">
      <alignment horizontal="right"/>
    </xf>
    <xf numFmtId="182" fontId="3" fillId="0" borderId="0" xfId="17" applyNumberFormat="1" applyFont="1" applyFill="1" applyAlignment="1">
      <alignment horizontal="right"/>
    </xf>
    <xf numFmtId="165" fontId="3" fillId="0" borderId="0" xfId="34" applyNumberFormat="1" applyFont="1" applyFill="1" applyBorder="1" applyAlignment="1">
      <alignment horizontal="right" wrapText="1"/>
    </xf>
    <xf numFmtId="43" fontId="3" fillId="0" borderId="0" xfId="17" applyFont="1" applyAlignment="1">
      <alignment horizontal="right"/>
    </xf>
    <xf numFmtId="10" fontId="3" fillId="0" borderId="0" xfId="17" applyNumberFormat="1" applyFont="1" applyFill="1" applyBorder="1" applyAlignment="1">
      <alignment horizontal="right"/>
    </xf>
    <xf numFmtId="185" fontId="3" fillId="0" borderId="0" xfId="17" applyNumberFormat="1" applyFont="1" applyFill="1" applyBorder="1" applyAlignment="1">
      <alignment horizontal="right" wrapText="1"/>
    </xf>
    <xf numFmtId="182" fontId="3" fillId="0" borderId="0" xfId="0" applyNumberFormat="1" applyFont="1" applyAlignment="1">
      <alignment horizontal="right"/>
    </xf>
    <xf numFmtId="0" fontId="35" fillId="0" borderId="0" xfId="28" applyFont="1" applyFill="1"/>
    <xf numFmtId="176" fontId="3" fillId="0" borderId="0" xfId="17" applyNumberFormat="1" applyFont="1" applyAlignment="1">
      <alignment horizontal="right"/>
    </xf>
    <xf numFmtId="0" fontId="32" fillId="0" borderId="0" xfId="0" applyFont="1" applyFill="1" applyBorder="1"/>
    <xf numFmtId="0" fontId="31" fillId="0" borderId="0" xfId="0" applyFont="1" applyFill="1" applyBorder="1"/>
    <xf numFmtId="176" fontId="31" fillId="0" borderId="0" xfId="17" applyNumberFormat="1" applyFont="1" applyAlignment="1">
      <alignment horizontal="right"/>
    </xf>
    <xf numFmtId="10" fontId="3" fillId="0" borderId="1" xfId="34" applyNumberFormat="1" applyFont="1" applyBorder="1" applyAlignment="1">
      <alignment horizontal="right"/>
    </xf>
    <xf numFmtId="0" fontId="32" fillId="0" borderId="0" xfId="28" applyFont="1" applyFill="1" applyAlignment="1"/>
    <xf numFmtId="43" fontId="31" fillId="0" borderId="0" xfId="17" applyFont="1" applyFill="1" applyBorder="1"/>
    <xf numFmtId="0" fontId="31" fillId="0" borderId="0" xfId="28" applyFont="1" applyFill="1" applyAlignment="1"/>
    <xf numFmtId="9" fontId="13" fillId="0" borderId="0" xfId="34" applyFont="1" applyFill="1" applyBorder="1" applyAlignment="1" applyProtection="1">
      <alignment horizontal="right"/>
    </xf>
    <xf numFmtId="176" fontId="3" fillId="0" borderId="0" xfId="17" quotePrefix="1" applyNumberFormat="1" applyFont="1" applyFill="1" applyBorder="1" applyAlignment="1">
      <alignment horizontal="right"/>
    </xf>
    <xf numFmtId="0" fontId="35" fillId="0" borderId="0" xfId="0" applyFont="1" applyFill="1"/>
    <xf numFmtId="177" fontId="3" fillId="0" borderId="0" xfId="17" applyNumberFormat="1" applyFont="1" applyFill="1" applyBorder="1"/>
    <xf numFmtId="0" fontId="3" fillId="0" borderId="3" xfId="0" applyFont="1" applyBorder="1"/>
    <xf numFmtId="0" fontId="3" fillId="0" borderId="1" xfId="0" applyFont="1" applyBorder="1" applyAlignment="1">
      <alignment wrapText="1"/>
    </xf>
    <xf numFmtId="0" fontId="9" fillId="4" borderId="0" xfId="0" applyFont="1" applyFill="1"/>
    <xf numFmtId="0" fontId="3" fillId="0" borderId="1" xfId="0" applyFont="1" applyFill="1" applyBorder="1" applyAlignment="1">
      <alignment wrapText="1"/>
    </xf>
    <xf numFmtId="0" fontId="9" fillId="0" borderId="0" xfId="0" applyFont="1" applyFill="1" applyBorder="1"/>
    <xf numFmtId="10" fontId="3" fillId="0" borderId="1" xfId="34" applyNumberFormat="1" applyFont="1" applyBorder="1"/>
    <xf numFmtId="10" fontId="9" fillId="0" borderId="0" xfId="34" applyNumberFormat="1" applyFont="1"/>
    <xf numFmtId="176" fontId="9" fillId="0" borderId="0" xfId="17" applyNumberFormat="1" applyFont="1" applyBorder="1"/>
    <xf numFmtId="168" fontId="9" fillId="0" borderId="0" xfId="0" applyNumberFormat="1" applyFont="1"/>
    <xf numFmtId="0" fontId="39" fillId="0" borderId="0" xfId="0" applyFont="1" applyFill="1" applyAlignment="1">
      <alignment horizontal="center"/>
    </xf>
    <xf numFmtId="0" fontId="9" fillId="8" borderId="0" xfId="2" applyFont="1" applyFill="1"/>
    <xf numFmtId="0" fontId="3" fillId="8" borderId="0" xfId="0" applyFont="1" applyFill="1"/>
    <xf numFmtId="0" fontId="40" fillId="9" borderId="0" xfId="0" applyFont="1" applyFill="1"/>
    <xf numFmtId="0" fontId="41" fillId="9" borderId="0" xfId="1" applyFont="1" applyFill="1" applyAlignment="1">
      <alignment horizontal="right"/>
    </xf>
    <xf numFmtId="43" fontId="40" fillId="0" borderId="0" xfId="17" applyFont="1"/>
    <xf numFmtId="0" fontId="41" fillId="9" borderId="0" xfId="1" applyFont="1" applyFill="1" applyAlignment="1">
      <alignment horizontal="left"/>
    </xf>
    <xf numFmtId="176" fontId="3" fillId="0" borderId="1" xfId="0" applyNumberFormat="1" applyFont="1" applyBorder="1"/>
    <xf numFmtId="0" fontId="9" fillId="0" borderId="0" xfId="0" applyFont="1" applyAlignment="1">
      <alignment wrapText="1"/>
    </xf>
    <xf numFmtId="176" fontId="9" fillId="0" borderId="0" xfId="0" applyNumberFormat="1" applyFont="1"/>
    <xf numFmtId="0" fontId="18" fillId="0" borderId="0" xfId="2" applyFont="1" applyFill="1"/>
    <xf numFmtId="165" fontId="3" fillId="0" borderId="0" xfId="34" applyNumberFormat="1" applyFont="1" applyBorder="1"/>
    <xf numFmtId="0" fontId="3" fillId="0" borderId="0" xfId="0" applyFont="1" applyBorder="1" applyAlignment="1">
      <alignment wrapText="1"/>
    </xf>
    <xf numFmtId="176" fontId="3" fillId="4" borderId="0" xfId="17" applyNumberFormat="1" applyFont="1" applyFill="1"/>
    <xf numFmtId="1" fontId="32" fillId="0" borderId="0" xfId="0" applyNumberFormat="1" applyFont="1" applyFill="1" applyAlignment="1"/>
    <xf numFmtId="1" fontId="42" fillId="0" borderId="0" xfId="0" applyNumberFormat="1" applyFont="1" applyFill="1" applyAlignment="1" applyProtection="1"/>
    <xf numFmtId="1" fontId="13" fillId="0" borderId="0" xfId="0" applyNumberFormat="1" applyFont="1" applyFill="1" applyAlignment="1"/>
    <xf numFmtId="1" fontId="19" fillId="0" borderId="0" xfId="0" applyNumberFormat="1" applyFont="1" applyFill="1" applyAlignment="1" applyProtection="1"/>
    <xf numFmtId="9" fontId="13" fillId="0" borderId="0" xfId="34" applyFont="1" applyFill="1" applyBorder="1"/>
    <xf numFmtId="168" fontId="9" fillId="0" borderId="0" xfId="27" quotePrefix="1" applyNumberFormat="1" applyFont="1" applyFill="1" applyBorder="1" applyAlignment="1">
      <alignment horizontal="right"/>
    </xf>
    <xf numFmtId="43" fontId="14" fillId="6" borderId="0" xfId="17" applyFont="1" applyFill="1" applyBorder="1" applyAlignment="1">
      <alignment horizontal="right"/>
    </xf>
    <xf numFmtId="37" fontId="3" fillId="0" borderId="1" xfId="1" applyNumberFormat="1" applyFont="1" applyFill="1" applyBorder="1"/>
    <xf numFmtId="165" fontId="3" fillId="0" borderId="1" xfId="34" applyNumberFormat="1" applyFont="1" applyFill="1" applyBorder="1"/>
    <xf numFmtId="177" fontId="3" fillId="0" borderId="0" xfId="17" applyNumberFormat="1" applyFont="1"/>
    <xf numFmtId="176" fontId="3" fillId="0" borderId="3" xfId="17" applyNumberFormat="1" applyFont="1" applyFill="1" applyBorder="1"/>
    <xf numFmtId="0" fontId="3" fillId="4" borderId="0" xfId="0" applyFont="1" applyFill="1" applyBorder="1"/>
    <xf numFmtId="0" fontId="3" fillId="3" borderId="0" xfId="0" applyFont="1" applyFill="1" applyBorder="1"/>
    <xf numFmtId="0" fontId="32" fillId="0" borderId="0" xfId="0" applyFont="1" applyFill="1" applyBorder="1" applyAlignment="1"/>
    <xf numFmtId="0" fontId="32" fillId="0" borderId="0" xfId="28" applyFont="1" applyFill="1" applyBorder="1"/>
    <xf numFmtId="9" fontId="3" fillId="0" borderId="0" xfId="0" applyNumberFormat="1" applyFont="1"/>
    <xf numFmtId="176" fontId="9" fillId="0" borderId="0" xfId="17" applyNumberFormat="1" applyFont="1" applyFill="1"/>
    <xf numFmtId="43" fontId="43" fillId="6" borderId="0" xfId="17" applyFont="1" applyFill="1"/>
    <xf numFmtId="176" fontId="3" fillId="0" borderId="1" xfId="17" applyNumberFormat="1" applyFont="1" applyBorder="1" applyAlignment="1">
      <alignment horizontal="right"/>
    </xf>
    <xf numFmtId="176" fontId="3" fillId="0" borderId="1" xfId="17" quotePrefix="1" applyNumberFormat="1" applyFont="1" applyFill="1" applyBorder="1" applyAlignment="1">
      <alignment horizontal="right"/>
    </xf>
    <xf numFmtId="165" fontId="13" fillId="0" borderId="0" xfId="0" applyNumberFormat="1" applyFont="1" applyFill="1"/>
    <xf numFmtId="176" fontId="3" fillId="0" borderId="0" xfId="17" applyNumberFormat="1" applyFont="1" applyFill="1" applyBorder="1" applyAlignment="1">
      <alignment horizontal="right"/>
    </xf>
    <xf numFmtId="0" fontId="9" fillId="0" borderId="0" xfId="0" applyFont="1" applyFill="1" applyAlignment="1"/>
    <xf numFmtId="10" fontId="43" fillId="0" borderId="0" xfId="34" applyNumberFormat="1" applyFont="1" applyFill="1"/>
    <xf numFmtId="177" fontId="3" fillId="0" borderId="1" xfId="17" applyNumberFormat="1" applyFont="1" applyBorder="1"/>
    <xf numFmtId="177" fontId="3" fillId="0" borderId="3" xfId="17" applyNumberFormat="1" applyFont="1" applyFill="1" applyBorder="1" applyAlignment="1" applyProtection="1">
      <alignment horizontal="right"/>
    </xf>
    <xf numFmtId="177" fontId="3" fillId="0" borderId="1" xfId="17" applyNumberFormat="1" applyFont="1" applyFill="1" applyBorder="1" applyAlignment="1" applyProtection="1">
      <alignment horizontal="right"/>
    </xf>
    <xf numFmtId="176" fontId="3" fillId="0" borderId="0" xfId="17" applyNumberFormat="1" applyFont="1" applyBorder="1"/>
    <xf numFmtId="176" fontId="3" fillId="0" borderId="0" xfId="17" applyNumberFormat="1" applyFont="1" applyFill="1" applyBorder="1"/>
    <xf numFmtId="165" fontId="3" fillId="0" borderId="0" xfId="34" applyNumberFormat="1" applyFont="1" applyBorder="1" applyAlignment="1">
      <alignment horizontal="right"/>
    </xf>
    <xf numFmtId="165" fontId="3" fillId="0" borderId="0" xfId="34" applyNumberFormat="1" applyFont="1" applyFill="1" applyBorder="1"/>
    <xf numFmtId="10" fontId="43" fillId="0" borderId="0" xfId="34" applyNumberFormat="1" applyFont="1" applyFill="1" applyBorder="1"/>
    <xf numFmtId="165" fontId="43" fillId="0" borderId="0" xfId="34" applyNumberFormat="1" applyFont="1" applyFill="1" applyBorder="1"/>
    <xf numFmtId="0" fontId="35" fillId="0" borderId="0" xfId="29" applyFont="1" applyBorder="1"/>
    <xf numFmtId="0" fontId="13" fillId="0" borderId="0" xfId="0" applyFont="1" applyAlignment="1"/>
    <xf numFmtId="0" fontId="31" fillId="0" borderId="0" xfId="0" applyFont="1" applyAlignment="1"/>
    <xf numFmtId="176" fontId="31" fillId="0" borderId="0" xfId="0" applyNumberFormat="1" applyFont="1"/>
    <xf numFmtId="176" fontId="31" fillId="0" borderId="0" xfId="17" applyNumberFormat="1" applyFont="1" applyAlignment="1"/>
    <xf numFmtId="176" fontId="37" fillId="0" borderId="0" xfId="17" applyNumberFormat="1" applyFont="1" applyFill="1" applyBorder="1"/>
    <xf numFmtId="176" fontId="37" fillId="0" borderId="3" xfId="17" applyNumberFormat="1" applyFont="1" applyFill="1" applyBorder="1"/>
    <xf numFmtId="177" fontId="3" fillId="0" borderId="0" xfId="17" applyNumberFormat="1" applyFont="1" applyAlignment="1">
      <alignment horizontal="right"/>
    </xf>
    <xf numFmtId="41" fontId="3" fillId="0" borderId="1" xfId="21" applyNumberFormat="1" applyFont="1" applyFill="1" applyBorder="1" applyAlignment="1" applyProtection="1">
      <alignment horizontal="right"/>
    </xf>
    <xf numFmtId="176" fontId="9" fillId="0" borderId="0" xfId="17" applyNumberFormat="1" applyFont="1" applyAlignment="1">
      <alignment horizontal="right"/>
    </xf>
    <xf numFmtId="10" fontId="13" fillId="0" borderId="0" xfId="34" applyNumberFormat="1" applyFont="1"/>
    <xf numFmtId="176" fontId="37" fillId="0" borderId="11" xfId="17" applyNumberFormat="1" applyFont="1" applyFill="1" applyBorder="1"/>
    <xf numFmtId="176" fontId="9" fillId="0" borderId="0" xfId="0" applyNumberFormat="1" applyFont="1" applyBorder="1"/>
    <xf numFmtId="43" fontId="43" fillId="6" borderId="1" xfId="17" applyFont="1" applyFill="1" applyBorder="1"/>
    <xf numFmtId="176" fontId="3" fillId="0" borderId="5" xfId="17" applyNumberFormat="1" applyFont="1" applyFill="1" applyBorder="1" applyAlignment="1"/>
    <xf numFmtId="176" fontId="9" fillId="0" borderId="11" xfId="17" applyNumberFormat="1" applyFont="1" applyFill="1" applyBorder="1"/>
    <xf numFmtId="41" fontId="3" fillId="0" borderId="0" xfId="0" applyNumberFormat="1" applyFont="1" applyFill="1" applyBorder="1" applyAlignment="1" applyProtection="1"/>
    <xf numFmtId="184" fontId="3" fillId="0" borderId="0" xfId="17" applyNumberFormat="1" applyFont="1" applyAlignment="1">
      <alignment horizontal="right"/>
    </xf>
    <xf numFmtId="10" fontId="3" fillId="0" borderId="0" xfId="34" applyNumberFormat="1" applyFont="1" applyFill="1" applyBorder="1"/>
    <xf numFmtId="0" fontId="41" fillId="0" borderId="0" xfId="1" applyFont="1" applyFill="1" applyAlignment="1">
      <alignment horizontal="right"/>
    </xf>
    <xf numFmtId="176" fontId="3" fillId="0" borderId="0" xfId="0" applyNumberFormat="1" applyFont="1" applyFill="1" applyBorder="1"/>
    <xf numFmtId="176" fontId="9" fillId="0" borderId="0" xfId="0" applyNumberFormat="1" applyFont="1" applyFill="1" applyBorder="1"/>
    <xf numFmtId="176" fontId="9" fillId="0" borderId="3" xfId="0" applyNumberFormat="1" applyFont="1" applyFill="1" applyBorder="1"/>
    <xf numFmtId="177" fontId="3" fillId="0" borderId="0" xfId="0" applyNumberFormat="1" applyFont="1" applyFill="1" applyBorder="1"/>
    <xf numFmtId="177" fontId="3" fillId="0" borderId="1" xfId="0" applyNumberFormat="1" applyFont="1" applyFill="1" applyBorder="1"/>
    <xf numFmtId="43" fontId="3" fillId="0" borderId="0" xfId="0" applyNumberFormat="1" applyFont="1" applyFill="1" applyBorder="1"/>
    <xf numFmtId="0" fontId="3" fillId="0" borderId="0" xfId="1" applyFont="1"/>
    <xf numFmtId="165" fontId="13" fillId="0" borderId="0" xfId="34" applyNumberFormat="1" applyFont="1" applyAlignment="1">
      <alignment horizontal="right"/>
    </xf>
    <xf numFmtId="165" fontId="44" fillId="6" borderId="0" xfId="34" applyNumberFormat="1" applyFont="1" applyFill="1"/>
    <xf numFmtId="0" fontId="3" fillId="0" borderId="0" xfId="0" applyFont="1" applyFill="1" applyBorder="1" applyAlignment="1">
      <alignment horizontal="right"/>
    </xf>
    <xf numFmtId="177" fontId="3" fillId="0" borderId="3" xfId="17" applyNumberFormat="1" applyFont="1" applyBorder="1"/>
    <xf numFmtId="177" fontId="3" fillId="0" borderId="23" xfId="17" applyNumberFormat="1" applyFont="1" applyBorder="1"/>
    <xf numFmtId="177" fontId="3" fillId="0" borderId="0" xfId="17" applyNumberFormat="1" applyFont="1" applyBorder="1"/>
    <xf numFmtId="177" fontId="3" fillId="0" borderId="9" xfId="17" applyNumberFormat="1" applyFont="1" applyBorder="1"/>
    <xf numFmtId="177" fontId="3" fillId="0" borderId="24" xfId="17" applyNumberFormat="1" applyFont="1" applyBorder="1"/>
    <xf numFmtId="177" fontId="3" fillId="0" borderId="11" xfId="17" applyNumberFormat="1" applyFont="1" applyBorder="1" applyAlignment="1">
      <alignment horizontal="right"/>
    </xf>
    <xf numFmtId="10" fontId="3" fillId="0" borderId="0" xfId="34" applyNumberFormat="1" applyFont="1" applyBorder="1"/>
    <xf numFmtId="43" fontId="3" fillId="0" borderId="0" xfId="0" applyNumberFormat="1" applyFont="1"/>
    <xf numFmtId="165" fontId="3" fillId="0" borderId="0" xfId="34" applyNumberFormat="1" applyFont="1" applyFill="1" applyBorder="1" applyAlignment="1" applyProtection="1">
      <alignment horizontal="right"/>
    </xf>
    <xf numFmtId="165" fontId="32" fillId="0" borderId="0" xfId="34" quotePrefix="1" applyNumberFormat="1" applyFont="1" applyFill="1" applyBorder="1" applyAlignment="1">
      <alignment horizontal="right"/>
    </xf>
    <xf numFmtId="176" fontId="3" fillId="0" borderId="0" xfId="0" applyNumberFormat="1" applyFont="1" applyFill="1" applyBorder="1" applyAlignment="1">
      <alignment horizontal="right"/>
    </xf>
    <xf numFmtId="177" fontId="3" fillId="0" borderId="0" xfId="0" applyNumberFormat="1" applyFont="1" applyFill="1" applyBorder="1" applyAlignment="1">
      <alignment horizontal="right"/>
    </xf>
    <xf numFmtId="177" fontId="3" fillId="0" borderId="1" xfId="0" applyNumberFormat="1" applyFont="1" applyFill="1" applyBorder="1" applyAlignment="1">
      <alignment horizontal="right"/>
    </xf>
    <xf numFmtId="0" fontId="9" fillId="0" borderId="0" xfId="0" applyFont="1" applyFill="1" applyBorder="1" applyAlignment="1">
      <alignment horizontal="right"/>
    </xf>
    <xf numFmtId="165" fontId="3" fillId="0" borderId="0" xfId="34" applyNumberFormat="1" applyFont="1" applyFill="1" applyAlignment="1">
      <alignment horizontal="right"/>
    </xf>
    <xf numFmtId="165" fontId="3" fillId="0" borderId="1" xfId="34" applyNumberFormat="1" applyFont="1" applyFill="1" applyBorder="1" applyAlignment="1">
      <alignment horizontal="right"/>
    </xf>
    <xf numFmtId="165" fontId="13" fillId="0" borderId="0" xfId="34" applyNumberFormat="1" applyFont="1" applyFill="1" applyBorder="1"/>
    <xf numFmtId="176" fontId="3" fillId="0" borderId="1" xfId="0" applyNumberFormat="1" applyFont="1" applyFill="1" applyBorder="1" applyAlignment="1">
      <alignment horizontal="right"/>
    </xf>
    <xf numFmtId="10" fontId="3" fillId="6" borderId="1" xfId="0" applyNumberFormat="1" applyFont="1" applyFill="1" applyBorder="1"/>
    <xf numFmtId="181" fontId="37" fillId="6" borderId="0" xfId="0" applyNumberFormat="1" applyFont="1" applyFill="1"/>
    <xf numFmtId="10" fontId="37" fillId="6" borderId="0" xfId="34" applyNumberFormat="1" applyFont="1" applyFill="1"/>
    <xf numFmtId="0" fontId="37" fillId="0" borderId="0" xfId="0" applyFont="1" applyFill="1" applyBorder="1"/>
    <xf numFmtId="165" fontId="37" fillId="6" borderId="0" xfId="17" applyNumberFormat="1" applyFont="1" applyFill="1"/>
    <xf numFmtId="43" fontId="37" fillId="6" borderId="0" xfId="17" applyFont="1" applyFill="1"/>
    <xf numFmtId="165" fontId="37" fillId="6" borderId="1" xfId="17" applyNumberFormat="1" applyFont="1" applyFill="1" applyBorder="1"/>
    <xf numFmtId="165" fontId="37" fillId="6" borderId="0" xfId="34" applyNumberFormat="1" applyFont="1" applyFill="1"/>
    <xf numFmtId="165" fontId="37" fillId="6" borderId="1" xfId="34" applyNumberFormat="1" applyFont="1" applyFill="1" applyBorder="1"/>
    <xf numFmtId="165" fontId="37" fillId="6" borderId="0" xfId="34" applyNumberFormat="1" applyFont="1" applyFill="1" applyBorder="1"/>
    <xf numFmtId="184" fontId="37" fillId="6" borderId="0" xfId="17" applyNumberFormat="1" applyFont="1" applyFill="1" applyAlignment="1">
      <alignment horizontal="right"/>
    </xf>
    <xf numFmtId="165" fontId="37" fillId="6" borderId="0" xfId="0" applyNumberFormat="1" applyFont="1" applyFill="1"/>
    <xf numFmtId="10" fontId="37" fillId="6" borderId="0" xfId="0" applyNumberFormat="1" applyFont="1" applyFill="1"/>
    <xf numFmtId="9" fontId="37" fillId="6" borderId="0" xfId="0" applyNumberFormat="1" applyFont="1" applyFill="1"/>
    <xf numFmtId="165" fontId="44" fillId="6" borderId="0" xfId="0" applyNumberFormat="1" applyFont="1" applyFill="1" applyBorder="1"/>
    <xf numFmtId="9" fontId="44" fillId="6" borderId="0" xfId="0" applyNumberFormat="1" applyFont="1" applyFill="1" applyBorder="1"/>
    <xf numFmtId="9" fontId="44" fillId="6" borderId="0" xfId="34" applyNumberFormat="1" applyFont="1" applyFill="1" applyBorder="1"/>
    <xf numFmtId="0" fontId="3" fillId="0" borderId="0" xfId="27" applyFont="1" applyFill="1" applyAlignment="1">
      <alignment horizontal="right"/>
    </xf>
    <xf numFmtId="0" fontId="3" fillId="0" borderId="1" xfId="27" applyFont="1" applyFill="1" applyBorder="1" applyAlignment="1">
      <alignment horizontal="right"/>
    </xf>
    <xf numFmtId="9" fontId="13" fillId="0" borderId="0" xfId="34" applyNumberFormat="1" applyFont="1" applyFill="1" applyBorder="1"/>
    <xf numFmtId="43" fontId="3" fillId="0" borderId="0" xfId="17" applyFont="1" applyFill="1" applyBorder="1"/>
    <xf numFmtId="176" fontId="9" fillId="0" borderId="0" xfId="17" applyNumberFormat="1" applyFont="1" applyFill="1" applyBorder="1"/>
    <xf numFmtId="177" fontId="3" fillId="0" borderId="1" xfId="17" applyNumberFormat="1" applyFont="1" applyFill="1" applyBorder="1"/>
    <xf numFmtId="177" fontId="3" fillId="7" borderId="0" xfId="17" applyNumberFormat="1" applyFont="1" applyFill="1" applyBorder="1"/>
    <xf numFmtId="10" fontId="13" fillId="0" borderId="0" xfId="34" applyNumberFormat="1" applyFont="1" applyAlignment="1">
      <alignment horizontal="right"/>
    </xf>
    <xf numFmtId="0" fontId="3" fillId="0" borderId="1" xfId="0" applyFont="1" applyFill="1" applyBorder="1" applyAlignment="1">
      <alignment horizontal="right"/>
    </xf>
    <xf numFmtId="176" fontId="3" fillId="0" borderId="1" xfId="17" applyNumberFormat="1" applyFont="1" applyFill="1" applyBorder="1" applyAlignment="1">
      <alignment horizontal="right"/>
    </xf>
    <xf numFmtId="42" fontId="3" fillId="0" borderId="0" xfId="21" quotePrefix="1" applyNumberFormat="1" applyFont="1" applyFill="1" applyBorder="1" applyAlignment="1">
      <alignment horizontal="right"/>
    </xf>
    <xf numFmtId="165" fontId="3" fillId="0" borderId="1" xfId="34" applyNumberFormat="1" applyFont="1" applyBorder="1" applyAlignment="1">
      <alignment horizontal="right"/>
    </xf>
    <xf numFmtId="10" fontId="3" fillId="0" borderId="0" xfId="34" applyNumberFormat="1" applyFont="1" applyFill="1" applyBorder="1" applyAlignment="1"/>
    <xf numFmtId="0" fontId="3" fillId="0" borderId="0" xfId="0" applyFont="1" applyBorder="1" applyAlignment="1">
      <alignment horizontal="right"/>
    </xf>
    <xf numFmtId="0" fontId="13" fillId="0" borderId="0" xfId="27" applyFont="1" applyFill="1"/>
    <xf numFmtId="165" fontId="19" fillId="0" borderId="0" xfId="27" applyNumberFormat="1" applyFont="1" applyFill="1" applyBorder="1" applyAlignment="1">
      <alignment horizontal="right"/>
    </xf>
    <xf numFmtId="1" fontId="19" fillId="0" borderId="0" xfId="0" applyNumberFormat="1" applyFont="1" applyFill="1" applyBorder="1" applyAlignment="1">
      <alignment horizontal="centerContinuous"/>
    </xf>
    <xf numFmtId="0" fontId="13" fillId="0" borderId="0" xfId="0" applyFont="1" applyBorder="1" applyAlignment="1">
      <alignment horizontal="right"/>
    </xf>
    <xf numFmtId="177" fontId="3" fillId="0" borderId="1" xfId="17" applyNumberFormat="1" applyFont="1" applyBorder="1" applyAlignment="1">
      <alignment horizontal="right"/>
    </xf>
    <xf numFmtId="0" fontId="35" fillId="0" borderId="0" xfId="0" applyFont="1" applyFill="1" applyBorder="1" applyAlignment="1" applyProtection="1">
      <alignment horizontal="left"/>
    </xf>
    <xf numFmtId="177" fontId="3" fillId="0" borderId="0" xfId="0" applyNumberFormat="1" applyFont="1" applyFill="1"/>
    <xf numFmtId="43" fontId="3" fillId="0" borderId="0" xfId="17" applyFont="1" applyFill="1" applyAlignment="1">
      <alignment horizontal="right"/>
    </xf>
    <xf numFmtId="43" fontId="3" fillId="0" borderId="1" xfId="17" applyFont="1" applyFill="1" applyBorder="1" applyAlignment="1">
      <alignment horizontal="right"/>
    </xf>
    <xf numFmtId="183" fontId="3" fillId="0" borderId="0" xfId="0" applyNumberFormat="1" applyFont="1"/>
    <xf numFmtId="183" fontId="37" fillId="6" borderId="0" xfId="34" applyNumberFormat="1" applyFont="1" applyFill="1" applyBorder="1"/>
    <xf numFmtId="0" fontId="35" fillId="0" borderId="0" xfId="0" applyFont="1" applyFill="1" applyAlignment="1"/>
    <xf numFmtId="176" fontId="9" fillId="0" borderId="3" xfId="17" applyNumberFormat="1" applyFont="1" applyFill="1" applyBorder="1"/>
    <xf numFmtId="176" fontId="9" fillId="0" borderId="0" xfId="17" applyNumberFormat="1" applyFont="1"/>
    <xf numFmtId="0" fontId="9" fillId="0" borderId="0" xfId="0" applyFont="1" applyBorder="1" applyAlignment="1"/>
    <xf numFmtId="37" fontId="9" fillId="0" borderId="0" xfId="1" applyNumberFormat="1" applyFont="1" applyFill="1" applyBorder="1"/>
    <xf numFmtId="0" fontId="32" fillId="0" borderId="0" xfId="27" applyFont="1" applyFill="1" applyBorder="1" applyAlignment="1">
      <alignment horizontal="left"/>
    </xf>
    <xf numFmtId="165" fontId="13" fillId="0" borderId="0" xfId="34" applyNumberFormat="1" applyFont="1" applyFill="1" applyBorder="1" applyAlignment="1" applyProtection="1"/>
    <xf numFmtId="37" fontId="20" fillId="6" borderId="0" xfId="1" applyNumberFormat="1" applyFont="1" applyFill="1"/>
    <xf numFmtId="189" fontId="3" fillId="0" borderId="0" xfId="34" applyNumberFormat="1" applyFont="1" applyFill="1"/>
    <xf numFmtId="189" fontId="37" fillId="6" borderId="0" xfId="34" applyNumberFormat="1" applyFont="1" applyFill="1"/>
    <xf numFmtId="189" fontId="3" fillId="0" borderId="0" xfId="34" applyNumberFormat="1" applyFont="1"/>
    <xf numFmtId="189" fontId="37" fillId="6" borderId="0" xfId="0" applyNumberFormat="1" applyFont="1" applyFill="1"/>
    <xf numFmtId="189" fontId="3" fillId="0" borderId="0" xfId="0" applyNumberFormat="1" applyFont="1"/>
    <xf numFmtId="0" fontId="10" fillId="0" borderId="0" xfId="0" applyFont="1" applyFill="1" applyAlignment="1" applyProtection="1">
      <alignment horizontal="left"/>
    </xf>
    <xf numFmtId="0" fontId="15" fillId="0" borderId="0" xfId="27" applyFont="1" applyFill="1" applyAlignment="1">
      <alignment horizontal="left"/>
    </xf>
    <xf numFmtId="0" fontId="3" fillId="0" borderId="0" xfId="2" applyFont="1" applyFill="1" applyBorder="1"/>
    <xf numFmtId="0" fontId="15" fillId="0" borderId="0" xfId="0" applyFont="1" applyFill="1"/>
    <xf numFmtId="0" fontId="10" fillId="0" borderId="0" xfId="27" applyFont="1" applyFill="1"/>
    <xf numFmtId="176" fontId="15" fillId="0" borderId="0" xfId="17" quotePrefix="1" applyNumberFormat="1" applyFont="1" applyFill="1" applyBorder="1" applyAlignment="1">
      <alignment horizontal="right"/>
    </xf>
    <xf numFmtId="0" fontId="10" fillId="0" borderId="0" xfId="0" applyFont="1" applyFill="1"/>
    <xf numFmtId="0" fontId="10" fillId="0" borderId="0" xfId="27" applyFont="1" applyFill="1" applyAlignment="1">
      <alignment horizontal="left"/>
    </xf>
    <xf numFmtId="0" fontId="3" fillId="5" borderId="0" xfId="0" applyFont="1" applyFill="1"/>
    <xf numFmtId="0" fontId="3" fillId="5" borderId="0" xfId="0" applyFont="1" applyFill="1" applyBorder="1"/>
    <xf numFmtId="0" fontId="15" fillId="0" borderId="0" xfId="27" applyFont="1" applyFill="1"/>
    <xf numFmtId="0" fontId="15" fillId="4" borderId="0" xfId="27" applyFont="1" applyFill="1" applyAlignment="1">
      <alignment horizontal="left"/>
    </xf>
    <xf numFmtId="0" fontId="10" fillId="0" borderId="0" xfId="0" applyFont="1" applyFill="1" applyAlignment="1"/>
    <xf numFmtId="0" fontId="15" fillId="0" borderId="0" xfId="0" applyFont="1" applyFill="1" applyAlignment="1"/>
    <xf numFmtId="0" fontId="10" fillId="0" borderId="0" xfId="28" applyFont="1" applyFill="1"/>
    <xf numFmtId="37" fontId="20" fillId="6" borderId="1" xfId="1" applyNumberFormat="1" applyFont="1" applyFill="1" applyBorder="1"/>
    <xf numFmtId="0" fontId="32" fillId="0" borderId="0" xfId="29" applyFont="1" applyBorder="1"/>
    <xf numFmtId="177" fontId="13" fillId="0" borderId="0" xfId="17" applyNumberFormat="1" applyFont="1" applyFill="1" applyBorder="1" applyAlignment="1" applyProtection="1">
      <alignment horizontal="right"/>
    </xf>
    <xf numFmtId="165" fontId="13" fillId="0" borderId="0" xfId="34" applyNumberFormat="1" applyFont="1" applyFill="1" applyBorder="1" applyAlignment="1" applyProtection="1">
      <alignment horizontal="right"/>
    </xf>
    <xf numFmtId="0" fontId="10" fillId="0" borderId="0" xfId="0" applyFont="1" applyFill="1" applyBorder="1" applyAlignment="1" applyProtection="1">
      <alignment horizontal="left"/>
    </xf>
    <xf numFmtId="167" fontId="37" fillId="6" borderId="0" xfId="0" applyNumberFormat="1" applyFont="1" applyFill="1"/>
    <xf numFmtId="167" fontId="37" fillId="6" borderId="1" xfId="0" applyNumberFormat="1" applyFont="1" applyFill="1" applyBorder="1"/>
    <xf numFmtId="0" fontId="15" fillId="4" borderId="0" xfId="0" applyFont="1" applyFill="1" applyBorder="1" applyAlignment="1" applyProtection="1">
      <alignment horizontal="left"/>
    </xf>
    <xf numFmtId="0" fontId="10" fillId="0" borderId="0" xfId="0" applyFont="1" applyFill="1" applyAlignment="1">
      <alignment horizontal="right"/>
    </xf>
    <xf numFmtId="165" fontId="37" fillId="0" borderId="0" xfId="34" applyNumberFormat="1" applyFont="1" applyFill="1"/>
    <xf numFmtId="0" fontId="15" fillId="4" borderId="0" xfId="27" applyFont="1" applyFill="1"/>
    <xf numFmtId="0" fontId="35" fillId="5" borderId="0" xfId="28" applyFont="1" applyFill="1" applyAlignment="1">
      <alignment horizontal="left"/>
    </xf>
    <xf numFmtId="0" fontId="10" fillId="0" borderId="0" xfId="0" applyFont="1" applyFill="1" applyBorder="1" applyAlignment="1"/>
    <xf numFmtId="165" fontId="3" fillId="0" borderId="0" xfId="17" applyNumberFormat="1" applyFont="1" applyFill="1" applyBorder="1" applyAlignment="1"/>
    <xf numFmtId="165" fontId="3" fillId="0" borderId="0" xfId="34" applyNumberFormat="1" applyFont="1" applyFill="1" applyBorder="1" applyAlignment="1"/>
    <xf numFmtId="0" fontId="15" fillId="0" borderId="0" xfId="0" applyFont="1" applyFill="1" applyBorder="1" applyAlignment="1"/>
    <xf numFmtId="0" fontId="10" fillId="0" borderId="0" xfId="28" applyFont="1" applyFill="1" applyAlignment="1">
      <alignment horizontal="left"/>
    </xf>
    <xf numFmtId="165" fontId="3" fillId="0" borderId="0" xfId="0" applyNumberFormat="1" applyFont="1" applyFill="1" applyBorder="1"/>
    <xf numFmtId="176" fontId="20" fillId="6" borderId="0" xfId="17" applyNumberFormat="1" applyFont="1" applyFill="1"/>
    <xf numFmtId="165" fontId="20" fillId="6" borderId="0" xfId="34" applyNumberFormat="1" applyFont="1" applyFill="1"/>
    <xf numFmtId="1" fontId="15" fillId="0" borderId="0" xfId="0" applyNumberFormat="1" applyFont="1" applyFill="1" applyBorder="1" applyAlignment="1" applyProtection="1"/>
    <xf numFmtId="0" fontId="10" fillId="0" borderId="0" xfId="0" applyFont="1" applyFill="1" applyBorder="1" applyAlignment="1">
      <alignment horizontal="right"/>
    </xf>
    <xf numFmtId="10" fontId="3" fillId="0" borderId="1" xfId="0" applyNumberFormat="1" applyFont="1" applyBorder="1"/>
    <xf numFmtId="10" fontId="37" fillId="6" borderId="1" xfId="0" applyNumberFormat="1" applyFont="1" applyFill="1" applyBorder="1"/>
    <xf numFmtId="10" fontId="3" fillId="0" borderId="0" xfId="0" applyNumberFormat="1" applyFont="1" applyFill="1"/>
    <xf numFmtId="10" fontId="37" fillId="0" borderId="0" xfId="0" applyNumberFormat="1" applyFont="1" applyFill="1"/>
    <xf numFmtId="176" fontId="10" fillId="0" borderId="0" xfId="17" applyNumberFormat="1" applyFont="1" applyFill="1" applyBorder="1" applyAlignment="1">
      <alignment horizontal="right"/>
    </xf>
    <xf numFmtId="10" fontId="9" fillId="0" borderId="0" xfId="34" applyNumberFormat="1" applyFont="1" applyAlignment="1">
      <alignment horizontal="right"/>
    </xf>
    <xf numFmtId="177" fontId="10" fillId="0" borderId="0" xfId="28" applyNumberFormat="1" applyFont="1" applyFill="1" applyBorder="1" applyAlignment="1">
      <alignment horizontal="right"/>
    </xf>
    <xf numFmtId="177" fontId="3" fillId="0" borderId="0" xfId="17" applyNumberFormat="1" applyFont="1" applyBorder="1" applyAlignment="1">
      <alignment horizontal="right"/>
    </xf>
    <xf numFmtId="0" fontId="15" fillId="0" borderId="0" xfId="28" applyFont="1" applyFill="1" applyBorder="1"/>
    <xf numFmtId="166" fontId="15" fillId="0" borderId="0" xfId="21" quotePrefix="1" applyNumberFormat="1" applyFont="1" applyFill="1" applyBorder="1" applyAlignment="1">
      <alignment horizontal="right"/>
    </xf>
    <xf numFmtId="1" fontId="10" fillId="0" borderId="0" xfId="0" applyNumberFormat="1" applyFont="1" applyFill="1" applyAlignment="1" applyProtection="1"/>
    <xf numFmtId="1" fontId="15" fillId="0" borderId="0" xfId="0" applyNumberFormat="1" applyFont="1" applyFill="1" applyAlignment="1" applyProtection="1"/>
    <xf numFmtId="0" fontId="15" fillId="0" borderId="0" xfId="27" applyFont="1" applyFill="1" applyBorder="1"/>
    <xf numFmtId="0" fontId="35" fillId="0" borderId="0" xfId="27" applyFont="1" applyFill="1" applyBorder="1"/>
    <xf numFmtId="0" fontId="10" fillId="4" borderId="0" xfId="0" applyFont="1" applyFill="1" applyBorder="1" applyAlignment="1" applyProtection="1">
      <alignment horizontal="left"/>
    </xf>
    <xf numFmtId="0" fontId="10" fillId="4" borderId="0" xfId="0" applyFont="1" applyFill="1"/>
    <xf numFmtId="0" fontId="10" fillId="4" borderId="0" xfId="0" applyFont="1" applyFill="1" applyBorder="1" applyAlignment="1">
      <alignment horizontal="right"/>
    </xf>
    <xf numFmtId="0" fontId="10" fillId="0" borderId="0" xfId="0" applyFont="1" applyFill="1" applyBorder="1"/>
    <xf numFmtId="181" fontId="10" fillId="0" borderId="0" xfId="0" applyNumberFormat="1" applyFont="1" applyFill="1" applyBorder="1" applyAlignment="1" applyProtection="1">
      <alignment horizontal="right"/>
    </xf>
    <xf numFmtId="0" fontId="14" fillId="0" borderId="0" xfId="0" applyFont="1" applyFill="1" applyBorder="1"/>
    <xf numFmtId="0" fontId="14" fillId="4" borderId="0" xfId="0" applyFont="1" applyFill="1"/>
    <xf numFmtId="10" fontId="10" fillId="0" borderId="0" xfId="34" applyNumberFormat="1" applyFont="1" applyFill="1" applyBorder="1" applyAlignment="1" applyProtection="1">
      <alignment horizontal="left"/>
    </xf>
    <xf numFmtId="0" fontId="14" fillId="0" borderId="0" xfId="0" applyFont="1"/>
    <xf numFmtId="0" fontId="10" fillId="0" borderId="1" xfId="0" applyFont="1" applyFill="1" applyBorder="1" applyAlignment="1" applyProtection="1">
      <alignment horizontal="left"/>
    </xf>
    <xf numFmtId="0" fontId="10" fillId="0" borderId="1" xfId="0" applyFont="1" applyFill="1" applyBorder="1"/>
    <xf numFmtId="10" fontId="10" fillId="0" borderId="0" xfId="34" quotePrefix="1" applyNumberFormat="1" applyFont="1" applyFill="1" applyBorder="1" applyAlignment="1">
      <alignment horizontal="right"/>
    </xf>
    <xf numFmtId="175" fontId="10" fillId="0" borderId="0" xfId="21" applyNumberFormat="1" applyFont="1" applyFill="1" applyBorder="1"/>
    <xf numFmtId="176" fontId="10" fillId="0" borderId="0" xfId="17" applyNumberFormat="1" applyFont="1" applyFill="1" applyBorder="1"/>
    <xf numFmtId="165" fontId="10" fillId="0" borderId="0" xfId="34" applyNumberFormat="1" applyFont="1" applyFill="1" applyBorder="1"/>
    <xf numFmtId="166" fontId="10" fillId="0" borderId="0" xfId="21" quotePrefix="1" applyNumberFormat="1" applyFont="1" applyFill="1" applyBorder="1" applyAlignment="1">
      <alignment horizontal="right"/>
    </xf>
    <xf numFmtId="0" fontId="10" fillId="0" borderId="0" xfId="27" applyFont="1" applyFill="1" applyBorder="1"/>
    <xf numFmtId="1" fontId="10" fillId="0" borderId="1" xfId="0" applyNumberFormat="1" applyFont="1" applyFill="1" applyBorder="1" applyAlignment="1" applyProtection="1"/>
    <xf numFmtId="181" fontId="10" fillId="0" borderId="0" xfId="0" quotePrefix="1" applyNumberFormat="1" applyFont="1" applyFill="1" applyBorder="1" applyAlignment="1">
      <alignment horizontal="right"/>
    </xf>
    <xf numFmtId="176" fontId="10" fillId="0" borderId="0" xfId="17" quotePrefix="1" applyNumberFormat="1" applyFont="1" applyFill="1" applyBorder="1" applyAlignment="1">
      <alignment horizontal="right"/>
    </xf>
    <xf numFmtId="176" fontId="20" fillId="0" borderId="0" xfId="17" applyNumberFormat="1" applyFont="1"/>
    <xf numFmtId="0" fontId="10" fillId="0" borderId="0" xfId="27" applyFont="1" applyFill="1" applyAlignment="1">
      <alignment horizontal="right"/>
    </xf>
    <xf numFmtId="0" fontId="10" fillId="4" borderId="0" xfId="27" applyFont="1" applyFill="1"/>
    <xf numFmtId="169" fontId="15" fillId="4" borderId="0" xfId="27" quotePrefix="1" applyNumberFormat="1" applyFont="1" applyFill="1" applyBorder="1" applyAlignment="1">
      <alignment horizontal="right"/>
    </xf>
    <xf numFmtId="169" fontId="15" fillId="0" borderId="0" xfId="27" quotePrefix="1" applyNumberFormat="1" applyFont="1" applyFill="1" applyBorder="1" applyAlignment="1">
      <alignment horizontal="right"/>
    </xf>
    <xf numFmtId="0" fontId="3" fillId="0" borderId="0" xfId="1" applyFont="1" applyFill="1"/>
    <xf numFmtId="0" fontId="9" fillId="0" borderId="0" xfId="19" applyNumberFormat="1" applyFont="1"/>
    <xf numFmtId="0" fontId="46" fillId="0" borderId="0" xfId="0" applyFont="1"/>
    <xf numFmtId="0" fontId="18" fillId="0" borderId="0" xfId="0" applyFont="1"/>
    <xf numFmtId="0" fontId="9" fillId="3" borderId="0" xfId="0" applyFont="1" applyFill="1"/>
    <xf numFmtId="0" fontId="9" fillId="3" borderId="0" xfId="0" applyFont="1" applyFill="1" applyAlignment="1">
      <alignment horizontal="right"/>
    </xf>
    <xf numFmtId="165" fontId="18" fillId="0" borderId="0" xfId="34" applyNumberFormat="1" applyFont="1" applyFill="1"/>
    <xf numFmtId="10" fontId="3" fillId="0" borderId="0" xfId="34" applyNumberFormat="1" applyFont="1" applyBorder="1" applyAlignment="1">
      <alignment horizontal="right"/>
    </xf>
    <xf numFmtId="167" fontId="37" fillId="6" borderId="0" xfId="0" applyNumberFormat="1" applyFont="1" applyFill="1" applyBorder="1"/>
    <xf numFmtId="0" fontId="4" fillId="0" borderId="0" xfId="19" applyNumberFormat="1" applyFont="1"/>
    <xf numFmtId="176" fontId="15" fillId="0" borderId="0" xfId="17" applyNumberFormat="1" applyFont="1" applyFill="1" applyAlignment="1">
      <alignment horizontal="right"/>
    </xf>
    <xf numFmtId="176" fontId="48" fillId="0" borderId="0" xfId="17" applyNumberFormat="1" applyFont="1" applyFill="1" applyAlignment="1">
      <alignment horizontal="right"/>
    </xf>
    <xf numFmtId="165" fontId="49" fillId="0" borderId="0" xfId="34" applyNumberFormat="1" applyFont="1" applyFill="1"/>
    <xf numFmtId="190" fontId="3" fillId="0" borderId="0" xfId="0" applyNumberFormat="1" applyFont="1"/>
    <xf numFmtId="188" fontId="50" fillId="0" borderId="0" xfId="1" applyNumberFormat="1" applyFont="1" applyFill="1"/>
    <xf numFmtId="176" fontId="50" fillId="0" borderId="0" xfId="17" applyNumberFormat="1" applyFont="1"/>
    <xf numFmtId="190" fontId="3" fillId="0" borderId="0" xfId="0" applyNumberFormat="1" applyFont="1" applyAlignment="1">
      <alignment horizontal="right"/>
    </xf>
    <xf numFmtId="191" fontId="44" fillId="6" borderId="0" xfId="0" applyNumberFormat="1" applyFont="1" applyFill="1"/>
    <xf numFmtId="1" fontId="15" fillId="4" borderId="0" xfId="27" applyNumberFormat="1" applyFont="1" applyFill="1" applyBorder="1" applyAlignment="1"/>
    <xf numFmtId="0" fontId="10" fillId="4" borderId="0" xfId="27" applyFont="1" applyFill="1" applyAlignment="1"/>
    <xf numFmtId="0" fontId="21" fillId="0" borderId="0" xfId="0" applyFont="1" applyFill="1" applyAlignment="1">
      <alignment horizontal="center"/>
    </xf>
    <xf numFmtId="0" fontId="10" fillId="0" borderId="0" xfId="0" applyFont="1"/>
    <xf numFmtId="169" fontId="10" fillId="0" borderId="0" xfId="27" quotePrefix="1" applyNumberFormat="1" applyFont="1" applyFill="1" applyBorder="1" applyAlignment="1">
      <alignment horizontal="right"/>
    </xf>
    <xf numFmtId="169" fontId="10" fillId="0" borderId="0" xfId="0" applyNumberFormat="1" applyFont="1" applyFill="1" applyBorder="1" applyAlignment="1">
      <alignment horizontal="right"/>
    </xf>
    <xf numFmtId="169" fontId="15" fillId="0" borderId="0" xfId="27" applyNumberFormat="1" applyFont="1" applyFill="1" applyBorder="1" applyAlignment="1">
      <alignment horizontal="right"/>
    </xf>
    <xf numFmtId="3" fontId="10" fillId="0" borderId="0" xfId="0" quotePrefix="1" applyNumberFormat="1" applyFont="1" applyFill="1" applyBorder="1" applyAlignment="1">
      <alignment horizontal="right"/>
    </xf>
    <xf numFmtId="0" fontId="3" fillId="11" borderId="0" xfId="0" applyFont="1" applyFill="1" applyAlignment="1">
      <alignment horizontal="right"/>
    </xf>
    <xf numFmtId="0" fontId="10" fillId="5" borderId="0" xfId="0" applyFont="1" applyFill="1"/>
    <xf numFmtId="188" fontId="20" fillId="6" borderId="0" xfId="0" applyNumberFormat="1" applyFont="1" applyFill="1"/>
    <xf numFmtId="188" fontId="20" fillId="6" borderId="0" xfId="34" applyNumberFormat="1" applyFont="1" applyFill="1" applyBorder="1"/>
    <xf numFmtId="10" fontId="43" fillId="6" borderId="0" xfId="0" applyNumberFormat="1" applyFont="1" applyFill="1" applyBorder="1"/>
    <xf numFmtId="175" fontId="52" fillId="0" borderId="0" xfId="21" applyNumberFormat="1" applyFont="1" applyFill="1" applyBorder="1"/>
    <xf numFmtId="176" fontId="52" fillId="0" borderId="0" xfId="17" applyNumberFormat="1" applyFont="1" applyFill="1" applyBorder="1"/>
    <xf numFmtId="0" fontId="3" fillId="0" borderId="0" xfId="0" applyFont="1"/>
    <xf numFmtId="0" fontId="10" fillId="0" borderId="1" xfId="0" applyFont="1" applyFill="1" applyBorder="1" applyAlignment="1"/>
    <xf numFmtId="176" fontId="14" fillId="0" borderId="0" xfId="17" applyNumberFormat="1" applyFont="1"/>
    <xf numFmtId="0" fontId="15" fillId="0" borderId="0" xfId="27" applyFont="1" applyFill="1" applyAlignment="1">
      <alignment horizontal="right"/>
    </xf>
    <xf numFmtId="176" fontId="20" fillId="6" borderId="0" xfId="17" applyNumberFormat="1" applyFont="1" applyFill="1" applyAlignment="1"/>
    <xf numFmtId="176" fontId="14" fillId="0" borderId="0" xfId="17" applyNumberFormat="1" applyFont="1" applyFill="1" applyAlignment="1"/>
    <xf numFmtId="176" fontId="14" fillId="0" borderId="1" xfId="17" applyNumberFormat="1" applyFont="1" applyBorder="1"/>
    <xf numFmtId="176" fontId="10" fillId="0" borderId="0" xfId="17" applyNumberFormat="1" applyFont="1" applyFill="1"/>
    <xf numFmtId="176" fontId="10" fillId="0" borderId="1" xfId="17" applyNumberFormat="1" applyFont="1" applyFill="1" applyBorder="1"/>
    <xf numFmtId="176" fontId="10" fillId="0" borderId="0" xfId="17" applyNumberFormat="1" applyFont="1" applyFill="1" applyAlignment="1">
      <alignment horizontal="right"/>
    </xf>
    <xf numFmtId="0" fontId="10" fillId="0" borderId="0" xfId="27" applyFont="1" applyFill="1" applyAlignment="1"/>
    <xf numFmtId="165" fontId="10" fillId="0" borderId="0" xfId="34" applyNumberFormat="1" applyFont="1" applyFill="1" applyAlignment="1">
      <alignment horizontal="right"/>
    </xf>
    <xf numFmtId="176" fontId="15" fillId="0" borderId="0" xfId="17" applyNumberFormat="1" applyFont="1" applyFill="1"/>
    <xf numFmtId="176" fontId="14" fillId="0" borderId="0" xfId="17" applyNumberFormat="1" applyFont="1" applyFill="1" applyBorder="1"/>
    <xf numFmtId="168" fontId="14" fillId="0" borderId="1" xfId="0" quotePrefix="1" applyNumberFormat="1" applyFont="1" applyFill="1" applyBorder="1" applyAlignment="1">
      <alignment horizontal="right"/>
    </xf>
    <xf numFmtId="176" fontId="10" fillId="0" borderId="0" xfId="27" applyNumberFormat="1" applyFont="1" applyFill="1" applyAlignment="1">
      <alignment horizontal="right"/>
    </xf>
    <xf numFmtId="168" fontId="14" fillId="0" borderId="0" xfId="27" quotePrefix="1" applyNumberFormat="1" applyFont="1" applyFill="1" applyBorder="1" applyAlignment="1">
      <alignment horizontal="right"/>
    </xf>
    <xf numFmtId="188" fontId="20" fillId="6" borderId="0" xfId="34" applyNumberFormat="1" applyFont="1" applyFill="1"/>
    <xf numFmtId="176" fontId="14" fillId="0" borderId="0" xfId="17" applyNumberFormat="1" applyFont="1" applyFill="1" applyAlignment="1">
      <alignment horizontal="right"/>
    </xf>
    <xf numFmtId="176" fontId="14" fillId="0" borderId="1" xfId="17" applyNumberFormat="1" applyFont="1" applyFill="1" applyBorder="1"/>
    <xf numFmtId="1" fontId="15" fillId="0" borderId="0" xfId="0" applyNumberFormat="1" applyFont="1" applyFill="1" applyBorder="1" applyAlignment="1"/>
    <xf numFmtId="176" fontId="14" fillId="0" borderId="0" xfId="17" applyNumberFormat="1" applyFont="1" applyFill="1" applyBorder="1" applyAlignment="1"/>
    <xf numFmtId="177" fontId="10" fillId="0" borderId="0" xfId="17" quotePrefix="1" applyNumberFormat="1" applyFont="1" applyFill="1" applyBorder="1" applyAlignment="1">
      <alignment horizontal="right"/>
    </xf>
    <xf numFmtId="175" fontId="10" fillId="0" borderId="0" xfId="21" quotePrefix="1" applyNumberFormat="1" applyFont="1" applyFill="1" applyBorder="1" applyAlignment="1">
      <alignment horizontal="right"/>
    </xf>
    <xf numFmtId="1" fontId="15" fillId="0" borderId="0" xfId="0" applyNumberFormat="1" applyFont="1" applyFill="1" applyBorder="1" applyAlignment="1">
      <alignment horizontal="centerContinuous"/>
    </xf>
    <xf numFmtId="177" fontId="14" fillId="0" borderId="0" xfId="17" applyNumberFormat="1" applyFont="1" applyFill="1" applyBorder="1"/>
    <xf numFmtId="0" fontId="15" fillId="0" borderId="0" xfId="0" applyFont="1" applyFill="1" applyBorder="1" applyAlignment="1" applyProtection="1">
      <alignment horizontal="left"/>
    </xf>
    <xf numFmtId="167" fontId="10" fillId="0" borderId="0" xfId="0" applyNumberFormat="1" applyFont="1" applyFill="1"/>
    <xf numFmtId="177" fontId="14" fillId="0" borderId="0" xfId="17" quotePrefix="1" applyNumberFormat="1" applyFont="1" applyFill="1" applyBorder="1" applyAlignment="1">
      <alignment horizontal="right"/>
    </xf>
    <xf numFmtId="177" fontId="10" fillId="0" borderId="0" xfId="17" applyNumberFormat="1" applyFont="1" applyFill="1"/>
    <xf numFmtId="176" fontId="14" fillId="0" borderId="0" xfId="17" quotePrefix="1" applyNumberFormat="1" applyFont="1" applyFill="1" applyBorder="1" applyAlignment="1">
      <alignment horizontal="right"/>
    </xf>
    <xf numFmtId="176" fontId="10" fillId="0" borderId="0" xfId="27" applyNumberFormat="1" applyFont="1" applyFill="1"/>
    <xf numFmtId="165" fontId="10" fillId="0" borderId="0" xfId="34" quotePrefix="1" applyNumberFormat="1" applyFont="1" applyFill="1" applyBorder="1" applyAlignment="1">
      <alignment horizontal="right"/>
    </xf>
    <xf numFmtId="181" fontId="10" fillId="4" borderId="0" xfId="0" quotePrefix="1" applyNumberFormat="1" applyFont="1" applyFill="1" applyBorder="1" applyAlignment="1">
      <alignment horizontal="right"/>
    </xf>
    <xf numFmtId="177" fontId="20" fillId="6" borderId="0" xfId="17" applyNumberFormat="1" applyFont="1" applyFill="1"/>
    <xf numFmtId="177" fontId="10" fillId="0" borderId="3" xfId="17" quotePrefix="1" applyNumberFormat="1" applyFont="1" applyFill="1" applyBorder="1" applyAlignment="1">
      <alignment horizontal="right"/>
    </xf>
    <xf numFmtId="177" fontId="10" fillId="0" borderId="0" xfId="17" applyNumberFormat="1" applyFont="1"/>
    <xf numFmtId="177" fontId="10" fillId="0" borderId="0" xfId="17" applyNumberFormat="1" applyFont="1" applyFill="1" applyBorder="1" applyAlignment="1">
      <alignment horizontal="right"/>
    </xf>
    <xf numFmtId="166" fontId="14" fillId="0" borderId="0" xfId="21" applyNumberFormat="1" applyFont="1" applyFill="1" applyBorder="1"/>
    <xf numFmtId="177" fontId="14" fillId="0" borderId="1" xfId="17" quotePrefix="1" applyNumberFormat="1" applyFont="1" applyFill="1" applyBorder="1" applyAlignment="1">
      <alignment horizontal="right"/>
    </xf>
    <xf numFmtId="177" fontId="10" fillId="0" borderId="1" xfId="17" applyNumberFormat="1" applyFont="1" applyFill="1" applyBorder="1"/>
    <xf numFmtId="166" fontId="10" fillId="0" borderId="0" xfId="21" applyNumberFormat="1" applyFont="1" applyFill="1" applyBorder="1"/>
    <xf numFmtId="166" fontId="10" fillId="0" borderId="3" xfId="21" applyNumberFormat="1" applyFont="1" applyFill="1" applyBorder="1"/>
    <xf numFmtId="177" fontId="10" fillId="0" borderId="0" xfId="0" applyNumberFormat="1" applyFont="1" applyFill="1" applyBorder="1"/>
    <xf numFmtId="177" fontId="10" fillId="0" borderId="0" xfId="17" applyNumberFormat="1" applyFont="1" applyFill="1" applyBorder="1"/>
    <xf numFmtId="177" fontId="14" fillId="0" borderId="1" xfId="17" applyNumberFormat="1" applyFont="1" applyFill="1" applyBorder="1"/>
    <xf numFmtId="177" fontId="10" fillId="4" borderId="0" xfId="17" quotePrefix="1" applyNumberFormat="1" applyFont="1" applyFill="1" applyBorder="1" applyAlignment="1">
      <alignment horizontal="right"/>
    </xf>
    <xf numFmtId="180" fontId="14" fillId="0" borderId="0" xfId="21" applyNumberFormat="1" applyFont="1" applyFill="1" applyBorder="1"/>
    <xf numFmtId="180" fontId="14" fillId="0" borderId="1" xfId="21" applyNumberFormat="1" applyFont="1" applyFill="1" applyBorder="1"/>
    <xf numFmtId="0" fontId="10" fillId="0" borderId="1" xfId="0" applyFont="1" applyFill="1" applyBorder="1" applyAlignment="1">
      <alignment horizontal="right"/>
    </xf>
    <xf numFmtId="180" fontId="10" fillId="0" borderId="0" xfId="21" applyNumberFormat="1" applyFont="1" applyFill="1" applyBorder="1"/>
    <xf numFmtId="177" fontId="20" fillId="6" borderId="1" xfId="17" applyNumberFormat="1" applyFont="1" applyFill="1" applyBorder="1"/>
    <xf numFmtId="180" fontId="10" fillId="4" borderId="0" xfId="21" applyNumberFormat="1" applyFont="1" applyFill="1" applyBorder="1"/>
    <xf numFmtId="10" fontId="14" fillId="0" borderId="0" xfId="34" applyNumberFormat="1" applyFont="1" applyFill="1" applyBorder="1"/>
    <xf numFmtId="10" fontId="10" fillId="0" borderId="0" xfId="34" applyNumberFormat="1" applyFont="1" applyFill="1" applyBorder="1"/>
    <xf numFmtId="10" fontId="10" fillId="4" borderId="0" xfId="34" applyNumberFormat="1" applyFont="1" applyFill="1" applyBorder="1"/>
    <xf numFmtId="181" fontId="14" fillId="0" borderId="0" xfId="0" quotePrefix="1" applyNumberFormat="1" applyFont="1" applyFill="1" applyBorder="1" applyAlignment="1">
      <alignment horizontal="right"/>
    </xf>
    <xf numFmtId="181" fontId="20" fillId="6" borderId="0" xfId="0" applyNumberFormat="1" applyFont="1" applyFill="1"/>
    <xf numFmtId="181" fontId="14" fillId="4" borderId="0" xfId="0" quotePrefix="1" applyNumberFormat="1" applyFont="1" applyFill="1" applyBorder="1" applyAlignment="1">
      <alignment horizontal="right"/>
    </xf>
    <xf numFmtId="189" fontId="10" fillId="0" borderId="0" xfId="0" quotePrefix="1" applyNumberFormat="1" applyFont="1" applyFill="1" applyBorder="1" applyAlignment="1">
      <alignment horizontal="right"/>
    </xf>
    <xf numFmtId="189" fontId="20" fillId="6" borderId="0" xfId="0" applyNumberFormat="1" applyFont="1" applyFill="1"/>
    <xf numFmtId="189" fontId="20" fillId="6" borderId="0" xfId="34" applyNumberFormat="1" applyFont="1" applyFill="1"/>
    <xf numFmtId="175" fontId="14" fillId="0" borderId="0" xfId="21" applyNumberFormat="1" applyFont="1" applyFill="1" applyBorder="1"/>
    <xf numFmtId="10" fontId="10" fillId="0" borderId="0" xfId="34" applyNumberFormat="1" applyFont="1" applyFill="1" applyBorder="1" applyAlignment="1">
      <alignment horizontal="right"/>
    </xf>
    <xf numFmtId="168" fontId="10" fillId="0" borderId="1" xfId="0" quotePrefix="1" applyNumberFormat="1" applyFont="1" applyFill="1" applyBorder="1" applyAlignment="1">
      <alignment horizontal="right"/>
    </xf>
    <xf numFmtId="168" fontId="14" fillId="0" borderId="1" xfId="27" quotePrefix="1" applyNumberFormat="1" applyFont="1" applyFill="1" applyBorder="1" applyAlignment="1">
      <alignment horizontal="right"/>
    </xf>
    <xf numFmtId="10" fontId="10" fillId="0" borderId="0" xfId="0" quotePrefix="1" applyNumberFormat="1" applyFont="1" applyFill="1" applyBorder="1" applyAlignment="1">
      <alignment horizontal="right"/>
    </xf>
    <xf numFmtId="165" fontId="15" fillId="0" borderId="0" xfId="27" applyNumberFormat="1" applyFont="1" applyFill="1" applyBorder="1" applyAlignment="1">
      <alignment horizontal="right"/>
    </xf>
    <xf numFmtId="165" fontId="10" fillId="0" borderId="0" xfId="0" applyNumberFormat="1" applyFont="1" applyFill="1" applyBorder="1" applyAlignment="1">
      <alignment horizontal="right"/>
    </xf>
    <xf numFmtId="168" fontId="10" fillId="0" borderId="0" xfId="27" quotePrefix="1" applyNumberFormat="1" applyFont="1" applyFill="1" applyBorder="1" applyAlignment="1">
      <alignment horizontal="right"/>
    </xf>
    <xf numFmtId="168" fontId="15" fillId="0" borderId="0" xfId="27" quotePrefix="1" applyNumberFormat="1" applyFont="1" applyFill="1" applyBorder="1" applyAlignment="1">
      <alignment horizontal="right"/>
    </xf>
    <xf numFmtId="175" fontId="14" fillId="0" borderId="0" xfId="21" applyNumberFormat="1" applyFont="1" applyFill="1"/>
    <xf numFmtId="0" fontId="14" fillId="0" borderId="0" xfId="0" applyFont="1" applyFill="1" applyAlignment="1">
      <alignment horizontal="right"/>
    </xf>
    <xf numFmtId="41" fontId="14" fillId="0" borderId="1" xfId="0" applyNumberFormat="1" applyFont="1" applyFill="1" applyBorder="1"/>
    <xf numFmtId="0" fontId="14" fillId="0" borderId="1" xfId="0" applyFont="1" applyFill="1" applyBorder="1" applyAlignment="1">
      <alignment horizontal="right"/>
    </xf>
    <xf numFmtId="166" fontId="10" fillId="4" borderId="0" xfId="34" applyNumberFormat="1" applyFont="1" applyFill="1" applyBorder="1"/>
    <xf numFmtId="181" fontId="10" fillId="0" borderId="0" xfId="0" applyNumberFormat="1" applyFont="1" applyFill="1"/>
    <xf numFmtId="166" fontId="10" fillId="0" borderId="0" xfId="34" applyNumberFormat="1" applyFont="1" applyFill="1" applyBorder="1"/>
    <xf numFmtId="10" fontId="10" fillId="6" borderId="0" xfId="34" quotePrefix="1" applyNumberFormat="1" applyFont="1" applyFill="1" applyBorder="1" applyAlignment="1">
      <alignment horizontal="right"/>
    </xf>
    <xf numFmtId="177" fontId="20" fillId="0" borderId="0" xfId="17" applyNumberFormat="1" applyFont="1" applyFill="1"/>
    <xf numFmtId="0" fontId="20" fillId="0" borderId="0" xfId="0" applyFont="1" applyFill="1"/>
    <xf numFmtId="177" fontId="10" fillId="0" borderId="0" xfId="0" applyNumberFormat="1" applyFont="1" applyFill="1"/>
    <xf numFmtId="43" fontId="10" fillId="0" borderId="0" xfId="0" applyNumberFormat="1" applyFont="1" applyFill="1"/>
    <xf numFmtId="43" fontId="10" fillId="0" borderId="1" xfId="0" applyNumberFormat="1" applyFont="1" applyFill="1" applyBorder="1"/>
    <xf numFmtId="176" fontId="10" fillId="0" borderId="0" xfId="0" applyNumberFormat="1" applyFont="1" applyFill="1" applyBorder="1" applyAlignment="1">
      <alignment horizontal="right"/>
    </xf>
    <xf numFmtId="166" fontId="10" fillId="4" borderId="0" xfId="21" applyNumberFormat="1" applyFont="1" applyFill="1" applyBorder="1"/>
    <xf numFmtId="175" fontId="10" fillId="0" borderId="0" xfId="21" applyNumberFormat="1" applyFont="1" applyFill="1"/>
    <xf numFmtId="176" fontId="10" fillId="0" borderId="1" xfId="17" quotePrefix="1" applyNumberFormat="1" applyFont="1" applyFill="1" applyBorder="1" applyAlignment="1">
      <alignment horizontal="right"/>
    </xf>
    <xf numFmtId="167" fontId="20" fillId="6" borderId="0" xfId="0" applyNumberFormat="1" applyFont="1" applyFill="1"/>
    <xf numFmtId="170" fontId="10" fillId="4" borderId="0" xfId="27" applyNumberFormat="1" applyFont="1" applyFill="1" applyBorder="1" applyProtection="1"/>
    <xf numFmtId="176" fontId="14" fillId="0" borderId="0" xfId="21" applyNumberFormat="1" applyFont="1" applyFill="1"/>
    <xf numFmtId="176" fontId="10" fillId="0" borderId="0" xfId="0" applyNumberFormat="1" applyFont="1" applyFill="1"/>
    <xf numFmtId="42" fontId="10" fillId="0" borderId="0" xfId="0" quotePrefix="1" applyNumberFormat="1" applyFont="1" applyFill="1" applyBorder="1" applyAlignment="1">
      <alignment horizontal="right"/>
    </xf>
    <xf numFmtId="168" fontId="10" fillId="0" borderId="0" xfId="0" quotePrefix="1" applyNumberFormat="1" applyFont="1" applyFill="1" applyBorder="1" applyAlignment="1">
      <alignment horizontal="right"/>
    </xf>
    <xf numFmtId="176" fontId="10" fillId="0" borderId="3" xfId="17" applyNumberFormat="1" applyFont="1" applyFill="1" applyBorder="1"/>
    <xf numFmtId="0" fontId="15" fillId="0" borderId="0" xfId="27" applyFont="1" applyFill="1" applyBorder="1" applyAlignment="1">
      <alignment horizontal="right"/>
    </xf>
    <xf numFmtId="176" fontId="10" fillId="0" borderId="3" xfId="21" applyNumberFormat="1" applyFont="1" applyFill="1" applyBorder="1"/>
    <xf numFmtId="176" fontId="15" fillId="0" borderId="0" xfId="27" applyNumberFormat="1" applyFont="1" applyFill="1" applyBorder="1" applyAlignment="1">
      <alignment horizontal="right"/>
    </xf>
    <xf numFmtId="176" fontId="10" fillId="0" borderId="0" xfId="21" applyNumberFormat="1" applyFont="1" applyFill="1" applyBorder="1"/>
    <xf numFmtId="0" fontId="10" fillId="0" borderId="0" xfId="0" applyFont="1" applyBorder="1"/>
    <xf numFmtId="176" fontId="10" fillId="4" borderId="0" xfId="27" applyNumberFormat="1" applyFont="1" applyFill="1" applyBorder="1" applyProtection="1"/>
    <xf numFmtId="0" fontId="10" fillId="4" borderId="0" xfId="27" applyFont="1" applyFill="1" applyBorder="1"/>
    <xf numFmtId="176" fontId="14" fillId="0" borderId="1" xfId="0" applyNumberFormat="1" applyFont="1" applyFill="1" applyBorder="1"/>
    <xf numFmtId="41" fontId="10" fillId="0" borderId="0" xfId="0" applyNumberFormat="1" applyFont="1" applyFill="1" applyBorder="1"/>
    <xf numFmtId="176" fontId="10" fillId="0" borderId="11" xfId="21" applyNumberFormat="1" applyFont="1" applyFill="1" applyBorder="1"/>
    <xf numFmtId="181" fontId="10" fillId="0" borderId="1" xfId="0" applyNumberFormat="1" applyFont="1" applyFill="1" applyBorder="1"/>
    <xf numFmtId="181" fontId="20" fillId="6" borderId="3" xfId="0" applyNumberFormat="1" applyFont="1" applyFill="1" applyBorder="1"/>
    <xf numFmtId="0" fontId="20" fillId="4" borderId="0" xfId="0" applyFont="1" applyFill="1"/>
    <xf numFmtId="177" fontId="10" fillId="0" borderId="1" xfId="0" applyNumberFormat="1" applyFont="1" applyFill="1" applyBorder="1"/>
    <xf numFmtId="176" fontId="10" fillId="0" borderId="1" xfId="0" applyNumberFormat="1" applyFont="1" applyFill="1" applyBorder="1" applyAlignment="1">
      <alignment horizontal="right"/>
    </xf>
    <xf numFmtId="165" fontId="14" fillId="0" borderId="0" xfId="0" applyNumberFormat="1" applyFont="1" applyFill="1" applyBorder="1" applyAlignment="1">
      <alignment horizontal="right"/>
    </xf>
    <xf numFmtId="165" fontId="10" fillId="0" borderId="1" xfId="0" applyNumberFormat="1" applyFont="1" applyFill="1" applyBorder="1" applyAlignment="1">
      <alignment horizontal="right"/>
    </xf>
    <xf numFmtId="41" fontId="10" fillId="0" borderId="1" xfId="21" quotePrefix="1" applyNumberFormat="1" applyFont="1" applyFill="1" applyBorder="1" applyAlignment="1">
      <alignment horizontal="right"/>
    </xf>
    <xf numFmtId="176" fontId="14" fillId="0" borderId="1" xfId="17" quotePrefix="1" applyNumberFormat="1" applyFont="1" applyFill="1" applyBorder="1" applyAlignment="1">
      <alignment horizontal="right"/>
    </xf>
    <xf numFmtId="176" fontId="20" fillId="6" borderId="1" xfId="17" applyNumberFormat="1" applyFont="1" applyFill="1" applyBorder="1"/>
    <xf numFmtId="176" fontId="15" fillId="0" borderId="0" xfId="17" applyNumberFormat="1" applyFont="1" applyFill="1" applyBorder="1"/>
    <xf numFmtId="42" fontId="10" fillId="0" borderId="0" xfId="21" quotePrefix="1" applyNumberFormat="1" applyFont="1" applyFill="1" applyBorder="1" applyAlignment="1">
      <alignment horizontal="right"/>
    </xf>
    <xf numFmtId="41" fontId="10" fillId="0" borderId="0" xfId="21" quotePrefix="1" applyNumberFormat="1" applyFont="1" applyFill="1" applyBorder="1" applyAlignment="1">
      <alignment horizontal="right"/>
    </xf>
    <xf numFmtId="169" fontId="10" fillId="0" borderId="0" xfId="17" applyNumberFormat="1" applyFont="1" applyFill="1" applyBorder="1" applyAlignment="1" applyProtection="1">
      <alignment horizontal="right"/>
    </xf>
    <xf numFmtId="176" fontId="15" fillId="0" borderId="5" xfId="17" quotePrefix="1" applyNumberFormat="1" applyFont="1" applyFill="1" applyBorder="1" applyAlignment="1">
      <alignment horizontal="right"/>
    </xf>
    <xf numFmtId="176" fontId="10" fillId="0" borderId="11" xfId="17" quotePrefix="1" applyNumberFormat="1" applyFont="1" applyFill="1" applyBorder="1" applyAlignment="1">
      <alignment horizontal="right"/>
    </xf>
    <xf numFmtId="176" fontId="10" fillId="0" borderId="17" xfId="17" quotePrefix="1" applyNumberFormat="1" applyFont="1" applyFill="1" applyBorder="1" applyAlignment="1">
      <alignment horizontal="right"/>
    </xf>
    <xf numFmtId="168" fontId="14" fillId="0" borderId="0" xfId="27" applyNumberFormat="1" applyFont="1" applyFill="1" applyBorder="1" applyAlignment="1">
      <alignment horizontal="right"/>
    </xf>
    <xf numFmtId="0" fontId="10" fillId="0" borderId="1" xfId="27" applyFont="1" applyFill="1" applyBorder="1" applyAlignment="1">
      <alignment horizontal="left"/>
    </xf>
    <xf numFmtId="0" fontId="10" fillId="0" borderId="1" xfId="27" applyFont="1" applyFill="1" applyBorder="1" applyAlignment="1">
      <alignment horizontal="right"/>
    </xf>
    <xf numFmtId="10" fontId="15" fillId="0" borderId="0" xfId="34" quotePrefix="1" applyNumberFormat="1" applyFont="1" applyFill="1" applyBorder="1" applyAlignment="1">
      <alignment horizontal="right"/>
    </xf>
    <xf numFmtId="0" fontId="15" fillId="0" borderId="0" xfId="0" applyFont="1" applyFill="1" applyBorder="1"/>
    <xf numFmtId="0" fontId="10" fillId="0" borderId="0" xfId="0" quotePrefix="1" applyFont="1" applyFill="1" applyBorder="1" applyAlignment="1" applyProtection="1">
      <alignment horizontal="left"/>
    </xf>
    <xf numFmtId="175" fontId="10" fillId="0" borderId="0" xfId="27" applyNumberFormat="1" applyFont="1" applyFill="1" applyBorder="1"/>
    <xf numFmtId="176" fontId="14" fillId="0" borderId="0" xfId="17" applyNumberFormat="1" applyFont="1" applyFill="1" applyBorder="1" applyProtection="1"/>
    <xf numFmtId="0" fontId="10" fillId="0" borderId="0" xfId="31" applyFont="1" applyFill="1" applyAlignment="1" applyProtection="1">
      <alignment horizontal="left" indent="1"/>
    </xf>
    <xf numFmtId="0" fontId="10" fillId="0" borderId="0" xfId="31" applyFont="1" applyFill="1" applyAlignment="1" applyProtection="1">
      <alignment horizontal="left"/>
    </xf>
    <xf numFmtId="176" fontId="14" fillId="0" borderId="10" xfId="17" applyNumberFormat="1" applyFont="1" applyFill="1" applyBorder="1"/>
    <xf numFmtId="0" fontId="15" fillId="5" borderId="0" xfId="27" applyFont="1" applyFill="1"/>
    <xf numFmtId="0" fontId="10" fillId="5" borderId="0" xfId="27" applyFont="1" applyFill="1"/>
    <xf numFmtId="176" fontId="10" fillId="5" borderId="0" xfId="17" applyNumberFormat="1" applyFont="1" applyFill="1" applyBorder="1" applyProtection="1"/>
    <xf numFmtId="176" fontId="14" fillId="0" borderId="0" xfId="17" applyNumberFormat="1" applyFont="1" applyFill="1" applyBorder="1" applyAlignment="1" applyProtection="1">
      <alignment horizontal="right"/>
    </xf>
    <xf numFmtId="176" fontId="10" fillId="4" borderId="0" xfId="17" applyNumberFormat="1" applyFont="1" applyFill="1" applyBorder="1" applyProtection="1"/>
    <xf numFmtId="1" fontId="10" fillId="0" borderId="0" xfId="0" applyNumberFormat="1" applyFont="1" applyFill="1" applyBorder="1" applyAlignment="1" applyProtection="1"/>
    <xf numFmtId="0" fontId="10" fillId="0" borderId="3" xfId="27" applyFont="1" applyFill="1" applyBorder="1"/>
    <xf numFmtId="176" fontId="10" fillId="4" borderId="0" xfId="17" applyNumberFormat="1" applyFont="1" applyFill="1"/>
    <xf numFmtId="176" fontId="15" fillId="4" borderId="0" xfId="17" applyNumberFormat="1" applyFont="1" applyFill="1" applyBorder="1" applyAlignment="1"/>
    <xf numFmtId="169" fontId="10" fillId="0" borderId="0" xfId="27" applyNumberFormat="1" applyFont="1" applyFill="1" applyBorder="1" applyAlignment="1">
      <alignment horizontal="right"/>
    </xf>
    <xf numFmtId="175" fontId="10" fillId="4" borderId="0" xfId="21" applyNumberFormat="1" applyFont="1" applyFill="1" applyBorder="1"/>
    <xf numFmtId="169" fontId="10" fillId="4" borderId="0" xfId="27" quotePrefix="1" applyNumberFormat="1" applyFont="1" applyFill="1" applyBorder="1" applyAlignment="1">
      <alignment horizontal="right"/>
    </xf>
    <xf numFmtId="169" fontId="10" fillId="4" borderId="0" xfId="0" applyNumberFormat="1" applyFont="1" applyFill="1" applyBorder="1" applyAlignment="1">
      <alignment horizontal="right"/>
    </xf>
    <xf numFmtId="169" fontId="15" fillId="4" borderId="0" xfId="27" applyNumberFormat="1" applyFont="1" applyFill="1" applyBorder="1" applyAlignment="1">
      <alignment horizontal="right"/>
    </xf>
    <xf numFmtId="3" fontId="10" fillId="4" borderId="0" xfId="0" quotePrefix="1" applyNumberFormat="1" applyFont="1" applyFill="1" applyBorder="1" applyAlignment="1">
      <alignment horizontal="right"/>
    </xf>
    <xf numFmtId="0" fontId="10" fillId="4" borderId="0" xfId="0" applyFont="1" applyFill="1" applyBorder="1"/>
    <xf numFmtId="175" fontId="10" fillId="0" borderId="0" xfId="21" applyNumberFormat="1" applyFont="1" applyFill="1" applyBorder="1" applyAlignment="1">
      <alignment horizontal="right"/>
    </xf>
    <xf numFmtId="0" fontId="15" fillId="4" borderId="0" xfId="27" applyFont="1" applyFill="1" applyBorder="1"/>
    <xf numFmtId="176" fontId="20" fillId="0" borderId="0" xfId="17" applyNumberFormat="1" applyFont="1" applyFill="1"/>
    <xf numFmtId="3" fontId="20" fillId="0" borderId="0" xfId="0" applyNumberFormat="1" applyFont="1" applyFill="1" applyBorder="1"/>
    <xf numFmtId="0" fontId="10" fillId="0" borderId="0" xfId="27" applyFont="1" applyFill="1" applyAlignment="1">
      <alignment horizontal="centerContinuous"/>
    </xf>
    <xf numFmtId="0" fontId="15" fillId="4" borderId="0" xfId="27" applyFont="1" applyFill="1" applyAlignment="1">
      <alignment horizontal="right"/>
    </xf>
    <xf numFmtId="176" fontId="14" fillId="0" borderId="1" xfId="17" applyNumberFormat="1" applyFont="1" applyFill="1" applyBorder="1" applyAlignment="1" applyProtection="1">
      <alignment horizontal="right"/>
    </xf>
    <xf numFmtId="0" fontId="10" fillId="0" borderId="1" xfId="27" applyFont="1" applyFill="1" applyBorder="1"/>
    <xf numFmtId="0" fontId="10" fillId="0" borderId="0" xfId="27" applyFont="1" applyFill="1" applyBorder="1" applyAlignment="1">
      <alignment horizontal="left"/>
    </xf>
    <xf numFmtId="0" fontId="10" fillId="0" borderId="0" xfId="27" applyFont="1" applyFill="1" applyBorder="1" applyAlignment="1">
      <alignment horizontal="right"/>
    </xf>
    <xf numFmtId="1" fontId="15" fillId="4" borderId="0" xfId="0" quotePrefix="1" applyNumberFormat="1" applyFont="1" applyFill="1" applyBorder="1" applyAlignment="1">
      <alignment horizontal="center"/>
    </xf>
    <xf numFmtId="176" fontId="10" fillId="0" borderId="1" xfId="27" applyNumberFormat="1" applyFont="1" applyFill="1" applyBorder="1"/>
    <xf numFmtId="0" fontId="15" fillId="0" borderId="1" xfId="27" applyFont="1" applyFill="1" applyBorder="1"/>
    <xf numFmtId="176" fontId="10" fillId="0" borderId="0" xfId="27" applyNumberFormat="1" applyFont="1" applyFill="1" applyBorder="1"/>
    <xf numFmtId="10" fontId="10" fillId="0" borderId="0" xfId="34" applyNumberFormat="1" applyFont="1" applyFill="1" applyBorder="1" applyAlignment="1"/>
    <xf numFmtId="165" fontId="20" fillId="6" borderId="0" xfId="0" applyNumberFormat="1" applyFont="1" applyFill="1"/>
    <xf numFmtId="10" fontId="10" fillId="0" borderId="1" xfId="34" applyNumberFormat="1" applyFont="1" applyFill="1" applyBorder="1" applyAlignment="1"/>
    <xf numFmtId="10" fontId="10" fillId="0" borderId="0" xfId="21" applyNumberFormat="1" applyFont="1" applyFill="1" applyBorder="1"/>
    <xf numFmtId="10" fontId="20" fillId="6" borderId="0" xfId="0" applyNumberFormat="1" applyFont="1" applyFill="1"/>
    <xf numFmtId="176" fontId="10" fillId="4" borderId="0" xfId="27" applyNumberFormat="1" applyFont="1" applyFill="1" applyBorder="1"/>
    <xf numFmtId="10" fontId="15" fillId="0" borderId="0" xfId="34" applyNumberFormat="1" applyFont="1" applyFill="1" applyBorder="1" applyAlignment="1"/>
    <xf numFmtId="0" fontId="10" fillId="0" borderId="0" xfId="27" applyFont="1" applyFill="1" applyBorder="1" applyAlignment="1"/>
    <xf numFmtId="10" fontId="10" fillId="4" borderId="0" xfId="34" applyNumberFormat="1" applyFont="1" applyFill="1" applyBorder="1" applyAlignment="1"/>
    <xf numFmtId="10" fontId="15" fillId="4" borderId="0" xfId="34" applyNumberFormat="1" applyFont="1" applyFill="1" applyBorder="1" applyAlignment="1"/>
    <xf numFmtId="0" fontId="10" fillId="4" borderId="0" xfId="27" applyFont="1" applyFill="1" applyBorder="1" applyAlignment="1"/>
    <xf numFmtId="177" fontId="14" fillId="0" borderId="0" xfId="17" applyNumberFormat="1" applyFont="1" applyFill="1" applyBorder="1" applyAlignment="1" applyProtection="1">
      <alignment horizontal="right"/>
    </xf>
    <xf numFmtId="43" fontId="10" fillId="0" borderId="0" xfId="17" applyFont="1" applyFill="1" applyBorder="1" applyAlignment="1">
      <alignment horizontal="right"/>
    </xf>
    <xf numFmtId="176" fontId="10" fillId="0" borderId="0" xfId="17" applyNumberFormat="1" applyFont="1" applyFill="1" applyBorder="1" applyAlignment="1"/>
    <xf numFmtId="1" fontId="15" fillId="0" borderId="0" xfId="27" applyNumberFormat="1" applyFont="1" applyFill="1" applyBorder="1" applyAlignment="1"/>
    <xf numFmtId="177" fontId="14" fillId="0" borderId="1" xfId="17" applyNumberFormat="1" applyFont="1" applyFill="1" applyBorder="1" applyAlignment="1" applyProtection="1">
      <alignment horizontal="right"/>
    </xf>
    <xf numFmtId="177" fontId="10" fillId="0" borderId="0" xfId="17" applyNumberFormat="1" applyFont="1" applyFill="1" applyBorder="1" applyAlignment="1"/>
    <xf numFmtId="0" fontId="15" fillId="4" borderId="0" xfId="27" applyFont="1" applyFill="1" applyBorder="1" applyAlignment="1"/>
    <xf numFmtId="0" fontId="15" fillId="0" borderId="0" xfId="27" applyFont="1" applyFill="1" applyBorder="1" applyAlignment="1"/>
    <xf numFmtId="176" fontId="10" fillId="0" borderId="1" xfId="17" applyNumberFormat="1" applyFont="1" applyFill="1" applyBorder="1" applyAlignment="1"/>
    <xf numFmtId="176" fontId="15" fillId="0" borderId="0" xfId="17" applyNumberFormat="1" applyFont="1" applyFill="1" applyBorder="1" applyAlignment="1"/>
    <xf numFmtId="0" fontId="15" fillId="4" borderId="0" xfId="32" applyFont="1" applyFill="1"/>
    <xf numFmtId="0" fontId="10" fillId="4" borderId="0" xfId="30" applyFont="1" applyFill="1" applyAlignment="1" applyProtection="1">
      <alignment horizontal="left"/>
    </xf>
    <xf numFmtId="10" fontId="10" fillId="4" borderId="0" xfId="21" applyNumberFormat="1" applyFont="1" applyFill="1" applyBorder="1"/>
    <xf numFmtId="0" fontId="10" fillId="0" borderId="0" xfId="30" applyFont="1" applyFill="1" applyAlignment="1" applyProtection="1">
      <alignment horizontal="left"/>
    </xf>
    <xf numFmtId="176" fontId="14" fillId="0" borderId="0" xfId="17" applyNumberFormat="1" applyFont="1" applyFill="1" applyBorder="1" applyAlignment="1" applyProtection="1"/>
    <xf numFmtId="41" fontId="14" fillId="0" borderId="1" xfId="21" applyNumberFormat="1" applyFont="1" applyFill="1" applyBorder="1" applyAlignment="1" applyProtection="1"/>
    <xf numFmtId="41" fontId="10" fillId="0" borderId="5" xfId="0" applyNumberFormat="1" applyFont="1" applyFill="1" applyBorder="1" applyAlignment="1" applyProtection="1"/>
    <xf numFmtId="41" fontId="10" fillId="0" borderId="0" xfId="0" applyNumberFormat="1" applyFont="1" applyFill="1" applyBorder="1" applyAlignment="1" applyProtection="1"/>
    <xf numFmtId="176" fontId="10" fillId="0" borderId="0" xfId="0" applyNumberFormat="1" applyFont="1" applyFill="1" applyAlignment="1"/>
    <xf numFmtId="183" fontId="10" fillId="0" borderId="0" xfId="34" applyNumberFormat="1" applyFont="1" applyFill="1" applyAlignment="1"/>
    <xf numFmtId="183" fontId="20" fillId="6" borderId="0" xfId="0" applyNumberFormat="1" applyFont="1" applyFill="1"/>
    <xf numFmtId="41" fontId="14" fillId="0" borderId="0" xfId="21" applyNumberFormat="1" applyFont="1" applyFill="1" applyBorder="1" applyAlignment="1" applyProtection="1"/>
    <xf numFmtId="41" fontId="10" fillId="0" borderId="1" xfId="0" applyNumberFormat="1" applyFont="1" applyFill="1" applyBorder="1" applyAlignment="1" applyProtection="1"/>
    <xf numFmtId="41" fontId="15" fillId="0" borderId="0" xfId="0" applyNumberFormat="1" applyFont="1" applyFill="1" applyBorder="1" applyAlignment="1" applyProtection="1"/>
    <xf numFmtId="166" fontId="10" fillId="0" borderId="0" xfId="0" applyNumberFormat="1" applyFont="1" applyFill="1" applyBorder="1" applyAlignment="1" applyProtection="1"/>
    <xf numFmtId="0" fontId="15" fillId="0" borderId="0" xfId="0" applyFont="1" applyFill="1" applyAlignment="1" applyProtection="1">
      <alignment horizontal="left"/>
    </xf>
    <xf numFmtId="166" fontId="10" fillId="0" borderId="0" xfId="21" applyNumberFormat="1" applyFont="1" applyFill="1" applyBorder="1" applyAlignment="1"/>
    <xf numFmtId="43" fontId="10" fillId="0" borderId="0" xfId="17" applyFont="1" applyFill="1" applyBorder="1" applyAlignment="1"/>
    <xf numFmtId="10" fontId="10" fillId="0" borderId="0" xfId="0" applyNumberFormat="1" applyFont="1" applyFill="1" applyBorder="1" applyAlignment="1"/>
    <xf numFmtId="176" fontId="10" fillId="0" borderId="0" xfId="17" applyNumberFormat="1" applyFont="1" applyFill="1" applyAlignment="1"/>
    <xf numFmtId="37" fontId="10" fillId="0" borderId="0" xfId="0" applyNumberFormat="1" applyFont="1" applyFill="1" applyAlignment="1"/>
    <xf numFmtId="37" fontId="10" fillId="0" borderId="1" xfId="0" applyNumberFormat="1" applyFont="1" applyFill="1" applyBorder="1" applyAlignment="1"/>
    <xf numFmtId="176" fontId="21" fillId="0" borderId="0" xfId="17" applyNumberFormat="1" applyFont="1" applyFill="1"/>
    <xf numFmtId="0" fontId="10" fillId="0" borderId="0" xfId="0" applyFont="1" applyFill="1" applyBorder="1" applyProtection="1"/>
    <xf numFmtId="175" fontId="10" fillId="0" borderId="0" xfId="0" applyNumberFormat="1" applyFont="1" applyFill="1" applyBorder="1" applyProtection="1"/>
    <xf numFmtId="166" fontId="10" fillId="0" borderId="0" xfId="0" applyNumberFormat="1" applyFont="1" applyFill="1" applyBorder="1" applyProtection="1"/>
    <xf numFmtId="0" fontId="10" fillId="0" borderId="0" xfId="29" applyFont="1" applyBorder="1"/>
    <xf numFmtId="176" fontId="10" fillId="0" borderId="0" xfId="0" applyNumberFormat="1" applyFont="1" applyFill="1" applyBorder="1"/>
    <xf numFmtId="0" fontId="10" fillId="0" borderId="0" xfId="0" applyFont="1" applyFill="1" applyBorder="1" applyAlignment="1">
      <alignment horizontal="left" indent="1"/>
    </xf>
    <xf numFmtId="175" fontId="10" fillId="0" borderId="0" xfId="0" applyNumberFormat="1" applyFont="1" applyFill="1" applyBorder="1"/>
    <xf numFmtId="176" fontId="10" fillId="0" borderId="1" xfId="0" applyNumberFormat="1" applyFont="1" applyFill="1" applyBorder="1"/>
    <xf numFmtId="0" fontId="10" fillId="0" borderId="0" xfId="29" applyFont="1" applyFill="1" applyBorder="1" applyAlignment="1">
      <alignment horizontal="left"/>
    </xf>
    <xf numFmtId="176" fontId="14" fillId="0" borderId="1" xfId="17" applyNumberFormat="1" applyFont="1" applyFill="1" applyBorder="1" applyAlignment="1"/>
    <xf numFmtId="41" fontId="10" fillId="0" borderId="1" xfId="0" applyNumberFormat="1" applyFont="1" applyFill="1" applyBorder="1"/>
    <xf numFmtId="0" fontId="15" fillId="0" borderId="0" xfId="29" applyFont="1" applyBorder="1"/>
    <xf numFmtId="0" fontId="10" fillId="0" borderId="0" xfId="0" applyFont="1" applyFill="1" applyBorder="1" applyAlignment="1">
      <alignment horizontal="left" indent="2"/>
    </xf>
    <xf numFmtId="0" fontId="10" fillId="0" borderId="0" xfId="29" applyFont="1" applyBorder="1" applyAlignment="1">
      <alignment horizontal="left"/>
    </xf>
    <xf numFmtId="0" fontId="15" fillId="0" borderId="0" xfId="29" applyFont="1" applyBorder="1" applyAlignment="1">
      <alignment horizontal="left"/>
    </xf>
    <xf numFmtId="0" fontId="10" fillId="0" borderId="0" xfId="29" applyFont="1" applyBorder="1" applyAlignment="1"/>
    <xf numFmtId="0" fontId="10" fillId="0" borderId="0" xfId="0" applyFont="1" applyFill="1" applyBorder="1" applyAlignment="1">
      <alignment horizontal="left" indent="1"/>
    </xf>
    <xf numFmtId="0" fontId="15" fillId="0" borderId="0" xfId="0" applyFont="1" applyFill="1" applyBorder="1" applyAlignment="1">
      <alignment horizontal="left" indent="1"/>
    </xf>
    <xf numFmtId="176" fontId="15" fillId="0" borderId="0" xfId="0" applyNumberFormat="1" applyFont="1" applyFill="1" applyBorder="1"/>
    <xf numFmtId="0" fontId="10" fillId="0" borderId="1" xfId="29" applyFont="1" applyBorder="1"/>
    <xf numFmtId="37" fontId="14" fillId="6" borderId="0" xfId="1" applyNumberFormat="1" applyFont="1" applyFill="1"/>
    <xf numFmtId="37" fontId="10" fillId="0" borderId="0" xfId="0" applyNumberFormat="1" applyFont="1" applyFill="1" applyBorder="1"/>
    <xf numFmtId="176" fontId="15" fillId="0" borderId="5" xfId="17" applyNumberFormat="1" applyFont="1" applyFill="1" applyBorder="1"/>
    <xf numFmtId="176" fontId="15" fillId="0" borderId="1" xfId="17" applyNumberFormat="1" applyFont="1" applyFill="1" applyBorder="1"/>
    <xf numFmtId="37" fontId="14" fillId="6" borderId="5" xfId="1" applyNumberFormat="1" applyFont="1" applyFill="1" applyBorder="1"/>
    <xf numFmtId="173" fontId="10" fillId="0" borderId="0" xfId="21" applyNumberFormat="1" applyFont="1" applyFill="1" applyBorder="1"/>
    <xf numFmtId="176" fontId="15" fillId="0" borderId="11" xfId="17" applyNumberFormat="1" applyFont="1" applyFill="1" applyBorder="1"/>
    <xf numFmtId="37" fontId="20" fillId="6" borderId="1" xfId="0" applyNumberFormat="1" applyFont="1" applyFill="1" applyBorder="1"/>
    <xf numFmtId="176" fontId="37" fillId="0" borderId="0" xfId="17" applyNumberFormat="1" applyFont="1" applyAlignment="1">
      <alignment horizontal="right"/>
    </xf>
    <xf numFmtId="176" fontId="14" fillId="0" borderId="0" xfId="17" applyNumberFormat="1" applyFont="1" applyAlignment="1">
      <alignment horizontal="right"/>
    </xf>
    <xf numFmtId="0" fontId="15" fillId="0" borderId="1" xfId="0" applyFont="1" applyFill="1" applyBorder="1"/>
    <xf numFmtId="173" fontId="15" fillId="0" borderId="0" xfId="21" applyNumberFormat="1" applyFont="1" applyFill="1" applyBorder="1"/>
    <xf numFmtId="164" fontId="10" fillId="0" borderId="0" xfId="0" applyNumberFormat="1" applyFont="1" applyFill="1" applyBorder="1" applyAlignment="1">
      <alignment horizontal="center"/>
    </xf>
    <xf numFmtId="1" fontId="10" fillId="0" borderId="0" xfId="27" applyNumberFormat="1" applyFont="1" applyFill="1" applyBorder="1" applyAlignment="1">
      <alignment horizontal="left"/>
    </xf>
    <xf numFmtId="177" fontId="10" fillId="0" borderId="0" xfId="27" applyNumberFormat="1" applyFont="1" applyFill="1" applyBorder="1" applyAlignment="1">
      <alignment horizontal="left"/>
    </xf>
    <xf numFmtId="177" fontId="10" fillId="0" borderId="3" xfId="27" applyNumberFormat="1" applyFont="1" applyFill="1" applyBorder="1" applyAlignment="1">
      <alignment horizontal="left"/>
    </xf>
    <xf numFmtId="177" fontId="10" fillId="0" borderId="0" xfId="0" applyNumberFormat="1" applyFont="1" applyFill="1" applyBorder="1" applyAlignment="1">
      <alignment horizontal="right"/>
    </xf>
    <xf numFmtId="0" fontId="31" fillId="0" borderId="0" xfId="0" applyFont="1" applyAlignment="1">
      <alignment horizontal="right"/>
    </xf>
    <xf numFmtId="165" fontId="31" fillId="0" borderId="0" xfId="34" applyNumberFormat="1" applyFont="1"/>
    <xf numFmtId="0" fontId="15" fillId="4" borderId="0" xfId="25" applyFont="1" applyFill="1" applyBorder="1" applyAlignment="1" applyProtection="1">
      <alignment horizontal="left"/>
    </xf>
    <xf numFmtId="0" fontId="10" fillId="4" borderId="0" xfId="28" applyFont="1" applyFill="1"/>
    <xf numFmtId="1" fontId="15" fillId="4" borderId="0" xfId="25" quotePrefix="1" applyNumberFormat="1" applyFont="1" applyFill="1" applyBorder="1" applyAlignment="1">
      <alignment horizontal="center"/>
    </xf>
    <xf numFmtId="0" fontId="10" fillId="4" borderId="0" xfId="25" applyFont="1" applyFill="1" applyBorder="1"/>
    <xf numFmtId="0" fontId="10" fillId="0" borderId="0" xfId="28" applyFont="1" applyFill="1" applyBorder="1"/>
    <xf numFmtId="0" fontId="10" fillId="0" borderId="0" xfId="25" applyFont="1" applyFill="1"/>
    <xf numFmtId="175" fontId="10" fillId="0" borderId="0" xfId="23" applyNumberFormat="1" applyFont="1" applyFill="1" applyBorder="1"/>
    <xf numFmtId="41" fontId="10" fillId="0" borderId="0" xfId="23" applyNumberFormat="1" applyFont="1" applyFill="1" applyBorder="1"/>
    <xf numFmtId="164" fontId="10" fillId="0" borderId="0" xfId="25" quotePrefix="1" applyNumberFormat="1" applyFont="1" applyFill="1" applyBorder="1" applyAlignment="1">
      <alignment horizontal="center"/>
    </xf>
    <xf numFmtId="0" fontId="10" fillId="0" borderId="0" xfId="25" applyFont="1" applyFill="1" applyBorder="1"/>
    <xf numFmtId="0" fontId="15" fillId="0" borderId="0" xfId="28" applyFont="1" applyFill="1" applyAlignment="1"/>
    <xf numFmtId="166" fontId="10" fillId="0" borderId="5" xfId="21" quotePrefix="1" applyNumberFormat="1" applyFont="1" applyFill="1" applyBorder="1" applyAlignment="1">
      <alignment horizontal="right"/>
    </xf>
    <xf numFmtId="44" fontId="10" fillId="0" borderId="0" xfId="28" applyNumberFormat="1" applyFont="1" applyFill="1"/>
    <xf numFmtId="0" fontId="15" fillId="0" borderId="6" xfId="28" applyFont="1" applyFill="1" applyBorder="1" applyAlignment="1"/>
    <xf numFmtId="0" fontId="15" fillId="0" borderId="3" xfId="28" applyFont="1" applyFill="1" applyBorder="1" applyAlignment="1"/>
    <xf numFmtId="0" fontId="10" fillId="0" borderId="3" xfId="28" applyFont="1" applyFill="1" applyBorder="1"/>
    <xf numFmtId="175" fontId="10" fillId="0" borderId="3" xfId="23" applyNumberFormat="1" applyFont="1" applyFill="1" applyBorder="1"/>
    <xf numFmtId="0" fontId="10" fillId="0" borderId="8" xfId="25" applyFont="1" applyFill="1" applyBorder="1"/>
    <xf numFmtId="166" fontId="10" fillId="0" borderId="0" xfId="23" applyNumberFormat="1" applyFont="1" applyFill="1" applyBorder="1"/>
    <xf numFmtId="0" fontId="10" fillId="0" borderId="18" xfId="28" applyFont="1" applyFill="1" applyBorder="1"/>
    <xf numFmtId="0" fontId="15" fillId="0" borderId="1" xfId="28" applyFont="1" applyFill="1" applyBorder="1"/>
    <xf numFmtId="166" fontId="15" fillId="0" borderId="5" xfId="21" quotePrefix="1" applyNumberFormat="1" applyFont="1" applyFill="1" applyBorder="1" applyAlignment="1">
      <alignment horizontal="right"/>
    </xf>
    <xf numFmtId="0" fontId="10" fillId="4" borderId="0" xfId="28" applyFont="1" applyFill="1" applyAlignment="1"/>
    <xf numFmtId="166" fontId="10" fillId="4" borderId="0" xfId="28" applyNumberFormat="1" applyFont="1" applyFill="1" applyAlignment="1"/>
    <xf numFmtId="0" fontId="10" fillId="4" borderId="0" xfId="28" applyFont="1" applyFill="1" applyBorder="1"/>
    <xf numFmtId="9" fontId="10" fillId="0" borderId="0" xfId="34" applyFont="1" applyFill="1" applyBorder="1"/>
    <xf numFmtId="166" fontId="10" fillId="0" borderId="5" xfId="23" applyNumberFormat="1" applyFont="1" applyFill="1" applyBorder="1"/>
    <xf numFmtId="0" fontId="10" fillId="0" borderId="0" xfId="28" applyFont="1" applyFill="1" applyBorder="1" applyAlignment="1"/>
    <xf numFmtId="0" fontId="15" fillId="0" borderId="0" xfId="28" applyFont="1" applyFill="1" applyBorder="1" applyAlignment="1"/>
    <xf numFmtId="177" fontId="14" fillId="6" borderId="0" xfId="17" applyNumberFormat="1" applyFont="1" applyFill="1" applyBorder="1" applyAlignment="1" applyProtection="1">
      <alignment horizontal="right"/>
    </xf>
    <xf numFmtId="166" fontId="15" fillId="0" borderId="5" xfId="23" applyNumberFormat="1" applyFont="1" applyFill="1" applyBorder="1"/>
    <xf numFmtId="166" fontId="15" fillId="0" borderId="11" xfId="23" applyNumberFormat="1" applyFont="1" applyFill="1" applyBorder="1"/>
    <xf numFmtId="9" fontId="10" fillId="0" borderId="0" xfId="34" applyFont="1" applyFill="1"/>
    <xf numFmtId="44" fontId="10" fillId="0" borderId="0" xfId="28" applyNumberFormat="1" applyFont="1" applyFill="1" applyBorder="1"/>
    <xf numFmtId="0" fontId="10" fillId="0" borderId="0" xfId="28" applyFont="1" applyFill="1" applyAlignment="1"/>
    <xf numFmtId="0" fontId="15" fillId="4" borderId="0" xfId="0" applyFont="1" applyFill="1" applyBorder="1" applyAlignment="1">
      <alignment horizontal="left"/>
    </xf>
    <xf numFmtId="0" fontId="10" fillId="4" borderId="0" xfId="0" applyFont="1" applyFill="1" applyBorder="1" applyAlignment="1"/>
    <xf numFmtId="0" fontId="15" fillId="4" borderId="0" xfId="0" applyFont="1" applyFill="1" applyBorder="1" applyAlignment="1">
      <alignment horizontal="centerContinuous"/>
    </xf>
    <xf numFmtId="0" fontId="15" fillId="4" borderId="0" xfId="0" quotePrefix="1" applyFont="1" applyFill="1" applyBorder="1" applyAlignment="1">
      <alignment horizontal="centerContinuous"/>
    </xf>
    <xf numFmtId="0" fontId="15" fillId="4" borderId="0" xfId="0" applyFont="1" applyFill="1" applyBorder="1" applyAlignment="1"/>
    <xf numFmtId="41" fontId="10" fillId="0" borderId="0" xfId="21" applyNumberFormat="1" applyFont="1" applyFill="1" applyBorder="1" applyProtection="1"/>
    <xf numFmtId="42" fontId="10" fillId="0" borderId="0" xfId="0" applyNumberFormat="1" applyFont="1" applyFill="1" applyBorder="1" applyProtection="1"/>
    <xf numFmtId="0" fontId="15" fillId="0" borderId="0" xfId="0" applyFont="1" applyFill="1" applyBorder="1" applyAlignment="1">
      <alignment horizontal="left"/>
    </xf>
    <xf numFmtId="10" fontId="10" fillId="0" borderId="0" xfId="34" applyNumberFormat="1" applyFont="1" applyFill="1"/>
    <xf numFmtId="10" fontId="10" fillId="0" borderId="1" xfId="34" applyNumberFormat="1" applyFont="1" applyFill="1" applyBorder="1"/>
    <xf numFmtId="10" fontId="14" fillId="0" borderId="1" xfId="34" applyNumberFormat="1" applyFont="1" applyFill="1" applyBorder="1"/>
    <xf numFmtId="10" fontId="14" fillId="7" borderId="1" xfId="34" applyNumberFormat="1" applyFont="1" applyFill="1" applyBorder="1"/>
    <xf numFmtId="10" fontId="10" fillId="7" borderId="1" xfId="0" applyNumberFormat="1" applyFont="1" applyFill="1" applyBorder="1"/>
    <xf numFmtId="10" fontId="10" fillId="0" borderId="0" xfId="0" applyNumberFormat="1" applyFont="1" applyFill="1" applyBorder="1"/>
    <xf numFmtId="166" fontId="10" fillId="0" borderId="0" xfId="0" applyNumberFormat="1" applyFont="1" applyFill="1" applyBorder="1"/>
    <xf numFmtId="0" fontId="15" fillId="0" borderId="0" xfId="0" applyFont="1" applyFill="1" applyBorder="1" applyAlignment="1">
      <alignment horizontal="centerContinuous"/>
    </xf>
    <xf numFmtId="176" fontId="10" fillId="0" borderId="3" xfId="0" applyNumberFormat="1" applyFont="1" applyFill="1" applyBorder="1" applyAlignment="1"/>
    <xf numFmtId="176" fontId="10" fillId="0" borderId="0" xfId="0" applyNumberFormat="1" applyFont="1" applyFill="1" applyBorder="1" applyAlignment="1"/>
    <xf numFmtId="0" fontId="15" fillId="0" borderId="0" xfId="0" quotePrefix="1" applyFont="1" applyFill="1" applyBorder="1" applyAlignment="1">
      <alignment horizontal="centerContinuous"/>
    </xf>
    <xf numFmtId="10" fontId="10" fillId="7" borderId="0" xfId="34" applyNumberFormat="1" applyFont="1" applyFill="1" applyBorder="1" applyAlignment="1"/>
    <xf numFmtId="0" fontId="15" fillId="0" borderId="0" xfId="0" applyFont="1" applyAlignment="1">
      <alignment horizontal="center"/>
    </xf>
    <xf numFmtId="0" fontId="15" fillId="0" borderId="0" xfId="0" applyFont="1" applyFill="1" applyBorder="1" applyAlignment="1">
      <alignment horizontal="center"/>
    </xf>
    <xf numFmtId="176" fontId="14" fillId="0" borderId="0" xfId="17" applyNumberFormat="1" applyFont="1" applyBorder="1"/>
    <xf numFmtId="176" fontId="10" fillId="0" borderId="0" xfId="17" applyNumberFormat="1" applyFont="1" applyAlignment="1">
      <alignment horizontal="center"/>
    </xf>
    <xf numFmtId="43" fontId="10" fillId="0" borderId="0" xfId="17" applyFont="1" applyAlignment="1">
      <alignment horizontal="center"/>
    </xf>
    <xf numFmtId="0" fontId="10" fillId="0" borderId="1" xfId="0" applyFont="1" applyBorder="1"/>
    <xf numFmtId="41" fontId="10" fillId="0" borderId="0" xfId="0" applyNumberFormat="1" applyFont="1" applyFill="1" applyBorder="1" applyProtection="1"/>
    <xf numFmtId="43" fontId="10" fillId="0" borderId="0" xfId="17" applyFont="1" applyFill="1" applyBorder="1" applyProtection="1"/>
    <xf numFmtId="176" fontId="10" fillId="0" borderId="1" xfId="17" applyNumberFormat="1" applyFont="1" applyBorder="1"/>
    <xf numFmtId="43" fontId="14" fillId="6" borderId="1" xfId="17" applyFont="1" applyFill="1" applyBorder="1" applyAlignment="1">
      <alignment horizontal="center"/>
    </xf>
    <xf numFmtId="0" fontId="15" fillId="0" borderId="0" xfId="0" applyFont="1" applyBorder="1"/>
    <xf numFmtId="0" fontId="15" fillId="0" borderId="0" xfId="0" applyFont="1"/>
    <xf numFmtId="176" fontId="15" fillId="0" borderId="0" xfId="17" applyNumberFormat="1" applyFont="1" applyAlignment="1">
      <alignment horizontal="center"/>
    </xf>
    <xf numFmtId="175" fontId="10" fillId="0" borderId="0" xfId="21" applyNumberFormat="1" applyFont="1" applyBorder="1"/>
    <xf numFmtId="179" fontId="10" fillId="0" borderId="0" xfId="0" applyNumberFormat="1" applyFont="1" applyFill="1" applyBorder="1" applyAlignment="1"/>
    <xf numFmtId="175" fontId="15" fillId="0" borderId="0" xfId="21" applyNumberFormat="1" applyFont="1" applyBorder="1"/>
    <xf numFmtId="175" fontId="10" fillId="0" borderId="0" xfId="0" applyNumberFormat="1" applyFont="1" applyFill="1" applyBorder="1" applyAlignment="1">
      <alignment horizontal="right"/>
    </xf>
    <xf numFmtId="175" fontId="15" fillId="0" borderId="0" xfId="21" applyNumberFormat="1" applyFont="1" applyFill="1" applyBorder="1"/>
    <xf numFmtId="175" fontId="15" fillId="0" borderId="0" xfId="21" applyNumberFormat="1" applyFont="1" applyFill="1" applyBorder="1" applyProtection="1"/>
    <xf numFmtId="176" fontId="10" fillId="0" borderId="0" xfId="17" applyNumberFormat="1" applyFont="1" applyFill="1" applyBorder="1" applyProtection="1"/>
    <xf numFmtId="176" fontId="10" fillId="0" borderId="0" xfId="0" applyNumberFormat="1" applyFont="1" applyFill="1" applyBorder="1" applyProtection="1"/>
    <xf numFmtId="176" fontId="10" fillId="0" borderId="0" xfId="17" applyNumberFormat="1" applyFont="1" applyBorder="1"/>
    <xf numFmtId="43" fontId="15" fillId="0" borderId="0" xfId="17" applyFont="1" applyFill="1" applyBorder="1"/>
    <xf numFmtId="176" fontId="14" fillId="0" borderId="0" xfId="17" applyNumberFormat="1" applyFont="1" applyFill="1" applyBorder="1" applyAlignment="1">
      <alignment horizontal="centerContinuous"/>
    </xf>
    <xf numFmtId="176" fontId="14" fillId="0" borderId="0" xfId="17" quotePrefix="1" applyNumberFormat="1" applyFont="1" applyFill="1" applyBorder="1" applyAlignment="1">
      <alignment horizontal="centerContinuous"/>
    </xf>
    <xf numFmtId="176" fontId="14" fillId="0" borderId="0" xfId="17" applyNumberFormat="1" applyFont="1" applyFill="1" applyBorder="1" applyAlignment="1">
      <alignment horizontal="left"/>
    </xf>
    <xf numFmtId="176" fontId="15" fillId="0" borderId="0" xfId="17" applyNumberFormat="1" applyFont="1" applyFill="1" applyBorder="1" applyAlignment="1">
      <alignment horizontal="centerContinuous"/>
    </xf>
    <xf numFmtId="176" fontId="15" fillId="0" borderId="0" xfId="17" quotePrefix="1" applyNumberFormat="1" applyFont="1" applyFill="1" applyBorder="1" applyAlignment="1">
      <alignment horizontal="centerContinuous"/>
    </xf>
    <xf numFmtId="176" fontId="15" fillId="0" borderId="0" xfId="17" applyNumberFormat="1" applyFont="1" applyFill="1" applyBorder="1" applyAlignment="1">
      <alignment horizontal="left"/>
    </xf>
    <xf numFmtId="176" fontId="10" fillId="0" borderId="1" xfId="17" applyNumberFormat="1" applyFont="1" applyFill="1" applyBorder="1" applyProtection="1"/>
    <xf numFmtId="0" fontId="10" fillId="0" borderId="0" xfId="0" applyFont="1" applyFill="1" applyBorder="1" applyAlignment="1">
      <alignment horizontal="left"/>
    </xf>
    <xf numFmtId="176" fontId="15" fillId="0" borderId="0" xfId="17" applyNumberFormat="1" applyFont="1" applyBorder="1"/>
    <xf numFmtId="1" fontId="10" fillId="0" borderId="0" xfId="0" applyNumberFormat="1" applyFont="1" applyFill="1" applyAlignment="1"/>
    <xf numFmtId="175" fontId="10" fillId="0" borderId="0" xfId="21" applyNumberFormat="1" applyFont="1" applyFill="1" applyBorder="1" applyAlignment="1" applyProtection="1">
      <alignment horizontal="right"/>
    </xf>
    <xf numFmtId="1" fontId="15" fillId="0" borderId="0" xfId="0" quotePrefix="1" applyNumberFormat="1" applyFont="1" applyFill="1" applyBorder="1" applyAlignment="1">
      <alignment horizontal="center"/>
    </xf>
    <xf numFmtId="164" fontId="10" fillId="0" borderId="0" xfId="0" quotePrefix="1" applyNumberFormat="1" applyFont="1" applyFill="1" applyBorder="1" applyAlignment="1">
      <alignment horizontal="center"/>
    </xf>
    <xf numFmtId="175" fontId="10" fillId="0" borderId="0" xfId="21" quotePrefix="1" applyNumberFormat="1" applyFont="1" applyFill="1" applyBorder="1" applyAlignment="1">
      <alignment horizontal="center"/>
    </xf>
    <xf numFmtId="176" fontId="10" fillId="0" borderId="0" xfId="17" applyNumberFormat="1" applyFont="1" applyFill="1" applyBorder="1" applyAlignment="1" applyProtection="1">
      <alignment horizontal="right"/>
    </xf>
    <xf numFmtId="41" fontId="10" fillId="0" borderId="0" xfId="0" quotePrefix="1" applyNumberFormat="1" applyFont="1" applyFill="1" applyBorder="1" applyAlignment="1">
      <alignment horizontal="center"/>
    </xf>
    <xf numFmtId="41" fontId="10" fillId="0" borderId="0" xfId="17" applyNumberFormat="1" applyFont="1" applyFill="1" applyBorder="1" applyAlignment="1" applyProtection="1">
      <alignment horizontal="right"/>
    </xf>
    <xf numFmtId="1" fontId="15" fillId="0" borderId="0" xfId="0" applyNumberFormat="1" applyFont="1" applyFill="1" applyAlignment="1"/>
    <xf numFmtId="44" fontId="14" fillId="0" borderId="0" xfId="21" applyFont="1" applyFill="1" applyBorder="1"/>
    <xf numFmtId="44" fontId="10" fillId="0" borderId="0" xfId="21" applyFont="1" applyFill="1" applyBorder="1"/>
    <xf numFmtId="1" fontId="10" fillId="0" borderId="0" xfId="0" applyNumberFormat="1" applyFont="1" applyFill="1"/>
    <xf numFmtId="0" fontId="15" fillId="0" borderId="14" xfId="0" applyFont="1" applyFill="1" applyBorder="1" applyAlignment="1">
      <alignment horizontal="left"/>
    </xf>
    <xf numFmtId="37" fontId="15" fillId="0" borderId="15" xfId="0" applyNumberFormat="1" applyFont="1" applyFill="1" applyBorder="1"/>
    <xf numFmtId="176" fontId="15" fillId="0" borderId="15" xfId="17" applyNumberFormat="1" applyFont="1" applyFill="1" applyBorder="1"/>
    <xf numFmtId="0" fontId="15" fillId="0" borderId="16" xfId="0" applyFont="1" applyFill="1" applyBorder="1" applyAlignment="1">
      <alignment horizontal="left"/>
    </xf>
    <xf numFmtId="37" fontId="15" fillId="0" borderId="2" xfId="0" applyNumberFormat="1" applyFont="1" applyFill="1" applyBorder="1"/>
    <xf numFmtId="176" fontId="15" fillId="0" borderId="2" xfId="17" applyNumberFormat="1" applyFont="1" applyFill="1" applyBorder="1"/>
    <xf numFmtId="10" fontId="20" fillId="6" borderId="0" xfId="34" applyNumberFormat="1" applyFont="1" applyFill="1"/>
    <xf numFmtId="10" fontId="15" fillId="0" borderId="0" xfId="34" applyNumberFormat="1" applyFont="1" applyFill="1"/>
    <xf numFmtId="10" fontId="10" fillId="0" borderId="0" xfId="0" applyNumberFormat="1" applyFont="1" applyFill="1"/>
    <xf numFmtId="10" fontId="15" fillId="0" borderId="0" xfId="34" applyNumberFormat="1" applyFont="1" applyFill="1" applyAlignment="1">
      <alignment horizontal="right"/>
    </xf>
    <xf numFmtId="0" fontId="15" fillId="0" borderId="12" xfId="0" applyFont="1" applyFill="1" applyBorder="1"/>
    <xf numFmtId="0" fontId="10" fillId="0" borderId="7" xfId="0" applyFont="1" applyFill="1" applyBorder="1"/>
    <xf numFmtId="10" fontId="15" fillId="0" borderId="7" xfId="34" applyNumberFormat="1" applyFont="1" applyFill="1" applyBorder="1"/>
    <xf numFmtId="176" fontId="15" fillId="0" borderId="3" xfId="17" applyNumberFormat="1" applyFont="1" applyFill="1" applyBorder="1"/>
    <xf numFmtId="175" fontId="15" fillId="0" borderId="11" xfId="21" applyNumberFormat="1" applyFont="1" applyFill="1" applyBorder="1"/>
    <xf numFmtId="10" fontId="14" fillId="0" borderId="0" xfId="34" applyNumberFormat="1" applyFont="1" applyFill="1"/>
    <xf numFmtId="0" fontId="10" fillId="0" borderId="0" xfId="29" applyFont="1" applyFill="1" applyBorder="1" applyAlignment="1"/>
    <xf numFmtId="43" fontId="10" fillId="0" borderId="0" xfId="17" applyNumberFormat="1" applyFont="1" applyFill="1" applyBorder="1"/>
    <xf numFmtId="177" fontId="20" fillId="6" borderId="0" xfId="17" applyNumberFormat="1" applyFont="1" applyFill="1" applyBorder="1"/>
    <xf numFmtId="177" fontId="14" fillId="6" borderId="1" xfId="17" applyNumberFormat="1" applyFont="1" applyFill="1" applyBorder="1"/>
    <xf numFmtId="177" fontId="14" fillId="0" borderId="0" xfId="17" applyNumberFormat="1" applyFont="1" applyFill="1" applyBorder="1" applyAlignment="1"/>
    <xf numFmtId="184" fontId="20" fillId="6" borderId="0" xfId="0" applyNumberFormat="1" applyFont="1" applyFill="1"/>
    <xf numFmtId="184" fontId="14" fillId="0" borderId="0" xfId="1" applyNumberFormat="1" applyFont="1" applyFill="1" applyAlignment="1">
      <alignment horizontal="right"/>
    </xf>
    <xf numFmtId="176" fontId="14" fillId="0" borderId="0" xfId="17" applyNumberFormat="1" applyFont="1" applyFill="1" applyBorder="1" applyAlignment="1">
      <alignment horizontal="right" wrapText="1"/>
    </xf>
    <xf numFmtId="176" fontId="14" fillId="0" borderId="0" xfId="17" applyNumberFormat="1" applyFont="1" applyFill="1" applyAlignment="1">
      <alignment horizontal="right" wrapText="1"/>
    </xf>
    <xf numFmtId="176" fontId="14" fillId="6" borderId="0" xfId="17" applyNumberFormat="1" applyFont="1" applyFill="1"/>
    <xf numFmtId="176" fontId="14" fillId="0" borderId="1" xfId="17" applyNumberFormat="1" applyFont="1" applyFill="1" applyBorder="1" applyAlignment="1">
      <alignment horizontal="right" wrapText="1"/>
    </xf>
    <xf numFmtId="176" fontId="10" fillId="5" borderId="0" xfId="17" quotePrefix="1" applyNumberFormat="1" applyFont="1" applyFill="1" applyBorder="1" applyAlignment="1">
      <alignment horizontal="right"/>
    </xf>
    <xf numFmtId="0" fontId="10" fillId="5" borderId="0" xfId="0" applyFont="1" applyFill="1" applyBorder="1" applyAlignment="1">
      <alignment horizontal="right"/>
    </xf>
    <xf numFmtId="42" fontId="10" fillId="5" borderId="0" xfId="0" quotePrefix="1" applyNumberFormat="1" applyFont="1" applyFill="1" applyBorder="1" applyAlignment="1">
      <alignment horizontal="right"/>
    </xf>
    <xf numFmtId="0" fontId="10" fillId="5" borderId="0" xfId="0" applyFont="1" applyFill="1" applyBorder="1"/>
    <xf numFmtId="164" fontId="10" fillId="5" borderId="0" xfId="0" applyNumberFormat="1" applyFont="1" applyFill="1" applyBorder="1" applyAlignment="1">
      <alignment horizontal="center"/>
    </xf>
    <xf numFmtId="0" fontId="10" fillId="5" borderId="0" xfId="27" applyFont="1" applyFill="1" applyBorder="1"/>
    <xf numFmtId="43" fontId="15" fillId="5" borderId="0" xfId="17" applyFont="1" applyFill="1" applyBorder="1"/>
    <xf numFmtId="175" fontId="14" fillId="0" borderId="0" xfId="21" applyNumberFormat="1" applyFont="1" applyFill="1" applyBorder="1" applyAlignment="1">
      <alignment horizontal="right" wrapText="1"/>
    </xf>
    <xf numFmtId="10" fontId="14" fillId="0" borderId="0" xfId="17" applyNumberFormat="1" applyFont="1" applyFill="1" applyBorder="1" applyAlignment="1">
      <alignment horizontal="right"/>
    </xf>
    <xf numFmtId="10" fontId="14" fillId="0" borderId="0" xfId="17" applyNumberFormat="1" applyFont="1" applyFill="1" applyBorder="1" applyAlignment="1"/>
    <xf numFmtId="37" fontId="14" fillId="0" borderId="0" xfId="35" applyNumberFormat="1" applyFont="1" applyFill="1"/>
    <xf numFmtId="168" fontId="14" fillId="0" borderId="0" xfId="1" applyNumberFormat="1" applyFont="1" applyFill="1" applyAlignment="1">
      <alignment horizontal="center"/>
    </xf>
    <xf numFmtId="168" fontId="14" fillId="0" borderId="0" xfId="1" applyNumberFormat="1" applyFont="1" applyFill="1"/>
    <xf numFmtId="188" fontId="14" fillId="0" borderId="0" xfId="1" applyNumberFormat="1" applyFont="1" applyFill="1"/>
    <xf numFmtId="188" fontId="14" fillId="10" borderId="0" xfId="1" applyNumberFormat="1" applyFont="1" applyFill="1"/>
    <xf numFmtId="176" fontId="10" fillId="0" borderId="1" xfId="17" quotePrefix="1" applyNumberFormat="1" applyFont="1" applyFill="1" applyBorder="1" applyAlignment="1">
      <alignment horizontal="left"/>
    </xf>
    <xf numFmtId="10" fontId="15" fillId="0" borderId="0" xfId="0" quotePrefix="1" applyNumberFormat="1" applyFont="1" applyFill="1" applyBorder="1" applyAlignment="1">
      <alignment horizontal="right"/>
    </xf>
    <xf numFmtId="10" fontId="15" fillId="0" borderId="0" xfId="36" applyNumberFormat="1" applyFont="1" applyFill="1" applyBorder="1" applyAlignment="1">
      <alignment horizontal="right" wrapText="1"/>
    </xf>
    <xf numFmtId="165" fontId="20" fillId="6" borderId="0" xfId="34" applyNumberFormat="1" applyFont="1" applyFill="1" applyAlignment="1">
      <alignment horizontal="right"/>
    </xf>
    <xf numFmtId="1" fontId="10" fillId="0" borderId="0" xfId="27" applyNumberFormat="1" applyFont="1" applyFill="1" applyBorder="1" applyAlignment="1"/>
    <xf numFmtId="176" fontId="14" fillId="0" borderId="0" xfId="17" quotePrefix="1" applyNumberFormat="1" applyFont="1" applyFill="1" applyBorder="1" applyAlignment="1">
      <alignment horizontal="center"/>
    </xf>
    <xf numFmtId="177" fontId="10" fillId="0" borderId="1" xfId="0" applyNumberFormat="1" applyFont="1" applyFill="1" applyBorder="1" applyAlignment="1">
      <alignment horizontal="right"/>
    </xf>
    <xf numFmtId="176" fontId="14" fillId="0" borderId="1" xfId="17" applyNumberFormat="1" applyFont="1" applyBorder="1" applyAlignment="1">
      <alignment horizontal="right"/>
    </xf>
    <xf numFmtId="176" fontId="14" fillId="0" borderId="1" xfId="17" quotePrefix="1" applyNumberFormat="1" applyFont="1" applyFill="1" applyBorder="1" applyAlignment="1">
      <alignment horizontal="center"/>
    </xf>
    <xf numFmtId="10" fontId="14" fillId="0" borderId="0" xfId="34" applyNumberFormat="1" applyFont="1" applyAlignment="1"/>
    <xf numFmtId="10" fontId="14" fillId="0" borderId="0" xfId="34" quotePrefix="1" applyNumberFormat="1" applyFont="1" applyFill="1" applyBorder="1" applyAlignment="1"/>
    <xf numFmtId="10" fontId="10" fillId="0" borderId="0" xfId="0" applyNumberFormat="1" applyFont="1" applyFill="1" applyBorder="1" applyAlignment="1">
      <alignment horizontal="right"/>
    </xf>
    <xf numFmtId="10" fontId="14" fillId="0" borderId="1" xfId="34" applyNumberFormat="1" applyFont="1" applyBorder="1" applyAlignment="1"/>
    <xf numFmtId="10" fontId="14" fillId="0" borderId="1" xfId="34" quotePrefix="1" applyNumberFormat="1" applyFont="1" applyFill="1" applyBorder="1" applyAlignment="1"/>
    <xf numFmtId="10" fontId="10" fillId="0" borderId="1" xfId="0" applyNumberFormat="1" applyFont="1" applyFill="1" applyBorder="1" applyAlignment="1">
      <alignment horizontal="right"/>
    </xf>
    <xf numFmtId="176" fontId="14" fillId="0" borderId="0" xfId="17" applyNumberFormat="1" applyFont="1" applyFill="1" applyBorder="1" applyAlignment="1">
      <alignment horizontal="right"/>
    </xf>
    <xf numFmtId="176" fontId="14" fillId="0" borderId="0" xfId="0" applyNumberFormat="1" applyFont="1"/>
    <xf numFmtId="0" fontId="3" fillId="0" borderId="0" xfId="0" applyFont="1" applyFill="1" applyAlignment="1">
      <alignment horizontal="center"/>
    </xf>
    <xf numFmtId="0" fontId="53" fillId="0" borderId="0" xfId="0" applyFont="1" applyFill="1" applyAlignment="1">
      <alignment horizontal="center"/>
    </xf>
    <xf numFmtId="0" fontId="21" fillId="0" borderId="0" xfId="0" applyFont="1" applyFill="1" applyBorder="1" applyAlignment="1">
      <alignment horizontal="center"/>
    </xf>
    <xf numFmtId="0" fontId="31" fillId="0" borderId="0" xfId="0" applyFont="1" applyFill="1" applyAlignment="1">
      <alignment horizontal="center"/>
    </xf>
    <xf numFmtId="176" fontId="21" fillId="0" borderId="0" xfId="17" applyNumberFormat="1" applyFont="1" applyFill="1" applyAlignment="1">
      <alignment horizontal="center"/>
    </xf>
    <xf numFmtId="0" fontId="21" fillId="0" borderId="0" xfId="27" applyFont="1" applyFill="1" applyAlignment="1">
      <alignment horizontal="center"/>
    </xf>
    <xf numFmtId="0" fontId="31" fillId="0" borderId="0" xfId="0" applyFont="1" applyFill="1" applyBorder="1" applyAlignment="1">
      <alignment horizontal="center"/>
    </xf>
    <xf numFmtId="0" fontId="53" fillId="0" borderId="0" xfId="0" applyFont="1" applyFill="1" applyBorder="1" applyAlignment="1">
      <alignment horizontal="center"/>
    </xf>
    <xf numFmtId="0" fontId="31" fillId="0" borderId="0" xfId="27" applyFont="1" applyFill="1" applyAlignment="1">
      <alignment horizontal="center"/>
    </xf>
    <xf numFmtId="0" fontId="21" fillId="0" borderId="0" xfId="28" applyFont="1" applyFill="1" applyAlignment="1">
      <alignment horizontal="center"/>
    </xf>
    <xf numFmtId="0" fontId="21" fillId="0" borderId="0" xfId="25" applyFont="1" applyFill="1" applyAlignment="1">
      <alignment horizontal="center"/>
    </xf>
    <xf numFmtId="0" fontId="21" fillId="0" borderId="0" xfId="28" applyFont="1" applyFill="1" applyBorder="1" applyAlignment="1">
      <alignment horizontal="center"/>
    </xf>
    <xf numFmtId="0" fontId="53" fillId="0" borderId="0" xfId="28" applyFont="1" applyFill="1" applyBorder="1" applyAlignment="1">
      <alignment horizontal="center"/>
    </xf>
    <xf numFmtId="0" fontId="31" fillId="0" borderId="0" xfId="28" applyFont="1" applyFill="1" applyAlignment="1">
      <alignment horizontal="center"/>
    </xf>
    <xf numFmtId="1" fontId="53" fillId="0" borderId="0" xfId="0" applyNumberFormat="1" applyFont="1" applyFill="1" applyAlignment="1">
      <alignment horizontal="center"/>
    </xf>
    <xf numFmtId="1" fontId="38" fillId="0" borderId="0" xfId="0" applyNumberFormat="1" applyFont="1" applyFill="1" applyAlignment="1">
      <alignment horizontal="center"/>
    </xf>
    <xf numFmtId="0" fontId="13" fillId="0" borderId="0" xfId="0" applyFont="1" applyFill="1" applyAlignment="1">
      <alignment horizontal="center"/>
    </xf>
    <xf numFmtId="188" fontId="37" fillId="6" borderId="0" xfId="0" applyNumberFormat="1" applyFont="1" applyFill="1"/>
    <xf numFmtId="188" fontId="3" fillId="0" borderId="0" xfId="0" applyNumberFormat="1" applyFont="1"/>
    <xf numFmtId="188" fontId="3" fillId="0" borderId="0" xfId="0" applyNumberFormat="1" applyFont="1" applyFill="1" applyBorder="1"/>
    <xf numFmtId="37" fontId="14" fillId="12" borderId="0" xfId="1" applyNumberFormat="1" applyFont="1" applyFill="1"/>
    <xf numFmtId="165" fontId="51" fillId="0" borderId="0" xfId="34" applyNumberFormat="1" applyFont="1" applyAlignment="1">
      <alignment horizontal="right"/>
    </xf>
    <xf numFmtId="10" fontId="3" fillId="0" borderId="0" xfId="34" applyNumberFormat="1" applyFont="1" applyFill="1"/>
    <xf numFmtId="10" fontId="3" fillId="0" borderId="0" xfId="34" applyNumberFormat="1" applyFont="1" applyFill="1" applyAlignment="1">
      <alignment horizontal="right"/>
    </xf>
    <xf numFmtId="10" fontId="37" fillId="6" borderId="0" xfId="17" applyNumberFormat="1" applyFont="1" applyFill="1"/>
    <xf numFmtId="165" fontId="37" fillId="0" borderId="0" xfId="0" applyNumberFormat="1" applyFont="1" applyFill="1"/>
    <xf numFmtId="0" fontId="15" fillId="13" borderId="0" xfId="0" applyFont="1" applyFill="1" applyBorder="1" applyAlignment="1" applyProtection="1">
      <alignment horizontal="left"/>
    </xf>
    <xf numFmtId="0" fontId="9" fillId="13" borderId="0" xfId="2" applyFont="1" applyFill="1"/>
    <xf numFmtId="0" fontId="9" fillId="13" borderId="0" xfId="0" applyFont="1" applyFill="1" applyBorder="1"/>
    <xf numFmtId="188" fontId="54" fillId="6" borderId="0" xfId="0" applyNumberFormat="1" applyFont="1" applyFill="1"/>
    <xf numFmtId="176" fontId="37" fillId="0" borderId="0" xfId="17" applyNumberFormat="1" applyFont="1" applyFill="1" applyBorder="1" applyAlignment="1" applyProtection="1"/>
    <xf numFmtId="41" fontId="37" fillId="0" borderId="0" xfId="21" applyNumberFormat="1" applyFont="1" applyFill="1" applyBorder="1" applyAlignment="1" applyProtection="1"/>
    <xf numFmtId="41" fontId="15" fillId="0" borderId="3" xfId="0" applyNumberFormat="1" applyFont="1" applyFill="1" applyBorder="1" applyAlignment="1" applyProtection="1"/>
    <xf numFmtId="0" fontId="3" fillId="0" borderId="0" xfId="0" applyFont="1"/>
    <xf numFmtId="0" fontId="55" fillId="0" borderId="0" xfId="0" applyFont="1"/>
    <xf numFmtId="0" fontId="55" fillId="0" borderId="0" xfId="1" applyFont="1"/>
    <xf numFmtId="0" fontId="9" fillId="0" borderId="0" xfId="1" applyFont="1"/>
    <xf numFmtId="43" fontId="56" fillId="0" borderId="0" xfId="17" applyFont="1"/>
    <xf numFmtId="0" fontId="41" fillId="9" borderId="0" xfId="1" applyFont="1" applyFill="1" applyAlignment="1">
      <alignment horizontal="center"/>
    </xf>
    <xf numFmtId="192" fontId="3" fillId="0" borderId="0" xfId="0" applyNumberFormat="1" applyFont="1"/>
    <xf numFmtId="192" fontId="9" fillId="0" borderId="0" xfId="0" applyNumberFormat="1" applyFont="1"/>
    <xf numFmtId="193" fontId="13" fillId="0" borderId="0" xfId="41" applyNumberFormat="1" applyFont="1" applyFill="1" applyBorder="1" applyAlignment="1">
      <alignment horizontal="right"/>
    </xf>
    <xf numFmtId="192" fontId="3" fillId="0" borderId="1" xfId="0" applyNumberFormat="1" applyFont="1" applyBorder="1"/>
    <xf numFmtId="192" fontId="9" fillId="0" borderId="12" xfId="0" applyNumberFormat="1" applyFont="1" applyBorder="1"/>
    <xf numFmtId="192" fontId="9" fillId="0" borderId="7" xfId="0" applyNumberFormat="1" applyFont="1" applyBorder="1"/>
    <xf numFmtId="192" fontId="9" fillId="0" borderId="13" xfId="0" applyNumberFormat="1" applyFont="1" applyBorder="1"/>
    <xf numFmtId="0" fontId="8" fillId="0" borderId="0" xfId="0" applyFont="1"/>
    <xf numFmtId="0" fontId="8" fillId="0" borderId="0" xfId="1" applyFont="1"/>
    <xf numFmtId="0" fontId="9" fillId="0" borderId="0" xfId="1" applyFont="1" applyFill="1"/>
    <xf numFmtId="0" fontId="9" fillId="0" borderId="0" xfId="1" applyFont="1" applyFill="1" applyAlignment="1">
      <alignment horizontal="left"/>
    </xf>
    <xf numFmtId="176" fontId="3" fillId="11" borderId="0" xfId="17" applyNumberFormat="1" applyFont="1" applyFill="1"/>
    <xf numFmtId="0" fontId="9" fillId="0" borderId="0" xfId="1" applyFont="1" applyFill="1" applyBorder="1"/>
    <xf numFmtId="192" fontId="3" fillId="0" borderId="0" xfId="17" applyNumberFormat="1" applyFont="1"/>
    <xf numFmtId="0" fontId="3" fillId="0" borderId="0" xfId="42" applyFont="1"/>
    <xf numFmtId="0" fontId="9" fillId="0" borderId="0" xfId="42" applyFont="1"/>
    <xf numFmtId="9" fontId="3" fillId="0" borderId="0" xfId="34" applyNumberFormat="1" applyFont="1"/>
    <xf numFmtId="192" fontId="3" fillId="0" borderId="0" xfId="1" applyNumberFormat="1" applyFont="1"/>
    <xf numFmtId="0" fontId="3" fillId="11" borderId="0" xfId="0" applyFont="1" applyFill="1"/>
    <xf numFmtId="37" fontId="3" fillId="11" borderId="0" xfId="1" applyNumberFormat="1" applyFont="1" applyFill="1"/>
    <xf numFmtId="193" fontId="13" fillId="0" borderId="1" xfId="41" applyNumberFormat="1" applyFont="1" applyFill="1" applyBorder="1" applyAlignment="1">
      <alignment horizontal="right"/>
    </xf>
    <xf numFmtId="0" fontId="18" fillId="0" borderId="0" xfId="1" applyFont="1"/>
    <xf numFmtId="37" fontId="18" fillId="0" borderId="0" xfId="1" applyNumberFormat="1" applyFont="1" applyFill="1" applyBorder="1"/>
    <xf numFmtId="192" fontId="18" fillId="0" borderId="0" xfId="0" applyNumberFormat="1" applyFont="1"/>
    <xf numFmtId="37" fontId="18" fillId="0" borderId="0" xfId="1" applyNumberFormat="1" applyFont="1" applyFill="1"/>
    <xf numFmtId="192" fontId="3" fillId="3" borderId="0" xfId="0" applyNumberFormat="1" applyFont="1" applyFill="1"/>
    <xf numFmtId="192" fontId="3" fillId="0" borderId="0" xfId="0" applyNumberFormat="1" applyFont="1" applyFill="1"/>
    <xf numFmtId="182" fontId="3" fillId="0" borderId="0" xfId="17" applyNumberFormat="1" applyFont="1"/>
    <xf numFmtId="0" fontId="3" fillId="0" borderId="0" xfId="0" applyFont="1"/>
    <xf numFmtId="192" fontId="3" fillId="0" borderId="0" xfId="0" applyNumberFormat="1" applyFont="1" applyAlignment="1">
      <alignment horizontal="right"/>
    </xf>
    <xf numFmtId="9" fontId="8" fillId="0" borderId="0" xfId="34" applyFont="1"/>
    <xf numFmtId="9" fontId="9" fillId="0" borderId="0" xfId="34" applyFont="1" applyFill="1"/>
    <xf numFmtId="9" fontId="9" fillId="0" borderId="0" xfId="34" applyFont="1" applyFill="1" applyBorder="1"/>
    <xf numFmtId="9" fontId="18" fillId="0" borderId="0" xfId="34" applyFont="1"/>
    <xf numFmtId="9" fontId="9" fillId="3" borderId="0" xfId="34" applyFont="1" applyFill="1"/>
    <xf numFmtId="0" fontId="41" fillId="0" borderId="0" xfId="1" applyFont="1" applyFill="1" applyAlignment="1">
      <alignment horizontal="center"/>
    </xf>
    <xf numFmtId="176" fontId="51" fillId="0" borderId="0" xfId="17" applyNumberFormat="1" applyFont="1" applyFill="1" applyAlignment="1"/>
    <xf numFmtId="177" fontId="10" fillId="0" borderId="0" xfId="27" applyNumberFormat="1" applyFont="1" applyFill="1" applyBorder="1" applyAlignment="1"/>
    <xf numFmtId="10" fontId="3" fillId="0" borderId="0" xfId="0" applyNumberFormat="1" applyFont="1" applyFill="1" applyAlignment="1">
      <alignment horizontal="right"/>
    </xf>
    <xf numFmtId="10" fontId="3" fillId="0" borderId="1" xfId="0" applyNumberFormat="1" applyFont="1" applyFill="1" applyBorder="1" applyAlignment="1">
      <alignment horizontal="right"/>
    </xf>
    <xf numFmtId="41" fontId="3" fillId="0" borderId="0" xfId="21" applyNumberFormat="1" applyFont="1" applyFill="1" applyBorder="1" applyAlignment="1" applyProtection="1"/>
    <xf numFmtId="176" fontId="37" fillId="6" borderId="0" xfId="17" applyNumberFormat="1" applyFont="1" applyFill="1"/>
    <xf numFmtId="176" fontId="13" fillId="0" borderId="0" xfId="0" applyNumberFormat="1" applyFont="1" applyBorder="1"/>
    <xf numFmtId="43" fontId="3" fillId="0" borderId="0" xfId="0" applyNumberFormat="1" applyFont="1" applyAlignment="1">
      <alignment horizontal="right"/>
    </xf>
    <xf numFmtId="43" fontId="3" fillId="0" borderId="1" xfId="0" applyNumberFormat="1" applyFont="1" applyBorder="1" applyAlignment="1">
      <alignment horizontal="right"/>
    </xf>
    <xf numFmtId="177" fontId="3" fillId="0" borderId="3" xfId="0" applyNumberFormat="1" applyFont="1" applyBorder="1" applyAlignment="1">
      <alignment horizontal="right"/>
    </xf>
    <xf numFmtId="184" fontId="20" fillId="6" borderId="0" xfId="17" applyNumberFormat="1" applyFont="1" applyFill="1"/>
    <xf numFmtId="0" fontId="3" fillId="0" borderId="0" xfId="0" applyFont="1"/>
    <xf numFmtId="9" fontId="37" fillId="6" borderId="0" xfId="34" applyFont="1" applyFill="1"/>
    <xf numFmtId="0" fontId="3" fillId="0" borderId="0" xfId="0" applyFont="1"/>
    <xf numFmtId="165" fontId="3" fillId="0" borderId="0" xfId="0" applyNumberFormat="1" applyFont="1" applyAlignment="1">
      <alignment horizontal="right"/>
    </xf>
    <xf numFmtId="165" fontId="51" fillId="6" borderId="0" xfId="34" applyNumberFormat="1" applyFont="1" applyFill="1"/>
    <xf numFmtId="165" fontId="51" fillId="0" borderId="0" xfId="34" applyNumberFormat="1" applyFont="1" applyFill="1"/>
    <xf numFmtId="9" fontId="20" fillId="6" borderId="0" xfId="34" applyNumberFormat="1" applyFont="1" applyFill="1"/>
    <xf numFmtId="165" fontId="37" fillId="0" borderId="0" xfId="34" applyNumberFormat="1" applyFont="1" applyFill="1" applyBorder="1"/>
    <xf numFmtId="176" fontId="51" fillId="0" borderId="0" xfId="0" applyNumberFormat="1" applyFont="1" applyAlignment="1">
      <alignment horizontal="right"/>
    </xf>
    <xf numFmtId="41" fontId="9" fillId="0" borderId="0" xfId="0" applyNumberFormat="1" applyFont="1" applyAlignment="1">
      <alignment horizontal="right"/>
    </xf>
    <xf numFmtId="43" fontId="14" fillId="0" borderId="0" xfId="17" applyFont="1" applyFill="1" applyBorder="1" applyAlignment="1">
      <alignment horizontal="right"/>
    </xf>
    <xf numFmtId="177" fontId="3" fillId="0" borderId="0" xfId="17" applyNumberFormat="1" applyFont="1" applyFill="1" applyBorder="1" applyAlignment="1">
      <alignment horizontal="right"/>
    </xf>
    <xf numFmtId="10" fontId="3" fillId="0" borderId="1" xfId="34" applyNumberFormat="1" applyFont="1" applyFill="1" applyBorder="1"/>
    <xf numFmtId="10" fontId="9" fillId="0" borderId="0" xfId="34" applyNumberFormat="1" applyFont="1" applyFill="1"/>
    <xf numFmtId="10" fontId="3" fillId="0" borderId="1" xfId="34" applyNumberFormat="1" applyFont="1" applyFill="1" applyBorder="1" applyAlignment="1">
      <alignment horizontal="right"/>
    </xf>
    <xf numFmtId="0" fontId="9" fillId="14" borderId="14" xfId="0" applyFont="1" applyFill="1" applyBorder="1"/>
    <xf numFmtId="0" fontId="3" fillId="14" borderId="15" xfId="0" applyFont="1" applyFill="1" applyBorder="1"/>
    <xf numFmtId="184" fontId="9" fillId="14" borderId="15" xfId="17" applyNumberFormat="1" applyFont="1" applyFill="1" applyBorder="1"/>
    <xf numFmtId="184" fontId="9" fillId="14" borderId="19" xfId="17" applyNumberFormat="1" applyFont="1" applyFill="1" applyBorder="1"/>
    <xf numFmtId="0" fontId="9" fillId="14" borderId="16" xfId="0" applyFont="1" applyFill="1" applyBorder="1"/>
    <xf numFmtId="0" fontId="3" fillId="14" borderId="2" xfId="0" applyFont="1" applyFill="1" applyBorder="1"/>
    <xf numFmtId="184" fontId="9" fillId="14" borderId="2" xfId="17" applyNumberFormat="1" applyFont="1" applyFill="1" applyBorder="1"/>
    <xf numFmtId="184" fontId="9" fillId="14" borderId="21" xfId="17" applyNumberFormat="1" applyFont="1" applyFill="1" applyBorder="1"/>
    <xf numFmtId="0" fontId="15" fillId="0" borderId="2" xfId="43" applyFont="1" applyFill="1" applyBorder="1"/>
    <xf numFmtId="0" fontId="60" fillId="0" borderId="2" xfId="43" applyFont="1" applyFill="1" applyBorder="1"/>
    <xf numFmtId="0" fontId="57" fillId="0" borderId="2" xfId="43" applyFont="1" applyFill="1" applyBorder="1"/>
    <xf numFmtId="0" fontId="58" fillId="0" borderId="2" xfId="43" applyFont="1" applyFill="1" applyBorder="1" applyAlignment="1">
      <alignment horizontal="right"/>
    </xf>
    <xf numFmtId="0" fontId="58" fillId="0" borderId="0" xfId="43" applyFont="1" applyFill="1" applyAlignment="1">
      <alignment horizontal="right"/>
    </xf>
    <xf numFmtId="0" fontId="9" fillId="0" borderId="1" xfId="43" applyFont="1" applyFill="1" applyBorder="1"/>
    <xf numFmtId="0" fontId="3" fillId="0" borderId="1" xfId="43" applyFont="1" applyFill="1" applyBorder="1"/>
    <xf numFmtId="0" fontId="3" fillId="0" borderId="0" xfId="43" applyFont="1" applyFill="1"/>
    <xf numFmtId="0" fontId="61" fillId="0" borderId="0" xfId="43" applyFont="1" applyFill="1" applyBorder="1"/>
    <xf numFmtId="0" fontId="33" fillId="0" borderId="0" xfId="43" applyFont="1" applyFill="1" applyBorder="1"/>
    <xf numFmtId="0" fontId="3" fillId="0" borderId="0" xfId="43" applyFont="1" applyFill="1" applyBorder="1"/>
    <xf numFmtId="0" fontId="9" fillId="0" borderId="0" xfId="43" applyFont="1" applyFill="1" applyBorder="1"/>
    <xf numFmtId="0" fontId="9" fillId="0" borderId="0" xfId="43" applyFont="1" applyFill="1" applyAlignment="1">
      <alignment horizontal="right"/>
    </xf>
    <xf numFmtId="0" fontId="9" fillId="0" borderId="3" xfId="43" applyFont="1" applyFill="1" applyBorder="1" applyAlignment="1">
      <alignment horizontal="right"/>
    </xf>
    <xf numFmtId="0" fontId="9" fillId="0" borderId="23" xfId="43" applyFont="1" applyFill="1" applyBorder="1" applyAlignment="1">
      <alignment horizontal="right"/>
    </xf>
    <xf numFmtId="0" fontId="32" fillId="0" borderId="0" xfId="43" applyFont="1" applyFill="1" applyBorder="1"/>
    <xf numFmtId="0" fontId="33" fillId="0" borderId="0" xfId="43" applyFont="1" applyFill="1" applyAlignment="1">
      <alignment horizontal="right"/>
    </xf>
    <xf numFmtId="0" fontId="9" fillId="0" borderId="0" xfId="43" applyFont="1" applyFill="1" applyAlignment="1">
      <alignment horizontal="left"/>
    </xf>
    <xf numFmtId="41" fontId="3" fillId="0" borderId="0" xfId="43" applyNumberFormat="1" applyFont="1" applyFill="1"/>
    <xf numFmtId="41" fontId="3" fillId="0" borderId="9" xfId="43" applyNumberFormat="1" applyFont="1" applyFill="1" applyBorder="1"/>
    <xf numFmtId="0" fontId="33" fillId="0" borderId="0" xfId="43" applyFont="1" applyFill="1" applyBorder="1" applyAlignment="1">
      <alignment vertical="top"/>
    </xf>
    <xf numFmtId="43" fontId="32" fillId="0" borderId="0" xfId="43" applyNumberFormat="1" applyFont="1" applyFill="1"/>
    <xf numFmtId="0" fontId="13" fillId="0" borderId="1" xfId="43" applyFont="1" applyFill="1" applyBorder="1"/>
    <xf numFmtId="194" fontId="14" fillId="0" borderId="1" xfId="43" applyNumberFormat="1" applyFont="1" applyFill="1" applyBorder="1" applyAlignment="1">
      <alignment horizontal="right"/>
    </xf>
    <xf numFmtId="194" fontId="3" fillId="0" borderId="1" xfId="43" applyNumberFormat="1" applyFont="1" applyFill="1" applyBorder="1" applyAlignment="1">
      <alignment horizontal="right"/>
    </xf>
    <xf numFmtId="0" fontId="9" fillId="0" borderId="2" xfId="43" applyFont="1" applyFill="1" applyBorder="1"/>
    <xf numFmtId="0" fontId="3" fillId="0" borderId="2" xfId="43" applyFont="1" applyFill="1" applyBorder="1"/>
    <xf numFmtId="0" fontId="3" fillId="0" borderId="0" xfId="43" applyFont="1" applyFill="1" applyBorder="1" applyAlignment="1">
      <alignment horizontal="right"/>
    </xf>
    <xf numFmtId="165" fontId="3" fillId="0" borderId="0" xfId="35" applyNumberFormat="1" applyFont="1" applyFill="1" applyAlignment="1">
      <alignment horizontal="right"/>
    </xf>
    <xf numFmtId="0" fontId="3" fillId="0" borderId="9" xfId="43" applyFont="1" applyFill="1" applyBorder="1" applyAlignment="1">
      <alignment horizontal="right"/>
    </xf>
    <xf numFmtId="0" fontId="3" fillId="0" borderId="14" xfId="43" applyFont="1" applyFill="1" applyBorder="1"/>
    <xf numFmtId="0" fontId="3" fillId="0" borderId="15" xfId="43" applyFont="1" applyFill="1" applyBorder="1"/>
    <xf numFmtId="0" fontId="3" fillId="0" borderId="19" xfId="43" applyFont="1" applyFill="1" applyBorder="1"/>
    <xf numFmtId="0" fontId="3" fillId="0" borderId="8" xfId="43" applyFont="1" applyFill="1" applyBorder="1"/>
    <xf numFmtId="0" fontId="3" fillId="0" borderId="9" xfId="43" applyFont="1" applyFill="1" applyBorder="1"/>
    <xf numFmtId="0" fontId="3" fillId="0" borderId="0" xfId="43" applyFont="1" applyFill="1" applyAlignment="1">
      <alignment horizontal="left"/>
    </xf>
    <xf numFmtId="37" fontId="3" fillId="0" borderId="0" xfId="43" applyNumberFormat="1" applyFont="1" applyFill="1" applyAlignment="1">
      <alignment horizontal="right"/>
    </xf>
    <xf numFmtId="37" fontId="3" fillId="0" borderId="9" xfId="43" applyNumberFormat="1" applyFont="1" applyFill="1" applyBorder="1" applyAlignment="1">
      <alignment horizontal="right"/>
    </xf>
    <xf numFmtId="0" fontId="9" fillId="0" borderId="4" xfId="43" applyFont="1" applyFill="1" applyBorder="1"/>
    <xf numFmtId="0" fontId="3" fillId="0" borderId="20" xfId="43" applyFont="1" applyFill="1" applyBorder="1"/>
    <xf numFmtId="0" fontId="9" fillId="0" borderId="8" xfId="43" applyFont="1" applyFill="1" applyBorder="1"/>
    <xf numFmtId="41" fontId="3" fillId="0" borderId="0" xfId="43" applyNumberFormat="1" applyFont="1" applyFill="1" applyAlignment="1">
      <alignment horizontal="right"/>
    </xf>
    <xf numFmtId="41" fontId="3" fillId="0" borderId="9" xfId="43" applyNumberFormat="1" applyFont="1" applyFill="1" applyBorder="1" applyAlignment="1">
      <alignment horizontal="right"/>
    </xf>
    <xf numFmtId="0" fontId="3" fillId="0" borderId="4" xfId="43" applyFont="1" applyFill="1" applyBorder="1"/>
    <xf numFmtId="43" fontId="3" fillId="0" borderId="0" xfId="43" applyNumberFormat="1" applyFont="1" applyFill="1"/>
    <xf numFmtId="0" fontId="3" fillId="0" borderId="6" xfId="43" applyFont="1" applyFill="1" applyBorder="1" applyAlignment="1">
      <alignment horizontal="left"/>
    </xf>
    <xf numFmtId="0" fontId="3" fillId="0" borderId="3" xfId="43" applyFont="1" applyFill="1" applyBorder="1" applyAlignment="1">
      <alignment horizontal="left"/>
    </xf>
    <xf numFmtId="0" fontId="3" fillId="0" borderId="3" xfId="43" applyFont="1" applyFill="1" applyBorder="1"/>
    <xf numFmtId="177" fontId="3" fillId="0" borderId="23" xfId="43" applyNumberFormat="1" applyFont="1" applyFill="1" applyBorder="1"/>
    <xf numFmtId="39" fontId="3" fillId="0" borderId="0" xfId="43" applyNumberFormat="1" applyFont="1" applyFill="1" applyAlignment="1">
      <alignment horizontal="right"/>
    </xf>
    <xf numFmtId="171" fontId="3" fillId="0" borderId="0" xfId="43" applyNumberFormat="1" applyFont="1" applyFill="1" applyAlignment="1">
      <alignment horizontal="right"/>
    </xf>
    <xf numFmtId="171" fontId="3" fillId="0" borderId="9" xfId="43" applyNumberFormat="1" applyFont="1" applyFill="1" applyBorder="1" applyAlignment="1">
      <alignment horizontal="right"/>
    </xf>
    <xf numFmtId="0" fontId="3" fillId="0" borderId="8" xfId="43" applyFont="1" applyFill="1" applyBorder="1" applyAlignment="1">
      <alignment horizontal="left"/>
    </xf>
    <xf numFmtId="0" fontId="3" fillId="0" borderId="0" xfId="43" applyFont="1" applyFill="1" applyBorder="1" applyAlignment="1">
      <alignment horizontal="left"/>
    </xf>
    <xf numFmtId="176" fontId="3" fillId="0" borderId="9" xfId="43" applyNumberFormat="1" applyFont="1" applyFill="1" applyBorder="1"/>
    <xf numFmtId="0" fontId="9" fillId="0" borderId="0" xfId="43" applyFont="1" applyFill="1"/>
    <xf numFmtId="0" fontId="3" fillId="0" borderId="0" xfId="43" applyFont="1" applyFill="1" applyAlignment="1">
      <alignment horizontal="right"/>
    </xf>
    <xf numFmtId="37" fontId="3" fillId="0" borderId="9" xfId="43" applyNumberFormat="1" applyFont="1" applyFill="1" applyBorder="1"/>
    <xf numFmtId="171" fontId="3" fillId="0" borderId="9" xfId="43" applyNumberFormat="1" applyFont="1" applyFill="1" applyBorder="1"/>
    <xf numFmtId="43" fontId="14" fillId="0" borderId="20" xfId="43" applyNumberFormat="1" applyFont="1" applyFill="1" applyBorder="1"/>
    <xf numFmtId="43" fontId="3" fillId="0" borderId="0" xfId="43" applyNumberFormat="1" applyFont="1" applyFill="1" applyBorder="1"/>
    <xf numFmtId="43" fontId="3" fillId="0" borderId="20" xfId="43" applyNumberFormat="1" applyFont="1" applyFill="1" applyBorder="1"/>
    <xf numFmtId="0" fontId="14" fillId="0" borderId="20" xfId="43" applyFont="1" applyFill="1" applyBorder="1"/>
    <xf numFmtId="0" fontId="3" fillId="0" borderId="18" xfId="43" applyFont="1" applyFill="1" applyBorder="1" applyAlignment="1">
      <alignment horizontal="left"/>
    </xf>
    <xf numFmtId="0" fontId="3" fillId="0" borderId="1" xfId="43" applyFont="1" applyFill="1" applyBorder="1" applyAlignment="1">
      <alignment horizontal="left"/>
    </xf>
    <xf numFmtId="37" fontId="3" fillId="0" borderId="24" xfId="43" applyNumberFormat="1" applyFont="1" applyFill="1" applyBorder="1"/>
    <xf numFmtId="5" fontId="3" fillId="0" borderId="0" xfId="43" applyNumberFormat="1" applyFont="1" applyFill="1"/>
    <xf numFmtId="37" fontId="14" fillId="0" borderId="20" xfId="43" applyNumberFormat="1" applyFont="1" applyFill="1" applyBorder="1"/>
    <xf numFmtId="41" fontId="3" fillId="0" borderId="0" xfId="43" applyNumberFormat="1" applyFont="1" applyFill="1" applyBorder="1"/>
    <xf numFmtId="0" fontId="14" fillId="0" borderId="0" xfId="43" applyFont="1" applyFill="1" applyBorder="1"/>
    <xf numFmtId="0" fontId="14" fillId="0" borderId="0" xfId="43" applyFont="1" applyFill="1"/>
    <xf numFmtId="39" fontId="14" fillId="0" borderId="20" xfId="43" applyNumberFormat="1" applyFont="1" applyFill="1" applyBorder="1"/>
    <xf numFmtId="37" fontId="3" fillId="0" borderId="0" xfId="43" applyNumberFormat="1" applyFont="1" applyFill="1"/>
    <xf numFmtId="9" fontId="3" fillId="0" borderId="0" xfId="43" applyNumberFormat="1" applyFont="1" applyFill="1"/>
    <xf numFmtId="171" fontId="14" fillId="0" borderId="20" xfId="43" applyNumberFormat="1" applyFont="1" applyFill="1" applyBorder="1"/>
    <xf numFmtId="0" fontId="14" fillId="0" borderId="9" xfId="43" applyFont="1" applyFill="1" applyBorder="1"/>
    <xf numFmtId="0" fontId="3" fillId="0" borderId="1" xfId="43" applyFont="1" applyFill="1" applyBorder="1" applyAlignment="1">
      <alignment horizontal="right"/>
    </xf>
    <xf numFmtId="195" fontId="3" fillId="0" borderId="0" xfId="43" applyNumberFormat="1" applyFont="1" applyFill="1" applyAlignment="1">
      <alignment horizontal="right"/>
    </xf>
    <xf numFmtId="37" fontId="3" fillId="0" borderId="20" xfId="43" applyNumberFormat="1" applyFont="1" applyFill="1" applyBorder="1"/>
    <xf numFmtId="0" fontId="3" fillId="0" borderId="16" xfId="43" applyFont="1" applyFill="1" applyBorder="1"/>
    <xf numFmtId="0" fontId="3" fillId="0" borderId="21" xfId="43" applyFont="1" applyFill="1" applyBorder="1"/>
    <xf numFmtId="0" fontId="3" fillId="0" borderId="25" xfId="43" applyFont="1" applyFill="1" applyBorder="1"/>
    <xf numFmtId="0" fontId="14" fillId="0" borderId="26" xfId="43" applyFont="1" applyFill="1" applyBorder="1"/>
    <xf numFmtId="39" fontId="3" fillId="0" borderId="9" xfId="43" applyNumberFormat="1" applyFont="1" applyFill="1" applyBorder="1" applyAlignment="1">
      <alignment horizontal="right"/>
    </xf>
    <xf numFmtId="0" fontId="9" fillId="0" borderId="23" xfId="43" applyFont="1" applyFill="1" applyBorder="1" applyAlignment="1">
      <alignment horizontal="center"/>
    </xf>
    <xf numFmtId="0" fontId="9" fillId="0" borderId="1" xfId="43" applyFont="1" applyFill="1" applyBorder="1" applyAlignment="1">
      <alignment horizontal="center"/>
    </xf>
    <xf numFmtId="0" fontId="9" fillId="0" borderId="27" xfId="43" applyFont="1" applyFill="1" applyBorder="1" applyAlignment="1">
      <alignment horizontal="center"/>
    </xf>
    <xf numFmtId="0" fontId="9" fillId="0" borderId="9" xfId="43" applyFont="1" applyFill="1" applyBorder="1" applyAlignment="1">
      <alignment horizontal="center"/>
    </xf>
    <xf numFmtId="2" fontId="3" fillId="0" borderId="0" xfId="43" applyNumberFormat="1" applyFont="1" applyFill="1" applyBorder="1"/>
    <xf numFmtId="2" fontId="3" fillId="0" borderId="9" xfId="43" applyNumberFormat="1" applyFont="1" applyFill="1" applyBorder="1"/>
    <xf numFmtId="187" fontId="3" fillId="0" borderId="0" xfId="43" applyNumberFormat="1" applyFont="1" applyFill="1" applyAlignment="1">
      <alignment horizontal="center"/>
    </xf>
    <xf numFmtId="187" fontId="3" fillId="0" borderId="20" xfId="43" applyNumberFormat="1" applyFont="1" applyFill="1" applyBorder="1" applyAlignment="1">
      <alignment horizontal="center"/>
    </xf>
    <xf numFmtId="0" fontId="3" fillId="0" borderId="9" xfId="43" applyFont="1" applyFill="1" applyBorder="1" applyAlignment="1">
      <alignment horizontal="center"/>
    </xf>
    <xf numFmtId="43" fontId="3" fillId="0" borderId="9" xfId="43" applyNumberFormat="1" applyFont="1" applyFill="1" applyBorder="1"/>
    <xf numFmtId="0" fontId="3" fillId="0" borderId="18" xfId="43" applyFont="1" applyFill="1" applyBorder="1"/>
    <xf numFmtId="0" fontId="3" fillId="0" borderId="24" xfId="43" applyFont="1" applyFill="1" applyBorder="1"/>
    <xf numFmtId="43" fontId="9" fillId="0" borderId="28" xfId="43" applyNumberFormat="1" applyFont="1" applyFill="1" applyBorder="1" applyAlignment="1">
      <alignment horizontal="right"/>
    </xf>
    <xf numFmtId="43" fontId="3" fillId="0" borderId="0" xfId="43" applyNumberFormat="1" applyFont="1" applyFill="1" applyAlignment="1">
      <alignment horizontal="right"/>
    </xf>
    <xf numFmtId="39" fontId="3" fillId="0" borderId="0" xfId="43" applyNumberFormat="1" applyFont="1" applyFill="1"/>
    <xf numFmtId="43" fontId="9" fillId="0" borderId="29" xfId="43" applyNumberFormat="1" applyFont="1" applyFill="1" applyBorder="1" applyAlignment="1">
      <alignment horizontal="right"/>
    </xf>
    <xf numFmtId="44" fontId="3" fillId="0" borderId="0" xfId="43" applyNumberFormat="1" applyFont="1" applyFill="1"/>
    <xf numFmtId="171" fontId="9" fillId="0" borderId="30" xfId="43" applyNumberFormat="1" applyFont="1" applyFill="1" applyBorder="1" applyAlignment="1">
      <alignment horizontal="right"/>
    </xf>
    <xf numFmtId="8" fontId="3" fillId="0" borderId="0" xfId="43" applyNumberFormat="1" applyFont="1" applyFill="1"/>
    <xf numFmtId="165" fontId="3" fillId="0" borderId="0" xfId="35" applyNumberFormat="1" applyFont="1" applyFill="1"/>
    <xf numFmtId="176" fontId="3" fillId="0" borderId="0" xfId="19" applyNumberFormat="1" applyFont="1" applyFill="1"/>
    <xf numFmtId="0" fontId="9" fillId="0" borderId="6" xfId="43" applyFont="1" applyFill="1" applyBorder="1"/>
    <xf numFmtId="0" fontId="9" fillId="0" borderId="3" xfId="43" applyFont="1" applyFill="1" applyBorder="1"/>
    <xf numFmtId="0" fontId="3" fillId="0" borderId="23" xfId="43" applyFont="1" applyFill="1" applyBorder="1"/>
    <xf numFmtId="9" fontId="3" fillId="0" borderId="0" xfId="35" applyFont="1" applyFill="1"/>
    <xf numFmtId="39" fontId="3" fillId="0" borderId="0" xfId="43" applyNumberFormat="1" applyFont="1" applyFill="1" applyBorder="1" applyAlignment="1">
      <alignment horizontal="right"/>
    </xf>
    <xf numFmtId="10" fontId="3" fillId="0" borderId="0" xfId="35" applyNumberFormat="1" applyFont="1" applyFill="1"/>
    <xf numFmtId="0" fontId="40" fillId="0" borderId="0" xfId="43" applyFont="1" applyFill="1"/>
    <xf numFmtId="0" fontId="40" fillId="0" borderId="0" xfId="43" applyFont="1" applyFill="1" applyAlignment="1">
      <alignment horizontal="right"/>
    </xf>
    <xf numFmtId="0" fontId="40" fillId="0" borderId="0" xfId="43" applyFont="1" applyFill="1" applyBorder="1"/>
    <xf numFmtId="37" fontId="52" fillId="0" borderId="20" xfId="43" applyNumberFormat="1" applyFont="1" applyFill="1" applyBorder="1"/>
    <xf numFmtId="192" fontId="52" fillId="0" borderId="20" xfId="43" applyNumberFormat="1" applyFont="1" applyFill="1" applyBorder="1"/>
    <xf numFmtId="37" fontId="52" fillId="0" borderId="20" xfId="43" applyNumberFormat="1" applyFont="1" applyFill="1" applyBorder="1" applyAlignment="1">
      <alignment horizontal="right"/>
    </xf>
    <xf numFmtId="43" fontId="52" fillId="0" borderId="20" xfId="17" applyFont="1" applyFill="1" applyBorder="1" applyAlignment="1">
      <alignment horizontal="right"/>
    </xf>
    <xf numFmtId="176" fontId="62" fillId="0" borderId="9" xfId="43" applyNumberFormat="1" applyFont="1" applyFill="1" applyBorder="1"/>
    <xf numFmtId="177" fontId="3" fillId="0" borderId="0" xfId="17" applyNumberFormat="1" applyFont="1" applyFill="1" applyAlignment="1">
      <alignment horizontal="right"/>
    </xf>
    <xf numFmtId="176" fontId="3" fillId="0" borderId="0" xfId="43" applyNumberFormat="1" applyFont="1" applyFill="1" applyBorder="1"/>
    <xf numFmtId="37" fontId="52" fillId="0" borderId="0" xfId="43" applyNumberFormat="1" applyFont="1" applyFill="1" applyAlignment="1">
      <alignment horizontal="right"/>
    </xf>
    <xf numFmtId="37" fontId="52" fillId="0" borderId="0" xfId="43" applyNumberFormat="1" applyFont="1" applyFill="1"/>
    <xf numFmtId="41" fontId="52" fillId="0" borderId="0" xfId="43" applyNumberFormat="1" applyFont="1" applyFill="1"/>
    <xf numFmtId="43" fontId="51" fillId="0" borderId="0" xfId="17" applyFont="1" applyFill="1"/>
    <xf numFmtId="41" fontId="51" fillId="0" borderId="0" xfId="43" applyNumberFormat="1" applyFont="1" applyFill="1" applyAlignment="1">
      <alignment horizontal="right"/>
    </xf>
    <xf numFmtId="0" fontId="41" fillId="9" borderId="0" xfId="1" applyFont="1" applyFill="1" applyAlignment="1"/>
    <xf numFmtId="184" fontId="3" fillId="0" borderId="0" xfId="17" applyNumberFormat="1" applyFont="1"/>
    <xf numFmtId="182" fontId="3" fillId="0" borderId="0" xfId="34" applyNumberFormat="1" applyFont="1" applyAlignment="1">
      <alignment horizontal="right"/>
    </xf>
    <xf numFmtId="192" fontId="3" fillId="0" borderId="0" xfId="0" applyNumberFormat="1" applyFont="1" applyAlignment="1">
      <alignment horizontal="center"/>
    </xf>
    <xf numFmtId="10" fontId="3" fillId="0" borderId="0" xfId="17" applyNumberFormat="1" applyFont="1"/>
    <xf numFmtId="0" fontId="10" fillId="0" borderId="11" xfId="0" applyFont="1" applyFill="1" applyBorder="1" applyAlignment="1">
      <alignment horizontal="right"/>
    </xf>
    <xf numFmtId="0" fontId="3" fillId="0" borderId="0" xfId="3" applyFont="1"/>
    <xf numFmtId="0" fontId="3" fillId="0" borderId="0" xfId="0" applyFont="1"/>
    <xf numFmtId="0" fontId="3" fillId="15" borderId="0" xfId="0" applyFont="1" applyFill="1"/>
    <xf numFmtId="37" fontId="3" fillId="0" borderId="0" xfId="1" applyNumberFormat="1" applyFont="1"/>
    <xf numFmtId="37" fontId="3" fillId="16" borderId="0" xfId="1" applyNumberFormat="1" applyFont="1" applyFill="1"/>
    <xf numFmtId="0" fontId="3" fillId="0" borderId="0" xfId="1" applyFont="1" applyBorder="1"/>
    <xf numFmtId="0" fontId="3" fillId="16" borderId="0" xfId="1" applyFont="1" applyFill="1"/>
    <xf numFmtId="1" fontId="15" fillId="0" borderId="0" xfId="25" quotePrefix="1" applyNumberFormat="1" applyFont="1" applyFill="1" applyBorder="1" applyAlignment="1">
      <alignment horizontal="center"/>
    </xf>
    <xf numFmtId="176" fontId="15" fillId="0" borderId="11" xfId="0" applyNumberFormat="1" applyFont="1" applyFill="1" applyBorder="1"/>
    <xf numFmtId="0" fontId="3" fillId="0" borderId="0" xfId="0" applyFont="1"/>
    <xf numFmtId="0" fontId="3" fillId="0" borderId="0" xfId="0" applyFont="1"/>
    <xf numFmtId="196" fontId="3" fillId="0" borderId="0" xfId="0" applyNumberFormat="1" applyFont="1" applyAlignment="1">
      <alignment horizontal="right"/>
    </xf>
    <xf numFmtId="49" fontId="0" fillId="0" borderId="0" xfId="0" applyNumberFormat="1"/>
    <xf numFmtId="10" fontId="37" fillId="6" borderId="0" xfId="34" applyNumberFormat="1" applyFont="1" applyFill="1" applyBorder="1"/>
    <xf numFmtId="176" fontId="15" fillId="0" borderId="0" xfId="0" applyNumberFormat="1" applyFont="1" applyFill="1" applyAlignment="1">
      <alignment horizontal="right"/>
    </xf>
    <xf numFmtId="191" fontId="13" fillId="0" borderId="0" xfId="0" applyNumberFormat="1" applyFont="1" applyFill="1"/>
    <xf numFmtId="191" fontId="13" fillId="0" borderId="0" xfId="0" applyNumberFormat="1" applyFont="1"/>
    <xf numFmtId="191" fontId="13" fillId="4" borderId="0" xfId="0" applyNumberFormat="1" applyFont="1" applyFill="1"/>
    <xf numFmtId="191" fontId="13" fillId="0" borderId="0" xfId="1" applyNumberFormat="1" applyFont="1" applyFill="1"/>
    <xf numFmtId="0" fontId="53" fillId="17" borderId="0" xfId="0" applyFont="1" applyFill="1" applyAlignment="1">
      <alignment horizontal="center"/>
    </xf>
    <xf numFmtId="0" fontId="15" fillId="17" borderId="0" xfId="28" applyFont="1" applyFill="1" applyAlignment="1">
      <alignment horizontal="left"/>
    </xf>
    <xf numFmtId="0" fontId="9" fillId="17" borderId="0" xfId="0" applyFont="1" applyFill="1"/>
    <xf numFmtId="0" fontId="9" fillId="17" borderId="0" xfId="0" applyFont="1" applyFill="1" applyBorder="1"/>
    <xf numFmtId="191" fontId="13" fillId="0" borderId="0" xfId="0" applyNumberFormat="1" applyFont="1" applyFill="1" applyBorder="1"/>
    <xf numFmtId="165" fontId="15" fillId="17" borderId="0" xfId="36" applyNumberFormat="1" applyFont="1" applyFill="1" applyBorder="1" applyAlignment="1">
      <alignment horizontal="right" wrapText="1"/>
    </xf>
    <xf numFmtId="165" fontId="14" fillId="0" borderId="0" xfId="17" applyNumberFormat="1" applyFont="1" applyFill="1" applyBorder="1" applyAlignment="1"/>
    <xf numFmtId="192" fontId="9" fillId="0" borderId="0" xfId="17" applyNumberFormat="1" applyFont="1" applyFill="1"/>
    <xf numFmtId="188" fontId="3" fillId="0" borderId="0" xfId="17" applyNumberFormat="1" applyFont="1"/>
    <xf numFmtId="0" fontId="3" fillId="0" borderId="0" xfId="0" applyFont="1"/>
    <xf numFmtId="10" fontId="51" fillId="0" borderId="0" xfId="34" applyNumberFormat="1" applyFont="1"/>
    <xf numFmtId="176" fontId="51" fillId="0" borderId="0" xfId="17" applyNumberFormat="1" applyFont="1"/>
    <xf numFmtId="176" fontId="48" fillId="0" borderId="0" xfId="17" applyNumberFormat="1" applyFont="1"/>
    <xf numFmtId="165" fontId="51" fillId="0" borderId="0" xfId="34" applyNumberFormat="1" applyFont="1"/>
    <xf numFmtId="0" fontId="3" fillId="0" borderId="0" xfId="24" applyFont="1"/>
    <xf numFmtId="190" fontId="3" fillId="0" borderId="0" xfId="24" applyNumberFormat="1" applyFont="1" applyBorder="1"/>
    <xf numFmtId="192" fontId="49" fillId="0" borderId="0" xfId="24" applyNumberFormat="1" applyFont="1" applyBorder="1"/>
    <xf numFmtId="192" fontId="9" fillId="0" borderId="0" xfId="24" applyNumberFormat="1" applyFont="1" applyBorder="1"/>
    <xf numFmtId="0" fontId="9" fillId="18" borderId="0" xfId="24" applyFont="1" applyFill="1"/>
    <xf numFmtId="190" fontId="9" fillId="18" borderId="0" xfId="24" applyNumberFormat="1" applyFont="1" applyFill="1" applyBorder="1"/>
    <xf numFmtId="192" fontId="9" fillId="18" borderId="0" xfId="24" applyNumberFormat="1" applyFont="1" applyFill="1" applyBorder="1"/>
    <xf numFmtId="192" fontId="48" fillId="0" borderId="0" xfId="24" applyNumberFormat="1" applyFont="1" applyBorder="1"/>
    <xf numFmtId="0" fontId="9" fillId="0" borderId="0" xfId="24" applyFont="1"/>
    <xf numFmtId="192" fontId="9" fillId="0" borderId="13" xfId="24" applyNumberFormat="1" applyFont="1" applyBorder="1"/>
    <xf numFmtId="192" fontId="48" fillId="0" borderId="7" xfId="24" applyNumberFormat="1" applyFont="1" applyBorder="1"/>
    <xf numFmtId="192" fontId="9" fillId="0" borderId="12" xfId="24" applyNumberFormat="1" applyFont="1" applyBorder="1"/>
    <xf numFmtId="192" fontId="3" fillId="0" borderId="0" xfId="24" applyNumberFormat="1" applyFont="1"/>
    <xf numFmtId="192" fontId="9" fillId="0" borderId="0" xfId="24" applyNumberFormat="1" applyFont="1"/>
    <xf numFmtId="192" fontId="3" fillId="0" borderId="1" xfId="24" applyNumberFormat="1" applyFont="1" applyBorder="1"/>
    <xf numFmtId="0" fontId="3" fillId="0" borderId="1" xfId="24" applyFont="1" applyBorder="1"/>
    <xf numFmtId="0" fontId="13" fillId="0" borderId="0" xfId="24" applyFont="1"/>
    <xf numFmtId="0" fontId="55" fillId="0" borderId="0" xfId="24" applyFont="1"/>
    <xf numFmtId="188" fontId="51" fillId="0" borderId="0" xfId="0" applyNumberFormat="1" applyFont="1"/>
    <xf numFmtId="188" fontId="50" fillId="0" borderId="0" xfId="0" applyNumberFormat="1" applyFont="1"/>
    <xf numFmtId="10" fontId="9" fillId="0" borderId="0" xfId="0" applyNumberFormat="1" applyFont="1"/>
    <xf numFmtId="191" fontId="49" fillId="0" borderId="0" xfId="0" applyNumberFormat="1" applyFont="1"/>
    <xf numFmtId="189" fontId="50" fillId="0" borderId="0" xfId="0" applyNumberFormat="1" applyFont="1"/>
    <xf numFmtId="0" fontId="3" fillId="0" borderId="0" xfId="0" applyFont="1" applyAlignment="1">
      <alignment horizontal="left"/>
    </xf>
    <xf numFmtId="189" fontId="20" fillId="6" borderId="0" xfId="17" applyNumberFormat="1" applyFont="1" applyFill="1"/>
    <xf numFmtId="189" fontId="37" fillId="6" borderId="0" xfId="34" applyNumberFormat="1" applyFont="1" applyFill="1" applyBorder="1"/>
    <xf numFmtId="176" fontId="9" fillId="0" borderId="0" xfId="24" applyNumberFormat="1" applyFont="1"/>
    <xf numFmtId="39" fontId="64" fillId="0" borderId="0" xfId="1" applyNumberFormat="1" applyFont="1" applyAlignment="1">
      <alignment horizontal="right"/>
    </xf>
    <xf numFmtId="192" fontId="48" fillId="18" borderId="0" xfId="24" applyNumberFormat="1" applyFont="1" applyFill="1" applyBorder="1"/>
    <xf numFmtId="0" fontId="9" fillId="0" borderId="0" xfId="24" applyFont="1" applyFill="1"/>
    <xf numFmtId="0" fontId="3" fillId="0" borderId="0" xfId="24" applyFont="1" applyFill="1"/>
    <xf numFmtId="192" fontId="48" fillId="0" borderId="0" xfId="24" applyNumberFormat="1" applyFont="1" applyFill="1" applyBorder="1"/>
    <xf numFmtId="190" fontId="3" fillId="0" borderId="0" xfId="24" applyNumberFormat="1" applyFont="1"/>
    <xf numFmtId="0" fontId="21" fillId="11" borderId="0" xfId="0" applyFont="1" applyFill="1" applyAlignment="1">
      <alignment horizontal="center"/>
    </xf>
    <xf numFmtId="0" fontId="18" fillId="11" borderId="0" xfId="0" applyFont="1" applyFill="1" applyAlignment="1"/>
    <xf numFmtId="177" fontId="3" fillId="11" borderId="0" xfId="17" applyNumberFormat="1" applyFont="1" applyFill="1" applyAlignment="1">
      <alignment horizontal="right"/>
    </xf>
    <xf numFmtId="0" fontId="3" fillId="11" borderId="0" xfId="0" applyFont="1" applyFill="1" applyBorder="1"/>
    <xf numFmtId="189" fontId="54" fillId="0" borderId="0" xfId="0" applyNumberFormat="1" applyFont="1"/>
    <xf numFmtId="0" fontId="3" fillId="0" borderId="3" xfId="0" applyFont="1" applyFill="1" applyBorder="1"/>
    <xf numFmtId="191" fontId="19" fillId="0" borderId="0" xfId="17" applyNumberFormat="1" applyFont="1" applyFill="1" applyBorder="1"/>
    <xf numFmtId="188" fontId="10" fillId="0" borderId="0" xfId="0" applyNumberFormat="1" applyFont="1" applyFill="1" applyBorder="1"/>
    <xf numFmtId="188" fontId="3" fillId="0" borderId="0" xfId="0" applyNumberFormat="1" applyFont="1" applyAlignment="1">
      <alignment horizontal="right"/>
    </xf>
    <xf numFmtId="188" fontId="3" fillId="0" borderId="0" xfId="17" applyNumberFormat="1" applyFont="1" applyFill="1"/>
    <xf numFmtId="188" fontId="43" fillId="6" borderId="0" xfId="17" applyNumberFormat="1" applyFont="1" applyFill="1"/>
    <xf numFmtId="188" fontId="3" fillId="0" borderId="1" xfId="0" applyNumberFormat="1" applyFont="1" applyFill="1" applyBorder="1"/>
    <xf numFmtId="188" fontId="43" fillId="6" borderId="1" xfId="17" applyNumberFormat="1" applyFont="1" applyFill="1" applyBorder="1"/>
    <xf numFmtId="188" fontId="10" fillId="0" borderId="1" xfId="0" applyNumberFormat="1" applyFont="1" applyFill="1" applyBorder="1"/>
    <xf numFmtId="188" fontId="3" fillId="0" borderId="1" xfId="17" applyNumberFormat="1" applyFont="1" applyBorder="1"/>
    <xf numFmtId="188" fontId="10" fillId="0" borderId="0" xfId="17" applyNumberFormat="1" applyFont="1" applyFill="1" applyBorder="1" applyAlignment="1"/>
    <xf numFmtId="0" fontId="3" fillId="0" borderId="0" xfId="0" applyFont="1"/>
    <xf numFmtId="0" fontId="9" fillId="18" borderId="0" xfId="0" applyFont="1" applyFill="1"/>
    <xf numFmtId="0" fontId="9" fillId="19" borderId="0" xfId="0" applyFont="1" applyFill="1" applyAlignment="1">
      <alignment horizontal="right"/>
    </xf>
    <xf numFmtId="191" fontId="3" fillId="0" borderId="0" xfId="0" applyNumberFormat="1" applyFont="1"/>
    <xf numFmtId="0" fontId="9" fillId="20" borderId="0" xfId="2" applyFont="1" applyFill="1"/>
    <xf numFmtId="0" fontId="3" fillId="20" borderId="0" xfId="0" applyFont="1" applyFill="1"/>
    <xf numFmtId="0" fontId="3" fillId="0" borderId="0" xfId="0" applyFont="1"/>
    <xf numFmtId="0" fontId="3" fillId="0" borderId="0" xfId="0" applyFont="1"/>
    <xf numFmtId="0" fontId="0" fillId="0" borderId="0" xfId="0"/>
    <xf numFmtId="0" fontId="3" fillId="0" borderId="0" xfId="0" applyFont="1"/>
    <xf numFmtId="0" fontId="9" fillId="21" borderId="0" xfId="1" applyFont="1" applyFill="1"/>
    <xf numFmtId="0" fontId="9" fillId="4" borderId="0" xfId="1" applyFont="1" applyFill="1" applyAlignment="1"/>
    <xf numFmtId="0" fontId="9" fillId="0" borderId="0" xfId="1" applyFont="1" applyFill="1" applyAlignment="1"/>
    <xf numFmtId="0" fontId="9" fillId="21" borderId="0" xfId="1" applyFont="1" applyFill="1" applyAlignment="1"/>
    <xf numFmtId="0" fontId="3" fillId="0" borderId="0" xfId="1" applyFont="1" applyFill="1" applyAlignment="1"/>
    <xf numFmtId="0" fontId="3" fillId="0" borderId="1" xfId="1" applyFont="1" applyFill="1" applyBorder="1" applyAlignment="1"/>
    <xf numFmtId="0" fontId="3" fillId="22" borderId="0" xfId="1" applyFont="1" applyFill="1" applyAlignment="1"/>
    <xf numFmtId="0" fontId="0" fillId="0" borderId="0" xfId="0" applyAlignment="1"/>
    <xf numFmtId="0" fontId="3" fillId="0" borderId="0" xfId="1" applyFont="1" applyFill="1" applyBorder="1" applyAlignment="1"/>
    <xf numFmtId="0" fontId="3" fillId="0" borderId="0" xfId="45" applyFont="1" applyFill="1" applyAlignment="1">
      <alignment horizontal="left"/>
    </xf>
    <xf numFmtId="0" fontId="2" fillId="0" borderId="0" xfId="26" applyAlignment="1"/>
    <xf numFmtId="0" fontId="9" fillId="4" borderId="0" xfId="1" applyFont="1" applyFill="1" applyAlignment="1">
      <alignment horizontal="right"/>
    </xf>
    <xf numFmtId="37" fontId="3" fillId="0" borderId="0" xfId="0" applyNumberFormat="1" applyFont="1"/>
    <xf numFmtId="37" fontId="3" fillId="0" borderId="1" xfId="0" applyNumberFormat="1" applyFont="1" applyBorder="1"/>
    <xf numFmtId="37" fontId="3" fillId="22" borderId="0" xfId="0" applyNumberFormat="1" applyFont="1" applyFill="1"/>
    <xf numFmtId="176" fontId="3" fillId="22" borderId="0" xfId="0" applyNumberFormat="1" applyFont="1" applyFill="1"/>
    <xf numFmtId="176" fontId="3" fillId="22" borderId="0" xfId="19" applyNumberFormat="1" applyFont="1" applyFill="1"/>
    <xf numFmtId="165" fontId="3" fillId="0" borderId="0" xfId="35" applyNumberFormat="1" applyFont="1"/>
    <xf numFmtId="176" fontId="3" fillId="0" borderId="0" xfId="19" applyNumberFormat="1" applyFont="1"/>
    <xf numFmtId="37" fontId="3" fillId="0" borderId="0" xfId="26" applyNumberFormat="1" applyFont="1"/>
    <xf numFmtId="191" fontId="13" fillId="0" borderId="0" xfId="26" applyNumberFormat="1" applyFont="1"/>
    <xf numFmtId="0" fontId="3" fillId="0" borderId="0" xfId="26" applyFont="1"/>
    <xf numFmtId="188" fontId="51" fillId="0" borderId="0" xfId="26" applyNumberFormat="1" applyFont="1" applyBorder="1" applyAlignment="1">
      <alignment horizontal="right"/>
    </xf>
    <xf numFmtId="188" fontId="51" fillId="0" borderId="0" xfId="26" applyNumberFormat="1" applyFont="1" applyFill="1" applyBorder="1" applyAlignment="1">
      <alignment horizontal="right"/>
    </xf>
    <xf numFmtId="191" fontId="51" fillId="0" borderId="0" xfId="26" applyNumberFormat="1" applyFont="1" applyBorder="1" applyAlignment="1">
      <alignment horizontal="right"/>
    </xf>
    <xf numFmtId="191" fontId="48" fillId="23" borderId="0" xfId="0" applyNumberFormat="1" applyFont="1" applyFill="1"/>
    <xf numFmtId="9" fontId="3" fillId="0" borderId="0" xfId="35" applyNumberFormat="1" applyFont="1"/>
    <xf numFmtId="189" fontId="3" fillId="0" borderId="0" xfId="35" applyNumberFormat="1" applyFont="1"/>
    <xf numFmtId="189" fontId="9" fillId="21" borderId="0" xfId="1" applyNumberFormat="1" applyFont="1" applyFill="1"/>
    <xf numFmtId="37" fontId="51" fillId="0" borderId="0" xfId="0" applyNumberFormat="1" applyFont="1"/>
    <xf numFmtId="196" fontId="3" fillId="0" borderId="0" xfId="0" applyNumberFormat="1" applyFont="1"/>
    <xf numFmtId="191" fontId="10" fillId="0" borderId="0" xfId="21" applyNumberFormat="1" applyFont="1" applyFill="1" applyBorder="1"/>
    <xf numFmtId="191" fontId="20" fillId="6" borderId="0" xfId="17" applyNumberFormat="1" applyFont="1" applyFill="1"/>
    <xf numFmtId="196" fontId="3" fillId="0" borderId="0" xfId="26" applyNumberFormat="1" applyFont="1" applyBorder="1" applyAlignment="1">
      <alignment horizontal="right"/>
    </xf>
    <xf numFmtId="190" fontId="13" fillId="0" borderId="0" xfId="0" applyNumberFormat="1" applyFont="1" applyFill="1" applyBorder="1"/>
    <xf numFmtId="189" fontId="13" fillId="0" borderId="0" xfId="0" applyNumberFormat="1" applyFont="1" applyFill="1" applyBorder="1"/>
    <xf numFmtId="0" fontId="3" fillId="0" borderId="0" xfId="0" applyFont="1"/>
    <xf numFmtId="0" fontId="3" fillId="0" borderId="0" xfId="0" applyFont="1"/>
    <xf numFmtId="165" fontId="3" fillId="0" borderId="0" xfId="17" applyNumberFormat="1" applyFont="1"/>
    <xf numFmtId="0" fontId="3" fillId="0" borderId="0" xfId="0" applyFont="1"/>
    <xf numFmtId="8" fontId="13" fillId="0" borderId="0" xfId="0" applyNumberFormat="1" applyFont="1" applyFill="1" applyBorder="1"/>
    <xf numFmtId="8" fontId="3" fillId="0" borderId="0" xfId="0" applyNumberFormat="1" applyFont="1" applyFill="1" applyBorder="1"/>
    <xf numFmtId="0" fontId="3" fillId="0" borderId="0" xfId="0" applyFont="1"/>
    <xf numFmtId="188" fontId="3" fillId="0" borderId="0" xfId="17" applyNumberFormat="1" applyFont="1" applyFill="1" applyBorder="1" applyAlignment="1"/>
    <xf numFmtId="202" fontId="3" fillId="0" borderId="0" xfId="17" applyNumberFormat="1" applyFont="1" applyFill="1" applyBorder="1" applyAlignment="1"/>
    <xf numFmtId="188" fontId="51" fillId="0" borderId="0" xfId="17" applyNumberFormat="1" applyFont="1" applyFill="1" applyBorder="1" applyAlignment="1"/>
    <xf numFmtId="191" fontId="13" fillId="0" borderId="0" xfId="17" applyNumberFormat="1" applyFont="1" applyFill="1" applyBorder="1"/>
    <xf numFmtId="0" fontId="3" fillId="0" borderId="0" xfId="0" applyFont="1"/>
    <xf numFmtId="0" fontId="3" fillId="0" borderId="0" xfId="0" applyFont="1"/>
    <xf numFmtId="0" fontId="3" fillId="0" borderId="0" xfId="1" applyFont="1" applyAlignment="1">
      <alignment horizontal="left" indent="2"/>
    </xf>
    <xf numFmtId="0" fontId="3" fillId="0" borderId="0" xfId="0" applyFont="1"/>
    <xf numFmtId="4" fontId="3" fillId="0" borderId="0" xfId="1" applyNumberFormat="1" applyFont="1"/>
    <xf numFmtId="0" fontId="3" fillId="0" borderId="0" xfId="0" applyFont="1"/>
    <xf numFmtId="189" fontId="3" fillId="0" borderId="0" xfId="17" applyNumberFormat="1" applyFont="1"/>
    <xf numFmtId="0" fontId="3" fillId="0" borderId="0" xfId="0" applyFont="1"/>
    <xf numFmtId="191" fontId="3" fillId="0" borderId="0" xfId="1" applyNumberFormat="1" applyFont="1"/>
    <xf numFmtId="0" fontId="3" fillId="0" borderId="0" xfId="0" applyFont="1"/>
    <xf numFmtId="0" fontId="0" fillId="0" borderId="0" xfId="0"/>
    <xf numFmtId="0" fontId="3" fillId="0" borderId="0" xfId="0" applyFont="1" applyAlignment="1">
      <alignment horizontal="left" indent="2"/>
    </xf>
    <xf numFmtId="203" fontId="3" fillId="0" borderId="0" xfId="0" applyNumberFormat="1" applyFont="1"/>
    <xf numFmtId="0" fontId="3" fillId="0" borderId="0" xfId="0" applyFont="1" applyAlignment="1">
      <alignment horizontal="left" indent="3"/>
    </xf>
    <xf numFmtId="39" fontId="3" fillId="0" borderId="0" xfId="0" applyNumberFormat="1" applyFont="1"/>
    <xf numFmtId="0" fontId="9" fillId="24" borderId="0" xfId="0" applyFont="1" applyFill="1"/>
    <xf numFmtId="9" fontId="3" fillId="0" borderId="0" xfId="0" applyNumberFormat="1" applyFont="1" applyAlignment="1">
      <alignment horizontal="center"/>
    </xf>
    <xf numFmtId="0" fontId="3" fillId="0" borderId="0" xfId="0" applyFont="1" applyAlignment="1">
      <alignment horizontal="center"/>
    </xf>
    <xf numFmtId="10" fontId="3" fillId="0" borderId="0" xfId="0" applyNumberFormat="1" applyFont="1" applyAlignment="1">
      <alignment horizontal="center"/>
    </xf>
    <xf numFmtId="190" fontId="3" fillId="24" borderId="0" xfId="0" applyNumberFormat="1" applyFont="1" applyFill="1"/>
    <xf numFmtId="0" fontId="3" fillId="0" borderId="0" xfId="0" applyFont="1" applyFill="1" applyAlignment="1">
      <alignment horizontal="center" wrapText="1"/>
    </xf>
    <xf numFmtId="190" fontId="13" fillId="0" borderId="0" xfId="0" applyNumberFormat="1" applyFont="1"/>
    <xf numFmtId="190" fontId="65" fillId="0" borderId="0" xfId="0" applyNumberFormat="1" applyFont="1"/>
    <xf numFmtId="191" fontId="3" fillId="24" borderId="0" xfId="0" applyNumberFormat="1" applyFont="1" applyFill="1"/>
    <xf numFmtId="190" fontId="13" fillId="24" borderId="0" xfId="0" applyNumberFormat="1" applyFont="1" applyFill="1"/>
    <xf numFmtId="188" fontId="3" fillId="24" borderId="0" xfId="0" applyNumberFormat="1" applyFont="1" applyFill="1"/>
    <xf numFmtId="10" fontId="3" fillId="24" borderId="0" xfId="0" applyNumberFormat="1" applyFont="1" applyFill="1"/>
    <xf numFmtId="0" fontId="45" fillId="18" borderId="0" xfId="0" applyFont="1" applyFill="1"/>
    <xf numFmtId="190" fontId="3" fillId="0" borderId="0" xfId="0" applyNumberFormat="1" applyFont="1" applyFill="1" applyBorder="1" applyAlignment="1">
      <alignment horizontal="right"/>
    </xf>
    <xf numFmtId="190" fontId="3" fillId="0" borderId="0" xfId="1" applyNumberFormat="1" applyFont="1" applyAlignment="1">
      <alignment horizontal="right"/>
    </xf>
    <xf numFmtId="190" fontId="3" fillId="0" borderId="0" xfId="1" applyNumberFormat="1" applyFont="1" applyFill="1" applyAlignment="1">
      <alignment horizontal="right"/>
    </xf>
    <xf numFmtId="190" fontId="15" fillId="0" borderId="0" xfId="27" applyNumberFormat="1" applyFont="1" applyFill="1" applyAlignment="1">
      <alignment horizontal="right"/>
    </xf>
    <xf numFmtId="190" fontId="14" fillId="0" borderId="0" xfId="17" applyNumberFormat="1" applyFont="1" applyFill="1" applyBorder="1" applyAlignment="1">
      <alignment horizontal="right"/>
    </xf>
    <xf numFmtId="190" fontId="14" fillId="6" borderId="0" xfId="17" applyNumberFormat="1" applyFont="1" applyFill="1" applyBorder="1" applyAlignment="1">
      <alignment horizontal="right"/>
    </xf>
    <xf numFmtId="190" fontId="3" fillId="0" borderId="0" xfId="34" applyNumberFormat="1" applyFont="1" applyAlignment="1">
      <alignment horizontal="right"/>
    </xf>
    <xf numFmtId="190" fontId="3" fillId="0" borderId="0" xfId="34" applyNumberFormat="1" applyFont="1" applyFill="1" applyAlignment="1">
      <alignment horizontal="right"/>
    </xf>
    <xf numFmtId="190" fontId="3" fillId="0" borderId="1" xfId="34" applyNumberFormat="1" applyFont="1" applyBorder="1" applyAlignment="1">
      <alignment horizontal="right"/>
    </xf>
    <xf numFmtId="190" fontId="3" fillId="0" borderId="1" xfId="34" applyNumberFormat="1" applyFont="1" applyFill="1" applyBorder="1" applyAlignment="1">
      <alignment horizontal="right"/>
    </xf>
    <xf numFmtId="190" fontId="3" fillId="0" borderId="1" xfId="0" applyNumberFormat="1" applyFont="1" applyFill="1" applyBorder="1" applyAlignment="1">
      <alignment horizontal="right"/>
    </xf>
    <xf numFmtId="190" fontId="10" fillId="0" borderId="0" xfId="17" applyNumberFormat="1" applyFont="1" applyFill="1" applyAlignment="1">
      <alignment horizontal="right"/>
    </xf>
    <xf numFmtId="190" fontId="10" fillId="0" borderId="0" xfId="27" applyNumberFormat="1" applyFont="1" applyFill="1" applyAlignment="1">
      <alignment horizontal="right"/>
    </xf>
    <xf numFmtId="190" fontId="10" fillId="0" borderId="0" xfId="34" applyNumberFormat="1" applyFont="1" applyFill="1" applyAlignment="1">
      <alignment horizontal="right"/>
    </xf>
    <xf numFmtId="190" fontId="3" fillId="0" borderId="0" xfId="0" applyNumberFormat="1" applyFont="1" applyFill="1" applyAlignment="1">
      <alignment horizontal="right"/>
    </xf>
    <xf numFmtId="190" fontId="14" fillId="0" borderId="1" xfId="0" quotePrefix="1" applyNumberFormat="1" applyFont="1" applyFill="1" applyBorder="1" applyAlignment="1">
      <alignment horizontal="right"/>
    </xf>
    <xf numFmtId="190" fontId="14" fillId="0" borderId="0" xfId="27" quotePrefix="1" applyNumberFormat="1" applyFont="1" applyFill="1" applyBorder="1" applyAlignment="1">
      <alignment horizontal="right"/>
    </xf>
    <xf numFmtId="190" fontId="14" fillId="0" borderId="0" xfId="17" applyNumberFormat="1" applyFont="1" applyFill="1" applyAlignment="1">
      <alignment horizontal="right"/>
    </xf>
    <xf numFmtId="190" fontId="48" fillId="0" borderId="0" xfId="17" applyNumberFormat="1" applyFont="1" applyFill="1" applyAlignment="1">
      <alignment horizontal="right"/>
    </xf>
    <xf numFmtId="190" fontId="15" fillId="0" borderId="0" xfId="17" applyNumberFormat="1" applyFont="1" applyFill="1" applyAlignment="1">
      <alignment horizontal="right"/>
    </xf>
    <xf numFmtId="190" fontId="3" fillId="0" borderId="0" xfId="17" applyNumberFormat="1" applyFont="1" applyAlignment="1">
      <alignment horizontal="right"/>
    </xf>
    <xf numFmtId="190" fontId="3" fillId="0" borderId="1" xfId="17" applyNumberFormat="1" applyFont="1" applyBorder="1" applyAlignment="1">
      <alignment horizontal="right"/>
    </xf>
    <xf numFmtId="190" fontId="10" fillId="0" borderId="0" xfId="17" quotePrefix="1" applyNumberFormat="1" applyFont="1" applyFill="1" applyBorder="1" applyAlignment="1">
      <alignment horizontal="right"/>
    </xf>
    <xf numFmtId="190" fontId="10" fillId="0" borderId="0" xfId="21" quotePrefix="1" applyNumberFormat="1" applyFont="1" applyFill="1" applyBorder="1" applyAlignment="1">
      <alignment horizontal="right"/>
    </xf>
    <xf numFmtId="190" fontId="14" fillId="0" borderId="0" xfId="17" quotePrefix="1" applyNumberFormat="1" applyFont="1" applyFill="1" applyBorder="1" applyAlignment="1">
      <alignment horizontal="right"/>
    </xf>
    <xf numFmtId="190" fontId="10" fillId="0" borderId="0" xfId="34" quotePrefix="1" applyNumberFormat="1" applyFont="1" applyFill="1" applyBorder="1" applyAlignment="1">
      <alignment horizontal="right"/>
    </xf>
    <xf numFmtId="190" fontId="10" fillId="0" borderId="0" xfId="0" quotePrefix="1" applyNumberFormat="1" applyFont="1" applyFill="1" applyBorder="1" applyAlignment="1">
      <alignment horizontal="right"/>
    </xf>
    <xf numFmtId="190" fontId="10" fillId="0" borderId="0" xfId="0" applyNumberFormat="1" applyFont="1" applyFill="1" applyBorder="1" applyAlignment="1">
      <alignment horizontal="right"/>
    </xf>
    <xf numFmtId="190" fontId="10" fillId="4" borderId="0" xfId="0" quotePrefix="1" applyNumberFormat="1" applyFont="1" applyFill="1" applyBorder="1" applyAlignment="1">
      <alignment horizontal="right"/>
    </xf>
    <xf numFmtId="190" fontId="10" fillId="4" borderId="0" xfId="0" applyNumberFormat="1" applyFont="1" applyFill="1" applyBorder="1" applyAlignment="1">
      <alignment horizontal="right"/>
    </xf>
    <xf numFmtId="190" fontId="10" fillId="0" borderId="3" xfId="17" quotePrefix="1" applyNumberFormat="1" applyFont="1" applyFill="1" applyBorder="1" applyAlignment="1">
      <alignment horizontal="right"/>
    </xf>
    <xf numFmtId="190" fontId="10" fillId="0" borderId="0" xfId="17" applyNumberFormat="1" applyFont="1" applyFill="1" applyBorder="1" applyAlignment="1">
      <alignment horizontal="right"/>
    </xf>
    <xf numFmtId="190" fontId="14" fillId="0" borderId="1" xfId="17" quotePrefix="1" applyNumberFormat="1" applyFont="1" applyFill="1" applyBorder="1" applyAlignment="1">
      <alignment horizontal="right"/>
    </xf>
    <xf numFmtId="190" fontId="10" fillId="4" borderId="0" xfId="17" quotePrefix="1" applyNumberFormat="1" applyFont="1" applyFill="1" applyBorder="1" applyAlignment="1">
      <alignment horizontal="right"/>
    </xf>
    <xf numFmtId="190" fontId="10" fillId="0" borderId="1" xfId="0" applyNumberFormat="1" applyFont="1" applyFill="1" applyBorder="1" applyAlignment="1">
      <alignment horizontal="right"/>
    </xf>
    <xf numFmtId="190" fontId="3" fillId="4" borderId="0" xfId="0" applyNumberFormat="1" applyFont="1" applyFill="1" applyBorder="1" applyAlignment="1">
      <alignment horizontal="right"/>
    </xf>
    <xf numFmtId="190" fontId="14" fillId="0" borderId="0" xfId="0" quotePrefix="1" applyNumberFormat="1" applyFont="1" applyFill="1" applyBorder="1" applyAlignment="1">
      <alignment horizontal="right"/>
    </xf>
    <xf numFmtId="190" fontId="14" fillId="4" borderId="0" xfId="0" quotePrefix="1" applyNumberFormat="1" applyFont="1" applyFill="1" applyBorder="1" applyAlignment="1">
      <alignment horizontal="right"/>
    </xf>
    <xf numFmtId="190" fontId="10" fillId="0" borderId="0" xfId="34" applyNumberFormat="1" applyFont="1" applyFill="1" applyBorder="1" applyAlignment="1">
      <alignment horizontal="right"/>
    </xf>
    <xf numFmtId="190" fontId="10" fillId="0" borderId="1" xfId="0" quotePrefix="1" applyNumberFormat="1" applyFont="1" applyFill="1" applyBorder="1" applyAlignment="1">
      <alignment horizontal="right"/>
    </xf>
    <xf numFmtId="190" fontId="14" fillId="0" borderId="1" xfId="27" quotePrefix="1" applyNumberFormat="1" applyFont="1" applyFill="1" applyBorder="1" applyAlignment="1">
      <alignment horizontal="right"/>
    </xf>
    <xf numFmtId="190" fontId="15" fillId="0" borderId="0" xfId="27" applyNumberFormat="1" applyFont="1" applyFill="1" applyBorder="1" applyAlignment="1">
      <alignment horizontal="right"/>
    </xf>
    <xf numFmtId="190" fontId="10" fillId="0" borderId="0" xfId="27" quotePrefix="1" applyNumberFormat="1" applyFont="1" applyFill="1" applyBorder="1" applyAlignment="1">
      <alignment horizontal="right"/>
    </xf>
    <xf numFmtId="190" fontId="3" fillId="0" borderId="0" xfId="27" quotePrefix="1" applyNumberFormat="1" applyFont="1" applyFill="1" applyBorder="1" applyAlignment="1">
      <alignment horizontal="right"/>
    </xf>
    <xf numFmtId="190" fontId="15" fillId="0" borderId="0" xfId="27" quotePrefix="1" applyNumberFormat="1" applyFont="1" applyFill="1" applyBorder="1" applyAlignment="1">
      <alignment horizontal="right"/>
    </xf>
    <xf numFmtId="190" fontId="14" fillId="0" borderId="0" xfId="0" applyNumberFormat="1" applyFont="1" applyFill="1" applyAlignment="1">
      <alignment horizontal="right"/>
    </xf>
    <xf numFmtId="190" fontId="10" fillId="6" borderId="0" xfId="34" quotePrefix="1" applyNumberFormat="1" applyFont="1" applyFill="1" applyBorder="1" applyAlignment="1">
      <alignment horizontal="right"/>
    </xf>
    <xf numFmtId="190" fontId="14" fillId="0" borderId="1" xfId="0" applyNumberFormat="1" applyFont="1" applyFill="1" applyBorder="1" applyAlignment="1">
      <alignment horizontal="right"/>
    </xf>
    <xf numFmtId="190" fontId="10" fillId="0" borderId="0" xfId="0" applyNumberFormat="1" applyFont="1" applyFill="1" applyAlignment="1">
      <alignment horizontal="right"/>
    </xf>
    <xf numFmtId="190" fontId="10" fillId="0" borderId="1" xfId="17" quotePrefix="1" applyNumberFormat="1" applyFont="1" applyFill="1" applyBorder="1" applyAlignment="1">
      <alignment horizontal="right"/>
    </xf>
    <xf numFmtId="190" fontId="20" fillId="0" borderId="0" xfId="0" applyNumberFormat="1" applyFont="1" applyFill="1" applyBorder="1" applyAlignment="1">
      <alignment horizontal="right"/>
    </xf>
    <xf numFmtId="190" fontId="3" fillId="0" borderId="0" xfId="17" applyNumberFormat="1" applyFont="1" applyFill="1" applyAlignment="1">
      <alignment horizontal="right"/>
    </xf>
    <xf numFmtId="190" fontId="14" fillId="0" borderId="0" xfId="0" applyNumberFormat="1" applyFont="1" applyFill="1" applyBorder="1" applyAlignment="1">
      <alignment horizontal="right"/>
    </xf>
    <xf numFmtId="190" fontId="3" fillId="0" borderId="1" xfId="17" applyNumberFormat="1" applyFont="1" applyFill="1" applyBorder="1" applyAlignment="1">
      <alignment horizontal="right"/>
    </xf>
    <xf numFmtId="190" fontId="10" fillId="0" borderId="1" xfId="21" quotePrefix="1" applyNumberFormat="1" applyFont="1" applyFill="1" applyBorder="1" applyAlignment="1">
      <alignment horizontal="right"/>
    </xf>
    <xf numFmtId="190" fontId="10" fillId="0" borderId="0" xfId="17" applyNumberFormat="1" applyFont="1" applyFill="1" applyBorder="1" applyAlignment="1" applyProtection="1">
      <alignment horizontal="right"/>
    </xf>
    <xf numFmtId="190" fontId="15" fillId="0" borderId="5" xfId="17" quotePrefix="1" applyNumberFormat="1" applyFont="1" applyFill="1" applyBorder="1" applyAlignment="1">
      <alignment horizontal="right"/>
    </xf>
    <xf numFmtId="190" fontId="15" fillId="0" borderId="0" xfId="17" quotePrefix="1" applyNumberFormat="1" applyFont="1" applyFill="1" applyBorder="1" applyAlignment="1">
      <alignment horizontal="right"/>
    </xf>
    <xf numFmtId="190" fontId="3" fillId="0" borderId="1" xfId="17" quotePrefix="1" applyNumberFormat="1" applyFont="1" applyFill="1" applyBorder="1" applyAlignment="1">
      <alignment horizontal="right"/>
    </xf>
    <xf numFmtId="190" fontId="10" fillId="0" borderId="11" xfId="17" quotePrefix="1" applyNumberFormat="1" applyFont="1" applyFill="1" applyBorder="1" applyAlignment="1">
      <alignment horizontal="right"/>
    </xf>
    <xf numFmtId="190" fontId="10" fillId="0" borderId="17" xfId="17" quotePrefix="1" applyNumberFormat="1" applyFont="1" applyFill="1" applyBorder="1" applyAlignment="1">
      <alignment horizontal="right"/>
    </xf>
    <xf numFmtId="190" fontId="14" fillId="0" borderId="0" xfId="27" applyNumberFormat="1" applyFont="1" applyFill="1" applyBorder="1" applyAlignment="1">
      <alignment horizontal="right"/>
    </xf>
    <xf numFmtId="190" fontId="10" fillId="0" borderId="1" xfId="27" applyNumberFormat="1" applyFont="1" applyFill="1" applyBorder="1" applyAlignment="1">
      <alignment horizontal="right"/>
    </xf>
    <xf numFmtId="190" fontId="15" fillId="0" borderId="0" xfId="34" quotePrefix="1" applyNumberFormat="1" applyFont="1" applyFill="1" applyBorder="1" applyAlignment="1">
      <alignment horizontal="right"/>
    </xf>
    <xf numFmtId="190" fontId="3" fillId="0" borderId="0" xfId="17" quotePrefix="1" applyNumberFormat="1" applyFont="1" applyFill="1" applyBorder="1" applyAlignment="1">
      <alignment horizontal="right"/>
    </xf>
    <xf numFmtId="190" fontId="3" fillId="0" borderId="0" xfId="17" applyNumberFormat="1" applyFont="1" applyFill="1" applyBorder="1" applyAlignment="1">
      <alignment horizontal="right"/>
    </xf>
    <xf numFmtId="190" fontId="3" fillId="0" borderId="0" xfId="21" quotePrefix="1" applyNumberFormat="1" applyFont="1" applyFill="1" applyBorder="1" applyAlignment="1">
      <alignment horizontal="right"/>
    </xf>
    <xf numFmtId="190" fontId="14" fillId="0" borderId="0" xfId="17" applyNumberFormat="1" applyFont="1" applyFill="1" applyBorder="1" applyAlignment="1" applyProtection="1">
      <alignment horizontal="right"/>
    </xf>
    <xf numFmtId="190" fontId="3" fillId="0" borderId="0" xfId="17" applyNumberFormat="1" applyFont="1" applyFill="1" applyBorder="1" applyAlignment="1" applyProtection="1">
      <alignment horizontal="right"/>
    </xf>
    <xf numFmtId="190" fontId="3" fillId="0" borderId="0" xfId="27" applyNumberFormat="1" applyFont="1" applyFill="1" applyAlignment="1">
      <alignment horizontal="right"/>
    </xf>
    <xf numFmtId="190" fontId="3" fillId="0" borderId="1" xfId="27" applyNumberFormat="1" applyFont="1" applyFill="1" applyBorder="1" applyAlignment="1">
      <alignment horizontal="right"/>
    </xf>
    <xf numFmtId="190" fontId="3" fillId="0" borderId="1" xfId="0" applyNumberFormat="1" applyFont="1" applyBorder="1" applyAlignment="1">
      <alignment horizontal="right"/>
    </xf>
    <xf numFmtId="190" fontId="10" fillId="0" borderId="0" xfId="27" applyNumberFormat="1" applyFont="1" applyFill="1" applyBorder="1" applyAlignment="1">
      <alignment horizontal="right"/>
    </xf>
    <xf numFmtId="190" fontId="10" fillId="4" borderId="0" xfId="27" quotePrefix="1" applyNumberFormat="1" applyFont="1" applyFill="1" applyBorder="1" applyAlignment="1">
      <alignment horizontal="right"/>
    </xf>
    <xf numFmtId="190" fontId="15" fillId="4" borderId="0" xfId="27" applyNumberFormat="1" applyFont="1" applyFill="1" applyBorder="1" applyAlignment="1">
      <alignment horizontal="right"/>
    </xf>
    <xf numFmtId="190" fontId="10" fillId="0" borderId="0" xfId="21" applyNumberFormat="1" applyFont="1" applyFill="1" applyBorder="1" applyAlignment="1">
      <alignment horizontal="right"/>
    </xf>
    <xf numFmtId="190" fontId="15" fillId="4" borderId="0" xfId="27" quotePrefix="1" applyNumberFormat="1" applyFont="1" applyFill="1" applyBorder="1" applyAlignment="1">
      <alignment horizontal="right"/>
    </xf>
    <xf numFmtId="190" fontId="15" fillId="4" borderId="0" xfId="27" applyNumberFormat="1" applyFont="1" applyFill="1" applyAlignment="1">
      <alignment horizontal="right"/>
    </xf>
    <xf numFmtId="190" fontId="14" fillId="0" borderId="1" xfId="17" applyNumberFormat="1" applyFont="1" applyFill="1" applyBorder="1" applyAlignment="1" applyProtection="1">
      <alignment horizontal="right"/>
    </xf>
    <xf numFmtId="190" fontId="9" fillId="0" borderId="0" xfId="27" quotePrefix="1" applyNumberFormat="1" applyFont="1" applyFill="1" applyBorder="1" applyAlignment="1">
      <alignment horizontal="right"/>
    </xf>
    <xf numFmtId="190" fontId="3" fillId="0" borderId="1" xfId="17" applyNumberFormat="1" applyFont="1" applyFill="1" applyBorder="1" applyAlignment="1" applyProtection="1">
      <alignment horizontal="right"/>
    </xf>
    <xf numFmtId="190" fontId="3" fillId="0" borderId="3" xfId="17" applyNumberFormat="1" applyFont="1" applyFill="1" applyBorder="1" applyAlignment="1" applyProtection="1">
      <alignment horizontal="right"/>
    </xf>
    <xf numFmtId="190" fontId="3" fillId="0" borderId="0" xfId="0" applyNumberFormat="1" applyFont="1" applyBorder="1" applyAlignment="1">
      <alignment horizontal="right"/>
    </xf>
    <xf numFmtId="190" fontId="14" fillId="0" borderId="0" xfId="34" applyNumberFormat="1" applyFont="1" applyFill="1" applyBorder="1" applyAlignment="1" applyProtection="1">
      <alignment horizontal="right"/>
    </xf>
    <xf numFmtId="190" fontId="3" fillId="0" borderId="0" xfId="34" applyNumberFormat="1" applyFont="1" applyFill="1" applyBorder="1" applyAlignment="1" applyProtection="1">
      <alignment horizontal="right"/>
    </xf>
    <xf numFmtId="190" fontId="9" fillId="0" borderId="0" xfId="27" applyNumberFormat="1" applyFont="1" applyFill="1" applyBorder="1" applyAlignment="1">
      <alignment horizontal="right"/>
    </xf>
    <xf numFmtId="190" fontId="9" fillId="0" borderId="0" xfId="17" applyNumberFormat="1" applyFont="1" applyAlignment="1">
      <alignment horizontal="right"/>
    </xf>
    <xf numFmtId="190" fontId="21" fillId="0" borderId="0" xfId="17" applyNumberFormat="1" applyFont="1" applyAlignment="1">
      <alignment horizontal="right"/>
    </xf>
    <xf numFmtId="190" fontId="9" fillId="0" borderId="0" xfId="17" applyNumberFormat="1" applyFont="1" applyFill="1" applyBorder="1" applyAlignment="1" applyProtection="1">
      <alignment horizontal="right"/>
    </xf>
    <xf numFmtId="190" fontId="14" fillId="0" borderId="0" xfId="21" applyNumberFormat="1" applyFont="1" applyFill="1" applyBorder="1" applyAlignment="1" applyProtection="1">
      <alignment horizontal="right"/>
    </xf>
    <xf numFmtId="190" fontId="37" fillId="0" borderId="0" xfId="17" applyNumberFormat="1" applyFont="1" applyAlignment="1">
      <alignment horizontal="right"/>
    </xf>
    <xf numFmtId="190" fontId="14" fillId="0" borderId="0" xfId="17" applyNumberFormat="1" applyFont="1" applyAlignment="1">
      <alignment horizontal="right"/>
    </xf>
    <xf numFmtId="190" fontId="3" fillId="0" borderId="1" xfId="21" applyNumberFormat="1" applyFont="1" applyFill="1" applyBorder="1" applyAlignment="1" applyProtection="1">
      <alignment horizontal="right"/>
    </xf>
    <xf numFmtId="190" fontId="9" fillId="0" borderId="0" xfId="0" applyNumberFormat="1" applyFont="1" applyAlignment="1">
      <alignment horizontal="right"/>
    </xf>
    <xf numFmtId="190" fontId="3" fillId="0" borderId="3" xfId="0" applyNumberFormat="1" applyFont="1" applyBorder="1" applyAlignment="1">
      <alignment horizontal="right"/>
    </xf>
    <xf numFmtId="190" fontId="21" fillId="0" borderId="0" xfId="0" applyNumberFormat="1" applyFont="1" applyAlignment="1">
      <alignment horizontal="right"/>
    </xf>
    <xf numFmtId="190" fontId="10" fillId="0" borderId="5" xfId="21" quotePrefix="1" applyNumberFormat="1" applyFont="1" applyFill="1" applyBorder="1" applyAlignment="1">
      <alignment horizontal="right"/>
    </xf>
    <xf numFmtId="190" fontId="15" fillId="0" borderId="5" xfId="21" quotePrefix="1" applyNumberFormat="1" applyFont="1" applyFill="1" applyBorder="1" applyAlignment="1">
      <alignment horizontal="right"/>
    </xf>
    <xf numFmtId="190" fontId="15" fillId="0" borderId="0" xfId="21" quotePrefix="1" applyNumberFormat="1" applyFont="1" applyFill="1" applyBorder="1" applyAlignment="1">
      <alignment horizontal="right"/>
    </xf>
    <xf numFmtId="190" fontId="14" fillId="6" borderId="0" xfId="17" applyNumberFormat="1" applyFont="1" applyFill="1" applyBorder="1" applyAlignment="1" applyProtection="1">
      <alignment horizontal="right"/>
    </xf>
    <xf numFmtId="190" fontId="10" fillId="0" borderId="0" xfId="28" applyNumberFormat="1" applyFont="1" applyFill="1" applyBorder="1" applyAlignment="1">
      <alignment horizontal="right"/>
    </xf>
    <xf numFmtId="190" fontId="3" fillId="0" borderId="11" xfId="17" applyNumberFormat="1" applyFont="1" applyBorder="1" applyAlignment="1">
      <alignment horizontal="right"/>
    </xf>
    <xf numFmtId="190" fontId="3" fillId="0" borderId="0" xfId="17" applyNumberFormat="1" applyFont="1" applyBorder="1" applyAlignment="1">
      <alignment horizontal="right"/>
    </xf>
    <xf numFmtId="190" fontId="3" fillId="0" borderId="0" xfId="34" applyNumberFormat="1" applyFont="1" applyBorder="1" applyAlignment="1">
      <alignment horizontal="right"/>
    </xf>
    <xf numFmtId="190" fontId="10" fillId="0" borderId="0" xfId="21" applyNumberFormat="1" applyFont="1" applyFill="1" applyBorder="1" applyAlignment="1" applyProtection="1">
      <alignment horizontal="right"/>
    </xf>
    <xf numFmtId="190" fontId="15" fillId="0" borderId="0" xfId="34" applyNumberFormat="1" applyFont="1" applyFill="1" applyAlignment="1">
      <alignment horizontal="right"/>
    </xf>
    <xf numFmtId="190" fontId="15" fillId="0" borderId="0" xfId="0" applyNumberFormat="1" applyFont="1" applyFill="1" applyAlignment="1">
      <alignment horizontal="right"/>
    </xf>
    <xf numFmtId="190" fontId="10" fillId="0" borderId="11" xfId="0" applyNumberFormat="1" applyFont="1" applyFill="1" applyBorder="1" applyAlignment="1">
      <alignment horizontal="right"/>
    </xf>
    <xf numFmtId="190" fontId="14" fillId="0" borderId="0" xfId="1" applyNumberFormat="1" applyFont="1" applyFill="1" applyAlignment="1">
      <alignment horizontal="right"/>
    </xf>
    <xf numFmtId="190" fontId="9" fillId="0" borderId="0" xfId="0" applyNumberFormat="1" applyFont="1" applyFill="1" applyAlignment="1">
      <alignment horizontal="right"/>
    </xf>
    <xf numFmtId="190" fontId="14" fillId="0" borderId="0" xfId="17" applyNumberFormat="1" applyFont="1" applyFill="1" applyBorder="1" applyAlignment="1">
      <alignment horizontal="right" wrapText="1"/>
    </xf>
    <xf numFmtId="190" fontId="14" fillId="0" borderId="0" xfId="17" applyNumberFormat="1" applyFont="1" applyFill="1" applyAlignment="1">
      <alignment horizontal="right" wrapText="1"/>
    </xf>
    <xf numFmtId="190" fontId="14" fillId="0" borderId="1" xfId="17" applyNumberFormat="1" applyFont="1" applyFill="1" applyBorder="1" applyAlignment="1">
      <alignment horizontal="right" wrapText="1"/>
    </xf>
    <xf numFmtId="190" fontId="10" fillId="5" borderId="0" xfId="17" quotePrefix="1" applyNumberFormat="1" applyFont="1" applyFill="1" applyBorder="1" applyAlignment="1">
      <alignment horizontal="right"/>
    </xf>
    <xf numFmtId="190" fontId="10" fillId="5" borderId="0" xfId="0" applyNumberFormat="1" applyFont="1" applyFill="1" applyBorder="1" applyAlignment="1">
      <alignment horizontal="right"/>
    </xf>
    <xf numFmtId="190" fontId="10" fillId="5" borderId="0" xfId="0" quotePrefix="1" applyNumberFormat="1" applyFont="1" applyFill="1" applyBorder="1" applyAlignment="1">
      <alignment horizontal="right"/>
    </xf>
    <xf numFmtId="190" fontId="3" fillId="0" borderId="0" xfId="34" applyNumberFormat="1" applyFont="1" applyFill="1" applyBorder="1" applyAlignment="1">
      <alignment horizontal="right" wrapText="1"/>
    </xf>
    <xf numFmtId="190" fontId="14" fillId="0" borderId="0" xfId="21" applyNumberFormat="1" applyFont="1" applyFill="1" applyBorder="1" applyAlignment="1">
      <alignment horizontal="right" wrapText="1"/>
    </xf>
    <xf numFmtId="190" fontId="15" fillId="17" borderId="0" xfId="36" applyNumberFormat="1" applyFont="1" applyFill="1" applyBorder="1" applyAlignment="1">
      <alignment horizontal="right" wrapText="1"/>
    </xf>
    <xf numFmtId="190" fontId="3" fillId="0" borderId="0" xfId="17" applyNumberFormat="1" applyFont="1" applyFill="1" applyBorder="1" applyAlignment="1">
      <alignment horizontal="right" wrapText="1"/>
    </xf>
    <xf numFmtId="190" fontId="51" fillId="0" borderId="0" xfId="34" applyNumberFormat="1" applyFont="1" applyAlignment="1">
      <alignment horizontal="right"/>
    </xf>
    <xf numFmtId="190" fontId="51" fillId="0" borderId="0" xfId="0" applyNumberFormat="1" applyFont="1" applyAlignment="1">
      <alignment horizontal="right"/>
    </xf>
    <xf numFmtId="190" fontId="15" fillId="0" borderId="0" xfId="0" quotePrefix="1" applyNumberFormat="1" applyFont="1" applyFill="1" applyBorder="1" applyAlignment="1">
      <alignment horizontal="right"/>
    </xf>
    <xf numFmtId="190" fontId="15" fillId="0" borderId="0" xfId="36" applyNumberFormat="1" applyFont="1" applyFill="1" applyBorder="1" applyAlignment="1">
      <alignment horizontal="right" wrapText="1"/>
    </xf>
    <xf numFmtId="190" fontId="3" fillId="11" borderId="0" xfId="17" applyNumberFormat="1" applyFont="1" applyFill="1" applyAlignment="1">
      <alignment horizontal="right"/>
    </xf>
    <xf numFmtId="190" fontId="9" fillId="0" borderId="0" xfId="34" applyNumberFormat="1" applyFont="1" applyAlignment="1">
      <alignment horizontal="right"/>
    </xf>
    <xf numFmtId="190" fontId="20" fillId="6" borderId="0" xfId="34" applyNumberFormat="1" applyFont="1" applyFill="1" applyAlignment="1">
      <alignment horizontal="right"/>
    </xf>
    <xf numFmtId="190" fontId="14" fillId="0" borderId="1" xfId="17" applyNumberFormat="1" applyFont="1" applyBorder="1" applyAlignment="1">
      <alignment horizontal="right"/>
    </xf>
    <xf numFmtId="190" fontId="9" fillId="4" borderId="0" xfId="1" applyNumberFormat="1" applyFont="1" applyFill="1" applyAlignment="1">
      <alignment horizontal="right"/>
    </xf>
    <xf numFmtId="190" fontId="51" fillId="0" borderId="0" xfId="26" applyNumberFormat="1" applyFont="1" applyBorder="1" applyAlignment="1">
      <alignment horizontal="right"/>
    </xf>
    <xf numFmtId="190" fontId="3" fillId="0" borderId="0" xfId="26" applyNumberFormat="1" applyFont="1" applyBorder="1" applyAlignment="1">
      <alignment horizontal="right"/>
    </xf>
    <xf numFmtId="190" fontId="51" fillId="0" borderId="0" xfId="26" applyNumberFormat="1" applyFont="1" applyFill="1" applyBorder="1" applyAlignment="1">
      <alignment horizontal="right"/>
    </xf>
    <xf numFmtId="190" fontId="3" fillId="11" borderId="0" xfId="0" applyNumberFormat="1" applyFont="1" applyFill="1" applyAlignment="1">
      <alignment horizontal="right"/>
    </xf>
    <xf numFmtId="190" fontId="3" fillId="3" borderId="0" xfId="0" applyNumberFormat="1" applyFont="1" applyFill="1" applyAlignment="1">
      <alignment horizontal="right"/>
    </xf>
    <xf numFmtId="190" fontId="9" fillId="3" borderId="0" xfId="2" applyNumberFormat="1" applyFont="1" applyFill="1" applyAlignment="1">
      <alignment horizontal="right"/>
    </xf>
    <xf numFmtId="190" fontId="9" fillId="0" borderId="0" xfId="2" applyNumberFormat="1" applyFont="1" applyFill="1" applyAlignment="1">
      <alignment horizontal="right"/>
    </xf>
    <xf numFmtId="190" fontId="3" fillId="0" borderId="0" xfId="2" applyNumberFormat="1" applyFont="1" applyFill="1" applyAlignment="1">
      <alignment horizontal="right"/>
    </xf>
    <xf numFmtId="190" fontId="3" fillId="0" borderId="1" xfId="2" applyNumberFormat="1" applyFont="1" applyFill="1" applyBorder="1" applyAlignment="1">
      <alignment horizontal="right"/>
    </xf>
    <xf numFmtId="190" fontId="9" fillId="0" borderId="3" xfId="17" applyNumberFormat="1" applyFont="1" applyFill="1" applyBorder="1" applyAlignment="1">
      <alignment horizontal="right"/>
    </xf>
    <xf numFmtId="190" fontId="20" fillId="6" borderId="0" xfId="1" applyNumberFormat="1" applyFont="1" applyFill="1" applyAlignment="1">
      <alignment horizontal="right"/>
    </xf>
    <xf numFmtId="190" fontId="3" fillId="0" borderId="1" xfId="1" applyNumberFormat="1" applyFont="1" applyFill="1" applyBorder="1" applyAlignment="1">
      <alignment horizontal="right"/>
    </xf>
    <xf numFmtId="190" fontId="20" fillId="6" borderId="1" xfId="1" applyNumberFormat="1" applyFont="1" applyFill="1" applyBorder="1" applyAlignment="1">
      <alignment horizontal="right"/>
    </xf>
    <xf numFmtId="190" fontId="9" fillId="0" borderId="0" xfId="1" applyNumberFormat="1" applyFont="1" applyFill="1" applyBorder="1" applyAlignment="1">
      <alignment horizontal="right"/>
    </xf>
    <xf numFmtId="190" fontId="9" fillId="0" borderId="0" xfId="0" applyNumberFormat="1" applyFont="1" applyBorder="1" applyAlignment="1">
      <alignment horizontal="right"/>
    </xf>
    <xf numFmtId="190" fontId="51" fillId="0" borderId="0" xfId="17" applyNumberFormat="1" applyFont="1" applyFill="1" applyAlignment="1">
      <alignment horizontal="right"/>
    </xf>
    <xf numFmtId="190" fontId="20" fillId="6" borderId="0" xfId="17" applyNumberFormat="1" applyFont="1" applyFill="1" applyAlignment="1">
      <alignment horizontal="right"/>
    </xf>
    <xf numFmtId="190" fontId="3" fillId="0" borderId="0" xfId="0" applyNumberFormat="1" applyFont="1" applyAlignment="1">
      <alignment horizontal="right" wrapText="1"/>
    </xf>
    <xf numFmtId="190" fontId="9" fillId="14" borderId="15" xfId="17" applyNumberFormat="1" applyFont="1" applyFill="1" applyBorder="1" applyAlignment="1">
      <alignment horizontal="right"/>
    </xf>
    <xf numFmtId="190" fontId="9" fillId="14" borderId="19" xfId="17" applyNumberFormat="1" applyFont="1" applyFill="1" applyBorder="1" applyAlignment="1">
      <alignment horizontal="right"/>
    </xf>
    <xf numFmtId="190" fontId="9" fillId="14" borderId="14" xfId="0" applyNumberFormat="1" applyFont="1" applyFill="1" applyBorder="1" applyAlignment="1">
      <alignment horizontal="right"/>
    </xf>
    <xf numFmtId="190" fontId="3" fillId="14" borderId="15" xfId="0" applyNumberFormat="1" applyFont="1" applyFill="1" applyBorder="1" applyAlignment="1">
      <alignment horizontal="right"/>
    </xf>
    <xf numFmtId="190" fontId="9" fillId="14" borderId="2" xfId="17" applyNumberFormat="1" applyFont="1" applyFill="1" applyBorder="1" applyAlignment="1">
      <alignment horizontal="right"/>
    </xf>
    <xf numFmtId="190" fontId="9" fillId="14" borderId="21" xfId="17" applyNumberFormat="1" applyFont="1" applyFill="1" applyBorder="1" applyAlignment="1">
      <alignment horizontal="right"/>
    </xf>
    <xf numFmtId="190" fontId="9" fillId="14" borderId="16" xfId="0" applyNumberFormat="1" applyFont="1" applyFill="1" applyBorder="1" applyAlignment="1">
      <alignment horizontal="right"/>
    </xf>
    <xf numFmtId="190" fontId="3" fillId="14" borderId="2" xfId="0" applyNumberFormat="1" applyFont="1" applyFill="1" applyBorder="1" applyAlignment="1">
      <alignment horizontal="right"/>
    </xf>
    <xf numFmtId="190" fontId="9" fillId="0" borderId="1" xfId="2" applyNumberFormat="1" applyFont="1" applyFill="1" applyBorder="1" applyAlignment="1">
      <alignment horizontal="right"/>
    </xf>
    <xf numFmtId="190" fontId="3" fillId="0" borderId="0" xfId="2" applyNumberFormat="1" applyFont="1" applyFill="1" applyBorder="1" applyAlignment="1">
      <alignment horizontal="right"/>
    </xf>
    <xf numFmtId="190" fontId="9" fillId="0" borderId="0" xfId="34" applyNumberFormat="1" applyFont="1" applyFill="1" applyAlignment="1">
      <alignment horizontal="right"/>
    </xf>
    <xf numFmtId="190" fontId="18" fillId="0" borderId="0" xfId="2" applyNumberFormat="1" applyFont="1" applyFill="1" applyAlignment="1">
      <alignment horizontal="right"/>
    </xf>
    <xf numFmtId="190" fontId="9" fillId="0" borderId="0" xfId="0" applyNumberFormat="1" applyFont="1" applyAlignment="1">
      <alignment horizontal="right" wrapText="1"/>
    </xf>
    <xf numFmtId="190" fontId="9" fillId="0" borderId="0" xfId="0" applyNumberFormat="1" applyFont="1" applyFill="1" applyBorder="1" applyAlignment="1">
      <alignment horizontal="right"/>
    </xf>
    <xf numFmtId="190" fontId="9" fillId="0" borderId="3" xfId="0" applyNumberFormat="1" applyFont="1" applyFill="1" applyBorder="1" applyAlignment="1">
      <alignment horizontal="right"/>
    </xf>
    <xf numFmtId="190" fontId="3" fillId="4" borderId="0" xfId="0" applyNumberFormat="1" applyFont="1" applyFill="1" applyAlignment="1">
      <alignment horizontal="right"/>
    </xf>
    <xf numFmtId="190" fontId="9" fillId="4" borderId="0" xfId="2" applyNumberFormat="1" applyFont="1" applyFill="1" applyAlignment="1">
      <alignment horizontal="right"/>
    </xf>
    <xf numFmtId="190" fontId="10" fillId="0" borderId="0" xfId="0" applyNumberFormat="1" applyFont="1" applyFill="1" applyAlignment="1" applyProtection="1">
      <alignment horizontal="right"/>
    </xf>
    <xf numFmtId="190" fontId="10" fillId="0" borderId="1" xfId="17" applyNumberFormat="1" applyFont="1" applyFill="1" applyBorder="1" applyAlignment="1">
      <alignment horizontal="right"/>
    </xf>
    <xf numFmtId="190" fontId="10" fillId="0" borderId="1" xfId="0" applyNumberFormat="1" applyFont="1" applyFill="1" applyBorder="1" applyAlignment="1" applyProtection="1">
      <alignment horizontal="right"/>
    </xf>
    <xf numFmtId="190" fontId="21" fillId="0" borderId="0" xfId="0" applyNumberFormat="1" applyFont="1" applyFill="1" applyAlignment="1">
      <alignment horizontal="right"/>
    </xf>
    <xf numFmtId="190" fontId="21" fillId="0" borderId="0" xfId="2" applyNumberFormat="1" applyFont="1" applyFill="1" applyAlignment="1">
      <alignment horizontal="right"/>
    </xf>
    <xf numFmtId="190" fontId="3" fillId="8" borderId="0" xfId="0" applyNumberFormat="1" applyFont="1" applyFill="1" applyAlignment="1">
      <alignment horizontal="right"/>
    </xf>
    <xf numFmtId="190" fontId="9" fillId="8" borderId="0" xfId="2" applyNumberFormat="1" applyFont="1" applyFill="1" applyAlignment="1">
      <alignment horizontal="right"/>
    </xf>
    <xf numFmtId="190" fontId="10" fillId="4" borderId="0" xfId="27" applyNumberFormat="1" applyFont="1" applyFill="1" applyAlignment="1">
      <alignment horizontal="right"/>
    </xf>
    <xf numFmtId="190" fontId="14" fillId="0" borderId="1" xfId="17" applyNumberFormat="1" applyFont="1" applyFill="1" applyBorder="1" applyAlignment="1">
      <alignment horizontal="right"/>
    </xf>
    <xf numFmtId="190" fontId="15" fillId="0" borderId="0" xfId="0" applyNumberFormat="1" applyFont="1" applyFill="1" applyBorder="1" applyAlignment="1">
      <alignment horizontal="right"/>
    </xf>
    <xf numFmtId="190" fontId="10" fillId="0" borderId="0" xfId="0" applyNumberFormat="1" applyFont="1" applyFill="1" applyBorder="1" applyAlignment="1" applyProtection="1">
      <alignment horizontal="right"/>
    </xf>
    <xf numFmtId="190" fontId="35" fillId="0" borderId="0" xfId="0" applyNumberFormat="1" applyFont="1" applyFill="1" applyBorder="1" applyAlignment="1" applyProtection="1">
      <alignment horizontal="right"/>
    </xf>
    <xf numFmtId="190" fontId="3" fillId="0" borderId="0" xfId="34" applyNumberFormat="1" applyFont="1" applyFill="1" applyBorder="1" applyAlignment="1">
      <alignment horizontal="right"/>
    </xf>
    <xf numFmtId="190" fontId="15" fillId="0" borderId="0" xfId="0" applyNumberFormat="1" applyFont="1" applyFill="1" applyBorder="1" applyAlignment="1" applyProtection="1">
      <alignment horizontal="right"/>
    </xf>
    <xf numFmtId="190" fontId="52" fillId="0" borderId="0" xfId="21" applyNumberFormat="1" applyFont="1" applyFill="1" applyBorder="1" applyAlignment="1">
      <alignment horizontal="right"/>
    </xf>
    <xf numFmtId="190" fontId="52" fillId="0" borderId="0" xfId="17" applyNumberFormat="1" applyFont="1" applyFill="1" applyBorder="1" applyAlignment="1">
      <alignment horizontal="right"/>
    </xf>
    <xf numFmtId="190" fontId="10" fillId="0" borderId="0" xfId="0" applyNumberFormat="1" applyFont="1" applyAlignment="1">
      <alignment horizontal="right"/>
    </xf>
    <xf numFmtId="190" fontId="10" fillId="4" borderId="0" xfId="0" applyNumberFormat="1" applyFont="1" applyFill="1" applyAlignment="1">
      <alignment horizontal="right"/>
    </xf>
    <xf numFmtId="190" fontId="15" fillId="4" borderId="0" xfId="0" applyNumberFormat="1" applyFont="1" applyFill="1" applyBorder="1" applyAlignment="1" applyProtection="1">
      <alignment horizontal="right"/>
    </xf>
    <xf numFmtId="190" fontId="10" fillId="4" borderId="0" xfId="0" applyNumberFormat="1" applyFont="1" applyFill="1" applyBorder="1" applyAlignment="1" applyProtection="1">
      <alignment horizontal="right"/>
    </xf>
    <xf numFmtId="190" fontId="10" fillId="0" borderId="0" xfId="17" applyNumberFormat="1" applyFont="1" applyAlignment="1">
      <alignment horizontal="right"/>
    </xf>
    <xf numFmtId="190" fontId="14" fillId="0" borderId="0" xfId="21" applyNumberFormat="1" applyFont="1" applyFill="1" applyBorder="1" applyAlignment="1">
      <alignment horizontal="right"/>
    </xf>
    <xf numFmtId="190" fontId="10" fillId="0" borderId="3" xfId="21" applyNumberFormat="1" applyFont="1" applyFill="1" applyBorder="1" applyAlignment="1">
      <alignment horizontal="right"/>
    </xf>
    <xf numFmtId="190" fontId="10" fillId="0" borderId="0" xfId="17" applyNumberFormat="1" applyFont="1" applyBorder="1" applyAlignment="1">
      <alignment horizontal="right"/>
    </xf>
    <xf numFmtId="190" fontId="14" fillId="0" borderId="1" xfId="21" applyNumberFormat="1" applyFont="1" applyFill="1" applyBorder="1" applyAlignment="1">
      <alignment horizontal="right"/>
    </xf>
    <xf numFmtId="190" fontId="20" fillId="6" borderId="1" xfId="17" applyNumberFormat="1" applyFont="1" applyFill="1" applyBorder="1" applyAlignment="1">
      <alignment horizontal="right"/>
    </xf>
    <xf numFmtId="190" fontId="10" fillId="4" borderId="0" xfId="21" applyNumberFormat="1" applyFont="1" applyFill="1" applyBorder="1" applyAlignment="1">
      <alignment horizontal="right"/>
    </xf>
    <xf numFmtId="190" fontId="14" fillId="0" borderId="0" xfId="34" applyNumberFormat="1" applyFont="1" applyFill="1" applyBorder="1" applyAlignment="1">
      <alignment horizontal="right"/>
    </xf>
    <xf numFmtId="190" fontId="10" fillId="4" borderId="0" xfId="34" applyNumberFormat="1" applyFont="1" applyFill="1" applyBorder="1" applyAlignment="1">
      <alignment horizontal="right"/>
    </xf>
    <xf numFmtId="190" fontId="20" fillId="6" borderId="0" xfId="0" applyNumberFormat="1" applyFont="1" applyFill="1" applyAlignment="1">
      <alignment horizontal="right"/>
    </xf>
    <xf numFmtId="190" fontId="3" fillId="0" borderId="0" xfId="0" applyNumberFormat="1" applyFont="1" applyFill="1" applyAlignment="1">
      <alignment horizontal="right" wrapText="1"/>
    </xf>
    <xf numFmtId="190" fontId="3" fillId="0" borderId="3" xfId="17" applyNumberFormat="1" applyFont="1" applyFill="1" applyBorder="1" applyAlignment="1">
      <alignment horizontal="right"/>
    </xf>
    <xf numFmtId="190" fontId="14" fillId="0" borderId="0" xfId="21" applyNumberFormat="1" applyFont="1" applyFill="1" applyAlignment="1">
      <alignment horizontal="right"/>
    </xf>
    <xf numFmtId="190" fontId="3" fillId="6" borderId="1" xfId="0" applyNumberFormat="1" applyFont="1" applyFill="1" applyBorder="1" applyAlignment="1">
      <alignment horizontal="right"/>
    </xf>
    <xf numFmtId="190" fontId="20" fillId="0" borderId="0" xfId="17" applyNumberFormat="1" applyFont="1" applyFill="1" applyAlignment="1">
      <alignment horizontal="right"/>
    </xf>
    <xf numFmtId="190" fontId="20" fillId="0" borderId="0" xfId="0" applyNumberFormat="1" applyFont="1" applyFill="1" applyAlignment="1">
      <alignment horizontal="right"/>
    </xf>
    <xf numFmtId="190" fontId="10" fillId="0" borderId="0" xfId="21" applyNumberFormat="1" applyFont="1" applyFill="1" applyAlignment="1">
      <alignment horizontal="right"/>
    </xf>
    <xf numFmtId="190" fontId="9" fillId="0" borderId="0" xfId="17" applyNumberFormat="1" applyFont="1" applyFill="1" applyAlignment="1">
      <alignment horizontal="right"/>
    </xf>
    <xf numFmtId="190" fontId="10" fillId="4" borderId="0" xfId="27" applyNumberFormat="1" applyFont="1" applyFill="1" applyBorder="1" applyAlignment="1" applyProtection="1">
      <alignment horizontal="right"/>
    </xf>
    <xf numFmtId="190" fontId="10" fillId="0" borderId="3" xfId="17" applyNumberFormat="1" applyFont="1" applyFill="1" applyBorder="1" applyAlignment="1">
      <alignment horizontal="right"/>
    </xf>
    <xf numFmtId="190" fontId="10" fillId="0" borderId="0" xfId="0" applyNumberFormat="1" applyFont="1" applyBorder="1" applyAlignment="1">
      <alignment horizontal="right"/>
    </xf>
    <xf numFmtId="190" fontId="10" fillId="4" borderId="0" xfId="27" applyNumberFormat="1" applyFont="1" applyFill="1" applyBorder="1" applyAlignment="1">
      <alignment horizontal="right"/>
    </xf>
    <xf numFmtId="190" fontId="10" fillId="0" borderId="11" xfId="21" applyNumberFormat="1" applyFont="1" applyFill="1" applyBorder="1" applyAlignment="1">
      <alignment horizontal="right"/>
    </xf>
    <xf numFmtId="190" fontId="20" fillId="6" borderId="3" xfId="0" applyNumberFormat="1" applyFont="1" applyFill="1" applyBorder="1" applyAlignment="1">
      <alignment horizontal="right"/>
    </xf>
    <xf numFmtId="190" fontId="20" fillId="4" borderId="0" xfId="0" applyNumberFormat="1" applyFont="1" applyFill="1" applyAlignment="1">
      <alignment horizontal="right"/>
    </xf>
    <xf numFmtId="190" fontId="3" fillId="20" borderId="0" xfId="0" applyNumberFormat="1" applyFont="1" applyFill="1" applyAlignment="1">
      <alignment horizontal="right"/>
    </xf>
    <xf numFmtId="190" fontId="9" fillId="20" borderId="0" xfId="2" applyNumberFormat="1" applyFont="1" applyFill="1" applyAlignment="1">
      <alignment horizontal="right"/>
    </xf>
    <xf numFmtId="190" fontId="15" fillId="0" borderId="0" xfId="17" applyNumberFormat="1" applyFont="1" applyFill="1" applyBorder="1" applyAlignment="1">
      <alignment horizontal="right"/>
    </xf>
    <xf numFmtId="190" fontId="15" fillId="0" borderId="0" xfId="0" applyNumberFormat="1" applyFont="1" applyFill="1" applyAlignment="1" applyProtection="1">
      <alignment horizontal="right"/>
    </xf>
    <xf numFmtId="190" fontId="20" fillId="6" borderId="0" xfId="0" applyNumberFormat="1" applyFont="1" applyFill="1" applyBorder="1" applyAlignment="1">
      <alignment horizontal="right"/>
    </xf>
    <xf numFmtId="190" fontId="3" fillId="4" borderId="0" xfId="17" applyNumberFormat="1" applyFont="1" applyFill="1" applyAlignment="1">
      <alignment horizontal="right"/>
    </xf>
    <xf numFmtId="190" fontId="9" fillId="4" borderId="0" xfId="0" applyNumberFormat="1" applyFont="1" applyFill="1" applyAlignment="1">
      <alignment horizontal="right"/>
    </xf>
    <xf numFmtId="190" fontId="43" fillId="6" borderId="0" xfId="0" applyNumberFormat="1" applyFont="1" applyFill="1" applyBorder="1" applyAlignment="1">
      <alignment horizontal="right"/>
    </xf>
    <xf numFmtId="190" fontId="10" fillId="0" borderId="0" xfId="0" quotePrefix="1" applyNumberFormat="1" applyFont="1" applyFill="1" applyBorder="1" applyAlignment="1" applyProtection="1">
      <alignment horizontal="right"/>
    </xf>
    <xf numFmtId="190" fontId="3" fillId="4" borderId="0" xfId="34" applyNumberFormat="1" applyFont="1" applyFill="1" applyAlignment="1">
      <alignment horizontal="right"/>
    </xf>
    <xf numFmtId="190" fontId="20" fillId="0" borderId="0" xfId="17" applyNumberFormat="1" applyFont="1" applyAlignment="1">
      <alignment horizontal="right"/>
    </xf>
    <xf numFmtId="190" fontId="10" fillId="0" borderId="0" xfId="31" applyNumberFormat="1" applyFont="1" applyFill="1" applyAlignment="1" applyProtection="1">
      <alignment horizontal="right"/>
    </xf>
    <xf numFmtId="190" fontId="14" fillId="0" borderId="10" xfId="17" applyNumberFormat="1" applyFont="1" applyFill="1" applyBorder="1" applyAlignment="1">
      <alignment horizontal="right"/>
    </xf>
    <xf numFmtId="190" fontId="10" fillId="5" borderId="0" xfId="17" applyNumberFormat="1" applyFont="1" applyFill="1" applyBorder="1" applyAlignment="1" applyProtection="1">
      <alignment horizontal="right"/>
    </xf>
    <xf numFmtId="190" fontId="3" fillId="5" borderId="0" xfId="0" applyNumberFormat="1" applyFont="1" applyFill="1" applyBorder="1" applyAlignment="1">
      <alignment horizontal="right"/>
    </xf>
    <xf numFmtId="190" fontId="15" fillId="5" borderId="0" xfId="27" applyNumberFormat="1" applyFont="1" applyFill="1" applyAlignment="1">
      <alignment horizontal="right"/>
    </xf>
    <xf numFmtId="190" fontId="10" fillId="5" borderId="0" xfId="27" applyNumberFormat="1" applyFont="1" applyFill="1" applyAlignment="1">
      <alignment horizontal="right"/>
    </xf>
    <xf numFmtId="190" fontId="10" fillId="4" borderId="0" xfId="17" applyNumberFormat="1" applyFont="1" applyFill="1" applyBorder="1" applyAlignment="1" applyProtection="1">
      <alignment horizontal="right"/>
    </xf>
    <xf numFmtId="190" fontId="3" fillId="0" borderId="0" xfId="0" applyNumberFormat="1" applyFont="1" applyBorder="1" applyAlignment="1">
      <alignment horizontal="right" wrapText="1"/>
    </xf>
    <xf numFmtId="190" fontId="10" fillId="0" borderId="3" xfId="27" applyNumberFormat="1" applyFont="1" applyFill="1" applyBorder="1" applyAlignment="1">
      <alignment horizontal="right"/>
    </xf>
    <xf numFmtId="190" fontId="10" fillId="4" borderId="0" xfId="17" applyNumberFormat="1" applyFont="1" applyFill="1" applyAlignment="1">
      <alignment horizontal="right"/>
    </xf>
    <xf numFmtId="190" fontId="15" fillId="4" borderId="0" xfId="17" applyNumberFormat="1" applyFont="1" applyFill="1" applyBorder="1" applyAlignment="1">
      <alignment horizontal="right"/>
    </xf>
    <xf numFmtId="190" fontId="20" fillId="6" borderId="0" xfId="34" applyNumberFormat="1" applyFont="1" applyFill="1" applyBorder="1" applyAlignment="1">
      <alignment horizontal="right"/>
    </xf>
    <xf numFmtId="190" fontId="15" fillId="4" borderId="0" xfId="0" quotePrefix="1" applyNumberFormat="1" applyFont="1" applyFill="1" applyBorder="1" applyAlignment="1">
      <alignment horizontal="right"/>
    </xf>
    <xf numFmtId="190" fontId="15" fillId="0" borderId="1" xfId="27" applyNumberFormat="1" applyFont="1" applyFill="1" applyBorder="1" applyAlignment="1">
      <alignment horizontal="right"/>
    </xf>
    <xf numFmtId="190" fontId="10" fillId="0" borderId="1" xfId="34" applyNumberFormat="1" applyFont="1" applyFill="1" applyBorder="1" applyAlignment="1">
      <alignment horizontal="right"/>
    </xf>
    <xf numFmtId="190" fontId="15" fillId="0" borderId="0" xfId="34" applyNumberFormat="1" applyFont="1" applyFill="1" applyBorder="1" applyAlignment="1">
      <alignment horizontal="right"/>
    </xf>
    <xf numFmtId="190" fontId="15" fillId="4" borderId="0" xfId="34" applyNumberFormat="1" applyFont="1" applyFill="1" applyBorder="1" applyAlignment="1">
      <alignment horizontal="right"/>
    </xf>
    <xf numFmtId="190" fontId="3" fillId="0" borderId="1" xfId="0" applyNumberFormat="1" applyFont="1" applyBorder="1" applyAlignment="1">
      <alignment horizontal="right" wrapText="1"/>
    </xf>
    <xf numFmtId="190" fontId="3" fillId="0" borderId="1" xfId="0" applyNumberFormat="1" applyFont="1" applyFill="1" applyBorder="1" applyAlignment="1">
      <alignment horizontal="right" wrapText="1"/>
    </xf>
    <xf numFmtId="190" fontId="15" fillId="4" borderId="0" xfId="32" applyNumberFormat="1" applyFont="1" applyFill="1" applyAlignment="1">
      <alignment horizontal="right"/>
    </xf>
    <xf numFmtId="190" fontId="10" fillId="4" borderId="0" xfId="30" applyNumberFormat="1" applyFont="1" applyFill="1" applyAlignment="1" applyProtection="1">
      <alignment horizontal="right"/>
    </xf>
    <xf numFmtId="190" fontId="10" fillId="0" borderId="0" xfId="30" applyNumberFormat="1" applyFont="1" applyFill="1" applyAlignment="1" applyProtection="1">
      <alignment horizontal="right"/>
    </xf>
    <xf numFmtId="190" fontId="35" fillId="0" borderId="0" xfId="0" applyNumberFormat="1" applyFont="1" applyFill="1" applyAlignment="1">
      <alignment horizontal="right"/>
    </xf>
    <xf numFmtId="190" fontId="14" fillId="0" borderId="1" xfId="21" applyNumberFormat="1" applyFont="1" applyFill="1" applyBorder="1" applyAlignment="1" applyProtection="1">
      <alignment horizontal="right"/>
    </xf>
    <xf numFmtId="190" fontId="10" fillId="0" borderId="5" xfId="0" applyNumberFormat="1" applyFont="1" applyFill="1" applyBorder="1" applyAlignment="1" applyProtection="1">
      <alignment horizontal="right"/>
    </xf>
    <xf numFmtId="190" fontId="37" fillId="0" borderId="0" xfId="17" applyNumberFormat="1" applyFont="1" applyFill="1" applyBorder="1" applyAlignment="1" applyProtection="1">
      <alignment horizontal="right"/>
    </xf>
    <xf numFmtId="190" fontId="37" fillId="0" borderId="0" xfId="21" applyNumberFormat="1" applyFont="1" applyFill="1" applyBorder="1" applyAlignment="1" applyProtection="1">
      <alignment horizontal="right"/>
    </xf>
    <xf numFmtId="190" fontId="15" fillId="0" borderId="3" xfId="0" applyNumberFormat="1" applyFont="1" applyFill="1" applyBorder="1" applyAlignment="1" applyProtection="1">
      <alignment horizontal="right"/>
    </xf>
    <xf numFmtId="190" fontId="18" fillId="0" borderId="0" xfId="0" applyNumberFormat="1" applyFont="1" applyAlignment="1">
      <alignment horizontal="right"/>
    </xf>
    <xf numFmtId="190" fontId="3" fillId="0" borderId="0" xfId="21" applyNumberFormat="1" applyFont="1" applyFill="1" applyBorder="1" applyAlignment="1" applyProtection="1">
      <alignment horizontal="right"/>
    </xf>
    <xf numFmtId="190" fontId="3" fillId="0" borderId="0" xfId="0" applyNumberFormat="1" applyFont="1" applyFill="1" applyBorder="1" applyAlignment="1" applyProtection="1">
      <alignment horizontal="right"/>
    </xf>
    <xf numFmtId="190" fontId="51" fillId="0" borderId="0" xfId="34" applyNumberFormat="1" applyFont="1" applyFill="1" applyAlignment="1">
      <alignment horizontal="right"/>
    </xf>
    <xf numFmtId="190" fontId="21" fillId="0" borderId="0" xfId="17" applyNumberFormat="1" applyFont="1" applyFill="1" applyAlignment="1">
      <alignment horizontal="right"/>
    </xf>
    <xf numFmtId="190" fontId="3" fillId="3" borderId="0" xfId="0" applyNumberFormat="1" applyFont="1" applyFill="1" applyBorder="1" applyAlignment="1">
      <alignment horizontal="right"/>
    </xf>
    <xf numFmtId="190" fontId="35" fillId="0" borderId="0" xfId="29" applyNumberFormat="1" applyFont="1" applyBorder="1" applyAlignment="1">
      <alignment horizontal="right"/>
    </xf>
    <xf numFmtId="190" fontId="10" fillId="0" borderId="0" xfId="29" applyNumberFormat="1" applyFont="1" applyBorder="1" applyAlignment="1">
      <alignment horizontal="right"/>
    </xf>
    <xf numFmtId="190" fontId="10" fillId="0" borderId="0" xfId="29" applyNumberFormat="1" applyFont="1" applyFill="1" applyBorder="1" applyAlignment="1">
      <alignment horizontal="right"/>
    </xf>
    <xf numFmtId="190" fontId="15" fillId="0" borderId="0" xfId="29" applyNumberFormat="1" applyFont="1" applyBorder="1" applyAlignment="1">
      <alignment horizontal="right"/>
    </xf>
    <xf numFmtId="190" fontId="10" fillId="0" borderId="0" xfId="0" applyNumberFormat="1" applyFont="1" applyFill="1" applyBorder="1" applyAlignment="1">
      <alignment horizontal="right"/>
    </xf>
    <xf numFmtId="190" fontId="37" fillId="0" borderId="11" xfId="17" applyNumberFormat="1" applyFont="1" applyFill="1" applyBorder="1" applyAlignment="1">
      <alignment horizontal="right"/>
    </xf>
    <xf numFmtId="190" fontId="9" fillId="0" borderId="11" xfId="17" applyNumberFormat="1" applyFont="1" applyFill="1" applyBorder="1" applyAlignment="1">
      <alignment horizontal="right"/>
    </xf>
    <xf numFmtId="190" fontId="15" fillId="0" borderId="11" xfId="0" applyNumberFormat="1" applyFont="1" applyFill="1" applyBorder="1" applyAlignment="1">
      <alignment horizontal="right"/>
    </xf>
    <xf numFmtId="190" fontId="10" fillId="0" borderId="1" xfId="29" applyNumberFormat="1" applyFont="1" applyBorder="1" applyAlignment="1">
      <alignment horizontal="right"/>
    </xf>
    <xf numFmtId="190" fontId="37" fillId="0" borderId="0" xfId="17" applyNumberFormat="1" applyFont="1" applyFill="1" applyBorder="1" applyAlignment="1">
      <alignment horizontal="right"/>
    </xf>
    <xf numFmtId="190" fontId="37" fillId="0" borderId="3" xfId="17" applyNumberFormat="1" applyFont="1" applyFill="1" applyBorder="1" applyAlignment="1">
      <alignment horizontal="right"/>
    </xf>
    <xf numFmtId="190" fontId="14" fillId="6" borderId="0" xfId="1" applyNumberFormat="1" applyFont="1" applyFill="1" applyAlignment="1">
      <alignment horizontal="right"/>
    </xf>
    <xf numFmtId="190" fontId="15" fillId="0" borderId="5" xfId="17" applyNumberFormat="1" applyFont="1" applyFill="1" applyBorder="1" applyAlignment="1">
      <alignment horizontal="right"/>
    </xf>
    <xf numFmtId="190" fontId="15" fillId="0" borderId="1" xfId="17" applyNumberFormat="1" applyFont="1" applyFill="1" applyBorder="1" applyAlignment="1">
      <alignment horizontal="right"/>
    </xf>
    <xf numFmtId="190" fontId="3" fillId="0" borderId="5" xfId="17" applyNumberFormat="1" applyFont="1" applyFill="1" applyBorder="1" applyAlignment="1">
      <alignment horizontal="right"/>
    </xf>
    <xf numFmtId="190" fontId="14" fillId="6" borderId="5" xfId="1" applyNumberFormat="1" applyFont="1" applyFill="1" applyBorder="1" applyAlignment="1">
      <alignment horizontal="right"/>
    </xf>
    <xf numFmtId="190" fontId="3" fillId="0" borderId="0" xfId="29" applyNumberFormat="1" applyFont="1" applyBorder="1" applyAlignment="1">
      <alignment horizontal="right"/>
    </xf>
    <xf numFmtId="190" fontId="15" fillId="0" borderId="11" xfId="17" applyNumberFormat="1" applyFont="1" applyFill="1" applyBorder="1" applyAlignment="1">
      <alignment horizontal="right"/>
    </xf>
    <xf numFmtId="190" fontId="14" fillId="0" borderId="1" xfId="19" applyNumberFormat="1" applyFont="1" applyFill="1" applyBorder="1" applyAlignment="1">
      <alignment horizontal="right"/>
    </xf>
    <xf numFmtId="190" fontId="20" fillId="6" borderId="1" xfId="0" applyNumberFormat="1" applyFont="1" applyFill="1" applyBorder="1" applyAlignment="1">
      <alignment horizontal="right"/>
    </xf>
    <xf numFmtId="190" fontId="37" fillId="0" borderId="0" xfId="17" applyNumberFormat="1" applyFont="1" applyBorder="1" applyAlignment="1">
      <alignment horizontal="right"/>
    </xf>
    <xf numFmtId="190" fontId="9" fillId="0" borderId="0" xfId="17" applyNumberFormat="1" applyFont="1" applyFill="1" applyBorder="1" applyAlignment="1">
      <alignment horizontal="right"/>
    </xf>
    <xf numFmtId="190" fontId="15" fillId="0" borderId="1" xfId="0" applyNumberFormat="1" applyFont="1" applyFill="1" applyBorder="1" applyAlignment="1">
      <alignment horizontal="right"/>
    </xf>
    <xf numFmtId="190" fontId="15" fillId="0" borderId="0" xfId="21" applyNumberFormat="1" applyFont="1" applyFill="1" applyBorder="1" applyAlignment="1">
      <alignment horizontal="right"/>
    </xf>
    <xf numFmtId="190" fontId="21" fillId="0" borderId="0" xfId="34" applyNumberFormat="1" applyFont="1" applyAlignment="1">
      <alignment horizontal="right"/>
    </xf>
    <xf numFmtId="190" fontId="10" fillId="4" borderId="0" xfId="28" applyNumberFormat="1" applyFont="1" applyFill="1" applyAlignment="1">
      <alignment horizontal="right"/>
    </xf>
    <xf numFmtId="190" fontId="15" fillId="4" borderId="0" xfId="25" quotePrefix="1" applyNumberFormat="1" applyFont="1" applyFill="1" applyBorder="1" applyAlignment="1">
      <alignment horizontal="right"/>
    </xf>
    <xf numFmtId="190" fontId="10" fillId="4" borderId="0" xfId="25" applyNumberFormat="1" applyFont="1" applyFill="1" applyBorder="1" applyAlignment="1">
      <alignment horizontal="right"/>
    </xf>
    <xf numFmtId="190" fontId="15" fillId="4" borderId="0" xfId="25" applyNumberFormat="1" applyFont="1" applyFill="1" applyBorder="1" applyAlignment="1" applyProtection="1">
      <alignment horizontal="right"/>
    </xf>
    <xf numFmtId="190" fontId="10" fillId="0" borderId="0" xfId="28" applyNumberFormat="1" applyFont="1" applyFill="1" applyAlignment="1">
      <alignment horizontal="right"/>
    </xf>
    <xf numFmtId="190" fontId="10" fillId="0" borderId="0" xfId="23" applyNumberFormat="1" applyFont="1" applyFill="1" applyBorder="1" applyAlignment="1">
      <alignment horizontal="right"/>
    </xf>
    <xf numFmtId="190" fontId="10" fillId="0" borderId="0" xfId="25" quotePrefix="1" applyNumberFormat="1" applyFont="1" applyFill="1" applyBorder="1" applyAlignment="1">
      <alignment horizontal="right"/>
    </xf>
    <xf numFmtId="190" fontId="10" fillId="0" borderId="0" xfId="25" applyNumberFormat="1" applyFont="1" applyFill="1" applyAlignment="1">
      <alignment horizontal="right"/>
    </xf>
    <xf numFmtId="190" fontId="10" fillId="0" borderId="0" xfId="25" applyNumberFormat="1" applyFont="1" applyFill="1" applyBorder="1" applyAlignment="1">
      <alignment horizontal="right"/>
    </xf>
    <xf numFmtId="190" fontId="15" fillId="0" borderId="0" xfId="28" applyNumberFormat="1" applyFont="1" applyFill="1" applyAlignment="1">
      <alignment horizontal="right"/>
    </xf>
    <xf numFmtId="190" fontId="10" fillId="0" borderId="3" xfId="28" applyNumberFormat="1" applyFont="1" applyFill="1" applyBorder="1" applyAlignment="1">
      <alignment horizontal="right"/>
    </xf>
    <xf numFmtId="190" fontId="10" fillId="0" borderId="3" xfId="23" applyNumberFormat="1" applyFont="1" applyFill="1" applyBorder="1" applyAlignment="1">
      <alignment horizontal="right"/>
    </xf>
    <xf numFmtId="190" fontId="15" fillId="0" borderId="6" xfId="28" applyNumberFormat="1" applyFont="1" applyFill="1" applyBorder="1" applyAlignment="1">
      <alignment horizontal="right"/>
    </xf>
    <xf numFmtId="190" fontId="15" fillId="0" borderId="3" xfId="28" applyNumberFormat="1" applyFont="1" applyFill="1" applyBorder="1" applyAlignment="1">
      <alignment horizontal="right"/>
    </xf>
    <xf numFmtId="190" fontId="10" fillId="0" borderId="8" xfId="25" applyNumberFormat="1" applyFont="1" applyFill="1" applyBorder="1" applyAlignment="1">
      <alignment horizontal="right"/>
    </xf>
    <xf numFmtId="190" fontId="10" fillId="0" borderId="18" xfId="28" applyNumberFormat="1" applyFont="1" applyFill="1" applyBorder="1" applyAlignment="1">
      <alignment horizontal="right"/>
    </xf>
    <xf numFmtId="190" fontId="15" fillId="0" borderId="1" xfId="28" applyNumberFormat="1" applyFont="1" applyFill="1" applyBorder="1" applyAlignment="1">
      <alignment horizontal="right"/>
    </xf>
    <xf numFmtId="190" fontId="15" fillId="0" borderId="0" xfId="28" applyNumberFormat="1" applyFont="1" applyFill="1" applyBorder="1" applyAlignment="1">
      <alignment horizontal="right"/>
    </xf>
    <xf numFmtId="190" fontId="10" fillId="4" borderId="0" xfId="28" applyNumberFormat="1" applyFont="1" applyFill="1" applyBorder="1" applyAlignment="1">
      <alignment horizontal="right"/>
    </xf>
    <xf numFmtId="190" fontId="10" fillId="0" borderId="5" xfId="23" applyNumberFormat="1" applyFont="1" applyFill="1" applyBorder="1" applyAlignment="1">
      <alignment horizontal="right"/>
    </xf>
    <xf numFmtId="190" fontId="15" fillId="0" borderId="5" xfId="23" applyNumberFormat="1" applyFont="1" applyFill="1" applyBorder="1" applyAlignment="1">
      <alignment horizontal="right"/>
    </xf>
    <xf numFmtId="190" fontId="15" fillId="0" borderId="11" xfId="23" applyNumberFormat="1" applyFont="1" applyFill="1" applyBorder="1" applyAlignment="1">
      <alignment horizontal="right"/>
    </xf>
    <xf numFmtId="190" fontId="21" fillId="0" borderId="0" xfId="17" applyNumberFormat="1" applyFont="1" applyFill="1" applyBorder="1" applyAlignment="1">
      <alignment horizontal="right"/>
    </xf>
    <xf numFmtId="190" fontId="21" fillId="0" borderId="0" xfId="28" applyNumberFormat="1" applyFont="1" applyFill="1" applyAlignment="1">
      <alignment horizontal="right"/>
    </xf>
    <xf numFmtId="190" fontId="3" fillId="0" borderId="3" xfId="17" applyNumberFormat="1" applyFont="1" applyBorder="1" applyAlignment="1">
      <alignment horizontal="right"/>
    </xf>
    <xf numFmtId="190" fontId="3" fillId="0" borderId="23" xfId="17" applyNumberFormat="1" applyFont="1" applyBorder="1" applyAlignment="1">
      <alignment horizontal="right"/>
    </xf>
    <xf numFmtId="190" fontId="3" fillId="0" borderId="3" xfId="0" applyNumberFormat="1" applyFont="1" applyFill="1" applyBorder="1" applyAlignment="1">
      <alignment horizontal="right"/>
    </xf>
    <xf numFmtId="190" fontId="3" fillId="0" borderId="9" xfId="17" applyNumberFormat="1" applyFont="1" applyBorder="1" applyAlignment="1">
      <alignment horizontal="right"/>
    </xf>
    <xf numFmtId="190" fontId="3" fillId="0" borderId="24" xfId="17" applyNumberFormat="1" applyFont="1" applyBorder="1" applyAlignment="1">
      <alignment horizontal="right"/>
    </xf>
    <xf numFmtId="190" fontId="3" fillId="7" borderId="0" xfId="17" applyNumberFormat="1" applyFont="1" applyFill="1" applyBorder="1" applyAlignment="1">
      <alignment horizontal="right"/>
    </xf>
    <xf numFmtId="190" fontId="50" fillId="0" borderId="0" xfId="0" applyNumberFormat="1" applyFont="1" applyAlignment="1">
      <alignment horizontal="right"/>
    </xf>
    <xf numFmtId="190" fontId="54" fillId="0" borderId="0" xfId="0" applyNumberFormat="1" applyFont="1" applyAlignment="1">
      <alignment horizontal="right"/>
    </xf>
    <xf numFmtId="190" fontId="15" fillId="4" borderId="0" xfId="0" applyNumberFormat="1" applyFont="1" applyFill="1" applyBorder="1" applyAlignment="1">
      <alignment horizontal="right"/>
    </xf>
    <xf numFmtId="190" fontId="14" fillId="0" borderId="1" xfId="34" applyNumberFormat="1" applyFont="1" applyFill="1" applyBorder="1" applyAlignment="1">
      <alignment horizontal="right"/>
    </xf>
    <xf numFmtId="190" fontId="14" fillId="7" borderId="1" xfId="34" applyNumberFormat="1" applyFont="1" applyFill="1" applyBorder="1" applyAlignment="1">
      <alignment horizontal="right"/>
    </xf>
    <xf numFmtId="190" fontId="10" fillId="7" borderId="1" xfId="0" applyNumberFormat="1" applyFont="1" applyFill="1" applyBorder="1" applyAlignment="1">
      <alignment horizontal="right"/>
    </xf>
    <xf numFmtId="190" fontId="10" fillId="0" borderId="3" xfId="0" applyNumberFormat="1" applyFont="1" applyFill="1" applyBorder="1" applyAlignment="1">
      <alignment horizontal="right"/>
    </xf>
    <xf numFmtId="190" fontId="10" fillId="7" borderId="0" xfId="34" applyNumberFormat="1" applyFont="1" applyFill="1" applyBorder="1" applyAlignment="1">
      <alignment horizontal="right"/>
    </xf>
    <xf numFmtId="190" fontId="15" fillId="0" borderId="0" xfId="0" applyNumberFormat="1" applyFont="1" applyAlignment="1">
      <alignment horizontal="right"/>
    </xf>
    <xf numFmtId="190" fontId="14" fillId="0" borderId="0" xfId="17" applyNumberFormat="1" applyFont="1" applyBorder="1" applyAlignment="1">
      <alignment horizontal="right"/>
    </xf>
    <xf numFmtId="190" fontId="10" fillId="0" borderId="1" xfId="0" applyNumberFormat="1" applyFont="1" applyBorder="1" applyAlignment="1">
      <alignment horizontal="right"/>
    </xf>
    <xf numFmtId="190" fontId="10" fillId="0" borderId="1" xfId="17" applyNumberFormat="1" applyFont="1" applyBorder="1" applyAlignment="1">
      <alignment horizontal="right"/>
    </xf>
    <xf numFmtId="190" fontId="14" fillId="6" borderId="1" xfId="17" applyNumberFormat="1" applyFont="1" applyFill="1" applyBorder="1" applyAlignment="1">
      <alignment horizontal="right"/>
    </xf>
    <xf numFmtId="190" fontId="9" fillId="0" borderId="0" xfId="17" applyNumberFormat="1" applyFont="1" applyBorder="1" applyAlignment="1">
      <alignment horizontal="right"/>
    </xf>
    <xf numFmtId="190" fontId="15" fillId="0" borderId="0" xfId="17" applyNumberFormat="1" applyFont="1" applyAlignment="1">
      <alignment horizontal="right"/>
    </xf>
    <xf numFmtId="190" fontId="15" fillId="0" borderId="0" xfId="0" applyNumberFormat="1" applyFont="1" applyBorder="1" applyAlignment="1">
      <alignment horizontal="right"/>
    </xf>
    <xf numFmtId="190" fontId="10" fillId="0" borderId="0" xfId="21" applyNumberFormat="1" applyFont="1" applyBorder="1" applyAlignment="1">
      <alignment horizontal="right"/>
    </xf>
    <xf numFmtId="190" fontId="15" fillId="0" borderId="0" xfId="21" applyNumberFormat="1" applyFont="1" applyBorder="1" applyAlignment="1">
      <alignment horizontal="right"/>
    </xf>
    <xf numFmtId="190" fontId="15" fillId="0" borderId="0" xfId="21" applyNumberFormat="1" applyFont="1" applyFill="1" applyBorder="1" applyAlignment="1" applyProtection="1">
      <alignment horizontal="right"/>
    </xf>
    <xf numFmtId="190" fontId="37" fillId="0" borderId="3" xfId="17" applyNumberFormat="1" applyFont="1" applyBorder="1" applyAlignment="1">
      <alignment horizontal="right"/>
    </xf>
    <xf numFmtId="190" fontId="10" fillId="0" borderId="1" xfId="17" applyNumberFormat="1" applyFont="1" applyFill="1" applyBorder="1" applyAlignment="1" applyProtection="1">
      <alignment horizontal="right"/>
    </xf>
    <xf numFmtId="190" fontId="15" fillId="0" borderId="0" xfId="17" applyNumberFormat="1" applyFont="1" applyBorder="1" applyAlignment="1">
      <alignment horizontal="right"/>
    </xf>
    <xf numFmtId="190" fontId="35" fillId="0" borderId="0" xfId="0" applyNumberFormat="1" applyFont="1" applyFill="1" applyAlignment="1" applyProtection="1">
      <alignment horizontal="right"/>
    </xf>
    <xf numFmtId="190" fontId="36" fillId="0" borderId="0" xfId="0" applyNumberFormat="1" applyFont="1" applyFill="1" applyAlignment="1" applyProtection="1">
      <alignment horizontal="right"/>
    </xf>
    <xf numFmtId="190" fontId="9" fillId="0" borderId="0" xfId="0" applyNumberFormat="1" applyFont="1" applyFill="1" applyAlignment="1" applyProtection="1">
      <alignment horizontal="right"/>
    </xf>
    <xf numFmtId="190" fontId="15" fillId="0" borderId="15" xfId="17" applyNumberFormat="1" applyFont="1" applyFill="1" applyBorder="1" applyAlignment="1">
      <alignment horizontal="right"/>
    </xf>
    <xf numFmtId="190" fontId="15" fillId="0" borderId="14" xfId="0" applyNumberFormat="1" applyFont="1" applyFill="1" applyBorder="1" applyAlignment="1">
      <alignment horizontal="right"/>
    </xf>
    <xf numFmtId="190" fontId="15" fillId="0" borderId="15" xfId="0" applyNumberFormat="1" applyFont="1" applyFill="1" applyBorder="1" applyAlignment="1">
      <alignment horizontal="right"/>
    </xf>
    <xf numFmtId="190" fontId="15" fillId="0" borderId="2" xfId="17" applyNumberFormat="1" applyFont="1" applyFill="1" applyBorder="1" applyAlignment="1">
      <alignment horizontal="right"/>
    </xf>
    <xf numFmtId="190" fontId="15" fillId="0" borderId="16" xfId="0" applyNumberFormat="1" applyFont="1" applyFill="1" applyBorder="1" applyAlignment="1">
      <alignment horizontal="right"/>
    </xf>
    <xf numFmtId="190" fontId="15" fillId="0" borderId="2" xfId="0" applyNumberFormat="1" applyFont="1" applyFill="1" applyBorder="1" applyAlignment="1">
      <alignment horizontal="right"/>
    </xf>
    <xf numFmtId="190" fontId="15" fillId="0" borderId="7" xfId="34" applyNumberFormat="1" applyFont="1" applyFill="1" applyBorder="1" applyAlignment="1">
      <alignment horizontal="right"/>
    </xf>
    <xf numFmtId="190" fontId="15" fillId="0" borderId="12" xfId="0" applyNumberFormat="1" applyFont="1" applyFill="1" applyBorder="1" applyAlignment="1">
      <alignment horizontal="right"/>
    </xf>
    <xf numFmtId="190" fontId="10" fillId="0" borderId="7" xfId="0" applyNumberFormat="1" applyFont="1" applyFill="1" applyBorder="1" applyAlignment="1">
      <alignment horizontal="right"/>
    </xf>
    <xf numFmtId="190" fontId="15" fillId="0" borderId="3" xfId="17" applyNumberFormat="1" applyFont="1" applyFill="1" applyBorder="1" applyAlignment="1">
      <alignment horizontal="right"/>
    </xf>
    <xf numFmtId="190" fontId="15" fillId="0" borderId="11" xfId="21" applyNumberFormat="1" applyFont="1" applyFill="1" applyBorder="1" applyAlignment="1">
      <alignment horizontal="right"/>
    </xf>
    <xf numFmtId="190" fontId="14" fillId="0" borderId="0" xfId="34" applyNumberFormat="1" applyFont="1" applyFill="1" applyAlignment="1">
      <alignment horizontal="right"/>
    </xf>
    <xf numFmtId="190" fontId="43" fillId="6" borderId="0" xfId="17" applyNumberFormat="1" applyFont="1" applyFill="1" applyAlignment="1">
      <alignment horizontal="right"/>
    </xf>
    <xf numFmtId="190" fontId="43" fillId="6" borderId="1" xfId="17" applyNumberFormat="1" applyFont="1" applyFill="1" applyBorder="1" applyAlignment="1">
      <alignment horizontal="right"/>
    </xf>
    <xf numFmtId="190" fontId="9" fillId="0" borderId="0" xfId="1" applyNumberFormat="1" applyFont="1" applyFill="1" applyAlignment="1">
      <alignment horizontal="right"/>
    </xf>
    <xf numFmtId="190" fontId="20" fillId="6" borderId="0" xfId="17" applyNumberFormat="1" applyFont="1" applyFill="1" applyBorder="1" applyAlignment="1">
      <alignment horizontal="right"/>
    </xf>
    <xf numFmtId="190" fontId="3" fillId="0" borderId="0" xfId="1" applyNumberFormat="1" applyFont="1" applyFill="1" applyBorder="1" applyAlignment="1">
      <alignment horizontal="right"/>
    </xf>
    <xf numFmtId="190" fontId="35" fillId="0" borderId="0" xfId="28" applyNumberFormat="1" applyFont="1" applyFill="1" applyAlignment="1">
      <alignment horizontal="right"/>
    </xf>
    <xf numFmtId="190" fontId="14" fillId="6" borderId="0" xfId="17" applyNumberFormat="1" applyFont="1" applyFill="1" applyAlignment="1">
      <alignment horizontal="right"/>
    </xf>
    <xf numFmtId="190" fontId="37" fillId="6" borderId="0" xfId="17" applyNumberFormat="1" applyFont="1" applyFill="1" applyAlignment="1">
      <alignment horizontal="right"/>
    </xf>
    <xf numFmtId="190" fontId="10" fillId="5" borderId="0" xfId="0" applyNumberFormat="1" applyFont="1" applyFill="1" applyAlignment="1">
      <alignment horizontal="right"/>
    </xf>
    <xf numFmtId="190" fontId="35" fillId="5" borderId="0" xfId="28" applyNumberFormat="1" applyFont="1" applyFill="1" applyAlignment="1">
      <alignment horizontal="right"/>
    </xf>
    <xf numFmtId="190" fontId="3" fillId="5" borderId="0" xfId="0" applyNumberFormat="1" applyFont="1" applyFill="1" applyAlignment="1">
      <alignment horizontal="right"/>
    </xf>
    <xf numFmtId="190" fontId="10" fillId="5" borderId="0" xfId="27" applyNumberFormat="1" applyFont="1" applyFill="1" applyBorder="1" applyAlignment="1">
      <alignment horizontal="right"/>
    </xf>
    <xf numFmtId="190" fontId="15" fillId="5" borderId="0" xfId="17" applyNumberFormat="1" applyFont="1" applyFill="1" applyBorder="1" applyAlignment="1">
      <alignment horizontal="right"/>
    </xf>
    <xf numFmtId="190" fontId="14" fillId="12" borderId="0" xfId="1" applyNumberFormat="1" applyFont="1" applyFill="1" applyAlignment="1">
      <alignment horizontal="right"/>
    </xf>
    <xf numFmtId="190" fontId="9" fillId="17" borderId="0" xfId="0" applyNumberFormat="1" applyFont="1" applyFill="1" applyAlignment="1">
      <alignment horizontal="right"/>
    </xf>
    <xf numFmtId="190" fontId="9" fillId="17" borderId="0" xfId="0" applyNumberFormat="1" applyFont="1" applyFill="1" applyBorder="1" applyAlignment="1">
      <alignment horizontal="right"/>
    </xf>
    <xf numFmtId="190" fontId="15" fillId="17" borderId="0" xfId="28" applyNumberFormat="1" applyFont="1" applyFill="1" applyAlignment="1">
      <alignment horizontal="right"/>
    </xf>
    <xf numFmtId="190" fontId="14" fillId="0" borderId="0" xfId="35" applyNumberFormat="1" applyFont="1" applyFill="1" applyAlignment="1">
      <alignment horizontal="right"/>
    </xf>
    <xf numFmtId="190" fontId="14" fillId="10" borderId="0" xfId="1" applyNumberFormat="1" applyFont="1" applyFill="1" applyAlignment="1">
      <alignment horizontal="right"/>
    </xf>
    <xf numFmtId="190" fontId="50" fillId="0" borderId="0" xfId="1" applyNumberFormat="1" applyFont="1" applyFill="1" applyAlignment="1">
      <alignment horizontal="right"/>
    </xf>
    <xf numFmtId="190" fontId="50" fillId="0" borderId="0" xfId="17" applyNumberFormat="1" applyFont="1" applyAlignment="1">
      <alignment horizontal="right"/>
    </xf>
    <xf numFmtId="190" fontId="3" fillId="11" borderId="0" xfId="0" applyNumberFormat="1" applyFont="1" applyFill="1" applyBorder="1" applyAlignment="1">
      <alignment horizontal="right"/>
    </xf>
    <xf numFmtId="190" fontId="18" fillId="11" borderId="0" xfId="0" applyNumberFormat="1" applyFont="1" applyFill="1" applyAlignment="1">
      <alignment horizontal="right"/>
    </xf>
    <xf numFmtId="190" fontId="14" fillId="0" borderId="0" xfId="34" applyNumberFormat="1" applyFont="1" applyAlignment="1">
      <alignment horizontal="right"/>
    </xf>
    <xf numFmtId="190" fontId="14" fillId="0" borderId="0" xfId="34" quotePrefix="1" applyNumberFormat="1" applyFont="1" applyFill="1" applyBorder="1" applyAlignment="1">
      <alignment horizontal="right"/>
    </xf>
    <xf numFmtId="190" fontId="14" fillId="0" borderId="1" xfId="34" applyNumberFormat="1" applyFont="1" applyBorder="1" applyAlignment="1">
      <alignment horizontal="right"/>
    </xf>
    <xf numFmtId="190" fontId="14" fillId="0" borderId="1" xfId="34" quotePrefix="1" applyNumberFormat="1" applyFont="1" applyFill="1" applyBorder="1" applyAlignment="1">
      <alignment horizontal="right"/>
    </xf>
    <xf numFmtId="190" fontId="14" fillId="0" borderId="0" xfId="0" applyNumberFormat="1" applyFont="1" applyAlignment="1">
      <alignment horizontal="right"/>
    </xf>
    <xf numFmtId="190" fontId="9" fillId="21" borderId="0" xfId="1" applyNumberFormat="1" applyFont="1" applyFill="1" applyAlignment="1">
      <alignment horizontal="right"/>
    </xf>
    <xf numFmtId="190" fontId="3" fillId="22" borderId="0" xfId="0" applyNumberFormat="1" applyFont="1" applyFill="1" applyAlignment="1">
      <alignment horizontal="right"/>
    </xf>
    <xf numFmtId="190" fontId="3" fillId="22" borderId="0" xfId="1" applyNumberFormat="1" applyFont="1" applyFill="1" applyAlignment="1">
      <alignment horizontal="right"/>
    </xf>
    <xf numFmtId="190" fontId="1" fillId="0" borderId="0" xfId="0" applyNumberFormat="1" applyFont="1" applyAlignment="1">
      <alignment horizontal="right"/>
    </xf>
    <xf numFmtId="190" fontId="3" fillId="22" borderId="0" xfId="19" applyNumberFormat="1" applyFont="1" applyFill="1" applyAlignment="1">
      <alignment horizontal="right"/>
    </xf>
    <xf numFmtId="190" fontId="3" fillId="0" borderId="0" xfId="35" applyNumberFormat="1" applyFont="1" applyAlignment="1">
      <alignment horizontal="right"/>
    </xf>
    <xf numFmtId="190" fontId="3" fillId="0" borderId="0" xfId="19" applyNumberFormat="1" applyFont="1" applyAlignment="1">
      <alignment horizontal="right"/>
    </xf>
    <xf numFmtId="190" fontId="3" fillId="0" borderId="0" xfId="26" applyNumberFormat="1" applyFont="1" applyAlignment="1">
      <alignment horizontal="right"/>
    </xf>
    <xf numFmtId="190" fontId="3" fillId="0" borderId="0" xfId="45" applyNumberFormat="1" applyFont="1" applyFill="1" applyAlignment="1">
      <alignment horizontal="right"/>
    </xf>
    <xf numFmtId="190" fontId="2" fillId="0" borderId="0" xfId="26" applyNumberFormat="1" applyFont="1" applyAlignment="1">
      <alignment horizontal="right"/>
    </xf>
    <xf numFmtId="190" fontId="48" fillId="23" borderId="0" xfId="0" applyNumberFormat="1" applyFont="1" applyFill="1" applyAlignment="1">
      <alignment horizontal="right"/>
    </xf>
    <xf numFmtId="189" fontId="3" fillId="0" borderId="0" xfId="0" applyNumberFormat="1" applyFont="1" applyAlignment="1">
      <alignment horizontal="right"/>
    </xf>
    <xf numFmtId="180" fontId="10" fillId="0" borderId="0" xfId="21" quotePrefix="1" applyNumberFormat="1" applyFont="1" applyFill="1" applyBorder="1" applyAlignment="1">
      <alignment horizontal="right"/>
    </xf>
    <xf numFmtId="0" fontId="3" fillId="0" borderId="0" xfId="0" applyFont="1"/>
    <xf numFmtId="0" fontId="0" fillId="0" borderId="0" xfId="0"/>
    <xf numFmtId="191" fontId="3" fillId="0" borderId="0" xfId="0" applyNumberFormat="1" applyFont="1" applyFill="1" applyBorder="1"/>
    <xf numFmtId="0" fontId="66" fillId="0" borderId="0" xfId="24" applyFont="1"/>
    <xf numFmtId="189" fontId="66" fillId="0" borderId="0" xfId="24" applyNumberFormat="1" applyFont="1"/>
    <xf numFmtId="39" fontId="66" fillId="0" borderId="0" xfId="24" applyNumberFormat="1" applyFont="1"/>
    <xf numFmtId="203" fontId="66" fillId="0" borderId="0" xfId="24" applyNumberFormat="1" applyFont="1"/>
    <xf numFmtId="0" fontId="67" fillId="19" borderId="0" xfId="24" applyFont="1" applyFill="1" applyAlignment="1">
      <alignment horizontal="right"/>
    </xf>
    <xf numFmtId="0" fontId="67" fillId="18" borderId="0" xfId="24" applyFont="1" applyFill="1"/>
    <xf numFmtId="9" fontId="66" fillId="0" borderId="0" xfId="24" applyNumberFormat="1" applyFont="1" applyAlignment="1">
      <alignment horizontal="center"/>
    </xf>
    <xf numFmtId="0" fontId="66" fillId="0" borderId="0" xfId="24" applyFont="1" applyFill="1" applyAlignment="1">
      <alignment horizontal="center"/>
    </xf>
    <xf numFmtId="0" fontId="66" fillId="0" borderId="0" xfId="24" applyFont="1" applyFill="1"/>
    <xf numFmtId="0" fontId="66" fillId="0" borderId="0" xfId="24" applyFont="1" applyFill="1" applyAlignment="1">
      <alignment horizontal="center" wrapText="1"/>
    </xf>
    <xf numFmtId="191" fontId="68" fillId="0" borderId="0" xfId="24" applyNumberFormat="1" applyFont="1"/>
    <xf numFmtId="0" fontId="66" fillId="0" borderId="0" xfId="24" applyFont="1" applyAlignment="1">
      <alignment horizontal="center"/>
    </xf>
    <xf numFmtId="0" fontId="67" fillId="24" borderId="0" xfId="24" applyFont="1" applyFill="1"/>
    <xf numFmtId="9" fontId="69" fillId="0" borderId="0" xfId="24" applyNumberFormat="1" applyFont="1" applyFill="1" applyAlignment="1">
      <alignment horizontal="right"/>
    </xf>
    <xf numFmtId="10" fontId="66" fillId="0" borderId="0" xfId="24" applyNumberFormat="1" applyFont="1" applyAlignment="1">
      <alignment horizontal="center"/>
    </xf>
    <xf numFmtId="165" fontId="70" fillId="0" borderId="0" xfId="24" applyNumberFormat="1" applyFont="1" applyFill="1" applyAlignment="1">
      <alignment horizontal="right"/>
    </xf>
    <xf numFmtId="9" fontId="66" fillId="0" borderId="0" xfId="24" applyNumberFormat="1" applyFont="1" applyFill="1" applyAlignment="1">
      <alignment horizontal="center"/>
    </xf>
    <xf numFmtId="0" fontId="66" fillId="25" borderId="0" xfId="24" applyFont="1" applyFill="1"/>
    <xf numFmtId="0" fontId="67" fillId="25" borderId="0" xfId="24" applyFont="1" applyFill="1"/>
    <xf numFmtId="0" fontId="66" fillId="0" borderId="0" xfId="24" applyFont="1" applyAlignment="1">
      <alignment horizontal="left" indent="2"/>
    </xf>
    <xf numFmtId="10" fontId="66" fillId="0" borderId="0" xfId="24" applyNumberFormat="1" applyFont="1" applyFill="1" applyAlignment="1">
      <alignment horizontal="center"/>
    </xf>
    <xf numFmtId="0" fontId="68" fillId="25" borderId="0" xfId="24" applyFont="1" applyFill="1"/>
    <xf numFmtId="0" fontId="67" fillId="18" borderId="0" xfId="24" applyFont="1" applyFill="1" applyAlignment="1">
      <alignment horizontal="right"/>
    </xf>
    <xf numFmtId="0" fontId="67" fillId="18" borderId="0" xfId="24" applyFont="1" applyFill="1" applyAlignment="1">
      <alignment wrapText="1"/>
    </xf>
    <xf numFmtId="8" fontId="66" fillId="0" borderId="0" xfId="24" applyNumberFormat="1" applyFont="1" applyFill="1" applyAlignment="1">
      <alignment horizontal="center"/>
    </xf>
    <xf numFmtId="196" fontId="66" fillId="0" borderId="0" xfId="24" applyNumberFormat="1" applyFont="1" applyFill="1" applyAlignment="1">
      <alignment horizontal="center"/>
    </xf>
    <xf numFmtId="202" fontId="66" fillId="0" borderId="0" xfId="24" applyNumberFormat="1" applyFont="1" applyFill="1" applyAlignment="1">
      <alignment horizontal="center"/>
    </xf>
    <xf numFmtId="176" fontId="51" fillId="0" borderId="0" xfId="0" applyNumberFormat="1" applyFont="1" applyFill="1" applyBorder="1"/>
    <xf numFmtId="176" fontId="51" fillId="0" borderId="1" xfId="0" applyNumberFormat="1" applyFont="1" applyFill="1" applyBorder="1"/>
    <xf numFmtId="9" fontId="37" fillId="6" borderId="0" xfId="17" applyNumberFormat="1" applyFont="1" applyFill="1"/>
    <xf numFmtId="190" fontId="3" fillId="0" borderId="0" xfId="0" applyNumberFormat="1" applyFont="1" applyFill="1" applyBorder="1"/>
    <xf numFmtId="188" fontId="9" fillId="0" borderId="3" xfId="17" applyNumberFormat="1" applyFont="1" applyFill="1" applyBorder="1"/>
    <xf numFmtId="191" fontId="9" fillId="0" borderId="3" xfId="17" applyNumberFormat="1" applyFont="1" applyFill="1" applyBorder="1"/>
    <xf numFmtId="191" fontId="9" fillId="0" borderId="0" xfId="17" applyNumberFormat="1" applyFont="1" applyFill="1" applyBorder="1"/>
    <xf numFmtId="190" fontId="9" fillId="0" borderId="3" xfId="17" applyNumberFormat="1" applyFont="1" applyFill="1" applyBorder="1"/>
    <xf numFmtId="190" fontId="9" fillId="0" borderId="0" xfId="17" applyNumberFormat="1" applyFont="1" applyFill="1" applyBorder="1"/>
    <xf numFmtId="190" fontId="3" fillId="0" borderId="1" xfId="0" applyNumberFormat="1" applyFont="1" applyFill="1" applyBorder="1"/>
    <xf numFmtId="190" fontId="9" fillId="0" borderId="0" xfId="1" applyNumberFormat="1" applyFont="1" applyFill="1" applyBorder="1"/>
    <xf numFmtId="0" fontId="66" fillId="0" borderId="0" xfId="24" applyFont="1" applyAlignment="1">
      <alignment horizontal="left" indent="4"/>
    </xf>
    <xf numFmtId="9" fontId="66" fillId="0" borderId="31" xfId="24" applyNumberFormat="1" applyFont="1" applyFill="1" applyBorder="1" applyAlignment="1">
      <alignment horizontal="center"/>
    </xf>
    <xf numFmtId="191" fontId="66" fillId="0" borderId="31" xfId="24" applyNumberFormat="1" applyFont="1" applyFill="1" applyBorder="1" applyAlignment="1">
      <alignment horizontal="center"/>
    </xf>
    <xf numFmtId="191" fontId="66" fillId="0" borderId="0" xfId="24" applyNumberFormat="1" applyFont="1" applyFill="1" applyAlignment="1">
      <alignment horizontal="center"/>
    </xf>
    <xf numFmtId="190" fontId="66" fillId="0" borderId="0" xfId="24" applyNumberFormat="1" applyFont="1" applyFill="1" applyAlignment="1">
      <alignment horizontal="center"/>
    </xf>
    <xf numFmtId="204" fontId="66" fillId="0" borderId="0" xfId="24" applyNumberFormat="1" applyFont="1" applyFill="1" applyAlignment="1">
      <alignment horizontal="center"/>
    </xf>
    <xf numFmtId="9" fontId="71" fillId="0" borderId="0" xfId="24" applyNumberFormat="1" applyFont="1" applyFill="1" applyAlignment="1">
      <alignment horizontal="center"/>
    </xf>
    <xf numFmtId="0" fontId="67" fillId="19" borderId="0" xfId="24" applyFont="1" applyFill="1" applyAlignment="1">
      <alignment horizontal="center"/>
    </xf>
    <xf numFmtId="188" fontId="66" fillId="0" borderId="0" xfId="24" applyNumberFormat="1" applyFont="1" applyFill="1" applyAlignment="1">
      <alignment horizontal="center"/>
    </xf>
    <xf numFmtId="0" fontId="66" fillId="25" borderId="0" xfId="24" applyFont="1" applyFill="1" applyAlignment="1">
      <alignment horizontal="center"/>
    </xf>
    <xf numFmtId="0" fontId="68" fillId="25" borderId="0" xfId="24" applyFont="1" applyFill="1" applyAlignment="1">
      <alignment horizontal="center"/>
    </xf>
    <xf numFmtId="191" fontId="73" fillId="0" borderId="0" xfId="24" applyNumberFormat="1" applyFont="1" applyFill="1" applyAlignment="1">
      <alignment horizontal="center"/>
    </xf>
    <xf numFmtId="190" fontId="68" fillId="0" borderId="0" xfId="24" applyNumberFormat="1" applyFont="1" applyFill="1" applyAlignment="1">
      <alignment horizontal="center"/>
    </xf>
    <xf numFmtId="190" fontId="66" fillId="0" borderId="0" xfId="24" applyNumberFormat="1" applyFont="1" applyAlignment="1">
      <alignment horizontal="center"/>
    </xf>
    <xf numFmtId="9" fontId="69" fillId="0" borderId="0" xfId="24" applyNumberFormat="1" applyFont="1" applyFill="1" applyAlignment="1">
      <alignment horizontal="center"/>
    </xf>
    <xf numFmtId="165" fontId="66" fillId="0" borderId="31" xfId="24" applyNumberFormat="1" applyFont="1" applyFill="1" applyBorder="1" applyAlignment="1">
      <alignment horizontal="center"/>
    </xf>
    <xf numFmtId="189" fontId="66" fillId="0" borderId="31" xfId="24" applyNumberFormat="1" applyFont="1" applyFill="1" applyBorder="1" applyAlignment="1">
      <alignment horizontal="center"/>
    </xf>
    <xf numFmtId="190" fontId="66" fillId="0" borderId="31" xfId="24" applyNumberFormat="1" applyFont="1" applyFill="1" applyBorder="1" applyAlignment="1">
      <alignment horizontal="center"/>
    </xf>
    <xf numFmtId="165" fontId="66" fillId="0" borderId="0" xfId="24" applyNumberFormat="1" applyFont="1" applyFill="1" applyBorder="1" applyAlignment="1">
      <alignment horizontal="center"/>
    </xf>
    <xf numFmtId="189" fontId="68" fillId="0" borderId="0" xfId="24" applyNumberFormat="1" applyFont="1"/>
    <xf numFmtId="189" fontId="10" fillId="0" borderId="0" xfId="0" applyNumberFormat="1" applyFont="1" applyFill="1" applyBorder="1"/>
    <xf numFmtId="191" fontId="74" fillId="24" borderId="0" xfId="0" applyNumberFormat="1" applyFont="1" applyFill="1"/>
    <xf numFmtId="0" fontId="74" fillId="0" borderId="0" xfId="0" applyFont="1"/>
    <xf numFmtId="165" fontId="74" fillId="18" borderId="0" xfId="34" applyNumberFormat="1" applyFont="1" applyFill="1" applyAlignment="1">
      <alignment horizontal="right"/>
    </xf>
    <xf numFmtId="0" fontId="3" fillId="0" borderId="0" xfId="0" applyFont="1"/>
    <xf numFmtId="0" fontId="3" fillId="0" borderId="0" xfId="0" applyFont="1"/>
    <xf numFmtId="188" fontId="10" fillId="0" borderId="0" xfId="0" applyNumberFormat="1" applyFont="1" applyFill="1"/>
    <xf numFmtId="176" fontId="14" fillId="12" borderId="0" xfId="17" applyNumberFormat="1" applyFont="1" applyFill="1" applyBorder="1" applyAlignment="1">
      <alignment horizontal="right" wrapText="1"/>
    </xf>
    <xf numFmtId="0" fontId="3" fillId="0" borderId="1" xfId="1" applyFont="1" applyFill="1" applyBorder="1"/>
    <xf numFmtId="9" fontId="3" fillId="0" borderId="1" xfId="34" applyFont="1" applyFill="1" applyBorder="1"/>
    <xf numFmtId="9" fontId="3" fillId="0" borderId="0" xfId="34" applyFont="1" applyFill="1" applyAlignment="1">
      <alignment horizontal="right"/>
    </xf>
    <xf numFmtId="192" fontId="3" fillId="0" borderId="0" xfId="1" applyNumberFormat="1" applyFont="1" applyFill="1"/>
    <xf numFmtId="192" fontId="3" fillId="0" borderId="1" xfId="0" applyNumberFormat="1" applyFont="1" applyFill="1" applyBorder="1"/>
    <xf numFmtId="191" fontId="13" fillId="8" borderId="0" xfId="0" applyNumberFormat="1" applyFont="1" applyFill="1"/>
    <xf numFmtId="191" fontId="19" fillId="0" borderId="0" xfId="0" applyNumberFormat="1" applyFont="1"/>
    <xf numFmtId="191" fontId="66" fillId="0" borderId="0" xfId="24" applyNumberFormat="1" applyFont="1"/>
    <xf numFmtId="0" fontId="75" fillId="0" borderId="0" xfId="0" applyFont="1"/>
    <xf numFmtId="42" fontId="75" fillId="0" borderId="0" xfId="0" quotePrefix="1" applyNumberFormat="1" applyFont="1" applyFill="1" applyBorder="1" applyAlignment="1">
      <alignment horizontal="right"/>
    </xf>
    <xf numFmtId="0" fontId="3" fillId="0" borderId="0" xfId="0" applyFont="1"/>
    <xf numFmtId="0" fontId="0" fillId="0" borderId="0" xfId="0"/>
    <xf numFmtId="0" fontId="3" fillId="0" borderId="0" xfId="0" applyFont="1"/>
    <xf numFmtId="0" fontId="3" fillId="0" borderId="0" xfId="0" applyFont="1"/>
    <xf numFmtId="0" fontId="3" fillId="0" borderId="0" xfId="0" applyFont="1"/>
    <xf numFmtId="0" fontId="3" fillId="0" borderId="0" xfId="0" applyFont="1"/>
    <xf numFmtId="184" fontId="3" fillId="0" borderId="0" xfId="0" applyNumberFormat="1" applyFont="1" applyFill="1" applyBorder="1"/>
    <xf numFmtId="43" fontId="40" fillId="0" borderId="0" xfId="17" applyFont="1" applyFill="1"/>
    <xf numFmtId="181" fontId="37" fillId="0" borderId="0" xfId="0" applyNumberFormat="1" applyFont="1" applyFill="1"/>
    <xf numFmtId="0" fontId="14" fillId="0" borderId="0" xfId="0" applyFont="1" applyFill="1"/>
    <xf numFmtId="189" fontId="37" fillId="0" borderId="0" xfId="0" applyNumberFormat="1" applyFont="1" applyFill="1"/>
    <xf numFmtId="189" fontId="37" fillId="0" borderId="0" xfId="34" applyNumberFormat="1" applyFont="1" applyFill="1"/>
    <xf numFmtId="167" fontId="37" fillId="0" borderId="0" xfId="0" applyNumberFormat="1" applyFont="1" applyFill="1"/>
    <xf numFmtId="167" fontId="37" fillId="0" borderId="1" xfId="0" applyNumberFormat="1" applyFont="1" applyFill="1" applyBorder="1"/>
    <xf numFmtId="167" fontId="37" fillId="0" borderId="0" xfId="0" applyNumberFormat="1" applyFont="1" applyFill="1" applyBorder="1"/>
    <xf numFmtId="10" fontId="37" fillId="0" borderId="1" xfId="0" applyNumberFormat="1" applyFont="1" applyFill="1" applyBorder="1"/>
    <xf numFmtId="9" fontId="37" fillId="0" borderId="0" xfId="0" applyNumberFormat="1" applyFont="1" applyFill="1"/>
    <xf numFmtId="10" fontId="37" fillId="0" borderId="0" xfId="34" applyNumberFormat="1" applyFont="1" applyFill="1"/>
    <xf numFmtId="165" fontId="37" fillId="0" borderId="0" xfId="17" applyNumberFormat="1" applyFont="1" applyFill="1"/>
    <xf numFmtId="10" fontId="37" fillId="0" borderId="0" xfId="17" applyNumberFormat="1" applyFont="1" applyFill="1"/>
    <xf numFmtId="43" fontId="37" fillId="0" borderId="0" xfId="17" applyFont="1" applyFill="1"/>
    <xf numFmtId="165" fontId="37" fillId="0" borderId="1" xfId="17" applyNumberFormat="1" applyFont="1" applyFill="1" applyBorder="1"/>
    <xf numFmtId="9" fontId="3" fillId="0" borderId="0" xfId="0" applyNumberFormat="1" applyFont="1" applyFill="1"/>
    <xf numFmtId="165" fontId="37" fillId="0" borderId="1" xfId="34" applyNumberFormat="1" applyFont="1" applyFill="1" applyBorder="1"/>
    <xf numFmtId="183" fontId="37" fillId="0" borderId="0" xfId="34" applyNumberFormat="1" applyFont="1" applyFill="1" applyBorder="1"/>
    <xf numFmtId="183" fontId="3" fillId="0" borderId="0" xfId="0" applyNumberFormat="1" applyFont="1" applyFill="1"/>
    <xf numFmtId="189" fontId="3" fillId="0" borderId="0" xfId="0" applyNumberFormat="1" applyFont="1" applyFill="1"/>
    <xf numFmtId="189" fontId="37" fillId="0" borderId="0" xfId="34" applyNumberFormat="1" applyFont="1" applyFill="1" applyBorder="1"/>
    <xf numFmtId="188" fontId="37" fillId="0" borderId="0" xfId="0" applyNumberFormat="1" applyFont="1" applyFill="1"/>
    <xf numFmtId="188" fontId="54" fillId="0" borderId="0" xfId="0" applyNumberFormat="1" applyFont="1" applyFill="1"/>
    <xf numFmtId="176" fontId="37" fillId="0" borderId="0" xfId="17" applyNumberFormat="1" applyFont="1" applyFill="1"/>
    <xf numFmtId="10" fontId="37" fillId="0" borderId="0" xfId="34" applyNumberFormat="1" applyFont="1" applyFill="1" applyBorder="1"/>
    <xf numFmtId="184" fontId="37" fillId="0" borderId="0" xfId="17" applyNumberFormat="1" applyFont="1" applyFill="1" applyAlignment="1">
      <alignment horizontal="right"/>
    </xf>
    <xf numFmtId="184" fontId="3" fillId="0" borderId="0" xfId="17" applyNumberFormat="1" applyFont="1" applyFill="1" applyAlignment="1">
      <alignment horizontal="right"/>
    </xf>
    <xf numFmtId="9" fontId="37" fillId="0" borderId="0" xfId="34" applyFont="1" applyFill="1"/>
    <xf numFmtId="176" fontId="3" fillId="0" borderId="0" xfId="0" applyNumberFormat="1" applyFont="1" applyFill="1" applyAlignment="1">
      <alignment horizontal="right"/>
    </xf>
    <xf numFmtId="165" fontId="3" fillId="0" borderId="0" xfId="0" applyNumberFormat="1" applyFont="1" applyFill="1" applyAlignment="1">
      <alignment horizontal="right"/>
    </xf>
    <xf numFmtId="190" fontId="3" fillId="0" borderId="0" xfId="0" applyNumberFormat="1" applyFont="1" applyFill="1"/>
    <xf numFmtId="0" fontId="3" fillId="0" borderId="0" xfId="0" applyFont="1"/>
    <xf numFmtId="0" fontId="0" fillId="0" borderId="0" xfId="0"/>
    <xf numFmtId="0" fontId="3" fillId="0" borderId="0" xfId="0" applyFont="1"/>
    <xf numFmtId="190" fontId="20" fillId="6" borderId="0" xfId="1" applyNumberFormat="1" applyFont="1" applyFill="1" applyBorder="1" applyAlignment="1">
      <alignment horizontal="right"/>
    </xf>
    <xf numFmtId="190" fontId="9" fillId="14" borderId="0" xfId="17" applyNumberFormat="1" applyFont="1" applyFill="1" applyBorder="1" applyAlignment="1">
      <alignment horizontal="right"/>
    </xf>
    <xf numFmtId="190" fontId="3" fillId="0" borderId="0" xfId="27" applyNumberFormat="1" applyFont="1" applyFill="1" applyBorder="1" applyAlignment="1">
      <alignment horizontal="right"/>
    </xf>
    <xf numFmtId="190" fontId="14" fillId="6" borderId="0" xfId="1" applyNumberFormat="1" applyFont="1" applyFill="1" applyBorder="1" applyAlignment="1">
      <alignment horizontal="right"/>
    </xf>
    <xf numFmtId="190" fontId="15" fillId="0" borderId="0" xfId="23" applyNumberFormat="1" applyFont="1" applyFill="1" applyBorder="1" applyAlignment="1">
      <alignment horizontal="right"/>
    </xf>
    <xf numFmtId="190" fontId="43" fillId="6" borderId="0" xfId="17" applyNumberFormat="1" applyFont="1" applyFill="1" applyBorder="1" applyAlignment="1">
      <alignment horizontal="right"/>
    </xf>
    <xf numFmtId="10" fontId="37" fillId="6" borderId="0" xfId="0" applyNumberFormat="1" applyFont="1" applyFill="1" applyBorder="1"/>
    <xf numFmtId="165" fontId="37" fillId="6" borderId="0" xfId="17" applyNumberFormat="1" applyFont="1" applyFill="1" applyBorder="1"/>
    <xf numFmtId="168" fontId="3" fillId="0" borderId="0" xfId="0" applyNumberFormat="1" applyFont="1" applyBorder="1"/>
    <xf numFmtId="37" fontId="20" fillId="6" borderId="0" xfId="1" applyNumberFormat="1" applyFont="1" applyFill="1" applyBorder="1"/>
    <xf numFmtId="184" fontId="9" fillId="14" borderId="0" xfId="17" applyNumberFormat="1" applyFont="1" applyFill="1" applyBorder="1"/>
    <xf numFmtId="168" fontId="3" fillId="0" borderId="0" xfId="0" applyNumberFormat="1" applyFont="1" applyFill="1" applyBorder="1"/>
    <xf numFmtId="176" fontId="3" fillId="0" borderId="0" xfId="0" applyNumberFormat="1" applyFont="1" applyBorder="1"/>
    <xf numFmtId="176" fontId="3" fillId="0" borderId="0" xfId="17" applyNumberFormat="1" applyFont="1" applyBorder="1" applyAlignment="1">
      <alignment horizontal="right"/>
    </xf>
    <xf numFmtId="0" fontId="14" fillId="0" borderId="0" xfId="0" applyFont="1" applyFill="1" applyBorder="1" applyAlignment="1">
      <alignment horizontal="right"/>
    </xf>
    <xf numFmtId="43" fontId="10" fillId="0" borderId="0" xfId="0" applyNumberFormat="1" applyFont="1" applyFill="1" applyBorder="1"/>
    <xf numFmtId="181" fontId="20" fillId="6" borderId="0" xfId="0" applyNumberFormat="1" applyFont="1" applyFill="1" applyBorder="1"/>
    <xf numFmtId="43" fontId="3" fillId="0" borderId="0" xfId="17" applyFont="1" applyFill="1" applyBorder="1" applyAlignment="1">
      <alignment horizontal="right"/>
    </xf>
    <xf numFmtId="176" fontId="20" fillId="6" borderId="0" xfId="17" applyNumberFormat="1" applyFont="1" applyFill="1" applyBorder="1"/>
    <xf numFmtId="0" fontId="3" fillId="0" borderId="0" xfId="27" applyFont="1" applyFill="1" applyBorder="1" applyAlignment="1">
      <alignment horizontal="right"/>
    </xf>
    <xf numFmtId="10" fontId="3" fillId="0" borderId="0" xfId="0" applyNumberFormat="1" applyFont="1" applyFill="1" applyBorder="1" applyAlignment="1">
      <alignment horizontal="right"/>
    </xf>
    <xf numFmtId="37" fontId="10" fillId="0" borderId="0" xfId="0" applyNumberFormat="1" applyFont="1" applyFill="1" applyBorder="1" applyAlignment="1"/>
    <xf numFmtId="37" fontId="14" fillId="6" borderId="0" xfId="1" applyNumberFormat="1" applyFont="1" applyFill="1" applyBorder="1"/>
    <xf numFmtId="37" fontId="20" fillId="6" borderId="0" xfId="0" applyNumberFormat="1" applyFont="1" applyFill="1" applyBorder="1"/>
    <xf numFmtId="41" fontId="3" fillId="0" borderId="0" xfId="0" applyNumberFormat="1" applyFont="1" applyBorder="1"/>
    <xf numFmtId="43" fontId="3" fillId="0" borderId="0" xfId="0" applyNumberFormat="1" applyFont="1" applyBorder="1" applyAlignment="1">
      <alignment horizontal="right"/>
    </xf>
    <xf numFmtId="166" fontId="15" fillId="0" borderId="0" xfId="23" applyNumberFormat="1" applyFont="1" applyFill="1" applyBorder="1"/>
    <xf numFmtId="43" fontId="14" fillId="6" borderId="0" xfId="17" applyFont="1" applyFill="1" applyBorder="1" applyAlignment="1">
      <alignment horizontal="center"/>
    </xf>
    <xf numFmtId="10" fontId="15" fillId="0" borderId="0" xfId="34" applyNumberFormat="1" applyFont="1" applyFill="1" applyBorder="1"/>
    <xf numFmtId="43" fontId="43" fillId="6" borderId="0" xfId="17" applyFont="1" applyFill="1" applyBorder="1"/>
    <xf numFmtId="177" fontId="14" fillId="6" borderId="0" xfId="17" applyNumberFormat="1" applyFont="1" applyFill="1" applyBorder="1"/>
    <xf numFmtId="9" fontId="3" fillId="0" borderId="0" xfId="34" applyNumberFormat="1" applyFont="1" applyBorder="1" applyAlignment="1">
      <alignment horizontal="right"/>
    </xf>
    <xf numFmtId="37" fontId="3" fillId="0" borderId="0" xfId="0" applyNumberFormat="1" applyFont="1" applyBorder="1"/>
    <xf numFmtId="188" fontId="14" fillId="0" borderId="0" xfId="17" applyNumberFormat="1" applyFont="1" applyFill="1" applyBorder="1" applyAlignment="1">
      <alignment horizontal="right"/>
    </xf>
    <xf numFmtId="191" fontId="31" fillId="0" borderId="0" xfId="17" applyNumberFormat="1" applyFont="1" applyAlignment="1">
      <alignment horizontal="right"/>
    </xf>
    <xf numFmtId="183" fontId="37" fillId="6" borderId="0" xfId="0" applyNumberFormat="1" applyFont="1" applyFill="1"/>
    <xf numFmtId="191" fontId="13" fillId="0" borderId="0" xfId="17" applyNumberFormat="1" applyFont="1"/>
    <xf numFmtId="183" fontId="9" fillId="0" borderId="0" xfId="0" applyNumberFormat="1" applyFont="1" applyFill="1"/>
    <xf numFmtId="188" fontId="13" fillId="0" borderId="0" xfId="0" applyNumberFormat="1" applyFont="1"/>
    <xf numFmtId="191" fontId="32" fillId="0" borderId="0" xfId="0" applyNumberFormat="1" applyFont="1" applyFill="1" applyBorder="1"/>
    <xf numFmtId="0" fontId="3" fillId="0" borderId="0" xfId="0" applyFont="1"/>
    <xf numFmtId="176" fontId="3" fillId="4" borderId="0" xfId="0" applyNumberFormat="1" applyFont="1" applyFill="1"/>
    <xf numFmtId="0" fontId="3" fillId="0" borderId="0" xfId="0" applyFont="1"/>
    <xf numFmtId="0" fontId="3" fillId="0" borderId="0" xfId="0" applyFont="1"/>
    <xf numFmtId="168" fontId="37" fillId="0" borderId="0" xfId="27" quotePrefix="1" applyNumberFormat="1" applyFont="1" applyFill="1" applyBorder="1" applyAlignment="1">
      <alignment horizontal="right"/>
    </xf>
    <xf numFmtId="188" fontId="55" fillId="0" borderId="0" xfId="0" applyNumberFormat="1" applyFont="1"/>
    <xf numFmtId="0" fontId="9" fillId="0" borderId="8" xfId="43" applyFont="1" applyFill="1" applyBorder="1" applyAlignment="1">
      <alignment horizontal="center"/>
    </xf>
    <xf numFmtId="0" fontId="9" fillId="0" borderId="0" xfId="43" applyFont="1" applyFill="1" applyBorder="1" applyAlignment="1">
      <alignment horizontal="center"/>
    </xf>
    <xf numFmtId="0" fontId="9" fillId="0" borderId="1" xfId="43" applyFont="1" applyFill="1" applyBorder="1" applyAlignment="1">
      <alignment horizontal="center"/>
    </xf>
    <xf numFmtId="0" fontId="9" fillId="0" borderId="22" xfId="43" applyFont="1" applyFill="1" applyBorder="1" applyAlignment="1">
      <alignment horizontal="center"/>
    </xf>
    <xf numFmtId="0" fontId="9" fillId="0" borderId="6" xfId="43" applyFont="1" applyFill="1" applyBorder="1" applyAlignment="1">
      <alignment horizontal="center"/>
    </xf>
    <xf numFmtId="0" fontId="9" fillId="0" borderId="3" xfId="43" applyFont="1" applyFill="1" applyBorder="1" applyAlignment="1">
      <alignment horizontal="center"/>
    </xf>
    <xf numFmtId="0" fontId="3" fillId="0" borderId="8" xfId="43" applyFont="1" applyFill="1" applyBorder="1" applyAlignment="1">
      <alignment horizontal="center"/>
    </xf>
    <xf numFmtId="0" fontId="3" fillId="0" borderId="0" xfId="43" applyFont="1" applyFill="1" applyBorder="1" applyAlignment="1">
      <alignment horizontal="center"/>
    </xf>
    <xf numFmtId="0" fontId="2" fillId="26" borderId="0" xfId="46" applyFont="1" applyFill="1" applyAlignment="1">
      <alignment vertical="top"/>
    </xf>
    <xf numFmtId="0" fontId="2" fillId="26" borderId="0" xfId="26" applyFill="1" applyAlignment="1">
      <alignment vertical="top"/>
    </xf>
    <xf numFmtId="0" fontId="2" fillId="26" borderId="0" xfId="26" applyFill="1"/>
    <xf numFmtId="0" fontId="77" fillId="26" borderId="0" xfId="46" applyFont="1" applyFill="1" applyAlignment="1">
      <alignment horizontal="left" vertical="top"/>
    </xf>
    <xf numFmtId="0" fontId="2" fillId="26" borderId="0" xfId="26" applyFont="1" applyFill="1" applyAlignment="1">
      <alignment vertical="top"/>
    </xf>
    <xf numFmtId="0" fontId="78" fillId="26" borderId="0" xfId="46" applyFont="1" applyFill="1" applyAlignment="1">
      <alignment vertical="top"/>
    </xf>
    <xf numFmtId="0" fontId="0" fillId="26" borderId="0" xfId="0" applyFill="1" applyAlignment="1">
      <alignment vertical="top"/>
    </xf>
    <xf numFmtId="0" fontId="79" fillId="26" borderId="0" xfId="0" applyFont="1" applyFill="1" applyAlignment="1">
      <alignment vertical="top"/>
    </xf>
    <xf numFmtId="0" fontId="80" fillId="26" borderId="0" xfId="0" applyFont="1" applyFill="1" applyAlignment="1">
      <alignment vertical="top"/>
    </xf>
    <xf numFmtId="0" fontId="80" fillId="26" borderId="0" xfId="0" applyFont="1" applyFill="1" applyAlignment="1">
      <alignment vertical="top"/>
    </xf>
    <xf numFmtId="0" fontId="79" fillId="26" borderId="0" xfId="0" applyFont="1" applyFill="1" applyAlignment="1">
      <alignment vertical="top"/>
    </xf>
    <xf numFmtId="0" fontId="0" fillId="26" borderId="0" xfId="0" applyFill="1" applyAlignment="1">
      <alignment vertical="top"/>
    </xf>
    <xf numFmtId="0" fontId="0" fillId="26" borderId="36" xfId="0" applyFill="1" applyBorder="1" applyAlignment="1">
      <alignment vertical="top"/>
    </xf>
    <xf numFmtId="0" fontId="79" fillId="26" borderId="32" xfId="0" applyFont="1" applyFill="1" applyBorder="1" applyAlignment="1">
      <alignment vertical="top"/>
    </xf>
    <xf numFmtId="0" fontId="79" fillId="26" borderId="33" xfId="0" applyFont="1" applyFill="1" applyBorder="1" applyAlignment="1">
      <alignment vertical="top"/>
    </xf>
    <xf numFmtId="0" fontId="79" fillId="26" borderId="34" xfId="0" applyFont="1" applyFill="1" applyBorder="1" applyAlignment="1">
      <alignment vertical="top"/>
    </xf>
    <xf numFmtId="0" fontId="79" fillId="26" borderId="35" xfId="0" applyFont="1" applyFill="1" applyBorder="1" applyAlignment="1">
      <alignment vertical="top"/>
    </xf>
    <xf numFmtId="9" fontId="79" fillId="26" borderId="32" xfId="0" applyNumberFormat="1" applyFont="1" applyFill="1" applyBorder="1" applyAlignment="1">
      <alignment vertical="top"/>
    </xf>
    <xf numFmtId="3" fontId="79" fillId="26" borderId="32" xfId="0" applyNumberFormat="1" applyFont="1" applyFill="1" applyBorder="1" applyAlignment="1">
      <alignment vertical="top"/>
    </xf>
    <xf numFmtId="0" fontId="0" fillId="26" borderId="37" xfId="0" applyFill="1" applyBorder="1" applyAlignment="1">
      <alignment vertical="top"/>
    </xf>
    <xf numFmtId="2" fontId="2" fillId="0" borderId="0" xfId="26" applyNumberFormat="1" applyAlignment="1">
      <alignment horizontal="left"/>
    </xf>
    <xf numFmtId="0" fontId="2" fillId="0" borderId="0" xfId="26" applyNumberFormat="1" applyAlignment="1">
      <alignment horizontal="left"/>
    </xf>
    <xf numFmtId="1" fontId="2" fillId="0" borderId="0" xfId="26" applyNumberFormat="1" applyAlignment="1">
      <alignment horizontal="left"/>
    </xf>
    <xf numFmtId="0" fontId="2" fillId="0" borderId="0" xfId="26" applyFont="1"/>
    <xf numFmtId="210" fontId="2" fillId="0" borderId="0" xfId="26" applyNumberFormat="1" applyAlignment="1">
      <alignment horizontal="left"/>
    </xf>
    <xf numFmtId="49" fontId="2" fillId="0" borderId="0" xfId="26" applyNumberFormat="1"/>
  </cellXfs>
  <cellStyles count="47">
    <cellStyle name=" Writer Import]_x000d__x000a_Display Dialog=No_x000d__x000a__x000d__x000a_[Horizontal Arrange]_x000d__x000a_Dimensions Interlocking=Yes_x000d__x000a_Sum Hierarchy=Yes_x000d__x000a_Generate" xfId="1"/>
    <cellStyle name=" Writer Import]_x000d__x000a_Display Dialog=No_x000d__x000a__x000d__x000a_[Horizontal Arrange]_x000d__x000a_Dimensions Interlocking=Yes_x000d__x000a_Sum Hierarchy=Yes_x000d__x000a_Generate 2" xfId="2"/>
    <cellStyle name=" Writer Import]_x000d__x000a_Display Dialog=No_x000d__x000a__x000d__x000a_[Horizontal Arrange]_x000d__x000a_Dimensions Interlocking=Yes_x000d__x000a_Sum Hierarchy=Yes_x000d__x000a_Generate 2 2" xfId="3"/>
    <cellStyle name="_Currency_Europe 2005-balance sheets (Amended 28-10-2004) " xfId="5"/>
    <cellStyle name="_mir-2000-Nov-03_eod " xfId="6"/>
    <cellStyle name="_SUMMARY " xfId="7"/>
    <cellStyle name="0_Capex &amp; Depreciation " xfId="8"/>
    <cellStyle name="0_Valuing BP " xfId="9"/>
    <cellStyle name="1_Europe 2005-balance sheets (Amended 28-10-2004) " xfId="10"/>
    <cellStyle name="1_SALEM_Europe 2005-balance sheets (Amended 28-10-2004) " xfId="11"/>
    <cellStyle name="1_sec8 (2)_Europe 2005-balance sheets (Amended 28-10-2004) " xfId="12"/>
    <cellStyle name="2_Europe 2005-balance sheets (Amended 28-10-2004) " xfId="13"/>
    <cellStyle name="2_SALEM_Europe 2005-balance sheets (Amended 28-10-2004) " xfId="14"/>
    <cellStyle name="3_Europe 2005-balance sheets (Amended 28-10-2004) " xfId="15"/>
    <cellStyle name="c_HardInc " xfId="16"/>
    <cellStyle name="Comma" xfId="17" builtinId="3"/>
    <cellStyle name="Comma 2" xfId="18"/>
    <cellStyle name="Comma 5" xfId="19"/>
    <cellStyle name="Comma 9" xfId="20"/>
    <cellStyle name="Currency" xfId="21" builtinId="4"/>
    <cellStyle name="Currency 2" xfId="22"/>
    <cellStyle name="Currency 3" xfId="4"/>
    <cellStyle name="Currency 8" xfId="23"/>
    <cellStyle name="Normal" xfId="0" builtinId="0"/>
    <cellStyle name="Normal - Style1" xfId="24"/>
    <cellStyle name="Normal 19" xfId="44"/>
    <cellStyle name="Normal 2" xfId="25"/>
    <cellStyle name="Normal 2 3 2" xfId="26"/>
    <cellStyle name="Normal_2000qer1s" xfId="27"/>
    <cellStyle name="Normal_2000qer1s 2" xfId="28"/>
    <cellStyle name="Normal_citigroup BS-growth analysis" xfId="29"/>
    <cellStyle name="Normal_DisclaimerSheet Samples" xfId="46"/>
    <cellStyle name="Normal_Dividend &amp; Basel 3 Charts 2" xfId="45"/>
    <cellStyle name="Normal_hnt1201" xfId="41"/>
    <cellStyle name="Normal_New Supplement v26" xfId="30"/>
    <cellStyle name="Normal_New-Old Forecast" xfId="42"/>
    <cellStyle name="Normal_qer074s" xfId="31"/>
    <cellStyle name="Normal_RI Bank 5yr-Version5" xfId="43"/>
    <cellStyle name="Normal_Supplement Make-Over v8" xfId="32"/>
    <cellStyle name="p " xfId="33"/>
    <cellStyle name="Percent" xfId="34" builtinId="5"/>
    <cellStyle name="Percent 12" xfId="35"/>
    <cellStyle name="Percent 2" xfId="36"/>
    <cellStyle name="RRSInstruction" xfId="37"/>
    <cellStyle name="s_HardInc " xfId="38"/>
    <cellStyle name="s_Valuation " xfId="39"/>
    <cellStyle name="ssp " xfId="40"/>
  </cellStyles>
  <dxfs count="1">
    <dxf>
      <font>
        <i val="0"/>
        <condense val="0"/>
        <extend val="0"/>
        <color indexed="12"/>
      </font>
    </dxf>
  </dxfs>
  <tableStyles count="0" defaultTableStyle="TableStyleMedium9" defaultPivotStyle="PivotStyleLight16"/>
  <colors>
    <mruColors>
      <color rgb="FF76C490"/>
      <color rgb="FF008000"/>
      <color rgb="FF0000FF"/>
      <color rgb="FFB1DDC0"/>
      <color rgb="FFCEEAC0"/>
      <color rgb="FF99FF66"/>
    </mruColors>
  </colors>
  <extLst>
    <ext xmlns:x14="http://schemas.microsoft.com/office/spreadsheetml/2009/9/main" uri="{EB79DEF2-80B8-43e5-95BD-54CBDDF9020C}">
      <x14:slicerStyles defaultSlicerStyle="SlicerStyleLight1"/>
    </ext>
  </extLst>
</styleSheet>
</file>

<file path=xl/volatileDependencies.xml><?xml version="1.0" encoding="utf-8"?>
<volTypes xmlns="http://schemas.openxmlformats.org/spreadsheetml/2006/main">
  <volType type="realTimeData">
    <main first="thomsononeaddinshim.rtdformula">
      <tp t="s">
        <v xml:space="preserve">             =TF($A44,"TF.ES.EPS.HighEst(period=#1)",,Q$2)             </v>
        <stp/>
        <stp>b9fc7d29-0535-43cc-b91c-06344565009a</stp>
        <tr r="Q44" s="272"/>
      </tp>
      <tp t="s">
        <v xml:space="preserve">                                      #NAME?                                      </v>
        <stp/>
        <stp>6f2232d9-3c39-4fb2-9db2-281e2a0bba49</stp>
        <tr r="J45" s="272"/>
      </tp>
      <tp t="s">
        <v xml:space="preserve">                                      #NAME?                                      </v>
        <stp/>
        <stp>1f3bb742-9083-4f69-8117-2c09c598b63f</stp>
        <tr r="F44" s="272"/>
      </tp>
      <tp t="s">
        <v xml:space="preserve">                                      #NAME?                                      </v>
        <stp/>
        <stp>39b748ba-7af2-4270-aabe-5334c2f38a8e</stp>
        <tr r="F45" s="272"/>
      </tp>
      <tp t="s">
        <v xml:space="preserve">             =TF($A45,"TF.ES.EPS.LowEst(period=#1)",,Q$2)             </v>
        <stp/>
        <stp>6106b46d-71f8-4a0d-979d-362c890f8fe5</stp>
        <tr r="Q45" s="272"/>
      </tp>
      <tp t="s">
        <v xml:space="preserve">                                      #NAME?                                      </v>
        <stp/>
        <stp>8715603d-5350-4b49-9750-05613982ebc0</stp>
        <tr r="F43" s="272"/>
      </tp>
      <tp t="s">
        <v xml:space="preserve">             =TF($A43,"TF.ES.EPS.Mean(period=#1)",,Q$2)             </v>
        <stp/>
        <stp>ff1e7432-600e-4f43-8170-596de199b84e</stp>
        <tr r="Q43" s="272"/>
      </tp>
      <tp t="s">
        <v xml:space="preserve">                                      #NAME?                                      </v>
        <stp/>
        <stp>0bae2e3a-2645-4b74-8b57-5bf7a6d87280</stp>
        <tr r="J43" s="272"/>
      </tp>
      <tp t="s">
        <v xml:space="preserve">                                      #NAME?                                      </v>
        <stp/>
        <stp>c1769eea-ce2a-4671-8b31-77835d14d1c0</stp>
        <tr r="J44" s="272"/>
      </tp>
    </main>
  </volType>
</volTypes>
</file>

<file path=xl/_rels/workbook.xml.rels><?xml version="1.0" encoding="UTF-8" standalone="yes"?>
<Relationships xmlns="http://schemas.openxmlformats.org/package/2006/relationships">
<Relationship Id="rId1" Target="worksheets/sheet1.xml" Type="http://schemas.openxmlformats.org/officeDocument/2006/relationships/worksheet"/>
<Relationship Id="rId10" Target="worksheets/sheet10.xml" Type="http://schemas.openxmlformats.org/officeDocument/2006/relationships/worksheet"/>
<Relationship Id="rId11" Target="worksheets/sheet11.xml" Type="http://schemas.openxmlformats.org/officeDocument/2006/relationships/worksheet"/>
<Relationship Id="rId12" Target="worksheets/sheet12.xml" Type="http://schemas.openxmlformats.org/officeDocument/2006/relationships/worksheet"/>
<Relationship Id="rId13" Target="worksheets/sheet13.xml" Type="http://schemas.openxmlformats.org/officeDocument/2006/relationships/worksheet"/>
<Relationship Id="rId14" Target="worksheets/sheet14.xml" Type="http://schemas.openxmlformats.org/officeDocument/2006/relationships/worksheet"/>
<Relationship Id="rId15" Target="worksheets/sheet15.xml" Type="http://schemas.openxmlformats.org/officeDocument/2006/relationships/worksheet"/>
<Relationship Id="rId16" Target="externalLinks/externalLink1.xml" Type="http://schemas.openxmlformats.org/officeDocument/2006/relationships/externalLink"/>
<Relationship Id="rId17" Target="theme/theme1.xml" Type="http://schemas.openxmlformats.org/officeDocument/2006/relationships/theme"/>
<Relationship Id="rId18" Target="styles.xml" Type="http://schemas.openxmlformats.org/officeDocument/2006/relationships/styles"/>
<Relationship Id="rId19" Target="sharedStrings.xml" Type="http://schemas.openxmlformats.org/officeDocument/2006/relationships/sharedStrings"/>
<Relationship Id="rId2" Target="worksheets/sheet2.xml" Type="http://schemas.openxmlformats.org/officeDocument/2006/relationships/worksheet"/>
<Relationship Id="rId20" Target="calcChain.xml" Type="http://schemas.openxmlformats.org/officeDocument/2006/relationships/calcChain"/>
<Relationship Id="rId21" Target="volatileDependencies.xml" Type="http://schemas.openxmlformats.org/officeDocument/2006/relationships/volatileDependencies"/>
<Relationship Id="rId3" Target="worksheets/sheet3.xml" Type="http://schemas.openxmlformats.org/officeDocument/2006/relationships/worksheet"/>
<Relationship Id="rId4" Target="worksheets/sheet4.xml" Type="http://schemas.openxmlformats.org/officeDocument/2006/relationships/worksheet"/>
<Relationship Id="rId5" Target="worksheets/sheet5.xml" Type="http://schemas.openxmlformats.org/officeDocument/2006/relationships/worksheet"/>
<Relationship Id="rId6" Target="worksheets/sheet6.xml" Type="http://schemas.openxmlformats.org/officeDocument/2006/relationships/worksheet"/>
<Relationship Id="rId7" Target="worksheets/sheet7.xml" Type="http://schemas.openxmlformats.org/officeDocument/2006/relationships/worksheet"/>
<Relationship Id="rId8" Target="worksheets/sheet8.xml" Type="http://schemas.openxmlformats.org/officeDocument/2006/relationships/worksheet"/>
<Relationship Id="rId9" Target="worksheets/sheet9.xml" Type="http://schemas.openxmlformats.org/officeDocument/2006/relationships/worksheet"/>
</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953523582656005"/>
          <c:y val="6.3829919859374709E-2"/>
          <c:w val="0.80361959892704027"/>
          <c:h val="0.82127830219062126"/>
        </c:manualLayout>
      </c:layout>
      <c:areaChart>
        <c:grouping val="stacked"/>
        <c:varyColors val="0"/>
        <c:ser>
          <c:idx val="0"/>
          <c:order val="0"/>
          <c:tx>
            <c:v>PV of Residual Income</c:v>
          </c:tx>
          <c:spPr>
            <a:solidFill>
              <a:srgbClr val="76C490"/>
            </a:solidFill>
            <a:ln w="12700">
              <a:noFill/>
              <a:prstDash val="solid"/>
            </a:ln>
          </c:spPr>
          <c:cat>
            <c:numRef>
              <c:f>'Residual Income'!$Z$4:$AS$4</c:f>
              <c:numCache>
                <c:formatCode>yyyy</c:formatCode>
                <c:ptCount val="20"/>
                <c:pt idx="0">
                  <c:v>43100</c:v>
                </c:pt>
                <c:pt idx="1">
                  <c:v>43465</c:v>
                </c:pt>
                <c:pt idx="2">
                  <c:v>43830</c:v>
                </c:pt>
                <c:pt idx="3">
                  <c:v>44196</c:v>
                </c:pt>
                <c:pt idx="4">
                  <c:v>44561</c:v>
                </c:pt>
                <c:pt idx="5">
                  <c:v>44926</c:v>
                </c:pt>
                <c:pt idx="6">
                  <c:v>45291</c:v>
                </c:pt>
                <c:pt idx="7">
                  <c:v>45657</c:v>
                </c:pt>
                <c:pt idx="8">
                  <c:v>46022</c:v>
                </c:pt>
                <c:pt idx="9">
                  <c:v>46387</c:v>
                </c:pt>
                <c:pt idx="10">
                  <c:v>46752</c:v>
                </c:pt>
                <c:pt idx="11">
                  <c:v>47118</c:v>
                </c:pt>
                <c:pt idx="12">
                  <c:v>47483</c:v>
                </c:pt>
                <c:pt idx="13">
                  <c:v>47848</c:v>
                </c:pt>
                <c:pt idx="14">
                  <c:v>48213</c:v>
                </c:pt>
                <c:pt idx="15">
                  <c:v>48579</c:v>
                </c:pt>
                <c:pt idx="16">
                  <c:v>48944</c:v>
                </c:pt>
                <c:pt idx="17">
                  <c:v>49309</c:v>
                </c:pt>
                <c:pt idx="18">
                  <c:v>49674</c:v>
                </c:pt>
                <c:pt idx="19">
                  <c:v>50040</c:v>
                </c:pt>
              </c:numCache>
            </c:numRef>
          </c:cat>
          <c:val>
            <c:numRef>
              <c:f>'Residual Income'!$Z$45:$AS$45</c:f>
              <c:numCache>
                <c:formatCode>_(* #,##0_);_(* \(#,##0\);_(* "-"_);_(@_)</c:formatCode>
                <c:ptCount val="20"/>
                <c:pt idx="0">
                  <c:v>-32649.184247683552</c:v>
                </c:pt>
                <c:pt idx="1">
                  <c:v>-3366.8028418948429</c:v>
                </c:pt>
                <c:pt idx="2">
                  <c:v>-1521.2875007739092</c:v>
                </c:pt>
                <c:pt idx="3">
                  <c:v>231.00605931652288</c:v>
                </c:pt>
                <c:pt idx="4">
                  <c:v>856.49361113274779</c:v>
                </c:pt>
                <c:pt idx="5">
                  <c:v>751.63093583662271</c:v>
                </c:pt>
                <c:pt idx="6">
                  <c:v>603.97379028684304</c:v>
                </c:pt>
                <c:pt idx="7">
                  <c:v>439.12314344617323</c:v>
                </c:pt>
                <c:pt idx="8">
                  <c:v>363.96154063301123</c:v>
                </c:pt>
                <c:pt idx="9">
                  <c:v>306.2822258258654</c:v>
                </c:pt>
                <c:pt idx="10">
                  <c:v>253.68413032617187</c:v>
                </c:pt>
                <c:pt idx="11">
                  <c:v>210.05829166829122</c:v>
                </c:pt>
                <c:pt idx="12">
                  <c:v>173.98481056477954</c:v>
                </c:pt>
                <c:pt idx="13">
                  <c:v>144.10625768138391</c:v>
                </c:pt>
                <c:pt idx="14">
                  <c:v>119.35877296139697</c:v>
                </c:pt>
                <c:pt idx="15">
                  <c:v>98.832748866308009</c:v>
                </c:pt>
                <c:pt idx="16">
                  <c:v>81.86012060049768</c:v>
                </c:pt>
                <c:pt idx="17">
                  <c:v>67.802215577274708</c:v>
                </c:pt>
                <c:pt idx="18">
                  <c:v>56.158486005936211</c:v>
                </c:pt>
                <c:pt idx="19">
                  <c:v>46.500960142509548</c:v>
                </c:pt>
              </c:numCache>
            </c:numRef>
          </c:val>
        </c:ser>
        <c:dLbls>
          <c:showLegendKey val="0"/>
          <c:showVal val="0"/>
          <c:showCatName val="0"/>
          <c:showSerName val="0"/>
          <c:showPercent val="0"/>
          <c:showBubbleSize val="0"/>
        </c:dLbls>
        <c:axId val="910022528"/>
        <c:axId val="907677696"/>
      </c:areaChart>
      <c:lineChart>
        <c:grouping val="standard"/>
        <c:varyColors val="0"/>
        <c:ser>
          <c:idx val="2"/>
          <c:order val="1"/>
          <c:spPr>
            <a:ln w="28575">
              <a:noFill/>
            </a:ln>
          </c:spPr>
          <c:marker>
            <c:symbol val="none"/>
          </c:marker>
          <c:errBars>
            <c:errDir val="y"/>
            <c:errBarType val="both"/>
            <c:errValType val="fixedVal"/>
            <c:noEndCap val="1"/>
            <c:val val="20000"/>
            <c:spPr>
              <a:ln w="12700">
                <a:solidFill>
                  <a:srgbClr val="000000"/>
                </a:solidFill>
                <a:prstDash val="solid"/>
              </a:ln>
            </c:spPr>
          </c:errBars>
          <c:val>
            <c:numLit>
              <c:formatCode>General</c:formatCode>
              <c:ptCount val="1"/>
              <c:pt idx="0">
                <c:v>0</c:v>
              </c:pt>
            </c:numLit>
          </c:val>
          <c:smooth val="0"/>
        </c:ser>
        <c:dLbls>
          <c:showLegendKey val="0"/>
          <c:showVal val="0"/>
          <c:showCatName val="0"/>
          <c:showSerName val="0"/>
          <c:showPercent val="0"/>
          <c:showBubbleSize val="0"/>
        </c:dLbls>
        <c:marker val="1"/>
        <c:smooth val="0"/>
        <c:axId val="910022528"/>
        <c:axId val="907677696"/>
      </c:lineChart>
      <c:dateAx>
        <c:axId val="910022528"/>
        <c:scaling>
          <c:orientation val="minMax"/>
        </c:scaling>
        <c:delete val="0"/>
        <c:axPos val="b"/>
        <c:title>
          <c:tx>
            <c:rich>
              <a:bodyPr/>
              <a:lstStyle/>
              <a:p>
                <a:pPr>
                  <a:defRPr sz="800" b="0" i="0" u="none" strike="noStrike" baseline="0">
                    <a:solidFill>
                      <a:srgbClr val="000000"/>
                    </a:solidFill>
                    <a:latin typeface="Arial"/>
                    <a:ea typeface="Arial"/>
                    <a:cs typeface="Arial"/>
                  </a:defRPr>
                </a:pPr>
                <a:r>
                  <a:rPr lang="en-US"/>
                  <a:t>Years</a:t>
                </a:r>
              </a:p>
            </c:rich>
          </c:tx>
          <c:layout>
            <c:manualLayout>
              <c:xMode val="edge"/>
              <c:yMode val="edge"/>
              <c:x val="0.4961253874273468"/>
              <c:y val="0.89361880828726192"/>
            </c:manualLayout>
          </c:layout>
          <c:overlay val="0"/>
          <c:spPr>
            <a:noFill/>
            <a:ln w="25400">
              <a:noFill/>
            </a:ln>
          </c:spPr>
        </c:title>
        <c:numFmt formatCode="yyyy"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907677696"/>
        <c:crosses val="autoZero"/>
        <c:auto val="1"/>
        <c:lblOffset val="100"/>
        <c:baseTimeUnit val="years"/>
        <c:majorUnit val="2"/>
        <c:minorUnit val="1"/>
      </c:dateAx>
      <c:valAx>
        <c:axId val="907677696"/>
        <c:scaling>
          <c:orientation val="minMax"/>
          <c:max val="2000"/>
          <c:min val="-10000"/>
        </c:scaling>
        <c:delete val="0"/>
        <c:axPos val="l"/>
        <c:numFmt formatCode="_(* #,##0_);_(* \(#,##0\);_(* &quot;-&quot;_);_(@_)"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910022528"/>
        <c:crosses val="autoZero"/>
        <c:crossBetween val="midCat"/>
      </c:valAx>
      <c:spPr>
        <a:noFill/>
        <a:ln w="3175">
          <a:solidFill>
            <a:srgbClr val="000000"/>
          </a:solidFill>
          <a:prstDash val="solid"/>
        </a:ln>
      </c:spPr>
    </c:plotArea>
    <c:plotVisOnly val="1"/>
    <c:dispBlanksAs val="gap"/>
    <c:showDLblsOverMax val="0"/>
  </c:chart>
  <c:spPr>
    <a:noFill/>
    <a:ln w="9525">
      <a:noFill/>
    </a:ln>
  </c:spPr>
  <c:txPr>
    <a:bodyPr/>
    <a:lstStyle/>
    <a:p>
      <a:pPr>
        <a:defRPr sz="8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9974293059125965E-2"/>
          <c:y val="5.8823754686560537E-2"/>
          <c:w val="0.87917737789203088"/>
          <c:h val="0.77829495162477069"/>
        </c:manualLayout>
      </c:layout>
      <c:areaChart>
        <c:grouping val="stacked"/>
        <c:varyColors val="0"/>
        <c:ser>
          <c:idx val="0"/>
          <c:order val="0"/>
          <c:tx>
            <c:v>PV of Residual Income</c:v>
          </c:tx>
          <c:spPr>
            <a:solidFill>
              <a:srgbClr val="76C490"/>
            </a:solidFill>
            <a:ln w="28575">
              <a:noFill/>
              <a:prstDash val="solid"/>
            </a:ln>
          </c:spPr>
          <c:val>
            <c:numRef>
              <c:f>'Residual Income'!$Z$40:$AS$40</c:f>
              <c:numCache>
                <c:formatCode>#,##0.0_);\(#,##0.0\)</c:formatCode>
                <c:ptCount val="20"/>
                <c:pt idx="0">
                  <c:v>-3.9729534116686991</c:v>
                </c:pt>
                <c:pt idx="1">
                  <c:v>9.1766770785685452</c:v>
                </c:pt>
                <c:pt idx="2">
                  <c:v>10.116871940160143</c:v>
                </c:pt>
                <c:pt idx="3">
                  <c:v>11.241047622492555</c:v>
                </c:pt>
                <c:pt idx="4">
                  <c:v>11.750091251274439</c:v>
                </c:pt>
                <c:pt idx="5">
                  <c:v>11.714101344836132</c:v>
                </c:pt>
                <c:pt idx="6">
                  <c:v>11.628816640368033</c:v>
                </c:pt>
                <c:pt idx="7">
                  <c:v>11.498379600260842</c:v>
                </c:pt>
                <c:pt idx="8">
                  <c:v>11.456179136421067</c:v>
                </c:pt>
                <c:pt idx="9">
                  <c:v>11.423586696017265</c:v>
                </c:pt>
                <c:pt idx="10">
                  <c:v>11.388896173049405</c:v>
                </c:pt>
                <c:pt idx="11">
                  <c:v>11.357638452575701</c:v>
                </c:pt>
                <c:pt idx="12">
                  <c:v>11.329476117438812</c:v>
                </c:pt>
                <c:pt idx="13">
                  <c:v>11.304104653101739</c:v>
                </c:pt>
                <c:pt idx="14">
                  <c:v>11.281249269201316</c:v>
                </c:pt>
                <c:pt idx="15">
                  <c:v>11.260662024768683</c:v>
                </c:pt>
                <c:pt idx="16">
                  <c:v>11.242119228478389</c:v>
                </c:pt>
                <c:pt idx="17">
                  <c:v>11.22541908794804</c:v>
                </c:pt>
                <c:pt idx="18">
                  <c:v>11.210379584527855</c:v>
                </c:pt>
                <c:pt idx="19">
                  <c:v>11.19683655221581</c:v>
                </c:pt>
              </c:numCache>
            </c:numRef>
          </c:val>
        </c:ser>
        <c:dLbls>
          <c:showLegendKey val="0"/>
          <c:showVal val="0"/>
          <c:showCatName val="0"/>
          <c:showSerName val="0"/>
          <c:showPercent val="0"/>
          <c:showBubbleSize val="0"/>
        </c:dLbls>
        <c:axId val="907727616"/>
        <c:axId val="907729536"/>
      </c:areaChart>
      <c:lineChart>
        <c:grouping val="standard"/>
        <c:varyColors val="0"/>
        <c:ser>
          <c:idx val="2"/>
          <c:order val="1"/>
          <c:spPr>
            <a:ln w="28575">
              <a:noFill/>
            </a:ln>
          </c:spPr>
          <c:marker>
            <c:symbol val="none"/>
          </c:marker>
          <c:errBars>
            <c:errDir val="y"/>
            <c:errBarType val="both"/>
            <c:errValType val="fixedVal"/>
            <c:noEndCap val="1"/>
            <c:val val="20000"/>
            <c:spPr>
              <a:ln w="12700">
                <a:solidFill>
                  <a:srgbClr val="000000"/>
                </a:solidFill>
                <a:prstDash val="solid"/>
              </a:ln>
            </c:spPr>
          </c:errBars>
          <c:val>
            <c:numLit>
              <c:formatCode>General</c:formatCode>
              <c:ptCount val="1"/>
              <c:pt idx="0">
                <c:v>0</c:v>
              </c:pt>
            </c:numLit>
          </c:val>
          <c:smooth val="0"/>
        </c:ser>
        <c:dLbls>
          <c:showLegendKey val="0"/>
          <c:showVal val="0"/>
          <c:showCatName val="0"/>
          <c:showSerName val="0"/>
          <c:showPercent val="0"/>
          <c:showBubbleSize val="0"/>
        </c:dLbls>
        <c:marker val="1"/>
        <c:smooth val="0"/>
        <c:axId val="907727616"/>
        <c:axId val="907729536"/>
      </c:lineChart>
      <c:catAx>
        <c:axId val="907727616"/>
        <c:scaling>
          <c:orientation val="minMax"/>
        </c:scaling>
        <c:delete val="0"/>
        <c:axPos val="b"/>
        <c:title>
          <c:tx>
            <c:rich>
              <a:bodyPr/>
              <a:lstStyle/>
              <a:p>
                <a:pPr>
                  <a:defRPr sz="800" b="0" i="0" u="none" strike="noStrike" baseline="0">
                    <a:solidFill>
                      <a:srgbClr val="000000"/>
                    </a:solidFill>
                    <a:latin typeface="Arial"/>
                    <a:ea typeface="Arial"/>
                    <a:cs typeface="Arial"/>
                  </a:defRPr>
                </a:pPr>
                <a:r>
                  <a:rPr lang="en-US"/>
                  <a:t>Years</a:t>
                </a:r>
              </a:p>
            </c:rich>
          </c:tx>
          <c:layout>
            <c:manualLayout>
              <c:xMode val="edge"/>
              <c:yMode val="edge"/>
              <c:x val="0.45501285347043702"/>
              <c:y val="0.9298582237889719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907729536"/>
        <c:crosses val="autoZero"/>
        <c:auto val="1"/>
        <c:lblAlgn val="ctr"/>
        <c:lblOffset val="100"/>
        <c:tickLblSkip val="1"/>
        <c:tickMarkSkip val="1"/>
        <c:noMultiLvlLbl val="0"/>
      </c:catAx>
      <c:valAx>
        <c:axId val="907729536"/>
        <c:scaling>
          <c:orientation val="minMax"/>
          <c:max val="15"/>
          <c:min val="0"/>
        </c:scaling>
        <c:delete val="0"/>
        <c:axPos val="l"/>
        <c:numFmt formatCode="_(* #,##0_);_(* \(#,##0\);_(* &quot;-&quot;_);_(@_)"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907727616"/>
        <c:crosses val="autoZero"/>
        <c:crossBetween val="midCat"/>
      </c:valAx>
      <c:spPr>
        <a:noFill/>
        <a:ln w="3175">
          <a:solidFill>
            <a:srgbClr val="000000"/>
          </a:solidFill>
          <a:prstDash val="solid"/>
        </a:ln>
      </c:spPr>
    </c:plotArea>
    <c:plotVisOnly val="1"/>
    <c:dispBlanksAs val="gap"/>
    <c:showDLblsOverMax val="0"/>
  </c:chart>
  <c:spPr>
    <a:solidFill>
      <a:srgbClr val="FFFFFF"/>
    </a:solidFill>
    <a:ln w="9525">
      <a:noFill/>
    </a:ln>
  </c:spPr>
  <c:txPr>
    <a:bodyPr/>
    <a:lstStyle/>
    <a:p>
      <a:pPr>
        <a:defRPr sz="8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portrait"/>
  </c:printSettings>
</c:chartSpace>
</file>

<file path=xl/drawings/_rels/drawing1.xml.rels><?xml version="1.0" encoding="UTF-8" standalone="yes"?>
<Relationships xmlns="http://schemas.openxmlformats.org/package/2006/relationships">
<Relationship Id="rId1" Target="../media/image1.png" Type="http://schemas.openxmlformats.org/officeDocument/2006/relationships/image"/>
<Relationship Id="rId2" Target="../media/image2.jpeg" Type="http://schemas.openxmlformats.org/officeDocument/2006/relationships/image"/>
<Relationship Id="rId3" Target="../media/image3.gif" Type="http://schemas.openxmlformats.org/officeDocument/2006/relationships/image"/>
</Relationships>

</file>

<file path=xl/drawings/_rels/drawing2.xml.rels><?xml version="1.0" encoding="UTF-8" standalone="yes"?>
<Relationships xmlns="http://schemas.openxmlformats.org/package/2006/relationships">
<Relationship Id="rId1" Target="../charts/chart1.xml" Type="http://schemas.openxmlformats.org/officeDocument/2006/relationships/chart"/>
<Relationship Id="rId2" Target="../charts/chart2.xml" Type="http://schemas.openxmlformats.org/officeDocument/2006/relationships/chart"/>
</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28575</xdr:rowOff>
    </xdr:from>
    <xdr:to>
      <xdr:col>1</xdr:col>
      <xdr:colOff>104775</xdr:colOff>
      <xdr:row>0</xdr:row>
      <xdr:rowOff>323850</xdr:rowOff>
    </xdr:to>
    <xdr:pic>
      <xdr:nvPicPr>
        <xdr:cNvPr id="2" name="Picture 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050" y="28575"/>
          <a:ext cx="156210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19050</xdr:colOff>
      <xdr:row>0</xdr:row>
      <xdr:rowOff>95250</xdr:rowOff>
    </xdr:from>
    <xdr:to>
      <xdr:col>2</xdr:col>
      <xdr:colOff>228600</xdr:colOff>
      <xdr:row>0</xdr:row>
      <xdr:rowOff>314325</xdr:rowOff>
    </xdr:to>
    <xdr:pic>
      <xdr:nvPicPr>
        <xdr:cNvPr id="3" name="Picture 6" descr="MSMS_logo_3" hidden="1"/>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050" y="95250"/>
          <a:ext cx="2219325" cy="219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183</xdr:row>
      <xdr:rowOff>0</xdr:rowOff>
    </xdr:from>
    <xdr:to>
      <xdr:col>9</xdr:col>
      <xdr:colOff>114300</xdr:colOff>
      <xdr:row>206</xdr:row>
      <xdr:rowOff>104775</xdr:rowOff>
    </xdr:to>
    <xdr:pic>
      <xdr:nvPicPr>
        <xdr:cNvPr id="299009" name="Picture 1" descr="C:\Users\gosamana\AppData\Local\Temp\MercuryPriceRatingHistoryChart\C.N_2018_04_15_18_34_58.gif"/>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28584525"/>
          <a:ext cx="6400800" cy="382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8</xdr:col>
      <xdr:colOff>66675</xdr:colOff>
      <xdr:row>7</xdr:row>
      <xdr:rowOff>9525</xdr:rowOff>
    </xdr:from>
    <xdr:to>
      <xdr:col>15</xdr:col>
      <xdr:colOff>85725</xdr:colOff>
      <xdr:row>21</xdr:row>
      <xdr:rowOff>114300</xdr:rowOff>
    </xdr:to>
    <xdr:graphicFrame macro="">
      <xdr:nvGraphicFramePr>
        <xdr:cNvPr id="2" name="Chart 1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390525</xdr:colOff>
      <xdr:row>39</xdr:row>
      <xdr:rowOff>9525</xdr:rowOff>
    </xdr:from>
    <xdr:to>
      <xdr:col>19</xdr:col>
      <xdr:colOff>38100</xdr:colOff>
      <xdr:row>39</xdr:row>
      <xdr:rowOff>9525</xdr:rowOff>
    </xdr:to>
    <xdr:sp macro="" textlink="">
      <xdr:nvSpPr>
        <xdr:cNvPr id="3" name="Line 2"/>
        <xdr:cNvSpPr>
          <a:spLocks noChangeShapeType="1"/>
        </xdr:cNvSpPr>
      </xdr:nvSpPr>
      <xdr:spPr bwMode="auto">
        <a:xfrm>
          <a:off x="7924800" y="6810375"/>
          <a:ext cx="37147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20</xdr:col>
      <xdr:colOff>180975</xdr:colOff>
      <xdr:row>39</xdr:row>
      <xdr:rowOff>9525</xdr:rowOff>
    </xdr:from>
    <xdr:to>
      <xdr:col>20</xdr:col>
      <xdr:colOff>552450</xdr:colOff>
      <xdr:row>39</xdr:row>
      <xdr:rowOff>9525</xdr:rowOff>
    </xdr:to>
    <xdr:sp macro="" textlink="">
      <xdr:nvSpPr>
        <xdr:cNvPr id="4" name="Line 3"/>
        <xdr:cNvSpPr>
          <a:spLocks noChangeShapeType="1"/>
        </xdr:cNvSpPr>
      </xdr:nvSpPr>
      <xdr:spPr bwMode="auto">
        <a:xfrm>
          <a:off x="8886825" y="6810375"/>
          <a:ext cx="37147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8</xdr:col>
      <xdr:colOff>66675</xdr:colOff>
      <xdr:row>34</xdr:row>
      <xdr:rowOff>76200</xdr:rowOff>
    </xdr:from>
    <xdr:to>
      <xdr:col>16</xdr:col>
      <xdr:colOff>0</xdr:colOff>
      <xdr:row>49</xdr:row>
      <xdr:rowOff>66675</xdr:rowOff>
    </xdr:to>
    <xdr:graphicFrame macro="">
      <xdr:nvGraphicFramePr>
        <xdr:cNvPr id="5" name="Chart 4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
<Relationship Id="rId1" Target="c1" TargetMode="External" Type="http://schemas.microsoft.com/office/2006/relationships/xlExternalLinkPath/xlPathMissing"/>
</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1"/>
      <sheetName val="Sheet1"/>
      <sheetName val="Scenario"/>
      <sheetName val="GWP"/>
      <sheetName val="ImportantDisclosures"/>
      <sheetName val="IndexInformation"/>
      <sheetName val="Income"/>
      <sheetName val="Euro vs. PM"/>
      <sheetName val="Ruble"/>
      <sheetName val="MS_IRI_Methodology"/>
      <sheetName val="MARKET_SHARE ($)_RAW_DATA"/>
      <sheetName val="NEXXUS_RAW_DATA"/>
      <sheetName val="HAIR_CARE_MARKET SHARE ROLL-UP"/>
      <sheetName val="TOTAL_ACV_DOLLAR_SALES"/>
      <sheetName val="Income Statement"/>
      <sheetName val="Margins"/>
      <sheetName val="Comps"/>
      <sheetName val="Switches"/>
      <sheetName val="EBITDA"/>
      <sheetName val="SSB Nielsen Sales"/>
      <sheetName val="TimeSeries"/>
      <sheetName val="Valuation Analyzer"/>
      <sheetName val="GWP-WLine"/>
      <sheetName val="TS_Stnd_Dev_Band"/>
      <sheetName val="Print "/>
      <sheetName val="Lookup"/>
      <sheetName val="Input"/>
      <sheetName val="99 cons YTD"/>
      <sheetName val="KPN"/>
      <sheetName val="summary"/>
      <sheetName val="B"/>
      <sheetName val="Ratios"/>
      <sheetName val="C"/>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
<Relationship Id="rId1" Target="../printerSettings/printerSettings1.bin" Type="http://schemas.openxmlformats.org/officeDocument/2006/relationships/printerSettings"/>
<Relationship Id="rId2" Target="../drawings/drawing1.xml" Type="http://schemas.openxmlformats.org/officeDocument/2006/relationships/drawing"/>
</Relationships>

</file>

<file path=xl/worksheets/_rels/sheet2.xml.rels><?xml version="1.0" encoding="UTF-8" standalone="yes"?>
<Relationships xmlns="http://schemas.openxmlformats.org/package/2006/relationships">
<Relationship Id="rId1" Target="../printerSettings/printerSettings2.bin" Type="http://schemas.openxmlformats.org/officeDocument/2006/relationships/printerSettings"/>
<Relationship Id="rId2" Target="../drawings/vmlDrawing1.vml" Type="http://schemas.openxmlformats.org/officeDocument/2006/relationships/vmlDrawing"/>
<Relationship Id="rId3" Target="../comments1.xml" Type="http://schemas.openxmlformats.org/officeDocument/2006/relationships/comments"/>
</Relationships>

</file>

<file path=xl/worksheets/_rels/sheet3.xml.rels><?xml version="1.0" encoding="UTF-8" standalone="yes"?>
<Relationships xmlns="http://schemas.openxmlformats.org/package/2006/relationships">
<Relationship Id="rId1" Target="../printerSettings/printerSettings3.bin" Type="http://schemas.openxmlformats.org/officeDocument/2006/relationships/printerSettings"/>
<Relationship Id="rId2" Target="../drawings/vmlDrawing2.vml" Type="http://schemas.openxmlformats.org/officeDocument/2006/relationships/vmlDrawing"/>
<Relationship Id="rId3" Target="../comments2.xml" Type="http://schemas.openxmlformats.org/officeDocument/2006/relationships/comments"/>
</Relationships>

</file>

<file path=xl/worksheets/_rels/sheet4.xml.rels><?xml version="1.0" encoding="UTF-8" standalone="yes"?>
<Relationships xmlns="http://schemas.openxmlformats.org/package/2006/relationships">
<Relationship Id="rId1" Target="../printerSettings/printerSettings4.bin" Type="http://schemas.openxmlformats.org/officeDocument/2006/relationships/printerSettings"/>
</Relationships>

</file>

<file path=xl/worksheets/_rels/sheet5.xml.rels><?xml version="1.0" encoding="UTF-8" standalone="yes"?>
<Relationships xmlns="http://schemas.openxmlformats.org/package/2006/relationships">
<Relationship Id="rId1" Target="../printerSettings/printerSettings5.bin" Type="http://schemas.openxmlformats.org/officeDocument/2006/relationships/printerSettings"/>
<Relationship Id="rId2" Target="../drawings/vmlDrawing3.vml" Type="http://schemas.openxmlformats.org/officeDocument/2006/relationships/vmlDrawing"/>
<Relationship Id="rId3" Target="../comments3.xml" Type="http://schemas.openxmlformats.org/officeDocument/2006/relationships/comments"/>
</Relationships>

</file>

<file path=xl/worksheets/_rels/sheet6.xml.rels><?xml version="1.0" encoding="UTF-8" standalone="yes"?>
<Relationships xmlns="http://schemas.openxmlformats.org/package/2006/relationships">
<Relationship Id="rId1" Target="../printerSettings/printerSettings6.bin" Type="http://schemas.openxmlformats.org/officeDocument/2006/relationships/printerSettings"/>
</Relationships>

</file>

<file path=xl/worksheets/_rels/sheet7.xml.rels><?xml version="1.0" encoding="UTF-8" standalone="yes"?>
<Relationships xmlns="http://schemas.openxmlformats.org/package/2006/relationships">
<Relationship Id="rId1" Target="../printerSettings/printerSettings7.bin" Type="http://schemas.openxmlformats.org/officeDocument/2006/relationships/printerSettings"/>
<Relationship Id="rId2" Target="../drawings/vmlDrawing4.vml" Type="http://schemas.openxmlformats.org/officeDocument/2006/relationships/vmlDrawing"/>
<Relationship Id="rId3" Target="../comments4.xml" Type="http://schemas.openxmlformats.org/officeDocument/2006/relationships/comments"/>
</Relationships>

</file>

<file path=xl/worksheets/_rels/sheet8.xml.rels><?xml version="1.0" encoding="UTF-8" standalone="yes"?>
<Relationships xmlns="http://schemas.openxmlformats.org/package/2006/relationships">
<Relationship Id="rId1" Target="../printerSettings/printerSettings8.bin" Type="http://schemas.openxmlformats.org/officeDocument/2006/relationships/printerSettings"/>
</Relationships>

</file>

<file path=xl/worksheets/_rels/sheet9.xml.rels><?xml version="1.0" encoding="UTF-8" standalone="yes"?>
<Relationships xmlns="http://schemas.openxmlformats.org/package/2006/relationships">
<Relationship Id="rId1" Target="../printerSettings/printerSettings9.bin" Type="http://schemas.openxmlformats.org/officeDocument/2006/relationships/printerSettings"/>
<Relationship Id="rId2" Target="../drawings/vmlDrawing5.vml" Type="http://schemas.openxmlformats.org/officeDocument/2006/relationships/vmlDrawing"/>
<Relationship Id="rId3" Target="../comments5.xml" Type="http://schemas.openxmlformats.org/officeDocument/2006/relationships/comments"/>
</Relationships>

</file>

<file path=xl/worksheets/_rels/sheet10.xml.rels><?xml version="1.0" encoding="UTF-8" standalone="yes"?>
<Relationships xmlns="http://schemas.openxmlformats.org/package/2006/relationships">
<Relationship Id="rId1" Target="../printerSettings/printerSettings10.bin" Type="http://schemas.openxmlformats.org/officeDocument/2006/relationships/printerSettings"/>
<Relationship Id="rId2" Target="../drawings/vmlDrawing6.vml" Type="http://schemas.openxmlformats.org/officeDocument/2006/relationships/vmlDrawing"/>
<Relationship Id="rId3" Target="../comments6.xml" Type="http://schemas.openxmlformats.org/officeDocument/2006/relationships/comments"/>
</Relationships>

</file>

<file path=xl/worksheets/_rels/sheet11.xml.rels><?xml version="1.0" encoding="UTF-8" standalone="yes"?>
<Relationships xmlns="http://schemas.openxmlformats.org/package/2006/relationships">
<Relationship Id="rId1" Target="../printerSettings/printerSettings11.bin" Type="http://schemas.openxmlformats.org/officeDocument/2006/relationships/printerSettings"/>
</Relationships>

</file>

<file path=xl/worksheets/_rels/sheet12.xml.rels><?xml version="1.0" encoding="UTF-8" standalone="yes"?>
<Relationships xmlns="http://schemas.openxmlformats.org/package/2006/relationships">
<Relationship Id="rId1" Target="../printerSettings/printerSettings12.bin" Type="http://schemas.openxmlformats.org/officeDocument/2006/relationships/printerSettings"/>
<Relationship Id="rId2" Target="../drawings/vmlDrawing7.vml" Type="http://schemas.openxmlformats.org/officeDocument/2006/relationships/vmlDrawing"/>
<Relationship Id="rId3" Target="../comments7.xml" Type="http://schemas.openxmlformats.org/officeDocument/2006/relationships/comments"/>
</Relationships>

</file>

<file path=xl/worksheets/_rels/sheet13.xml.rels><?xml version="1.0" encoding="UTF-8" standalone="yes"?>
<Relationships xmlns="http://schemas.openxmlformats.org/package/2006/relationships">
<Relationship Id="rId1" Target="../printerSettings/printerSettings13.bin" Type="http://schemas.openxmlformats.org/officeDocument/2006/relationships/printerSettings"/>
<Relationship Id="rId2" Target="../drawings/drawing2.xml" Type="http://schemas.openxmlformats.org/officeDocument/2006/relationships/drawing"/>
</Relationships>

</file>

<file path=xl/worksheets/_rels/sheet14.xml.rels><?xml version="1.0" encoding="UTF-8" standalone="yes"?>
<Relationships xmlns="http://schemas.openxmlformats.org/package/2006/relationships">
<Relationship Id="rId1" Target="../printerSettings/printerSettings14.bin" Type="http://schemas.openxmlformats.org/officeDocument/2006/relationships/printerSettings"/>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400"/>
  <sheetViews>
    <sheetView showGridLines="0" tabSelected="1" workbookViewId="0">
      <selection activeCell="Z1" sqref="Z1"/>
    </sheetView>
  </sheetViews>
  <sheetFormatPr defaultRowHeight="12.75" x14ac:dyDescent="0.2"/>
  <cols>
    <col min="1" max="1" width="25.83203125" style="1799" customWidth="1"/>
    <col min="2" max="5" width="9.33203125" style="1799"/>
    <col min="6" max="6" width="18.83203125" style="1799" customWidth="1"/>
    <col min="7" max="256" width="9.33203125" style="1799"/>
    <col min="257" max="257" width="117.5" style="1799" customWidth="1"/>
    <col min="258" max="512" width="9.33203125" style="1799"/>
    <col min="513" max="513" width="117.5" style="1799" customWidth="1"/>
    <col min="514" max="768" width="9.33203125" style="1799"/>
    <col min="769" max="769" width="117.5" style="1799" customWidth="1"/>
    <col min="770" max="1024" width="9.33203125" style="1799"/>
    <col min="1025" max="1025" width="117.5" style="1799" customWidth="1"/>
    <col min="1026" max="1280" width="9.33203125" style="1799"/>
    <col min="1281" max="1281" width="117.5" style="1799" customWidth="1"/>
    <col min="1282" max="1536" width="9.33203125" style="1799"/>
    <col min="1537" max="1537" width="117.5" style="1799" customWidth="1"/>
    <col min="1538" max="1792" width="9.33203125" style="1799"/>
    <col min="1793" max="1793" width="117.5" style="1799" customWidth="1"/>
    <col min="1794" max="2048" width="9.33203125" style="1799"/>
    <col min="2049" max="2049" width="117.5" style="1799" customWidth="1"/>
    <col min="2050" max="2304" width="9.33203125" style="1799"/>
    <col min="2305" max="2305" width="117.5" style="1799" customWidth="1"/>
    <col min="2306" max="2560" width="9.33203125" style="1799"/>
    <col min="2561" max="2561" width="117.5" style="1799" customWidth="1"/>
    <col min="2562" max="2816" width="9.33203125" style="1799"/>
    <col min="2817" max="2817" width="117.5" style="1799" customWidth="1"/>
    <col min="2818" max="3072" width="9.33203125" style="1799"/>
    <col min="3073" max="3073" width="117.5" style="1799" customWidth="1"/>
    <col min="3074" max="3328" width="9.33203125" style="1799"/>
    <col min="3329" max="3329" width="117.5" style="1799" customWidth="1"/>
    <col min="3330" max="3584" width="9.33203125" style="1799"/>
    <col min="3585" max="3585" width="117.5" style="1799" customWidth="1"/>
    <col min="3586" max="3840" width="9.33203125" style="1799"/>
    <col min="3841" max="3841" width="117.5" style="1799" customWidth="1"/>
    <col min="3842" max="4096" width="9.33203125" style="1799"/>
    <col min="4097" max="4097" width="117.5" style="1799" customWidth="1"/>
    <col min="4098" max="4352" width="9.33203125" style="1799"/>
    <col min="4353" max="4353" width="117.5" style="1799" customWidth="1"/>
    <col min="4354" max="4608" width="9.33203125" style="1799"/>
    <col min="4609" max="4609" width="117.5" style="1799" customWidth="1"/>
    <col min="4610" max="4864" width="9.33203125" style="1799"/>
    <col min="4865" max="4865" width="117.5" style="1799" customWidth="1"/>
    <col min="4866" max="5120" width="9.33203125" style="1799"/>
    <col min="5121" max="5121" width="117.5" style="1799" customWidth="1"/>
    <col min="5122" max="5376" width="9.33203125" style="1799"/>
    <col min="5377" max="5377" width="117.5" style="1799" customWidth="1"/>
    <col min="5378" max="5632" width="9.33203125" style="1799"/>
    <col min="5633" max="5633" width="117.5" style="1799" customWidth="1"/>
    <col min="5634" max="5888" width="9.33203125" style="1799"/>
    <col min="5889" max="5889" width="117.5" style="1799" customWidth="1"/>
    <col min="5890" max="6144" width="9.33203125" style="1799"/>
    <col min="6145" max="6145" width="117.5" style="1799" customWidth="1"/>
    <col min="6146" max="6400" width="9.33203125" style="1799"/>
    <col min="6401" max="6401" width="117.5" style="1799" customWidth="1"/>
    <col min="6402" max="6656" width="9.33203125" style="1799"/>
    <col min="6657" max="6657" width="117.5" style="1799" customWidth="1"/>
    <col min="6658" max="6912" width="9.33203125" style="1799"/>
    <col min="6913" max="6913" width="117.5" style="1799" customWidth="1"/>
    <col min="6914" max="7168" width="9.33203125" style="1799"/>
    <col min="7169" max="7169" width="117.5" style="1799" customWidth="1"/>
    <col min="7170" max="7424" width="9.33203125" style="1799"/>
    <col min="7425" max="7425" width="117.5" style="1799" customWidth="1"/>
    <col min="7426" max="7680" width="9.33203125" style="1799"/>
    <col min="7681" max="7681" width="117.5" style="1799" customWidth="1"/>
    <col min="7682" max="7936" width="9.33203125" style="1799"/>
    <col min="7937" max="7937" width="117.5" style="1799" customWidth="1"/>
    <col min="7938" max="8192" width="9.33203125" style="1799"/>
    <col min="8193" max="8193" width="117.5" style="1799" customWidth="1"/>
    <col min="8194" max="8448" width="9.33203125" style="1799"/>
    <col min="8449" max="8449" width="117.5" style="1799" customWidth="1"/>
    <col min="8450" max="8704" width="9.33203125" style="1799"/>
    <col min="8705" max="8705" width="117.5" style="1799" customWidth="1"/>
    <col min="8706" max="8960" width="9.33203125" style="1799"/>
    <col min="8961" max="8961" width="117.5" style="1799" customWidth="1"/>
    <col min="8962" max="9216" width="9.33203125" style="1799"/>
    <col min="9217" max="9217" width="117.5" style="1799" customWidth="1"/>
    <col min="9218" max="9472" width="9.33203125" style="1799"/>
    <col min="9473" max="9473" width="117.5" style="1799" customWidth="1"/>
    <col min="9474" max="9728" width="9.33203125" style="1799"/>
    <col min="9729" max="9729" width="117.5" style="1799" customWidth="1"/>
    <col min="9730" max="9984" width="9.33203125" style="1799"/>
    <col min="9985" max="9985" width="117.5" style="1799" customWidth="1"/>
    <col min="9986" max="10240" width="9.33203125" style="1799"/>
    <col min="10241" max="10241" width="117.5" style="1799" customWidth="1"/>
    <col min="10242" max="10496" width="9.33203125" style="1799"/>
    <col min="10497" max="10497" width="117.5" style="1799" customWidth="1"/>
    <col min="10498" max="10752" width="9.33203125" style="1799"/>
    <col min="10753" max="10753" width="117.5" style="1799" customWidth="1"/>
    <col min="10754" max="11008" width="9.33203125" style="1799"/>
    <col min="11009" max="11009" width="117.5" style="1799" customWidth="1"/>
    <col min="11010" max="11264" width="9.33203125" style="1799"/>
    <col min="11265" max="11265" width="117.5" style="1799" customWidth="1"/>
    <col min="11266" max="11520" width="9.33203125" style="1799"/>
    <col min="11521" max="11521" width="117.5" style="1799" customWidth="1"/>
    <col min="11522" max="11776" width="9.33203125" style="1799"/>
    <col min="11777" max="11777" width="117.5" style="1799" customWidth="1"/>
    <col min="11778" max="12032" width="9.33203125" style="1799"/>
    <col min="12033" max="12033" width="117.5" style="1799" customWidth="1"/>
    <col min="12034" max="12288" width="9.33203125" style="1799"/>
    <col min="12289" max="12289" width="117.5" style="1799" customWidth="1"/>
    <col min="12290" max="12544" width="9.33203125" style="1799"/>
    <col min="12545" max="12545" width="117.5" style="1799" customWidth="1"/>
    <col min="12546" max="12800" width="9.33203125" style="1799"/>
    <col min="12801" max="12801" width="117.5" style="1799" customWidth="1"/>
    <col min="12802" max="13056" width="9.33203125" style="1799"/>
    <col min="13057" max="13057" width="117.5" style="1799" customWidth="1"/>
    <col min="13058" max="13312" width="9.33203125" style="1799"/>
    <col min="13313" max="13313" width="117.5" style="1799" customWidth="1"/>
    <col min="13314" max="13568" width="9.33203125" style="1799"/>
    <col min="13569" max="13569" width="117.5" style="1799" customWidth="1"/>
    <col min="13570" max="13824" width="9.33203125" style="1799"/>
    <col min="13825" max="13825" width="117.5" style="1799" customWidth="1"/>
    <col min="13826" max="14080" width="9.33203125" style="1799"/>
    <col min="14081" max="14081" width="117.5" style="1799" customWidth="1"/>
    <col min="14082" max="14336" width="9.33203125" style="1799"/>
    <col min="14337" max="14337" width="117.5" style="1799" customWidth="1"/>
    <col min="14338" max="14592" width="9.33203125" style="1799"/>
    <col min="14593" max="14593" width="117.5" style="1799" customWidth="1"/>
    <col min="14594" max="14848" width="9.33203125" style="1799"/>
    <col min="14849" max="14849" width="117.5" style="1799" customWidth="1"/>
    <col min="14850" max="15104" width="9.33203125" style="1799"/>
    <col min="15105" max="15105" width="117.5" style="1799" customWidth="1"/>
    <col min="15106" max="15360" width="9.33203125" style="1799"/>
    <col min="15361" max="15361" width="117.5" style="1799" customWidth="1"/>
    <col min="15362" max="15616" width="9.33203125" style="1799"/>
    <col min="15617" max="15617" width="117.5" style="1799" customWidth="1"/>
    <col min="15618" max="15872" width="9.33203125" style="1799"/>
    <col min="15873" max="15873" width="117.5" style="1799" customWidth="1"/>
    <col min="15874" max="16128" width="9.33203125" style="1799"/>
    <col min="16129" max="16129" width="117.5" style="1799" customWidth="1"/>
    <col min="16130" max="16384" width="9.33203125" style="1799"/>
  </cols>
  <sheetData>
    <row r="1" spans="1:8" ht="30" customHeight="1" x14ac:dyDescent="0.2">
      <c r="A1" s="1797"/>
      <c r="B1" s="1798"/>
      <c r="C1" s="1798"/>
      <c r="D1" s="1798"/>
      <c r="E1" s="1798"/>
      <c r="F1" s="1798"/>
      <c r="G1" s="1798"/>
      <c r="H1" s="1798"/>
    </row>
    <row r="2" spans="1:8" ht="14.25" x14ac:dyDescent="0.2">
      <c r="A2" s="1800" t="s">
        <v>1444</v>
      </c>
      <c r="B2" s="1798"/>
      <c r="C2" s="1798"/>
      <c r="D2" s="1798"/>
      <c r="E2" s="1798"/>
      <c r="F2" s="1798"/>
      <c r="G2" s="1798"/>
      <c r="H2" s="1798"/>
    </row>
    <row r="3" spans="1:8" ht="14.25" x14ac:dyDescent="0.2">
      <c r="A3" s="1800" t="s">
        <v>1445</v>
      </c>
      <c r="B3" s="1798"/>
      <c r="C3" s="1798"/>
      <c r="D3" s="1798"/>
      <c r="E3" s="1798"/>
      <c r="F3" s="1798"/>
      <c r="G3" s="1798"/>
      <c r="H3" s="1798"/>
    </row>
    <row r="4" spans="1:8" ht="14.25" x14ac:dyDescent="0.2">
      <c r="A4" s="1800" t="s">
        <v>1446</v>
      </c>
      <c r="B4" s="1798"/>
      <c r="C4" s="1798"/>
      <c r="D4" s="1798"/>
      <c r="E4" s="1798"/>
      <c r="F4" s="1798"/>
      <c r="G4" s="1798"/>
      <c r="H4" s="1798"/>
    </row>
    <row r="5" spans="1:8" ht="14.25" x14ac:dyDescent="0.2">
      <c r="A5" s="1800" t="s">
        <v>1447</v>
      </c>
      <c r="B5" s="1798"/>
      <c r="C5" s="1798"/>
      <c r="D5" s="1798"/>
      <c r="E5" s="1798"/>
      <c r="F5" s="1798"/>
      <c r="G5" s="1798"/>
      <c r="H5" s="1798"/>
    </row>
    <row r="6" spans="1:8" ht="14.25" x14ac:dyDescent="0.2">
      <c r="A6" s="1800"/>
      <c r="B6" s="1798"/>
      <c r="C6" s="1798"/>
      <c r="D6" s="1798"/>
      <c r="E6" s="1798"/>
      <c r="F6" s="1798"/>
      <c r="G6" s="1798"/>
      <c r="H6" s="1798"/>
    </row>
    <row r="7" spans="1:8" x14ac:dyDescent="0.2">
      <c r="A7" s="1797" t="s">
        <v>1448</v>
      </c>
      <c r="B7" s="1798"/>
      <c r="C7" s="1798"/>
      <c r="D7" s="1798"/>
      <c r="E7" s="1798"/>
      <c r="F7" s="1798"/>
      <c r="G7" s="1798"/>
      <c r="H7" s="1798"/>
    </row>
    <row r="8" spans="1:8" x14ac:dyDescent="0.2">
      <c r="A8" s="1797" t="s">
        <v>1449</v>
      </c>
      <c r="B8" s="1798"/>
      <c r="C8" s="1798"/>
      <c r="D8" s="1798"/>
      <c r="E8" s="1798"/>
      <c r="F8" s="1798"/>
      <c r="G8" s="1798"/>
      <c r="H8" s="1798"/>
    </row>
    <row r="9" spans="1:8" x14ac:dyDescent="0.2">
      <c r="A9" s="1797"/>
      <c r="B9" s="1798"/>
      <c r="C9" s="1798"/>
      <c r="D9" s="1798"/>
      <c r="E9" s="1798"/>
      <c r="F9" s="1798"/>
      <c r="G9" s="1798"/>
      <c r="H9" s="1798"/>
    </row>
    <row r="10" spans="1:8" x14ac:dyDescent="0.2">
      <c r="A10" s="1801" t="s">
        <v>1450</v>
      </c>
      <c r="B10" s="1798"/>
      <c r="C10" s="1798"/>
      <c r="D10" s="1798"/>
      <c r="E10" s="1798"/>
      <c r="F10" s="1798"/>
      <c r="G10" s="1798"/>
      <c r="H10" s="1798"/>
    </row>
    <row r="11" spans="1:8" x14ac:dyDescent="0.2">
      <c r="A11" s="1801" t="s">
        <v>1451</v>
      </c>
      <c r="B11" s="1798"/>
      <c r="C11" s="1798"/>
      <c r="D11" s="1798"/>
      <c r="E11" s="1798"/>
      <c r="F11" s="1798"/>
      <c r="G11" s="1798"/>
      <c r="H11" s="1798"/>
    </row>
    <row r="12" spans="1:8" x14ac:dyDescent="0.2">
      <c r="A12" s="1801" t="s">
        <v>1452</v>
      </c>
      <c r="B12" s="1798"/>
      <c r="C12" s="1798"/>
      <c r="D12" s="1798"/>
      <c r="E12" s="1798"/>
      <c r="F12" s="1798"/>
      <c r="G12" s="1798"/>
      <c r="H12" s="1798"/>
    </row>
    <row r="13" spans="1:8" x14ac:dyDescent="0.2">
      <c r="A13" s="1801" t="s">
        <v>1453</v>
      </c>
      <c r="B13" s="1798"/>
      <c r="C13" s="1798"/>
      <c r="D13" s="1798"/>
      <c r="E13" s="1798"/>
      <c r="F13" s="1798"/>
      <c r="G13" s="1798"/>
      <c r="H13" s="1798"/>
    </row>
    <row r="14" spans="1:8" x14ac:dyDescent="0.2">
      <c r="A14" s="1801" t="s">
        <v>1454</v>
      </c>
      <c r="B14" s="1798"/>
      <c r="C14" s="1798"/>
      <c r="D14" s="1798"/>
      <c r="E14" s="1798"/>
      <c r="F14" s="1798"/>
      <c r="G14" s="1798"/>
      <c r="H14" s="1798"/>
    </row>
    <row r="15" spans="1:8" x14ac:dyDescent="0.2">
      <c r="A15" s="1801" t="s">
        <v>1455</v>
      </c>
      <c r="B15" s="1798"/>
      <c r="C15" s="1798"/>
      <c r="D15" s="1798"/>
      <c r="E15" s="1798"/>
      <c r="F15" s="1798"/>
      <c r="G15" s="1798"/>
      <c r="H15" s="1798"/>
    </row>
    <row r="16" spans="1:8" x14ac:dyDescent="0.2">
      <c r="A16" s="1801"/>
      <c r="B16" s="1798"/>
      <c r="C16" s="1798"/>
      <c r="D16" s="1798"/>
      <c r="E16" s="1798"/>
      <c r="F16" s="1798"/>
      <c r="G16" s="1798"/>
      <c r="H16" s="1798"/>
    </row>
    <row r="17" spans="1:8" x14ac:dyDescent="0.2">
      <c r="A17" s="1801" t="s">
        <v>1441</v>
      </c>
      <c r="B17" s="1798"/>
      <c r="C17" s="1798"/>
      <c r="D17" s="1798"/>
      <c r="E17" s="1798"/>
      <c r="F17" s="1798"/>
      <c r="G17" s="1798"/>
      <c r="H17" s="1798"/>
    </row>
    <row r="18" spans="1:8" x14ac:dyDescent="0.2">
      <c r="A18" s="1801"/>
      <c r="B18" s="1798"/>
      <c r="C18" s="1798"/>
      <c r="D18" s="1798"/>
      <c r="E18" s="1798"/>
      <c r="F18" s="1798"/>
      <c r="G18" s="1798"/>
      <c r="H18" s="1798"/>
    </row>
    <row r="19" spans="1:8" x14ac:dyDescent="0.2">
      <c r="A19" s="1801" t="s">
        <v>1442</v>
      </c>
      <c r="B19" s="1798"/>
      <c r="C19" s="1798"/>
      <c r="D19" s="1798"/>
      <c r="E19" s="1798"/>
      <c r="F19" s="1798"/>
      <c r="G19" s="1798"/>
      <c r="H19" s="1798"/>
    </row>
    <row r="20" spans="1:8" x14ac:dyDescent="0.2">
      <c r="A20" s="1797"/>
      <c r="B20" s="1798"/>
      <c r="C20" s="1798"/>
      <c r="D20" s="1798"/>
      <c r="E20" s="1798"/>
      <c r="F20" s="1798"/>
      <c r="G20" s="1798"/>
      <c r="H20" s="1798"/>
    </row>
    <row r="21" spans="1:8" x14ac:dyDescent="0.2">
      <c r="A21" s="1802" t="s">
        <v>1443</v>
      </c>
      <c r="B21" s="1798"/>
      <c r="C21" s="1798"/>
      <c r="D21" s="1798"/>
      <c r="E21" s="1798"/>
      <c r="F21" s="1798"/>
      <c r="G21" s="1798"/>
      <c r="H21" s="1798"/>
    </row>
    <row r="22" spans="1:8" x14ac:dyDescent="0.2">
      <c r="A22" s="1803"/>
      <c r="B22" s="1803"/>
      <c r="C22" s="1803"/>
      <c r="D22" s="1803"/>
      <c r="E22" s="1803"/>
      <c r="F22" s="1803"/>
      <c r="G22" s="1803"/>
      <c r="H22" s="1803"/>
    </row>
    <row r="23" spans="1:8" x14ac:dyDescent="0.2">
      <c r="A23" s="1804" t="s">
        <v>1739</v>
      </c>
      <c r="B23" s="1803"/>
      <c r="C23" s="1803"/>
      <c r="D23" s="1803"/>
      <c r="E23" s="1803"/>
      <c r="F23" s="1803"/>
      <c r="G23" s="1803"/>
      <c r="H23" s="1803"/>
    </row>
    <row r="24" spans="1:8" x14ac:dyDescent="0.2">
      <c r="A24" s="1804" t="s">
        <v>1740</v>
      </c>
      <c r="B24" s="1803"/>
      <c r="C24" s="1803"/>
      <c r="D24" s="1803"/>
      <c r="E24" s="1803"/>
      <c r="F24" s="1803"/>
      <c r="G24" s="1803"/>
      <c r="H24" s="1803"/>
    </row>
    <row r="25" spans="1:8" x14ac:dyDescent="0.2">
      <c r="A25" s="1804" t="s">
        <v>1741</v>
      </c>
      <c r="B25" s="1803"/>
      <c r="C25" s="1803"/>
      <c r="D25" s="1803"/>
      <c r="E25" s="1803"/>
      <c r="F25" s="1803"/>
      <c r="G25" s="1803"/>
      <c r="H25" s="1803"/>
    </row>
    <row r="26" spans="1:8" x14ac:dyDescent="0.2">
      <c r="A26" s="1804" t="s">
        <v>1742</v>
      </c>
      <c r="B26" s="1803"/>
      <c r="C26" s="1803"/>
      <c r="D26" s="1803"/>
      <c r="E26" s="1803"/>
      <c r="F26" s="1803"/>
      <c r="G26" s="1803"/>
      <c r="H26" s="1803"/>
    </row>
    <row r="27" spans="1:8" x14ac:dyDescent="0.2">
      <c r="A27" s="1803"/>
      <c r="B27" s="1803"/>
      <c r="C27" s="1803"/>
      <c r="D27" s="1803"/>
      <c r="E27" s="1803"/>
      <c r="F27" s="1803"/>
      <c r="G27" s="1803"/>
      <c r="H27" s="1803"/>
    </row>
    <row r="28" spans="1:8" x14ac:dyDescent="0.2">
      <c r="A28" s="1803"/>
      <c r="B28" s="1803"/>
      <c r="C28" s="1803"/>
      <c r="D28" s="1803"/>
      <c r="E28" s="1803"/>
      <c r="F28" s="1803"/>
      <c r="G28" s="1803"/>
      <c r="H28" s="1803"/>
    </row>
    <row r="29" spans="1:8" x14ac:dyDescent="0.2">
      <c r="A29" s="1804" t="s">
        <v>1734</v>
      </c>
      <c r="B29" s="1803"/>
      <c r="C29" s="1803"/>
      <c r="D29" s="1803"/>
      <c r="E29" s="1803"/>
      <c r="F29" s="1803"/>
      <c r="G29" s="1803"/>
      <c r="H29" s="1803"/>
    </row>
    <row r="30" spans="1:8" x14ac:dyDescent="0.2">
      <c r="A30" s="1804" t="s">
        <v>1735</v>
      </c>
      <c r="B30" s="1803"/>
      <c r="C30" s="1803"/>
      <c r="D30" s="1803"/>
      <c r="E30" s="1803"/>
      <c r="F30" s="1803"/>
      <c r="G30" s="1803"/>
      <c r="H30" s="1803"/>
    </row>
    <row r="31" spans="1:8" x14ac:dyDescent="0.2">
      <c r="A31" s="1804" t="s">
        <v>1736</v>
      </c>
      <c r="B31" s="1803"/>
      <c r="C31" s="1803"/>
      <c r="D31" s="1803"/>
      <c r="E31" s="1803"/>
      <c r="F31" s="1803"/>
      <c r="G31" s="1803"/>
      <c r="H31" s="1803"/>
    </row>
    <row r="32" spans="1:8" x14ac:dyDescent="0.2">
      <c r="A32" s="1804" t="s">
        <v>1737</v>
      </c>
      <c r="B32" s="1803"/>
      <c r="C32" s="1803"/>
      <c r="D32" s="1803"/>
      <c r="E32" s="1803"/>
      <c r="F32" s="1803"/>
      <c r="G32" s="1803"/>
      <c r="H32" s="1803"/>
    </row>
    <row r="33" spans="1:8" x14ac:dyDescent="0.2">
      <c r="A33" s="1804" t="s">
        <v>1738</v>
      </c>
      <c r="B33" s="1803"/>
      <c r="C33" s="1803"/>
      <c r="D33" s="1803"/>
      <c r="E33" s="1803"/>
      <c r="F33" s="1803"/>
      <c r="G33" s="1803"/>
      <c r="H33" s="1803"/>
    </row>
    <row r="34" spans="1:8" x14ac:dyDescent="0.2">
      <c r="A34" s="1803"/>
      <c r="B34" s="1803"/>
      <c r="C34" s="1803"/>
      <c r="D34" s="1803"/>
      <c r="E34" s="1803"/>
      <c r="F34" s="1803"/>
      <c r="G34" s="1803"/>
      <c r="H34" s="1803"/>
    </row>
    <row r="35" spans="1:8" x14ac:dyDescent="0.2">
      <c r="A35" s="1804" t="s">
        <v>1730</v>
      </c>
      <c r="B35" s="1803"/>
      <c r="C35" s="1803"/>
      <c r="D35" s="1803"/>
      <c r="E35" s="1803"/>
      <c r="F35" s="1803"/>
      <c r="G35" s="1803"/>
      <c r="H35" s="1803"/>
    </row>
    <row r="36" spans="1:8" x14ac:dyDescent="0.2">
      <c r="A36" s="1804" t="s">
        <v>1731</v>
      </c>
      <c r="B36" s="1803"/>
      <c r="C36" s="1803"/>
      <c r="D36" s="1803"/>
      <c r="E36" s="1803"/>
      <c r="F36" s="1803"/>
      <c r="G36" s="1803"/>
      <c r="H36" s="1803"/>
    </row>
    <row r="37" spans="1:8" x14ac:dyDescent="0.2">
      <c r="A37" s="1804" t="s">
        <v>1732</v>
      </c>
      <c r="B37" s="1803"/>
      <c r="C37" s="1803"/>
      <c r="D37" s="1803"/>
      <c r="E37" s="1803"/>
      <c r="F37" s="1803"/>
      <c r="G37" s="1803"/>
      <c r="H37" s="1803"/>
    </row>
    <row r="38" spans="1:8" x14ac:dyDescent="0.2">
      <c r="A38" s="1804" t="s">
        <v>1733</v>
      </c>
      <c r="B38" s="1803"/>
      <c r="C38" s="1803"/>
      <c r="D38" s="1803"/>
      <c r="E38" s="1803"/>
      <c r="F38" s="1803"/>
      <c r="G38" s="1803"/>
      <c r="H38" s="1803"/>
    </row>
    <row r="39" spans="1:8" x14ac:dyDescent="0.2">
      <c r="A39" s="1803"/>
      <c r="B39" s="1803"/>
      <c r="C39" s="1803"/>
      <c r="D39" s="1803"/>
      <c r="E39" s="1803"/>
      <c r="F39" s="1803"/>
      <c r="G39" s="1803"/>
      <c r="H39" s="1803"/>
    </row>
    <row r="40" spans="1:8" x14ac:dyDescent="0.2">
      <c r="A40" s="1804" t="s">
        <v>1724</v>
      </c>
      <c r="B40" s="1803"/>
      <c r="C40" s="1803"/>
      <c r="D40" s="1803"/>
      <c r="E40" s="1803"/>
      <c r="F40" s="1803"/>
      <c r="G40" s="1803"/>
      <c r="H40" s="1803"/>
    </row>
    <row r="41" spans="1:8" x14ac:dyDescent="0.2">
      <c r="A41" s="1804" t="s">
        <v>1725</v>
      </c>
      <c r="B41" s="1803"/>
      <c r="C41" s="1803"/>
      <c r="D41" s="1803"/>
      <c r="E41" s="1803"/>
      <c r="F41" s="1803"/>
      <c r="G41" s="1803"/>
      <c r="H41" s="1803"/>
    </row>
    <row r="42" spans="1:8" x14ac:dyDescent="0.2">
      <c r="A42" s="1804" t="s">
        <v>1726</v>
      </c>
      <c r="B42" s="1803"/>
      <c r="C42" s="1803"/>
      <c r="D42" s="1803"/>
      <c r="E42" s="1803"/>
      <c r="F42" s="1803"/>
      <c r="G42" s="1803"/>
      <c r="H42" s="1803"/>
    </row>
    <row r="43" spans="1:8" x14ac:dyDescent="0.2">
      <c r="A43" s="1804" t="s">
        <v>1727</v>
      </c>
      <c r="B43" s="1803"/>
      <c r="C43" s="1803"/>
      <c r="D43" s="1803"/>
      <c r="E43" s="1803"/>
      <c r="F43" s="1803"/>
      <c r="G43" s="1803"/>
      <c r="H43" s="1803"/>
    </row>
    <row r="44" spans="1:8" x14ac:dyDescent="0.2">
      <c r="A44" s="1804" t="s">
        <v>1728</v>
      </c>
      <c r="B44" s="1803"/>
      <c r="C44" s="1803"/>
      <c r="D44" s="1803"/>
      <c r="E44" s="1803"/>
      <c r="F44" s="1803"/>
      <c r="G44" s="1803"/>
      <c r="H44" s="1803"/>
    </row>
    <row r="45" spans="1:8" x14ac:dyDescent="0.2">
      <c r="A45" s="1804" t="s">
        <v>1729</v>
      </c>
      <c r="B45" s="1803"/>
      <c r="C45" s="1803"/>
      <c r="D45" s="1803"/>
      <c r="E45" s="1803"/>
      <c r="F45" s="1803"/>
      <c r="G45" s="1803"/>
      <c r="H45" s="1803"/>
    </row>
    <row r="46" spans="1:8" x14ac:dyDescent="0.2">
      <c r="A46" s="1803"/>
      <c r="B46" s="1803"/>
      <c r="C46" s="1803"/>
      <c r="D46" s="1803"/>
      <c r="E46" s="1803"/>
      <c r="F46" s="1803"/>
      <c r="G46" s="1803"/>
      <c r="H46" s="1803"/>
    </row>
    <row r="47" spans="1:8" ht="15.75" x14ac:dyDescent="0.2">
      <c r="A47" s="1805" t="s">
        <v>1456</v>
      </c>
      <c r="B47" s="1803"/>
      <c r="C47" s="1803"/>
      <c r="D47" s="1803"/>
      <c r="E47" s="1803"/>
      <c r="F47" s="1803"/>
      <c r="G47" s="1803"/>
      <c r="H47" s="1803"/>
    </row>
    <row r="48" spans="1:8" x14ac:dyDescent="0.2">
      <c r="A48" s="1803"/>
      <c r="B48" s="1803"/>
      <c r="C48" s="1803"/>
      <c r="D48" s="1803"/>
      <c r="E48" s="1803"/>
      <c r="F48" s="1803"/>
      <c r="G48" s="1803"/>
      <c r="H48" s="1803"/>
    </row>
    <row r="49" spans="1:8" x14ac:dyDescent="0.2">
      <c r="A49" s="1804" t="s">
        <v>1720</v>
      </c>
      <c r="B49" s="1803"/>
      <c r="C49" s="1803"/>
      <c r="D49" s="1803"/>
      <c r="E49" s="1803"/>
      <c r="F49" s="1803"/>
      <c r="G49" s="1803"/>
      <c r="H49" s="1803"/>
    </row>
    <row r="50" spans="1:8" x14ac:dyDescent="0.2">
      <c r="A50" s="1804" t="s">
        <v>1721</v>
      </c>
      <c r="B50" s="1803"/>
      <c r="C50" s="1803"/>
      <c r="D50" s="1803"/>
      <c r="E50" s="1803"/>
      <c r="F50" s="1803"/>
      <c r="G50" s="1803"/>
      <c r="H50" s="1803"/>
    </row>
    <row r="51" spans="1:8" x14ac:dyDescent="0.2">
      <c r="A51" s="1804" t="s">
        <v>1722</v>
      </c>
      <c r="B51" s="1803"/>
      <c r="C51" s="1803"/>
      <c r="D51" s="1803"/>
      <c r="E51" s="1803"/>
      <c r="F51" s="1803"/>
      <c r="G51" s="1803"/>
      <c r="H51" s="1803"/>
    </row>
    <row r="52" spans="1:8" x14ac:dyDescent="0.2">
      <c r="A52" s="1804" t="s">
        <v>1723</v>
      </c>
      <c r="B52" s="1803"/>
      <c r="C52" s="1803"/>
      <c r="D52" s="1803"/>
      <c r="E52" s="1803"/>
      <c r="F52" s="1803"/>
      <c r="G52" s="1803"/>
      <c r="H52" s="1803"/>
    </row>
    <row r="53" spans="1:8" x14ac:dyDescent="0.2">
      <c r="A53" s="1803"/>
      <c r="B53" s="1803"/>
      <c r="C53" s="1803"/>
      <c r="D53" s="1803"/>
      <c r="E53" s="1803"/>
      <c r="F53" s="1803"/>
      <c r="G53" s="1803"/>
      <c r="H53" s="1803"/>
    </row>
    <row r="54" spans="1:8" x14ac:dyDescent="0.2">
      <c r="A54" s="1804" t="s">
        <v>1457</v>
      </c>
      <c r="B54" s="1803"/>
      <c r="C54" s="1803"/>
      <c r="D54" s="1803"/>
      <c r="E54" s="1803"/>
      <c r="F54" s="1803"/>
      <c r="G54" s="1803"/>
      <c r="H54" s="1803"/>
    </row>
    <row r="55" spans="1:8" x14ac:dyDescent="0.2">
      <c r="A55" s="1803"/>
      <c r="B55" s="1803"/>
      <c r="C55" s="1803"/>
      <c r="D55" s="1803"/>
      <c r="E55" s="1803"/>
      <c r="F55" s="1803"/>
      <c r="G55" s="1803"/>
      <c r="H55" s="1803"/>
    </row>
    <row r="56" spans="1:8" ht="15.75" x14ac:dyDescent="0.2">
      <c r="A56" s="1805" t="s">
        <v>1458</v>
      </c>
      <c r="B56" s="1803"/>
      <c r="C56" s="1803"/>
      <c r="D56" s="1803"/>
      <c r="E56" s="1803"/>
      <c r="F56" s="1803"/>
      <c r="G56" s="1803"/>
      <c r="H56" s="1803"/>
    </row>
    <row r="57" spans="1:8" x14ac:dyDescent="0.2">
      <c r="A57" s="1803"/>
      <c r="B57" s="1803"/>
      <c r="C57" s="1803"/>
      <c r="D57" s="1803"/>
      <c r="E57" s="1803"/>
      <c r="F57" s="1803"/>
      <c r="G57" s="1803"/>
      <c r="H57" s="1803"/>
    </row>
    <row r="58" spans="1:8" x14ac:dyDescent="0.2">
      <c r="A58" s="1804" t="s">
        <v>1718</v>
      </c>
      <c r="B58" s="1803"/>
      <c r="C58" s="1803"/>
      <c r="D58" s="1803"/>
      <c r="E58" s="1803"/>
      <c r="F58" s="1803"/>
      <c r="G58" s="1803"/>
      <c r="H58" s="1803"/>
    </row>
    <row r="59" spans="1:8" x14ac:dyDescent="0.2">
      <c r="A59" s="1804" t="s">
        <v>1719</v>
      </c>
      <c r="B59" s="1803"/>
      <c r="C59" s="1803"/>
      <c r="D59" s="1803"/>
      <c r="E59" s="1803"/>
      <c r="F59" s="1803"/>
      <c r="G59" s="1803"/>
      <c r="H59" s="1803"/>
    </row>
    <row r="60" spans="1:8" x14ac:dyDescent="0.2">
      <c r="A60" s="1803"/>
      <c r="B60" s="1803"/>
      <c r="C60" s="1803"/>
      <c r="D60" s="1803"/>
      <c r="E60" s="1803"/>
      <c r="F60" s="1803"/>
      <c r="G60" s="1803"/>
      <c r="H60" s="1803"/>
    </row>
    <row r="61" spans="1:8" ht="15.75" x14ac:dyDescent="0.2">
      <c r="A61" s="1805" t="s">
        <v>1459</v>
      </c>
      <c r="B61" s="1803"/>
      <c r="C61" s="1803"/>
      <c r="D61" s="1803"/>
      <c r="E61" s="1803"/>
      <c r="F61" s="1803"/>
      <c r="G61" s="1803"/>
      <c r="H61" s="1803"/>
    </row>
    <row r="62" spans="1:8" x14ac:dyDescent="0.2">
      <c r="A62" s="1803"/>
      <c r="B62" s="1803"/>
      <c r="C62" s="1803"/>
      <c r="D62" s="1803"/>
      <c r="E62" s="1803"/>
      <c r="F62" s="1803"/>
      <c r="G62" s="1803"/>
      <c r="H62" s="1803"/>
    </row>
    <row r="63" spans="1:8" x14ac:dyDescent="0.2">
      <c r="A63" s="1804" t="s">
        <v>1716</v>
      </c>
      <c r="B63" s="1803"/>
      <c r="C63" s="1803"/>
      <c r="D63" s="1803"/>
      <c r="E63" s="1803"/>
      <c r="F63" s="1803"/>
      <c r="G63" s="1803"/>
      <c r="H63" s="1803"/>
    </row>
    <row r="64" spans="1:8" x14ac:dyDescent="0.2">
      <c r="A64" s="1804" t="s">
        <v>1717</v>
      </c>
      <c r="B64" s="1803"/>
      <c r="C64" s="1803"/>
      <c r="D64" s="1803"/>
      <c r="E64" s="1803"/>
      <c r="F64" s="1803"/>
      <c r="G64" s="1803"/>
      <c r="H64" s="1803"/>
    </row>
    <row r="65" spans="1:8" x14ac:dyDescent="0.2">
      <c r="A65" s="1803"/>
      <c r="B65" s="1803"/>
      <c r="C65" s="1803"/>
      <c r="D65" s="1803"/>
      <c r="E65" s="1803"/>
      <c r="F65" s="1803"/>
      <c r="G65" s="1803"/>
      <c r="H65" s="1803"/>
    </row>
    <row r="66" spans="1:8" x14ac:dyDescent="0.2">
      <c r="A66" s="1804" t="s">
        <v>1714</v>
      </c>
      <c r="B66" s="1803"/>
      <c r="C66" s="1803"/>
      <c r="D66" s="1803"/>
      <c r="E66" s="1803"/>
      <c r="F66" s="1803"/>
      <c r="G66" s="1803"/>
      <c r="H66" s="1803"/>
    </row>
    <row r="67" spans="1:8" x14ac:dyDescent="0.2">
      <c r="A67" s="1804" t="s">
        <v>1715</v>
      </c>
      <c r="B67" s="1803"/>
      <c r="C67" s="1803"/>
      <c r="D67" s="1803"/>
      <c r="E67" s="1803"/>
      <c r="F67" s="1803"/>
      <c r="G67" s="1803"/>
      <c r="H67" s="1803"/>
    </row>
    <row r="68" spans="1:8" x14ac:dyDescent="0.2">
      <c r="A68" s="1803"/>
      <c r="B68" s="1803"/>
      <c r="C68" s="1803"/>
      <c r="D68" s="1803"/>
      <c r="E68" s="1803"/>
      <c r="F68" s="1803"/>
      <c r="G68" s="1803"/>
      <c r="H68" s="1803"/>
    </row>
    <row r="69" spans="1:8" x14ac:dyDescent="0.2">
      <c r="A69" s="1804" t="s">
        <v>1712</v>
      </c>
      <c r="B69" s="1803"/>
      <c r="C69" s="1803"/>
      <c r="D69" s="1803"/>
      <c r="E69" s="1803"/>
      <c r="F69" s="1803"/>
      <c r="G69" s="1803"/>
      <c r="H69" s="1803"/>
    </row>
    <row r="70" spans="1:8" x14ac:dyDescent="0.2">
      <c r="A70" s="1804" t="s">
        <v>1713</v>
      </c>
      <c r="B70" s="1803"/>
      <c r="C70" s="1803"/>
      <c r="D70" s="1803"/>
      <c r="E70" s="1803"/>
      <c r="F70" s="1803"/>
      <c r="G70" s="1803"/>
      <c r="H70" s="1803"/>
    </row>
    <row r="71" spans="1:8" x14ac:dyDescent="0.2">
      <c r="A71" s="1803"/>
      <c r="B71" s="1803"/>
      <c r="C71" s="1803"/>
      <c r="D71" s="1803"/>
      <c r="E71" s="1803"/>
      <c r="F71" s="1803"/>
      <c r="G71" s="1803"/>
      <c r="H71" s="1803"/>
    </row>
    <row r="72" spans="1:8" x14ac:dyDescent="0.2">
      <c r="A72" s="1804" t="s">
        <v>1710</v>
      </c>
      <c r="B72" s="1803"/>
      <c r="C72" s="1803"/>
      <c r="D72" s="1803"/>
      <c r="E72" s="1803"/>
      <c r="F72" s="1803"/>
      <c r="G72" s="1803"/>
      <c r="H72" s="1803"/>
    </row>
    <row r="73" spans="1:8" x14ac:dyDescent="0.2">
      <c r="A73" s="1804" t="s">
        <v>1711</v>
      </c>
      <c r="B73" s="1803"/>
      <c r="C73" s="1803"/>
      <c r="D73" s="1803"/>
      <c r="E73" s="1803"/>
      <c r="F73" s="1803"/>
      <c r="G73" s="1803"/>
      <c r="H73" s="1803"/>
    </row>
    <row r="74" spans="1:8" x14ac:dyDescent="0.2">
      <c r="A74" s="1803"/>
      <c r="B74" s="1803"/>
      <c r="C74" s="1803"/>
      <c r="D74" s="1803"/>
      <c r="E74" s="1803"/>
      <c r="F74" s="1803"/>
      <c r="G74" s="1803"/>
      <c r="H74" s="1803"/>
    </row>
    <row r="75" spans="1:8" x14ac:dyDescent="0.2">
      <c r="A75" s="1804" t="s">
        <v>1708</v>
      </c>
      <c r="B75" s="1803"/>
      <c r="C75" s="1803"/>
      <c r="D75" s="1803"/>
      <c r="E75" s="1803"/>
      <c r="F75" s="1803"/>
      <c r="G75" s="1803"/>
      <c r="H75" s="1803"/>
    </row>
    <row r="76" spans="1:8" x14ac:dyDescent="0.2">
      <c r="A76" s="1804" t="s">
        <v>1709</v>
      </c>
      <c r="B76" s="1803"/>
      <c r="C76" s="1803"/>
      <c r="D76" s="1803"/>
      <c r="E76" s="1803"/>
      <c r="F76" s="1803"/>
      <c r="G76" s="1803"/>
      <c r="H76" s="1803"/>
    </row>
    <row r="77" spans="1:8" x14ac:dyDescent="0.2">
      <c r="A77" s="1803"/>
      <c r="B77" s="1803"/>
      <c r="C77" s="1803"/>
      <c r="D77" s="1803"/>
      <c r="E77" s="1803"/>
      <c r="F77" s="1803"/>
      <c r="G77" s="1803"/>
      <c r="H77" s="1803"/>
    </row>
    <row r="78" spans="1:8" x14ac:dyDescent="0.2">
      <c r="A78" s="1804" t="s">
        <v>1706</v>
      </c>
      <c r="B78" s="1803"/>
      <c r="C78" s="1803"/>
      <c r="D78" s="1803"/>
      <c r="E78" s="1803"/>
      <c r="F78" s="1803"/>
      <c r="G78" s="1803"/>
      <c r="H78" s="1803"/>
    </row>
    <row r="79" spans="1:8" x14ac:dyDescent="0.2">
      <c r="A79" s="1804" t="s">
        <v>1707</v>
      </c>
      <c r="B79" s="1803"/>
      <c r="C79" s="1803"/>
      <c r="D79" s="1803"/>
      <c r="E79" s="1803"/>
      <c r="F79" s="1803"/>
      <c r="G79" s="1803"/>
      <c r="H79" s="1803"/>
    </row>
    <row r="80" spans="1:8" x14ac:dyDescent="0.2">
      <c r="A80" s="1803"/>
      <c r="B80" s="1803"/>
      <c r="C80" s="1803"/>
      <c r="D80" s="1803"/>
      <c r="E80" s="1803"/>
      <c r="F80" s="1803"/>
      <c r="G80" s="1803"/>
      <c r="H80" s="1803"/>
    </row>
    <row r="81" spans="1:8" x14ac:dyDescent="0.2">
      <c r="A81" s="1804" t="s">
        <v>1703</v>
      </c>
      <c r="B81" s="1803"/>
      <c r="C81" s="1803"/>
      <c r="D81" s="1803"/>
      <c r="E81" s="1803"/>
      <c r="F81" s="1803"/>
      <c r="G81" s="1803"/>
      <c r="H81" s="1803"/>
    </row>
    <row r="82" spans="1:8" x14ac:dyDescent="0.2">
      <c r="A82" s="1804" t="s">
        <v>1704</v>
      </c>
      <c r="B82" s="1803"/>
      <c r="C82" s="1803"/>
      <c r="D82" s="1803"/>
      <c r="E82" s="1803"/>
      <c r="F82" s="1803"/>
      <c r="G82" s="1803"/>
      <c r="H82" s="1803"/>
    </row>
    <row r="83" spans="1:8" x14ac:dyDescent="0.2">
      <c r="A83" s="1804" t="s">
        <v>1705</v>
      </c>
      <c r="B83" s="1803"/>
      <c r="C83" s="1803"/>
      <c r="D83" s="1803"/>
      <c r="E83" s="1803"/>
      <c r="F83" s="1803"/>
      <c r="G83" s="1803"/>
      <c r="H83" s="1803"/>
    </row>
    <row r="84" spans="1:8" x14ac:dyDescent="0.2">
      <c r="A84" s="1803"/>
      <c r="B84" s="1803"/>
      <c r="C84" s="1803"/>
      <c r="D84" s="1803"/>
      <c r="E84" s="1803"/>
      <c r="F84" s="1803"/>
      <c r="G84" s="1803"/>
      <c r="H84" s="1803"/>
    </row>
    <row r="85" spans="1:8" x14ac:dyDescent="0.2">
      <c r="A85" s="1804" t="s">
        <v>1460</v>
      </c>
      <c r="B85" s="1803"/>
      <c r="C85" s="1803"/>
      <c r="D85" s="1803"/>
      <c r="E85" s="1803"/>
      <c r="F85" s="1803"/>
      <c r="G85" s="1803"/>
      <c r="H85" s="1803"/>
    </row>
    <row r="86" spans="1:8" x14ac:dyDescent="0.2">
      <c r="A86" s="1803"/>
      <c r="B86" s="1803"/>
      <c r="C86" s="1803"/>
      <c r="D86" s="1803"/>
      <c r="E86" s="1803"/>
      <c r="F86" s="1803"/>
      <c r="G86" s="1803"/>
      <c r="H86" s="1803"/>
    </row>
    <row r="87" spans="1:8" x14ac:dyDescent="0.2">
      <c r="A87" s="1804" t="s">
        <v>1698</v>
      </c>
      <c r="B87" s="1803"/>
      <c r="C87" s="1803"/>
      <c r="D87" s="1803"/>
      <c r="E87" s="1803"/>
      <c r="F87" s="1803"/>
      <c r="G87" s="1803"/>
      <c r="H87" s="1803"/>
    </row>
    <row r="88" spans="1:8" x14ac:dyDescent="0.2">
      <c r="A88" s="1804" t="s">
        <v>1699</v>
      </c>
      <c r="B88" s="1803"/>
      <c r="C88" s="1803"/>
      <c r="D88" s="1803"/>
      <c r="E88" s="1803"/>
      <c r="F88" s="1803"/>
      <c r="G88" s="1803"/>
      <c r="H88" s="1803"/>
    </row>
    <row r="89" spans="1:8" x14ac:dyDescent="0.2">
      <c r="A89" s="1804" t="s">
        <v>1700</v>
      </c>
      <c r="B89" s="1803"/>
      <c r="C89" s="1803"/>
      <c r="D89" s="1803"/>
      <c r="E89" s="1803"/>
      <c r="F89" s="1803"/>
      <c r="G89" s="1803"/>
      <c r="H89" s="1803"/>
    </row>
    <row r="90" spans="1:8" x14ac:dyDescent="0.2">
      <c r="A90" s="1804" t="s">
        <v>1701</v>
      </c>
      <c r="B90" s="1803"/>
      <c r="C90" s="1803"/>
      <c r="D90" s="1803"/>
      <c r="E90" s="1803"/>
      <c r="F90" s="1803"/>
      <c r="G90" s="1803"/>
      <c r="H90" s="1803"/>
    </row>
    <row r="91" spans="1:8" x14ac:dyDescent="0.2">
      <c r="A91" s="1804" t="s">
        <v>1702</v>
      </c>
      <c r="B91" s="1803"/>
      <c r="C91" s="1803"/>
      <c r="D91" s="1803"/>
      <c r="E91" s="1803"/>
      <c r="F91" s="1803"/>
      <c r="G91" s="1803"/>
      <c r="H91" s="1803"/>
    </row>
    <row r="92" spans="1:8" x14ac:dyDescent="0.2">
      <c r="A92" s="1804" t="s">
        <v>1585</v>
      </c>
      <c r="B92" s="1803"/>
      <c r="C92" s="1803"/>
      <c r="D92" s="1803"/>
      <c r="E92" s="1803"/>
      <c r="F92" s="1803"/>
      <c r="G92" s="1803"/>
      <c r="H92" s="1803"/>
    </row>
    <row r="93" spans="1:8" x14ac:dyDescent="0.2">
      <c r="A93" s="1803"/>
      <c r="B93" s="1803"/>
      <c r="C93" s="1803"/>
      <c r="D93" s="1803"/>
      <c r="E93" s="1803"/>
      <c r="F93" s="1803"/>
      <c r="G93" s="1803"/>
      <c r="H93" s="1803"/>
    </row>
    <row r="94" spans="1:8" x14ac:dyDescent="0.2">
      <c r="A94" s="1804" t="s">
        <v>1691</v>
      </c>
      <c r="B94" s="1803"/>
      <c r="C94" s="1803"/>
      <c r="D94" s="1803"/>
      <c r="E94" s="1803"/>
      <c r="F94" s="1803"/>
      <c r="G94" s="1803"/>
      <c r="H94" s="1803"/>
    </row>
    <row r="95" spans="1:8" x14ac:dyDescent="0.2">
      <c r="A95" s="1804" t="s">
        <v>1692</v>
      </c>
      <c r="B95" s="1803"/>
      <c r="C95" s="1803"/>
      <c r="D95" s="1803"/>
      <c r="E95" s="1803"/>
      <c r="F95" s="1803"/>
      <c r="G95" s="1803"/>
      <c r="H95" s="1803"/>
    </row>
    <row r="96" spans="1:8" x14ac:dyDescent="0.2">
      <c r="A96" s="1804" t="s">
        <v>1693</v>
      </c>
      <c r="B96" s="1803"/>
      <c r="C96" s="1803"/>
      <c r="D96" s="1803"/>
      <c r="E96" s="1803"/>
      <c r="F96" s="1803"/>
      <c r="G96" s="1803"/>
      <c r="H96" s="1803"/>
    </row>
    <row r="97" spans="1:8" x14ac:dyDescent="0.2">
      <c r="A97" s="1804" t="s">
        <v>1694</v>
      </c>
      <c r="B97" s="1803"/>
      <c r="C97" s="1803"/>
      <c r="D97" s="1803"/>
      <c r="E97" s="1803"/>
      <c r="F97" s="1803"/>
      <c r="G97" s="1803"/>
      <c r="H97" s="1803"/>
    </row>
    <row r="98" spans="1:8" x14ac:dyDescent="0.2">
      <c r="A98" s="1804" t="s">
        <v>1695</v>
      </c>
      <c r="B98" s="1803"/>
      <c r="C98" s="1803"/>
      <c r="D98" s="1803"/>
      <c r="E98" s="1803"/>
      <c r="F98" s="1803"/>
      <c r="G98" s="1803"/>
      <c r="H98" s="1803"/>
    </row>
    <row r="99" spans="1:8" x14ac:dyDescent="0.2">
      <c r="A99" s="1804" t="s">
        <v>1696</v>
      </c>
      <c r="B99" s="1803"/>
      <c r="C99" s="1803"/>
      <c r="D99" s="1803"/>
      <c r="E99" s="1803"/>
      <c r="F99" s="1803"/>
      <c r="G99" s="1803"/>
      <c r="H99" s="1803"/>
    </row>
    <row r="100" spans="1:8" x14ac:dyDescent="0.2">
      <c r="A100" s="1804" t="s">
        <v>1697</v>
      </c>
      <c r="B100" s="1803"/>
      <c r="C100" s="1803"/>
      <c r="D100" s="1803"/>
      <c r="E100" s="1803"/>
      <c r="F100" s="1803"/>
      <c r="G100" s="1803"/>
      <c r="H100" s="1803"/>
    </row>
    <row r="101" spans="1:8" x14ac:dyDescent="0.2">
      <c r="A101" s="1803"/>
      <c r="B101" s="1803"/>
      <c r="C101" s="1803"/>
      <c r="D101" s="1803"/>
      <c r="E101" s="1803"/>
      <c r="F101" s="1803"/>
      <c r="G101" s="1803"/>
      <c r="H101" s="1803"/>
    </row>
    <row r="102" spans="1:8" x14ac:dyDescent="0.2">
      <c r="A102" s="1804" t="s">
        <v>1689</v>
      </c>
      <c r="B102" s="1803"/>
      <c r="C102" s="1803"/>
      <c r="D102" s="1803"/>
      <c r="E102" s="1803"/>
      <c r="F102" s="1803"/>
      <c r="G102" s="1803"/>
      <c r="H102" s="1803"/>
    </row>
    <row r="103" spans="1:8" x14ac:dyDescent="0.2">
      <c r="A103" s="1804" t="s">
        <v>1690</v>
      </c>
      <c r="B103" s="1803"/>
      <c r="C103" s="1803"/>
      <c r="D103" s="1803"/>
      <c r="E103" s="1803"/>
      <c r="F103" s="1803"/>
      <c r="G103" s="1803"/>
      <c r="H103" s="1803"/>
    </row>
    <row r="104" spans="1:8" x14ac:dyDescent="0.2">
      <c r="A104" s="1803"/>
      <c r="B104" s="1803"/>
      <c r="C104" s="1803"/>
      <c r="D104" s="1803"/>
      <c r="E104" s="1803"/>
      <c r="F104" s="1803"/>
      <c r="G104" s="1803"/>
      <c r="H104" s="1803"/>
    </row>
    <row r="105" spans="1:8" ht="15.75" x14ac:dyDescent="0.2">
      <c r="A105" s="1805" t="s">
        <v>1461</v>
      </c>
      <c r="B105" s="1803"/>
      <c r="C105" s="1803"/>
      <c r="D105" s="1803"/>
      <c r="E105" s="1803"/>
      <c r="F105" s="1803"/>
      <c r="G105" s="1803"/>
      <c r="H105" s="1803"/>
    </row>
    <row r="106" spans="1:8" x14ac:dyDescent="0.2">
      <c r="A106" s="1803"/>
      <c r="B106" s="1803"/>
      <c r="C106" s="1803"/>
      <c r="D106" s="1803"/>
      <c r="E106" s="1803"/>
      <c r="F106" s="1803"/>
      <c r="G106" s="1803"/>
      <c r="H106" s="1803"/>
    </row>
    <row r="107" spans="1:8" x14ac:dyDescent="0.2">
      <c r="A107" s="1804" t="s">
        <v>1680</v>
      </c>
      <c r="B107" s="1803"/>
      <c r="C107" s="1803"/>
      <c r="D107" s="1803"/>
      <c r="E107" s="1803"/>
      <c r="F107" s="1803"/>
      <c r="G107" s="1803"/>
      <c r="H107" s="1803"/>
    </row>
    <row r="108" spans="1:8" x14ac:dyDescent="0.2">
      <c r="A108" s="1804" t="s">
        <v>1681</v>
      </c>
      <c r="B108" s="1803"/>
      <c r="C108" s="1803"/>
      <c r="D108" s="1803"/>
      <c r="E108" s="1803"/>
      <c r="F108" s="1803"/>
      <c r="G108" s="1803"/>
      <c r="H108" s="1803"/>
    </row>
    <row r="109" spans="1:8" x14ac:dyDescent="0.2">
      <c r="A109" s="1804" t="s">
        <v>1682</v>
      </c>
      <c r="B109" s="1803"/>
      <c r="C109" s="1803"/>
      <c r="D109" s="1803"/>
      <c r="E109" s="1803"/>
      <c r="F109" s="1803"/>
      <c r="G109" s="1803"/>
      <c r="H109" s="1803"/>
    </row>
    <row r="110" spans="1:8" x14ac:dyDescent="0.2">
      <c r="A110" s="1804" t="s">
        <v>1683</v>
      </c>
      <c r="B110" s="1803"/>
      <c r="C110" s="1803"/>
      <c r="D110" s="1803"/>
      <c r="E110" s="1803"/>
      <c r="F110" s="1803"/>
      <c r="G110" s="1803"/>
      <c r="H110" s="1803"/>
    </row>
    <row r="111" spans="1:8" x14ac:dyDescent="0.2">
      <c r="A111" s="1804" t="s">
        <v>1684</v>
      </c>
      <c r="B111" s="1803"/>
      <c r="C111" s="1803"/>
      <c r="D111" s="1803"/>
      <c r="E111" s="1803"/>
      <c r="F111" s="1803"/>
      <c r="G111" s="1803"/>
      <c r="H111" s="1803"/>
    </row>
    <row r="112" spans="1:8" x14ac:dyDescent="0.2">
      <c r="A112" s="1804" t="s">
        <v>1685</v>
      </c>
      <c r="B112" s="1803"/>
      <c r="C112" s="1803"/>
      <c r="D112" s="1803"/>
      <c r="E112" s="1803"/>
      <c r="F112" s="1803"/>
      <c r="G112" s="1803"/>
      <c r="H112" s="1803"/>
    </row>
    <row r="113" spans="1:8" x14ac:dyDescent="0.2">
      <c r="A113" s="1804" t="s">
        <v>1686</v>
      </c>
      <c r="B113" s="1803"/>
      <c r="C113" s="1803"/>
      <c r="D113" s="1803"/>
      <c r="E113" s="1803"/>
      <c r="F113" s="1803"/>
      <c r="G113" s="1803"/>
      <c r="H113" s="1803"/>
    </row>
    <row r="114" spans="1:8" x14ac:dyDescent="0.2">
      <c r="A114" s="1804" t="s">
        <v>1687</v>
      </c>
      <c r="B114" s="1803"/>
      <c r="C114" s="1803"/>
      <c r="D114" s="1803"/>
      <c r="E114" s="1803"/>
      <c r="F114" s="1803"/>
      <c r="G114" s="1803"/>
      <c r="H114" s="1803"/>
    </row>
    <row r="115" spans="1:8" x14ac:dyDescent="0.2">
      <c r="A115" s="1804" t="s">
        <v>1688</v>
      </c>
      <c r="B115" s="1803"/>
      <c r="C115" s="1803"/>
      <c r="D115" s="1803"/>
      <c r="E115" s="1803"/>
      <c r="F115" s="1803"/>
      <c r="G115" s="1803"/>
      <c r="H115" s="1803"/>
    </row>
    <row r="116" spans="1:8" x14ac:dyDescent="0.2">
      <c r="A116" s="1803"/>
      <c r="B116" s="1803"/>
      <c r="C116" s="1803"/>
      <c r="D116" s="1803"/>
      <c r="E116" s="1803"/>
      <c r="F116" s="1803"/>
      <c r="G116" s="1803"/>
      <c r="H116" s="1803"/>
    </row>
    <row r="117" spans="1:8" ht="15.75" x14ac:dyDescent="0.2">
      <c r="A117" s="1806" t="s">
        <v>1462</v>
      </c>
      <c r="B117" s="1806"/>
      <c r="C117" s="1806"/>
      <c r="D117" s="1806"/>
      <c r="E117" s="1806"/>
      <c r="F117" s="1806"/>
      <c r="G117" s="1806"/>
      <c r="H117" s="1806"/>
    </row>
    <row r="118" spans="1:8" x14ac:dyDescent="0.2">
      <c r="A118" s="1807" t="s">
        <v>1463</v>
      </c>
      <c r="B118" s="1807"/>
      <c r="C118" s="1807"/>
      <c r="D118" s="1807"/>
      <c r="E118" s="1807"/>
      <c r="F118" s="1807"/>
      <c r="G118" s="1807"/>
      <c r="H118" s="1807"/>
    </row>
    <row r="119" spans="1:8" x14ac:dyDescent="0.2">
      <c r="A119" s="1808"/>
      <c r="B119" s="1808"/>
      <c r="C119" s="1808"/>
      <c r="D119" s="1808"/>
      <c r="E119" s="1808"/>
      <c r="F119" s="1808"/>
      <c r="G119" s="1808"/>
      <c r="H119" s="1808"/>
    </row>
    <row r="120" spans="1:8" x14ac:dyDescent="0.2">
      <c r="A120" s="1807" t="s">
        <v>1678</v>
      </c>
      <c r="B120" s="1807"/>
      <c r="C120" s="1807"/>
      <c r="D120" s="1807"/>
      <c r="E120" s="1807"/>
      <c r="F120" s="1807"/>
      <c r="G120" s="1807"/>
      <c r="H120" s="1807"/>
    </row>
    <row r="121" spans="1:8" x14ac:dyDescent="0.2">
      <c r="A121" s="1804" t="s">
        <v>1679</v>
      </c>
      <c r="B121" s="1804"/>
      <c r="C121" s="1804"/>
      <c r="D121" s="1804"/>
      <c r="E121" s="1804"/>
      <c r="F121" s="1804"/>
      <c r="G121" s="1804"/>
      <c r="H121" s="1804"/>
    </row>
    <row r="122" spans="1:8" x14ac:dyDescent="0.2">
      <c r="A122" s="1808"/>
      <c r="B122" s="1808"/>
      <c r="C122" s="1808"/>
      <c r="D122" s="1808"/>
      <c r="E122" s="1808"/>
      <c r="F122" s="1808"/>
      <c r="G122" s="1808"/>
      <c r="H122" s="1808"/>
    </row>
    <row r="123" spans="1:8" x14ac:dyDescent="0.2">
      <c r="A123" s="1807" t="s">
        <v>1671</v>
      </c>
      <c r="B123" s="1807"/>
      <c r="C123" s="1807"/>
      <c r="D123" s="1807"/>
      <c r="E123" s="1807"/>
      <c r="F123" s="1807"/>
      <c r="G123" s="1807"/>
      <c r="H123" s="1807"/>
    </row>
    <row r="124" spans="1:8" x14ac:dyDescent="0.2">
      <c r="A124" s="1804" t="s">
        <v>1672</v>
      </c>
      <c r="B124" s="1804"/>
      <c r="C124" s="1804"/>
      <c r="D124" s="1804"/>
      <c r="E124" s="1804"/>
      <c r="F124" s="1804"/>
      <c r="G124" s="1804"/>
      <c r="H124" s="1804"/>
    </row>
    <row r="125" spans="1:8" x14ac:dyDescent="0.2">
      <c r="A125" s="1804" t="s">
        <v>1673</v>
      </c>
      <c r="B125" s="1804"/>
      <c r="C125" s="1804"/>
      <c r="D125" s="1804"/>
      <c r="E125" s="1804"/>
      <c r="F125" s="1804"/>
      <c r="G125" s="1804"/>
      <c r="H125" s="1804"/>
    </row>
    <row r="126" spans="1:8" x14ac:dyDescent="0.2">
      <c r="A126" s="1804" t="s">
        <v>1674</v>
      </c>
      <c r="B126" s="1804"/>
      <c r="C126" s="1804"/>
      <c r="D126" s="1804"/>
      <c r="E126" s="1804"/>
      <c r="F126" s="1804"/>
      <c r="G126" s="1804"/>
      <c r="H126" s="1804"/>
    </row>
    <row r="127" spans="1:8" x14ac:dyDescent="0.2">
      <c r="A127" s="1804" t="s">
        <v>1675</v>
      </c>
      <c r="B127" s="1804"/>
      <c r="C127" s="1804"/>
      <c r="D127" s="1804"/>
      <c r="E127" s="1804"/>
      <c r="F127" s="1804"/>
      <c r="G127" s="1804"/>
      <c r="H127" s="1804"/>
    </row>
    <row r="128" spans="1:8" x14ac:dyDescent="0.2">
      <c r="A128" s="1804" t="s">
        <v>1676</v>
      </c>
      <c r="B128" s="1804"/>
      <c r="C128" s="1804"/>
      <c r="D128" s="1804"/>
      <c r="E128" s="1804"/>
      <c r="F128" s="1804"/>
      <c r="G128" s="1804"/>
      <c r="H128" s="1804"/>
    </row>
    <row r="129" spans="1:8" x14ac:dyDescent="0.2">
      <c r="A129" s="1804" t="s">
        <v>1677</v>
      </c>
      <c r="B129" s="1804"/>
      <c r="C129" s="1804"/>
      <c r="D129" s="1804"/>
      <c r="E129" s="1804"/>
      <c r="F129" s="1804"/>
      <c r="G129" s="1804"/>
      <c r="H129" s="1804"/>
    </row>
    <row r="130" spans="1:8" x14ac:dyDescent="0.2">
      <c r="A130" s="1809"/>
      <c r="B130" s="1809"/>
      <c r="C130" s="1809"/>
      <c r="D130" s="1809"/>
      <c r="E130" s="1809"/>
      <c r="F130" s="1809"/>
      <c r="G130" s="1809"/>
      <c r="H130" s="1809"/>
    </row>
    <row r="131" spans="1:8" x14ac:dyDescent="0.2">
      <c r="A131" s="1810"/>
      <c r="B131" s="1811" t="s">
        <v>1464</v>
      </c>
      <c r="C131" s="1812"/>
      <c r="D131" s="1811" t="s">
        <v>1465</v>
      </c>
      <c r="E131" s="1813"/>
      <c r="F131" s="1812"/>
      <c r="G131" s="1811" t="s">
        <v>1466</v>
      </c>
      <c r="H131" s="1812"/>
    </row>
    <row r="132" spans="1:8" x14ac:dyDescent="0.2">
      <c r="A132" s="1810" t="s">
        <v>1467</v>
      </c>
      <c r="B132" s="1810" t="s">
        <v>1139</v>
      </c>
      <c r="C132" s="1810" t="s">
        <v>1468</v>
      </c>
      <c r="D132" s="1810" t="s">
        <v>1139</v>
      </c>
      <c r="E132" s="1810" t="s">
        <v>1469</v>
      </c>
      <c r="F132" s="1810" t="s">
        <v>1470</v>
      </c>
      <c r="G132" s="1810" t="s">
        <v>1139</v>
      </c>
      <c r="H132" s="1810" t="s">
        <v>1471</v>
      </c>
    </row>
    <row r="133" spans="1:8" x14ac:dyDescent="0.2">
      <c r="A133" s="1810" t="s">
        <v>1472</v>
      </c>
      <c r="B133" s="1810">
        <v>1189</v>
      </c>
      <c r="C133" s="1814">
        <v>0.38</v>
      </c>
      <c r="D133" s="1810">
        <v>315</v>
      </c>
      <c r="E133" s="1814">
        <v>0.41</v>
      </c>
      <c r="F133" s="1814">
        <v>0.26</v>
      </c>
      <c r="G133" s="1810">
        <v>555</v>
      </c>
      <c r="H133" s="1814">
        <v>0.39</v>
      </c>
    </row>
    <row r="134" spans="1:8" x14ac:dyDescent="0.2">
      <c r="A134" s="1810" t="s">
        <v>1473</v>
      </c>
      <c r="B134" s="1810">
        <v>1355</v>
      </c>
      <c r="C134" s="1814">
        <v>0.43</v>
      </c>
      <c r="D134" s="1810">
        <v>364</v>
      </c>
      <c r="E134" s="1814">
        <v>0.47</v>
      </c>
      <c r="F134" s="1814">
        <v>0.27</v>
      </c>
      <c r="G134" s="1810">
        <v>644</v>
      </c>
      <c r="H134" s="1814">
        <v>0.45</v>
      </c>
    </row>
    <row r="135" spans="1:8" x14ac:dyDescent="0.2">
      <c r="A135" s="1810" t="s">
        <v>1474</v>
      </c>
      <c r="B135" s="1810">
        <v>53</v>
      </c>
      <c r="C135" s="1814">
        <v>0.02</v>
      </c>
      <c r="D135" s="1810">
        <v>4</v>
      </c>
      <c r="E135" s="1814">
        <v>0.01</v>
      </c>
      <c r="F135" s="1814">
        <v>0.08</v>
      </c>
      <c r="G135" s="1810">
        <v>7</v>
      </c>
      <c r="H135" s="1814">
        <v>0</v>
      </c>
    </row>
    <row r="136" spans="1:8" x14ac:dyDescent="0.2">
      <c r="A136" s="1810" t="s">
        <v>1475</v>
      </c>
      <c r="B136" s="1810">
        <v>545</v>
      </c>
      <c r="C136" s="1814">
        <v>0.17</v>
      </c>
      <c r="D136" s="1810">
        <v>84</v>
      </c>
      <c r="E136" s="1814">
        <v>0.11</v>
      </c>
      <c r="F136" s="1814">
        <v>0.15</v>
      </c>
      <c r="G136" s="1810">
        <v>214</v>
      </c>
      <c r="H136" s="1814">
        <v>0.15</v>
      </c>
    </row>
    <row r="137" spans="1:8" x14ac:dyDescent="0.2">
      <c r="A137" s="1810" t="s">
        <v>21</v>
      </c>
      <c r="B137" s="1815">
        <v>3142</v>
      </c>
      <c r="C137" s="1810"/>
      <c r="D137" s="1810">
        <v>767</v>
      </c>
      <c r="E137" s="1810"/>
      <c r="F137" s="1810"/>
      <c r="G137" s="1810">
        <v>1420</v>
      </c>
      <c r="H137" s="1810"/>
    </row>
    <row r="138" spans="1:8" x14ac:dyDescent="0.2">
      <c r="A138" s="1816"/>
      <c r="B138" s="1816"/>
      <c r="C138" s="1816"/>
      <c r="D138" s="1816"/>
      <c r="E138" s="1816"/>
      <c r="F138" s="1816"/>
      <c r="G138" s="1816"/>
      <c r="H138" s="1816"/>
    </row>
    <row r="139" spans="1:8" x14ac:dyDescent="0.2">
      <c r="A139" s="1807" t="s">
        <v>1667</v>
      </c>
      <c r="B139" s="1807"/>
      <c r="C139" s="1807"/>
      <c r="D139" s="1807"/>
      <c r="E139" s="1807"/>
      <c r="F139" s="1807"/>
      <c r="G139" s="1807"/>
      <c r="H139" s="1807"/>
    </row>
    <row r="140" spans="1:8" x14ac:dyDescent="0.2">
      <c r="A140" s="1804" t="s">
        <v>1668</v>
      </c>
      <c r="B140" s="1804"/>
      <c r="C140" s="1804"/>
      <c r="D140" s="1804"/>
      <c r="E140" s="1804"/>
      <c r="F140" s="1804"/>
      <c r="G140" s="1804"/>
      <c r="H140" s="1804"/>
    </row>
    <row r="141" spans="1:8" x14ac:dyDescent="0.2">
      <c r="A141" s="1804" t="s">
        <v>1669</v>
      </c>
      <c r="B141" s="1804"/>
      <c r="C141" s="1804"/>
      <c r="D141" s="1804"/>
      <c r="E141" s="1804"/>
      <c r="F141" s="1804"/>
      <c r="G141" s="1804"/>
      <c r="H141" s="1804"/>
    </row>
    <row r="142" spans="1:8" x14ac:dyDescent="0.2">
      <c r="A142" s="1804" t="s">
        <v>1670</v>
      </c>
      <c r="B142" s="1804"/>
      <c r="C142" s="1804"/>
      <c r="D142" s="1804"/>
      <c r="E142" s="1804"/>
      <c r="F142" s="1804"/>
      <c r="G142" s="1804"/>
      <c r="H142" s="1804"/>
    </row>
    <row r="143" spans="1:8" x14ac:dyDescent="0.2">
      <c r="A143" s="1803"/>
      <c r="B143" s="1803"/>
      <c r="C143" s="1803"/>
      <c r="D143" s="1803"/>
      <c r="E143" s="1803"/>
      <c r="F143" s="1803"/>
      <c r="G143" s="1803"/>
      <c r="H143" s="1803"/>
    </row>
    <row r="144" spans="1:8" ht="15.75" x14ac:dyDescent="0.2">
      <c r="A144" s="1805" t="s">
        <v>1476</v>
      </c>
      <c r="B144" s="1803"/>
      <c r="C144" s="1803"/>
      <c r="D144" s="1803"/>
      <c r="E144" s="1803"/>
      <c r="F144" s="1803"/>
      <c r="G144" s="1803"/>
      <c r="H144" s="1803"/>
    </row>
    <row r="145" spans="1:8" x14ac:dyDescent="0.2">
      <c r="A145" s="1803"/>
      <c r="B145" s="1803"/>
      <c r="C145" s="1803"/>
      <c r="D145" s="1803"/>
      <c r="E145" s="1803"/>
      <c r="F145" s="1803"/>
      <c r="G145" s="1803"/>
      <c r="H145" s="1803"/>
    </row>
    <row r="146" spans="1:8" x14ac:dyDescent="0.2">
      <c r="A146" s="1804" t="s">
        <v>1665</v>
      </c>
      <c r="B146" s="1803"/>
      <c r="C146" s="1803"/>
      <c r="D146" s="1803"/>
      <c r="E146" s="1803"/>
      <c r="F146" s="1803"/>
      <c r="G146" s="1803"/>
      <c r="H146" s="1803"/>
    </row>
    <row r="147" spans="1:8" x14ac:dyDescent="0.2">
      <c r="A147" s="1804" t="s">
        <v>1666</v>
      </c>
      <c r="B147" s="1803"/>
      <c r="C147" s="1803"/>
      <c r="D147" s="1803"/>
      <c r="E147" s="1803"/>
      <c r="F147" s="1803"/>
      <c r="G147" s="1803"/>
      <c r="H147" s="1803"/>
    </row>
    <row r="148" spans="1:8" x14ac:dyDescent="0.2">
      <c r="A148" s="1803"/>
      <c r="B148" s="1803"/>
      <c r="C148" s="1803"/>
      <c r="D148" s="1803"/>
      <c r="E148" s="1803"/>
      <c r="F148" s="1803"/>
      <c r="G148" s="1803"/>
      <c r="H148" s="1803"/>
    </row>
    <row r="149" spans="1:8" x14ac:dyDescent="0.2">
      <c r="A149" s="1804" t="s">
        <v>1662</v>
      </c>
      <c r="B149" s="1803"/>
      <c r="C149" s="1803"/>
      <c r="D149" s="1803"/>
      <c r="E149" s="1803"/>
      <c r="F149" s="1803"/>
      <c r="G149" s="1803"/>
      <c r="H149" s="1803"/>
    </row>
    <row r="150" spans="1:8" x14ac:dyDescent="0.2">
      <c r="A150" s="1804" t="s">
        <v>1663</v>
      </c>
      <c r="B150" s="1803"/>
      <c r="C150" s="1803"/>
      <c r="D150" s="1803"/>
      <c r="E150" s="1803"/>
      <c r="F150" s="1803"/>
      <c r="G150" s="1803"/>
      <c r="H150" s="1803"/>
    </row>
    <row r="151" spans="1:8" x14ac:dyDescent="0.2">
      <c r="A151" s="1804" t="s">
        <v>1664</v>
      </c>
      <c r="B151" s="1803"/>
      <c r="C151" s="1803"/>
      <c r="D151" s="1803"/>
      <c r="E151" s="1803"/>
      <c r="F151" s="1803"/>
      <c r="G151" s="1803"/>
      <c r="H151" s="1803"/>
    </row>
    <row r="152" spans="1:8" x14ac:dyDescent="0.2">
      <c r="A152" s="1803"/>
      <c r="B152" s="1803"/>
      <c r="C152" s="1803"/>
      <c r="D152" s="1803"/>
      <c r="E152" s="1803"/>
      <c r="F152" s="1803"/>
      <c r="G152" s="1803"/>
      <c r="H152" s="1803"/>
    </row>
    <row r="153" spans="1:8" x14ac:dyDescent="0.2">
      <c r="A153" s="1804" t="s">
        <v>1659</v>
      </c>
      <c r="B153" s="1803"/>
      <c r="C153" s="1803"/>
      <c r="D153" s="1803"/>
      <c r="E153" s="1803"/>
      <c r="F153" s="1803"/>
      <c r="G153" s="1803"/>
      <c r="H153" s="1803"/>
    </row>
    <row r="154" spans="1:8" x14ac:dyDescent="0.2">
      <c r="A154" s="1804" t="s">
        <v>1660</v>
      </c>
      <c r="B154" s="1803"/>
      <c r="C154" s="1803"/>
      <c r="D154" s="1803"/>
      <c r="E154" s="1803"/>
      <c r="F154" s="1803"/>
      <c r="G154" s="1803"/>
      <c r="H154" s="1803"/>
    </row>
    <row r="155" spans="1:8" x14ac:dyDescent="0.2">
      <c r="A155" s="1804" t="s">
        <v>1661</v>
      </c>
      <c r="B155" s="1803"/>
      <c r="C155" s="1803"/>
      <c r="D155" s="1803"/>
      <c r="E155" s="1803"/>
      <c r="F155" s="1803"/>
      <c r="G155" s="1803"/>
      <c r="H155" s="1803"/>
    </row>
    <row r="156" spans="1:8" x14ac:dyDescent="0.2">
      <c r="A156" s="1803"/>
      <c r="B156" s="1803"/>
      <c r="C156" s="1803"/>
      <c r="D156" s="1803"/>
      <c r="E156" s="1803"/>
      <c r="F156" s="1803"/>
      <c r="G156" s="1803"/>
      <c r="H156" s="1803"/>
    </row>
    <row r="157" spans="1:8" x14ac:dyDescent="0.2">
      <c r="A157" s="1804" t="s">
        <v>1656</v>
      </c>
      <c r="B157" s="1803"/>
      <c r="C157" s="1803"/>
      <c r="D157" s="1803"/>
      <c r="E157" s="1803"/>
      <c r="F157" s="1803"/>
      <c r="G157" s="1803"/>
      <c r="H157" s="1803"/>
    </row>
    <row r="158" spans="1:8" x14ac:dyDescent="0.2">
      <c r="A158" s="1804" t="s">
        <v>1657</v>
      </c>
      <c r="B158" s="1803"/>
      <c r="C158" s="1803"/>
      <c r="D158" s="1803"/>
      <c r="E158" s="1803"/>
      <c r="F158" s="1803"/>
      <c r="G158" s="1803"/>
      <c r="H158" s="1803"/>
    </row>
    <row r="159" spans="1:8" x14ac:dyDescent="0.2">
      <c r="A159" s="1804" t="s">
        <v>1658</v>
      </c>
      <c r="B159" s="1803"/>
      <c r="C159" s="1803"/>
      <c r="D159" s="1803"/>
      <c r="E159" s="1803"/>
      <c r="F159" s="1803"/>
      <c r="G159" s="1803"/>
      <c r="H159" s="1803"/>
    </row>
    <row r="160" spans="1:8" x14ac:dyDescent="0.2">
      <c r="A160" s="1803"/>
      <c r="B160" s="1803"/>
      <c r="C160" s="1803"/>
      <c r="D160" s="1803"/>
      <c r="E160" s="1803"/>
      <c r="F160" s="1803"/>
      <c r="G160" s="1803"/>
      <c r="H160" s="1803"/>
    </row>
    <row r="161" spans="1:8" x14ac:dyDescent="0.2">
      <c r="A161" s="1804" t="s">
        <v>1654</v>
      </c>
      <c r="B161" s="1803"/>
      <c r="C161" s="1803"/>
      <c r="D161" s="1803"/>
      <c r="E161" s="1803"/>
      <c r="F161" s="1803"/>
      <c r="G161" s="1803"/>
      <c r="H161" s="1803"/>
    </row>
    <row r="162" spans="1:8" x14ac:dyDescent="0.2">
      <c r="A162" s="1804" t="s">
        <v>1655</v>
      </c>
      <c r="B162" s="1803"/>
      <c r="C162" s="1803"/>
      <c r="D162" s="1803"/>
      <c r="E162" s="1803"/>
      <c r="F162" s="1803"/>
      <c r="G162" s="1803"/>
      <c r="H162" s="1803"/>
    </row>
    <row r="163" spans="1:8" x14ac:dyDescent="0.2">
      <c r="A163" s="1803"/>
      <c r="B163" s="1803"/>
      <c r="C163" s="1803"/>
      <c r="D163" s="1803"/>
      <c r="E163" s="1803"/>
      <c r="F163" s="1803"/>
      <c r="G163" s="1803"/>
      <c r="H163" s="1803"/>
    </row>
    <row r="164" spans="1:8" ht="15.75" x14ac:dyDescent="0.2">
      <c r="A164" s="1805" t="s">
        <v>1477</v>
      </c>
      <c r="B164" s="1803"/>
      <c r="C164" s="1803"/>
      <c r="D164" s="1803"/>
      <c r="E164" s="1803"/>
      <c r="F164" s="1803"/>
      <c r="G164" s="1803"/>
      <c r="H164" s="1803"/>
    </row>
    <row r="165" spans="1:8" x14ac:dyDescent="0.2">
      <c r="A165" s="1803"/>
      <c r="B165" s="1803"/>
      <c r="C165" s="1803"/>
      <c r="D165" s="1803"/>
      <c r="E165" s="1803"/>
      <c r="F165" s="1803"/>
      <c r="G165" s="1803"/>
      <c r="H165" s="1803"/>
    </row>
    <row r="166" spans="1:8" x14ac:dyDescent="0.2">
      <c r="A166" s="1804" t="s">
        <v>1652</v>
      </c>
      <c r="B166" s="1803"/>
      <c r="C166" s="1803"/>
      <c r="D166" s="1803"/>
      <c r="E166" s="1803"/>
      <c r="F166" s="1803"/>
      <c r="G166" s="1803"/>
      <c r="H166" s="1803"/>
    </row>
    <row r="167" spans="1:8" x14ac:dyDescent="0.2">
      <c r="A167" s="1804" t="s">
        <v>1653</v>
      </c>
      <c r="B167" s="1803"/>
      <c r="C167" s="1803"/>
      <c r="D167" s="1803"/>
      <c r="E167" s="1803"/>
      <c r="F167" s="1803"/>
      <c r="G167" s="1803"/>
      <c r="H167" s="1803"/>
    </row>
    <row r="168" spans="1:8" x14ac:dyDescent="0.2">
      <c r="A168" s="1803"/>
      <c r="B168" s="1803"/>
      <c r="C168" s="1803"/>
      <c r="D168" s="1803"/>
      <c r="E168" s="1803"/>
      <c r="F168" s="1803"/>
      <c r="G168" s="1803"/>
      <c r="H168" s="1803"/>
    </row>
    <row r="169" spans="1:8" x14ac:dyDescent="0.2">
      <c r="A169" s="1804" t="s">
        <v>1650</v>
      </c>
      <c r="B169" s="1803"/>
      <c r="C169" s="1803"/>
      <c r="D169" s="1803"/>
      <c r="E169" s="1803"/>
      <c r="F169" s="1803"/>
      <c r="G169" s="1803"/>
      <c r="H169" s="1803"/>
    </row>
    <row r="170" spans="1:8" x14ac:dyDescent="0.2">
      <c r="A170" s="1804" t="s">
        <v>1651</v>
      </c>
      <c r="B170" s="1803"/>
      <c r="C170" s="1803"/>
      <c r="D170" s="1803"/>
      <c r="E170" s="1803"/>
      <c r="F170" s="1803"/>
      <c r="G170" s="1803"/>
      <c r="H170" s="1803"/>
    </row>
    <row r="171" spans="1:8" x14ac:dyDescent="0.2">
      <c r="A171" s="1803"/>
      <c r="B171" s="1803"/>
      <c r="C171" s="1803"/>
      <c r="D171" s="1803"/>
      <c r="E171" s="1803"/>
      <c r="F171" s="1803"/>
      <c r="G171" s="1803"/>
      <c r="H171" s="1803"/>
    </row>
    <row r="172" spans="1:8" x14ac:dyDescent="0.2">
      <c r="A172" s="1804" t="s">
        <v>1648</v>
      </c>
      <c r="B172" s="1803"/>
      <c r="C172" s="1803"/>
      <c r="D172" s="1803"/>
      <c r="E172" s="1803"/>
      <c r="F172" s="1803"/>
      <c r="G172" s="1803"/>
      <c r="H172" s="1803"/>
    </row>
    <row r="173" spans="1:8" x14ac:dyDescent="0.2">
      <c r="A173" s="1804" t="s">
        <v>1649</v>
      </c>
      <c r="B173" s="1803"/>
      <c r="C173" s="1803"/>
      <c r="D173" s="1803"/>
      <c r="E173" s="1803"/>
      <c r="F173" s="1803"/>
      <c r="G173" s="1803"/>
      <c r="H173" s="1803"/>
    </row>
    <row r="174" spans="1:8" x14ac:dyDescent="0.2">
      <c r="A174" s="1803"/>
      <c r="B174" s="1803"/>
      <c r="C174" s="1803"/>
      <c r="D174" s="1803"/>
      <c r="E174" s="1803"/>
      <c r="F174" s="1803"/>
      <c r="G174" s="1803"/>
      <c r="H174" s="1803"/>
    </row>
    <row r="175" spans="1:8" x14ac:dyDescent="0.2">
      <c r="A175" s="1804" t="s">
        <v>1645</v>
      </c>
      <c r="B175" s="1803"/>
      <c r="C175" s="1803"/>
      <c r="D175" s="1803"/>
      <c r="E175" s="1803"/>
      <c r="F175" s="1803"/>
      <c r="G175" s="1803"/>
      <c r="H175" s="1803"/>
    </row>
    <row r="176" spans="1:8" x14ac:dyDescent="0.2">
      <c r="A176" s="1804" t="s">
        <v>1646</v>
      </c>
      <c r="B176" s="1803"/>
      <c r="C176" s="1803"/>
      <c r="D176" s="1803"/>
      <c r="E176" s="1803"/>
      <c r="F176" s="1803"/>
      <c r="G176" s="1803"/>
      <c r="H176" s="1803"/>
    </row>
    <row r="177" spans="1:8" x14ac:dyDescent="0.2">
      <c r="A177" s="1804" t="s">
        <v>1647</v>
      </c>
      <c r="B177" s="1803"/>
      <c r="C177" s="1803"/>
      <c r="D177" s="1803"/>
      <c r="E177" s="1803"/>
      <c r="F177" s="1803"/>
      <c r="G177" s="1803"/>
      <c r="H177" s="1803"/>
    </row>
    <row r="178" spans="1:8" x14ac:dyDescent="0.2">
      <c r="A178" s="1803"/>
      <c r="B178" s="1803"/>
      <c r="C178" s="1803"/>
      <c r="D178" s="1803"/>
      <c r="E178" s="1803"/>
      <c r="F178" s="1803"/>
      <c r="G178" s="1803"/>
      <c r="H178" s="1803"/>
    </row>
    <row r="179" spans="1:8" x14ac:dyDescent="0.2">
      <c r="A179" s="1803"/>
      <c r="B179" s="1803"/>
      <c r="C179" s="1803"/>
      <c r="D179" s="1803"/>
      <c r="E179" s="1803"/>
      <c r="F179" s="1803"/>
      <c r="G179" s="1803"/>
      <c r="H179" s="1803"/>
    </row>
    <row r="180" spans="1:8" x14ac:dyDescent="0.2">
      <c r="A180" s="1804" t="s">
        <v>142</v>
      </c>
      <c r="B180" s="1803"/>
      <c r="C180" s="1803"/>
      <c r="D180" s="1803"/>
      <c r="E180" s="1803"/>
      <c r="F180" s="1803"/>
      <c r="G180" s="1803"/>
      <c r="H180" s="1803"/>
    </row>
    <row r="181" spans="1:8" x14ac:dyDescent="0.2">
      <c r="A181" s="1803"/>
      <c r="B181" s="1803"/>
      <c r="C181" s="1803"/>
      <c r="D181" s="1803"/>
      <c r="E181" s="1803"/>
      <c r="F181" s="1803"/>
      <c r="G181" s="1803"/>
      <c r="H181" s="1803"/>
    </row>
    <row r="182" spans="1:8" ht="15.75" x14ac:dyDescent="0.2">
      <c r="A182" s="1805" t="s">
        <v>1478</v>
      </c>
      <c r="B182" s="1803"/>
      <c r="C182" s="1803"/>
      <c r="D182" s="1803"/>
      <c r="E182" s="1803"/>
      <c r="F182" s="1803"/>
      <c r="G182" s="1803"/>
      <c r="H182" s="1803"/>
    </row>
    <row r="183" spans="1:8" x14ac:dyDescent="0.2">
      <c r="A183" s="1803"/>
      <c r="B183" s="1803"/>
      <c r="C183" s="1803"/>
      <c r="D183" s="1803"/>
      <c r="E183" s="1803"/>
      <c r="F183" s="1803"/>
      <c r="G183" s="1803"/>
      <c r="H183" s="1803"/>
    </row>
    <row r="184" spans="1:8" x14ac:dyDescent="0.2">
      <c r="A184" s="1803"/>
      <c r="B184" s="1803"/>
      <c r="C184" s="1803"/>
      <c r="D184" s="1803"/>
      <c r="E184" s="1803"/>
      <c r="F184" s="1803"/>
      <c r="G184" s="1803"/>
      <c r="H184" s="1803"/>
    </row>
    <row r="185" spans="1:8" x14ac:dyDescent="0.2">
      <c r="A185" s="1803"/>
      <c r="B185" s="1803"/>
      <c r="C185" s="1803"/>
      <c r="D185" s="1803"/>
      <c r="E185" s="1803"/>
      <c r="F185" s="1803"/>
      <c r="G185" s="1803"/>
      <c r="H185" s="1803"/>
    </row>
    <row r="186" spans="1:8" x14ac:dyDescent="0.2">
      <c r="A186" s="1803"/>
      <c r="B186" s="1803"/>
      <c r="C186" s="1803"/>
      <c r="D186" s="1803"/>
      <c r="E186" s="1803"/>
      <c r="F186" s="1803"/>
      <c r="G186" s="1803"/>
      <c r="H186" s="1803"/>
    </row>
    <row r="187" spans="1:8" x14ac:dyDescent="0.2">
      <c r="A187" s="1803"/>
      <c r="B187" s="1803"/>
      <c r="C187" s="1803"/>
      <c r="D187" s="1803"/>
      <c r="E187" s="1803"/>
      <c r="F187" s="1803"/>
      <c r="G187" s="1803"/>
      <c r="H187" s="1803"/>
    </row>
    <row r="188" spans="1:8" x14ac:dyDescent="0.2">
      <c r="A188" s="1803"/>
      <c r="B188" s="1803"/>
      <c r="C188" s="1803"/>
      <c r="D188" s="1803"/>
      <c r="E188" s="1803"/>
      <c r="F188" s="1803"/>
      <c r="G188" s="1803"/>
      <c r="H188" s="1803"/>
    </row>
    <row r="189" spans="1:8" x14ac:dyDescent="0.2">
      <c r="A189" s="1803"/>
      <c r="B189" s="1803"/>
      <c r="C189" s="1803"/>
      <c r="D189" s="1803"/>
      <c r="E189" s="1803"/>
      <c r="F189" s="1803"/>
      <c r="G189" s="1803"/>
      <c r="H189" s="1803"/>
    </row>
    <row r="190" spans="1:8" x14ac:dyDescent="0.2">
      <c r="A190" s="1803"/>
      <c r="B190" s="1803"/>
      <c r="C190" s="1803"/>
      <c r="D190" s="1803"/>
      <c r="E190" s="1803"/>
      <c r="F190" s="1803"/>
      <c r="G190" s="1803"/>
      <c r="H190" s="1803"/>
    </row>
    <row r="191" spans="1:8" x14ac:dyDescent="0.2">
      <c r="A191" s="1803"/>
      <c r="B191" s="1803"/>
      <c r="C191" s="1803"/>
      <c r="D191" s="1803"/>
      <c r="E191" s="1803"/>
      <c r="F191" s="1803"/>
      <c r="G191" s="1803"/>
      <c r="H191" s="1803"/>
    </row>
    <row r="192" spans="1:8" x14ac:dyDescent="0.2">
      <c r="A192" s="1803"/>
      <c r="B192" s="1803"/>
      <c r="C192" s="1803"/>
      <c r="D192" s="1803"/>
      <c r="E192" s="1803"/>
      <c r="F192" s="1803"/>
      <c r="G192" s="1803"/>
      <c r="H192" s="1803"/>
    </row>
    <row r="193" spans="1:8" x14ac:dyDescent="0.2">
      <c r="A193" s="1803"/>
      <c r="B193" s="1803"/>
      <c r="C193" s="1803"/>
      <c r="D193" s="1803"/>
      <c r="E193" s="1803"/>
      <c r="F193" s="1803"/>
      <c r="G193" s="1803"/>
      <c r="H193" s="1803"/>
    </row>
    <row r="194" spans="1:8" x14ac:dyDescent="0.2">
      <c r="A194" s="1803"/>
      <c r="B194" s="1803"/>
      <c r="C194" s="1803"/>
      <c r="D194" s="1803"/>
      <c r="E194" s="1803"/>
      <c r="F194" s="1803"/>
      <c r="G194" s="1803"/>
      <c r="H194" s="1803"/>
    </row>
    <row r="195" spans="1:8" x14ac:dyDescent="0.2">
      <c r="A195" s="1803"/>
      <c r="B195" s="1803"/>
      <c r="C195" s="1803"/>
      <c r="D195" s="1803"/>
      <c r="E195" s="1803"/>
      <c r="F195" s="1803"/>
      <c r="G195" s="1803"/>
      <c r="H195" s="1803"/>
    </row>
    <row r="196" spans="1:8" x14ac:dyDescent="0.2">
      <c r="A196" s="1803"/>
      <c r="B196" s="1803"/>
      <c r="C196" s="1803"/>
      <c r="D196" s="1803"/>
      <c r="E196" s="1803"/>
      <c r="F196" s="1803"/>
      <c r="G196" s="1803"/>
      <c r="H196" s="1803"/>
    </row>
    <row r="197" spans="1:8" x14ac:dyDescent="0.2">
      <c r="A197" s="1803"/>
      <c r="B197" s="1803"/>
      <c r="C197" s="1803"/>
      <c r="D197" s="1803"/>
      <c r="E197" s="1803"/>
      <c r="F197" s="1803"/>
      <c r="G197" s="1803"/>
      <c r="H197" s="1803"/>
    </row>
    <row r="198" spans="1:8" x14ac:dyDescent="0.2">
      <c r="A198" s="1803"/>
      <c r="B198" s="1803"/>
      <c r="C198" s="1803"/>
      <c r="D198" s="1803"/>
      <c r="E198" s="1803"/>
      <c r="F198" s="1803"/>
      <c r="G198" s="1803"/>
      <c r="H198" s="1803"/>
    </row>
    <row r="199" spans="1:8" x14ac:dyDescent="0.2">
      <c r="A199" s="1803"/>
      <c r="B199" s="1803"/>
      <c r="C199" s="1803"/>
      <c r="D199" s="1803"/>
      <c r="E199" s="1803"/>
      <c r="F199" s="1803"/>
      <c r="G199" s="1803"/>
      <c r="H199" s="1803"/>
    </row>
    <row r="200" spans="1:8" x14ac:dyDescent="0.2">
      <c r="A200" s="1803"/>
      <c r="B200" s="1803"/>
      <c r="C200" s="1803"/>
      <c r="D200" s="1803"/>
      <c r="E200" s="1803"/>
      <c r="F200" s="1803"/>
      <c r="G200" s="1803"/>
      <c r="H200" s="1803"/>
    </row>
    <row r="201" spans="1:8" x14ac:dyDescent="0.2">
      <c r="A201" s="1803"/>
      <c r="B201" s="1803"/>
      <c r="C201" s="1803"/>
      <c r="D201" s="1803"/>
      <c r="E201" s="1803"/>
      <c r="F201" s="1803"/>
      <c r="G201" s="1803"/>
      <c r="H201" s="1803"/>
    </row>
    <row r="202" spans="1:8" x14ac:dyDescent="0.2">
      <c r="A202" s="1803"/>
      <c r="B202" s="1803"/>
      <c r="C202" s="1803"/>
      <c r="D202" s="1803"/>
      <c r="E202" s="1803"/>
      <c r="F202" s="1803"/>
      <c r="G202" s="1803"/>
      <c r="H202" s="1803"/>
    </row>
    <row r="203" spans="1:8" x14ac:dyDescent="0.2">
      <c r="A203" s="1803"/>
      <c r="B203" s="1803"/>
      <c r="C203" s="1803"/>
      <c r="D203" s="1803"/>
      <c r="E203" s="1803"/>
      <c r="F203" s="1803"/>
      <c r="G203" s="1803"/>
      <c r="H203" s="1803"/>
    </row>
    <row r="204" spans="1:8" x14ac:dyDescent="0.2">
      <c r="A204" s="1803"/>
      <c r="B204" s="1803"/>
      <c r="C204" s="1803"/>
      <c r="D204" s="1803"/>
      <c r="E204" s="1803"/>
      <c r="F204" s="1803"/>
      <c r="G204" s="1803"/>
      <c r="H204" s="1803"/>
    </row>
    <row r="205" spans="1:8" x14ac:dyDescent="0.2">
      <c r="A205" s="1803"/>
      <c r="B205" s="1803"/>
      <c r="C205" s="1803"/>
      <c r="D205" s="1803"/>
      <c r="E205" s="1803"/>
      <c r="F205" s="1803"/>
      <c r="G205" s="1803"/>
      <c r="H205" s="1803"/>
    </row>
    <row r="206" spans="1:8" x14ac:dyDescent="0.2">
      <c r="A206" s="1803"/>
      <c r="B206" s="1803"/>
      <c r="C206" s="1803"/>
      <c r="D206" s="1803"/>
      <c r="E206" s="1803"/>
      <c r="F206" s="1803"/>
      <c r="G206" s="1803"/>
      <c r="H206" s="1803"/>
    </row>
    <row r="207" spans="1:8" x14ac:dyDescent="0.2">
      <c r="A207" s="1803"/>
      <c r="B207" s="1803"/>
      <c r="C207" s="1803"/>
      <c r="D207" s="1803"/>
      <c r="E207" s="1803"/>
      <c r="F207" s="1803"/>
      <c r="G207" s="1803"/>
      <c r="H207" s="1803"/>
    </row>
    <row r="208" spans="1:8" x14ac:dyDescent="0.2">
      <c r="A208" s="1803"/>
      <c r="B208" s="1803"/>
      <c r="C208" s="1803"/>
      <c r="D208" s="1803"/>
      <c r="E208" s="1803"/>
      <c r="F208" s="1803"/>
      <c r="G208" s="1803"/>
      <c r="H208" s="1803"/>
    </row>
    <row r="209" spans="1:8" ht="15.75" x14ac:dyDescent="0.2">
      <c r="A209" s="1805" t="s">
        <v>1479</v>
      </c>
      <c r="B209" s="1803"/>
      <c r="C209" s="1803"/>
      <c r="D209" s="1803"/>
      <c r="E209" s="1803"/>
      <c r="F209" s="1803"/>
      <c r="G209" s="1803"/>
      <c r="H209" s="1803"/>
    </row>
    <row r="210" spans="1:8" x14ac:dyDescent="0.2">
      <c r="A210" s="1803"/>
      <c r="B210" s="1803"/>
      <c r="C210" s="1803"/>
      <c r="D210" s="1803"/>
      <c r="E210" s="1803"/>
      <c r="F210" s="1803"/>
      <c r="G210" s="1803"/>
      <c r="H210" s="1803"/>
    </row>
    <row r="211" spans="1:8" x14ac:dyDescent="0.2">
      <c r="A211" s="1804" t="s">
        <v>1640</v>
      </c>
      <c r="B211" s="1803"/>
      <c r="C211" s="1803"/>
      <c r="D211" s="1803"/>
      <c r="E211" s="1803"/>
      <c r="F211" s="1803"/>
      <c r="G211" s="1803"/>
      <c r="H211" s="1803"/>
    </row>
    <row r="212" spans="1:8" x14ac:dyDescent="0.2">
      <c r="A212" s="1804" t="s">
        <v>1641</v>
      </c>
      <c r="B212" s="1803"/>
      <c r="C212" s="1803"/>
      <c r="D212" s="1803"/>
      <c r="E212" s="1803"/>
      <c r="F212" s="1803"/>
      <c r="G212" s="1803"/>
      <c r="H212" s="1803"/>
    </row>
    <row r="213" spans="1:8" x14ac:dyDescent="0.2">
      <c r="A213" s="1804" t="s">
        <v>1642</v>
      </c>
      <c r="B213" s="1803"/>
      <c r="C213" s="1803"/>
      <c r="D213" s="1803"/>
      <c r="E213" s="1803"/>
      <c r="F213" s="1803"/>
      <c r="G213" s="1803"/>
      <c r="H213" s="1803"/>
    </row>
    <row r="214" spans="1:8" x14ac:dyDescent="0.2">
      <c r="A214" s="1804" t="s">
        <v>1643</v>
      </c>
      <c r="B214" s="1803"/>
      <c r="C214" s="1803"/>
      <c r="D214" s="1803"/>
      <c r="E214" s="1803"/>
      <c r="F214" s="1803"/>
      <c r="G214" s="1803"/>
      <c r="H214" s="1803"/>
    </row>
    <row r="215" spans="1:8" x14ac:dyDescent="0.2">
      <c r="A215" s="1804" t="s">
        <v>1644</v>
      </c>
      <c r="B215" s="1803"/>
      <c r="C215" s="1803"/>
      <c r="D215" s="1803"/>
      <c r="E215" s="1803"/>
      <c r="F215" s="1803"/>
      <c r="G215" s="1803"/>
      <c r="H215" s="1803"/>
    </row>
    <row r="216" spans="1:8" x14ac:dyDescent="0.2">
      <c r="A216" s="1803"/>
      <c r="B216" s="1803"/>
      <c r="C216" s="1803"/>
      <c r="D216" s="1803"/>
      <c r="E216" s="1803"/>
      <c r="F216" s="1803"/>
      <c r="G216" s="1803"/>
      <c r="H216" s="1803"/>
    </row>
    <row r="217" spans="1:8" x14ac:dyDescent="0.2">
      <c r="A217" s="1804" t="s">
        <v>1637</v>
      </c>
      <c r="B217" s="1803"/>
      <c r="C217" s="1803"/>
      <c r="D217" s="1803"/>
      <c r="E217" s="1803"/>
      <c r="F217" s="1803"/>
      <c r="G217" s="1803"/>
      <c r="H217" s="1803"/>
    </row>
    <row r="218" spans="1:8" x14ac:dyDescent="0.2">
      <c r="A218" s="1804" t="s">
        <v>1638</v>
      </c>
      <c r="B218" s="1803"/>
      <c r="C218" s="1803"/>
      <c r="D218" s="1803"/>
      <c r="E218" s="1803"/>
      <c r="F218" s="1803"/>
      <c r="G218" s="1803"/>
      <c r="H218" s="1803"/>
    </row>
    <row r="219" spans="1:8" x14ac:dyDescent="0.2">
      <c r="A219" s="1804" t="s">
        <v>1639</v>
      </c>
      <c r="B219" s="1803"/>
      <c r="C219" s="1803"/>
      <c r="D219" s="1803"/>
      <c r="E219" s="1803"/>
      <c r="F219" s="1803"/>
      <c r="G219" s="1803"/>
      <c r="H219" s="1803"/>
    </row>
    <row r="220" spans="1:8" ht="15.75" x14ac:dyDescent="0.2">
      <c r="A220" s="1805" t="s">
        <v>1480</v>
      </c>
      <c r="B220" s="1803"/>
      <c r="C220" s="1803"/>
      <c r="D220" s="1803"/>
      <c r="E220" s="1803"/>
      <c r="F220" s="1803"/>
      <c r="G220" s="1803"/>
      <c r="H220" s="1803"/>
    </row>
    <row r="221" spans="1:8" x14ac:dyDescent="0.2">
      <c r="A221" s="1803"/>
      <c r="B221" s="1803"/>
      <c r="C221" s="1803"/>
      <c r="D221" s="1803"/>
      <c r="E221" s="1803"/>
      <c r="F221" s="1803"/>
      <c r="G221" s="1803"/>
      <c r="H221" s="1803"/>
    </row>
    <row r="222" spans="1:8" x14ac:dyDescent="0.2">
      <c r="A222" s="1804" t="s">
        <v>1635</v>
      </c>
      <c r="B222" s="1803"/>
      <c r="C222" s="1803"/>
      <c r="D222" s="1803"/>
      <c r="E222" s="1803"/>
      <c r="F222" s="1803"/>
      <c r="G222" s="1803"/>
      <c r="H222" s="1803"/>
    </row>
    <row r="223" spans="1:8" x14ac:dyDescent="0.2">
      <c r="A223" s="1804" t="s">
        <v>1636</v>
      </c>
      <c r="B223" s="1803"/>
      <c r="C223" s="1803"/>
      <c r="D223" s="1803"/>
      <c r="E223" s="1803"/>
      <c r="F223" s="1803"/>
      <c r="G223" s="1803"/>
      <c r="H223" s="1803"/>
    </row>
    <row r="224" spans="1:8" x14ac:dyDescent="0.2">
      <c r="A224" s="1803"/>
      <c r="B224" s="1803"/>
      <c r="C224" s="1803"/>
      <c r="D224" s="1803"/>
      <c r="E224" s="1803"/>
      <c r="F224" s="1803"/>
      <c r="G224" s="1803"/>
      <c r="H224" s="1803"/>
    </row>
    <row r="225" spans="1:8" x14ac:dyDescent="0.2">
      <c r="A225" s="1804" t="s">
        <v>1628</v>
      </c>
      <c r="B225" s="1803"/>
      <c r="C225" s="1803"/>
      <c r="D225" s="1803"/>
      <c r="E225" s="1803"/>
      <c r="F225" s="1803"/>
      <c r="G225" s="1803"/>
      <c r="H225" s="1803"/>
    </row>
    <row r="226" spans="1:8" x14ac:dyDescent="0.2">
      <c r="A226" s="1804" t="s">
        <v>1629</v>
      </c>
      <c r="B226" s="1803"/>
      <c r="C226" s="1803"/>
      <c r="D226" s="1803"/>
      <c r="E226" s="1803"/>
      <c r="F226" s="1803"/>
      <c r="G226" s="1803"/>
      <c r="H226" s="1803"/>
    </row>
    <row r="227" spans="1:8" x14ac:dyDescent="0.2">
      <c r="A227" s="1804" t="s">
        <v>1630</v>
      </c>
      <c r="B227" s="1803"/>
      <c r="C227" s="1803"/>
      <c r="D227" s="1803"/>
      <c r="E227" s="1803"/>
      <c r="F227" s="1803"/>
      <c r="G227" s="1803"/>
      <c r="H227" s="1803"/>
    </row>
    <row r="228" spans="1:8" x14ac:dyDescent="0.2">
      <c r="A228" s="1804" t="s">
        <v>1631</v>
      </c>
      <c r="B228" s="1803"/>
      <c r="C228" s="1803"/>
      <c r="D228" s="1803"/>
      <c r="E228" s="1803"/>
      <c r="F228" s="1803"/>
      <c r="G228" s="1803"/>
      <c r="H228" s="1803"/>
    </row>
    <row r="229" spans="1:8" x14ac:dyDescent="0.2">
      <c r="A229" s="1804" t="s">
        <v>1632</v>
      </c>
      <c r="B229" s="1803"/>
      <c r="C229" s="1803"/>
      <c r="D229" s="1803"/>
      <c r="E229" s="1803"/>
      <c r="F229" s="1803"/>
      <c r="G229" s="1803"/>
      <c r="H229" s="1803"/>
    </row>
    <row r="230" spans="1:8" x14ac:dyDescent="0.2">
      <c r="A230" s="1804" t="s">
        <v>1633</v>
      </c>
      <c r="B230" s="1803"/>
      <c r="C230" s="1803"/>
      <c r="D230" s="1803"/>
      <c r="E230" s="1803"/>
      <c r="F230" s="1803"/>
      <c r="G230" s="1803"/>
      <c r="H230" s="1803"/>
    </row>
    <row r="231" spans="1:8" x14ac:dyDescent="0.2">
      <c r="A231" s="1804" t="s">
        <v>1634</v>
      </c>
      <c r="B231" s="1803"/>
      <c r="C231" s="1803"/>
      <c r="D231" s="1803"/>
      <c r="E231" s="1803"/>
      <c r="F231" s="1803"/>
      <c r="G231" s="1803"/>
      <c r="H231" s="1803"/>
    </row>
    <row r="232" spans="1:8" x14ac:dyDescent="0.2">
      <c r="A232" s="1803"/>
      <c r="B232" s="1803"/>
      <c r="C232" s="1803"/>
      <c r="D232" s="1803"/>
      <c r="E232" s="1803"/>
      <c r="F232" s="1803"/>
      <c r="G232" s="1803"/>
      <c r="H232" s="1803"/>
    </row>
    <row r="233" spans="1:8" x14ac:dyDescent="0.2">
      <c r="A233" s="1804" t="s">
        <v>1625</v>
      </c>
      <c r="B233" s="1803"/>
      <c r="C233" s="1803"/>
      <c r="D233" s="1803"/>
      <c r="E233" s="1803"/>
      <c r="F233" s="1803"/>
      <c r="G233" s="1803"/>
      <c r="H233" s="1803"/>
    </row>
    <row r="234" spans="1:8" x14ac:dyDescent="0.2">
      <c r="A234" s="1804" t="s">
        <v>1626</v>
      </c>
      <c r="B234" s="1803"/>
      <c r="C234" s="1803"/>
      <c r="D234" s="1803"/>
      <c r="E234" s="1803"/>
      <c r="F234" s="1803"/>
      <c r="G234" s="1803"/>
      <c r="H234" s="1803"/>
    </row>
    <row r="235" spans="1:8" x14ac:dyDescent="0.2">
      <c r="A235" s="1804" t="s">
        <v>1627</v>
      </c>
      <c r="B235" s="1803"/>
      <c r="C235" s="1803"/>
      <c r="D235" s="1803"/>
      <c r="E235" s="1803"/>
      <c r="F235" s="1803"/>
      <c r="G235" s="1803"/>
      <c r="H235" s="1803"/>
    </row>
    <row r="236" spans="1:8" x14ac:dyDescent="0.2">
      <c r="A236" s="1803"/>
      <c r="B236" s="1803"/>
      <c r="C236" s="1803"/>
      <c r="D236" s="1803"/>
      <c r="E236" s="1803"/>
      <c r="F236" s="1803"/>
      <c r="G236" s="1803"/>
      <c r="H236" s="1803"/>
    </row>
    <row r="237" spans="1:8" x14ac:dyDescent="0.2">
      <c r="A237" s="1804" t="s">
        <v>1620</v>
      </c>
      <c r="B237" s="1803"/>
      <c r="C237" s="1803"/>
      <c r="D237" s="1803"/>
      <c r="E237" s="1803"/>
      <c r="F237" s="1803"/>
      <c r="G237" s="1803"/>
      <c r="H237" s="1803"/>
    </row>
    <row r="238" spans="1:8" x14ac:dyDescent="0.2">
      <c r="A238" s="1804" t="s">
        <v>1621</v>
      </c>
      <c r="B238" s="1803"/>
      <c r="C238" s="1803"/>
      <c r="D238" s="1803"/>
      <c r="E238" s="1803"/>
      <c r="F238" s="1803"/>
      <c r="G238" s="1803"/>
      <c r="H238" s="1803"/>
    </row>
    <row r="239" spans="1:8" x14ac:dyDescent="0.2">
      <c r="A239" s="1804" t="s">
        <v>1622</v>
      </c>
      <c r="B239" s="1803"/>
      <c r="C239" s="1803"/>
      <c r="D239" s="1803"/>
      <c r="E239" s="1803"/>
      <c r="F239" s="1803"/>
      <c r="G239" s="1803"/>
      <c r="H239" s="1803"/>
    </row>
    <row r="240" spans="1:8" x14ac:dyDescent="0.2">
      <c r="A240" s="1804" t="s">
        <v>1623</v>
      </c>
      <c r="B240" s="1803"/>
      <c r="C240" s="1803"/>
      <c r="D240" s="1803"/>
      <c r="E240" s="1803"/>
      <c r="F240" s="1803"/>
      <c r="G240" s="1803"/>
      <c r="H240" s="1803"/>
    </row>
    <row r="241" spans="1:8" x14ac:dyDescent="0.2">
      <c r="A241" s="1804" t="s">
        <v>1624</v>
      </c>
      <c r="B241" s="1803"/>
      <c r="C241" s="1803"/>
      <c r="D241" s="1803"/>
      <c r="E241" s="1803"/>
      <c r="F241" s="1803"/>
      <c r="G241" s="1803"/>
      <c r="H241" s="1803"/>
    </row>
    <row r="242" spans="1:8" x14ac:dyDescent="0.2">
      <c r="A242" s="1803"/>
      <c r="B242" s="1803"/>
      <c r="C242" s="1803"/>
      <c r="D242" s="1803"/>
      <c r="E242" s="1803"/>
      <c r="F242" s="1803"/>
      <c r="G242" s="1803"/>
      <c r="H242" s="1803"/>
    </row>
    <row r="243" spans="1:8" x14ac:dyDescent="0.2">
      <c r="A243" s="1804" t="s">
        <v>1614</v>
      </c>
      <c r="B243" s="1803"/>
      <c r="C243" s="1803"/>
      <c r="D243" s="1803"/>
      <c r="E243" s="1803"/>
      <c r="F243" s="1803"/>
      <c r="G243" s="1803"/>
      <c r="H243" s="1803"/>
    </row>
    <row r="244" spans="1:8" x14ac:dyDescent="0.2">
      <c r="A244" s="1804" t="s">
        <v>1615</v>
      </c>
      <c r="B244" s="1803"/>
      <c r="C244" s="1803"/>
      <c r="D244" s="1803"/>
      <c r="E244" s="1803"/>
      <c r="F244" s="1803"/>
      <c r="G244" s="1803"/>
      <c r="H244" s="1803"/>
    </row>
    <row r="245" spans="1:8" x14ac:dyDescent="0.2">
      <c r="A245" s="1804" t="s">
        <v>1616</v>
      </c>
      <c r="B245" s="1803"/>
      <c r="C245" s="1803"/>
      <c r="D245" s="1803"/>
      <c r="E245" s="1803"/>
      <c r="F245" s="1803"/>
      <c r="G245" s="1803"/>
      <c r="H245" s="1803"/>
    </row>
    <row r="246" spans="1:8" x14ac:dyDescent="0.2">
      <c r="A246" s="1804" t="s">
        <v>1617</v>
      </c>
      <c r="B246" s="1803"/>
      <c r="C246" s="1803"/>
      <c r="D246" s="1803"/>
      <c r="E246" s="1803"/>
      <c r="F246" s="1803"/>
      <c r="G246" s="1803"/>
      <c r="H246" s="1803"/>
    </row>
    <row r="247" spans="1:8" x14ac:dyDescent="0.2">
      <c r="A247" s="1804" t="s">
        <v>1618</v>
      </c>
      <c r="B247" s="1803"/>
      <c r="C247" s="1803"/>
      <c r="D247" s="1803"/>
      <c r="E247" s="1803"/>
      <c r="F247" s="1803"/>
      <c r="G247" s="1803"/>
      <c r="H247" s="1803"/>
    </row>
    <row r="248" spans="1:8" x14ac:dyDescent="0.2">
      <c r="A248" s="1804" t="s">
        <v>1619</v>
      </c>
      <c r="B248" s="1803"/>
      <c r="C248" s="1803"/>
      <c r="D248" s="1803"/>
      <c r="E248" s="1803"/>
      <c r="F248" s="1803"/>
      <c r="G248" s="1803"/>
      <c r="H248" s="1803"/>
    </row>
    <row r="249" spans="1:8" x14ac:dyDescent="0.2">
      <c r="A249" s="1803"/>
      <c r="B249" s="1803"/>
      <c r="C249" s="1803"/>
      <c r="D249" s="1803"/>
      <c r="E249" s="1803"/>
      <c r="F249" s="1803"/>
      <c r="G249" s="1803"/>
      <c r="H249" s="1803"/>
    </row>
    <row r="250" spans="1:8" x14ac:dyDescent="0.2">
      <c r="A250" s="1804" t="s">
        <v>1604</v>
      </c>
      <c r="B250" s="1803"/>
      <c r="C250" s="1803"/>
      <c r="D250" s="1803"/>
      <c r="E250" s="1803"/>
      <c r="F250" s="1803"/>
      <c r="G250" s="1803"/>
      <c r="H250" s="1803"/>
    </row>
    <row r="251" spans="1:8" x14ac:dyDescent="0.2">
      <c r="A251" s="1804" t="s">
        <v>1605</v>
      </c>
      <c r="B251" s="1803"/>
      <c r="C251" s="1803"/>
      <c r="D251" s="1803"/>
      <c r="E251" s="1803"/>
      <c r="F251" s="1803"/>
      <c r="G251" s="1803"/>
      <c r="H251" s="1803"/>
    </row>
    <row r="252" spans="1:8" x14ac:dyDescent="0.2">
      <c r="A252" s="1804" t="s">
        <v>1606</v>
      </c>
      <c r="B252" s="1803"/>
      <c r="C252" s="1803"/>
      <c r="D252" s="1803"/>
      <c r="E252" s="1803"/>
      <c r="F252" s="1803"/>
      <c r="G252" s="1803"/>
      <c r="H252" s="1803"/>
    </row>
    <row r="253" spans="1:8" x14ac:dyDescent="0.2">
      <c r="A253" s="1804" t="s">
        <v>1607</v>
      </c>
      <c r="B253" s="1803"/>
      <c r="C253" s="1803"/>
      <c r="D253" s="1803"/>
      <c r="E253" s="1803"/>
      <c r="F253" s="1803"/>
      <c r="G253" s="1803"/>
      <c r="H253" s="1803"/>
    </row>
    <row r="254" spans="1:8" x14ac:dyDescent="0.2">
      <c r="A254" s="1804" t="s">
        <v>1608</v>
      </c>
      <c r="B254" s="1803"/>
      <c r="C254" s="1803"/>
      <c r="D254" s="1803"/>
      <c r="E254" s="1803"/>
      <c r="F254" s="1803"/>
      <c r="G254" s="1803"/>
      <c r="H254" s="1803"/>
    </row>
    <row r="255" spans="1:8" x14ac:dyDescent="0.2">
      <c r="A255" s="1804" t="s">
        <v>1609</v>
      </c>
      <c r="B255" s="1803"/>
      <c r="C255" s="1803"/>
      <c r="D255" s="1803"/>
      <c r="E255" s="1803"/>
      <c r="F255" s="1803"/>
      <c r="G255" s="1803"/>
      <c r="H255" s="1803"/>
    </row>
    <row r="256" spans="1:8" x14ac:dyDescent="0.2">
      <c r="A256" s="1804" t="s">
        <v>1610</v>
      </c>
      <c r="B256" s="1803"/>
      <c r="C256" s="1803"/>
      <c r="D256" s="1803"/>
      <c r="E256" s="1803"/>
      <c r="F256" s="1803"/>
      <c r="G256" s="1803"/>
      <c r="H256" s="1803"/>
    </row>
    <row r="257" spans="1:8" x14ac:dyDescent="0.2">
      <c r="A257" s="1804" t="s">
        <v>1611</v>
      </c>
      <c r="B257" s="1803"/>
      <c r="C257" s="1803"/>
      <c r="D257" s="1803"/>
      <c r="E257" s="1803"/>
      <c r="F257" s="1803"/>
      <c r="G257" s="1803"/>
      <c r="H257" s="1803"/>
    </row>
    <row r="258" spans="1:8" x14ac:dyDescent="0.2">
      <c r="A258" s="1804" t="s">
        <v>1612</v>
      </c>
      <c r="B258" s="1803"/>
      <c r="C258" s="1803"/>
      <c r="D258" s="1803"/>
      <c r="E258" s="1803"/>
      <c r="F258" s="1803"/>
      <c r="G258" s="1803"/>
      <c r="H258" s="1803"/>
    </row>
    <row r="259" spans="1:8" x14ac:dyDescent="0.2">
      <c r="A259" s="1804" t="s">
        <v>1613</v>
      </c>
      <c r="B259" s="1803"/>
      <c r="C259" s="1803"/>
      <c r="D259" s="1803"/>
      <c r="E259" s="1803"/>
      <c r="F259" s="1803"/>
      <c r="G259" s="1803"/>
      <c r="H259" s="1803"/>
    </row>
    <row r="260" spans="1:8" x14ac:dyDescent="0.2">
      <c r="A260" s="1803"/>
      <c r="B260" s="1803"/>
      <c r="C260" s="1803"/>
      <c r="D260" s="1803"/>
      <c r="E260" s="1803"/>
      <c r="F260" s="1803"/>
      <c r="G260" s="1803"/>
      <c r="H260" s="1803"/>
    </row>
    <row r="261" spans="1:8" x14ac:dyDescent="0.2">
      <c r="A261" s="1804" t="s">
        <v>1602</v>
      </c>
      <c r="B261" s="1803"/>
      <c r="C261" s="1803"/>
      <c r="D261" s="1803"/>
      <c r="E261" s="1803"/>
      <c r="F261" s="1803"/>
      <c r="G261" s="1803"/>
      <c r="H261" s="1803"/>
    </row>
    <row r="262" spans="1:8" x14ac:dyDescent="0.2">
      <c r="A262" s="1804" t="s">
        <v>1603</v>
      </c>
      <c r="B262" s="1803"/>
      <c r="C262" s="1803"/>
      <c r="D262" s="1803"/>
      <c r="E262" s="1803"/>
      <c r="F262" s="1803"/>
      <c r="G262" s="1803"/>
      <c r="H262" s="1803"/>
    </row>
    <row r="263" spans="1:8" x14ac:dyDescent="0.2">
      <c r="A263" s="1803"/>
      <c r="B263" s="1803"/>
      <c r="C263" s="1803"/>
      <c r="D263" s="1803"/>
      <c r="E263" s="1803"/>
      <c r="F263" s="1803"/>
      <c r="G263" s="1803"/>
      <c r="H263" s="1803"/>
    </row>
    <row r="264" spans="1:8" x14ac:dyDescent="0.2">
      <c r="A264" s="1804" t="s">
        <v>1586</v>
      </c>
      <c r="B264" s="1803"/>
      <c r="C264" s="1803"/>
      <c r="D264" s="1803"/>
      <c r="E264" s="1803"/>
      <c r="F264" s="1803"/>
      <c r="G264" s="1803"/>
      <c r="H264" s="1803"/>
    </row>
    <row r="265" spans="1:8" x14ac:dyDescent="0.2">
      <c r="A265" s="1804" t="s">
        <v>1587</v>
      </c>
      <c r="B265" s="1803"/>
      <c r="C265" s="1803"/>
      <c r="D265" s="1803"/>
      <c r="E265" s="1803"/>
      <c r="F265" s="1803"/>
      <c r="G265" s="1803"/>
      <c r="H265" s="1803"/>
    </row>
    <row r="266" spans="1:8" x14ac:dyDescent="0.2">
      <c r="A266" s="1804" t="s">
        <v>1588</v>
      </c>
      <c r="B266" s="1803"/>
      <c r="C266" s="1803"/>
      <c r="D266" s="1803"/>
      <c r="E266" s="1803"/>
      <c r="F266" s="1803"/>
      <c r="G266" s="1803"/>
      <c r="H266" s="1803"/>
    </row>
    <row r="267" spans="1:8" x14ac:dyDescent="0.2">
      <c r="A267" s="1804" t="s">
        <v>1589</v>
      </c>
      <c r="B267" s="1803"/>
      <c r="C267" s="1803"/>
      <c r="D267" s="1803"/>
      <c r="E267" s="1803"/>
      <c r="F267" s="1803"/>
      <c r="G267" s="1803"/>
      <c r="H267" s="1803"/>
    </row>
    <row r="268" spans="1:8" x14ac:dyDescent="0.2">
      <c r="A268" s="1804" t="s">
        <v>1590</v>
      </c>
      <c r="B268" s="1803"/>
      <c r="C268" s="1803"/>
      <c r="D268" s="1803"/>
      <c r="E268" s="1803"/>
      <c r="F268" s="1803"/>
      <c r="G268" s="1803"/>
      <c r="H268" s="1803"/>
    </row>
    <row r="269" spans="1:8" x14ac:dyDescent="0.2">
      <c r="A269" s="1804" t="s">
        <v>1591</v>
      </c>
      <c r="B269" s="1803"/>
      <c r="C269" s="1803"/>
      <c r="D269" s="1803"/>
      <c r="E269" s="1803"/>
      <c r="F269" s="1803"/>
      <c r="G269" s="1803"/>
      <c r="H269" s="1803"/>
    </row>
    <row r="270" spans="1:8" x14ac:dyDescent="0.2">
      <c r="A270" s="1804" t="s">
        <v>1592</v>
      </c>
      <c r="B270" s="1803"/>
      <c r="C270" s="1803"/>
      <c r="D270" s="1803"/>
      <c r="E270" s="1803"/>
      <c r="F270" s="1803"/>
      <c r="G270" s="1803"/>
      <c r="H270" s="1803"/>
    </row>
    <row r="271" spans="1:8" x14ac:dyDescent="0.2">
      <c r="A271" s="1804" t="s">
        <v>1593</v>
      </c>
      <c r="B271" s="1803"/>
      <c r="C271" s="1803"/>
      <c r="D271" s="1803"/>
      <c r="E271" s="1803"/>
      <c r="F271" s="1803"/>
      <c r="G271" s="1803"/>
      <c r="H271" s="1803"/>
    </row>
    <row r="272" spans="1:8" x14ac:dyDescent="0.2">
      <c r="A272" s="1804" t="s">
        <v>1594</v>
      </c>
      <c r="B272" s="1803"/>
      <c r="C272" s="1803"/>
      <c r="D272" s="1803"/>
      <c r="E272" s="1803"/>
      <c r="F272" s="1803"/>
      <c r="G272" s="1803"/>
      <c r="H272" s="1803"/>
    </row>
    <row r="273" spans="1:8" x14ac:dyDescent="0.2">
      <c r="A273" s="1804" t="s">
        <v>1595</v>
      </c>
      <c r="B273" s="1803"/>
      <c r="C273" s="1803"/>
      <c r="D273" s="1803"/>
      <c r="E273" s="1803"/>
      <c r="F273" s="1803"/>
      <c r="G273" s="1803"/>
      <c r="H273" s="1803"/>
    </row>
    <row r="274" spans="1:8" x14ac:dyDescent="0.2">
      <c r="A274" s="1804" t="s">
        <v>1596</v>
      </c>
      <c r="B274" s="1803"/>
      <c r="C274" s="1803"/>
      <c r="D274" s="1803"/>
      <c r="E274" s="1803"/>
      <c r="F274" s="1803"/>
      <c r="G274" s="1803"/>
      <c r="H274" s="1803"/>
    </row>
    <row r="275" spans="1:8" x14ac:dyDescent="0.2">
      <c r="A275" s="1804" t="s">
        <v>1597</v>
      </c>
      <c r="B275" s="1803"/>
      <c r="C275" s="1803"/>
      <c r="D275" s="1803"/>
      <c r="E275" s="1803"/>
      <c r="F275" s="1803"/>
      <c r="G275" s="1803"/>
      <c r="H275" s="1803"/>
    </row>
    <row r="276" spans="1:8" x14ac:dyDescent="0.2">
      <c r="A276" s="1804" t="s">
        <v>1598</v>
      </c>
      <c r="B276" s="1803"/>
      <c r="C276" s="1803"/>
      <c r="D276" s="1803"/>
      <c r="E276" s="1803"/>
      <c r="F276" s="1803"/>
      <c r="G276" s="1803"/>
      <c r="H276" s="1803"/>
    </row>
    <row r="277" spans="1:8" x14ac:dyDescent="0.2">
      <c r="A277" s="1804" t="s">
        <v>1599</v>
      </c>
      <c r="B277" s="1803"/>
      <c r="C277" s="1803"/>
      <c r="D277" s="1803"/>
      <c r="E277" s="1803"/>
      <c r="F277" s="1803"/>
      <c r="G277" s="1803"/>
      <c r="H277" s="1803"/>
    </row>
    <row r="278" spans="1:8" x14ac:dyDescent="0.2">
      <c r="A278" s="1804" t="s">
        <v>1600</v>
      </c>
      <c r="B278" s="1803"/>
      <c r="C278" s="1803"/>
      <c r="D278" s="1803"/>
      <c r="E278" s="1803"/>
      <c r="F278" s="1803"/>
      <c r="G278" s="1803"/>
      <c r="H278" s="1803"/>
    </row>
    <row r="279" spans="1:8" x14ac:dyDescent="0.2">
      <c r="A279" s="1804" t="s">
        <v>1601</v>
      </c>
      <c r="B279" s="1803"/>
      <c r="C279" s="1803"/>
      <c r="D279" s="1803"/>
      <c r="E279" s="1803"/>
      <c r="F279" s="1803"/>
      <c r="G279" s="1803"/>
      <c r="H279" s="1803"/>
    </row>
    <row r="280" spans="1:8" x14ac:dyDescent="0.2">
      <c r="A280" s="1803"/>
      <c r="B280" s="1803"/>
      <c r="C280" s="1803"/>
      <c r="D280" s="1803"/>
      <c r="E280" s="1803"/>
      <c r="F280" s="1803"/>
      <c r="G280" s="1803"/>
      <c r="H280" s="1803"/>
    </row>
    <row r="281" spans="1:8" x14ac:dyDescent="0.2">
      <c r="A281" s="1804" t="s">
        <v>1579</v>
      </c>
      <c r="B281" s="1803"/>
      <c r="C281" s="1803"/>
      <c r="D281" s="1803"/>
      <c r="E281" s="1803"/>
      <c r="F281" s="1803"/>
      <c r="G281" s="1803"/>
      <c r="H281" s="1803"/>
    </row>
    <row r="282" spans="1:8" x14ac:dyDescent="0.2">
      <c r="A282" s="1804" t="s">
        <v>1580</v>
      </c>
      <c r="B282" s="1803"/>
      <c r="C282" s="1803"/>
      <c r="D282" s="1803"/>
      <c r="E282" s="1803"/>
      <c r="F282" s="1803"/>
      <c r="G282" s="1803"/>
      <c r="H282" s="1803"/>
    </row>
    <row r="283" spans="1:8" x14ac:dyDescent="0.2">
      <c r="A283" s="1804" t="s">
        <v>1581</v>
      </c>
      <c r="B283" s="1803"/>
      <c r="C283" s="1803"/>
      <c r="D283" s="1803"/>
      <c r="E283" s="1803"/>
      <c r="F283" s="1803"/>
      <c r="G283" s="1803"/>
      <c r="H283" s="1803"/>
    </row>
    <row r="284" spans="1:8" x14ac:dyDescent="0.2">
      <c r="A284" s="1804" t="s">
        <v>1582</v>
      </c>
      <c r="B284" s="1803"/>
      <c r="C284" s="1803"/>
      <c r="D284" s="1803"/>
      <c r="E284" s="1803"/>
      <c r="F284" s="1803"/>
      <c r="G284" s="1803"/>
      <c r="H284" s="1803"/>
    </row>
    <row r="285" spans="1:8" x14ac:dyDescent="0.2">
      <c r="A285" s="1804" t="s">
        <v>1583</v>
      </c>
      <c r="B285" s="1803"/>
      <c r="C285" s="1803"/>
      <c r="D285" s="1803"/>
      <c r="E285" s="1803"/>
      <c r="F285" s="1803"/>
      <c r="G285" s="1803"/>
      <c r="H285" s="1803"/>
    </row>
    <row r="286" spans="1:8" x14ac:dyDescent="0.2">
      <c r="A286" s="1804" t="s">
        <v>1584</v>
      </c>
      <c r="B286" s="1803"/>
      <c r="C286" s="1803"/>
      <c r="D286" s="1803"/>
      <c r="E286" s="1803"/>
      <c r="F286" s="1803"/>
      <c r="G286" s="1803"/>
      <c r="H286" s="1803"/>
    </row>
    <row r="287" spans="1:8" x14ac:dyDescent="0.2">
      <c r="A287" s="1804" t="s">
        <v>1585</v>
      </c>
      <c r="B287" s="1803"/>
      <c r="C287" s="1803"/>
      <c r="D287" s="1803"/>
      <c r="E287" s="1803"/>
      <c r="F287" s="1803"/>
      <c r="G287" s="1803"/>
      <c r="H287" s="1803"/>
    </row>
    <row r="288" spans="1:8" x14ac:dyDescent="0.2">
      <c r="A288" s="1803"/>
      <c r="B288" s="1803"/>
      <c r="C288" s="1803"/>
      <c r="D288" s="1803"/>
      <c r="E288" s="1803"/>
      <c r="F288" s="1803"/>
      <c r="G288" s="1803"/>
      <c r="H288" s="1803"/>
    </row>
    <row r="289" spans="1:8" x14ac:dyDescent="0.2">
      <c r="A289" s="1804" t="s">
        <v>1570</v>
      </c>
      <c r="B289" s="1803"/>
      <c r="C289" s="1803"/>
      <c r="D289" s="1803"/>
      <c r="E289" s="1803"/>
      <c r="F289" s="1803"/>
      <c r="G289" s="1803"/>
      <c r="H289" s="1803"/>
    </row>
    <row r="290" spans="1:8" x14ac:dyDescent="0.2">
      <c r="A290" s="1804" t="s">
        <v>1571</v>
      </c>
      <c r="B290" s="1803"/>
      <c r="C290" s="1803"/>
      <c r="D290" s="1803"/>
      <c r="E290" s="1803"/>
      <c r="F290" s="1803"/>
      <c r="G290" s="1803"/>
      <c r="H290" s="1803"/>
    </row>
    <row r="291" spans="1:8" x14ac:dyDescent="0.2">
      <c r="A291" s="1804" t="s">
        <v>1572</v>
      </c>
      <c r="B291" s="1803"/>
      <c r="C291" s="1803"/>
      <c r="D291" s="1803"/>
      <c r="E291" s="1803"/>
      <c r="F291" s="1803"/>
      <c r="G291" s="1803"/>
      <c r="H291" s="1803"/>
    </row>
    <row r="292" spans="1:8" x14ac:dyDescent="0.2">
      <c r="A292" s="1804" t="s">
        <v>1573</v>
      </c>
      <c r="B292" s="1803"/>
      <c r="C292" s="1803"/>
      <c r="D292" s="1803"/>
      <c r="E292" s="1803"/>
      <c r="F292" s="1803"/>
      <c r="G292" s="1803"/>
      <c r="H292" s="1803"/>
    </row>
    <row r="293" spans="1:8" x14ac:dyDescent="0.2">
      <c r="A293" s="1804" t="s">
        <v>1574</v>
      </c>
      <c r="B293" s="1803"/>
      <c r="C293" s="1803"/>
      <c r="D293" s="1803"/>
      <c r="E293" s="1803"/>
      <c r="F293" s="1803"/>
      <c r="G293" s="1803"/>
      <c r="H293" s="1803"/>
    </row>
    <row r="294" spans="1:8" x14ac:dyDescent="0.2">
      <c r="A294" s="1804" t="s">
        <v>1575</v>
      </c>
      <c r="B294" s="1803"/>
      <c r="C294" s="1803"/>
      <c r="D294" s="1803"/>
      <c r="E294" s="1803"/>
      <c r="F294" s="1803"/>
      <c r="G294" s="1803"/>
      <c r="H294" s="1803"/>
    </row>
    <row r="295" spans="1:8" x14ac:dyDescent="0.2">
      <c r="A295" s="1804" t="s">
        <v>1576</v>
      </c>
      <c r="B295" s="1803"/>
      <c r="C295" s="1803"/>
      <c r="D295" s="1803"/>
      <c r="E295" s="1803"/>
      <c r="F295" s="1803"/>
      <c r="G295" s="1803"/>
      <c r="H295" s="1803"/>
    </row>
    <row r="296" spans="1:8" x14ac:dyDescent="0.2">
      <c r="A296" s="1804" t="s">
        <v>1577</v>
      </c>
      <c r="B296" s="1803"/>
      <c r="C296" s="1803"/>
      <c r="D296" s="1803"/>
      <c r="E296" s="1803"/>
      <c r="F296" s="1803"/>
      <c r="G296" s="1803"/>
      <c r="H296" s="1803"/>
    </row>
    <row r="297" spans="1:8" x14ac:dyDescent="0.2">
      <c r="A297" s="1804" t="s">
        <v>1578</v>
      </c>
      <c r="B297" s="1803"/>
      <c r="C297" s="1803"/>
      <c r="D297" s="1803"/>
      <c r="E297" s="1803"/>
      <c r="F297" s="1803"/>
      <c r="G297" s="1803"/>
      <c r="H297" s="1803"/>
    </row>
    <row r="298" spans="1:8" x14ac:dyDescent="0.2">
      <c r="A298" s="1803"/>
      <c r="B298" s="1803"/>
      <c r="C298" s="1803"/>
      <c r="D298" s="1803"/>
      <c r="E298" s="1803"/>
      <c r="F298" s="1803"/>
      <c r="G298" s="1803"/>
      <c r="H298" s="1803"/>
    </row>
    <row r="299" spans="1:8" x14ac:dyDescent="0.2">
      <c r="A299" s="1804" t="s">
        <v>1563</v>
      </c>
      <c r="B299" s="1803"/>
      <c r="C299" s="1803"/>
      <c r="D299" s="1803"/>
      <c r="E299" s="1803"/>
      <c r="F299" s="1803"/>
      <c r="G299" s="1803"/>
      <c r="H299" s="1803"/>
    </row>
    <row r="300" spans="1:8" x14ac:dyDescent="0.2">
      <c r="A300" s="1804" t="s">
        <v>1564</v>
      </c>
      <c r="B300" s="1803"/>
      <c r="C300" s="1803"/>
      <c r="D300" s="1803"/>
      <c r="E300" s="1803"/>
      <c r="F300" s="1803"/>
      <c r="G300" s="1803"/>
      <c r="H300" s="1803"/>
    </row>
    <row r="301" spans="1:8" x14ac:dyDescent="0.2">
      <c r="A301" s="1804" t="s">
        <v>1565</v>
      </c>
      <c r="B301" s="1803"/>
      <c r="C301" s="1803"/>
      <c r="D301" s="1803"/>
      <c r="E301" s="1803"/>
      <c r="F301" s="1803"/>
      <c r="G301" s="1803"/>
      <c r="H301" s="1803"/>
    </row>
    <row r="302" spans="1:8" x14ac:dyDescent="0.2">
      <c r="A302" s="1804" t="s">
        <v>1566</v>
      </c>
      <c r="B302" s="1803"/>
      <c r="C302" s="1803"/>
      <c r="D302" s="1803"/>
      <c r="E302" s="1803"/>
      <c r="F302" s="1803"/>
      <c r="G302" s="1803"/>
      <c r="H302" s="1803"/>
    </row>
    <row r="303" spans="1:8" x14ac:dyDescent="0.2">
      <c r="A303" s="1804" t="s">
        <v>1567</v>
      </c>
      <c r="B303" s="1803"/>
      <c r="C303" s="1803"/>
      <c r="D303" s="1803"/>
      <c r="E303" s="1803"/>
      <c r="F303" s="1803"/>
      <c r="G303" s="1803"/>
      <c r="H303" s="1803"/>
    </row>
    <row r="304" spans="1:8" x14ac:dyDescent="0.2">
      <c r="A304" s="1804" t="s">
        <v>1568</v>
      </c>
      <c r="B304" s="1803"/>
      <c r="C304" s="1803"/>
      <c r="D304" s="1803"/>
      <c r="E304" s="1803"/>
      <c r="F304" s="1803"/>
      <c r="G304" s="1803"/>
      <c r="H304" s="1803"/>
    </row>
    <row r="305" spans="1:8" x14ac:dyDescent="0.2">
      <c r="A305" s="1804" t="s">
        <v>1569</v>
      </c>
      <c r="B305" s="1803"/>
      <c r="C305" s="1803"/>
      <c r="D305" s="1803"/>
      <c r="E305" s="1803"/>
      <c r="F305" s="1803"/>
      <c r="G305" s="1803"/>
      <c r="H305" s="1803"/>
    </row>
    <row r="306" spans="1:8" x14ac:dyDescent="0.2">
      <c r="A306" s="1803"/>
      <c r="B306" s="1803"/>
      <c r="C306" s="1803"/>
      <c r="D306" s="1803"/>
      <c r="E306" s="1803"/>
      <c r="F306" s="1803"/>
      <c r="G306" s="1803"/>
      <c r="H306" s="1803"/>
    </row>
    <row r="307" spans="1:8" x14ac:dyDescent="0.2">
      <c r="A307" s="1804" t="s">
        <v>1560</v>
      </c>
      <c r="B307" s="1803"/>
      <c r="C307" s="1803"/>
      <c r="D307" s="1803"/>
      <c r="E307" s="1803"/>
      <c r="F307" s="1803"/>
      <c r="G307" s="1803"/>
      <c r="H307" s="1803"/>
    </row>
    <row r="308" spans="1:8" x14ac:dyDescent="0.2">
      <c r="A308" s="1804" t="s">
        <v>1561</v>
      </c>
      <c r="B308" s="1803"/>
      <c r="C308" s="1803"/>
      <c r="D308" s="1803"/>
      <c r="E308" s="1803"/>
      <c r="F308" s="1803"/>
      <c r="G308" s="1803"/>
      <c r="H308" s="1803"/>
    </row>
    <row r="309" spans="1:8" x14ac:dyDescent="0.2">
      <c r="A309" s="1804" t="s">
        <v>1562</v>
      </c>
      <c r="B309" s="1803"/>
      <c r="C309" s="1803"/>
      <c r="D309" s="1803"/>
      <c r="E309" s="1803"/>
      <c r="F309" s="1803"/>
      <c r="G309" s="1803"/>
      <c r="H309" s="1803"/>
    </row>
    <row r="310" spans="1:8" x14ac:dyDescent="0.2">
      <c r="A310" s="1803"/>
      <c r="B310" s="1803"/>
      <c r="C310" s="1803"/>
      <c r="D310" s="1803"/>
      <c r="E310" s="1803"/>
      <c r="F310" s="1803"/>
      <c r="G310" s="1803"/>
      <c r="H310" s="1803"/>
    </row>
    <row r="311" spans="1:8" x14ac:dyDescent="0.2">
      <c r="A311" s="1804" t="s">
        <v>1558</v>
      </c>
      <c r="B311" s="1803"/>
      <c r="C311" s="1803"/>
      <c r="D311" s="1803"/>
      <c r="E311" s="1803"/>
      <c r="F311" s="1803"/>
      <c r="G311" s="1803"/>
      <c r="H311" s="1803"/>
    </row>
    <row r="312" spans="1:8" x14ac:dyDescent="0.2">
      <c r="A312" s="1804" t="s">
        <v>1559</v>
      </c>
      <c r="B312" s="1803"/>
      <c r="C312" s="1803"/>
      <c r="D312" s="1803"/>
      <c r="E312" s="1803"/>
      <c r="F312" s="1803"/>
      <c r="G312" s="1803"/>
      <c r="H312" s="1803"/>
    </row>
    <row r="313" spans="1:8" x14ac:dyDescent="0.2">
      <c r="A313" s="1803"/>
      <c r="B313" s="1803"/>
      <c r="C313" s="1803"/>
      <c r="D313" s="1803"/>
      <c r="E313" s="1803"/>
      <c r="F313" s="1803"/>
      <c r="G313" s="1803"/>
      <c r="H313" s="1803"/>
    </row>
    <row r="314" spans="1:8" x14ac:dyDescent="0.2">
      <c r="A314" s="1804" t="s">
        <v>1545</v>
      </c>
      <c r="B314" s="1803"/>
      <c r="C314" s="1803"/>
      <c r="D314" s="1803"/>
      <c r="E314" s="1803"/>
      <c r="F314" s="1803"/>
      <c r="G314" s="1803"/>
      <c r="H314" s="1803"/>
    </row>
    <row r="315" spans="1:8" x14ac:dyDescent="0.2">
      <c r="A315" s="1804" t="s">
        <v>1546</v>
      </c>
      <c r="B315" s="1803"/>
      <c r="C315" s="1803"/>
      <c r="D315" s="1803"/>
      <c r="E315" s="1803"/>
      <c r="F315" s="1803"/>
      <c r="G315" s="1803"/>
      <c r="H315" s="1803"/>
    </row>
    <row r="316" spans="1:8" x14ac:dyDescent="0.2">
      <c r="A316" s="1804" t="s">
        <v>1547</v>
      </c>
      <c r="B316" s="1803"/>
      <c r="C316" s="1803"/>
      <c r="D316" s="1803"/>
      <c r="E316" s="1803"/>
      <c r="F316" s="1803"/>
      <c r="G316" s="1803"/>
      <c r="H316" s="1803"/>
    </row>
    <row r="317" spans="1:8" x14ac:dyDescent="0.2">
      <c r="A317" s="1804" t="s">
        <v>1548</v>
      </c>
      <c r="B317" s="1803"/>
      <c r="C317" s="1803"/>
      <c r="D317" s="1803"/>
      <c r="E317" s="1803"/>
      <c r="F317" s="1803"/>
      <c r="G317" s="1803"/>
      <c r="H317" s="1803"/>
    </row>
    <row r="318" spans="1:8" x14ac:dyDescent="0.2">
      <c r="A318" s="1804" t="s">
        <v>1549</v>
      </c>
      <c r="B318" s="1803"/>
      <c r="C318" s="1803"/>
      <c r="D318" s="1803"/>
      <c r="E318" s="1803"/>
      <c r="F318" s="1803"/>
      <c r="G318" s="1803"/>
      <c r="H318" s="1803"/>
    </row>
    <row r="319" spans="1:8" x14ac:dyDescent="0.2">
      <c r="A319" s="1804" t="s">
        <v>1550</v>
      </c>
      <c r="B319" s="1803"/>
      <c r="C319" s="1803"/>
      <c r="D319" s="1803"/>
      <c r="E319" s="1803"/>
      <c r="F319" s="1803"/>
      <c r="G319" s="1803"/>
      <c r="H319" s="1803"/>
    </row>
    <row r="320" spans="1:8" x14ac:dyDescent="0.2">
      <c r="A320" s="1804" t="s">
        <v>1551</v>
      </c>
      <c r="B320" s="1803"/>
      <c r="C320" s="1803"/>
      <c r="D320" s="1803"/>
      <c r="E320" s="1803"/>
      <c r="F320" s="1803"/>
      <c r="G320" s="1803"/>
      <c r="H320" s="1803"/>
    </row>
    <row r="321" spans="1:8" x14ac:dyDescent="0.2">
      <c r="A321" s="1804" t="s">
        <v>1552</v>
      </c>
      <c r="B321" s="1803"/>
      <c r="C321" s="1803"/>
      <c r="D321" s="1803"/>
      <c r="E321" s="1803"/>
      <c r="F321" s="1803"/>
      <c r="G321" s="1803"/>
      <c r="H321" s="1803"/>
    </row>
    <row r="322" spans="1:8" x14ac:dyDescent="0.2">
      <c r="A322" s="1804" t="s">
        <v>1553</v>
      </c>
      <c r="B322" s="1803"/>
      <c r="C322" s="1803"/>
      <c r="D322" s="1803"/>
      <c r="E322" s="1803"/>
      <c r="F322" s="1803"/>
      <c r="G322" s="1803"/>
      <c r="H322" s="1803"/>
    </row>
    <row r="323" spans="1:8" x14ac:dyDescent="0.2">
      <c r="A323" s="1804" t="s">
        <v>1554</v>
      </c>
      <c r="B323" s="1803"/>
      <c r="C323" s="1803"/>
      <c r="D323" s="1803"/>
      <c r="E323" s="1803"/>
      <c r="F323" s="1803"/>
      <c r="G323" s="1803"/>
      <c r="H323" s="1803"/>
    </row>
    <row r="324" spans="1:8" x14ac:dyDescent="0.2">
      <c r="A324" s="1804" t="s">
        <v>1555</v>
      </c>
      <c r="B324" s="1803"/>
      <c r="C324" s="1803"/>
      <c r="D324" s="1803"/>
      <c r="E324" s="1803"/>
      <c r="F324" s="1803"/>
      <c r="G324" s="1803"/>
      <c r="H324" s="1803"/>
    </row>
    <row r="325" spans="1:8" x14ac:dyDescent="0.2">
      <c r="A325" s="1804" t="s">
        <v>1556</v>
      </c>
      <c r="B325" s="1803"/>
      <c r="C325" s="1803"/>
      <c r="D325" s="1803"/>
      <c r="E325" s="1803"/>
      <c r="F325" s="1803"/>
      <c r="G325" s="1803"/>
      <c r="H325" s="1803"/>
    </row>
    <row r="326" spans="1:8" x14ac:dyDescent="0.2">
      <c r="A326" s="1804" t="s">
        <v>1557</v>
      </c>
      <c r="B326" s="1803"/>
      <c r="C326" s="1803"/>
      <c r="D326" s="1803"/>
      <c r="E326" s="1803"/>
      <c r="F326" s="1803"/>
      <c r="G326" s="1803"/>
      <c r="H326" s="1803"/>
    </row>
    <row r="327" spans="1:8" x14ac:dyDescent="0.2">
      <c r="A327" s="1803"/>
      <c r="B327" s="1803"/>
      <c r="C327" s="1803"/>
      <c r="D327" s="1803"/>
      <c r="E327" s="1803"/>
      <c r="F327" s="1803"/>
      <c r="G327" s="1803"/>
      <c r="H327" s="1803"/>
    </row>
    <row r="328" spans="1:8" x14ac:dyDescent="0.2">
      <c r="A328" s="1804" t="s">
        <v>1537</v>
      </c>
      <c r="B328" s="1803"/>
      <c r="C328" s="1803"/>
      <c r="D328" s="1803"/>
      <c r="E328" s="1803"/>
      <c r="F328" s="1803"/>
      <c r="G328" s="1803"/>
      <c r="H328" s="1803"/>
    </row>
    <row r="329" spans="1:8" x14ac:dyDescent="0.2">
      <c r="A329" s="1804" t="s">
        <v>1538</v>
      </c>
      <c r="B329" s="1803"/>
      <c r="C329" s="1803"/>
      <c r="D329" s="1803"/>
      <c r="E329" s="1803"/>
      <c r="F329" s="1803"/>
      <c r="G329" s="1803"/>
      <c r="H329" s="1803"/>
    </row>
    <row r="330" spans="1:8" x14ac:dyDescent="0.2">
      <c r="A330" s="1804" t="s">
        <v>1539</v>
      </c>
      <c r="B330" s="1803"/>
      <c r="C330" s="1803"/>
      <c r="D330" s="1803"/>
      <c r="E330" s="1803"/>
      <c r="F330" s="1803"/>
      <c r="G330" s="1803"/>
      <c r="H330" s="1803"/>
    </row>
    <row r="331" spans="1:8" x14ac:dyDescent="0.2">
      <c r="A331" s="1804" t="s">
        <v>1540</v>
      </c>
      <c r="B331" s="1803"/>
      <c r="C331" s="1803"/>
      <c r="D331" s="1803"/>
      <c r="E331" s="1803"/>
      <c r="F331" s="1803"/>
      <c r="G331" s="1803"/>
      <c r="H331" s="1803"/>
    </row>
    <row r="332" spans="1:8" x14ac:dyDescent="0.2">
      <c r="A332" s="1804" t="s">
        <v>1541</v>
      </c>
      <c r="B332" s="1803"/>
      <c r="C332" s="1803"/>
      <c r="D332" s="1803"/>
      <c r="E332" s="1803"/>
      <c r="F332" s="1803"/>
      <c r="G332" s="1803"/>
      <c r="H332" s="1803"/>
    </row>
    <row r="333" spans="1:8" x14ac:dyDescent="0.2">
      <c r="A333" s="1804" t="s">
        <v>1542</v>
      </c>
      <c r="B333" s="1803"/>
      <c r="C333" s="1803"/>
      <c r="D333" s="1803"/>
      <c r="E333" s="1803"/>
      <c r="F333" s="1803"/>
      <c r="G333" s="1803"/>
      <c r="H333" s="1803"/>
    </row>
    <row r="334" spans="1:8" x14ac:dyDescent="0.2">
      <c r="A334" s="1804" t="s">
        <v>1543</v>
      </c>
      <c r="B334" s="1803"/>
      <c r="C334" s="1803"/>
      <c r="D334" s="1803"/>
      <c r="E334" s="1803"/>
      <c r="F334" s="1803"/>
      <c r="G334" s="1803"/>
      <c r="H334" s="1803"/>
    </row>
    <row r="335" spans="1:8" x14ac:dyDescent="0.2">
      <c r="A335" s="1804" t="s">
        <v>1544</v>
      </c>
      <c r="B335" s="1803"/>
      <c r="C335" s="1803"/>
      <c r="D335" s="1803"/>
      <c r="E335" s="1803"/>
      <c r="F335" s="1803"/>
      <c r="G335" s="1803"/>
      <c r="H335" s="1803"/>
    </row>
    <row r="336" spans="1:8" x14ac:dyDescent="0.2">
      <c r="A336" s="1803"/>
      <c r="B336" s="1803"/>
      <c r="C336" s="1803"/>
      <c r="D336" s="1803"/>
      <c r="E336" s="1803"/>
      <c r="F336" s="1803"/>
      <c r="G336" s="1803"/>
      <c r="H336" s="1803"/>
    </row>
    <row r="337" spans="1:8" x14ac:dyDescent="0.2">
      <c r="A337" s="1804" t="s">
        <v>1502</v>
      </c>
      <c r="B337" s="1803"/>
      <c r="C337" s="1803"/>
      <c r="D337" s="1803"/>
      <c r="E337" s="1803"/>
      <c r="F337" s="1803"/>
      <c r="G337" s="1803"/>
      <c r="H337" s="1803"/>
    </row>
    <row r="338" spans="1:8" x14ac:dyDescent="0.2">
      <c r="A338" s="1804" t="s">
        <v>1503</v>
      </c>
      <c r="B338" s="1803"/>
      <c r="C338" s="1803"/>
      <c r="D338" s="1803"/>
      <c r="E338" s="1803"/>
      <c r="F338" s="1803"/>
      <c r="G338" s="1803"/>
      <c r="H338" s="1803"/>
    </row>
    <row r="339" spans="1:8" x14ac:dyDescent="0.2">
      <c r="A339" s="1804" t="s">
        <v>1504</v>
      </c>
      <c r="B339" s="1803"/>
      <c r="C339" s="1803"/>
      <c r="D339" s="1803"/>
      <c r="E339" s="1803"/>
      <c r="F339" s="1803"/>
      <c r="G339" s="1803"/>
      <c r="H339" s="1803"/>
    </row>
    <row r="340" spans="1:8" x14ac:dyDescent="0.2">
      <c r="A340" s="1804" t="s">
        <v>1505</v>
      </c>
      <c r="B340" s="1803"/>
      <c r="C340" s="1803"/>
      <c r="D340" s="1803"/>
      <c r="E340" s="1803"/>
      <c r="F340" s="1803"/>
      <c r="G340" s="1803"/>
      <c r="H340" s="1803"/>
    </row>
    <row r="341" spans="1:8" x14ac:dyDescent="0.2">
      <c r="A341" s="1804" t="s">
        <v>1506</v>
      </c>
      <c r="B341" s="1803"/>
      <c r="C341" s="1803"/>
      <c r="D341" s="1803"/>
      <c r="E341" s="1803"/>
      <c r="F341" s="1803"/>
      <c r="G341" s="1803"/>
      <c r="H341" s="1803"/>
    </row>
    <row r="342" spans="1:8" x14ac:dyDescent="0.2">
      <c r="A342" s="1804" t="s">
        <v>1507</v>
      </c>
      <c r="B342" s="1803"/>
      <c r="C342" s="1803"/>
      <c r="D342" s="1803"/>
      <c r="E342" s="1803"/>
      <c r="F342" s="1803"/>
      <c r="G342" s="1803"/>
      <c r="H342" s="1803"/>
    </row>
    <row r="343" spans="1:8" x14ac:dyDescent="0.2">
      <c r="A343" s="1804" t="s">
        <v>1508</v>
      </c>
      <c r="B343" s="1803"/>
      <c r="C343" s="1803"/>
      <c r="D343" s="1803"/>
      <c r="E343" s="1803"/>
      <c r="F343" s="1803"/>
      <c r="G343" s="1803"/>
      <c r="H343" s="1803"/>
    </row>
    <row r="344" spans="1:8" x14ac:dyDescent="0.2">
      <c r="A344" s="1804" t="s">
        <v>1509</v>
      </c>
      <c r="B344" s="1803"/>
      <c r="C344" s="1803"/>
      <c r="D344" s="1803"/>
      <c r="E344" s="1803"/>
      <c r="F344" s="1803"/>
      <c r="G344" s="1803"/>
      <c r="H344" s="1803"/>
    </row>
    <row r="345" spans="1:8" x14ac:dyDescent="0.2">
      <c r="A345" s="1804" t="s">
        <v>1510</v>
      </c>
      <c r="B345" s="1803"/>
      <c r="C345" s="1803"/>
      <c r="D345" s="1803"/>
      <c r="E345" s="1803"/>
      <c r="F345" s="1803"/>
      <c r="G345" s="1803"/>
      <c r="H345" s="1803"/>
    </row>
    <row r="346" spans="1:8" x14ac:dyDescent="0.2">
      <c r="A346" s="1804" t="s">
        <v>1511</v>
      </c>
      <c r="B346" s="1803"/>
      <c r="C346" s="1803"/>
      <c r="D346" s="1803"/>
      <c r="E346" s="1803"/>
      <c r="F346" s="1803"/>
      <c r="G346" s="1803"/>
      <c r="H346" s="1803"/>
    </row>
    <row r="347" spans="1:8" x14ac:dyDescent="0.2">
      <c r="A347" s="1804" t="s">
        <v>1512</v>
      </c>
      <c r="B347" s="1803"/>
      <c r="C347" s="1803"/>
      <c r="D347" s="1803"/>
      <c r="E347" s="1803"/>
      <c r="F347" s="1803"/>
      <c r="G347" s="1803"/>
      <c r="H347" s="1803"/>
    </row>
    <row r="348" spans="1:8" x14ac:dyDescent="0.2">
      <c r="A348" s="1804" t="s">
        <v>1513</v>
      </c>
      <c r="B348" s="1803"/>
      <c r="C348" s="1803"/>
      <c r="D348" s="1803"/>
      <c r="E348" s="1803"/>
      <c r="F348" s="1803"/>
      <c r="G348" s="1803"/>
      <c r="H348" s="1803"/>
    </row>
    <row r="349" spans="1:8" x14ac:dyDescent="0.2">
      <c r="A349" s="1804" t="s">
        <v>1514</v>
      </c>
      <c r="B349" s="1803"/>
      <c r="C349" s="1803"/>
      <c r="D349" s="1803"/>
      <c r="E349" s="1803"/>
      <c r="F349" s="1803"/>
      <c r="G349" s="1803"/>
      <c r="H349" s="1803"/>
    </row>
    <row r="350" spans="1:8" x14ac:dyDescent="0.2">
      <c r="A350" s="1804" t="s">
        <v>1515</v>
      </c>
      <c r="B350" s="1803"/>
      <c r="C350" s="1803"/>
      <c r="D350" s="1803"/>
      <c r="E350" s="1803"/>
      <c r="F350" s="1803"/>
      <c r="G350" s="1803"/>
      <c r="H350" s="1803"/>
    </row>
    <row r="351" spans="1:8" x14ac:dyDescent="0.2">
      <c r="A351" s="1804" t="s">
        <v>1516</v>
      </c>
      <c r="B351" s="1803"/>
      <c r="C351" s="1803"/>
      <c r="D351" s="1803"/>
      <c r="E351" s="1803"/>
      <c r="F351" s="1803"/>
      <c r="G351" s="1803"/>
      <c r="H351" s="1803"/>
    </row>
    <row r="352" spans="1:8" x14ac:dyDescent="0.2">
      <c r="A352" s="1804" t="s">
        <v>1517</v>
      </c>
      <c r="B352" s="1803"/>
      <c r="C352" s="1803"/>
      <c r="D352" s="1803"/>
      <c r="E352" s="1803"/>
      <c r="F352" s="1803"/>
      <c r="G352" s="1803"/>
      <c r="H352" s="1803"/>
    </row>
    <row r="353" spans="1:8" x14ac:dyDescent="0.2">
      <c r="A353" s="1804" t="s">
        <v>1518</v>
      </c>
      <c r="B353" s="1803"/>
      <c r="C353" s="1803"/>
      <c r="D353" s="1803"/>
      <c r="E353" s="1803"/>
      <c r="F353" s="1803"/>
      <c r="G353" s="1803"/>
      <c r="H353" s="1803"/>
    </row>
    <row r="354" spans="1:8" x14ac:dyDescent="0.2">
      <c r="A354" s="1804" t="s">
        <v>1519</v>
      </c>
      <c r="B354" s="1803"/>
      <c r="C354" s="1803"/>
      <c r="D354" s="1803"/>
      <c r="E354" s="1803"/>
      <c r="F354" s="1803"/>
      <c r="G354" s="1803"/>
      <c r="H354" s="1803"/>
    </row>
    <row r="355" spans="1:8" x14ac:dyDescent="0.2">
      <c r="A355" s="1804" t="s">
        <v>1520</v>
      </c>
      <c r="B355" s="1803"/>
      <c r="C355" s="1803"/>
      <c r="D355" s="1803"/>
      <c r="E355" s="1803"/>
      <c r="F355" s="1803"/>
      <c r="G355" s="1803"/>
      <c r="H355" s="1803"/>
    </row>
    <row r="356" spans="1:8" x14ac:dyDescent="0.2">
      <c r="A356" s="1804" t="s">
        <v>1521</v>
      </c>
      <c r="B356" s="1803"/>
      <c r="C356" s="1803"/>
      <c r="D356" s="1803"/>
      <c r="E356" s="1803"/>
      <c r="F356" s="1803"/>
      <c r="G356" s="1803"/>
      <c r="H356" s="1803"/>
    </row>
    <row r="357" spans="1:8" x14ac:dyDescent="0.2">
      <c r="A357" s="1804" t="s">
        <v>1522</v>
      </c>
      <c r="B357" s="1803"/>
      <c r="C357" s="1803"/>
      <c r="D357" s="1803"/>
      <c r="E357" s="1803"/>
      <c r="F357" s="1803"/>
      <c r="G357" s="1803"/>
      <c r="H357" s="1803"/>
    </row>
    <row r="358" spans="1:8" x14ac:dyDescent="0.2">
      <c r="A358" s="1804" t="s">
        <v>1523</v>
      </c>
      <c r="B358" s="1803"/>
      <c r="C358" s="1803"/>
      <c r="D358" s="1803"/>
      <c r="E358" s="1803"/>
      <c r="F358" s="1803"/>
      <c r="G358" s="1803"/>
      <c r="H358" s="1803"/>
    </row>
    <row r="359" spans="1:8" x14ac:dyDescent="0.2">
      <c r="A359" s="1804" t="s">
        <v>1524</v>
      </c>
      <c r="B359" s="1803"/>
      <c r="C359" s="1803"/>
      <c r="D359" s="1803"/>
      <c r="E359" s="1803"/>
      <c r="F359" s="1803"/>
      <c r="G359" s="1803"/>
      <c r="H359" s="1803"/>
    </row>
    <row r="360" spans="1:8" x14ac:dyDescent="0.2">
      <c r="A360" s="1804" t="s">
        <v>1525</v>
      </c>
      <c r="B360" s="1803"/>
      <c r="C360" s="1803"/>
      <c r="D360" s="1803"/>
      <c r="E360" s="1803"/>
      <c r="F360" s="1803"/>
      <c r="G360" s="1803"/>
      <c r="H360" s="1803"/>
    </row>
    <row r="361" spans="1:8" x14ac:dyDescent="0.2">
      <c r="A361" s="1804" t="s">
        <v>1526</v>
      </c>
      <c r="B361" s="1803"/>
      <c r="C361" s="1803"/>
      <c r="D361" s="1803"/>
      <c r="E361" s="1803"/>
      <c r="F361" s="1803"/>
      <c r="G361" s="1803"/>
      <c r="H361" s="1803"/>
    </row>
    <row r="362" spans="1:8" x14ac:dyDescent="0.2">
      <c r="A362" s="1804" t="s">
        <v>1527</v>
      </c>
      <c r="B362" s="1803"/>
      <c r="C362" s="1803"/>
      <c r="D362" s="1803"/>
      <c r="E362" s="1803"/>
      <c r="F362" s="1803"/>
      <c r="G362" s="1803"/>
      <c r="H362" s="1803"/>
    </row>
    <row r="363" spans="1:8" x14ac:dyDescent="0.2">
      <c r="A363" s="1804" t="s">
        <v>1528</v>
      </c>
      <c r="B363" s="1803"/>
      <c r="C363" s="1803"/>
      <c r="D363" s="1803"/>
      <c r="E363" s="1803"/>
      <c r="F363" s="1803"/>
      <c r="G363" s="1803"/>
      <c r="H363" s="1803"/>
    </row>
    <row r="364" spans="1:8" x14ac:dyDescent="0.2">
      <c r="A364" s="1804" t="s">
        <v>1529</v>
      </c>
      <c r="B364" s="1803"/>
      <c r="C364" s="1803"/>
      <c r="D364" s="1803"/>
      <c r="E364" s="1803"/>
      <c r="F364" s="1803"/>
      <c r="G364" s="1803"/>
      <c r="H364" s="1803"/>
    </row>
    <row r="365" spans="1:8" x14ac:dyDescent="0.2">
      <c r="A365" s="1804" t="s">
        <v>1530</v>
      </c>
      <c r="B365" s="1803"/>
      <c r="C365" s="1803"/>
      <c r="D365" s="1803"/>
      <c r="E365" s="1803"/>
      <c r="F365" s="1803"/>
      <c r="G365" s="1803"/>
      <c r="H365" s="1803"/>
    </row>
    <row r="366" spans="1:8" x14ac:dyDescent="0.2">
      <c r="A366" s="1804" t="s">
        <v>1531</v>
      </c>
      <c r="B366" s="1803"/>
      <c r="C366" s="1803"/>
      <c r="D366" s="1803"/>
      <c r="E366" s="1803"/>
      <c r="F366" s="1803"/>
      <c r="G366" s="1803"/>
      <c r="H366" s="1803"/>
    </row>
    <row r="367" spans="1:8" x14ac:dyDescent="0.2">
      <c r="A367" s="1804" t="s">
        <v>1532</v>
      </c>
      <c r="B367" s="1803"/>
      <c r="C367" s="1803"/>
      <c r="D367" s="1803"/>
      <c r="E367" s="1803"/>
      <c r="F367" s="1803"/>
      <c r="G367" s="1803"/>
      <c r="H367" s="1803"/>
    </row>
    <row r="368" spans="1:8" x14ac:dyDescent="0.2">
      <c r="A368" s="1804" t="s">
        <v>1533</v>
      </c>
      <c r="B368" s="1803"/>
      <c r="C368" s="1803"/>
      <c r="D368" s="1803"/>
      <c r="E368" s="1803"/>
      <c r="F368" s="1803"/>
      <c r="G368" s="1803"/>
      <c r="H368" s="1803"/>
    </row>
    <row r="369" spans="1:8" x14ac:dyDescent="0.2">
      <c r="A369" s="1804" t="s">
        <v>1534</v>
      </c>
      <c r="B369" s="1803"/>
      <c r="C369" s="1803"/>
      <c r="D369" s="1803"/>
      <c r="E369" s="1803"/>
      <c r="F369" s="1803"/>
      <c r="G369" s="1803"/>
      <c r="H369" s="1803"/>
    </row>
    <row r="370" spans="1:8" x14ac:dyDescent="0.2">
      <c r="A370" s="1804" t="s">
        <v>1535</v>
      </c>
      <c r="B370" s="1803"/>
      <c r="C370" s="1803"/>
      <c r="D370" s="1803"/>
      <c r="E370" s="1803"/>
      <c r="F370" s="1803"/>
      <c r="G370" s="1803"/>
      <c r="H370" s="1803"/>
    </row>
    <row r="371" spans="1:8" x14ac:dyDescent="0.2">
      <c r="A371" s="1804" t="s">
        <v>1536</v>
      </c>
      <c r="B371" s="1803"/>
      <c r="C371" s="1803"/>
      <c r="D371" s="1803"/>
      <c r="E371" s="1803"/>
      <c r="F371" s="1803"/>
      <c r="G371" s="1803"/>
      <c r="H371" s="1803"/>
    </row>
    <row r="372" spans="1:8" x14ac:dyDescent="0.2">
      <c r="A372" s="1803"/>
      <c r="B372" s="1803"/>
      <c r="C372" s="1803"/>
      <c r="D372" s="1803"/>
      <c r="E372" s="1803"/>
      <c r="F372" s="1803"/>
      <c r="G372" s="1803"/>
      <c r="H372" s="1803"/>
    </row>
    <row r="373" spans="1:8" x14ac:dyDescent="0.2">
      <c r="A373" s="1804" t="s">
        <v>1494</v>
      </c>
      <c r="B373" s="1803"/>
      <c r="C373" s="1803"/>
      <c r="D373" s="1803"/>
      <c r="E373" s="1803"/>
      <c r="F373" s="1803"/>
      <c r="G373" s="1803"/>
      <c r="H373" s="1803"/>
    </row>
    <row r="374" spans="1:8" x14ac:dyDescent="0.2">
      <c r="A374" s="1804" t="s">
        <v>1498</v>
      </c>
      <c r="B374" s="1803"/>
      <c r="C374" s="1803"/>
      <c r="D374" s="1803"/>
      <c r="E374" s="1803"/>
      <c r="F374" s="1803"/>
      <c r="G374" s="1803"/>
      <c r="H374" s="1803"/>
    </row>
    <row r="375" spans="1:8" x14ac:dyDescent="0.2">
      <c r="A375" s="1804" t="s">
        <v>1499</v>
      </c>
      <c r="B375" s="1803"/>
      <c r="C375" s="1803"/>
      <c r="D375" s="1803"/>
      <c r="E375" s="1803"/>
      <c r="F375" s="1803"/>
      <c r="G375" s="1803"/>
      <c r="H375" s="1803"/>
    </row>
    <row r="376" spans="1:8" x14ac:dyDescent="0.2">
      <c r="A376" s="1804" t="s">
        <v>1500</v>
      </c>
      <c r="B376" s="1803"/>
      <c r="C376" s="1803"/>
      <c r="D376" s="1803"/>
      <c r="E376" s="1803"/>
      <c r="F376" s="1803"/>
      <c r="G376" s="1803"/>
      <c r="H376" s="1803"/>
    </row>
    <row r="377" spans="1:8" x14ac:dyDescent="0.2">
      <c r="A377" s="1804" t="s">
        <v>1501</v>
      </c>
      <c r="B377" s="1803"/>
      <c r="C377" s="1803"/>
      <c r="D377" s="1803"/>
      <c r="E377" s="1803"/>
      <c r="F377" s="1803"/>
      <c r="G377" s="1803"/>
      <c r="H377" s="1803"/>
    </row>
    <row r="378" spans="1:8" x14ac:dyDescent="0.2">
      <c r="A378" s="1803"/>
      <c r="B378" s="1803"/>
      <c r="C378" s="1803"/>
      <c r="D378" s="1803"/>
      <c r="E378" s="1803"/>
      <c r="F378" s="1803"/>
      <c r="G378" s="1803"/>
      <c r="H378" s="1803"/>
    </row>
    <row r="379" spans="1:8" x14ac:dyDescent="0.2">
      <c r="A379" s="1804" t="s">
        <v>1494</v>
      </c>
      <c r="B379" s="1803"/>
      <c r="C379" s="1803"/>
      <c r="D379" s="1803"/>
      <c r="E379" s="1803"/>
      <c r="F379" s="1803"/>
      <c r="G379" s="1803"/>
      <c r="H379" s="1803"/>
    </row>
    <row r="380" spans="1:8" x14ac:dyDescent="0.2">
      <c r="A380" s="1804" t="s">
        <v>1495</v>
      </c>
      <c r="B380" s="1803"/>
      <c r="C380" s="1803"/>
      <c r="D380" s="1803"/>
      <c r="E380" s="1803"/>
      <c r="F380" s="1803"/>
      <c r="G380" s="1803"/>
      <c r="H380" s="1803"/>
    </row>
    <row r="381" spans="1:8" x14ac:dyDescent="0.2">
      <c r="A381" s="1804" t="s">
        <v>1496</v>
      </c>
      <c r="B381" s="1803"/>
      <c r="C381" s="1803"/>
      <c r="D381" s="1803"/>
      <c r="E381" s="1803"/>
      <c r="F381" s="1803"/>
      <c r="G381" s="1803"/>
      <c r="H381" s="1803"/>
    </row>
    <row r="382" spans="1:8" x14ac:dyDescent="0.2">
      <c r="A382" s="1804" t="s">
        <v>1497</v>
      </c>
      <c r="B382" s="1803"/>
      <c r="C382" s="1803"/>
      <c r="D382" s="1803"/>
      <c r="E382" s="1803"/>
      <c r="F382" s="1803"/>
      <c r="G382" s="1803"/>
      <c r="H382" s="1803"/>
    </row>
    <row r="383" spans="1:8" x14ac:dyDescent="0.2">
      <c r="A383" s="1803"/>
      <c r="B383" s="1803"/>
      <c r="C383" s="1803"/>
      <c r="D383" s="1803"/>
      <c r="E383" s="1803"/>
      <c r="F383" s="1803"/>
      <c r="G383" s="1803"/>
      <c r="H383" s="1803"/>
    </row>
    <row r="384" spans="1:8" x14ac:dyDescent="0.2">
      <c r="A384" s="1804" t="s">
        <v>1488</v>
      </c>
      <c r="B384" s="1803"/>
      <c r="C384" s="1803"/>
      <c r="D384" s="1803"/>
      <c r="E384" s="1803"/>
      <c r="F384" s="1803"/>
      <c r="G384" s="1803"/>
      <c r="H384" s="1803"/>
    </row>
    <row r="385" spans="1:8" x14ac:dyDescent="0.2">
      <c r="A385" s="1804" t="s">
        <v>1489</v>
      </c>
      <c r="B385" s="1803"/>
      <c r="C385" s="1803"/>
      <c r="D385" s="1803"/>
      <c r="E385" s="1803"/>
      <c r="F385" s="1803"/>
      <c r="G385" s="1803"/>
      <c r="H385" s="1803"/>
    </row>
    <row r="386" spans="1:8" x14ac:dyDescent="0.2">
      <c r="A386" s="1804" t="s">
        <v>1490</v>
      </c>
      <c r="B386" s="1803"/>
      <c r="C386" s="1803"/>
      <c r="D386" s="1803"/>
      <c r="E386" s="1803"/>
      <c r="F386" s="1803"/>
      <c r="G386" s="1803"/>
      <c r="H386" s="1803"/>
    </row>
    <row r="387" spans="1:8" x14ac:dyDescent="0.2">
      <c r="A387" s="1804" t="s">
        <v>1491</v>
      </c>
      <c r="B387" s="1803"/>
      <c r="C387" s="1803"/>
      <c r="D387" s="1803"/>
      <c r="E387" s="1803"/>
      <c r="F387" s="1803"/>
      <c r="G387" s="1803"/>
      <c r="H387" s="1803"/>
    </row>
    <row r="388" spans="1:8" x14ac:dyDescent="0.2">
      <c r="A388" s="1804" t="s">
        <v>1492</v>
      </c>
      <c r="B388" s="1803"/>
      <c r="C388" s="1803"/>
      <c r="D388" s="1803"/>
      <c r="E388" s="1803"/>
      <c r="F388" s="1803"/>
      <c r="G388" s="1803"/>
      <c r="H388" s="1803"/>
    </row>
    <row r="389" spans="1:8" x14ac:dyDescent="0.2">
      <c r="A389" s="1804" t="s">
        <v>1493</v>
      </c>
      <c r="B389" s="1803"/>
      <c r="C389" s="1803"/>
      <c r="D389" s="1803"/>
      <c r="E389" s="1803"/>
      <c r="F389" s="1803"/>
      <c r="G389" s="1803"/>
      <c r="H389" s="1803"/>
    </row>
    <row r="390" spans="1:8" x14ac:dyDescent="0.2">
      <c r="A390" s="1803"/>
      <c r="B390" s="1803"/>
      <c r="C390" s="1803"/>
      <c r="D390" s="1803"/>
      <c r="E390" s="1803"/>
      <c r="F390" s="1803"/>
      <c r="G390" s="1803"/>
      <c r="H390" s="1803"/>
    </row>
    <row r="391" spans="1:8" x14ac:dyDescent="0.2">
      <c r="A391" s="1804" t="s">
        <v>1483</v>
      </c>
      <c r="B391" s="1803"/>
      <c r="C391" s="1803"/>
      <c r="D391" s="1803"/>
      <c r="E391" s="1803"/>
      <c r="F391" s="1803"/>
      <c r="G391" s="1803"/>
      <c r="H391" s="1803"/>
    </row>
    <row r="392" spans="1:8" x14ac:dyDescent="0.2">
      <c r="A392" s="1804" t="s">
        <v>1484</v>
      </c>
      <c r="B392" s="1803"/>
      <c r="C392" s="1803"/>
      <c r="D392" s="1803"/>
      <c r="E392" s="1803"/>
      <c r="F392" s="1803"/>
      <c r="G392" s="1803"/>
      <c r="H392" s="1803"/>
    </row>
    <row r="393" spans="1:8" x14ac:dyDescent="0.2">
      <c r="A393" s="1804" t="s">
        <v>1485</v>
      </c>
      <c r="B393" s="1803"/>
      <c r="C393" s="1803"/>
      <c r="D393" s="1803"/>
      <c r="E393" s="1803"/>
      <c r="F393" s="1803"/>
      <c r="G393" s="1803"/>
      <c r="H393" s="1803"/>
    </row>
    <row r="394" spans="1:8" x14ac:dyDescent="0.2">
      <c r="A394" s="1804" t="s">
        <v>1486</v>
      </c>
      <c r="B394" s="1803"/>
      <c r="C394" s="1803"/>
      <c r="D394" s="1803"/>
      <c r="E394" s="1803"/>
      <c r="F394" s="1803"/>
      <c r="G394" s="1803"/>
      <c r="H394" s="1803"/>
    </row>
    <row r="395" spans="1:8" x14ac:dyDescent="0.2">
      <c r="A395" s="1804" t="s">
        <v>1487</v>
      </c>
      <c r="B395" s="1803"/>
      <c r="C395" s="1803"/>
      <c r="D395" s="1803"/>
      <c r="E395" s="1803"/>
      <c r="F395" s="1803"/>
      <c r="G395" s="1803"/>
      <c r="H395" s="1803"/>
    </row>
    <row r="396" spans="1:8" x14ac:dyDescent="0.2">
      <c r="A396" s="1803"/>
      <c r="B396" s="1803"/>
      <c r="C396" s="1803"/>
      <c r="D396" s="1803"/>
      <c r="E396" s="1803"/>
      <c r="F396" s="1803"/>
      <c r="G396" s="1803"/>
      <c r="H396" s="1803"/>
    </row>
    <row r="397" spans="1:8" x14ac:dyDescent="0.2">
      <c r="A397" s="1804" t="s">
        <v>1481</v>
      </c>
      <c r="B397" s="1803"/>
      <c r="C397" s="1803"/>
      <c r="D397" s="1803"/>
      <c r="E397" s="1803"/>
      <c r="F397" s="1803"/>
      <c r="G397" s="1803"/>
      <c r="H397" s="1803"/>
    </row>
    <row r="398" spans="1:8" x14ac:dyDescent="0.2">
      <c r="A398" s="1804" t="s">
        <v>1482</v>
      </c>
      <c r="B398" s="1803"/>
      <c r="C398" s="1803"/>
      <c r="D398" s="1803"/>
      <c r="E398" s="1803"/>
      <c r="F398" s="1803"/>
      <c r="G398" s="1803"/>
      <c r="H398" s="1803"/>
    </row>
    <row r="400" spans="1:8" x14ac:dyDescent="0.2">
      <c r="A400" s="1799" t="s">
        <v>1743</v>
      </c>
    </row>
  </sheetData>
  <mergeCells count="12">
    <mergeCell ref="A138:H138"/>
    <mergeCell ref="A139:H139"/>
    <mergeCell ref="B131:C131"/>
    <mergeCell ref="D131:F131"/>
    <mergeCell ref="G131:H131"/>
    <mergeCell ref="A117:H117"/>
    <mergeCell ref="A118:H118"/>
    <mergeCell ref="A119:H119"/>
    <mergeCell ref="A120:H120"/>
    <mergeCell ref="A122:H122"/>
    <mergeCell ref="A123:H123"/>
    <mergeCell ref="A130:H130"/>
  </mergeCells>
  <pageMargins left="0.5" right="0.5" top="0.5" bottom="0.5" header="0.5" footer="0.5"/>
  <pageSetup orientation="portrait" horizontalDpi="300" verticalDpi="0"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pageSetUpPr fitToPage="1"/>
  </sheetPr>
  <dimension ref="B3:V131"/>
  <sheetViews>
    <sheetView showGridLines="0" zoomScaleNormal="100" workbookViewId="0">
      <pane xSplit="2" ySplit="3" topLeftCell="C4" activePane="bottomRight" state="frozen"/>
      <selection pane="topRight" activeCell="C1" sqref="C1"/>
      <selection pane="bottomLeft" activeCell="A4" sqref="A4"/>
      <selection pane="bottomRight" activeCell="C4" sqref="C4"/>
    </sheetView>
  </sheetViews>
  <sheetFormatPr defaultRowHeight="15" outlineLevelRow="1" x14ac:dyDescent="0.25"/>
  <cols>
    <col min="1" max="1" width="9.33203125" style="1626"/>
    <col min="2" max="2" width="44.5" style="1626" bestFit="1" customWidth="1"/>
    <col min="3" max="6" width="16.1640625" style="1626" customWidth="1"/>
    <col min="7" max="7" width="2" style="1626" customWidth="1"/>
    <col min="8" max="11" width="16.1640625" style="1626" customWidth="1"/>
    <col min="12" max="13" width="9.33203125" style="1626"/>
    <col min="14" max="14" width="38.1640625" style="1626" customWidth="1"/>
    <col min="15" max="16384" width="9.33203125" style="1626"/>
  </cols>
  <sheetData>
    <row r="3" spans="2:20" x14ac:dyDescent="0.25">
      <c r="B3" s="1631" t="s">
        <v>1376</v>
      </c>
      <c r="C3" s="1649"/>
      <c r="D3" s="1631"/>
      <c r="E3" s="1648"/>
      <c r="F3" s="1648"/>
      <c r="H3" s="1631" t="s">
        <v>1371</v>
      </c>
      <c r="I3" s="1631"/>
      <c r="J3" s="1631"/>
      <c r="K3" s="1631"/>
    </row>
    <row r="4" spans="2:20" x14ac:dyDescent="0.25">
      <c r="B4" s="1644" t="s">
        <v>1370</v>
      </c>
      <c r="C4" s="1643"/>
      <c r="D4" s="1643"/>
      <c r="E4" s="1643"/>
      <c r="F4" s="1643"/>
      <c r="H4" s="1647"/>
      <c r="I4" s="1643"/>
      <c r="J4" s="1643"/>
      <c r="K4" s="1643"/>
    </row>
    <row r="5" spans="2:20" x14ac:dyDescent="0.25">
      <c r="C5" s="1671" t="s">
        <v>1375</v>
      </c>
      <c r="D5" s="1671" t="s">
        <v>1374</v>
      </c>
      <c r="E5" s="1671" t="s">
        <v>1373</v>
      </c>
      <c r="F5" s="1671" t="s">
        <v>1372</v>
      </c>
      <c r="G5" s="1637"/>
      <c r="H5" s="1671" t="s">
        <v>583</v>
      </c>
      <c r="I5" s="1671" t="s">
        <v>584</v>
      </c>
      <c r="J5" s="1671" t="s">
        <v>585</v>
      </c>
      <c r="K5" s="1671" t="s">
        <v>586</v>
      </c>
    </row>
    <row r="6" spans="2:20" x14ac:dyDescent="0.25">
      <c r="C6" s="1633"/>
      <c r="D6" s="1633"/>
      <c r="E6" s="1633"/>
      <c r="F6" s="1633"/>
      <c r="G6" s="1637"/>
      <c r="H6" s="1633"/>
      <c r="I6" s="1633"/>
      <c r="J6" s="1633"/>
      <c r="K6" s="1633"/>
    </row>
    <row r="7" spans="2:20" ht="15.75" thickBot="1" x14ac:dyDescent="0.3">
      <c r="B7" s="1626" t="s">
        <v>1369</v>
      </c>
      <c r="C7" s="1642">
        <v>0.1</v>
      </c>
      <c r="D7" s="1633"/>
      <c r="E7" s="1642">
        <v>0.13</v>
      </c>
      <c r="F7" s="1642">
        <v>0.14000000000000001</v>
      </c>
      <c r="G7" s="1637"/>
      <c r="H7" s="1667">
        <f>Model!AZ1492</f>
        <v>9.372808219123055E-2</v>
      </c>
      <c r="I7" s="1667">
        <f>Model!BA1492</f>
        <v>0.11718841584887418</v>
      </c>
      <c r="J7" s="1667">
        <f>Model!BB1492</f>
        <v>0.13265411963875764</v>
      </c>
      <c r="K7" s="1667">
        <f>Model!BC1492</f>
        <v>0.14427006983234758</v>
      </c>
      <c r="O7" s="1699"/>
      <c r="P7" s="1699"/>
      <c r="Q7" s="1699"/>
      <c r="R7" s="1699"/>
      <c r="S7" s="1699"/>
    </row>
    <row r="8" spans="2:20" ht="16.5" thickTop="1" thickBot="1" x14ac:dyDescent="0.3">
      <c r="B8" s="1626" t="s">
        <v>758</v>
      </c>
      <c r="C8" s="1633"/>
      <c r="D8" s="1642">
        <v>0.1</v>
      </c>
      <c r="E8" s="1665">
        <v>0.11</v>
      </c>
      <c r="F8" s="1642">
        <v>0.14000000000000001</v>
      </c>
      <c r="G8" s="1637"/>
      <c r="H8" s="1667">
        <f>Model!AZ1491</f>
        <v>8.1807988522310596E-2</v>
      </c>
      <c r="I8" s="1667">
        <f>Model!BA1491</f>
        <v>0.1079082816176674</v>
      </c>
      <c r="J8" s="1667">
        <f>Model!BB1491</f>
        <v>0.12211030444339098</v>
      </c>
      <c r="K8" s="1666">
        <f>Model!BC1491</f>
        <v>0.13332616648936299</v>
      </c>
      <c r="M8" s="1626" t="s">
        <v>1438</v>
      </c>
      <c r="O8" s="1699"/>
      <c r="P8" s="1699"/>
      <c r="Q8" s="1699"/>
      <c r="R8" s="1699"/>
      <c r="S8" s="1699"/>
    </row>
    <row r="9" spans="2:20" ht="15.75" thickTop="1" x14ac:dyDescent="0.25">
      <c r="C9" s="1633"/>
      <c r="D9" s="1642"/>
      <c r="E9" s="1642"/>
      <c r="F9" s="1642"/>
      <c r="G9" s="1637"/>
      <c r="H9" s="1633"/>
      <c r="I9" s="1633"/>
      <c r="J9" s="1633"/>
      <c r="K9" s="1633"/>
      <c r="O9" s="1627"/>
      <c r="P9" s="1627"/>
      <c r="Q9" s="1627"/>
      <c r="R9" s="1627"/>
      <c r="S9" s="1627"/>
      <c r="T9" s="1627"/>
    </row>
    <row r="10" spans="2:20" x14ac:dyDescent="0.25">
      <c r="B10" s="1626" t="s">
        <v>1388</v>
      </c>
      <c r="C10" s="1633"/>
      <c r="D10" s="1642"/>
      <c r="E10" s="1642" t="s">
        <v>1391</v>
      </c>
      <c r="F10" s="1642"/>
      <c r="G10" s="1637"/>
      <c r="H10" s="1652" t="str">
        <f>CONCATENATE("$",ROUND(ROTCE!AZ20/1000,0),"B")</f>
        <v>$155B</v>
      </c>
      <c r="I10" s="1652" t="str">
        <f>CONCATENATE("$",ROUND(ROTCE!BA20/1000,0),"B")</f>
        <v>$153B</v>
      </c>
      <c r="J10" s="1652" t="str">
        <f>CONCATENATE("$",ROUND(ROTCE!BB20/1000,0),"B")</f>
        <v>$148B</v>
      </c>
      <c r="K10" s="1652" t="str">
        <f>CONCATENATE("$",ROUND(ROTCE!BC20/1000,0),"B")</f>
        <v>$150B</v>
      </c>
      <c r="O10" s="1627"/>
      <c r="P10" s="1627"/>
      <c r="Q10" s="1627"/>
      <c r="R10" s="1627"/>
      <c r="S10" s="1627"/>
      <c r="T10" s="1627"/>
    </row>
    <row r="11" spans="2:20" x14ac:dyDescent="0.25">
      <c r="B11" s="1645" t="s">
        <v>1408</v>
      </c>
      <c r="C11" s="1633"/>
      <c r="D11" s="1642"/>
      <c r="E11" s="1642" t="s">
        <v>1392</v>
      </c>
      <c r="F11" s="1651">
        <v>0</v>
      </c>
      <c r="G11" s="1637"/>
      <c r="H11" s="1652" t="str">
        <f>CONCATENATE("$",ROUND(ROTCE!AZ19/1000,0),"B")</f>
        <v>$28B</v>
      </c>
      <c r="I11" s="1652" t="str">
        <f>CONCATENATE("$",ROUND(ROTCE!BA19/1000,0),"B")</f>
        <v>$27B</v>
      </c>
      <c r="J11" s="1652" t="str">
        <f>CONCATENATE("$",ROUND(ROTCE!BB19/1000,0),"B")</f>
        <v>$26B</v>
      </c>
      <c r="K11" s="1652" t="str">
        <f>CONCATENATE("$",ROUND(ROTCE!BC19/1000,0),"B")</f>
        <v>$25B</v>
      </c>
      <c r="O11" s="1627"/>
      <c r="P11" s="1627"/>
      <c r="Q11" s="1627"/>
      <c r="R11" s="1627"/>
      <c r="S11" s="1627"/>
      <c r="T11" s="1627"/>
    </row>
    <row r="12" spans="2:20" x14ac:dyDescent="0.25">
      <c r="B12" s="1645" t="s">
        <v>1389</v>
      </c>
      <c r="C12" s="1633"/>
      <c r="D12" s="1642"/>
      <c r="E12" s="1642" t="s">
        <v>1390</v>
      </c>
      <c r="F12" s="1642"/>
      <c r="G12" s="1637"/>
      <c r="H12" s="1652" t="str">
        <f>CONCATENATE("$",ROUND(ROTCE!AZ17/1000,0),"B")</f>
        <v>$136B</v>
      </c>
      <c r="I12" s="1652" t="str">
        <f>CONCATENATE("$",ROUND(ROTCE!BA17/1000,0),"B")</f>
        <v>$123B</v>
      </c>
      <c r="J12" s="1652" t="str">
        <f>CONCATENATE("$",ROUND(ROTCE!BB17/1000,0),"B")</f>
        <v>$127B</v>
      </c>
      <c r="K12" s="1652" t="str">
        <f>CONCATENATE("$",ROUND(ROTCE!BC17/1000,0),"B")</f>
        <v>$131B</v>
      </c>
      <c r="O12" s="1627"/>
      <c r="P12" s="1627"/>
      <c r="Q12" s="1627"/>
      <c r="R12" s="1627"/>
      <c r="S12" s="1627"/>
      <c r="T12" s="1627"/>
    </row>
    <row r="13" spans="2:20" x14ac:dyDescent="0.25">
      <c r="B13" s="1664" t="s">
        <v>1398</v>
      </c>
      <c r="C13" s="1633"/>
      <c r="D13" s="1642"/>
      <c r="E13" s="1642" t="s">
        <v>229</v>
      </c>
      <c r="F13" s="1642"/>
      <c r="G13" s="1637"/>
      <c r="H13" s="1652" t="str">
        <f>CONCATENATE("$",ROUND(ROTCE!AZ14/1000,0),"B")</f>
        <v>$36B</v>
      </c>
      <c r="I13" s="1652" t="str">
        <f>CONCATENATE("$",ROUND(ROTCE!BA14/1000,0),"B")</f>
        <v>$37B</v>
      </c>
      <c r="J13" s="1652" t="str">
        <f>CONCATENATE("$",ROUND(ROTCE!BB14/1000,0),"B")</f>
        <v>$38B</v>
      </c>
      <c r="K13" s="1652" t="str">
        <f>CONCATENATE("$",ROUND(ROTCE!BC14/1000,0),"B")</f>
        <v>$39B</v>
      </c>
      <c r="O13" s="1627"/>
      <c r="P13" s="1627"/>
      <c r="Q13" s="1627"/>
      <c r="R13" s="1627"/>
      <c r="S13" s="1627"/>
      <c r="T13" s="1627"/>
    </row>
    <row r="14" spans="2:20" x14ac:dyDescent="0.25">
      <c r="B14" s="1664" t="s">
        <v>59</v>
      </c>
      <c r="C14" s="1633"/>
      <c r="D14" s="1642"/>
      <c r="E14" s="1642" t="s">
        <v>229</v>
      </c>
      <c r="F14" s="1642"/>
      <c r="G14" s="1637"/>
      <c r="H14" s="1652" t="str">
        <f>CONCATENATE("$",ROUND(ROTCE!AZ15/1000,0),"B")</f>
        <v>$82B</v>
      </c>
      <c r="I14" s="1652" t="str">
        <f>CONCATENATE("$",ROUND(ROTCE!BA15/1000,0),"B")</f>
        <v>$82B</v>
      </c>
      <c r="J14" s="1652" t="str">
        <f>CONCATENATE("$",ROUND(ROTCE!BB15/1000,0),"B")</f>
        <v>$87B</v>
      </c>
      <c r="K14" s="1652" t="str">
        <f>CONCATENATE("$",ROUND(ROTCE!BC15/1000,0),"B")</f>
        <v>$92B</v>
      </c>
      <c r="O14" s="1627"/>
      <c r="P14" s="1627"/>
      <c r="Q14" s="1627"/>
      <c r="R14" s="1627"/>
      <c r="S14" s="1627"/>
      <c r="T14" s="1627"/>
    </row>
    <row r="15" spans="2:20" x14ac:dyDescent="0.25">
      <c r="B15" s="1664" t="s">
        <v>38</v>
      </c>
      <c r="C15" s="1633"/>
      <c r="D15" s="1642"/>
      <c r="E15" s="1642" t="s">
        <v>229</v>
      </c>
      <c r="F15" s="1642"/>
      <c r="G15" s="1637"/>
      <c r="H15" s="1652" t="str">
        <f>CONCATENATE("$",ROUND(ROTCE!AZ16/1000,0),"B")</f>
        <v>$18B</v>
      </c>
      <c r="I15" s="1652" t="str">
        <f>CONCATENATE("$",ROUND(ROTCE!BA16/1000,0),"B")</f>
        <v>$4B</v>
      </c>
      <c r="J15" s="1652" t="str">
        <f>CONCATENATE("$",ROUND(ROTCE!BB16/1000,0),"B")</f>
        <v>$2B</v>
      </c>
      <c r="K15" s="1652" t="str">
        <f>CONCATENATE("$",ROUND(ROTCE!BC16/1000,0),"B")</f>
        <v>$0B</v>
      </c>
      <c r="O15" s="1627"/>
      <c r="P15" s="1627"/>
      <c r="Q15" s="1627"/>
      <c r="R15" s="1627"/>
      <c r="S15" s="1627"/>
      <c r="T15" s="1627"/>
    </row>
    <row r="16" spans="2:20" x14ac:dyDescent="0.25">
      <c r="B16" s="1645" t="s">
        <v>1409</v>
      </c>
      <c r="C16" s="1633"/>
      <c r="D16" s="1642"/>
      <c r="E16" s="1651">
        <v>0</v>
      </c>
      <c r="F16" s="1651">
        <v>0</v>
      </c>
      <c r="G16" s="1637"/>
      <c r="H16" s="1652" t="str">
        <f>CONCATENATE("$",ROUND(ROTCE!AZ18/1000,0),"B")</f>
        <v>$-9B</v>
      </c>
      <c r="I16" s="1652" t="str">
        <f>CONCATENATE("$",ROUND(ROTCE!BA18/1000,0),"B")</f>
        <v>$3B</v>
      </c>
      <c r="J16" s="1652" t="str">
        <f>CONCATENATE("$",ROUND(ROTCE!BB18/1000,0),"B")</f>
        <v>$-5B</v>
      </c>
      <c r="K16" s="1652" t="str">
        <f>CONCATENATE("$",ROUND(ROTCE!BC18/1000,0),"B")</f>
        <v>$-6B</v>
      </c>
      <c r="O16" s="1627"/>
      <c r="P16" s="1627"/>
      <c r="Q16" s="1627"/>
      <c r="R16" s="1627"/>
      <c r="S16" s="1627"/>
      <c r="T16" s="1627"/>
    </row>
    <row r="17" spans="2:20" x14ac:dyDescent="0.25">
      <c r="C17" s="1633"/>
      <c r="D17" s="1642"/>
      <c r="E17" s="1642"/>
      <c r="F17" s="1642"/>
      <c r="G17" s="1637"/>
      <c r="H17" s="1633"/>
      <c r="I17" s="1633"/>
      <c r="J17" s="1633"/>
      <c r="K17" s="1633"/>
      <c r="O17" s="1627"/>
      <c r="P17" s="1627"/>
      <c r="Q17" s="1627"/>
      <c r="R17" s="1627"/>
      <c r="S17" s="1627"/>
      <c r="T17" s="1627"/>
    </row>
    <row r="18" spans="2:20" x14ac:dyDescent="0.25">
      <c r="B18" s="1626" t="s">
        <v>754</v>
      </c>
      <c r="C18" s="1633"/>
      <c r="D18" s="1642"/>
      <c r="E18" s="1642" t="s">
        <v>1363</v>
      </c>
      <c r="F18" s="1642"/>
      <c r="G18" s="1637"/>
      <c r="H18" s="1646">
        <f>Model!AZ1489</f>
        <v>8.4225119304700211E-3</v>
      </c>
      <c r="I18" s="1646">
        <f>Model!BA1489</f>
        <v>9.3662805261276131E-3</v>
      </c>
      <c r="J18" s="1646">
        <f>Model!BB1489</f>
        <v>9.9881454273068639E-3</v>
      </c>
      <c r="K18" s="1646">
        <f>Model!BC1489</f>
        <v>1.0475636923830311E-2</v>
      </c>
      <c r="O18" s="1627"/>
      <c r="P18" s="1627"/>
      <c r="Q18" s="1627"/>
      <c r="R18" s="1627"/>
      <c r="S18" s="1627"/>
      <c r="T18" s="1627"/>
    </row>
    <row r="19" spans="2:20" x14ac:dyDescent="0.25">
      <c r="C19" s="1633"/>
      <c r="D19" s="1642"/>
      <c r="E19" s="1642"/>
      <c r="F19" s="1642"/>
      <c r="G19" s="1637"/>
      <c r="H19" s="1633"/>
      <c r="I19" s="1633"/>
      <c r="J19" s="1633"/>
      <c r="K19" s="1633"/>
      <c r="O19" s="1627"/>
      <c r="P19" s="1627"/>
      <c r="Q19" s="1627"/>
      <c r="R19" s="1627"/>
      <c r="S19" s="1627"/>
      <c r="T19" s="1627"/>
    </row>
    <row r="20" spans="2:20" x14ac:dyDescent="0.25">
      <c r="B20" s="1626" t="s">
        <v>1377</v>
      </c>
      <c r="C20" s="1633"/>
      <c r="D20" s="1642"/>
      <c r="E20" s="1642" t="s">
        <v>1378</v>
      </c>
      <c r="F20" s="1642"/>
      <c r="G20" s="1637"/>
      <c r="H20" s="1668">
        <f>Model!AZ14/Model!AY14-1</f>
        <v>6.0446780551905333E-2</v>
      </c>
      <c r="I20" s="1668">
        <f>Model!BA14/Model!AZ14-1</f>
        <v>0.14576851349194841</v>
      </c>
      <c r="J20" s="1668">
        <f>Model!BB14/Model!BA14-1</f>
        <v>9.5808268076720937E-2</v>
      </c>
      <c r="K20" s="1668">
        <f>Model!BC14/Model!BB14-1</f>
        <v>8.1694957640354948E-2</v>
      </c>
      <c r="O20" s="1627"/>
      <c r="P20" s="1627"/>
      <c r="Q20" s="1627"/>
      <c r="R20" s="1627"/>
      <c r="S20" s="1627"/>
      <c r="T20" s="1627"/>
    </row>
    <row r="21" spans="2:20" x14ac:dyDescent="0.25">
      <c r="C21" s="1633"/>
      <c r="D21" s="1642"/>
      <c r="E21" s="1642"/>
      <c r="F21" s="1642"/>
      <c r="G21" s="1637"/>
      <c r="H21" s="1633"/>
      <c r="I21" s="1633"/>
      <c r="J21" s="1633"/>
      <c r="K21" s="1633"/>
      <c r="O21" s="1627"/>
      <c r="P21" s="1627"/>
      <c r="Q21" s="1627"/>
      <c r="R21" s="1627"/>
      <c r="S21" s="1627"/>
      <c r="T21" s="1627"/>
    </row>
    <row r="22" spans="2:20" x14ac:dyDescent="0.25">
      <c r="B22" s="1626" t="s">
        <v>1381</v>
      </c>
      <c r="C22" s="1633"/>
      <c r="D22" s="1642"/>
      <c r="E22" s="1642" t="s">
        <v>1380</v>
      </c>
      <c r="F22" s="1642"/>
      <c r="G22" s="1637"/>
      <c r="H22" s="1668">
        <f>Model!AZ30/Model!AY30-1</f>
        <v>0.13502109704641341</v>
      </c>
      <c r="I22" s="1668">
        <f>Model!BA30/Model!AZ30-1</f>
        <v>0.2360594795539035</v>
      </c>
      <c r="J22" s="1668">
        <f>Model!BB30/Model!BA30-1</f>
        <v>0.19849624060150362</v>
      </c>
      <c r="K22" s="1668">
        <f>Model!BC30/Model!BB30-1</f>
        <v>0.16687578419071536</v>
      </c>
      <c r="O22" s="1627"/>
      <c r="P22" s="1627"/>
      <c r="Q22" s="1627"/>
      <c r="R22" s="1627"/>
      <c r="S22" s="1627"/>
      <c r="T22" s="1627"/>
    </row>
    <row r="23" spans="2:20" x14ac:dyDescent="0.25">
      <c r="B23" s="1645" t="s">
        <v>1379</v>
      </c>
      <c r="C23" s="1633"/>
      <c r="D23" s="1642"/>
      <c r="E23" s="1650">
        <v>9</v>
      </c>
      <c r="F23" s="1642"/>
      <c r="G23" s="1637"/>
      <c r="H23" s="1669">
        <f>Model!AZ30</f>
        <v>5.38</v>
      </c>
      <c r="I23" s="1669">
        <f>Model!BA30</f>
        <v>6.65</v>
      </c>
      <c r="J23" s="1669">
        <f>Model!BB30</f>
        <v>7.97</v>
      </c>
      <c r="K23" s="1669">
        <f>Model!BC30</f>
        <v>9.3000000000000007</v>
      </c>
      <c r="O23" s="1627"/>
      <c r="P23" s="1627"/>
      <c r="Q23" s="1627"/>
      <c r="R23" s="1627"/>
      <c r="S23" s="1627"/>
      <c r="T23" s="1627"/>
    </row>
    <row r="24" spans="2:20" x14ac:dyDescent="0.25">
      <c r="C24" s="1633"/>
      <c r="D24" s="1642"/>
      <c r="E24" s="1642"/>
      <c r="F24" s="1642"/>
      <c r="G24" s="1637"/>
      <c r="H24" s="1633"/>
      <c r="I24" s="1633"/>
      <c r="J24" s="1633"/>
      <c r="K24" s="1633"/>
      <c r="O24" s="1627"/>
      <c r="P24" s="1627"/>
      <c r="Q24" s="1627"/>
      <c r="R24" s="1627"/>
      <c r="S24" s="1627"/>
      <c r="T24" s="1627"/>
    </row>
    <row r="25" spans="2:20" x14ac:dyDescent="0.25">
      <c r="B25" s="1626" t="s">
        <v>1384</v>
      </c>
      <c r="C25" s="1633"/>
      <c r="D25" s="1642"/>
      <c r="E25" s="1642">
        <v>0.03</v>
      </c>
      <c r="F25" s="1642"/>
      <c r="G25" s="1637"/>
      <c r="H25" s="1668">
        <f>Model!AZ53/Model!AY53-1</f>
        <v>3.6765652951699535E-2</v>
      </c>
      <c r="I25" s="1668">
        <f>Model!BA53/Model!AZ53-1</f>
        <v>4.5259153417810394E-2</v>
      </c>
      <c r="J25" s="1668">
        <f>Model!BB53/Model!BA53-1</f>
        <v>5.8709914384143636E-2</v>
      </c>
      <c r="K25" s="1668">
        <f>Model!BC53/Model!BB53-1</f>
        <v>5.378073884019674E-2</v>
      </c>
      <c r="O25" s="1627"/>
      <c r="P25" s="1627"/>
      <c r="Q25" s="1627"/>
      <c r="R25" s="1627"/>
      <c r="S25" s="1627"/>
      <c r="T25" s="1627"/>
    </row>
    <row r="26" spans="2:20" x14ac:dyDescent="0.25">
      <c r="C26" s="1633"/>
      <c r="D26" s="1642"/>
      <c r="E26" s="1642"/>
      <c r="F26" s="1642"/>
      <c r="G26" s="1637"/>
      <c r="H26" s="1633"/>
      <c r="I26" s="1633"/>
      <c r="J26" s="1633"/>
      <c r="K26" s="1633"/>
      <c r="O26" s="1627"/>
      <c r="P26" s="1627"/>
      <c r="Q26" s="1627"/>
      <c r="R26" s="1627"/>
      <c r="S26" s="1627"/>
      <c r="T26" s="1627"/>
    </row>
    <row r="27" spans="2:20" x14ac:dyDescent="0.25">
      <c r="B27" s="1626" t="s">
        <v>738</v>
      </c>
      <c r="C27" s="1633"/>
      <c r="D27" s="1642"/>
      <c r="E27" s="1642" t="s">
        <v>1352</v>
      </c>
      <c r="F27" s="1670"/>
      <c r="G27" s="1637"/>
      <c r="H27" s="1668">
        <f>Model!AZ1501</f>
        <v>0.5870121205381964</v>
      </c>
      <c r="I27" s="1668">
        <f>Model!BA1501</f>
        <v>0.56842829745044865</v>
      </c>
      <c r="J27" s="1668">
        <f>Model!BB1501</f>
        <v>0.54641575806059506</v>
      </c>
      <c r="K27" s="1668">
        <f>Model!BC1501</f>
        <v>0.53021332017889067</v>
      </c>
    </row>
    <row r="28" spans="2:20" x14ac:dyDescent="0.25">
      <c r="B28" s="1645" t="s">
        <v>1358</v>
      </c>
      <c r="C28" s="1633"/>
      <c r="D28" s="1642"/>
      <c r="E28" s="1633" t="s">
        <v>1362</v>
      </c>
      <c r="F28" s="1670"/>
      <c r="G28" s="1637"/>
      <c r="H28" s="1633"/>
      <c r="I28" s="1633"/>
      <c r="J28" s="1667"/>
      <c r="K28" s="1667"/>
    </row>
    <row r="29" spans="2:20" x14ac:dyDescent="0.25">
      <c r="B29" s="1645" t="s">
        <v>1356</v>
      </c>
      <c r="C29" s="1633"/>
      <c r="D29" s="1642"/>
      <c r="E29" s="1633" t="s">
        <v>1357</v>
      </c>
      <c r="F29" s="1670"/>
      <c r="G29" s="1637"/>
      <c r="H29" s="1633"/>
      <c r="I29" s="1633"/>
      <c r="J29" s="1667"/>
      <c r="K29" s="1667"/>
    </row>
    <row r="30" spans="2:20" x14ac:dyDescent="0.25">
      <c r="C30" s="1633"/>
      <c r="D30" s="1633"/>
      <c r="E30" s="1633"/>
      <c r="F30" s="1633"/>
      <c r="G30" s="1637"/>
      <c r="H30" s="1633"/>
      <c r="I30" s="1633"/>
      <c r="J30" s="1633"/>
      <c r="K30" s="1633"/>
    </row>
    <row r="31" spans="2:20" x14ac:dyDescent="0.25">
      <c r="B31" s="1626" t="s">
        <v>213</v>
      </c>
      <c r="C31" s="1633"/>
      <c r="D31" s="1633"/>
      <c r="E31" s="1633"/>
      <c r="F31" s="1633"/>
      <c r="G31" s="1637"/>
      <c r="H31" s="1646">
        <f>Model!AZ1273</f>
        <v>1.106516264272238E-2</v>
      </c>
      <c r="I31" s="1646">
        <f>Model!BA1273</f>
        <v>1.2140245586136782E-2</v>
      </c>
      <c r="J31" s="1646">
        <f>Model!BB1273</f>
        <v>1.3291641572558448E-2</v>
      </c>
      <c r="K31" s="1646">
        <f>Model!BC1273</f>
        <v>1.4249628888970887E-2</v>
      </c>
    </row>
    <row r="32" spans="2:20" x14ac:dyDescent="0.25">
      <c r="C32" s="1633"/>
      <c r="D32" s="1633"/>
      <c r="E32" s="1633"/>
      <c r="F32" s="1633"/>
      <c r="G32" s="1637"/>
      <c r="H32" s="1633"/>
      <c r="I32" s="1633"/>
      <c r="J32" s="1633"/>
      <c r="K32" s="1633"/>
    </row>
    <row r="33" spans="2:15" x14ac:dyDescent="0.25">
      <c r="B33" s="1626" t="s">
        <v>1342</v>
      </c>
      <c r="C33" s="1633"/>
      <c r="D33" s="1646">
        <v>0.115</v>
      </c>
      <c r="E33" s="1646">
        <v>0.115</v>
      </c>
      <c r="F33" s="1646">
        <v>0.115</v>
      </c>
      <c r="G33" s="1637"/>
      <c r="H33" s="1667">
        <f>Model!AZ1392</f>
        <v>0.12584944099028605</v>
      </c>
      <c r="I33" s="1667">
        <f>Model!BA1392</f>
        <v>0.11881216271223326</v>
      </c>
      <c r="J33" s="1667">
        <f>Model!BB1392</f>
        <v>0.11195274341991254</v>
      </c>
      <c r="K33" s="1667">
        <f>Model!BC1392</f>
        <v>0.11110842674949507</v>
      </c>
    </row>
    <row r="34" spans="2:15" x14ac:dyDescent="0.25">
      <c r="B34" s="1626" t="s">
        <v>1361</v>
      </c>
      <c r="C34" s="1633"/>
      <c r="D34" s="1633" t="s">
        <v>1360</v>
      </c>
      <c r="E34" s="1633" t="s">
        <v>1360</v>
      </c>
      <c r="F34" s="1670"/>
      <c r="G34" s="1637"/>
      <c r="H34" s="1652" t="str">
        <f>CONCATENATE("$",ROUND((Model!AZ1293+Model!AZ1333)/-1000,1),"B")</f>
        <v>$17.1B</v>
      </c>
      <c r="I34" s="1652" t="str">
        <f>CONCATENATE("$",ROUND((Model!BA1293+Model!BA1333)/-1000,1),"B")</f>
        <v>$19B</v>
      </c>
      <c r="J34" s="1652" t="str">
        <f>CONCATENATE("$",ROUND((Model!BB1293+Model!BB1333)/-1000,1),"B")</f>
        <v>$24.5B</v>
      </c>
      <c r="K34" s="1652" t="str">
        <f>CONCATENATE("$",ROUND((Model!BC1293+Model!BC1333)/-1000,1),"B")</f>
        <v>$19.3B</v>
      </c>
    </row>
    <row r="35" spans="2:15" x14ac:dyDescent="0.25">
      <c r="C35" s="1633"/>
      <c r="D35" s="1633"/>
      <c r="E35" s="1633"/>
      <c r="F35" s="1633"/>
      <c r="G35" s="1637"/>
      <c r="H35" s="1667"/>
      <c r="I35" s="1667"/>
      <c r="J35" s="1667"/>
      <c r="K35" s="1667"/>
    </row>
    <row r="36" spans="2:15" x14ac:dyDescent="0.25">
      <c r="B36" s="1626" t="s">
        <v>1335</v>
      </c>
      <c r="C36" s="1637" t="s">
        <v>1336</v>
      </c>
      <c r="D36" s="1637" t="s">
        <v>1336</v>
      </c>
      <c r="E36" s="1637" t="s">
        <v>1336</v>
      </c>
      <c r="F36" s="1670"/>
      <c r="G36" s="1637"/>
      <c r="H36" s="1652" t="str">
        <f>CONCATENATE("$",ROUND(Model!AZ1438/1000,1),"B")</f>
        <v>$3.2B</v>
      </c>
      <c r="I36" s="1652" t="str">
        <f>CONCATENATE("$",ROUND(Model!BA1438/1000,1),"B")</f>
        <v>$1.3B</v>
      </c>
      <c r="J36" s="1652" t="str">
        <f>CONCATENATE("$",ROUND(Model!BB1438/1000,1),"B")</f>
        <v>$0.8B</v>
      </c>
      <c r="K36" s="1652" t="str">
        <f>CONCATENATE("$",ROUND(Model!BC1438/1000,1),"B")</f>
        <v>$0.8B</v>
      </c>
      <c r="M36" s="1626" t="s">
        <v>1437</v>
      </c>
    </row>
    <row r="37" spans="2:15" x14ac:dyDescent="0.25">
      <c r="C37" s="1637"/>
      <c r="D37" s="1637"/>
      <c r="E37" s="1670"/>
      <c r="F37" s="1670"/>
      <c r="G37" s="1637"/>
      <c r="H37" s="1672"/>
      <c r="I37" s="1672"/>
      <c r="J37" s="1672"/>
      <c r="K37" s="1672"/>
    </row>
    <row r="38" spans="2:15" x14ac:dyDescent="0.25">
      <c r="B38" s="1631" t="s">
        <v>1376</v>
      </c>
      <c r="C38" s="1649"/>
      <c r="D38" s="1631"/>
      <c r="E38" s="1648"/>
      <c r="F38" s="1648"/>
      <c r="H38" s="1631" t="s">
        <v>1371</v>
      </c>
      <c r="I38" s="1631"/>
      <c r="J38" s="1631"/>
      <c r="K38" s="1631"/>
    </row>
    <row r="39" spans="2:15" x14ac:dyDescent="0.25">
      <c r="B39" s="1644" t="s">
        <v>100</v>
      </c>
      <c r="C39" s="1673"/>
      <c r="D39" s="1673"/>
      <c r="E39" s="1673"/>
      <c r="F39" s="1673"/>
      <c r="G39" s="1637"/>
      <c r="H39" s="1674"/>
      <c r="I39" s="1673"/>
      <c r="J39" s="1673"/>
      <c r="K39" s="1673"/>
    </row>
    <row r="40" spans="2:15" x14ac:dyDescent="0.25">
      <c r="C40" s="1671" t="s">
        <v>1375</v>
      </c>
      <c r="D40" s="1671" t="s">
        <v>1374</v>
      </c>
      <c r="E40" s="1671" t="s">
        <v>1373</v>
      </c>
      <c r="F40" s="1671" t="s">
        <v>1372</v>
      </c>
      <c r="G40" s="1637"/>
      <c r="H40" s="1671" t="s">
        <v>583</v>
      </c>
      <c r="I40" s="1671" t="s">
        <v>584</v>
      </c>
      <c r="J40" s="1671" t="s">
        <v>585</v>
      </c>
      <c r="K40" s="1671" t="s">
        <v>586</v>
      </c>
    </row>
    <row r="41" spans="2:15" ht="15.75" thickBot="1" x14ac:dyDescent="0.3">
      <c r="C41" s="1637"/>
      <c r="D41" s="1633"/>
      <c r="E41" s="1633"/>
      <c r="F41" s="1633"/>
      <c r="G41" s="1633"/>
      <c r="H41" s="1633"/>
      <c r="I41" s="1633"/>
      <c r="J41" s="1633"/>
      <c r="K41" s="1633"/>
    </row>
    <row r="42" spans="2:15" ht="16.5" thickTop="1" thickBot="1" x14ac:dyDescent="0.3">
      <c r="B42" s="1626" t="s">
        <v>758</v>
      </c>
      <c r="C42" s="1637"/>
      <c r="D42" s="1633"/>
      <c r="E42" s="1665">
        <v>0.19</v>
      </c>
      <c r="F42" s="1642" t="s">
        <v>1333</v>
      </c>
      <c r="G42" s="1633"/>
      <c r="H42" s="1675">
        <f>ROTCE!AZ38</f>
        <v>0.10772222222222222</v>
      </c>
      <c r="I42" s="1675">
        <f>ROTCE!BA38</f>
        <v>0.15471952976126596</v>
      </c>
      <c r="J42" s="1675">
        <f>ROTCE!BB38</f>
        <v>0.16037680296617612</v>
      </c>
      <c r="K42" s="1666">
        <f>ROTCE!BC38</f>
        <v>0.16096063314962036</v>
      </c>
    </row>
    <row r="43" spans="2:15" ht="15.75" thickTop="1" x14ac:dyDescent="0.25">
      <c r="C43" s="1637"/>
      <c r="D43" s="1642"/>
      <c r="E43" s="1642"/>
      <c r="F43" s="1642"/>
      <c r="G43" s="1633"/>
      <c r="H43" s="1676"/>
      <c r="I43" s="1676"/>
      <c r="J43" s="1676"/>
      <c r="K43" s="1676"/>
      <c r="O43" s="1636"/>
    </row>
    <row r="44" spans="2:15" x14ac:dyDescent="0.25">
      <c r="B44" s="1626" t="s">
        <v>1385</v>
      </c>
      <c r="C44" s="1637"/>
      <c r="D44" s="1642"/>
      <c r="E44" s="1642" t="s">
        <v>1386</v>
      </c>
      <c r="F44" s="1642"/>
      <c r="G44" s="1633"/>
      <c r="H44" s="1668">
        <f>Model!AZ68/Model!AY68-1</f>
        <v>-5.4540675515836523E-2</v>
      </c>
      <c r="I44" s="1668">
        <f>Model!BA68/Model!AZ68-1</f>
        <v>6.1671793818504739E-2</v>
      </c>
      <c r="J44" s="1668">
        <f>Model!BB68/Model!BA68-1</f>
        <v>5.5222874177094816E-2</v>
      </c>
      <c r="K44" s="1668">
        <f>Model!BC68/Model!BB68-1</f>
        <v>3.3749576483791177E-2</v>
      </c>
      <c r="O44" s="1636"/>
    </row>
    <row r="45" spans="2:15" x14ac:dyDescent="0.25">
      <c r="C45" s="1637"/>
      <c r="D45" s="1642"/>
      <c r="E45" s="1642"/>
      <c r="F45" s="1642"/>
      <c r="G45" s="1633"/>
      <c r="H45" s="1676"/>
      <c r="I45" s="1676"/>
      <c r="J45" s="1676"/>
      <c r="K45" s="1676"/>
      <c r="O45" s="1636"/>
    </row>
    <row r="46" spans="2:15" x14ac:dyDescent="0.25">
      <c r="B46" s="1626" t="s">
        <v>1384</v>
      </c>
      <c r="C46" s="1637"/>
      <c r="D46" s="1642"/>
      <c r="E46" s="1642">
        <v>0.04</v>
      </c>
      <c r="F46" s="1642"/>
      <c r="G46" s="1633"/>
      <c r="H46" s="1668">
        <f>Model!AZ50/Model!AY50-1</f>
        <v>4.1847774358323653E-2</v>
      </c>
      <c r="I46" s="1668">
        <f>Model!BA50/Model!AZ50-1</f>
        <v>4.3814487709983529E-2</v>
      </c>
      <c r="J46" s="1668">
        <f>Model!BB50/Model!BA50-1</f>
        <v>4.6154684921008826E-2</v>
      </c>
      <c r="K46" s="1668">
        <f>Model!BC50/Model!BB50-1</f>
        <v>4.8669623800388084E-2</v>
      </c>
      <c r="O46" s="1636"/>
    </row>
    <row r="47" spans="2:15" x14ac:dyDescent="0.25">
      <c r="B47" s="1626" t="s">
        <v>1397</v>
      </c>
      <c r="C47" s="1637"/>
      <c r="D47" s="1642"/>
      <c r="E47" s="1642">
        <v>0.05</v>
      </c>
      <c r="F47" s="1637"/>
      <c r="G47" s="1637"/>
      <c r="H47" s="1677">
        <f>H46</f>
        <v>4.1847774358323653E-2</v>
      </c>
      <c r="I47" s="1677">
        <f t="shared" ref="I47:K47" si="0">I46</f>
        <v>4.3814487709983529E-2</v>
      </c>
      <c r="J47" s="1677">
        <f t="shared" si="0"/>
        <v>4.6154684921008826E-2</v>
      </c>
      <c r="K47" s="1677">
        <f t="shared" si="0"/>
        <v>4.8669623800388084E-2</v>
      </c>
    </row>
    <row r="48" spans="2:15" x14ac:dyDescent="0.25">
      <c r="B48" s="1645" t="s">
        <v>1393</v>
      </c>
      <c r="C48" s="1637"/>
      <c r="D48" s="1642"/>
      <c r="E48" s="1642">
        <v>0.1</v>
      </c>
      <c r="F48" s="1642"/>
      <c r="G48" s="1633"/>
      <c r="H48" s="1677">
        <f>(Model!AZ165-Model!AZ207)/(Model!AY165-Model!AY207)-1</f>
        <v>5.1712614870509599E-2</v>
      </c>
      <c r="I48" s="1677">
        <f>(Model!BA165-Model!BA207)/(Model!AZ165-Model!AZ207)-1</f>
        <v>2.4051986554658678E-2</v>
      </c>
      <c r="J48" s="1677">
        <f>(Model!BB165-Model!BB207)/(Model!BA165-Model!BA207)-1</f>
        <v>3.79438835629613E-2</v>
      </c>
      <c r="K48" s="1677">
        <f>(Model!BC165-Model!BC207)/(Model!BB165-Model!BB207)-1</f>
        <v>4.318948383730481E-2</v>
      </c>
    </row>
    <row r="49" spans="2:18" x14ac:dyDescent="0.25">
      <c r="B49" s="1645" t="s">
        <v>1394</v>
      </c>
      <c r="C49" s="1637"/>
      <c r="D49" s="1642"/>
      <c r="E49" s="1642">
        <v>0.01</v>
      </c>
      <c r="F49" s="1642"/>
      <c r="G49" s="1633"/>
      <c r="H49" s="1668">
        <f>Model!AZ167/Model!AY167-1</f>
        <v>6.2627211523407222E-3</v>
      </c>
      <c r="I49" s="1668">
        <f>Model!BA167/Model!AZ167-1</f>
        <v>3.7148693246385367E-2</v>
      </c>
      <c r="J49" s="1668">
        <f>Model!BB167/Model!BA167-1</f>
        <v>4.3898364071057072E-2</v>
      </c>
      <c r="K49" s="1668">
        <f>Model!BC167/Model!BB167-1</f>
        <v>2.919067195199565E-2</v>
      </c>
    </row>
    <row r="50" spans="2:18" x14ac:dyDescent="0.25">
      <c r="B50" s="1645" t="s">
        <v>1395</v>
      </c>
      <c r="C50" s="1637"/>
      <c r="D50" s="1642"/>
      <c r="E50" s="1642">
        <v>0.03</v>
      </c>
      <c r="F50" s="1642"/>
      <c r="G50" s="1633"/>
      <c r="H50" s="1668">
        <f>Model!AZ166/Model!AY166-1</f>
        <v>5.2515337423312936E-2</v>
      </c>
      <c r="I50" s="1668">
        <f>Model!BA166/Model!AZ166-1</f>
        <v>2.1492400502081122E-3</v>
      </c>
      <c r="J50" s="1668">
        <f>Model!BB166/Model!BA166-1</f>
        <v>3.4764908959141083E-2</v>
      </c>
      <c r="K50" s="1668">
        <f>Model!BC166/Model!BB166-1</f>
        <v>6.1093435778603711E-2</v>
      </c>
    </row>
    <row r="51" spans="2:18" x14ac:dyDescent="0.25">
      <c r="B51" s="1645" t="s">
        <v>77</v>
      </c>
      <c r="C51" s="1637"/>
      <c r="D51" s="1642"/>
      <c r="E51" s="1642">
        <v>0.04</v>
      </c>
      <c r="F51" s="1642"/>
      <c r="G51" s="1633"/>
      <c r="H51" s="1668">
        <f>Model!AZ141/Model!AY141-1</f>
        <v>7.4290728283123775E-2</v>
      </c>
      <c r="I51" s="1668">
        <f>Model!BA141/Model!AZ141-1</f>
        <v>9.5177508670826194E-2</v>
      </c>
      <c r="J51" s="1668">
        <f>Model!BB141/Model!BA141-1</f>
        <v>6.1873108976482127E-2</v>
      </c>
      <c r="K51" s="1668">
        <f>Model!BC141/Model!BB141-1</f>
        <v>5.9628040748239686E-2</v>
      </c>
    </row>
    <row r="52" spans="2:18" x14ac:dyDescent="0.25">
      <c r="B52" s="1645" t="s">
        <v>1396</v>
      </c>
      <c r="C52" s="1637"/>
      <c r="D52" s="1642"/>
      <c r="E52" s="1642">
        <v>0.1</v>
      </c>
      <c r="F52" s="1642"/>
      <c r="G52" s="1633"/>
      <c r="H52" s="1668">
        <f>Model!AZ140/Model!AY140-1</f>
        <v>6.0950832994717485E-2</v>
      </c>
      <c r="I52" s="1668">
        <f>Model!BA140/Model!AZ140-1</f>
        <v>8.1018469542871951E-2</v>
      </c>
      <c r="J52" s="1668">
        <f>Model!BB140/Model!BA140-1</f>
        <v>5.1793248479768295E-2</v>
      </c>
      <c r="K52" s="1668">
        <f>Model!BC140/Model!BB140-1</f>
        <v>4.1368109780571816E-2</v>
      </c>
    </row>
    <row r="53" spans="2:18" ht="15.75" thickBot="1" x14ac:dyDescent="0.3">
      <c r="C53" s="1637"/>
      <c r="D53" s="1642"/>
      <c r="E53" s="1642"/>
      <c r="F53" s="1642"/>
      <c r="G53" s="1633"/>
      <c r="H53" s="1668"/>
      <c r="I53" s="1668"/>
      <c r="J53" s="1668"/>
      <c r="K53" s="1668"/>
    </row>
    <row r="54" spans="2:18" ht="16.5" thickTop="1" thickBot="1" x14ac:dyDescent="0.3">
      <c r="B54" s="1626" t="s">
        <v>738</v>
      </c>
      <c r="C54" s="1637"/>
      <c r="D54" s="1642"/>
      <c r="E54" s="1665" t="s">
        <v>1359</v>
      </c>
      <c r="F54" s="1642"/>
      <c r="G54" s="1633"/>
      <c r="H54" s="1668">
        <f>Model!AZ56/Model!AZ50</f>
        <v>0.54823679883062304</v>
      </c>
      <c r="I54" s="1668">
        <f>Model!BA56/Model!BA50</f>
        <v>0.54048273925674117</v>
      </c>
      <c r="J54" s="1668">
        <f>Model!BB56/Model!BB50</f>
        <v>0.52338674011712716</v>
      </c>
      <c r="K54" s="1681">
        <f>Model!BC56/Model!BC50</f>
        <v>0.509515951760526</v>
      </c>
    </row>
    <row r="55" spans="2:18" ht="15.75" thickTop="1" x14ac:dyDescent="0.25">
      <c r="B55" s="1645" t="s">
        <v>1358</v>
      </c>
      <c r="C55" s="1637"/>
      <c r="D55" s="1642"/>
      <c r="E55" s="1633" t="s">
        <v>1357</v>
      </c>
      <c r="F55" s="1670"/>
      <c r="G55" s="1633"/>
      <c r="H55" s="1633"/>
      <c r="I55" s="1633"/>
      <c r="J55" s="1667"/>
      <c r="K55" s="1667"/>
    </row>
    <row r="56" spans="2:18" x14ac:dyDescent="0.25">
      <c r="B56" s="1645" t="s">
        <v>1356</v>
      </c>
      <c r="C56" s="1637"/>
      <c r="D56" s="1642"/>
      <c r="E56" s="1633" t="s">
        <v>1355</v>
      </c>
      <c r="F56" s="1670"/>
      <c r="G56" s="1633"/>
      <c r="H56" s="1633"/>
      <c r="I56" s="1633"/>
      <c r="J56" s="1667"/>
      <c r="K56" s="1667"/>
    </row>
    <row r="57" spans="2:18" x14ac:dyDescent="0.25">
      <c r="C57" s="1637"/>
      <c r="D57" s="1642"/>
      <c r="E57" s="1642"/>
      <c r="F57" s="1642"/>
      <c r="G57" s="1633"/>
      <c r="H57" s="1676"/>
      <c r="I57" s="1676"/>
      <c r="J57" s="1676"/>
      <c r="K57" s="1676"/>
    </row>
    <row r="58" spans="2:18" x14ac:dyDescent="0.25">
      <c r="B58" s="1626" t="s">
        <v>1351</v>
      </c>
      <c r="C58" s="1637"/>
      <c r="D58" s="1640"/>
      <c r="E58" s="1640">
        <v>2.1499999999999998E-2</v>
      </c>
      <c r="F58" s="1678"/>
      <c r="G58" s="1637"/>
      <c r="H58" s="1633" t="s">
        <v>229</v>
      </c>
      <c r="I58" s="1633" t="s">
        <v>229</v>
      </c>
      <c r="J58" s="1633" t="s">
        <v>229</v>
      </c>
      <c r="K58" s="1633" t="s">
        <v>229</v>
      </c>
      <c r="R58" s="1639"/>
    </row>
    <row r="59" spans="2:18" x14ac:dyDescent="0.25">
      <c r="B59" s="1626" t="s">
        <v>1350</v>
      </c>
      <c r="C59" s="1637"/>
      <c r="D59" s="1640"/>
      <c r="E59" s="1640">
        <v>2.5000000000000001E-2</v>
      </c>
      <c r="F59" s="1670"/>
      <c r="G59" s="1637"/>
      <c r="H59" s="1633" t="s">
        <v>229</v>
      </c>
      <c r="I59" s="1633" t="s">
        <v>229</v>
      </c>
      <c r="J59" s="1633" t="s">
        <v>229</v>
      </c>
      <c r="K59" s="1633" t="s">
        <v>229</v>
      </c>
      <c r="R59" s="1639"/>
    </row>
    <row r="60" spans="2:18" ht="15.75" thickBot="1" x14ac:dyDescent="0.3">
      <c r="C60" s="1637"/>
      <c r="D60" s="1640"/>
      <c r="E60" s="1640"/>
      <c r="F60" s="1670"/>
      <c r="G60" s="1637"/>
      <c r="H60" s="1633"/>
      <c r="I60" s="1633"/>
      <c r="J60" s="1633"/>
      <c r="K60" s="1633"/>
      <c r="R60" s="1639"/>
    </row>
    <row r="61" spans="2:18" ht="16.5" thickTop="1" thickBot="1" x14ac:dyDescent="0.3">
      <c r="B61" s="1626" t="s">
        <v>1410</v>
      </c>
      <c r="C61" s="1637"/>
      <c r="D61" s="1640"/>
      <c r="E61" s="1665" t="s">
        <v>1354</v>
      </c>
      <c r="F61" s="1670"/>
      <c r="G61" s="1637"/>
      <c r="H61" s="1646">
        <f>Model!AZ1248</f>
        <v>2.895001478852411E-2</v>
      </c>
      <c r="I61" s="1646">
        <f>Model!BA1248</f>
        <v>3.1859212328123734E-2</v>
      </c>
      <c r="J61" s="1646">
        <f>Model!BB1248</f>
        <v>3.4404162692854678E-2</v>
      </c>
      <c r="K61" s="1680">
        <f>Model!BC1248</f>
        <v>3.7961999999999996E-2</v>
      </c>
      <c r="N61" s="1683"/>
      <c r="O61" s="1683"/>
      <c r="R61" s="1641"/>
    </row>
    <row r="62" spans="2:18" ht="16.5" thickTop="1" thickBot="1" x14ac:dyDescent="0.3">
      <c r="B62" s="1626" t="s">
        <v>1411</v>
      </c>
      <c r="C62" s="1637"/>
      <c r="D62" s="1640"/>
      <c r="E62" s="1679">
        <v>0.05</v>
      </c>
      <c r="F62" s="1670"/>
      <c r="G62" s="1637"/>
      <c r="H62" s="1646">
        <f>Model!AZ1263</f>
        <v>4.7284695556774545E-2</v>
      </c>
      <c r="I62" s="1646">
        <f>Model!BA1263</f>
        <v>5.17383183208701E-2</v>
      </c>
      <c r="J62" s="1646">
        <f>Model!BB1263</f>
        <v>5.3412553346394526E-2</v>
      </c>
      <c r="K62" s="1680">
        <f>Model!BC1263</f>
        <v>5.5E-2</v>
      </c>
      <c r="N62" s="1683"/>
      <c r="O62" s="1683"/>
      <c r="R62" s="1641"/>
    </row>
    <row r="63" spans="2:18" ht="15.75" thickTop="1" x14ac:dyDescent="0.25">
      <c r="B63" s="1626" t="s">
        <v>1412</v>
      </c>
      <c r="C63" s="1637"/>
      <c r="D63" s="1640"/>
      <c r="E63" s="1682"/>
      <c r="F63" s="1670"/>
      <c r="G63" s="1637"/>
      <c r="H63" s="1646">
        <f>Model!AZ1247</f>
        <v>3.48450830713965E-3</v>
      </c>
      <c r="I63" s="1646">
        <f>Model!BA1247</f>
        <v>3.7176935933809357E-3</v>
      </c>
      <c r="J63" s="1646">
        <f>Model!BB1247</f>
        <v>4.8825534740086296E-3</v>
      </c>
      <c r="K63" s="1646">
        <f>Model!BC1247</f>
        <v>6.0000000000000001E-3</v>
      </c>
      <c r="R63" s="1641"/>
    </row>
    <row r="64" spans="2:18" x14ac:dyDescent="0.25">
      <c r="B64" s="1626" t="s">
        <v>1413</v>
      </c>
      <c r="C64" s="1637"/>
      <c r="D64" s="1640"/>
      <c r="E64" s="1682"/>
      <c r="F64" s="1670"/>
      <c r="G64" s="1637"/>
      <c r="H64" s="1646">
        <f>Model!AZ1255</f>
        <v>4.4193867457962409E-2</v>
      </c>
      <c r="I64" s="1646">
        <f>Model!BA1255</f>
        <v>4.4263933338400792E-2</v>
      </c>
      <c r="J64" s="1646">
        <f>Model!BB1255</f>
        <v>4.8240851375088115E-2</v>
      </c>
      <c r="K64" s="1646">
        <f>Model!BC1255</f>
        <v>5.0244802616518515E-2</v>
      </c>
      <c r="R64" s="1641"/>
    </row>
    <row r="65" spans="2:18" x14ac:dyDescent="0.25">
      <c r="B65" s="1626" t="s">
        <v>1414</v>
      </c>
      <c r="C65" s="1637"/>
      <c r="D65" s="1640"/>
      <c r="E65" s="1682"/>
      <c r="F65" s="1670"/>
      <c r="G65" s="1637"/>
      <c r="H65" s="1646">
        <f>Model!AZ1260</f>
        <v>7.5862068965517225E-3</v>
      </c>
      <c r="I65" s="1646">
        <f>Model!BA1260</f>
        <v>7.7301260870297804E-3</v>
      </c>
      <c r="J65" s="1646">
        <f>Model!BB1260</f>
        <v>8.6674340638916211E-3</v>
      </c>
      <c r="K65" s="1646">
        <f>Model!BC1260</f>
        <v>9.5702891901901389E-3</v>
      </c>
      <c r="R65" s="1641"/>
    </row>
    <row r="66" spans="2:18" x14ac:dyDescent="0.25">
      <c r="C66" s="1637"/>
      <c r="D66" s="1640"/>
      <c r="E66" s="1670"/>
      <c r="F66" s="1670"/>
      <c r="G66" s="1637"/>
      <c r="H66" s="1646"/>
      <c r="I66" s="1633"/>
      <c r="J66" s="1633"/>
      <c r="K66" s="1633"/>
      <c r="R66" s="1641"/>
    </row>
    <row r="67" spans="2:18" x14ac:dyDescent="0.25">
      <c r="B67" s="1644" t="s">
        <v>182</v>
      </c>
      <c r="C67" s="1673"/>
      <c r="D67" s="1673"/>
      <c r="E67" s="1673"/>
      <c r="F67" s="1673"/>
      <c r="G67" s="1637"/>
      <c r="H67" s="1674"/>
      <c r="I67" s="1673"/>
      <c r="J67" s="1673"/>
      <c r="K67" s="1673"/>
    </row>
    <row r="68" spans="2:18" x14ac:dyDescent="0.25">
      <c r="C68" s="1671" t="s">
        <v>1375</v>
      </c>
      <c r="D68" s="1671" t="s">
        <v>1374</v>
      </c>
      <c r="E68" s="1671" t="s">
        <v>1373</v>
      </c>
      <c r="F68" s="1671" t="s">
        <v>1372</v>
      </c>
      <c r="G68" s="1637"/>
      <c r="H68" s="1671" t="s">
        <v>583</v>
      </c>
      <c r="I68" s="1671" t="s">
        <v>584</v>
      </c>
      <c r="J68" s="1671" t="s">
        <v>585</v>
      </c>
      <c r="K68" s="1671" t="s">
        <v>586</v>
      </c>
    </row>
    <row r="69" spans="2:18" x14ac:dyDescent="0.25">
      <c r="C69" s="1637"/>
      <c r="D69" s="1637"/>
      <c r="E69" s="1637"/>
      <c r="F69" s="1637"/>
      <c r="G69" s="1637"/>
      <c r="H69" s="1637"/>
      <c r="I69" s="1637"/>
      <c r="J69" s="1637"/>
      <c r="K69" s="1637"/>
      <c r="L69" s="1636">
        <f>8.61/8.31-1</f>
        <v>3.6101083032490822E-2</v>
      </c>
      <c r="R69" s="1639"/>
    </row>
    <row r="70" spans="2:18" x14ac:dyDescent="0.25">
      <c r="B70" s="1626" t="s">
        <v>758</v>
      </c>
      <c r="C70" s="1637"/>
      <c r="D70" s="1633"/>
      <c r="E70" s="1642">
        <v>0.14000000000000001</v>
      </c>
      <c r="F70" s="1642" t="s">
        <v>1353</v>
      </c>
      <c r="G70" s="1633"/>
      <c r="H70" s="1675">
        <f>ROTCE!AZ39</f>
        <v>0.1105609756097561</v>
      </c>
      <c r="I70" s="1675">
        <f>ROTCE!BA39</f>
        <v>0.15639270398177496</v>
      </c>
      <c r="J70" s="1675">
        <f>ROTCE!BB39</f>
        <v>0.16283775124163355</v>
      </c>
      <c r="K70" s="1675">
        <f>ROTCE!BC39</f>
        <v>0.1671324676502037</v>
      </c>
      <c r="L70" s="1634"/>
    </row>
    <row r="71" spans="2:18" x14ac:dyDescent="0.25">
      <c r="C71" s="1637"/>
      <c r="D71" s="1633"/>
      <c r="E71" s="1633"/>
      <c r="F71" s="1633"/>
      <c r="G71" s="1633"/>
      <c r="H71" s="1676"/>
      <c r="I71" s="1676"/>
      <c r="J71" s="1676"/>
      <c r="K71" s="1676"/>
      <c r="L71" s="1634"/>
    </row>
    <row r="72" spans="2:18" x14ac:dyDescent="0.25">
      <c r="B72" s="1626" t="s">
        <v>1385</v>
      </c>
      <c r="C72" s="1637"/>
      <c r="D72" s="1642"/>
      <c r="E72" s="1642" t="s">
        <v>1387</v>
      </c>
      <c r="F72" s="1642"/>
      <c r="G72" s="1633"/>
      <c r="H72" s="1668">
        <f>Model!AZ69/Model!AY69-1</f>
        <v>0.16605005440696408</v>
      </c>
      <c r="I72" s="1668">
        <f>Model!BA69/Model!AZ69-1</f>
        <v>6.0487057899344165E-2</v>
      </c>
      <c r="J72" s="1668">
        <f>Model!BB69/Model!BA69-1</f>
        <v>9.3531807308855131E-2</v>
      </c>
      <c r="K72" s="1668">
        <f>Model!BC69/Model!BB69-1</f>
        <v>8.5361229416109463E-2</v>
      </c>
      <c r="O72" s="1636"/>
    </row>
    <row r="73" spans="2:18" x14ac:dyDescent="0.25">
      <c r="C73" s="1637"/>
      <c r="D73" s="1642"/>
      <c r="E73" s="1642"/>
      <c r="F73" s="1642"/>
      <c r="G73" s="1633"/>
      <c r="H73" s="1676"/>
      <c r="I73" s="1676"/>
      <c r="J73" s="1676"/>
      <c r="K73" s="1676"/>
      <c r="O73" s="1636"/>
    </row>
    <row r="74" spans="2:18" x14ac:dyDescent="0.25">
      <c r="B74" s="1626" t="s">
        <v>1384</v>
      </c>
      <c r="C74" s="1637"/>
      <c r="D74" s="1642"/>
      <c r="E74" s="1642">
        <v>0.04</v>
      </c>
      <c r="F74" s="1642"/>
      <c r="G74" s="1633"/>
      <c r="H74" s="1668">
        <f>Model!AZ51/Model!AY51-1</f>
        <v>9.7721732326120359E-2</v>
      </c>
      <c r="I74" s="1668">
        <f>Model!BA51/Model!AZ51-1</f>
        <v>7.7867228377691333E-2</v>
      </c>
      <c r="J74" s="1668">
        <f>Model!BB51/Model!BA51-1</f>
        <v>8.4767779781003583E-2</v>
      </c>
      <c r="K74" s="1668">
        <f>Model!BC51/Model!BB51-1</f>
        <v>6.822581488055568E-2</v>
      </c>
    </row>
    <row r="75" spans="2:18" x14ac:dyDescent="0.25">
      <c r="C75" s="1637"/>
      <c r="D75" s="1642"/>
      <c r="E75" s="1642"/>
      <c r="F75" s="1642"/>
      <c r="G75" s="1633"/>
      <c r="H75" s="1668"/>
      <c r="I75" s="1668"/>
      <c r="J75" s="1668"/>
      <c r="K75" s="1668"/>
    </row>
    <row r="76" spans="2:18" x14ac:dyDescent="0.25">
      <c r="B76" s="1626" t="s">
        <v>738</v>
      </c>
      <c r="C76" s="1637"/>
      <c r="D76" s="1633"/>
      <c r="E76" s="1642" t="s">
        <v>1352</v>
      </c>
      <c r="F76" s="1633"/>
      <c r="G76" s="1633"/>
      <c r="H76" s="1668">
        <f>Model!AZ57/Model!AZ51</f>
        <v>0.55971376871195921</v>
      </c>
      <c r="I76" s="1668">
        <f>Model!BA57/Model!BA51</f>
        <v>0.55240575543448467</v>
      </c>
      <c r="J76" s="1668">
        <f>Model!BB57/Model!BB51</f>
        <v>0.53639496527965302</v>
      </c>
      <c r="K76" s="1668">
        <f>Model!BC57/Model!BC51</f>
        <v>0.52500000000000002</v>
      </c>
      <c r="L76" s="1634"/>
    </row>
    <row r="77" spans="2:18" x14ac:dyDescent="0.25">
      <c r="C77" s="1637"/>
      <c r="D77" s="1633"/>
      <c r="E77" s="1633"/>
      <c r="F77" s="1633"/>
      <c r="G77" s="1633"/>
      <c r="H77" s="1633"/>
      <c r="I77" s="1633"/>
      <c r="J77" s="1633"/>
      <c r="K77" s="1633"/>
      <c r="L77" s="1634"/>
    </row>
    <row r="78" spans="2:18" x14ac:dyDescent="0.25">
      <c r="B78" s="1626" t="s">
        <v>213</v>
      </c>
      <c r="C78" s="1637"/>
      <c r="D78" s="1633"/>
      <c r="E78" s="1633" t="s">
        <v>1415</v>
      </c>
      <c r="F78" s="1633"/>
      <c r="G78" s="1633"/>
      <c r="H78" s="1646">
        <f>Model!AZ1269</f>
        <v>1.1550632911392405E-3</v>
      </c>
      <c r="I78" s="1646">
        <f>Model!BA1269</f>
        <v>2.0014945076959807E-3</v>
      </c>
      <c r="J78" s="1646">
        <f>Model!BB1269</f>
        <v>3.0083767915270324E-3</v>
      </c>
      <c r="K78" s="1646">
        <f>Model!BC1269</f>
        <v>3.5000000000000001E-3</v>
      </c>
      <c r="L78" s="1634"/>
    </row>
    <row r="79" spans="2:18" x14ac:dyDescent="0.25">
      <c r="C79" s="1637"/>
      <c r="D79" s="1633"/>
      <c r="E79" s="1633"/>
      <c r="F79" s="1633"/>
      <c r="G79" s="1633"/>
      <c r="H79" s="1633"/>
      <c r="I79" s="1633"/>
      <c r="J79" s="1633"/>
      <c r="K79" s="1633"/>
      <c r="L79" s="1634"/>
    </row>
    <row r="80" spans="2:18" x14ac:dyDescent="0.25">
      <c r="B80" s="1644" t="s">
        <v>1382</v>
      </c>
      <c r="C80" s="1673"/>
      <c r="D80" s="1673"/>
      <c r="E80" s="1673"/>
      <c r="F80" s="1673"/>
      <c r="G80" s="1637"/>
      <c r="H80" s="1674"/>
      <c r="I80" s="1673"/>
      <c r="J80" s="1673"/>
      <c r="K80" s="1673"/>
    </row>
    <row r="81" spans="2:20" x14ac:dyDescent="0.25">
      <c r="C81" s="1671" t="s">
        <v>1375</v>
      </c>
      <c r="D81" s="1671" t="s">
        <v>1374</v>
      </c>
      <c r="E81" s="1671" t="s">
        <v>1373</v>
      </c>
      <c r="F81" s="1671" t="s">
        <v>1372</v>
      </c>
      <c r="G81" s="1637"/>
      <c r="H81" s="1671" t="s">
        <v>583</v>
      </c>
      <c r="I81" s="1671" t="s">
        <v>584</v>
      </c>
      <c r="J81" s="1671" t="s">
        <v>585</v>
      </c>
      <c r="K81" s="1671" t="s">
        <v>586</v>
      </c>
    </row>
    <row r="82" spans="2:20" x14ac:dyDescent="0.25">
      <c r="C82" s="1637"/>
      <c r="D82" s="1637"/>
      <c r="E82" s="1637"/>
      <c r="F82" s="1637"/>
      <c r="G82" s="1637"/>
      <c r="H82" s="1637"/>
      <c r="I82" s="1637"/>
      <c r="J82" s="1637"/>
      <c r="K82" s="1637"/>
    </row>
    <row r="83" spans="2:20" x14ac:dyDescent="0.25">
      <c r="B83" s="1626" t="s">
        <v>6</v>
      </c>
      <c r="C83" s="1637"/>
      <c r="D83" s="1637"/>
      <c r="E83" s="1637" t="s">
        <v>1383</v>
      </c>
      <c r="F83" s="1637"/>
      <c r="G83" s="1637"/>
      <c r="H83" s="1652" t="str">
        <f>CONCATENATE("$",ROUND(Model!AZ8/1000,1),"B")</f>
        <v>$3B</v>
      </c>
      <c r="I83" s="1652" t="str">
        <f>CONCATENATE("$",ROUND(Model!BA8/1000,1),"B")</f>
        <v>$-0.5B</v>
      </c>
      <c r="J83" s="1652" t="str">
        <f>CONCATENATE("$",ROUND(Model!BB8/1000,1),"B")</f>
        <v>$-0.5B</v>
      </c>
      <c r="K83" s="1652" t="str">
        <f>CONCATENATE("$",ROUND(Model!BC8/1000,1),"B")</f>
        <v>$-0.4B</v>
      </c>
    </row>
    <row r="84" spans="2:20" x14ac:dyDescent="0.25">
      <c r="D84" s="1633"/>
      <c r="E84" s="1633"/>
      <c r="F84" s="1633"/>
      <c r="G84" s="1634"/>
      <c r="H84" s="1634"/>
      <c r="I84" s="1634"/>
      <c r="J84" s="1634"/>
      <c r="K84" s="1634"/>
      <c r="L84" s="1634"/>
    </row>
    <row r="85" spans="2:20" x14ac:dyDescent="0.25">
      <c r="D85" s="1637"/>
      <c r="E85" s="1637"/>
      <c r="F85" s="1637"/>
      <c r="H85" s="1634"/>
      <c r="I85" s="1634"/>
      <c r="J85" s="1634"/>
      <c r="K85" s="1634"/>
      <c r="R85" s="1639"/>
    </row>
    <row r="86" spans="2:20" x14ac:dyDescent="0.25">
      <c r="B86" s="1626" t="s">
        <v>1368</v>
      </c>
      <c r="C86" s="1634"/>
      <c r="D86" s="1642"/>
      <c r="E86" s="1642"/>
      <c r="F86" s="1642"/>
      <c r="H86" s="1634"/>
      <c r="I86" s="1634"/>
      <c r="J86" s="1634"/>
      <c r="K86" s="1634"/>
      <c r="O86" s="1627"/>
      <c r="P86" s="1627"/>
      <c r="Q86" s="1627"/>
      <c r="R86" s="1627"/>
      <c r="S86" s="1627"/>
      <c r="T86" s="1627"/>
    </row>
    <row r="87" spans="2:20" x14ac:dyDescent="0.25">
      <c r="B87" s="1645" t="s">
        <v>1367</v>
      </c>
      <c r="C87" s="1634"/>
      <c r="D87" s="1642"/>
      <c r="E87" s="1642" t="s">
        <v>1366</v>
      </c>
      <c r="F87" s="1642"/>
      <c r="H87" s="1634"/>
      <c r="I87" s="1634"/>
      <c r="J87" s="1634"/>
      <c r="K87" s="1634"/>
      <c r="O87" s="1627"/>
      <c r="P87" s="1627"/>
      <c r="Q87" s="1627"/>
      <c r="R87" s="1627"/>
      <c r="S87" s="1627"/>
      <c r="T87" s="1627"/>
    </row>
    <row r="88" spans="2:20" x14ac:dyDescent="0.25">
      <c r="B88" s="1645" t="s">
        <v>1365</v>
      </c>
      <c r="C88" s="1634"/>
      <c r="D88" s="1642"/>
      <c r="E88" s="1642" t="s">
        <v>1364</v>
      </c>
      <c r="F88" s="1642"/>
      <c r="H88" s="1634"/>
      <c r="I88" s="1634"/>
      <c r="J88" s="1634"/>
      <c r="K88" s="1634"/>
      <c r="O88" s="1627"/>
      <c r="P88" s="1627"/>
      <c r="Q88" s="1627"/>
      <c r="R88" s="1627"/>
      <c r="S88" s="1627"/>
      <c r="T88" s="1627"/>
    </row>
    <row r="89" spans="2:20" x14ac:dyDescent="0.25">
      <c r="C89" s="1634"/>
      <c r="D89" s="1642"/>
      <c r="E89" s="1642"/>
      <c r="F89" s="1642"/>
      <c r="H89" s="1634"/>
      <c r="I89" s="1634"/>
      <c r="J89" s="1634"/>
      <c r="K89" s="1634"/>
      <c r="O89" s="1627"/>
      <c r="P89" s="1627"/>
      <c r="Q89" s="1627"/>
      <c r="R89" s="1627"/>
      <c r="S89" s="1627"/>
      <c r="T89" s="1627"/>
    </row>
    <row r="90" spans="2:20" x14ac:dyDescent="0.25">
      <c r="D90" s="1637"/>
      <c r="E90" s="1637"/>
      <c r="F90" s="1637"/>
    </row>
    <row r="91" spans="2:20" x14ac:dyDescent="0.25">
      <c r="D91" s="1637"/>
      <c r="E91" s="1637"/>
      <c r="F91" s="1637"/>
    </row>
    <row r="92" spans="2:20" x14ac:dyDescent="0.25">
      <c r="D92" s="1637"/>
      <c r="E92" s="1637"/>
      <c r="F92" s="1637"/>
    </row>
    <row r="93" spans="2:20" x14ac:dyDescent="0.25">
      <c r="D93" s="1637"/>
      <c r="E93" s="1637"/>
      <c r="F93" s="1637"/>
    </row>
    <row r="94" spans="2:20" x14ac:dyDescent="0.25">
      <c r="D94" s="1637"/>
      <c r="E94" s="1637"/>
      <c r="F94" s="1637"/>
    </row>
    <row r="95" spans="2:20" x14ac:dyDescent="0.25">
      <c r="D95" s="1637"/>
      <c r="E95" s="1637"/>
      <c r="F95" s="1637"/>
    </row>
    <row r="96" spans="2:20" x14ac:dyDescent="0.25">
      <c r="D96" s="1637"/>
      <c r="E96" s="1637"/>
      <c r="F96" s="1637"/>
    </row>
    <row r="97" spans="2:12" x14ac:dyDescent="0.25">
      <c r="D97" s="1637"/>
      <c r="E97" s="1637"/>
      <c r="F97" s="1637"/>
    </row>
    <row r="98" spans="2:12" x14ac:dyDescent="0.25">
      <c r="D98" s="1637"/>
      <c r="E98" s="1637"/>
      <c r="F98" s="1637"/>
    </row>
    <row r="99" spans="2:12" x14ac:dyDescent="0.25">
      <c r="D99" s="1637"/>
      <c r="E99" s="1637"/>
      <c r="F99" s="1637"/>
    </row>
    <row r="100" spans="2:12" x14ac:dyDescent="0.25">
      <c r="D100" s="1637"/>
      <c r="E100" s="1637"/>
      <c r="F100" s="1637"/>
    </row>
    <row r="101" spans="2:12" x14ac:dyDescent="0.25">
      <c r="D101" s="1637"/>
      <c r="E101" s="1637"/>
      <c r="F101" s="1637"/>
    </row>
    <row r="102" spans="2:12" x14ac:dyDescent="0.25">
      <c r="D102" s="1637"/>
      <c r="E102" s="1637"/>
      <c r="F102" s="1637"/>
    </row>
    <row r="103" spans="2:12" x14ac:dyDescent="0.25">
      <c r="D103" s="1637"/>
      <c r="E103" s="1637"/>
      <c r="F103" s="1637"/>
    </row>
    <row r="104" spans="2:12" x14ac:dyDescent="0.25">
      <c r="D104" s="1637"/>
      <c r="E104" s="1637"/>
      <c r="F104" s="1637"/>
    </row>
    <row r="105" spans="2:12" x14ac:dyDescent="0.25">
      <c r="D105" s="1637"/>
      <c r="E105" s="1637"/>
      <c r="F105" s="1637"/>
    </row>
    <row r="106" spans="2:12" x14ac:dyDescent="0.25">
      <c r="D106" s="1637"/>
      <c r="E106" s="1637"/>
      <c r="F106" s="1637"/>
    </row>
    <row r="107" spans="2:12" hidden="1" outlineLevel="1" x14ac:dyDescent="0.25">
      <c r="B107" s="1638" t="s">
        <v>889</v>
      </c>
      <c r="C107" s="1638"/>
      <c r="D107" s="1637"/>
      <c r="E107" s="1637"/>
      <c r="F107" s="1637"/>
    </row>
    <row r="108" spans="2:12" hidden="1" outlineLevel="1" x14ac:dyDescent="0.25">
      <c r="B108" s="1634" t="s">
        <v>1325</v>
      </c>
      <c r="C108" s="1634"/>
      <c r="D108" s="1633" t="s">
        <v>948</v>
      </c>
      <c r="E108" s="1633"/>
      <c r="F108" s="1633"/>
      <c r="L108" s="1636"/>
    </row>
    <row r="109" spans="2:12" hidden="1" outlineLevel="1" x14ac:dyDescent="0.25">
      <c r="B109" s="1634" t="s">
        <v>1326</v>
      </c>
      <c r="C109" s="1634"/>
      <c r="D109" s="1633" t="s">
        <v>1316</v>
      </c>
      <c r="E109" s="1633"/>
      <c r="F109" s="1633"/>
    </row>
    <row r="110" spans="2:12" hidden="1" outlineLevel="1" x14ac:dyDescent="0.25">
      <c r="B110" s="1634" t="s">
        <v>1341</v>
      </c>
      <c r="C110" s="1634"/>
      <c r="D110" s="1633"/>
      <c r="E110" s="1633"/>
      <c r="F110" s="1633"/>
    </row>
    <row r="111" spans="2:12" hidden="1" outlineLevel="1" x14ac:dyDescent="0.25">
      <c r="B111" s="1634" t="s">
        <v>1327</v>
      </c>
      <c r="C111" s="1634"/>
      <c r="D111" s="1633" t="s">
        <v>1317</v>
      </c>
      <c r="E111" s="1633"/>
      <c r="F111" s="1633"/>
    </row>
    <row r="112" spans="2:12" hidden="1" outlineLevel="1" x14ac:dyDescent="0.25">
      <c r="B112" s="1634" t="s">
        <v>1328</v>
      </c>
      <c r="C112" s="1634"/>
      <c r="D112" s="1633" t="s">
        <v>1317</v>
      </c>
      <c r="E112" s="1633"/>
      <c r="F112" s="1633"/>
    </row>
    <row r="113" spans="2:22" hidden="1" outlineLevel="1" x14ac:dyDescent="0.25">
      <c r="B113" s="1634" t="s">
        <v>1329</v>
      </c>
      <c r="C113" s="1634"/>
      <c r="D113" s="1633" t="s">
        <v>1318</v>
      </c>
      <c r="E113" s="1633"/>
      <c r="F113" s="1633"/>
    </row>
    <row r="114" spans="2:22" hidden="1" outlineLevel="1" x14ac:dyDescent="0.25">
      <c r="B114" s="1634" t="s">
        <v>1329</v>
      </c>
      <c r="C114" s="1634"/>
      <c r="D114" s="1633" t="s">
        <v>1319</v>
      </c>
      <c r="E114" s="1633"/>
      <c r="F114" s="1633"/>
    </row>
    <row r="115" spans="2:22" hidden="1" outlineLevel="1" x14ac:dyDescent="0.25">
      <c r="B115" s="1634" t="s">
        <v>1330</v>
      </c>
      <c r="C115" s="1634"/>
      <c r="D115" s="1633" t="s">
        <v>948</v>
      </c>
      <c r="E115" s="1633"/>
      <c r="F115" s="1633"/>
    </row>
    <row r="116" spans="2:22" hidden="1" outlineLevel="1" x14ac:dyDescent="0.25">
      <c r="B116" s="1634" t="s">
        <v>1331</v>
      </c>
      <c r="C116" s="1634"/>
      <c r="D116" s="1633" t="s">
        <v>1320</v>
      </c>
      <c r="E116" s="1633"/>
      <c r="F116" s="1633"/>
    </row>
    <row r="117" spans="2:22" ht="30" hidden="1" outlineLevel="1" x14ac:dyDescent="0.25">
      <c r="B117" s="1634" t="s">
        <v>1332</v>
      </c>
      <c r="C117" s="1634"/>
      <c r="D117" s="1635" t="s">
        <v>1338</v>
      </c>
      <c r="E117" s="1635"/>
      <c r="F117" s="1635"/>
    </row>
    <row r="118" spans="2:22" hidden="1" outlineLevel="1" x14ac:dyDescent="0.25">
      <c r="B118" s="1634" t="s">
        <v>1332</v>
      </c>
      <c r="C118" s="1634"/>
      <c r="D118" s="1633" t="s">
        <v>1337</v>
      </c>
      <c r="E118" s="1633"/>
      <c r="F118" s="1633"/>
    </row>
    <row r="119" spans="2:22" hidden="1" outlineLevel="1" x14ac:dyDescent="0.25">
      <c r="B119" s="1634" t="s">
        <v>1339</v>
      </c>
      <c r="C119" s="1634"/>
      <c r="D119" s="1633" t="s">
        <v>1321</v>
      </c>
      <c r="E119" s="1633"/>
      <c r="F119" s="1633"/>
    </row>
    <row r="120" spans="2:22" hidden="1" outlineLevel="1" x14ac:dyDescent="0.25">
      <c r="B120" s="1634" t="s">
        <v>1340</v>
      </c>
      <c r="C120" s="1634"/>
      <c r="D120" s="1633" t="s">
        <v>1322</v>
      </c>
      <c r="E120" s="1633"/>
      <c r="F120" s="1633"/>
    </row>
    <row r="121" spans="2:22" hidden="1" outlineLevel="1" x14ac:dyDescent="0.25">
      <c r="B121" s="1626" t="s">
        <v>1323</v>
      </c>
      <c r="D121" s="1632">
        <v>0.32</v>
      </c>
      <c r="E121" s="1632"/>
      <c r="F121" s="1632"/>
    </row>
    <row r="122" spans="2:22" hidden="1" outlineLevel="1" x14ac:dyDescent="0.25"/>
    <row r="123" spans="2:22" collapsed="1" x14ac:dyDescent="0.25"/>
    <row r="124" spans="2:22" x14ac:dyDescent="0.25">
      <c r="O124" s="1631" t="s">
        <v>1307</v>
      </c>
      <c r="P124" s="1631"/>
      <c r="Q124" s="1631"/>
      <c r="R124" s="1631"/>
      <c r="S124" s="1631"/>
      <c r="T124" s="1631"/>
    </row>
    <row r="125" spans="2:22" x14ac:dyDescent="0.25">
      <c r="O125" s="1630" t="s">
        <v>166</v>
      </c>
      <c r="P125" s="1630" t="s">
        <v>167</v>
      </c>
      <c r="Q125" s="1630" t="s">
        <v>168</v>
      </c>
      <c r="R125" s="1630" t="s">
        <v>169</v>
      </c>
      <c r="S125" s="1630" t="s">
        <v>887</v>
      </c>
      <c r="T125" s="1630" t="s">
        <v>888</v>
      </c>
      <c r="V125" s="1630" t="s">
        <v>1315</v>
      </c>
    </row>
    <row r="127" spans="2:22" x14ac:dyDescent="0.25">
      <c r="N127" s="1626" t="s">
        <v>1310</v>
      </c>
      <c r="O127" s="1629">
        <v>9.41</v>
      </c>
      <c r="P127" s="1629">
        <v>9.3800000000000008</v>
      </c>
      <c r="Q127" s="1629">
        <v>9.9</v>
      </c>
      <c r="R127" s="1629">
        <v>9.9499999999999993</v>
      </c>
      <c r="S127" s="1629">
        <v>9.7799999999999994</v>
      </c>
      <c r="T127" s="1629">
        <v>10</v>
      </c>
      <c r="V127" s="1628">
        <f>T127+S127-P127-O127</f>
        <v>0.99000000000000021</v>
      </c>
    </row>
    <row r="128" spans="2:22" x14ac:dyDescent="0.25">
      <c r="N128" s="1626" t="s">
        <v>1311</v>
      </c>
      <c r="O128" s="1629">
        <v>1.22</v>
      </c>
      <c r="P128" s="1629">
        <v>1.26</v>
      </c>
      <c r="Q128" s="1629">
        <v>1.1000000000000001</v>
      </c>
      <c r="R128" s="1629">
        <v>0.93</v>
      </c>
      <c r="S128" s="1629">
        <v>0.75</v>
      </c>
      <c r="T128" s="1629">
        <v>0.89</v>
      </c>
      <c r="V128" s="1628">
        <f>T128+S128-P128-O128</f>
        <v>-0.83999999999999986</v>
      </c>
    </row>
    <row r="129" spans="14:22" x14ac:dyDescent="0.25">
      <c r="N129" s="1626" t="s">
        <v>1312</v>
      </c>
      <c r="O129" s="1629">
        <v>0.62</v>
      </c>
      <c r="P129" s="1629">
        <v>0.55000000000000004</v>
      </c>
      <c r="Q129" s="1629">
        <v>0.48</v>
      </c>
      <c r="R129" s="1629">
        <v>0.41</v>
      </c>
      <c r="S129" s="1629">
        <v>0.4</v>
      </c>
      <c r="T129" s="1629">
        <v>0.28000000000000003</v>
      </c>
      <c r="V129" s="1628">
        <f>T129+S129-P129-O129</f>
        <v>-0.49</v>
      </c>
    </row>
    <row r="130" spans="14:22" x14ac:dyDescent="0.25">
      <c r="N130" s="1626" t="s">
        <v>1308</v>
      </c>
      <c r="O130" s="1627">
        <v>2.92E-2</v>
      </c>
      <c r="P130" s="1627">
        <v>2.86E-2</v>
      </c>
      <c r="Q130" s="1627">
        <v>2.86E-2</v>
      </c>
      <c r="R130" s="1627">
        <v>2.7900000000000001E-2</v>
      </c>
      <c r="S130" s="1627">
        <v>2.7400000000000001E-2</v>
      </c>
      <c r="T130" s="1627">
        <v>2.7199999999999998E-2</v>
      </c>
    </row>
    <row r="131" spans="14:22" x14ac:dyDescent="0.25">
      <c r="N131" s="1626" t="s">
        <v>1309</v>
      </c>
      <c r="O131" s="1627">
        <v>3.5499999999999997E-2</v>
      </c>
      <c r="P131" s="1627">
        <v>3.4500000000000003E-2</v>
      </c>
      <c r="Q131" s="1627">
        <v>3.5299999999999998E-2</v>
      </c>
      <c r="R131" s="1627">
        <v>3.49E-2</v>
      </c>
      <c r="S131" s="1627">
        <v>3.4799999999999998E-2</v>
      </c>
      <c r="T131" s="1627">
        <v>3.44E-2</v>
      </c>
    </row>
  </sheetData>
  <pageMargins left="0" right="0" top="0" bottom="0" header="0" footer="0"/>
  <pageSetup paperSize="5" scale="34" orientation="landscape"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dimension ref="B3:X43"/>
  <sheetViews>
    <sheetView showGridLines="0" zoomScaleNormal="100" workbookViewId="0"/>
  </sheetViews>
  <sheetFormatPr defaultRowHeight="11.25" x14ac:dyDescent="0.2"/>
  <cols>
    <col min="1" max="1" width="9.33203125" style="1151"/>
    <col min="2" max="2" width="44.5" style="1151" bestFit="1" customWidth="1"/>
    <col min="3" max="3" width="19.1640625" style="1151" bestFit="1" customWidth="1"/>
    <col min="4" max="4" width="9.33203125" style="1151"/>
    <col min="5" max="7" width="9.33203125" style="1217"/>
    <col min="8" max="8" width="1.83203125" style="1217" customWidth="1"/>
    <col min="9" max="14" width="9.33203125" style="1151"/>
    <col min="15" max="15" width="38.1640625" style="1151" customWidth="1"/>
    <col min="16" max="21" width="9.33203125" style="1151"/>
    <col min="22" max="22" width="9.33203125" style="1689"/>
    <col min="23" max="16384" width="9.33203125" style="1151"/>
  </cols>
  <sheetData>
    <row r="3" spans="2:24" ht="12.75" x14ac:dyDescent="0.2">
      <c r="B3" s="1235" t="s">
        <v>1180</v>
      </c>
      <c r="C3" s="1152"/>
      <c r="E3" s="1235" t="s">
        <v>1313</v>
      </c>
      <c r="F3" s="1152"/>
      <c r="G3" s="1152"/>
      <c r="H3" s="1152"/>
      <c r="I3" s="1152"/>
      <c r="J3" s="1152"/>
      <c r="K3" s="1152"/>
      <c r="P3" s="1152" t="s">
        <v>1307</v>
      </c>
      <c r="Q3" s="1152"/>
      <c r="R3" s="1152"/>
      <c r="S3" s="1152"/>
      <c r="T3" s="1152"/>
      <c r="U3" s="1152"/>
      <c r="V3" s="1152"/>
    </row>
    <row r="4" spans="2:24" x14ac:dyDescent="0.2">
      <c r="E4" s="1153" t="s">
        <v>888</v>
      </c>
      <c r="F4" s="1153" t="s">
        <v>170</v>
      </c>
      <c r="G4" s="1153" t="s">
        <v>171</v>
      </c>
      <c r="I4" s="1153" t="s">
        <v>583</v>
      </c>
      <c r="J4" s="1153" t="s">
        <v>584</v>
      </c>
      <c r="K4" s="1153" t="s">
        <v>585</v>
      </c>
      <c r="P4" s="1153" t="s">
        <v>166</v>
      </c>
      <c r="Q4" s="1153" t="s">
        <v>167</v>
      </c>
      <c r="R4" s="1153" t="s">
        <v>168</v>
      </c>
      <c r="S4" s="1153" t="s">
        <v>169</v>
      </c>
      <c r="T4" s="1153" t="s">
        <v>887</v>
      </c>
      <c r="U4" s="1153" t="s">
        <v>888</v>
      </c>
      <c r="V4" s="1153" t="s">
        <v>889</v>
      </c>
      <c r="X4" s="1153" t="s">
        <v>1315</v>
      </c>
    </row>
    <row r="5" spans="2:24" x14ac:dyDescent="0.2">
      <c r="B5" s="1223" t="s">
        <v>1324</v>
      </c>
    </row>
    <row r="6" spans="2:24" x14ac:dyDescent="0.2">
      <c r="B6" s="1151" t="s">
        <v>1182</v>
      </c>
      <c r="C6" s="1224">
        <v>0.1</v>
      </c>
      <c r="I6" s="1154">
        <f>Model!AZ1492</f>
        <v>9.372808219123055E-2</v>
      </c>
      <c r="J6" s="1231">
        <f>Model!BA1492</f>
        <v>0.11718841584887418</v>
      </c>
      <c r="K6" s="1154">
        <f>Model!BB1492</f>
        <v>0.13265411963875764</v>
      </c>
      <c r="O6" s="1151" t="s">
        <v>1310</v>
      </c>
      <c r="P6" s="1220">
        <v>9.41</v>
      </c>
      <c r="Q6" s="1220">
        <v>9.3800000000000008</v>
      </c>
      <c r="R6" s="1220">
        <v>9.9</v>
      </c>
      <c r="S6" s="1220">
        <v>9.9499999999999993</v>
      </c>
      <c r="T6" s="1220">
        <v>9.7799999999999994</v>
      </c>
      <c r="U6" s="1220">
        <v>10</v>
      </c>
      <c r="V6" s="1220">
        <v>10.4</v>
      </c>
      <c r="X6" s="1222">
        <f>U6+T6-Q6-P6</f>
        <v>0.99000000000000021</v>
      </c>
    </row>
    <row r="7" spans="2:24" x14ac:dyDescent="0.2">
      <c r="C7" s="1224"/>
      <c r="I7" s="1154"/>
      <c r="J7" s="1154"/>
      <c r="K7" s="1154"/>
      <c r="O7" s="1151" t="s">
        <v>1311</v>
      </c>
      <c r="P7" s="1220">
        <v>1.22</v>
      </c>
      <c r="Q7" s="1220">
        <v>1.26</v>
      </c>
      <c r="R7" s="1220">
        <v>1.1000000000000001</v>
      </c>
      <c r="S7" s="1220">
        <v>0.93</v>
      </c>
      <c r="T7" s="1220">
        <v>0.75</v>
      </c>
      <c r="U7" s="1220">
        <v>0.89</v>
      </c>
      <c r="V7" s="1220">
        <v>0.74</v>
      </c>
      <c r="X7" s="1222">
        <f>U7+T7-Q7-P7</f>
        <v>-0.83999999999999986</v>
      </c>
    </row>
    <row r="8" spans="2:24" x14ac:dyDescent="0.2">
      <c r="B8" s="1151" t="s">
        <v>1181</v>
      </c>
      <c r="C8" s="1224">
        <v>0.1</v>
      </c>
      <c r="I8" s="1154">
        <f>Model!AZ1491</f>
        <v>8.1807988522310596E-2</v>
      </c>
      <c r="J8" s="1154">
        <f>Model!BA1491</f>
        <v>0.1079082816176674</v>
      </c>
      <c r="K8" s="1231">
        <f>Model!BB1491</f>
        <v>0.12211030444339098</v>
      </c>
      <c r="O8" s="1151" t="s">
        <v>1312</v>
      </c>
      <c r="P8" s="1220">
        <v>0.62</v>
      </c>
      <c r="Q8" s="1220">
        <v>0.55000000000000004</v>
      </c>
      <c r="R8" s="1220">
        <v>0.48</v>
      </c>
      <c r="S8" s="1220">
        <v>0.41</v>
      </c>
      <c r="T8" s="1220">
        <v>0.4</v>
      </c>
      <c r="U8" s="1220">
        <v>0.28000000000000003</v>
      </c>
      <c r="V8" s="1220">
        <v>0.3</v>
      </c>
      <c r="X8" s="1222">
        <f>U8+T8-Q8-P8</f>
        <v>-0.49</v>
      </c>
    </row>
    <row r="9" spans="2:24" x14ac:dyDescent="0.2">
      <c r="C9" s="1224"/>
      <c r="O9" s="1151" t="s">
        <v>1308</v>
      </c>
      <c r="P9" s="314">
        <v>2.92E-2</v>
      </c>
      <c r="Q9" s="314">
        <v>2.86E-2</v>
      </c>
      <c r="R9" s="314">
        <v>2.86E-2</v>
      </c>
      <c r="S9" s="314">
        <v>2.7900000000000001E-2</v>
      </c>
      <c r="T9" s="314">
        <v>2.7400000000000001E-2</v>
      </c>
      <c r="U9" s="314">
        <v>2.7199999999999998E-2</v>
      </c>
      <c r="V9" s="314">
        <v>2.7199999999999998E-2</v>
      </c>
    </row>
    <row r="10" spans="2:24" s="1217" customFormat="1" x14ac:dyDescent="0.2">
      <c r="B10" s="1217" t="s">
        <v>1334</v>
      </c>
      <c r="C10" s="1224" t="s">
        <v>1333</v>
      </c>
      <c r="I10" s="1229">
        <f>Model!AZ6/36000</f>
        <v>0.10772222222222222</v>
      </c>
      <c r="J10" s="1229">
        <f>Model!BA6/36000</f>
        <v>0.15936111565410394</v>
      </c>
      <c r="K10" s="1232">
        <f>Model!BB6/36000</f>
        <v>0.17014375026681627</v>
      </c>
      <c r="O10" s="1151" t="s">
        <v>1309</v>
      </c>
      <c r="P10" s="314">
        <v>3.5499999999999997E-2</v>
      </c>
      <c r="Q10" s="314">
        <v>3.4500000000000003E-2</v>
      </c>
      <c r="R10" s="314">
        <v>3.5299999999999998E-2</v>
      </c>
      <c r="S10" s="314">
        <v>3.49E-2</v>
      </c>
      <c r="T10" s="314">
        <v>3.4799999999999998E-2</v>
      </c>
      <c r="U10" s="314">
        <v>3.44E-2</v>
      </c>
      <c r="V10" s="314">
        <v>3.4500000000000003E-2</v>
      </c>
      <c r="W10" s="1151"/>
      <c r="X10" s="1151"/>
    </row>
    <row r="11" spans="2:24" s="1217" customFormat="1" x14ac:dyDescent="0.2">
      <c r="C11" s="1224"/>
      <c r="P11" s="314"/>
      <c r="Q11" s="314"/>
      <c r="R11" s="314"/>
      <c r="S11" s="314"/>
      <c r="T11" s="314"/>
      <c r="U11" s="314"/>
      <c r="V11" s="314"/>
    </row>
    <row r="12" spans="2:24" x14ac:dyDescent="0.2">
      <c r="B12" s="1151" t="s">
        <v>1183</v>
      </c>
      <c r="C12" s="1224">
        <v>0.57999999999999996</v>
      </c>
      <c r="I12" s="1685">
        <f>Model!AZ1501</f>
        <v>0.5870121205381964</v>
      </c>
      <c r="J12" s="1154">
        <f>Model!BA1501</f>
        <v>0.56842829745044865</v>
      </c>
      <c r="K12" s="1154">
        <f>Model!BB1501</f>
        <v>0.54641575806059506</v>
      </c>
      <c r="N12" s="1686" t="s">
        <v>1417</v>
      </c>
    </row>
    <row r="13" spans="2:24" x14ac:dyDescent="0.2">
      <c r="C13" s="1225"/>
    </row>
    <row r="14" spans="2:24" x14ac:dyDescent="0.2">
      <c r="B14" s="1151" t="s">
        <v>1185</v>
      </c>
      <c r="C14" s="1225" t="s">
        <v>1184</v>
      </c>
      <c r="I14" s="1233">
        <f>SUM(Model!Z1329:'Model'!AC1329)-SUM(Model!Z1333:'Model'!AC1333)</f>
        <v>18815.422445134402</v>
      </c>
    </row>
    <row r="15" spans="2:24" x14ac:dyDescent="0.2">
      <c r="C15" s="1225"/>
    </row>
    <row r="16" spans="2:24" s="1217" customFormat="1" x14ac:dyDescent="0.2">
      <c r="B16" s="1217" t="s">
        <v>1342</v>
      </c>
      <c r="C16" s="1225" t="s">
        <v>1343</v>
      </c>
      <c r="I16" s="1154">
        <f>Model!AZ1392</f>
        <v>0.12584944099028605</v>
      </c>
      <c r="J16" s="1154">
        <f>Model!BA1392</f>
        <v>0.11881216271223326</v>
      </c>
      <c r="K16" s="1231">
        <f>Model!BB1392</f>
        <v>0.11195274341991254</v>
      </c>
      <c r="V16" s="1689"/>
    </row>
    <row r="17" spans="2:22" s="1217" customFormat="1" x14ac:dyDescent="0.2">
      <c r="C17" s="1225"/>
      <c r="V17" s="1689"/>
    </row>
    <row r="18" spans="2:22" x14ac:dyDescent="0.2">
      <c r="B18" s="1151" t="s">
        <v>1299</v>
      </c>
      <c r="C18" s="1226">
        <v>2.8000000000000001E-2</v>
      </c>
      <c r="I18" s="1234">
        <f>Model!AZ1248</f>
        <v>2.895001478852411E-2</v>
      </c>
    </row>
    <row r="19" spans="2:22" x14ac:dyDescent="0.2">
      <c r="B19" s="1217" t="s">
        <v>1300</v>
      </c>
      <c r="C19" s="1226">
        <v>4.5999999999999999E-2</v>
      </c>
      <c r="I19" s="1234">
        <f>Model!AZ1263</f>
        <v>4.7284695556774545E-2</v>
      </c>
    </row>
    <row r="20" spans="2:22" x14ac:dyDescent="0.2">
      <c r="C20" s="1225"/>
    </row>
    <row r="21" spans="2:22" x14ac:dyDescent="0.2">
      <c r="B21" s="1217" t="s">
        <v>1301</v>
      </c>
      <c r="C21" s="1225"/>
      <c r="D21" s="1217"/>
      <c r="I21" s="1217"/>
      <c r="J21" s="1217"/>
      <c r="K21" s="1217"/>
      <c r="L21" s="1217"/>
      <c r="M21" s="1217"/>
    </row>
    <row r="22" spans="2:22" x14ac:dyDescent="0.2">
      <c r="B22" s="1221" t="s">
        <v>1302</v>
      </c>
      <c r="C22" s="1225" t="s">
        <v>1306</v>
      </c>
      <c r="D22" s="1217"/>
      <c r="I22" s="1233">
        <f>Model!AZ1070-Model!AY1070</f>
        <v>2430</v>
      </c>
      <c r="J22" s="1217"/>
      <c r="K22" s="1217"/>
      <c r="L22" s="1217"/>
      <c r="M22" s="1217"/>
    </row>
    <row r="23" spans="2:22" x14ac:dyDescent="0.2">
      <c r="B23" s="1221" t="s">
        <v>1304</v>
      </c>
      <c r="C23" s="1225" t="s">
        <v>1305</v>
      </c>
      <c r="D23" s="1217"/>
      <c r="I23" s="1233">
        <f>Model!AZ1072-Model!AY1072</f>
        <v>-780</v>
      </c>
      <c r="J23" s="1217"/>
      <c r="K23" s="1217"/>
      <c r="L23" s="1217"/>
      <c r="M23" s="1217"/>
    </row>
    <row r="24" spans="2:22" x14ac:dyDescent="0.2">
      <c r="B24" s="1219" t="s">
        <v>1314</v>
      </c>
      <c r="C24" s="1225" t="s">
        <v>1303</v>
      </c>
      <c r="D24" s="1217"/>
      <c r="I24" s="1233">
        <f>Model!AZ1070-Model!AY1070+Model!AZ1072-Model!AY1072</f>
        <v>1650</v>
      </c>
      <c r="J24" s="1217"/>
      <c r="K24" s="1217"/>
      <c r="L24" s="1217"/>
      <c r="M24" s="1217"/>
    </row>
    <row r="25" spans="2:22" x14ac:dyDescent="0.2">
      <c r="B25" s="1217"/>
      <c r="C25" s="1225"/>
      <c r="D25" s="1217"/>
      <c r="I25" s="846">
        <f>(Model!AZ755-Model!AY755)-(U7+T7-Q7-P7)*1000</f>
        <v>831.99999999999989</v>
      </c>
      <c r="J25" s="1217"/>
      <c r="K25" s="1217"/>
      <c r="L25" s="1217"/>
      <c r="M25" s="1217"/>
    </row>
    <row r="26" spans="2:22" s="1217" customFormat="1" x14ac:dyDescent="0.2">
      <c r="C26" s="1225"/>
      <c r="V26" s="1689"/>
    </row>
    <row r="27" spans="2:22" s="1217" customFormat="1" x14ac:dyDescent="0.2">
      <c r="B27" s="1217" t="s">
        <v>1335</v>
      </c>
      <c r="C27" s="1225" t="s">
        <v>1336</v>
      </c>
      <c r="I27" s="1233">
        <f>Model!AZ1438</f>
        <v>3200</v>
      </c>
      <c r="J27" s="846">
        <f>Model!BA1438</f>
        <v>1333.7821712944206</v>
      </c>
      <c r="K27" s="846">
        <f>Model!BB1438</f>
        <v>769.6594636016307</v>
      </c>
      <c r="V27" s="1689"/>
    </row>
    <row r="28" spans="2:22" s="1217" customFormat="1" x14ac:dyDescent="0.2">
      <c r="C28" s="1225"/>
      <c r="V28" s="1689"/>
    </row>
    <row r="29" spans="2:22" s="1217" customFormat="1" hidden="1" x14ac:dyDescent="0.2">
      <c r="B29" s="1223" t="s">
        <v>889</v>
      </c>
      <c r="C29" s="1225"/>
      <c r="V29" s="1689"/>
    </row>
    <row r="30" spans="2:22" hidden="1" x14ac:dyDescent="0.2">
      <c r="B30" s="15" t="s">
        <v>1325</v>
      </c>
      <c r="C30" s="828" t="s">
        <v>948</v>
      </c>
      <c r="D30" s="1217"/>
      <c r="E30" s="1230">
        <f>(Model!Y165-Model!Y207)/(Model!U165-Model!U207)-1</f>
        <v>1.7184942716857554E-2</v>
      </c>
      <c r="F30" s="1227">
        <f>(Model!Z165-Model!Z207)/(Model!V165-Model!V207)-1</f>
        <v>8.6243822075782628E-2</v>
      </c>
      <c r="G30" s="1230">
        <f>(Model!AA165-Model!AA207)/(Model!W165-Model!W207)-1</f>
        <v>0.10336206896551725</v>
      </c>
      <c r="J30" s="1217"/>
      <c r="K30" s="1217"/>
      <c r="L30" s="1217"/>
      <c r="M30" s="1085">
        <f>(Model!AA165-Model!AA207)/(Model!Z165-Model!Z207)-1</f>
        <v>-2.9422916508682784E-2</v>
      </c>
    </row>
    <row r="31" spans="2:22" hidden="1" x14ac:dyDescent="0.2">
      <c r="B31" s="15" t="s">
        <v>1326</v>
      </c>
      <c r="C31" s="828" t="s">
        <v>1316</v>
      </c>
      <c r="D31" s="1217"/>
      <c r="E31" s="1230">
        <f>Model!Y207/Model!U207-1</f>
        <v>-0.4505494505494505</v>
      </c>
      <c r="F31" s="1227">
        <f>Model!Z207/Model!V207-1</f>
        <v>-0.66690140845070423</v>
      </c>
      <c r="G31" s="1230">
        <f>Model!AA207/Model!W207-1</f>
        <v>-0.32912621359223304</v>
      </c>
      <c r="J31" s="1217"/>
      <c r="K31" s="1217"/>
      <c r="L31" s="1217"/>
      <c r="M31" s="1217"/>
    </row>
    <row r="32" spans="2:22" s="1217" customFormat="1" hidden="1" x14ac:dyDescent="0.2">
      <c r="B32" s="15" t="s">
        <v>1341</v>
      </c>
      <c r="C32" s="828"/>
      <c r="E32" s="1230">
        <f>Model!Y165/Model!U165-1</f>
        <v>-1.5232292460015229E-2</v>
      </c>
      <c r="F32" s="1227">
        <f>Model!Z165/Model!V165-1</f>
        <v>7.3746312684366266E-3</v>
      </c>
      <c r="G32" s="1230">
        <f>Model!AA165/Model!W165-1</f>
        <v>6.8091844813935154E-2</v>
      </c>
      <c r="V32" s="1689"/>
    </row>
    <row r="33" spans="2:22" hidden="1" x14ac:dyDescent="0.2">
      <c r="B33" s="15" t="s">
        <v>1327</v>
      </c>
      <c r="C33" s="828" t="s">
        <v>1317</v>
      </c>
      <c r="E33" s="1230">
        <f>(Model!Y132+Model!Y133)/(Model!U132+Model!U133)-1</f>
        <v>7.0622743682310363E-2</v>
      </c>
      <c r="F33" s="1227">
        <f>(Model!Z132+Model!Z133)/(Model!V132+Model!V133)-1</f>
        <v>2.3789822093504442E-2</v>
      </c>
      <c r="G33" s="1230">
        <f>(Model!AA132+Model!AA133)/(Model!W132+Model!W133)-1</f>
        <v>3.7629937629937604E-2</v>
      </c>
    </row>
    <row r="34" spans="2:22" hidden="1" x14ac:dyDescent="0.2">
      <c r="B34" s="15" t="s">
        <v>1328</v>
      </c>
      <c r="C34" s="828" t="s">
        <v>1317</v>
      </c>
      <c r="E34" s="1230">
        <f>Model!Y162/Model!U162-1</f>
        <v>-0.19386503067484662</v>
      </c>
      <c r="F34" s="1227">
        <f>Model!Z162/Model!V162-1</f>
        <v>-0.17692307692307696</v>
      </c>
      <c r="G34" s="1230">
        <f>Model!AA162/Model!W162-1</f>
        <v>-0.90493827160493823</v>
      </c>
    </row>
    <row r="35" spans="2:22" hidden="1" x14ac:dyDescent="0.2">
      <c r="B35" s="15" t="s">
        <v>1329</v>
      </c>
      <c r="C35" s="828" t="s">
        <v>1318</v>
      </c>
      <c r="E35" s="1230">
        <f>(Model!Y140+Model!Y141)/(Model!U140+Model!U141)-1</f>
        <v>5.4637436762225988E-2</v>
      </c>
      <c r="F35" s="1227">
        <f>(Model!Z140+Model!Z141)/(Model!V140+Model!V141)-1</f>
        <v>8.9910089910089974E-2</v>
      </c>
      <c r="G35" s="1230">
        <f>(Model!AA140+Model!AA141)/(Model!W140+Model!W141)-1</f>
        <v>0.12345254470426403</v>
      </c>
    </row>
    <row r="36" spans="2:22" hidden="1" x14ac:dyDescent="0.2">
      <c r="B36" s="15" t="s">
        <v>1329</v>
      </c>
      <c r="C36" s="828" t="s">
        <v>1319</v>
      </c>
      <c r="E36" s="1230">
        <f>((Model!Y277+Model!Y355)/(Model!U277+Model!U355)-1)-((Model!Y279+Model!Y357)/(Model!U279+Model!U357)-1)</f>
        <v>1.8293235800173502E-2</v>
      </c>
      <c r="F36" s="1227">
        <f>((Model!Z277+Model!Z355)/(Model!V277+Model!V355)-1)-((Model!Z279+Model!Z357)/(Model!V279+Model!V357)-1)</f>
        <v>1.5755237129283062E-2</v>
      </c>
      <c r="G36" s="1230">
        <f>((Model!AA277+Model!AA355)/(Model!W277+Model!W355)-1)-((Model!AA279+Model!AA357)/(Model!W279+Model!W357)-1)</f>
        <v>2.6696085111080903E-2</v>
      </c>
    </row>
    <row r="37" spans="2:22" hidden="1" x14ac:dyDescent="0.2">
      <c r="B37" s="15" t="s">
        <v>1330</v>
      </c>
      <c r="C37" s="828" t="s">
        <v>948</v>
      </c>
      <c r="E37" s="1230">
        <f>(Model!Y473+Model!Y474+Model!Y475+Model!Y483)/(Model!U473+Model!U474+Model!U475+Model!U483)-1</f>
        <v>0.10850767085076707</v>
      </c>
      <c r="F37" s="1227">
        <f>(Model!Z473+Model!Z474+Model!Z475+Model!Z483)/(Model!V473+Model!V474+Model!V475+Model!V483)-1</f>
        <v>0.1239692138537658</v>
      </c>
      <c r="G37" s="1230">
        <f>(Model!AA473+Model!AA474+Model!AA475+Model!AA483)/(Model!W473+Model!W474+Model!W475+Model!W483)-1</f>
        <v>0.13125512715340437</v>
      </c>
    </row>
    <row r="38" spans="2:22" hidden="1" x14ac:dyDescent="0.2">
      <c r="B38" s="15" t="s">
        <v>1331</v>
      </c>
      <c r="C38" s="828" t="s">
        <v>1320</v>
      </c>
      <c r="E38" s="1230">
        <f>(Model!Y481+Model!Y482)/(Model!X481+Model!X482)-1</f>
        <v>-0.10736607142857146</v>
      </c>
      <c r="F38" s="1227">
        <f>(Model!Z481+Model!Z482)/(Model!Y481+Model!Y482)-1</f>
        <v>-6.9517379344836261E-2</v>
      </c>
      <c r="G38" s="1230">
        <f>(Model!AA481+Model!AA482)/(Model!Z481+Model!Z482)-1</f>
        <v>-0.1857027680730986</v>
      </c>
    </row>
    <row r="39" spans="2:22" hidden="1" x14ac:dyDescent="0.2">
      <c r="B39" s="15" t="s">
        <v>1332</v>
      </c>
      <c r="C39" s="1228" t="s">
        <v>1338</v>
      </c>
      <c r="E39" s="1230">
        <f>Model!Y472/Model!X472-1</f>
        <v>0.21632329635499215</v>
      </c>
      <c r="F39" s="1227">
        <f>Model!Z472/Model!Y472-1</f>
        <v>-0.16612377850162863</v>
      </c>
      <c r="G39" s="1230">
        <f>Model!AA472/Model!Z472-1</f>
        <v>1.0156250000000089E-2</v>
      </c>
      <c r="H39" s="1154"/>
    </row>
    <row r="40" spans="2:22" s="1217" customFormat="1" hidden="1" x14ac:dyDescent="0.2">
      <c r="B40" s="15" t="s">
        <v>1332</v>
      </c>
      <c r="C40" s="828" t="s">
        <v>1337</v>
      </c>
      <c r="E40" s="1230">
        <f>Model!Y472/Model!U472-1</f>
        <v>0.26337448559670773</v>
      </c>
      <c r="F40" s="1227">
        <f>Model!Z472/Model!V472-1</f>
        <v>0.18190212373037862</v>
      </c>
      <c r="G40" s="1230">
        <f>Model!AA472/Model!W472-1</f>
        <v>0.14323607427055696</v>
      </c>
      <c r="V40" s="1689"/>
    </row>
    <row r="41" spans="2:22" hidden="1" x14ac:dyDescent="0.2">
      <c r="B41" s="15" t="s">
        <v>1339</v>
      </c>
      <c r="C41" s="828" t="s">
        <v>1321</v>
      </c>
      <c r="E41" s="1230">
        <f>Model!Y59/Model!X59-1</f>
        <v>3.4505269047842013E-3</v>
      </c>
      <c r="F41" s="1227">
        <f>Model!Z59/Model!Y59-1</f>
        <v>-3.1877323420074322E-2</v>
      </c>
      <c r="G41" s="1230">
        <f>Model!AA59/Model!Z59-1</f>
        <v>-8.1597388883555277E-3</v>
      </c>
    </row>
    <row r="42" spans="2:22" hidden="1" x14ac:dyDescent="0.2">
      <c r="B42" s="15" t="s">
        <v>1340</v>
      </c>
      <c r="C42" s="828" t="s">
        <v>1322</v>
      </c>
      <c r="E42" s="1230">
        <f>Model!Y65/Model!X65-1</f>
        <v>3.3092659446450012E-2</v>
      </c>
      <c r="F42" s="1227">
        <f>Model!Z65/Model!Y65-1</f>
        <v>0.16423995340710551</v>
      </c>
      <c r="G42" s="1230">
        <f>Model!AA65/Model!Z65-1</f>
        <v>3.7018509254627352E-2</v>
      </c>
    </row>
    <row r="43" spans="2:22" hidden="1" x14ac:dyDescent="0.2">
      <c r="B43" s="1151" t="s">
        <v>1323</v>
      </c>
      <c r="C43" s="1224">
        <v>0.32</v>
      </c>
      <c r="E43" s="1230">
        <f>(Model!Y790-Model!Y753)/(Model!Y789-Model!Y753)</f>
        <v>0.31613244100035226</v>
      </c>
      <c r="F43" s="1227">
        <f>(Model!Z790-Model!Z753)/(Model!Z789-Model!Z753)</f>
        <v>0.31084457771114443</v>
      </c>
      <c r="G43" s="1230">
        <f>(Model!AA790-Model!AA753)/(Model!AA789-Model!AA753)</f>
        <v>0.2490684447930967</v>
      </c>
    </row>
  </sheetData>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G3:BE43"/>
  <sheetViews>
    <sheetView workbookViewId="0">
      <pane xSplit="46" ySplit="3" topLeftCell="AU4" activePane="bottomRight" state="frozen"/>
      <selection pane="topRight" activeCell="AI1" sqref="AI1"/>
      <selection pane="bottomLeft" activeCell="A4" sqref="A4"/>
      <selection pane="bottomRight" activeCell="AY4" sqref="AY4"/>
    </sheetView>
  </sheetViews>
  <sheetFormatPr defaultRowHeight="12.75" x14ac:dyDescent="0.2"/>
  <cols>
    <col min="2" max="32" width="0" hidden="1" customWidth="1"/>
    <col min="33" max="44" width="0" style="1741" hidden="1" customWidth="1"/>
    <col min="45" max="45" width="2.83203125" customWidth="1"/>
    <col min="46" max="46" width="35.83203125" customWidth="1"/>
    <col min="47" max="50" width="12.83203125" hidden="1" customWidth="1"/>
    <col min="51" max="56" width="12.83203125" customWidth="1"/>
    <col min="57" max="57" width="12.83203125" style="1703" customWidth="1"/>
  </cols>
  <sheetData>
    <row r="3" spans="45:57" x14ac:dyDescent="0.2">
      <c r="AS3" s="171" t="s">
        <v>148</v>
      </c>
      <c r="AT3" s="169"/>
      <c r="AU3" s="169">
        <v>2012</v>
      </c>
      <c r="AV3" s="169">
        <f>AU3+1</f>
        <v>2013</v>
      </c>
      <c r="AW3" s="169">
        <f>AV3+1</f>
        <v>2014</v>
      </c>
      <c r="AX3" s="169">
        <f>AW3+1</f>
        <v>2015</v>
      </c>
      <c r="AY3" s="169">
        <f>AX3+1</f>
        <v>2016</v>
      </c>
      <c r="AZ3" s="169">
        <v>2017</v>
      </c>
      <c r="BA3" s="169" t="s">
        <v>584</v>
      </c>
      <c r="BB3" s="169" t="s">
        <v>585</v>
      </c>
      <c r="BC3" s="169" t="s">
        <v>586</v>
      </c>
      <c r="BD3" s="169" t="s">
        <v>587</v>
      </c>
      <c r="BE3" s="169" t="s">
        <v>1420</v>
      </c>
    </row>
    <row r="5" spans="45:57" x14ac:dyDescent="0.2">
      <c r="AS5" s="13" t="s">
        <v>393</v>
      </c>
      <c r="AT5" s="13"/>
      <c r="AU5" s="13"/>
      <c r="AV5" s="13"/>
      <c r="AW5" s="13"/>
      <c r="AX5" s="13"/>
      <c r="AY5" s="13"/>
      <c r="AZ5" s="13"/>
      <c r="BA5" s="13"/>
      <c r="BB5" s="13"/>
      <c r="BC5" s="13"/>
      <c r="BD5" s="13"/>
      <c r="BE5" s="13"/>
    </row>
    <row r="6" spans="45:57" x14ac:dyDescent="0.2">
      <c r="AS6" s="16"/>
      <c r="AT6" s="16"/>
      <c r="AU6" s="70"/>
      <c r="AV6" s="70"/>
      <c r="AW6" s="70"/>
      <c r="AX6" s="70"/>
      <c r="AY6" s="70"/>
      <c r="AZ6" s="70"/>
      <c r="BA6" s="70"/>
      <c r="BB6" s="70"/>
      <c r="BC6" s="70"/>
      <c r="BD6" s="70"/>
      <c r="BE6" s="70"/>
    </row>
    <row r="7" spans="45:57" x14ac:dyDescent="0.2">
      <c r="AS7" s="17" t="s">
        <v>100</v>
      </c>
      <c r="AT7" s="1623"/>
      <c r="AU7" s="232">
        <f>Model!AU6</f>
        <v>7502</v>
      </c>
      <c r="AV7" s="232">
        <f>Model!AV6</f>
        <v>6482</v>
      </c>
      <c r="AW7" s="232">
        <f>Model!AW6</f>
        <v>6667</v>
      </c>
      <c r="AX7" s="232">
        <f>Model!AX6</f>
        <v>6214</v>
      </c>
      <c r="AY7" s="232">
        <f>Model!AY6</f>
        <v>4954</v>
      </c>
      <c r="AZ7" s="232">
        <f>Model!AZ6</f>
        <v>3878</v>
      </c>
      <c r="BA7" s="232">
        <f>Model!BA6</f>
        <v>5737.000163547742</v>
      </c>
      <c r="BB7" s="33">
        <f>Model!BB6</f>
        <v>6125.1750096053856</v>
      </c>
      <c r="BC7" s="33">
        <f>Model!BC6</f>
        <v>6331.8970720686684</v>
      </c>
      <c r="BD7" s="33">
        <f>Model!BD6</f>
        <v>6472.7234309504865</v>
      </c>
      <c r="BE7" s="33">
        <f>Model!BE6</f>
        <v>6155.0481752487858</v>
      </c>
    </row>
    <row r="8" spans="45:57" x14ac:dyDescent="0.2">
      <c r="AS8" s="17" t="s">
        <v>182</v>
      </c>
      <c r="AT8" s="327"/>
      <c r="AU8" s="232">
        <f>Model!AU7</f>
        <v>9391</v>
      </c>
      <c r="AV8" s="232">
        <f>Model!AV7</f>
        <v>9684</v>
      </c>
      <c r="AW8" s="232">
        <f>Model!AW7</f>
        <v>9900</v>
      </c>
      <c r="AX8" s="232">
        <f>Model!AX7</f>
        <v>8938</v>
      </c>
      <c r="AY8" s="232">
        <f>Model!AY7</f>
        <v>9525</v>
      </c>
      <c r="AZ8" s="232">
        <f>Model!AZ7</f>
        <v>9066</v>
      </c>
      <c r="BA8" s="232">
        <f>Model!BA7</f>
        <v>12824.201726505547</v>
      </c>
      <c r="BB8" s="33">
        <f>Model!BB7</f>
        <v>14166.884358022118</v>
      </c>
      <c r="BC8" s="33">
        <f>Model!BC7</f>
        <v>15376.18702381874</v>
      </c>
      <c r="BD8" s="33">
        <f>Model!BD7</f>
        <v>16334.326816265482</v>
      </c>
      <c r="BE8" s="33">
        <f>Model!BE7</f>
        <v>17145.810023070859</v>
      </c>
    </row>
    <row r="9" spans="45:57" x14ac:dyDescent="0.2">
      <c r="AS9" s="29" t="s">
        <v>183</v>
      </c>
      <c r="AT9" s="425"/>
      <c r="AU9" s="232">
        <f>Model!AU8</f>
        <v>-5398</v>
      </c>
      <c r="AV9" s="232">
        <f>Model!AV8</f>
        <v>-2513</v>
      </c>
      <c r="AW9" s="232">
        <f>Model!AW8</f>
        <v>-8613</v>
      </c>
      <c r="AX9" s="232">
        <f>Model!AX8</f>
        <v>2072</v>
      </c>
      <c r="AY9" s="232">
        <f>Model!AY8</f>
        <v>554</v>
      </c>
      <c r="AZ9" s="232">
        <f>Model!AZ8</f>
        <v>3023</v>
      </c>
      <c r="BA9" s="232">
        <f>Model!BA8</f>
        <v>-522.01831357476556</v>
      </c>
      <c r="BB9" s="132">
        <f>Model!BB8</f>
        <v>-534.45438680466668</v>
      </c>
      <c r="BC9" s="132">
        <f>Model!BC8</f>
        <v>-444.24206325296632</v>
      </c>
      <c r="BD9" s="132">
        <f>Model!BD8</f>
        <v>-370.14813104400787</v>
      </c>
      <c r="BE9" s="132">
        <f>Model!BE8</f>
        <v>-304.44660947821262</v>
      </c>
    </row>
    <row r="10" spans="45:57" x14ac:dyDescent="0.2">
      <c r="AS10" s="328"/>
      <c r="AT10" s="59" t="s">
        <v>394</v>
      </c>
      <c r="AU10" s="303">
        <f>Model!AU9</f>
        <v>11495</v>
      </c>
      <c r="AV10" s="303">
        <f>Model!AV9</f>
        <v>13653</v>
      </c>
      <c r="AW10" s="303">
        <f>Model!AW9</f>
        <v>7954</v>
      </c>
      <c r="AX10" s="303">
        <f>Model!AX9</f>
        <v>17224</v>
      </c>
      <c r="AY10" s="303">
        <f>Model!AY9</f>
        <v>15033</v>
      </c>
      <c r="AZ10" s="303">
        <f>Model!AZ9</f>
        <v>15967</v>
      </c>
      <c r="BA10" s="303">
        <f>Model!BA9</f>
        <v>18039.183576478525</v>
      </c>
      <c r="BB10" s="304">
        <f>Model!BB9</f>
        <v>19757.604980822834</v>
      </c>
      <c r="BC10" s="304">
        <f>Model!BC9</f>
        <v>21263.842032634446</v>
      </c>
      <c r="BD10" s="304">
        <f>Model!BD9</f>
        <v>22436.902116171961</v>
      </c>
      <c r="BE10" s="304">
        <f>Model!BE9</f>
        <v>22996.411588841434</v>
      </c>
    </row>
    <row r="12" spans="45:57" x14ac:dyDescent="0.2">
      <c r="AS12" s="13" t="s">
        <v>1388</v>
      </c>
      <c r="AT12" s="13"/>
      <c r="AU12" s="13"/>
      <c r="AV12" s="13"/>
      <c r="AW12" s="13"/>
      <c r="AX12" s="13"/>
      <c r="AY12" s="13"/>
      <c r="AZ12" s="13"/>
      <c r="BA12" s="13"/>
      <c r="BB12" s="13"/>
      <c r="BC12" s="13"/>
      <c r="BD12" s="13"/>
      <c r="BE12" s="13"/>
    </row>
    <row r="13" spans="45:57" x14ac:dyDescent="0.2">
      <c r="AS13" s="16"/>
      <c r="AT13" s="16"/>
      <c r="AU13" s="70"/>
      <c r="AV13" s="70"/>
      <c r="AW13" s="70"/>
      <c r="AX13" s="70"/>
      <c r="AY13" s="70"/>
      <c r="AZ13" s="70"/>
      <c r="BA13" s="70"/>
      <c r="BB13" s="70"/>
      <c r="BC13" s="70"/>
      <c r="BD13" s="70"/>
      <c r="BE13" s="70"/>
    </row>
    <row r="14" spans="45:57" x14ac:dyDescent="0.2">
      <c r="AS14" s="17" t="s">
        <v>100</v>
      </c>
      <c r="AT14" s="1623"/>
      <c r="AU14" s="232"/>
      <c r="AV14" s="232"/>
      <c r="AW14" s="232"/>
      <c r="AX14" s="232"/>
      <c r="AY14" s="1653">
        <v>36000</v>
      </c>
      <c r="AZ14" s="1653">
        <v>36000</v>
      </c>
      <c r="BA14" s="309">
        <f>AZ14*(1+BA24)</f>
        <v>37080</v>
      </c>
      <c r="BB14" s="309">
        <f t="shared" ref="BB14:BE14" si="0">BA14*(1+BB24)</f>
        <v>38192.400000000001</v>
      </c>
      <c r="BC14" s="309">
        <f t="shared" si="0"/>
        <v>39338.172000000006</v>
      </c>
      <c r="BD14" s="309">
        <f t="shared" si="0"/>
        <v>40518.317160000006</v>
      </c>
      <c r="BE14" s="309">
        <f t="shared" si="0"/>
        <v>41733.866674800011</v>
      </c>
    </row>
    <row r="15" spans="45:57" x14ac:dyDescent="0.2">
      <c r="AS15" s="17" t="s">
        <v>182</v>
      </c>
      <c r="AT15" s="327"/>
      <c r="AU15" s="232"/>
      <c r="AV15" s="232"/>
      <c r="AW15" s="232"/>
      <c r="AX15" s="232"/>
      <c r="AY15" s="232">
        <f>Model!AY1648</f>
        <v>80000</v>
      </c>
      <c r="AZ15" s="232">
        <f>Model!AZ1648</f>
        <v>82000</v>
      </c>
      <c r="BA15" s="232">
        <f>Model!BA1648</f>
        <v>82000</v>
      </c>
      <c r="BB15" s="232">
        <f>Model!BB1648</f>
        <v>87000</v>
      </c>
      <c r="BC15" s="232">
        <f>Model!BC1648</f>
        <v>92000</v>
      </c>
      <c r="BD15" s="232">
        <f>Model!BD1648</f>
        <v>97000</v>
      </c>
      <c r="BE15" s="232">
        <f>Model!BE1648</f>
        <v>103000</v>
      </c>
    </row>
    <row r="16" spans="45:57" x14ac:dyDescent="0.2">
      <c r="AS16" s="29" t="s">
        <v>183</v>
      </c>
      <c r="AT16" s="425"/>
      <c r="AU16" s="232"/>
      <c r="AV16" s="232"/>
      <c r="AW16" s="232"/>
      <c r="AX16" s="232"/>
      <c r="AY16" s="1653">
        <v>20000</v>
      </c>
      <c r="AZ16" s="1653">
        <v>18000</v>
      </c>
      <c r="BA16" s="1146">
        <f>BA17-BA15-BA14</f>
        <v>3755.8614433534385</v>
      </c>
      <c r="BB16" s="1146">
        <f t="shared" ref="BB16:BD16" si="1">BB17-BB15-BB14</f>
        <v>1933.4489426412547</v>
      </c>
      <c r="BC16" s="1146">
        <f t="shared" si="1"/>
        <v>72.852735551001388</v>
      </c>
      <c r="BD16" s="1146">
        <f t="shared" si="1"/>
        <v>-673.26312389978557</v>
      </c>
      <c r="BE16" s="1146">
        <f t="shared" ref="BE16" si="2">BE17-BE15-BE14</f>
        <v>-2501.1362378951308</v>
      </c>
    </row>
    <row r="17" spans="33:57" x14ac:dyDescent="0.2">
      <c r="AS17" s="328"/>
      <c r="AT17" s="59" t="s">
        <v>1399</v>
      </c>
      <c r="AU17" s="303"/>
      <c r="AV17" s="303"/>
      <c r="AW17" s="303"/>
      <c r="AX17" s="303"/>
      <c r="AY17" s="303">
        <f>SUM(AY14:AY16)</f>
        <v>136000</v>
      </c>
      <c r="AZ17" s="303">
        <f>SUM(AZ14:AZ16)</f>
        <v>136000</v>
      </c>
      <c r="BA17" s="1657">
        <f>BA20-BA19-BA18</f>
        <v>122835.86144335344</v>
      </c>
      <c r="BB17" s="1657">
        <f t="shared" ref="BB17:BD17" si="3">BB20-BB19-BB18</f>
        <v>127125.84894264126</v>
      </c>
      <c r="BC17" s="1657">
        <f t="shared" si="3"/>
        <v>131411.02473555101</v>
      </c>
      <c r="BD17" s="1657">
        <f t="shared" si="3"/>
        <v>136845.05403610022</v>
      </c>
      <c r="BE17" s="1657">
        <f t="shared" ref="BE17" si="4">BE20-BE19-BE18</f>
        <v>142232.73043690488</v>
      </c>
    </row>
    <row r="18" spans="33:57" s="1624" customFormat="1" x14ac:dyDescent="0.2">
      <c r="AG18" s="1741"/>
      <c r="AH18" s="1741"/>
      <c r="AI18" s="1741"/>
      <c r="AJ18" s="1741"/>
      <c r="AK18" s="1741"/>
      <c r="AL18" s="1741"/>
      <c r="AM18" s="1741"/>
      <c r="AN18" s="1741"/>
      <c r="AO18" s="1741"/>
      <c r="AP18" s="1741"/>
      <c r="AQ18" s="1741"/>
      <c r="AR18" s="1741"/>
      <c r="AS18" s="328"/>
      <c r="AT18" s="71" t="s">
        <v>1402</v>
      </c>
      <c r="AU18" s="281"/>
      <c r="AV18" s="281"/>
      <c r="AW18" s="281"/>
      <c r="AX18" s="281"/>
      <c r="AY18" s="207">
        <f>AY20-AY19-AY17</f>
        <v>14022</v>
      </c>
      <c r="AZ18" s="207">
        <f>AZ20-AZ19-AZ17</f>
        <v>-9389</v>
      </c>
      <c r="BA18" s="309">
        <f>(BA32-BA33)*BA34</f>
        <v>3166.3993398963685</v>
      </c>
      <c r="BB18" s="309">
        <f t="shared" ref="BB18:BD18" si="5">(BB32-BB33)*BB34</f>
        <v>-5127.8094964641132</v>
      </c>
      <c r="BC18" s="309">
        <f t="shared" si="5"/>
        <v>-6320.3962043611673</v>
      </c>
      <c r="BD18" s="309">
        <f t="shared" si="5"/>
        <v>-5625.1726912294916</v>
      </c>
      <c r="BE18" s="309">
        <f t="shared" ref="BE18" si="6">(BE32-BE33)*BE34</f>
        <v>-4648.2571235347477</v>
      </c>
    </row>
    <row r="19" spans="33:57" x14ac:dyDescent="0.2">
      <c r="AS19" s="43"/>
      <c r="AT19" s="25" t="s">
        <v>877</v>
      </c>
      <c r="AU19" s="41"/>
      <c r="AV19" s="41"/>
      <c r="AW19" s="41"/>
      <c r="AX19" s="41"/>
      <c r="AY19" s="1654">
        <v>29000</v>
      </c>
      <c r="AZ19" s="1654">
        <v>28000</v>
      </c>
      <c r="BA19" s="41">
        <f>AZ19-Model!BA1438</f>
        <v>26666.217828705579</v>
      </c>
      <c r="BB19" s="41">
        <f>BA19-Model!BB1438</f>
        <v>25896.558365103949</v>
      </c>
      <c r="BC19" s="41">
        <f>BB19-Model!BC1438</f>
        <v>25076.379301266672</v>
      </c>
      <c r="BD19" s="41">
        <f>BC19-Model!BD1438</f>
        <v>24218.044592232949</v>
      </c>
      <c r="BE19" s="41">
        <f>BD19-Model!BE1438</f>
        <v>23343.115440483816</v>
      </c>
    </row>
    <row r="20" spans="33:57" x14ac:dyDescent="0.2">
      <c r="AS20" s="305" t="s">
        <v>1400</v>
      </c>
      <c r="AT20" s="59"/>
      <c r="AU20" s="306"/>
      <c r="AV20" s="306"/>
      <c r="AW20" s="306"/>
      <c r="AX20" s="306"/>
      <c r="AY20" s="306">
        <f>Model!AY1312</f>
        <v>179022</v>
      </c>
      <c r="AZ20" s="306">
        <f>Model!AZ1312</f>
        <v>154611</v>
      </c>
      <c r="BA20" s="306">
        <f>Model!BA1312</f>
        <v>152668.47861195539</v>
      </c>
      <c r="BB20" s="306">
        <f>Model!BB1312</f>
        <v>147894.5978112811</v>
      </c>
      <c r="BC20" s="306">
        <f>Model!BC1312</f>
        <v>150167.00783245653</v>
      </c>
      <c r="BD20" s="306">
        <f>Model!BD1312</f>
        <v>155437.92593710366</v>
      </c>
      <c r="BE20" s="306">
        <f>Model!BE1312</f>
        <v>160927.58875385395</v>
      </c>
    </row>
    <row r="22" spans="33:57" x14ac:dyDescent="0.2">
      <c r="AS22" s="13" t="s">
        <v>1401</v>
      </c>
      <c r="AT22" s="13"/>
      <c r="AU22" s="13"/>
      <c r="AV22" s="13"/>
      <c r="AW22" s="13"/>
      <c r="AX22" s="13"/>
      <c r="AY22" s="13"/>
      <c r="AZ22" s="13"/>
      <c r="BA22" s="13"/>
      <c r="BB22" s="13"/>
      <c r="BC22" s="13"/>
      <c r="BD22" s="13"/>
      <c r="BE22" s="13"/>
    </row>
    <row r="23" spans="33:57" x14ac:dyDescent="0.2">
      <c r="AS23" s="16"/>
      <c r="AT23" s="16"/>
      <c r="AU23" s="70"/>
      <c r="AV23" s="70"/>
      <c r="AW23" s="70"/>
      <c r="AX23" s="70"/>
      <c r="AY23" s="70"/>
      <c r="AZ23" s="70"/>
      <c r="BA23" s="70"/>
      <c r="BB23" s="70"/>
      <c r="BC23" s="70"/>
      <c r="BD23" s="70"/>
      <c r="BE23" s="70"/>
    </row>
    <row r="24" spans="33:57" x14ac:dyDescent="0.2">
      <c r="AS24" s="17" t="s">
        <v>100</v>
      </c>
      <c r="AT24" s="1623"/>
      <c r="AU24" s="232"/>
      <c r="AV24" s="232"/>
      <c r="AW24" s="232"/>
      <c r="AX24" s="232"/>
      <c r="AY24" s="232"/>
      <c r="AZ24" s="1656">
        <f>AZ14/AY14-1</f>
        <v>0</v>
      </c>
      <c r="BA24" s="1655">
        <v>0.03</v>
      </c>
      <c r="BB24" s="1655">
        <v>0.03</v>
      </c>
      <c r="BC24" s="1655">
        <v>0.03</v>
      </c>
      <c r="BD24" s="1655">
        <v>0.03</v>
      </c>
      <c r="BE24" s="1655">
        <v>0.03</v>
      </c>
    </row>
    <row r="25" spans="33:57" x14ac:dyDescent="0.2">
      <c r="AS25" s="17" t="s">
        <v>182</v>
      </c>
      <c r="AT25" s="327"/>
      <c r="AU25" s="232"/>
      <c r="AV25" s="232"/>
      <c r="AW25" s="232"/>
      <c r="AX25" s="232"/>
      <c r="AY25" s="232"/>
      <c r="AZ25" s="1656">
        <f t="shared" ref="AZ25:BE30" si="7">AZ15/AY15-1</f>
        <v>2.4999999999999911E-2</v>
      </c>
      <c r="BA25" s="1656">
        <f t="shared" si="7"/>
        <v>0</v>
      </c>
      <c r="BB25" s="1656">
        <f t="shared" si="7"/>
        <v>6.0975609756097615E-2</v>
      </c>
      <c r="BC25" s="1656">
        <f t="shared" si="7"/>
        <v>5.7471264367816133E-2</v>
      </c>
      <c r="BD25" s="1656">
        <f t="shared" si="7"/>
        <v>5.4347826086956541E-2</v>
      </c>
      <c r="BE25" s="1656">
        <f t="shared" si="7"/>
        <v>6.1855670103092786E-2</v>
      </c>
    </row>
    <row r="26" spans="33:57" x14ac:dyDescent="0.2">
      <c r="AS26" s="29" t="s">
        <v>183</v>
      </c>
      <c r="AT26" s="425"/>
      <c r="AU26" s="232"/>
      <c r="AV26" s="232"/>
      <c r="AW26" s="232"/>
      <c r="AX26" s="232"/>
      <c r="AY26" s="232"/>
      <c r="AZ26" s="1656">
        <f t="shared" si="7"/>
        <v>-9.9999999999999978E-2</v>
      </c>
      <c r="BA26" s="1656">
        <f t="shared" si="7"/>
        <v>-0.79134103092480901</v>
      </c>
      <c r="BB26" s="1656">
        <f t="shared" si="7"/>
        <v>-0.48521824572022398</v>
      </c>
      <c r="BC26" s="1656">
        <f t="shared" si="7"/>
        <v>-0.96231980377434823</v>
      </c>
      <c r="BD26" s="1656">
        <f t="shared" si="7"/>
        <v>-10.241425442816215</v>
      </c>
      <c r="BE26" s="1656">
        <f t="shared" si="7"/>
        <v>2.714946131918881</v>
      </c>
    </row>
    <row r="27" spans="33:57" x14ac:dyDescent="0.2">
      <c r="AS27" s="328"/>
      <c r="AT27" s="59" t="s">
        <v>1399</v>
      </c>
      <c r="AU27" s="303"/>
      <c r="AV27" s="303"/>
      <c r="AW27" s="303"/>
      <c r="AX27" s="303"/>
      <c r="AY27" s="303"/>
      <c r="AZ27" s="1660">
        <f t="shared" si="7"/>
        <v>0</v>
      </c>
      <c r="BA27" s="1660">
        <f t="shared" si="7"/>
        <v>-9.679513644593063E-2</v>
      </c>
      <c r="BB27" s="1660">
        <f t="shared" si="7"/>
        <v>3.4924552560460231E-2</v>
      </c>
      <c r="BC27" s="1660">
        <f t="shared" si="7"/>
        <v>3.3708139049228425E-2</v>
      </c>
      <c r="BD27" s="1660">
        <f t="shared" si="7"/>
        <v>4.1351395832157634E-2</v>
      </c>
      <c r="BE27" s="1660">
        <f t="shared" si="7"/>
        <v>3.9370633003538158E-2</v>
      </c>
    </row>
    <row r="28" spans="33:57" s="1624" customFormat="1" x14ac:dyDescent="0.2">
      <c r="AG28" s="1741"/>
      <c r="AH28" s="1741"/>
      <c r="AI28" s="1741"/>
      <c r="AJ28" s="1741"/>
      <c r="AK28" s="1741"/>
      <c r="AL28" s="1741"/>
      <c r="AM28" s="1741"/>
      <c r="AN28" s="1741"/>
      <c r="AO28" s="1741"/>
      <c r="AP28" s="1741"/>
      <c r="AQ28" s="1741"/>
      <c r="AR28" s="1741"/>
      <c r="AS28" s="328"/>
      <c r="AT28" s="71" t="s">
        <v>1402</v>
      </c>
      <c r="AU28" s="281"/>
      <c r="AV28" s="281"/>
      <c r="AW28" s="281"/>
      <c r="AX28" s="281"/>
      <c r="AY28" s="281"/>
      <c r="AZ28" s="1661">
        <f t="shared" si="7"/>
        <v>-1.6695906432748537</v>
      </c>
      <c r="BA28" s="1661">
        <f t="shared" si="7"/>
        <v>-1.3372456427624209</v>
      </c>
      <c r="BB28" s="1661">
        <f t="shared" si="7"/>
        <v>-2.6194449739343169</v>
      </c>
      <c r="BC28" s="1661">
        <f t="shared" si="7"/>
        <v>0.2325723505756998</v>
      </c>
      <c r="BD28" s="1661">
        <f t="shared" si="7"/>
        <v>-0.10999682466930805</v>
      </c>
      <c r="BE28" s="1661">
        <f t="shared" si="7"/>
        <v>-0.17366854696175027</v>
      </c>
    </row>
    <row r="29" spans="33:57" x14ac:dyDescent="0.2">
      <c r="AS29" s="43"/>
      <c r="AT29" s="25" t="s">
        <v>877</v>
      </c>
      <c r="AU29" s="41"/>
      <c r="AV29" s="41"/>
      <c r="AW29" s="41"/>
      <c r="AX29" s="41"/>
      <c r="AY29" s="41"/>
      <c r="AZ29" s="1662">
        <f t="shared" si="7"/>
        <v>-3.4482758620689613E-2</v>
      </c>
      <c r="BA29" s="1662">
        <f t="shared" si="7"/>
        <v>-4.763507754622931E-2</v>
      </c>
      <c r="BB29" s="1662">
        <f t="shared" si="7"/>
        <v>-2.8862715685653351E-2</v>
      </c>
      <c r="BC29" s="1662">
        <f t="shared" si="7"/>
        <v>-3.1671353863858664E-2</v>
      </c>
      <c r="BD29" s="1662">
        <f t="shared" si="7"/>
        <v>-3.4228813447177653E-2</v>
      </c>
      <c r="BE29" s="1662">
        <f t="shared" si="7"/>
        <v>-3.6127159169148326E-2</v>
      </c>
    </row>
    <row r="30" spans="33:57" x14ac:dyDescent="0.2">
      <c r="AS30" s="305" t="s">
        <v>1400</v>
      </c>
      <c r="AT30" s="59"/>
      <c r="AU30" s="306"/>
      <c r="AV30" s="306"/>
      <c r="AW30" s="306"/>
      <c r="AX30" s="306"/>
      <c r="AY30" s="306"/>
      <c r="AZ30" s="1663">
        <f t="shared" si="7"/>
        <v>-0.13635754264838962</v>
      </c>
      <c r="BA30" s="1663">
        <f t="shared" si="7"/>
        <v>-1.2563927456937796E-2</v>
      </c>
      <c r="BB30" s="1663">
        <f t="shared" si="7"/>
        <v>-3.1269590449042761E-2</v>
      </c>
      <c r="BC30" s="1663">
        <f t="shared" si="7"/>
        <v>1.5365064409418761E-2</v>
      </c>
      <c r="BD30" s="1663">
        <f t="shared" si="7"/>
        <v>3.5100373782022576E-2</v>
      </c>
      <c r="BE30" s="1663">
        <f t="shared" si="7"/>
        <v>3.531739621237362E-2</v>
      </c>
    </row>
    <row r="32" spans="33:57" s="1624" customFormat="1" x14ac:dyDescent="0.2">
      <c r="AG32" s="1741"/>
      <c r="AH32" s="1741"/>
      <c r="AI32" s="1741"/>
      <c r="AJ32" s="1741"/>
      <c r="AK32" s="1741"/>
      <c r="AL32" s="1741"/>
      <c r="AM32" s="1741"/>
      <c r="AN32" s="1741"/>
      <c r="AO32" s="1741"/>
      <c r="AP32" s="1741"/>
      <c r="AQ32" s="1741"/>
      <c r="AR32" s="1741"/>
      <c r="AS32" s="305" t="s">
        <v>1404</v>
      </c>
      <c r="AY32" s="1625">
        <f>Model!AY1407</f>
        <v>0.13229256621883714</v>
      </c>
      <c r="AZ32" s="1625">
        <f>Model!AZ1407</f>
        <v>0.12548422155975353</v>
      </c>
      <c r="BA32" s="1625">
        <f>Model!BA1407</f>
        <v>0.11763580466557748</v>
      </c>
      <c r="BB32" s="1625">
        <f>Model!BB1407</f>
        <v>0.11084430041575499</v>
      </c>
      <c r="BC32" s="1625">
        <f>Model!BC1407</f>
        <v>0.11000834331633176</v>
      </c>
      <c r="BD32" s="1625">
        <f>Model!BD1407</f>
        <v>0.11070013205522811</v>
      </c>
      <c r="BE32" s="1625">
        <f>Model!BE1407</f>
        <v>0.11155619244571406</v>
      </c>
    </row>
    <row r="33" spans="33:57" s="1624" customFormat="1" x14ac:dyDescent="0.2">
      <c r="AG33" s="1741"/>
      <c r="AH33" s="1741"/>
      <c r="AI33" s="1741"/>
      <c r="AJ33" s="1741"/>
      <c r="AK33" s="1741"/>
      <c r="AL33" s="1741"/>
      <c r="AM33" s="1741"/>
      <c r="AN33" s="1741"/>
      <c r="AO33" s="1741"/>
      <c r="AP33" s="1741"/>
      <c r="AQ33" s="1741"/>
      <c r="AR33" s="1741"/>
      <c r="AS33" s="305" t="s">
        <v>1403</v>
      </c>
      <c r="AY33" s="264">
        <v>0.115</v>
      </c>
      <c r="AZ33" s="264">
        <v>0.115</v>
      </c>
      <c r="BA33" s="264">
        <v>0.115</v>
      </c>
      <c r="BB33" s="264">
        <v>0.115</v>
      </c>
      <c r="BC33" s="264">
        <v>0.115</v>
      </c>
      <c r="BD33" s="264">
        <v>0.115</v>
      </c>
      <c r="BE33" s="264">
        <v>0.115</v>
      </c>
    </row>
    <row r="34" spans="33:57" s="1624" customFormat="1" x14ac:dyDescent="0.2">
      <c r="AG34" s="1741"/>
      <c r="AH34" s="1741"/>
      <c r="AI34" s="1741"/>
      <c r="AJ34" s="1741"/>
      <c r="AK34" s="1741"/>
      <c r="AL34" s="1741"/>
      <c r="AM34" s="1741"/>
      <c r="AN34" s="1741"/>
      <c r="AO34" s="1741"/>
      <c r="AP34" s="1741"/>
      <c r="AQ34" s="1741"/>
      <c r="AR34" s="1741"/>
      <c r="AS34" s="305" t="s">
        <v>1405</v>
      </c>
      <c r="AY34" s="232">
        <f>Model!AY1403</f>
        <v>1130192</v>
      </c>
      <c r="AZ34" s="232">
        <f>Model!AZ1403</f>
        <v>1138167</v>
      </c>
      <c r="BA34" s="232">
        <f>Model!BA1403</f>
        <v>1201302.7297691074</v>
      </c>
      <c r="BB34" s="232">
        <f>Model!BB1403</f>
        <v>1233922.0852018611</v>
      </c>
      <c r="BC34" s="232">
        <f>Model!BC1403</f>
        <v>1266192.0890994582</v>
      </c>
      <c r="BD34" s="232">
        <f>Model!BD1403</f>
        <v>1308219.8717448981</v>
      </c>
      <c r="BE34" s="232">
        <f>Model!BE1403</f>
        <v>1349743.576045596</v>
      </c>
    </row>
    <row r="35" spans="33:57" s="1624" customFormat="1" x14ac:dyDescent="0.2">
      <c r="AG35" s="1741"/>
      <c r="AH35" s="1741"/>
      <c r="AI35" s="1741"/>
      <c r="AJ35" s="1741"/>
      <c r="AK35" s="1741"/>
      <c r="AL35" s="1741"/>
      <c r="AM35" s="1741"/>
      <c r="AN35" s="1741"/>
      <c r="AO35" s="1741"/>
      <c r="AP35" s="1741"/>
      <c r="AQ35" s="1741"/>
      <c r="AR35" s="1741"/>
      <c r="BE35" s="1703"/>
    </row>
    <row r="36" spans="33:57" x14ac:dyDescent="0.2">
      <c r="AS36" s="13" t="s">
        <v>758</v>
      </c>
      <c r="AT36" s="13"/>
      <c r="AU36" s="13"/>
      <c r="AV36" s="13"/>
      <c r="AW36" s="13"/>
      <c r="AX36" s="13"/>
      <c r="AY36" s="13"/>
      <c r="AZ36" s="13"/>
      <c r="BA36" s="13"/>
      <c r="BB36" s="13"/>
      <c r="BC36" s="13"/>
      <c r="BD36" s="13"/>
      <c r="BE36" s="13"/>
    </row>
    <row r="37" spans="33:57" x14ac:dyDescent="0.2">
      <c r="AS37" s="16"/>
      <c r="AT37" s="16"/>
      <c r="AU37" s="70"/>
      <c r="AV37" s="70"/>
      <c r="AW37" s="70"/>
      <c r="AX37" s="70"/>
      <c r="AY37" s="70"/>
      <c r="AZ37" s="70"/>
      <c r="BA37" s="70"/>
      <c r="BB37" s="70"/>
      <c r="BC37" s="70"/>
      <c r="BD37" s="70"/>
      <c r="BE37" s="70"/>
    </row>
    <row r="38" spans="33:57" x14ac:dyDescent="0.2">
      <c r="AS38" s="17" t="s">
        <v>100</v>
      </c>
      <c r="AT38" s="1623"/>
      <c r="AU38" s="232"/>
      <c r="AV38" s="232"/>
      <c r="AW38" s="232"/>
      <c r="AX38" s="232"/>
      <c r="AY38" s="1625">
        <f t="shared" ref="AY38:BD41" si="8">AY7/AY14</f>
        <v>0.1376111111111111</v>
      </c>
      <c r="AZ38" s="1625">
        <f t="shared" si="8"/>
        <v>0.10772222222222222</v>
      </c>
      <c r="BA38" s="1625">
        <f t="shared" si="8"/>
        <v>0.15471952976126596</v>
      </c>
      <c r="BB38" s="1625">
        <f t="shared" si="8"/>
        <v>0.16037680296617612</v>
      </c>
      <c r="BC38" s="1625">
        <f t="shared" si="8"/>
        <v>0.16096063314962036</v>
      </c>
      <c r="BD38" s="1625">
        <f t="shared" si="8"/>
        <v>0.1597480814761085</v>
      </c>
      <c r="BE38" s="1625">
        <f t="shared" ref="BE38" si="9">BE7/BE14</f>
        <v>0.14748329511881447</v>
      </c>
    </row>
    <row r="39" spans="33:57" x14ac:dyDescent="0.2">
      <c r="AS39" s="17" t="s">
        <v>182</v>
      </c>
      <c r="AT39" s="327"/>
      <c r="AU39" s="232"/>
      <c r="AV39" s="232"/>
      <c r="AW39" s="232"/>
      <c r="AX39" s="232"/>
      <c r="AY39" s="1625">
        <f t="shared" si="8"/>
        <v>0.1190625</v>
      </c>
      <c r="AZ39" s="1625">
        <f t="shared" si="8"/>
        <v>0.1105609756097561</v>
      </c>
      <c r="BA39" s="1625">
        <f t="shared" si="8"/>
        <v>0.15639270398177496</v>
      </c>
      <c r="BB39" s="1625">
        <f t="shared" si="8"/>
        <v>0.16283775124163355</v>
      </c>
      <c r="BC39" s="1625">
        <f t="shared" si="8"/>
        <v>0.1671324676502037</v>
      </c>
      <c r="BD39" s="1625">
        <f t="shared" si="8"/>
        <v>0.16839512181716992</v>
      </c>
      <c r="BE39" s="1625">
        <f t="shared" ref="BE39" si="10">BE8/BE15</f>
        <v>0.16646417498127047</v>
      </c>
    </row>
    <row r="40" spans="33:57" x14ac:dyDescent="0.2">
      <c r="AS40" s="29" t="s">
        <v>183</v>
      </c>
      <c r="AT40" s="425"/>
      <c r="AU40" s="232"/>
      <c r="AV40" s="232"/>
      <c r="AW40" s="232"/>
      <c r="AX40" s="232"/>
      <c r="AY40" s="1625">
        <f t="shared" si="8"/>
        <v>2.7699999999999999E-2</v>
      </c>
      <c r="AZ40" s="1625">
        <f t="shared" si="8"/>
        <v>0.16794444444444445</v>
      </c>
      <c r="BA40" s="1625">
        <f t="shared" si="8"/>
        <v>-0.13898763877420331</v>
      </c>
      <c r="BB40" s="1625">
        <f t="shared" si="8"/>
        <v>-0.27642539454626447</v>
      </c>
      <c r="BC40" s="1625">
        <f t="shared" si="8"/>
        <v>-6.0978089551897412</v>
      </c>
      <c r="BD40" s="1625">
        <f t="shared" si="8"/>
        <v>0.54978227368220445</v>
      </c>
      <c r="BE40" s="1625">
        <f t="shared" ref="BE40" si="11">BE9/BE16</f>
        <v>0.12172332113120887</v>
      </c>
    </row>
    <row r="41" spans="33:57" x14ac:dyDescent="0.2">
      <c r="AS41" s="328"/>
      <c r="AT41" s="59" t="s">
        <v>1406</v>
      </c>
      <c r="AU41" s="303"/>
      <c r="AV41" s="303"/>
      <c r="AW41" s="303"/>
      <c r="AX41" s="303"/>
      <c r="AY41" s="1658">
        <f t="shared" si="8"/>
        <v>0.11053676470588235</v>
      </c>
      <c r="AZ41" s="1658">
        <f t="shared" si="8"/>
        <v>0.11740441176470588</v>
      </c>
      <c r="BA41" s="1658">
        <f t="shared" si="8"/>
        <v>0.14685600251028819</v>
      </c>
      <c r="BB41" s="1658">
        <f t="shared" si="8"/>
        <v>0.15541768369812339</v>
      </c>
      <c r="BC41" s="1658">
        <f t="shared" si="8"/>
        <v>0.16181170548989621</v>
      </c>
      <c r="BD41" s="1658">
        <f t="shared" si="8"/>
        <v>0.1639584439073189</v>
      </c>
      <c r="BE41" s="1658">
        <f t="shared" ref="BE41" si="12">BE10/BE17</f>
        <v>0.16168157299801506</v>
      </c>
    </row>
    <row r="42" spans="33:57" s="1624" customFormat="1" x14ac:dyDescent="0.2">
      <c r="AG42" s="1741"/>
      <c r="AH42" s="1741"/>
      <c r="AI42" s="1741"/>
      <c r="AJ42" s="1741"/>
      <c r="AK42" s="1741"/>
      <c r="AL42" s="1741"/>
      <c r="AM42" s="1741"/>
      <c r="AN42" s="1741"/>
      <c r="AO42" s="1741"/>
      <c r="AP42" s="1741"/>
      <c r="AQ42" s="1741"/>
      <c r="AR42" s="1741"/>
      <c r="AS42" s="328"/>
      <c r="AT42" s="59" t="s">
        <v>1407</v>
      </c>
      <c r="AU42" s="281"/>
      <c r="AV42" s="281"/>
      <c r="AW42" s="281"/>
      <c r="AX42" s="281"/>
      <c r="AY42" s="1659">
        <f>Model!AY1492</f>
        <v>8.9191307699454936E-2</v>
      </c>
      <c r="AZ42" s="1659">
        <f>Model!AZ1492</f>
        <v>9.372808219123055E-2</v>
      </c>
      <c r="BA42" s="1659">
        <f>Model!BA1492</f>
        <v>0.11718841584887418</v>
      </c>
      <c r="BB42" s="1659">
        <f>Model!BB1492</f>
        <v>0.13265411963875764</v>
      </c>
      <c r="BC42" s="1659">
        <f>Model!BC1492</f>
        <v>0.14427006983234758</v>
      </c>
      <c r="BD42" s="1659">
        <f>Model!BD1492</f>
        <v>0.14741318562533787</v>
      </c>
      <c r="BE42" s="1659">
        <f>Model!BE1492</f>
        <v>0.14444994490217924</v>
      </c>
    </row>
    <row r="43" spans="33:57" s="1624" customFormat="1" x14ac:dyDescent="0.2">
      <c r="AG43" s="1741"/>
      <c r="AH43" s="1741"/>
      <c r="AI43" s="1741"/>
      <c r="AJ43" s="1741"/>
      <c r="AK43" s="1741"/>
      <c r="AL43" s="1741"/>
      <c r="AM43" s="1741"/>
      <c r="AN43" s="1741"/>
      <c r="AO43" s="1741"/>
      <c r="AP43" s="1741"/>
      <c r="AQ43" s="1741"/>
      <c r="AR43" s="1741"/>
      <c r="AS43" s="328"/>
      <c r="AT43" s="59" t="s">
        <v>758</v>
      </c>
      <c r="AU43" s="281"/>
      <c r="AV43" s="281"/>
      <c r="AW43" s="281"/>
      <c r="AX43" s="281"/>
      <c r="AY43" s="1659">
        <f>Model!AY1491</f>
        <v>7.5635655911068647E-2</v>
      </c>
      <c r="AZ43" s="1659">
        <f>Model!AZ1491</f>
        <v>8.1807988522310596E-2</v>
      </c>
      <c r="BA43" s="1659">
        <f>Model!BA1491</f>
        <v>0.1079082816176674</v>
      </c>
      <c r="BB43" s="1659">
        <f>Model!BB1491</f>
        <v>0.12211030444339098</v>
      </c>
      <c r="BC43" s="1659">
        <f>Model!BC1491</f>
        <v>0.13332616648936299</v>
      </c>
      <c r="BD43" s="1659">
        <f>Model!BD1491</f>
        <v>0.1376803917504088</v>
      </c>
      <c r="BE43" s="1659">
        <f>Model!BE1491</f>
        <v>0.13651989779343587</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6" tint="0.59999389629810485"/>
  </sheetPr>
  <dimension ref="A1:BV1687"/>
  <sheetViews>
    <sheetView zoomScaleNormal="100" workbookViewId="0">
      <pane xSplit="3" ySplit="3" topLeftCell="X4" activePane="bottomRight" state="frozen"/>
      <selection pane="topRight" activeCell="D1" sqref="D1"/>
      <selection pane="bottomLeft" activeCell="A4" sqref="A4"/>
      <selection pane="bottomRight" activeCell="X4" sqref="X4"/>
    </sheetView>
  </sheetViews>
  <sheetFormatPr defaultRowHeight="12.75" outlineLevelRow="1" outlineLevelCol="1" x14ac:dyDescent="0.2"/>
  <cols>
    <col min="1" max="1" width="2.83203125" style="411" customWidth="1"/>
    <col min="2" max="2" width="2.83203125" style="10" customWidth="1"/>
    <col min="3" max="3" width="35.83203125" style="9" customWidth="1"/>
    <col min="4" max="19" width="12.83203125" style="9" hidden="1" customWidth="1" outlineLevel="1"/>
    <col min="20" max="20" width="12.83203125" style="9" hidden="1" customWidth="1" outlineLevel="1" collapsed="1"/>
    <col min="21" max="23" width="12.83203125" style="9" hidden="1" customWidth="1" outlineLevel="1"/>
    <col min="24" max="24" width="12.83203125" style="9" customWidth="1" collapsed="1"/>
    <col min="25" max="30" width="12.83203125" style="9" customWidth="1"/>
    <col min="31" max="34" width="12.83203125" style="1740" customWidth="1"/>
    <col min="35" max="35" width="12.83203125" style="1707" customWidth="1"/>
    <col min="36" max="43" width="12.83203125" style="1740" hidden="1" customWidth="1"/>
    <col min="44" max="44" width="9.33203125" style="70"/>
    <col min="45" max="45" width="2.83203125" style="70" customWidth="1"/>
    <col min="46" max="46" width="35.83203125" style="70" customWidth="1"/>
    <col min="47" max="49" width="12.83203125" style="70" hidden="1" customWidth="1" outlineLevel="1"/>
    <col min="50" max="50" width="12.83203125" style="70" customWidth="1" collapsed="1"/>
    <col min="51" max="57" width="12.83203125" style="70" customWidth="1"/>
    <col min="58" max="64" width="9.33203125" style="70"/>
    <col min="65" max="65" width="35.83203125" customWidth="1"/>
    <col min="66" max="66" width="12.6640625" bestFit="1" customWidth="1"/>
    <col min="67" max="67" width="11.1640625" bestFit="1" customWidth="1"/>
    <col min="68" max="68" width="11.5" bestFit="1" customWidth="1"/>
    <col min="69" max="69" width="17.83203125" bestFit="1" customWidth="1"/>
    <col min="70" max="70" width="9.6640625" bestFit="1" customWidth="1"/>
    <col min="71" max="16384" width="9.33203125" style="70"/>
  </cols>
  <sheetData>
    <row r="1" spans="1:70" ht="18" x14ac:dyDescent="0.25">
      <c r="A1" s="165"/>
      <c r="B1" s="4" t="s">
        <v>149</v>
      </c>
      <c r="D1" s="170">
        <v>4.0219780219780219</v>
      </c>
      <c r="E1" s="170">
        <v>4.0219780219780219</v>
      </c>
      <c r="F1" s="170">
        <v>3.9782608695652173</v>
      </c>
      <c r="G1" s="170">
        <v>3.9782608695652173</v>
      </c>
      <c r="H1" s="170">
        <v>4.0555555555555554</v>
      </c>
      <c r="I1" s="170">
        <v>4.0109890109890109</v>
      </c>
      <c r="J1" s="170">
        <v>3.9673913043478257</v>
      </c>
      <c r="K1" s="170">
        <v>3.9673913043478257</v>
      </c>
      <c r="L1" s="170">
        <v>4.0555555555555554</v>
      </c>
      <c r="M1" s="170">
        <v>4.0109890109890109</v>
      </c>
      <c r="N1" s="170">
        <v>3.9673913043478257</v>
      </c>
      <c r="O1" s="170">
        <v>3.9673913043478257</v>
      </c>
      <c r="P1" s="170">
        <v>4.0555555555555554</v>
      </c>
      <c r="Q1" s="170">
        <v>4.0109890109890109</v>
      </c>
      <c r="R1" s="170">
        <v>3.9673913043478257</v>
      </c>
      <c r="S1" s="170">
        <v>3.9673913043478257</v>
      </c>
      <c r="T1" s="170">
        <v>4.0219780219780219</v>
      </c>
      <c r="U1" s="170">
        <v>4.0219780219780219</v>
      </c>
      <c r="V1" s="170">
        <v>3.9782608695652173</v>
      </c>
      <c r="W1" s="170">
        <v>3.9782608695652173</v>
      </c>
      <c r="X1" s="170">
        <v>4.0555555555555554</v>
      </c>
      <c r="Y1" s="170">
        <v>4.0109890109890109</v>
      </c>
      <c r="Z1" s="170">
        <v>3.9673913043478257</v>
      </c>
      <c r="AA1" s="170">
        <v>3.9673913043478257</v>
      </c>
      <c r="AB1" s="170">
        <v>4.0555555555555554</v>
      </c>
      <c r="AC1" s="170">
        <v>4.0109890109890109</v>
      </c>
      <c r="AD1" s="170">
        <v>3.9673913043478257</v>
      </c>
      <c r="AE1" s="170">
        <v>3.9673913043478257</v>
      </c>
      <c r="AF1" s="170">
        <v>4.0555555555555554</v>
      </c>
      <c r="AG1" s="170">
        <v>4.0109890109890109</v>
      </c>
      <c r="AH1" s="170">
        <v>3.9673913043478257</v>
      </c>
      <c r="AI1" s="170">
        <v>3.9673913043478257</v>
      </c>
      <c r="AJ1" s="170"/>
      <c r="AK1" s="170"/>
      <c r="AL1" s="170"/>
      <c r="AM1" s="170"/>
      <c r="AN1" s="170"/>
      <c r="AO1" s="170"/>
      <c r="AP1" s="170"/>
      <c r="AQ1" s="170"/>
      <c r="AU1" s="170">
        <v>1</v>
      </c>
      <c r="AV1" s="170">
        <v>1</v>
      </c>
      <c r="AW1" s="170">
        <v>1</v>
      </c>
      <c r="AX1" s="170">
        <v>1</v>
      </c>
      <c r="AY1" s="170">
        <v>1</v>
      </c>
      <c r="AZ1" s="170">
        <v>1</v>
      </c>
      <c r="BA1" s="170">
        <v>1</v>
      </c>
      <c r="BB1" s="170">
        <v>1</v>
      </c>
      <c r="BC1" s="170">
        <v>1</v>
      </c>
      <c r="BD1" s="170">
        <v>1</v>
      </c>
      <c r="BE1" s="170">
        <v>1</v>
      </c>
    </row>
    <row r="2" spans="1:70" x14ac:dyDescent="0.2">
      <c r="A2" s="828"/>
      <c r="B2" s="171" t="s">
        <v>148</v>
      </c>
      <c r="C2" s="168"/>
      <c r="D2" s="169" t="s">
        <v>150</v>
      </c>
      <c r="E2" s="169" t="s">
        <v>151</v>
      </c>
      <c r="F2" s="169" t="s">
        <v>152</v>
      </c>
      <c r="G2" s="169" t="s">
        <v>153</v>
      </c>
      <c r="H2" s="169" t="s">
        <v>154</v>
      </c>
      <c r="I2" s="169" t="s">
        <v>155</v>
      </c>
      <c r="J2" s="169" t="s">
        <v>156</v>
      </c>
      <c r="K2" s="169" t="s">
        <v>157</v>
      </c>
      <c r="L2" s="169" t="s">
        <v>158</v>
      </c>
      <c r="M2" s="169" t="s">
        <v>159</v>
      </c>
      <c r="N2" s="169" t="s">
        <v>160</v>
      </c>
      <c r="O2" s="169" t="s">
        <v>161</v>
      </c>
      <c r="P2" s="169" t="s">
        <v>162</v>
      </c>
      <c r="Q2" s="169" t="s">
        <v>163</v>
      </c>
      <c r="R2" s="169" t="s">
        <v>164</v>
      </c>
      <c r="S2" s="169" t="s">
        <v>165</v>
      </c>
      <c r="T2" s="169" t="s">
        <v>166</v>
      </c>
      <c r="U2" s="169" t="s">
        <v>167</v>
      </c>
      <c r="V2" s="169" t="s">
        <v>168</v>
      </c>
      <c r="W2" s="169" t="s">
        <v>169</v>
      </c>
      <c r="X2" s="169" t="s">
        <v>887</v>
      </c>
      <c r="Y2" s="169" t="s">
        <v>888</v>
      </c>
      <c r="Z2" s="169" t="s">
        <v>889</v>
      </c>
      <c r="AA2" s="169" t="s">
        <v>890</v>
      </c>
      <c r="AB2" s="169" t="s">
        <v>1426</v>
      </c>
      <c r="AC2" s="169" t="s">
        <v>173</v>
      </c>
      <c r="AD2" s="169" t="s">
        <v>174</v>
      </c>
      <c r="AE2" s="169" t="s">
        <v>175</v>
      </c>
      <c r="AF2" s="169" t="s">
        <v>1422</v>
      </c>
      <c r="AG2" s="169" t="s">
        <v>1423</v>
      </c>
      <c r="AH2" s="169" t="s">
        <v>1424</v>
      </c>
      <c r="AI2" s="169" t="s">
        <v>1425</v>
      </c>
      <c r="AJ2" s="169"/>
      <c r="AK2" s="169"/>
      <c r="AL2" s="169"/>
      <c r="AM2" s="169"/>
      <c r="AN2" s="169"/>
      <c r="AO2" s="169"/>
      <c r="AP2" s="169"/>
      <c r="AQ2" s="169"/>
      <c r="AS2" s="171" t="s">
        <v>148</v>
      </c>
      <c r="AT2" s="169"/>
      <c r="AU2" s="169">
        <v>2012</v>
      </c>
      <c r="AV2" s="169">
        <f>AU2+1</f>
        <v>2013</v>
      </c>
      <c r="AW2" s="169">
        <f>AV2+1</f>
        <v>2014</v>
      </c>
      <c r="AX2" s="169">
        <f>AW2+1</f>
        <v>2015</v>
      </c>
      <c r="AY2" s="169">
        <f>AX2+1</f>
        <v>2016</v>
      </c>
      <c r="AZ2" s="169">
        <v>2017</v>
      </c>
      <c r="BA2" s="169" t="s">
        <v>584</v>
      </c>
      <c r="BB2" s="169" t="s">
        <v>585</v>
      </c>
      <c r="BC2" s="169" t="s">
        <v>586</v>
      </c>
      <c r="BD2" s="169" t="s">
        <v>587</v>
      </c>
      <c r="BE2" s="169" t="s">
        <v>1420</v>
      </c>
      <c r="BF2" s="231"/>
    </row>
    <row r="3" spans="1:70" ht="5.0999999999999996" customHeight="1" x14ac:dyDescent="0.2">
      <c r="B3" s="5"/>
      <c r="D3" s="7"/>
      <c r="E3" s="7"/>
      <c r="F3" s="7"/>
      <c r="G3" s="7"/>
      <c r="H3" s="7"/>
      <c r="I3" s="7"/>
      <c r="J3" s="8"/>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row>
    <row r="4" spans="1:70" x14ac:dyDescent="0.2">
      <c r="A4" s="411" t="s">
        <v>194</v>
      </c>
      <c r="B4" s="13" t="s">
        <v>393</v>
      </c>
      <c r="C4" s="13"/>
      <c r="D4" s="14"/>
      <c r="E4" s="14"/>
      <c r="F4" s="14"/>
      <c r="G4" s="14"/>
      <c r="H4" s="14"/>
      <c r="I4" s="14"/>
      <c r="J4" s="14"/>
      <c r="K4" s="14"/>
      <c r="L4" s="14"/>
      <c r="M4" s="14"/>
      <c r="N4" s="14"/>
      <c r="O4" s="14"/>
      <c r="P4" s="14"/>
      <c r="Q4" s="14"/>
      <c r="R4" s="14"/>
      <c r="S4" s="14"/>
      <c r="T4" s="14"/>
      <c r="U4" s="14"/>
      <c r="V4" s="14"/>
      <c r="W4" s="14"/>
      <c r="X4" s="14"/>
      <c r="Y4" s="14"/>
      <c r="Z4" s="14"/>
      <c r="AA4" s="14"/>
      <c r="AB4" s="14"/>
      <c r="AC4" s="14"/>
      <c r="AD4" s="14"/>
      <c r="AE4" s="14"/>
      <c r="AF4" s="14"/>
      <c r="AG4" s="14"/>
      <c r="AH4" s="14"/>
      <c r="AI4" s="14"/>
      <c r="AJ4" s="14"/>
      <c r="AK4" s="14"/>
      <c r="AL4" s="14"/>
      <c r="AM4" s="14"/>
      <c r="AN4" s="14"/>
      <c r="AO4" s="14"/>
      <c r="AP4" s="14"/>
      <c r="AQ4" s="14"/>
      <c r="AS4" s="13" t="s">
        <v>393</v>
      </c>
      <c r="AT4" s="13"/>
      <c r="AU4" s="13"/>
      <c r="AV4" s="13"/>
      <c r="AW4" s="13"/>
      <c r="AX4" s="13"/>
      <c r="AY4" s="13"/>
      <c r="AZ4" s="13"/>
      <c r="BA4" s="13"/>
      <c r="BB4" s="13"/>
      <c r="BC4" s="13"/>
      <c r="BD4" s="13"/>
      <c r="BE4" s="13"/>
    </row>
    <row r="5" spans="1:70" x14ac:dyDescent="0.2">
      <c r="B5" s="16"/>
      <c r="C5" s="16"/>
      <c r="D5" s="15"/>
      <c r="E5" s="15"/>
      <c r="F5" s="15"/>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S5" s="16"/>
      <c r="AT5" s="16"/>
    </row>
    <row r="6" spans="1:70" x14ac:dyDescent="0.2">
      <c r="B6" s="17" t="s">
        <v>100</v>
      </c>
      <c r="D6" s="50">
        <f t="shared" ref="D6:AE6" si="0">D126</f>
        <v>2028</v>
      </c>
      <c r="E6" s="50">
        <f t="shared" si="0"/>
        <v>1851</v>
      </c>
      <c r="F6" s="50">
        <f t="shared" si="0"/>
        <v>1967</v>
      </c>
      <c r="G6" s="50">
        <f t="shared" si="0"/>
        <v>1656</v>
      </c>
      <c r="H6" s="50">
        <f t="shared" si="0"/>
        <v>1771</v>
      </c>
      <c r="I6" s="50">
        <f t="shared" si="0"/>
        <v>1753</v>
      </c>
      <c r="J6" s="50">
        <f t="shared" si="0"/>
        <v>1465</v>
      </c>
      <c r="K6" s="50">
        <f t="shared" si="0"/>
        <v>1493</v>
      </c>
      <c r="L6" s="50">
        <f t="shared" si="0"/>
        <v>1615</v>
      </c>
      <c r="M6" s="50">
        <f t="shared" si="0"/>
        <v>1510</v>
      </c>
      <c r="N6" s="50">
        <f t="shared" si="0"/>
        <v>1859</v>
      </c>
      <c r="O6" s="50">
        <f t="shared" si="0"/>
        <v>1683</v>
      </c>
      <c r="P6" s="50">
        <f t="shared" si="0"/>
        <v>1667</v>
      </c>
      <c r="Q6" s="50">
        <f t="shared" si="0"/>
        <v>1575</v>
      </c>
      <c r="R6" s="50">
        <f t="shared" si="0"/>
        <v>1652</v>
      </c>
      <c r="S6" s="50">
        <f t="shared" si="0"/>
        <v>1320</v>
      </c>
      <c r="T6" s="50">
        <f t="shared" si="0"/>
        <v>1194</v>
      </c>
      <c r="U6" s="50">
        <f t="shared" si="0"/>
        <v>1285</v>
      </c>
      <c r="V6" s="50">
        <f t="shared" si="0"/>
        <v>1250</v>
      </c>
      <c r="W6" s="50">
        <f t="shared" si="0"/>
        <v>1225</v>
      </c>
      <c r="X6" s="50">
        <f t="shared" si="0"/>
        <v>998</v>
      </c>
      <c r="Y6" s="50">
        <f t="shared" ref="Y6:Z6" si="1">Y126</f>
        <v>1128</v>
      </c>
      <c r="Z6" s="50">
        <f t="shared" si="1"/>
        <v>1170</v>
      </c>
      <c r="AA6" s="50">
        <f t="shared" ref="AA6:AB6" si="2">AA126</f>
        <v>582</v>
      </c>
      <c r="AB6" s="50">
        <f t="shared" si="2"/>
        <v>1394</v>
      </c>
      <c r="AC6" s="50">
        <f t="shared" si="0"/>
        <v>1414.2430648664379</v>
      </c>
      <c r="AD6" s="50">
        <f t="shared" si="0"/>
        <v>1481.0265517692396</v>
      </c>
      <c r="AE6" s="50">
        <f t="shared" si="0"/>
        <v>1447.7305469120643</v>
      </c>
      <c r="AF6" s="50">
        <f t="shared" ref="AF6:AI6" si="3">AF126</f>
        <v>1488.7325994842649</v>
      </c>
      <c r="AG6" s="50">
        <f t="shared" si="3"/>
        <v>1533.2742422939928</v>
      </c>
      <c r="AH6" s="50">
        <f t="shared" si="3"/>
        <v>1576.1657794948858</v>
      </c>
      <c r="AI6" s="50">
        <f t="shared" si="3"/>
        <v>1527.0023883322422</v>
      </c>
      <c r="AJ6" s="50"/>
      <c r="AK6" s="50"/>
      <c r="AL6" s="50"/>
      <c r="AM6" s="50"/>
      <c r="AN6" s="50"/>
      <c r="AO6" s="50"/>
      <c r="AP6" s="50"/>
      <c r="AQ6" s="50"/>
      <c r="AS6" s="17" t="s">
        <v>100</v>
      </c>
      <c r="AT6" s="9"/>
      <c r="AU6" s="232">
        <f>SUM(D6:G6)</f>
        <v>7502</v>
      </c>
      <c r="AV6" s="232">
        <f>SUM(H6:K6)</f>
        <v>6482</v>
      </c>
      <c r="AW6" s="232">
        <f>SUM(L6:O6)</f>
        <v>6667</v>
      </c>
      <c r="AX6" s="232">
        <f>SUM(P6:S6)</f>
        <v>6214</v>
      </c>
      <c r="AY6" s="232">
        <f>SUM(T6:W6)</f>
        <v>4954</v>
      </c>
      <c r="AZ6" s="232">
        <f>SUM(X6:AA6)</f>
        <v>3878</v>
      </c>
      <c r="BA6" s="232">
        <f>SUM(AB6:AE6)</f>
        <v>5737.000163547742</v>
      </c>
      <c r="BB6" s="232">
        <f>SUM(AF6:AI6)</f>
        <v>6125.1750096053856</v>
      </c>
      <c r="BC6" s="33">
        <f>BC126</f>
        <v>6331.8970720686684</v>
      </c>
      <c r="BD6" s="33">
        <f>BD126</f>
        <v>6472.7234309504865</v>
      </c>
      <c r="BE6" s="33">
        <f>BE126</f>
        <v>6155.0481752487858</v>
      </c>
    </row>
    <row r="7" spans="1:70" x14ac:dyDescent="0.2">
      <c r="B7" s="17" t="s">
        <v>182</v>
      </c>
      <c r="C7" s="327"/>
      <c r="D7" s="116">
        <f t="shared" ref="D7:AE7" si="4">D506</f>
        <v>3019</v>
      </c>
      <c r="E7" s="116">
        <f t="shared" si="4"/>
        <v>2157</v>
      </c>
      <c r="F7" s="116">
        <f t="shared" si="4"/>
        <v>2501</v>
      </c>
      <c r="G7" s="116">
        <f t="shared" si="4"/>
        <v>1714</v>
      </c>
      <c r="H7" s="116">
        <f t="shared" si="4"/>
        <v>3252</v>
      </c>
      <c r="I7" s="116">
        <f t="shared" si="4"/>
        <v>2877</v>
      </c>
      <c r="J7" s="116">
        <f t="shared" si="4"/>
        <v>1975</v>
      </c>
      <c r="K7" s="116">
        <f t="shared" si="4"/>
        <v>1580</v>
      </c>
      <c r="L7" s="116">
        <f t="shared" si="4"/>
        <v>3010</v>
      </c>
      <c r="M7" s="116">
        <f t="shared" si="4"/>
        <v>2617</v>
      </c>
      <c r="N7" s="116">
        <f t="shared" si="4"/>
        <v>2576</v>
      </c>
      <c r="O7" s="116">
        <f t="shared" si="4"/>
        <v>1697</v>
      </c>
      <c r="P7" s="116">
        <f t="shared" si="4"/>
        <v>2949</v>
      </c>
      <c r="Q7" s="116">
        <f t="shared" si="4"/>
        <v>2555</v>
      </c>
      <c r="R7" s="116">
        <f t="shared" si="4"/>
        <v>2174</v>
      </c>
      <c r="S7" s="116">
        <f t="shared" si="4"/>
        <v>1260</v>
      </c>
      <c r="T7" s="116">
        <f t="shared" si="4"/>
        <v>1869</v>
      </c>
      <c r="U7" s="116">
        <f t="shared" si="4"/>
        <v>2615</v>
      </c>
      <c r="V7" s="116">
        <f t="shared" si="4"/>
        <v>2660</v>
      </c>
      <c r="W7" s="116">
        <f t="shared" si="4"/>
        <v>2381</v>
      </c>
      <c r="X7" s="116">
        <f t="shared" si="4"/>
        <v>3011</v>
      </c>
      <c r="Y7" s="116">
        <f t="shared" ref="Y7:Z7" si="5">Y506</f>
        <v>2780</v>
      </c>
      <c r="Z7" s="116">
        <f t="shared" si="5"/>
        <v>3062</v>
      </c>
      <c r="AA7" s="116">
        <f t="shared" ref="AA7:AB7" si="6">AA506</f>
        <v>213</v>
      </c>
      <c r="AB7" s="116">
        <f t="shared" si="6"/>
        <v>3329</v>
      </c>
      <c r="AC7" s="116">
        <f t="shared" si="4"/>
        <v>3224.3608415464378</v>
      </c>
      <c r="AD7" s="116">
        <f t="shared" si="4"/>
        <v>3208.4001687720211</v>
      </c>
      <c r="AE7" s="116">
        <f t="shared" si="4"/>
        <v>3062.4407161870877</v>
      </c>
      <c r="AF7" s="116">
        <f t="shared" ref="AF7:AI7" si="7">AF506</f>
        <v>3606.3676929789513</v>
      </c>
      <c r="AG7" s="116">
        <f t="shared" si="7"/>
        <v>3677.6633822161211</v>
      </c>
      <c r="AH7" s="116">
        <f t="shared" si="7"/>
        <v>3548.6821340368165</v>
      </c>
      <c r="AI7" s="116">
        <f t="shared" si="7"/>
        <v>3334.1711487902289</v>
      </c>
      <c r="AJ7" s="116"/>
      <c r="AK7" s="116"/>
      <c r="AL7" s="116"/>
      <c r="AM7" s="116"/>
      <c r="AN7" s="116"/>
      <c r="AO7" s="116"/>
      <c r="AP7" s="116"/>
      <c r="AQ7" s="116"/>
      <c r="AS7" s="17" t="s">
        <v>182</v>
      </c>
      <c r="AT7" s="327"/>
      <c r="AU7" s="232">
        <f>SUM(D7:G7)</f>
        <v>9391</v>
      </c>
      <c r="AV7" s="232">
        <f>SUM(H7:K7)</f>
        <v>9684</v>
      </c>
      <c r="AW7" s="232">
        <f>SUM(L7:O7)</f>
        <v>9900</v>
      </c>
      <c r="AX7" s="232">
        <f>SUM(P7:S7)</f>
        <v>8938</v>
      </c>
      <c r="AY7" s="232">
        <f>SUM(T7:W7)</f>
        <v>9525</v>
      </c>
      <c r="AZ7" s="232">
        <f>SUM(X7:AA7)</f>
        <v>9066</v>
      </c>
      <c r="BA7" s="232">
        <f>SUM(AB7:AE7)</f>
        <v>12824.201726505547</v>
      </c>
      <c r="BB7" s="232">
        <f>SUM(AF7:AI7)</f>
        <v>14166.884358022118</v>
      </c>
      <c r="BC7" s="33">
        <f>BC506</f>
        <v>15376.18702381874</v>
      </c>
      <c r="BD7" s="33">
        <f>BD506</f>
        <v>16334.326816265482</v>
      </c>
      <c r="BE7" s="33">
        <f>BE506</f>
        <v>17145.810023070859</v>
      </c>
    </row>
    <row r="8" spans="1:70" x14ac:dyDescent="0.2">
      <c r="B8" s="29" t="s">
        <v>183</v>
      </c>
      <c r="C8" s="425"/>
      <c r="D8" s="117">
        <f t="shared" ref="D8:AE8" si="8">D658</f>
        <v>-1539</v>
      </c>
      <c r="E8" s="117">
        <f t="shared" si="8"/>
        <v>-926</v>
      </c>
      <c r="F8" s="117">
        <f t="shared" si="8"/>
        <v>-1157</v>
      </c>
      <c r="G8" s="117">
        <f t="shared" si="8"/>
        <v>-1776</v>
      </c>
      <c r="H8" s="117">
        <f t="shared" si="8"/>
        <v>-929</v>
      </c>
      <c r="I8" s="117">
        <f t="shared" si="8"/>
        <v>-729</v>
      </c>
      <c r="J8" s="117">
        <f t="shared" si="8"/>
        <v>-207</v>
      </c>
      <c r="K8" s="117">
        <f t="shared" si="8"/>
        <v>-648</v>
      </c>
      <c r="L8" s="117">
        <f t="shared" si="8"/>
        <v>-467</v>
      </c>
      <c r="M8" s="117">
        <f t="shared" si="8"/>
        <v>-3854</v>
      </c>
      <c r="N8" s="117">
        <f t="shared" si="8"/>
        <v>-1291</v>
      </c>
      <c r="O8" s="117">
        <f t="shared" si="8"/>
        <v>-3001</v>
      </c>
      <c r="P8" s="117">
        <f t="shared" si="8"/>
        <v>248</v>
      </c>
      <c r="Q8" s="117">
        <f t="shared" si="8"/>
        <v>532</v>
      </c>
      <c r="R8" s="117">
        <f t="shared" si="8"/>
        <v>353</v>
      </c>
      <c r="S8" s="117">
        <f t="shared" si="8"/>
        <v>939</v>
      </c>
      <c r="T8" s="117">
        <f t="shared" si="8"/>
        <v>445</v>
      </c>
      <c r="U8" s="117">
        <f t="shared" si="8"/>
        <v>147</v>
      </c>
      <c r="V8" s="117">
        <f t="shared" si="8"/>
        <v>-23</v>
      </c>
      <c r="W8" s="117">
        <f t="shared" si="8"/>
        <v>-15</v>
      </c>
      <c r="X8" s="117">
        <f t="shared" si="8"/>
        <v>109</v>
      </c>
      <c r="Y8" s="117">
        <f t="shared" ref="Y8:Z8" si="9">Y658</f>
        <v>-25</v>
      </c>
      <c r="Z8" s="117">
        <f t="shared" si="9"/>
        <v>-95</v>
      </c>
      <c r="AA8" s="117">
        <f t="shared" ref="AA8:AB8" si="10">AA658</f>
        <v>3034</v>
      </c>
      <c r="AB8" s="117">
        <f t="shared" si="10"/>
        <v>-74</v>
      </c>
      <c r="AC8" s="117">
        <f t="shared" si="8"/>
        <v>-171.55135061023185</v>
      </c>
      <c r="AD8" s="117">
        <f t="shared" si="8"/>
        <v>-138.53428000368172</v>
      </c>
      <c r="AE8" s="117">
        <f t="shared" si="8"/>
        <v>-137.93268296085199</v>
      </c>
      <c r="AF8" s="117">
        <f t="shared" ref="AF8:AI8" si="11">AF658</f>
        <v>-151.46565656755899</v>
      </c>
      <c r="AG8" s="117">
        <f t="shared" si="11"/>
        <v>-136.28006864466232</v>
      </c>
      <c r="AH8" s="117">
        <f t="shared" si="11"/>
        <v>-129.41949216044048</v>
      </c>
      <c r="AI8" s="117">
        <f t="shared" si="11"/>
        <v>-117.28916943200483</v>
      </c>
      <c r="AJ8" s="1751"/>
      <c r="AK8" s="1751"/>
      <c r="AL8" s="1751"/>
      <c r="AM8" s="1751"/>
      <c r="AN8" s="1751"/>
      <c r="AO8" s="1751"/>
      <c r="AP8" s="1751"/>
      <c r="AQ8" s="1751"/>
      <c r="AS8" s="29" t="s">
        <v>183</v>
      </c>
      <c r="AT8" s="425"/>
      <c r="AU8" s="232">
        <f>SUM(D8:G8)</f>
        <v>-5398</v>
      </c>
      <c r="AV8" s="232">
        <f>SUM(H8:K8)</f>
        <v>-2513</v>
      </c>
      <c r="AW8" s="232">
        <f>SUM(L8:O8)</f>
        <v>-8613</v>
      </c>
      <c r="AX8" s="232">
        <f>SUM(P8:S8)</f>
        <v>2072</v>
      </c>
      <c r="AY8" s="232">
        <f>SUM(T8:W8)</f>
        <v>554</v>
      </c>
      <c r="AZ8" s="232">
        <f>SUM(X8:AA8)</f>
        <v>3023</v>
      </c>
      <c r="BA8" s="232">
        <f>SUM(AB8:AE8)</f>
        <v>-522.01831357476556</v>
      </c>
      <c r="BB8" s="232">
        <f>SUM(AF8:AI8)</f>
        <v>-534.45438680466668</v>
      </c>
      <c r="BC8" s="132">
        <f>BC658</f>
        <v>-444.24206325296632</v>
      </c>
      <c r="BD8" s="132">
        <f>BD658</f>
        <v>-370.14813104400787</v>
      </c>
      <c r="BE8" s="132">
        <f>BE658</f>
        <v>-304.44660947821262</v>
      </c>
    </row>
    <row r="9" spans="1:70" s="160" customFormat="1" x14ac:dyDescent="0.2">
      <c r="A9" s="829"/>
      <c r="B9" s="59" t="s">
        <v>626</v>
      </c>
      <c r="C9" s="59"/>
      <c r="D9" s="174">
        <f t="shared" ref="D9:AE9" si="12">SUM(D6:D8)</f>
        <v>3508</v>
      </c>
      <c r="E9" s="174">
        <f t="shared" si="12"/>
        <v>3082</v>
      </c>
      <c r="F9" s="174">
        <f t="shared" si="12"/>
        <v>3311</v>
      </c>
      <c r="G9" s="174">
        <f t="shared" si="12"/>
        <v>1594</v>
      </c>
      <c r="H9" s="174">
        <f t="shared" si="12"/>
        <v>4094</v>
      </c>
      <c r="I9" s="174">
        <f t="shared" si="12"/>
        <v>3901</v>
      </c>
      <c r="J9" s="174">
        <f t="shared" si="12"/>
        <v>3233</v>
      </c>
      <c r="K9" s="174">
        <f t="shared" si="12"/>
        <v>2425</v>
      </c>
      <c r="L9" s="174">
        <f t="shared" si="12"/>
        <v>4158</v>
      </c>
      <c r="M9" s="174">
        <f t="shared" si="12"/>
        <v>273</v>
      </c>
      <c r="N9" s="174">
        <f t="shared" si="12"/>
        <v>3144</v>
      </c>
      <c r="O9" s="174">
        <f t="shared" si="12"/>
        <v>379</v>
      </c>
      <c r="P9" s="174">
        <f t="shared" si="12"/>
        <v>4864</v>
      </c>
      <c r="Q9" s="174">
        <f t="shared" si="12"/>
        <v>4662</v>
      </c>
      <c r="R9" s="174">
        <f t="shared" si="12"/>
        <v>4179</v>
      </c>
      <c r="S9" s="174">
        <f t="shared" si="12"/>
        <v>3519</v>
      </c>
      <c r="T9" s="174">
        <f t="shared" si="12"/>
        <v>3508</v>
      </c>
      <c r="U9" s="174">
        <f t="shared" si="12"/>
        <v>4047</v>
      </c>
      <c r="V9" s="174">
        <f t="shared" si="12"/>
        <v>3887</v>
      </c>
      <c r="W9" s="174">
        <f t="shared" si="12"/>
        <v>3591</v>
      </c>
      <c r="X9" s="174">
        <f t="shared" si="12"/>
        <v>4118</v>
      </c>
      <c r="Y9" s="174">
        <f t="shared" ref="Y9:Z9" si="13">SUM(Y6:Y8)</f>
        <v>3883</v>
      </c>
      <c r="Z9" s="174">
        <f t="shared" si="13"/>
        <v>4137</v>
      </c>
      <c r="AA9" s="174">
        <f t="shared" ref="AA9:AB9" si="14">SUM(AA6:AA8)</f>
        <v>3829</v>
      </c>
      <c r="AB9" s="174">
        <f t="shared" si="14"/>
        <v>4649</v>
      </c>
      <c r="AC9" s="174">
        <f t="shared" si="12"/>
        <v>4467.0525558026438</v>
      </c>
      <c r="AD9" s="174">
        <f t="shared" si="12"/>
        <v>4550.8924405375792</v>
      </c>
      <c r="AE9" s="174">
        <f t="shared" si="12"/>
        <v>4372.2385801382998</v>
      </c>
      <c r="AF9" s="174">
        <f t="shared" ref="AF9:AI9" si="15">SUM(AF6:AF8)</f>
        <v>4943.6346358956571</v>
      </c>
      <c r="AG9" s="174">
        <f t="shared" si="15"/>
        <v>5074.6575558654513</v>
      </c>
      <c r="AH9" s="174">
        <f t="shared" si="15"/>
        <v>4995.4284213712617</v>
      </c>
      <c r="AI9" s="174">
        <f t="shared" si="15"/>
        <v>4743.8843676904662</v>
      </c>
      <c r="AJ9" s="174"/>
      <c r="AK9" s="174"/>
      <c r="AL9" s="174"/>
      <c r="AM9" s="174"/>
      <c r="AN9" s="174"/>
      <c r="AO9" s="174"/>
      <c r="AP9" s="174"/>
      <c r="AQ9" s="174"/>
      <c r="AR9" s="70"/>
      <c r="AS9" s="328"/>
      <c r="AT9" s="59" t="s">
        <v>394</v>
      </c>
      <c r="AU9" s="303">
        <f t="shared" ref="AU9:BD9" si="16">SUM(AU6:AU8)</f>
        <v>11495</v>
      </c>
      <c r="AV9" s="303">
        <f t="shared" si="16"/>
        <v>13653</v>
      </c>
      <c r="AW9" s="303">
        <f t="shared" si="16"/>
        <v>7954</v>
      </c>
      <c r="AX9" s="303">
        <f t="shared" si="16"/>
        <v>17224</v>
      </c>
      <c r="AY9" s="303">
        <f t="shared" si="16"/>
        <v>15033</v>
      </c>
      <c r="AZ9" s="303">
        <f t="shared" si="16"/>
        <v>15967</v>
      </c>
      <c r="BA9" s="303">
        <f t="shared" si="16"/>
        <v>18039.183576478525</v>
      </c>
      <c r="BB9" s="303">
        <f t="shared" ref="BB9" si="17">SUM(BB6:BB8)</f>
        <v>19757.604980822834</v>
      </c>
      <c r="BC9" s="304">
        <f t="shared" si="16"/>
        <v>21263.842032634446</v>
      </c>
      <c r="BD9" s="304">
        <f t="shared" si="16"/>
        <v>22436.902116171961</v>
      </c>
      <c r="BE9" s="304">
        <f t="shared" ref="BE9" si="18">SUM(BE6:BE8)</f>
        <v>22996.411588841434</v>
      </c>
      <c r="BM9"/>
      <c r="BN9"/>
      <c r="BO9"/>
      <c r="BP9"/>
      <c r="BQ9"/>
      <c r="BR9"/>
    </row>
    <row r="10" spans="1:70" x14ac:dyDescent="0.2">
      <c r="B10" s="35"/>
      <c r="Z10" s="1688"/>
      <c r="AB10" s="1785"/>
      <c r="AS10" s="35"/>
      <c r="AT10" s="9"/>
      <c r="AW10" s="1092"/>
      <c r="AX10" s="1092"/>
      <c r="AY10" s="1092"/>
      <c r="AZ10" s="1092"/>
      <c r="BA10" s="1092"/>
      <c r="BB10" s="1092"/>
      <c r="BC10" s="1092"/>
      <c r="BD10" s="1092"/>
      <c r="BE10" s="1092"/>
    </row>
    <row r="11" spans="1:70" x14ac:dyDescent="0.2">
      <c r="B11" s="35"/>
      <c r="C11" s="9" t="s">
        <v>397</v>
      </c>
      <c r="D11" s="118">
        <v>4</v>
      </c>
      <c r="E11" s="118">
        <v>9</v>
      </c>
      <c r="F11" s="118">
        <v>4</v>
      </c>
      <c r="G11" s="118">
        <v>9</v>
      </c>
      <c r="H11" s="118">
        <v>4</v>
      </c>
      <c r="I11" s="118">
        <v>9</v>
      </c>
      <c r="J11" s="118">
        <v>110</v>
      </c>
      <c r="K11" s="118">
        <v>71</v>
      </c>
      <c r="L11" s="118">
        <v>124</v>
      </c>
      <c r="M11" s="118">
        <v>100</v>
      </c>
      <c r="N11" s="118">
        <v>128</v>
      </c>
      <c r="O11" s="118">
        <v>159</v>
      </c>
      <c r="P11" s="118">
        <v>128</v>
      </c>
      <c r="Q11" s="118">
        <v>202</v>
      </c>
      <c r="R11" s="118">
        <v>174</v>
      </c>
      <c r="S11" s="118">
        <v>265</v>
      </c>
      <c r="T11" s="118">
        <v>210</v>
      </c>
      <c r="U11" s="118">
        <v>322</v>
      </c>
      <c r="V11" s="118">
        <v>225</v>
      </c>
      <c r="W11" s="118">
        <v>320</v>
      </c>
      <c r="X11" s="118">
        <v>301</v>
      </c>
      <c r="Y11" s="118">
        <v>320</v>
      </c>
      <c r="Z11" s="118">
        <v>272</v>
      </c>
      <c r="AA11" s="118">
        <v>320</v>
      </c>
      <c r="AB11" s="118">
        <v>301</v>
      </c>
      <c r="AC11" s="309">
        <f>Drivers!AC289</f>
        <v>318</v>
      </c>
      <c r="AD11" s="309">
        <f>Drivers!AD289</f>
        <v>270</v>
      </c>
      <c r="AE11" s="309">
        <f>Drivers!AE289</f>
        <v>313</v>
      </c>
      <c r="AF11" s="309">
        <f>Drivers!AF289</f>
        <v>305</v>
      </c>
      <c r="AG11" s="309">
        <f>Drivers!AG289</f>
        <v>348</v>
      </c>
      <c r="AH11" s="309">
        <f>Drivers!AH289</f>
        <v>305</v>
      </c>
      <c r="AI11" s="309">
        <f>Drivers!AI289</f>
        <v>348</v>
      </c>
      <c r="AJ11" s="309"/>
      <c r="AK11" s="309"/>
      <c r="AL11" s="309"/>
      <c r="AM11" s="309"/>
      <c r="AN11" s="309"/>
      <c r="AO11" s="309"/>
      <c r="AP11" s="309"/>
      <c r="AQ11" s="309"/>
      <c r="AS11" s="35"/>
      <c r="AT11" s="9" t="s">
        <v>397</v>
      </c>
      <c r="AU11" s="232">
        <f>SUM(D11:G11)</f>
        <v>26</v>
      </c>
      <c r="AV11" s="232">
        <f>SUM(H11:K11)</f>
        <v>194</v>
      </c>
      <c r="AW11" s="232">
        <f>SUM(L11:O11)</f>
        <v>511</v>
      </c>
      <c r="AX11" s="232">
        <f>SUM(P11:S11)</f>
        <v>769</v>
      </c>
      <c r="AY11" s="232">
        <f>SUM(T11:W11)</f>
        <v>1077</v>
      </c>
      <c r="AZ11" s="232">
        <f>SUM(X11:AA11)</f>
        <v>1213</v>
      </c>
      <c r="BA11" s="232">
        <f>SUM(AB11:AE11)</f>
        <v>1202</v>
      </c>
      <c r="BB11" s="232">
        <f>SUM(AF11:AI11)</f>
        <v>1306</v>
      </c>
      <c r="BC11" s="309">
        <f>Drivers!BC289</f>
        <v>1306</v>
      </c>
      <c r="BD11" s="309">
        <f>Drivers!BD289</f>
        <v>1306</v>
      </c>
      <c r="BE11" s="309">
        <f>Drivers!BE289</f>
        <v>1306</v>
      </c>
    </row>
    <row r="12" spans="1:70" x14ac:dyDescent="0.2">
      <c r="B12" s="35"/>
      <c r="C12" s="9" t="s">
        <v>396</v>
      </c>
      <c r="D12" s="118">
        <v>126</v>
      </c>
      <c r="E12" s="118">
        <v>40</v>
      </c>
      <c r="F12" s="118">
        <v>25</v>
      </c>
      <c r="G12" s="118">
        <v>28</v>
      </c>
      <c r="H12" s="118">
        <v>90</v>
      </c>
      <c r="I12" s="118">
        <v>36</v>
      </c>
      <c r="J12" s="118">
        <v>51</v>
      </c>
      <c r="K12" s="118">
        <v>50</v>
      </c>
      <c r="L12" s="118">
        <v>45</v>
      </c>
      <c r="M12" s="118">
        <v>50</v>
      </c>
      <c r="N12" s="118">
        <v>59</v>
      </c>
      <c r="O12" s="118">
        <v>38</v>
      </c>
      <c r="P12" s="118">
        <v>42</v>
      </c>
      <c r="Q12" s="118">
        <v>18</v>
      </c>
      <c r="R12" s="118">
        <v>5</v>
      </c>
      <c r="S12" s="118">
        <v>25</v>
      </c>
      <c r="T12" s="118">
        <v>5</v>
      </c>
      <c r="U12" s="118">
        <v>26</v>
      </c>
      <c r="V12" s="118">
        <v>17</v>
      </c>
      <c r="W12" s="118">
        <v>15</v>
      </c>
      <c r="X12" s="118">
        <v>10</v>
      </c>
      <c r="Y12" s="118">
        <v>32</v>
      </c>
      <c r="Z12" s="118">
        <v>-1</v>
      </c>
      <c r="AA12" s="118">
        <v>19</v>
      </c>
      <c r="AB12" s="118">
        <v>22</v>
      </c>
      <c r="AC12" s="309">
        <f>Drivers!AC290</f>
        <v>19.494955995744352</v>
      </c>
      <c r="AD12" s="309">
        <f>Drivers!AD290</f>
        <v>15.850270019171404</v>
      </c>
      <c r="AE12" s="309">
        <f>Drivers!AE290</f>
        <v>19.078680383461229</v>
      </c>
      <c r="AF12" s="309">
        <f>Drivers!AF290</f>
        <v>20.943956198444425</v>
      </c>
      <c r="AG12" s="309">
        <f>Drivers!AG290</f>
        <v>20.861235175673784</v>
      </c>
      <c r="AH12" s="309">
        <f>Drivers!AH290</f>
        <v>20.237123072643467</v>
      </c>
      <c r="AI12" s="309">
        <f>Drivers!AI290</f>
        <v>19.850893908833608</v>
      </c>
      <c r="AJ12" s="309"/>
      <c r="AK12" s="309"/>
      <c r="AL12" s="309"/>
      <c r="AM12" s="309"/>
      <c r="AN12" s="309"/>
      <c r="AO12" s="309"/>
      <c r="AP12" s="309"/>
      <c r="AQ12" s="309"/>
      <c r="AS12" s="35"/>
      <c r="AT12" s="9" t="s">
        <v>396</v>
      </c>
      <c r="AU12" s="232">
        <f>SUM(D12:G12)</f>
        <v>219</v>
      </c>
      <c r="AV12" s="232">
        <f>SUM(H12:K12)</f>
        <v>227</v>
      </c>
      <c r="AW12" s="232">
        <f>SUM(L12:O12)</f>
        <v>192</v>
      </c>
      <c r="AX12" s="232">
        <f>SUM(P12:S12)</f>
        <v>90</v>
      </c>
      <c r="AY12" s="232">
        <f>SUM(T12:W12)</f>
        <v>63</v>
      </c>
      <c r="AZ12" s="232">
        <f>SUM(X12:AA12)</f>
        <v>60</v>
      </c>
      <c r="BA12" s="232">
        <f>SUM(AB12:AE12)</f>
        <v>76.423906398376985</v>
      </c>
      <c r="BB12" s="232">
        <f>SUM(AF12:AI12)</f>
        <v>81.893208355595291</v>
      </c>
      <c r="BC12" s="309">
        <f>Drivers!BC290</f>
        <v>88.136403562537268</v>
      </c>
      <c r="BD12" s="309">
        <f>Drivers!BD290</f>
        <v>92.998615046571558</v>
      </c>
      <c r="BE12" s="309">
        <f>Drivers!BE290</f>
        <v>95.317723352802204</v>
      </c>
    </row>
    <row r="13" spans="1:70" x14ac:dyDescent="0.2">
      <c r="B13" s="43"/>
      <c r="C13" s="25" t="s">
        <v>395</v>
      </c>
      <c r="D13" s="186">
        <f t="shared" ref="D13:X13" si="19">D24</f>
        <v>49</v>
      </c>
      <c r="E13" s="186">
        <f t="shared" si="19"/>
        <v>65</v>
      </c>
      <c r="F13" s="186">
        <f t="shared" si="19"/>
        <v>10</v>
      </c>
      <c r="G13" s="186">
        <f t="shared" si="19"/>
        <v>26</v>
      </c>
      <c r="H13" s="186">
        <f t="shared" si="19"/>
        <v>71</v>
      </c>
      <c r="I13" s="186">
        <f t="shared" si="19"/>
        <v>83</v>
      </c>
      <c r="J13" s="186">
        <f t="shared" si="19"/>
        <v>62</v>
      </c>
      <c r="K13" s="186">
        <f t="shared" si="19"/>
        <v>47</v>
      </c>
      <c r="L13" s="186">
        <f t="shared" si="19"/>
        <v>62</v>
      </c>
      <c r="M13" s="186">
        <f t="shared" si="19"/>
        <v>1</v>
      </c>
      <c r="N13" s="186">
        <f t="shared" si="19"/>
        <v>44</v>
      </c>
      <c r="O13" s="186">
        <f t="shared" si="19"/>
        <v>3</v>
      </c>
      <c r="P13" s="186">
        <f t="shared" si="19"/>
        <v>62</v>
      </c>
      <c r="Q13" s="186">
        <f t="shared" si="19"/>
        <v>64</v>
      </c>
      <c r="R13" s="186">
        <f t="shared" si="19"/>
        <v>56</v>
      </c>
      <c r="S13" s="186">
        <f t="shared" si="19"/>
        <v>42</v>
      </c>
      <c r="T13" s="186">
        <f t="shared" si="19"/>
        <v>40</v>
      </c>
      <c r="U13" s="186">
        <f t="shared" si="19"/>
        <v>53</v>
      </c>
      <c r="V13" s="186">
        <f t="shared" si="19"/>
        <v>53</v>
      </c>
      <c r="W13" s="186">
        <f t="shared" si="19"/>
        <v>49</v>
      </c>
      <c r="X13" s="186">
        <f t="shared" si="19"/>
        <v>55</v>
      </c>
      <c r="Y13" s="186">
        <f t="shared" ref="Y13:Z13" si="20">Y24</f>
        <v>48</v>
      </c>
      <c r="Z13" s="186">
        <f t="shared" si="20"/>
        <v>53</v>
      </c>
      <c r="AA13" s="186">
        <f t="shared" ref="AA13:AB13" si="21">AA24</f>
        <v>12</v>
      </c>
      <c r="AB13" s="186">
        <f t="shared" si="21"/>
        <v>22</v>
      </c>
      <c r="AC13" s="330">
        <f>Drivers!AC291</f>
        <v>36.553042492020666</v>
      </c>
      <c r="AD13" s="330">
        <f>Drivers!AD291</f>
        <v>32.916220415874676</v>
      </c>
      <c r="AE13" s="330">
        <f>Drivers!AE291</f>
        <v>25.85698018820953</v>
      </c>
      <c r="AF13" s="330">
        <f>Drivers!AF291</f>
        <v>32.153233355067655</v>
      </c>
      <c r="AG13" s="330">
        <f>Drivers!AG291</f>
        <v>35.285322506039009</v>
      </c>
      <c r="AH13" s="330">
        <f>Drivers!AH291</f>
        <v>33.285872359550396</v>
      </c>
      <c r="AI13" s="330">
        <f>Drivers!AI291</f>
        <v>30.975385772993292</v>
      </c>
      <c r="AJ13" s="1752"/>
      <c r="AK13" s="1752"/>
      <c r="AL13" s="1752"/>
      <c r="AM13" s="1752"/>
      <c r="AN13" s="1752"/>
      <c r="AO13" s="1752"/>
      <c r="AP13" s="1752"/>
      <c r="AQ13" s="1752"/>
      <c r="AS13" s="43"/>
      <c r="AT13" s="25" t="s">
        <v>395</v>
      </c>
      <c r="AU13" s="41">
        <f>SUM(D13:G13)</f>
        <v>150</v>
      </c>
      <c r="AV13" s="41">
        <f>SUM(H13:K13)</f>
        <v>263</v>
      </c>
      <c r="AW13" s="41">
        <f>SUM(L13:O13)</f>
        <v>110</v>
      </c>
      <c r="AX13" s="41">
        <f>SUM(P13:S13)</f>
        <v>224</v>
      </c>
      <c r="AY13" s="41">
        <f>SUM(T13:W13)</f>
        <v>195</v>
      </c>
      <c r="AZ13" s="41">
        <f>SUM(X13:AA13)</f>
        <v>168</v>
      </c>
      <c r="BA13" s="41">
        <f>SUM(AB13:AE13)</f>
        <v>117.32624309610488</v>
      </c>
      <c r="BB13" s="41">
        <f>SUM(AF13:AI13)</f>
        <v>131.69981399365037</v>
      </c>
      <c r="BC13" s="330">
        <f>Drivers!BC291</f>
        <v>141.74005620653381</v>
      </c>
      <c r="BD13" s="330">
        <f>Drivers!BD291</f>
        <v>149.55941462346846</v>
      </c>
      <c r="BE13" s="330">
        <f>Drivers!BE291</f>
        <v>153.28898070952886</v>
      </c>
    </row>
    <row r="14" spans="1:70" s="160" customFormat="1" x14ac:dyDescent="0.2">
      <c r="A14" s="829"/>
      <c r="B14" s="305" t="s">
        <v>627</v>
      </c>
      <c r="C14" s="59"/>
      <c r="D14" s="306">
        <f t="shared" ref="D14:AE14" si="22">D9-SUM(D11:D13)</f>
        <v>3329</v>
      </c>
      <c r="E14" s="306">
        <f t="shared" si="22"/>
        <v>2968</v>
      </c>
      <c r="F14" s="306">
        <f t="shared" si="22"/>
        <v>3272</v>
      </c>
      <c r="G14" s="306">
        <f t="shared" si="22"/>
        <v>1531</v>
      </c>
      <c r="H14" s="306">
        <f t="shared" si="22"/>
        <v>3929</v>
      </c>
      <c r="I14" s="306">
        <f t="shared" si="22"/>
        <v>3773</v>
      </c>
      <c r="J14" s="306">
        <f t="shared" si="22"/>
        <v>3010</v>
      </c>
      <c r="K14" s="306">
        <f t="shared" si="22"/>
        <v>2257</v>
      </c>
      <c r="L14" s="306">
        <f t="shared" si="22"/>
        <v>3927</v>
      </c>
      <c r="M14" s="306">
        <f t="shared" si="22"/>
        <v>122</v>
      </c>
      <c r="N14" s="306">
        <f t="shared" si="22"/>
        <v>2913</v>
      </c>
      <c r="O14" s="306">
        <f t="shared" si="22"/>
        <v>179</v>
      </c>
      <c r="P14" s="306">
        <f t="shared" si="22"/>
        <v>4632</v>
      </c>
      <c r="Q14" s="306">
        <f t="shared" si="22"/>
        <v>4378</v>
      </c>
      <c r="R14" s="306">
        <f t="shared" si="22"/>
        <v>3944</v>
      </c>
      <c r="S14" s="306">
        <f t="shared" si="22"/>
        <v>3187</v>
      </c>
      <c r="T14" s="306">
        <f t="shared" si="22"/>
        <v>3253</v>
      </c>
      <c r="U14" s="306">
        <f t="shared" si="22"/>
        <v>3646</v>
      </c>
      <c r="V14" s="306">
        <f t="shared" si="22"/>
        <v>3592</v>
      </c>
      <c r="W14" s="306">
        <f t="shared" si="22"/>
        <v>3207</v>
      </c>
      <c r="X14" s="306">
        <f t="shared" si="22"/>
        <v>3752</v>
      </c>
      <c r="Y14" s="306">
        <f t="shared" ref="Y14:Z14" si="23">Y9-SUM(Y11:Y13)</f>
        <v>3483</v>
      </c>
      <c r="Z14" s="306">
        <f t="shared" si="23"/>
        <v>3813</v>
      </c>
      <c r="AA14" s="306">
        <f t="shared" ref="AA14:AB14" si="24">AA9-SUM(AA11:AA13)</f>
        <v>3478</v>
      </c>
      <c r="AB14" s="306">
        <f t="shared" si="24"/>
        <v>4304</v>
      </c>
      <c r="AC14" s="306">
        <f t="shared" si="22"/>
        <v>4093.0045573148786</v>
      </c>
      <c r="AD14" s="306">
        <f t="shared" si="22"/>
        <v>4232.1259501025334</v>
      </c>
      <c r="AE14" s="306">
        <f t="shared" si="22"/>
        <v>4014.302919566629</v>
      </c>
      <c r="AF14" s="306">
        <f t="shared" ref="AF14:AI14" si="25">AF9-SUM(AF11:AF13)</f>
        <v>4585.5374463421449</v>
      </c>
      <c r="AG14" s="306">
        <f t="shared" si="25"/>
        <v>4670.5109981837386</v>
      </c>
      <c r="AH14" s="306">
        <f t="shared" si="25"/>
        <v>4636.9054259390678</v>
      </c>
      <c r="AI14" s="306">
        <f t="shared" si="25"/>
        <v>4345.0580880086391</v>
      </c>
      <c r="AJ14" s="306"/>
      <c r="AK14" s="306"/>
      <c r="AL14" s="306"/>
      <c r="AM14" s="306"/>
      <c r="AN14" s="306"/>
      <c r="AO14" s="306"/>
      <c r="AP14" s="306"/>
      <c r="AQ14" s="306"/>
      <c r="AR14" s="70"/>
      <c r="AS14" s="305" t="s">
        <v>627</v>
      </c>
      <c r="AT14" s="59"/>
      <c r="AU14" s="306">
        <f t="shared" ref="AU14:BD14" si="26">AU9-SUM(AU11:AU13)</f>
        <v>11100</v>
      </c>
      <c r="AV14" s="306">
        <f t="shared" si="26"/>
        <v>12969</v>
      </c>
      <c r="AW14" s="306">
        <f t="shared" si="26"/>
        <v>7141</v>
      </c>
      <c r="AX14" s="306">
        <f t="shared" si="26"/>
        <v>16141</v>
      </c>
      <c r="AY14" s="306">
        <f t="shared" si="26"/>
        <v>13698</v>
      </c>
      <c r="AZ14" s="306">
        <f t="shared" si="26"/>
        <v>14526</v>
      </c>
      <c r="BA14" s="306">
        <f t="shared" si="26"/>
        <v>16643.433426984044</v>
      </c>
      <c r="BB14" s="306">
        <f t="shared" ref="BB14" si="27">BB9-SUM(BB11:BB13)</f>
        <v>18238.011958473588</v>
      </c>
      <c r="BC14" s="306">
        <f t="shared" si="26"/>
        <v>19727.965572865374</v>
      </c>
      <c r="BD14" s="306">
        <f t="shared" si="26"/>
        <v>20888.344086501922</v>
      </c>
      <c r="BE14" s="306">
        <f t="shared" ref="BE14" si="28">BE9-SUM(BE11:BE13)</f>
        <v>21441.804884779103</v>
      </c>
      <c r="BM14"/>
      <c r="BN14"/>
      <c r="BO14"/>
      <c r="BP14"/>
      <c r="BQ14"/>
      <c r="BR14"/>
    </row>
    <row r="15" spans="1:70" s="160" customFormat="1" x14ac:dyDescent="0.2">
      <c r="A15" s="829"/>
      <c r="B15" s="305"/>
      <c r="C15" s="59"/>
      <c r="D15" s="306"/>
      <c r="E15" s="306"/>
      <c r="F15" s="306"/>
      <c r="G15" s="306"/>
      <c r="H15" s="306"/>
      <c r="I15" s="306"/>
      <c r="J15" s="306"/>
      <c r="K15" s="306"/>
      <c r="L15" s="306"/>
      <c r="M15" s="306"/>
      <c r="N15" s="306"/>
      <c r="O15" s="306"/>
      <c r="P15" s="306"/>
      <c r="Q15" s="306"/>
      <c r="R15" s="306"/>
      <c r="S15" s="306"/>
      <c r="T15" s="306"/>
      <c r="U15" s="306"/>
      <c r="V15" s="306"/>
      <c r="W15" s="306"/>
      <c r="X15" s="306"/>
      <c r="Y15" s="306"/>
      <c r="Z15" s="306"/>
      <c r="AA15" s="306"/>
      <c r="AB15" s="306"/>
      <c r="AC15" s="306"/>
      <c r="AD15" s="306"/>
      <c r="AE15" s="306"/>
      <c r="AF15" s="306"/>
      <c r="AG15" s="306"/>
      <c r="AH15" s="306"/>
      <c r="AI15" s="306"/>
      <c r="AJ15" s="306"/>
      <c r="AK15" s="306"/>
      <c r="AL15" s="306"/>
      <c r="AM15" s="306"/>
      <c r="AN15" s="306"/>
      <c r="AO15" s="306"/>
      <c r="AP15" s="306"/>
      <c r="AQ15" s="306"/>
      <c r="AR15" s="70"/>
      <c r="AS15" s="305"/>
      <c r="AT15" s="59"/>
      <c r="AU15" s="306"/>
      <c r="AV15" s="306"/>
      <c r="AW15" s="306"/>
      <c r="AX15" s="306"/>
      <c r="AY15" s="306"/>
      <c r="AZ15" s="306"/>
      <c r="BA15" s="306"/>
      <c r="BB15" s="306"/>
      <c r="BC15" s="306"/>
      <c r="BD15" s="306"/>
      <c r="BE15" s="306"/>
      <c r="BM15"/>
      <c r="BN15"/>
      <c r="BO15"/>
      <c r="BP15"/>
      <c r="BQ15"/>
      <c r="BR15"/>
    </row>
    <row r="16" spans="1:70" x14ac:dyDescent="0.2">
      <c r="B16" s="321" t="s">
        <v>672</v>
      </c>
      <c r="C16" s="427"/>
      <c r="D16" s="903">
        <f>23-1-10</f>
        <v>12</v>
      </c>
      <c r="E16" s="903">
        <f>5+0+2</f>
        <v>7</v>
      </c>
      <c r="F16" s="903">
        <f>-1+0+9</f>
        <v>8</v>
      </c>
      <c r="G16" s="903">
        <f>-136+51</f>
        <v>-85</v>
      </c>
      <c r="H16" s="903">
        <f>-103+56+14</f>
        <v>-33</v>
      </c>
      <c r="I16" s="903">
        <f>51+0-21</f>
        <v>30</v>
      </c>
      <c r="J16" s="903">
        <f>33+6+53</f>
        <v>92</v>
      </c>
      <c r="K16" s="903">
        <f>-223+206+198</f>
        <v>181</v>
      </c>
      <c r="L16" s="903">
        <f>40+0-3</f>
        <v>37</v>
      </c>
      <c r="M16" s="903">
        <f>-3+0-19</f>
        <v>-22</v>
      </c>
      <c r="N16" s="903">
        <f>-25+0+9</f>
        <v>-16</v>
      </c>
      <c r="O16" s="903">
        <f>-2+0+1</f>
        <v>-1</v>
      </c>
      <c r="P16" s="903">
        <f>-8+0+3</f>
        <v>-5</v>
      </c>
      <c r="Q16" s="903">
        <f>9+0-3</f>
        <v>6</v>
      </c>
      <c r="R16" s="903">
        <f>-15+0+5</f>
        <v>-10</v>
      </c>
      <c r="S16" s="903">
        <f>-69+0+24</f>
        <v>-45</v>
      </c>
      <c r="T16" s="903">
        <f>-3+1</f>
        <v>-2</v>
      </c>
      <c r="U16" s="903">
        <f>-36+13</f>
        <v>-23</v>
      </c>
      <c r="V16" s="903">
        <f>-37+7</f>
        <v>-30</v>
      </c>
      <c r="W16" s="903">
        <f>-4+1</f>
        <v>-3</v>
      </c>
      <c r="X16" s="903">
        <f>-28+10</f>
        <v>-18</v>
      </c>
      <c r="Y16" s="903">
        <v>21</v>
      </c>
      <c r="Z16" s="903">
        <v>-5</v>
      </c>
      <c r="AA16" s="903">
        <v>-109</v>
      </c>
      <c r="AB16" s="903">
        <v>-7</v>
      </c>
      <c r="AC16" s="428">
        <f>Drivers!AC293</f>
        <v>0</v>
      </c>
      <c r="AD16" s="428">
        <f>Drivers!AD293</f>
        <v>0</v>
      </c>
      <c r="AE16" s="428">
        <f>Drivers!AE293</f>
        <v>0</v>
      </c>
      <c r="AF16" s="428">
        <f>Drivers!AF293</f>
        <v>0</v>
      </c>
      <c r="AG16" s="428">
        <f>Drivers!AG293</f>
        <v>0</v>
      </c>
      <c r="AH16" s="428">
        <f>Drivers!AH293</f>
        <v>0</v>
      </c>
      <c r="AI16" s="428">
        <f>Drivers!AI293</f>
        <v>0</v>
      </c>
      <c r="AJ16" s="428"/>
      <c r="AK16" s="428"/>
      <c r="AL16" s="428"/>
      <c r="AM16" s="428"/>
      <c r="AN16" s="428"/>
      <c r="AO16" s="428"/>
      <c r="AP16" s="428"/>
      <c r="AQ16" s="428"/>
      <c r="AS16" s="321" t="s">
        <v>400</v>
      </c>
      <c r="AT16" s="427"/>
      <c r="AU16" s="232">
        <f>SUM(D16:G16)</f>
        <v>-58</v>
      </c>
      <c r="AV16" s="232">
        <f>SUM(H16:K16)</f>
        <v>270</v>
      </c>
      <c r="AW16" s="232">
        <f>SUM(L16:O16)</f>
        <v>-2</v>
      </c>
      <c r="AX16" s="232">
        <f>SUM(P16:S16)</f>
        <v>-54</v>
      </c>
      <c r="AY16" s="232">
        <f>SUM(T16:W16)</f>
        <v>-58</v>
      </c>
      <c r="AZ16" s="232">
        <f>SUM(X16:AA16)</f>
        <v>-111</v>
      </c>
      <c r="BA16" s="232">
        <f>SUM(AB16:AE16)</f>
        <v>-7</v>
      </c>
      <c r="BB16" s="232">
        <f>SUM(AF16:AI16)</f>
        <v>0</v>
      </c>
      <c r="BC16" s="428">
        <f>Drivers!BC293</f>
        <v>0</v>
      </c>
      <c r="BD16" s="428">
        <f>Drivers!BD293</f>
        <v>0</v>
      </c>
      <c r="BE16" s="428">
        <f>Drivers!BE293</f>
        <v>0</v>
      </c>
    </row>
    <row r="17" spans="1:57" x14ac:dyDescent="0.2">
      <c r="B17" s="35"/>
      <c r="Y17" s="1215"/>
      <c r="Z17" s="1688"/>
      <c r="AA17" s="1742"/>
      <c r="AB17" s="1785"/>
      <c r="AS17" s="35"/>
      <c r="AT17" s="9"/>
      <c r="AU17" s="232"/>
      <c r="AV17" s="232"/>
      <c r="AW17" s="232"/>
      <c r="AX17" s="232"/>
      <c r="AY17" s="232"/>
      <c r="AZ17" s="232"/>
      <c r="BA17" s="232"/>
      <c r="BB17" s="232"/>
    </row>
    <row r="18" spans="1:57" x14ac:dyDescent="0.2">
      <c r="B18" s="35" t="s">
        <v>538</v>
      </c>
      <c r="D18" s="33">
        <f>D1574</f>
        <v>-800</v>
      </c>
      <c r="E18" s="33">
        <f t="shared" ref="E18:AE18" si="29">E1574</f>
        <v>140</v>
      </c>
      <c r="F18" s="33">
        <f t="shared" si="29"/>
        <v>-485</v>
      </c>
      <c r="G18" s="33">
        <f t="shared" si="29"/>
        <v>-301</v>
      </c>
      <c r="H18" s="33">
        <f t="shared" si="29"/>
        <v>-198</v>
      </c>
      <c r="I18" s="33">
        <f t="shared" si="29"/>
        <v>293</v>
      </c>
      <c r="J18" s="33">
        <f t="shared" si="29"/>
        <v>-208</v>
      </c>
      <c r="K18" s="33">
        <f t="shared" si="29"/>
        <v>-100</v>
      </c>
      <c r="L18" s="33">
        <f t="shared" si="29"/>
        <v>4</v>
      </c>
      <c r="M18" s="33">
        <f t="shared" si="29"/>
        <v>-20</v>
      </c>
      <c r="N18" s="33">
        <f t="shared" si="29"/>
        <v>-228</v>
      </c>
      <c r="O18" s="33">
        <f t="shared" si="29"/>
        <v>4</v>
      </c>
      <c r="P18" s="33">
        <f t="shared" si="29"/>
        <v>-47</v>
      </c>
      <c r="Q18" s="33">
        <f t="shared" si="29"/>
        <v>196</v>
      </c>
      <c r="R18" s="33">
        <f t="shared" si="29"/>
        <v>127</v>
      </c>
      <c r="S18" s="33">
        <f t="shared" si="29"/>
        <v>-114</v>
      </c>
      <c r="T18" s="33">
        <f t="shared" si="29"/>
        <v>0</v>
      </c>
      <c r="U18" s="33">
        <f t="shared" si="29"/>
        <v>0</v>
      </c>
      <c r="V18" s="33">
        <f t="shared" si="29"/>
        <v>0</v>
      </c>
      <c r="W18" s="33">
        <f t="shared" si="29"/>
        <v>0</v>
      </c>
      <c r="X18" s="33">
        <f t="shared" si="29"/>
        <v>0</v>
      </c>
      <c r="Y18" s="33">
        <f t="shared" ref="Y18:Z18" si="30">Y1574</f>
        <v>0</v>
      </c>
      <c r="Z18" s="33">
        <f t="shared" si="30"/>
        <v>0</v>
      </c>
      <c r="AA18" s="33">
        <f t="shared" ref="AA18:AB18" si="31">AA1574</f>
        <v>0</v>
      </c>
      <c r="AB18" s="33">
        <f t="shared" si="31"/>
        <v>0</v>
      </c>
      <c r="AC18" s="33">
        <f t="shared" si="29"/>
        <v>0</v>
      </c>
      <c r="AD18" s="33">
        <f t="shared" si="29"/>
        <v>0</v>
      </c>
      <c r="AE18" s="33">
        <f t="shared" si="29"/>
        <v>0</v>
      </c>
      <c r="AF18" s="33">
        <f t="shared" ref="AF18:AI18" si="32">AF1574</f>
        <v>0</v>
      </c>
      <c r="AG18" s="33">
        <f t="shared" si="32"/>
        <v>0</v>
      </c>
      <c r="AH18" s="33">
        <f t="shared" si="32"/>
        <v>0</v>
      </c>
      <c r="AI18" s="33">
        <f t="shared" si="32"/>
        <v>0</v>
      </c>
      <c r="AJ18" s="33"/>
      <c r="AK18" s="33"/>
      <c r="AL18" s="33"/>
      <c r="AM18" s="33"/>
      <c r="AN18" s="33"/>
      <c r="AO18" s="33"/>
      <c r="AP18" s="33"/>
      <c r="AQ18" s="33"/>
      <c r="AS18" s="35" t="s">
        <v>538</v>
      </c>
      <c r="AT18" s="9"/>
      <c r="AU18" s="232">
        <f>SUM(D18:G18)</f>
        <v>-1446</v>
      </c>
      <c r="AV18" s="232">
        <f>SUM(H18:K18)</f>
        <v>-213</v>
      </c>
      <c r="AW18" s="232">
        <f>SUM(L18:O18)</f>
        <v>-240</v>
      </c>
      <c r="AX18" s="232">
        <f>SUM(P18:S18)</f>
        <v>162</v>
      </c>
      <c r="AY18" s="232">
        <f>SUM(T18:W18)</f>
        <v>0</v>
      </c>
      <c r="AZ18" s="232">
        <f>SUM(X18:AA18)</f>
        <v>0</v>
      </c>
      <c r="BA18" s="232">
        <f>SUM(AB18:AE18)</f>
        <v>0</v>
      </c>
      <c r="BB18" s="232">
        <f>SUM(AF18:AI18)</f>
        <v>0</v>
      </c>
      <c r="BC18" s="33">
        <f t="shared" ref="BC18:BE18" si="33">BC1574</f>
        <v>0</v>
      </c>
      <c r="BD18" s="33">
        <f t="shared" si="33"/>
        <v>0</v>
      </c>
      <c r="BE18" s="33">
        <f t="shared" si="33"/>
        <v>0</v>
      </c>
    </row>
    <row r="19" spans="1:57" x14ac:dyDescent="0.2">
      <c r="B19" s="90" t="s">
        <v>403</v>
      </c>
      <c r="D19" s="826">
        <v>308</v>
      </c>
      <c r="E19" s="826">
        <v>-274</v>
      </c>
      <c r="F19" s="826">
        <v>-2315</v>
      </c>
      <c r="G19" s="924">
        <v>0</v>
      </c>
      <c r="H19" s="924">
        <v>0</v>
      </c>
      <c r="I19" s="924">
        <v>0</v>
      </c>
      <c r="J19" s="826">
        <v>176</v>
      </c>
      <c r="K19" s="924">
        <v>0</v>
      </c>
      <c r="L19" s="826">
        <v>-210</v>
      </c>
      <c r="M19" s="924">
        <v>0</v>
      </c>
      <c r="N19" s="924">
        <v>0</v>
      </c>
      <c r="O19" s="924">
        <v>0</v>
      </c>
      <c r="P19" s="924">
        <v>0</v>
      </c>
      <c r="Q19" s="924">
        <v>0</v>
      </c>
      <c r="R19" s="924">
        <v>0</v>
      </c>
      <c r="S19" s="924">
        <v>0</v>
      </c>
      <c r="T19" s="924">
        <v>0</v>
      </c>
      <c r="U19" s="924">
        <v>0</v>
      </c>
      <c r="V19" s="924">
        <v>0</v>
      </c>
      <c r="W19" s="924">
        <v>0</v>
      </c>
      <c r="X19" s="924">
        <v>0</v>
      </c>
      <c r="Y19" s="924">
        <v>0</v>
      </c>
      <c r="Z19" s="924">
        <v>0</v>
      </c>
      <c r="AA19" s="1776">
        <v>-22594</v>
      </c>
      <c r="AB19" s="924">
        <v>0</v>
      </c>
      <c r="AC19" s="185">
        <v>0</v>
      </c>
      <c r="AD19" s="185">
        <v>0</v>
      </c>
      <c r="AE19" s="185">
        <v>0</v>
      </c>
      <c r="AF19" s="185">
        <v>0</v>
      </c>
      <c r="AG19" s="185">
        <v>0</v>
      </c>
      <c r="AH19" s="185">
        <v>0</v>
      </c>
      <c r="AI19" s="185">
        <v>0</v>
      </c>
      <c r="AJ19" s="185"/>
      <c r="AK19" s="185"/>
      <c r="AL19" s="185"/>
      <c r="AM19" s="185"/>
      <c r="AN19" s="185"/>
      <c r="AO19" s="185"/>
      <c r="AP19" s="185"/>
      <c r="AQ19" s="185"/>
      <c r="AS19" s="90" t="s">
        <v>403</v>
      </c>
      <c r="AT19" s="9"/>
      <c r="AU19" s="232">
        <f>SUM(D19:G19)</f>
        <v>-2281</v>
      </c>
      <c r="AV19" s="232">
        <f>SUM(H19:K19)</f>
        <v>176</v>
      </c>
      <c r="AW19" s="232">
        <f>SUM(L19:O19)</f>
        <v>-210</v>
      </c>
      <c r="AX19" s="232">
        <f>SUM(P19:S19)</f>
        <v>0</v>
      </c>
      <c r="AY19" s="232">
        <f>SUM(T19:W19)</f>
        <v>0</v>
      </c>
      <c r="AZ19" s="232">
        <f>SUM(X19:AA19)</f>
        <v>-22594</v>
      </c>
      <c r="BA19" s="232">
        <f>SUM(AB19:AE19)</f>
        <v>0</v>
      </c>
      <c r="BB19" s="232">
        <f>SUM(AF19:AI19)</f>
        <v>0</v>
      </c>
      <c r="BC19" s="428">
        <f>BB19</f>
        <v>0</v>
      </c>
      <c r="BD19" s="428">
        <f>BC19</f>
        <v>0</v>
      </c>
      <c r="BE19" s="428">
        <f>BD19</f>
        <v>0</v>
      </c>
    </row>
    <row r="20" spans="1:57" x14ac:dyDescent="0.2">
      <c r="D20" s="33"/>
      <c r="E20" s="33"/>
      <c r="F20" s="33"/>
      <c r="G20" s="33"/>
      <c r="H20" s="33"/>
      <c r="I20" s="33"/>
      <c r="J20" s="33"/>
      <c r="K20" s="33"/>
      <c r="L20" s="33"/>
      <c r="M20" s="33"/>
      <c r="N20" s="33"/>
      <c r="O20" s="33"/>
      <c r="P20" s="33"/>
      <c r="Q20" s="33"/>
      <c r="R20" s="33"/>
      <c r="S20" s="33"/>
      <c r="T20" s="33"/>
      <c r="U20" s="33"/>
      <c r="V20" s="33"/>
      <c r="W20" s="33"/>
      <c r="X20" s="33"/>
      <c r="Y20" s="33"/>
      <c r="Z20" s="33"/>
      <c r="AA20" s="33"/>
      <c r="AB20" s="33"/>
      <c r="AC20" s="33"/>
      <c r="AD20" s="33"/>
      <c r="AE20" s="33"/>
      <c r="AF20" s="33"/>
      <c r="AG20" s="33"/>
      <c r="AH20" s="33"/>
      <c r="AI20" s="33"/>
      <c r="AJ20" s="33"/>
      <c r="AK20" s="33"/>
      <c r="AL20" s="33"/>
      <c r="AM20" s="33"/>
      <c r="AN20" s="33"/>
      <c r="AO20" s="33"/>
      <c r="AP20" s="33"/>
      <c r="AQ20" s="33"/>
      <c r="AS20" s="10"/>
      <c r="AT20" s="9"/>
    </row>
    <row r="21" spans="1:57" x14ac:dyDescent="0.2">
      <c r="B21" s="35" t="s">
        <v>629</v>
      </c>
      <c r="D21" s="33">
        <f>D9+D18+D19-D12+D16</f>
        <v>2902</v>
      </c>
      <c r="E21" s="33">
        <f t="shared" ref="E21:AE21" si="34">E9+E18+E19-E12+E16</f>
        <v>2915</v>
      </c>
      <c r="F21" s="33">
        <f t="shared" si="34"/>
        <v>494</v>
      </c>
      <c r="G21" s="33">
        <f t="shared" si="34"/>
        <v>1180</v>
      </c>
      <c r="H21" s="33">
        <f t="shared" si="34"/>
        <v>3773</v>
      </c>
      <c r="I21" s="33">
        <f t="shared" si="34"/>
        <v>4188</v>
      </c>
      <c r="J21" s="33">
        <f t="shared" si="34"/>
        <v>3242</v>
      </c>
      <c r="K21" s="33">
        <f t="shared" si="34"/>
        <v>2456</v>
      </c>
      <c r="L21" s="33">
        <f t="shared" si="34"/>
        <v>3944</v>
      </c>
      <c r="M21" s="33">
        <f t="shared" si="34"/>
        <v>181</v>
      </c>
      <c r="N21" s="33">
        <f t="shared" si="34"/>
        <v>2841</v>
      </c>
      <c r="O21" s="33">
        <f t="shared" si="34"/>
        <v>344</v>
      </c>
      <c r="P21" s="33">
        <f t="shared" si="34"/>
        <v>4770</v>
      </c>
      <c r="Q21" s="33">
        <f t="shared" si="34"/>
        <v>4846</v>
      </c>
      <c r="R21" s="33">
        <f t="shared" si="34"/>
        <v>4291</v>
      </c>
      <c r="S21" s="33">
        <f t="shared" si="34"/>
        <v>3335</v>
      </c>
      <c r="T21" s="33">
        <f t="shared" si="34"/>
        <v>3501</v>
      </c>
      <c r="U21" s="33">
        <f t="shared" si="34"/>
        <v>3998</v>
      </c>
      <c r="V21" s="33">
        <f t="shared" si="34"/>
        <v>3840</v>
      </c>
      <c r="W21" s="33">
        <f t="shared" si="34"/>
        <v>3573</v>
      </c>
      <c r="X21" s="33">
        <f t="shared" si="34"/>
        <v>4090</v>
      </c>
      <c r="Y21" s="33">
        <f t="shared" ref="Y21:Z21" si="35">Y9+Y18+Y19-Y12+Y16</f>
        <v>3872</v>
      </c>
      <c r="Z21" s="33">
        <f t="shared" si="35"/>
        <v>4133</v>
      </c>
      <c r="AA21" s="33">
        <f t="shared" ref="AA21:AB21" si="36">AA9+AA18+AA19-AA12+AA16</f>
        <v>-18893</v>
      </c>
      <c r="AB21" s="33">
        <f t="shared" si="36"/>
        <v>4620</v>
      </c>
      <c r="AC21" s="33">
        <f t="shared" si="34"/>
        <v>4447.5575998068998</v>
      </c>
      <c r="AD21" s="33">
        <f t="shared" si="34"/>
        <v>4535.0421705184081</v>
      </c>
      <c r="AE21" s="33">
        <f t="shared" si="34"/>
        <v>4353.159899754839</v>
      </c>
      <c r="AF21" s="33">
        <f t="shared" ref="AF21:AI21" si="37">AF9+AF18+AF19-AF12+AF16</f>
        <v>4922.6906796972125</v>
      </c>
      <c r="AG21" s="33">
        <f t="shared" si="37"/>
        <v>5053.7963206897775</v>
      </c>
      <c r="AH21" s="33">
        <f t="shared" si="37"/>
        <v>4975.1912982986187</v>
      </c>
      <c r="AI21" s="33">
        <f t="shared" si="37"/>
        <v>4724.0334737816329</v>
      </c>
      <c r="AJ21" s="33"/>
      <c r="AK21" s="33"/>
      <c r="AL21" s="33"/>
      <c r="AM21" s="33"/>
      <c r="AN21" s="33"/>
      <c r="AO21" s="33"/>
      <c r="AP21" s="33"/>
      <c r="AQ21" s="33"/>
      <c r="AS21" s="35" t="s">
        <v>629</v>
      </c>
      <c r="AU21" s="33">
        <f t="shared" ref="AU21:BD21" si="38">AU9+AU18-AU12+AU16</f>
        <v>9772</v>
      </c>
      <c r="AV21" s="33">
        <f t="shared" si="38"/>
        <v>13483</v>
      </c>
      <c r="AW21" s="33">
        <f t="shared" si="38"/>
        <v>7520</v>
      </c>
      <c r="AX21" s="33">
        <f t="shared" si="38"/>
        <v>17242</v>
      </c>
      <c r="AY21" s="33">
        <f t="shared" si="38"/>
        <v>14912</v>
      </c>
      <c r="AZ21" s="33">
        <f t="shared" si="38"/>
        <v>15796</v>
      </c>
      <c r="BA21" s="33">
        <f t="shared" si="38"/>
        <v>17955.759670080148</v>
      </c>
      <c r="BB21" s="33">
        <f t="shared" ref="BB21" si="39">BB9+BB18-BB12+BB16</f>
        <v>19675.711772467239</v>
      </c>
      <c r="BC21" s="33">
        <f t="shared" si="38"/>
        <v>21175.705629071908</v>
      </c>
      <c r="BD21" s="33">
        <f t="shared" si="38"/>
        <v>22343.903501125391</v>
      </c>
      <c r="BE21" s="33">
        <f t="shared" ref="BE21" si="40">BE9+BE18-BE12+BE16</f>
        <v>22901.093865488634</v>
      </c>
    </row>
    <row r="22" spans="1:57" x14ac:dyDescent="0.2">
      <c r="B22" s="35" t="s">
        <v>630</v>
      </c>
      <c r="D22" s="33">
        <f t="shared" ref="D22:AE22" si="41">D21-D11</f>
        <v>2898</v>
      </c>
      <c r="E22" s="33">
        <f t="shared" si="41"/>
        <v>2906</v>
      </c>
      <c r="F22" s="33">
        <f t="shared" si="41"/>
        <v>490</v>
      </c>
      <c r="G22" s="33">
        <f t="shared" si="41"/>
        <v>1171</v>
      </c>
      <c r="H22" s="33">
        <f t="shared" si="41"/>
        <v>3769</v>
      </c>
      <c r="I22" s="33">
        <f t="shared" si="41"/>
        <v>4179</v>
      </c>
      <c r="J22" s="33">
        <f t="shared" si="41"/>
        <v>3132</v>
      </c>
      <c r="K22" s="33">
        <f t="shared" si="41"/>
        <v>2385</v>
      </c>
      <c r="L22" s="33">
        <f t="shared" si="41"/>
        <v>3820</v>
      </c>
      <c r="M22" s="33">
        <f t="shared" si="41"/>
        <v>81</v>
      </c>
      <c r="N22" s="33">
        <f t="shared" si="41"/>
        <v>2713</v>
      </c>
      <c r="O22" s="33">
        <f t="shared" si="41"/>
        <v>185</v>
      </c>
      <c r="P22" s="33">
        <f t="shared" si="41"/>
        <v>4642</v>
      </c>
      <c r="Q22" s="33">
        <f t="shared" si="41"/>
        <v>4644</v>
      </c>
      <c r="R22" s="33">
        <f t="shared" si="41"/>
        <v>4117</v>
      </c>
      <c r="S22" s="33">
        <f t="shared" si="41"/>
        <v>3070</v>
      </c>
      <c r="T22" s="33">
        <f t="shared" si="41"/>
        <v>3291</v>
      </c>
      <c r="U22" s="33">
        <f t="shared" si="41"/>
        <v>3676</v>
      </c>
      <c r="V22" s="33">
        <f t="shared" si="41"/>
        <v>3615</v>
      </c>
      <c r="W22" s="33">
        <f t="shared" si="41"/>
        <v>3253</v>
      </c>
      <c r="X22" s="33">
        <f t="shared" si="41"/>
        <v>3789</v>
      </c>
      <c r="Y22" s="33">
        <f t="shared" ref="Y22:Z22" si="42">Y21-Y11</f>
        <v>3552</v>
      </c>
      <c r="Z22" s="33">
        <f t="shared" si="42"/>
        <v>3861</v>
      </c>
      <c r="AA22" s="33">
        <f t="shared" ref="AA22:AB22" si="43">AA21-AA11</f>
        <v>-19213</v>
      </c>
      <c r="AB22" s="33">
        <f t="shared" si="43"/>
        <v>4319</v>
      </c>
      <c r="AC22" s="33">
        <f t="shared" si="41"/>
        <v>4129.5575998068998</v>
      </c>
      <c r="AD22" s="33">
        <f t="shared" si="41"/>
        <v>4265.0421705184081</v>
      </c>
      <c r="AE22" s="33">
        <f t="shared" si="41"/>
        <v>4040.159899754839</v>
      </c>
      <c r="AF22" s="33">
        <f t="shared" ref="AF22:AI22" si="44">AF21-AF11</f>
        <v>4617.6906796972125</v>
      </c>
      <c r="AG22" s="33">
        <f t="shared" si="44"/>
        <v>4705.7963206897775</v>
      </c>
      <c r="AH22" s="33">
        <f t="shared" si="44"/>
        <v>4670.1912982986187</v>
      </c>
      <c r="AI22" s="33">
        <f t="shared" si="44"/>
        <v>4376.0334737816329</v>
      </c>
      <c r="AJ22" s="33"/>
      <c r="AK22" s="33"/>
      <c r="AL22" s="33"/>
      <c r="AM22" s="33"/>
      <c r="AN22" s="33"/>
      <c r="AO22" s="33"/>
      <c r="AP22" s="33"/>
      <c r="AQ22" s="33"/>
      <c r="AS22" s="35" t="s">
        <v>630</v>
      </c>
      <c r="AU22" s="33">
        <f t="shared" ref="AU22:BD22" si="45">AU21-AU11</f>
        <v>9746</v>
      </c>
      <c r="AV22" s="33">
        <f t="shared" si="45"/>
        <v>13289</v>
      </c>
      <c r="AW22" s="33">
        <f t="shared" si="45"/>
        <v>7009</v>
      </c>
      <c r="AX22" s="33">
        <f t="shared" si="45"/>
        <v>16473</v>
      </c>
      <c r="AY22" s="33">
        <f t="shared" si="45"/>
        <v>13835</v>
      </c>
      <c r="AZ22" s="33">
        <f t="shared" si="45"/>
        <v>14583</v>
      </c>
      <c r="BA22" s="33">
        <f t="shared" si="45"/>
        <v>16753.759670080148</v>
      </c>
      <c r="BB22" s="33">
        <f t="shared" ref="BB22" si="46">BB21-BB11</f>
        <v>18369.711772467239</v>
      </c>
      <c r="BC22" s="33">
        <f t="shared" si="45"/>
        <v>19869.705629071908</v>
      </c>
      <c r="BD22" s="33">
        <f t="shared" si="45"/>
        <v>21037.903501125391</v>
      </c>
      <c r="BE22" s="33">
        <f t="shared" ref="BE22" si="47">BE21-BE11</f>
        <v>21595.093865488634</v>
      </c>
    </row>
    <row r="23" spans="1:57" x14ac:dyDescent="0.2">
      <c r="B23" s="43" t="s">
        <v>628</v>
      </c>
      <c r="C23" s="25"/>
      <c r="D23" s="430">
        <v>2849</v>
      </c>
      <c r="E23" s="430">
        <v>2841</v>
      </c>
      <c r="F23" s="430">
        <v>480</v>
      </c>
      <c r="G23" s="430">
        <v>1145</v>
      </c>
      <c r="H23" s="430">
        <v>3698</v>
      </c>
      <c r="I23" s="430">
        <v>4096</v>
      </c>
      <c r="J23" s="430">
        <v>3070</v>
      </c>
      <c r="K23" s="430">
        <v>2338</v>
      </c>
      <c r="L23" s="430">
        <v>3758</v>
      </c>
      <c r="M23" s="430">
        <v>80</v>
      </c>
      <c r="N23" s="430">
        <v>2669</v>
      </c>
      <c r="O23" s="430">
        <v>182</v>
      </c>
      <c r="P23" s="430">
        <v>4580</v>
      </c>
      <c r="Q23" s="430">
        <v>4580</v>
      </c>
      <c r="R23" s="430">
        <v>4061</v>
      </c>
      <c r="S23" s="430">
        <v>3028</v>
      </c>
      <c r="T23" s="430">
        <v>3251</v>
      </c>
      <c r="U23" s="430">
        <v>3623</v>
      </c>
      <c r="V23" s="430">
        <v>3562</v>
      </c>
      <c r="W23" s="430">
        <v>3204</v>
      </c>
      <c r="X23" s="430">
        <v>3734</v>
      </c>
      <c r="Y23" s="430">
        <v>3504</v>
      </c>
      <c r="Z23" s="430">
        <v>3808</v>
      </c>
      <c r="AA23" s="430">
        <f>-18631-594</f>
        <v>-19225</v>
      </c>
      <c r="AB23" s="430">
        <v>4297</v>
      </c>
      <c r="AC23" s="132">
        <f t="shared" ref="AC23:AE23" si="48">AC22-AC24</f>
        <v>4093.0045573148791</v>
      </c>
      <c r="AD23" s="132">
        <f t="shared" si="48"/>
        <v>4232.1259501025334</v>
      </c>
      <c r="AE23" s="132">
        <f t="shared" si="48"/>
        <v>4014.3029195666295</v>
      </c>
      <c r="AF23" s="132">
        <f t="shared" ref="AF23:AI23" si="49">AF22-AF24</f>
        <v>4585.5374463421449</v>
      </c>
      <c r="AG23" s="132">
        <f t="shared" si="49"/>
        <v>4670.5109981837386</v>
      </c>
      <c r="AH23" s="132">
        <f t="shared" si="49"/>
        <v>4636.9054259390687</v>
      </c>
      <c r="AI23" s="132">
        <f t="shared" si="49"/>
        <v>4345.05808800864</v>
      </c>
      <c r="AJ23" s="206"/>
      <c r="AK23" s="206"/>
      <c r="AL23" s="206"/>
      <c r="AM23" s="206"/>
      <c r="AN23" s="206"/>
      <c r="AO23" s="206"/>
      <c r="AP23" s="206"/>
      <c r="AQ23" s="206"/>
      <c r="AS23" s="43" t="s">
        <v>628</v>
      </c>
      <c r="AT23" s="28"/>
      <c r="AU23" s="41">
        <f>SUM(D23:G23)</f>
        <v>7315</v>
      </c>
      <c r="AV23" s="41">
        <f>SUM(H23:K23)</f>
        <v>13202</v>
      </c>
      <c r="AW23" s="41">
        <f>SUM(L23:O23)</f>
        <v>6689</v>
      </c>
      <c r="AX23" s="41">
        <f>SUM(P23:S23)</f>
        <v>16249</v>
      </c>
      <c r="AY23" s="41">
        <f>SUM(T23:W23)</f>
        <v>13640</v>
      </c>
      <c r="AZ23" s="41">
        <f>SUM(X23:AA23)</f>
        <v>-8179</v>
      </c>
      <c r="BA23" s="41">
        <f>SUM(AB23:AE23)</f>
        <v>16636.43342698404</v>
      </c>
      <c r="BB23" s="41">
        <f>SUM(AF23:AI23)</f>
        <v>18238.011958473595</v>
      </c>
      <c r="BC23" s="132">
        <f>BC22-BC24</f>
        <v>19727.965572865374</v>
      </c>
      <c r="BD23" s="132">
        <f>BD22-BD24</f>
        <v>20888.344086501922</v>
      </c>
      <c r="BE23" s="132">
        <f>BE22-BE24</f>
        <v>21441.804884779107</v>
      </c>
    </row>
    <row r="24" spans="1:57" x14ac:dyDescent="0.2">
      <c r="C24" s="71" t="s">
        <v>631</v>
      </c>
      <c r="D24" s="33">
        <f t="shared" ref="D24:X24" si="50">D22-D23</f>
        <v>49</v>
      </c>
      <c r="E24" s="33">
        <f t="shared" si="50"/>
        <v>65</v>
      </c>
      <c r="F24" s="33">
        <f t="shared" si="50"/>
        <v>10</v>
      </c>
      <c r="G24" s="33">
        <f t="shared" si="50"/>
        <v>26</v>
      </c>
      <c r="H24" s="33">
        <f t="shared" si="50"/>
        <v>71</v>
      </c>
      <c r="I24" s="33">
        <f t="shared" si="50"/>
        <v>83</v>
      </c>
      <c r="J24" s="33">
        <f t="shared" si="50"/>
        <v>62</v>
      </c>
      <c r="K24" s="33">
        <f t="shared" si="50"/>
        <v>47</v>
      </c>
      <c r="L24" s="33">
        <f t="shared" si="50"/>
        <v>62</v>
      </c>
      <c r="M24" s="33">
        <f t="shared" si="50"/>
        <v>1</v>
      </c>
      <c r="N24" s="33">
        <f t="shared" si="50"/>
        <v>44</v>
      </c>
      <c r="O24" s="33">
        <f t="shared" si="50"/>
        <v>3</v>
      </c>
      <c r="P24" s="33">
        <f t="shared" si="50"/>
        <v>62</v>
      </c>
      <c r="Q24" s="33">
        <f t="shared" si="50"/>
        <v>64</v>
      </c>
      <c r="R24" s="33">
        <f t="shared" si="50"/>
        <v>56</v>
      </c>
      <c r="S24" s="33">
        <f t="shared" si="50"/>
        <v>42</v>
      </c>
      <c r="T24" s="33">
        <f t="shared" si="50"/>
        <v>40</v>
      </c>
      <c r="U24" s="33">
        <f t="shared" si="50"/>
        <v>53</v>
      </c>
      <c r="V24" s="33">
        <f t="shared" si="50"/>
        <v>53</v>
      </c>
      <c r="W24" s="33">
        <f t="shared" si="50"/>
        <v>49</v>
      </c>
      <c r="X24" s="33">
        <f t="shared" si="50"/>
        <v>55</v>
      </c>
      <c r="Y24" s="33">
        <f t="shared" ref="Y24:Z24" si="51">Y22-Y23</f>
        <v>48</v>
      </c>
      <c r="Z24" s="33">
        <f t="shared" si="51"/>
        <v>53</v>
      </c>
      <c r="AA24" s="33">
        <f t="shared" ref="AA24:AB24" si="52">AA22-AA23</f>
        <v>12</v>
      </c>
      <c r="AB24" s="33">
        <f t="shared" si="52"/>
        <v>22</v>
      </c>
      <c r="AC24" s="33">
        <f t="shared" ref="AC24:AE24" si="53">AC13</f>
        <v>36.553042492020666</v>
      </c>
      <c r="AD24" s="33">
        <f t="shared" si="53"/>
        <v>32.916220415874676</v>
      </c>
      <c r="AE24" s="33">
        <f t="shared" si="53"/>
        <v>25.85698018820953</v>
      </c>
      <c r="AF24" s="33">
        <f t="shared" ref="AF24:AI24" si="54">AF13</f>
        <v>32.153233355067655</v>
      </c>
      <c r="AG24" s="33">
        <f t="shared" si="54"/>
        <v>35.285322506039009</v>
      </c>
      <c r="AH24" s="33">
        <f t="shared" si="54"/>
        <v>33.285872359550396</v>
      </c>
      <c r="AI24" s="33">
        <f t="shared" si="54"/>
        <v>30.975385772993292</v>
      </c>
      <c r="AJ24" s="33"/>
      <c r="AK24" s="33"/>
      <c r="AL24" s="33"/>
      <c r="AM24" s="33"/>
      <c r="AN24" s="33"/>
      <c r="AO24" s="33"/>
      <c r="AP24" s="33"/>
      <c r="AQ24" s="33"/>
      <c r="AS24" s="10"/>
      <c r="AT24" s="71" t="s">
        <v>631</v>
      </c>
      <c r="AU24" s="232">
        <f>SUM(D24:G24)</f>
        <v>150</v>
      </c>
      <c r="AV24" s="232">
        <f>SUM(H24:K24)</f>
        <v>263</v>
      </c>
      <c r="AW24" s="232">
        <f>SUM(L24:O24)</f>
        <v>110</v>
      </c>
      <c r="AX24" s="232">
        <f>SUM(P24:S24)</f>
        <v>224</v>
      </c>
      <c r="AY24" s="232">
        <f>SUM(T24:W24)</f>
        <v>195</v>
      </c>
      <c r="AZ24" s="232">
        <f>SUM(X24:AA24)</f>
        <v>168</v>
      </c>
      <c r="BA24" s="232">
        <f>SUM(AB24:AE24)</f>
        <v>117.32624309610488</v>
      </c>
      <c r="BB24" s="232">
        <f>SUM(AF24:AI24)</f>
        <v>131.69981399365037</v>
      </c>
      <c r="BC24" s="232">
        <f>BC13</f>
        <v>141.74005620653381</v>
      </c>
      <c r="BD24" s="232">
        <f>BD13</f>
        <v>149.55941462346846</v>
      </c>
      <c r="BE24" s="232">
        <f>BE13</f>
        <v>153.28898070952886</v>
      </c>
    </row>
    <row r="25" spans="1:57" x14ac:dyDescent="0.2">
      <c r="D25" s="50"/>
      <c r="E25" s="50"/>
      <c r="F25" s="50"/>
      <c r="G25" s="50"/>
      <c r="H25" s="50"/>
      <c r="I25" s="50"/>
      <c r="J25" s="50"/>
      <c r="Y25" s="1215"/>
      <c r="Z25" s="1688"/>
      <c r="AA25" s="1742"/>
      <c r="AB25" s="1785"/>
    </row>
    <row r="26" spans="1:57" x14ac:dyDescent="0.2">
      <c r="B26" s="35" t="s">
        <v>536</v>
      </c>
      <c r="D26" s="33">
        <f>D14+D19+D18</f>
        <v>2837</v>
      </c>
      <c r="E26" s="33">
        <f t="shared" ref="E26:AE26" si="55">E14+E19+E18</f>
        <v>2834</v>
      </c>
      <c r="F26" s="33">
        <f t="shared" si="55"/>
        <v>472</v>
      </c>
      <c r="G26" s="33">
        <f t="shared" si="55"/>
        <v>1230</v>
      </c>
      <c r="H26" s="33">
        <f t="shared" si="55"/>
        <v>3731</v>
      </c>
      <c r="I26" s="33">
        <f t="shared" si="55"/>
        <v>4066</v>
      </c>
      <c r="J26" s="33">
        <f t="shared" si="55"/>
        <v>2978</v>
      </c>
      <c r="K26" s="33">
        <f t="shared" si="55"/>
        <v>2157</v>
      </c>
      <c r="L26" s="33">
        <f t="shared" si="55"/>
        <v>3721</v>
      </c>
      <c r="M26" s="33">
        <f t="shared" si="55"/>
        <v>102</v>
      </c>
      <c r="N26" s="33">
        <f t="shared" si="55"/>
        <v>2685</v>
      </c>
      <c r="O26" s="33">
        <f t="shared" si="55"/>
        <v>183</v>
      </c>
      <c r="P26" s="33">
        <f t="shared" si="55"/>
        <v>4585</v>
      </c>
      <c r="Q26" s="33">
        <f t="shared" si="55"/>
        <v>4574</v>
      </c>
      <c r="R26" s="33">
        <f t="shared" si="55"/>
        <v>4071</v>
      </c>
      <c r="S26" s="33">
        <f t="shared" si="55"/>
        <v>3073</v>
      </c>
      <c r="T26" s="33">
        <f t="shared" si="55"/>
        <v>3253</v>
      </c>
      <c r="U26" s="33">
        <f t="shared" si="55"/>
        <v>3646</v>
      </c>
      <c r="V26" s="33">
        <f t="shared" si="55"/>
        <v>3592</v>
      </c>
      <c r="W26" s="33">
        <f t="shared" si="55"/>
        <v>3207</v>
      </c>
      <c r="X26" s="33">
        <f t="shared" si="55"/>
        <v>3752</v>
      </c>
      <c r="Y26" s="33">
        <f t="shared" ref="Y26:Z26" si="56">Y14+Y19+Y18</f>
        <v>3483</v>
      </c>
      <c r="Z26" s="33">
        <f t="shared" si="56"/>
        <v>3813</v>
      </c>
      <c r="AA26" s="33">
        <f t="shared" ref="AA26:AB26" si="57">AA14+AA19+AA18</f>
        <v>-19116</v>
      </c>
      <c r="AB26" s="33">
        <f t="shared" si="57"/>
        <v>4304</v>
      </c>
      <c r="AC26" s="33">
        <f t="shared" si="55"/>
        <v>4093.0045573148786</v>
      </c>
      <c r="AD26" s="33">
        <f t="shared" si="55"/>
        <v>4232.1259501025334</v>
      </c>
      <c r="AE26" s="33">
        <f t="shared" si="55"/>
        <v>4014.302919566629</v>
      </c>
      <c r="AF26" s="33">
        <f t="shared" ref="AF26:AI26" si="58">AF14+AF19+AF18</f>
        <v>4585.5374463421449</v>
      </c>
      <c r="AG26" s="33">
        <f t="shared" si="58"/>
        <v>4670.5109981837386</v>
      </c>
      <c r="AH26" s="33">
        <f t="shared" si="58"/>
        <v>4636.9054259390678</v>
      </c>
      <c r="AI26" s="33">
        <f t="shared" si="58"/>
        <v>4345.0580880086391</v>
      </c>
      <c r="AJ26" s="33"/>
      <c r="AK26" s="33"/>
      <c r="AL26" s="33"/>
      <c r="AM26" s="33"/>
      <c r="AN26" s="33"/>
      <c r="AO26" s="33"/>
      <c r="AP26" s="33"/>
      <c r="AQ26" s="33"/>
      <c r="AS26" s="35" t="s">
        <v>536</v>
      </c>
      <c r="AT26" s="9"/>
      <c r="AU26" s="33">
        <f t="shared" ref="AU26:BD26" si="59">AU14+AU19+AU18</f>
        <v>7373</v>
      </c>
      <c r="AV26" s="33">
        <f t="shared" si="59"/>
        <v>12932</v>
      </c>
      <c r="AW26" s="33">
        <f t="shared" si="59"/>
        <v>6691</v>
      </c>
      <c r="AX26" s="33">
        <f t="shared" si="59"/>
        <v>16303</v>
      </c>
      <c r="AY26" s="33">
        <f t="shared" si="59"/>
        <v>13698</v>
      </c>
      <c r="AZ26" s="33">
        <f t="shared" si="59"/>
        <v>-8068</v>
      </c>
      <c r="BA26" s="33">
        <f t="shared" si="59"/>
        <v>16643.433426984044</v>
      </c>
      <c r="BB26" s="33">
        <f t="shared" ref="BB26" si="60">BB14+BB19+BB18</f>
        <v>18238.011958473588</v>
      </c>
      <c r="BC26" s="33">
        <f t="shared" si="59"/>
        <v>19727.965572865374</v>
      </c>
      <c r="BD26" s="33">
        <f t="shared" si="59"/>
        <v>20888.344086501922</v>
      </c>
      <c r="BE26" s="33">
        <f t="shared" ref="BE26" si="61">BE14+BE19+BE18</f>
        <v>21441.804884779103</v>
      </c>
    </row>
    <row r="27" spans="1:57" x14ac:dyDescent="0.2">
      <c r="B27" s="35" t="s">
        <v>537</v>
      </c>
      <c r="D27" s="33">
        <f>D14+D19</f>
        <v>3637</v>
      </c>
      <c r="E27" s="33">
        <f t="shared" ref="E27:AE27" si="62">E14+E19</f>
        <v>2694</v>
      </c>
      <c r="F27" s="33">
        <f t="shared" si="62"/>
        <v>957</v>
      </c>
      <c r="G27" s="33">
        <f t="shared" si="62"/>
        <v>1531</v>
      </c>
      <c r="H27" s="33">
        <f t="shared" si="62"/>
        <v>3929</v>
      </c>
      <c r="I27" s="33">
        <f t="shared" si="62"/>
        <v>3773</v>
      </c>
      <c r="J27" s="33">
        <f t="shared" si="62"/>
        <v>3186</v>
      </c>
      <c r="K27" s="33">
        <f t="shared" si="62"/>
        <v>2257</v>
      </c>
      <c r="L27" s="33">
        <f t="shared" si="62"/>
        <v>3717</v>
      </c>
      <c r="M27" s="33">
        <f t="shared" si="62"/>
        <v>122</v>
      </c>
      <c r="N27" s="33">
        <f t="shared" si="62"/>
        <v>2913</v>
      </c>
      <c r="O27" s="33">
        <f t="shared" si="62"/>
        <v>179</v>
      </c>
      <c r="P27" s="33">
        <f t="shared" si="62"/>
        <v>4632</v>
      </c>
      <c r="Q27" s="33">
        <f t="shared" si="62"/>
        <v>4378</v>
      </c>
      <c r="R27" s="33">
        <f t="shared" si="62"/>
        <v>3944</v>
      </c>
      <c r="S27" s="33">
        <f t="shared" si="62"/>
        <v>3187</v>
      </c>
      <c r="T27" s="33">
        <f t="shared" si="62"/>
        <v>3253</v>
      </c>
      <c r="U27" s="33">
        <f t="shared" si="62"/>
        <v>3646</v>
      </c>
      <c r="V27" s="33">
        <f t="shared" si="62"/>
        <v>3592</v>
      </c>
      <c r="W27" s="33">
        <f t="shared" si="62"/>
        <v>3207</v>
      </c>
      <c r="X27" s="33">
        <f t="shared" si="62"/>
        <v>3752</v>
      </c>
      <c r="Y27" s="33">
        <f t="shared" ref="Y27:Z27" si="63">Y14+Y19</f>
        <v>3483</v>
      </c>
      <c r="Z27" s="33">
        <f t="shared" si="63"/>
        <v>3813</v>
      </c>
      <c r="AA27" s="33">
        <f t="shared" ref="AA27:AB27" si="64">AA14+AA19</f>
        <v>-19116</v>
      </c>
      <c r="AB27" s="33">
        <f t="shared" si="64"/>
        <v>4304</v>
      </c>
      <c r="AC27" s="33">
        <f t="shared" si="62"/>
        <v>4093.0045573148786</v>
      </c>
      <c r="AD27" s="33">
        <f t="shared" si="62"/>
        <v>4232.1259501025334</v>
      </c>
      <c r="AE27" s="33">
        <f t="shared" si="62"/>
        <v>4014.302919566629</v>
      </c>
      <c r="AF27" s="33">
        <f t="shared" ref="AF27:AI27" si="65">AF14+AF19</f>
        <v>4585.5374463421449</v>
      </c>
      <c r="AG27" s="33">
        <f t="shared" si="65"/>
        <v>4670.5109981837386</v>
      </c>
      <c r="AH27" s="33">
        <f t="shared" si="65"/>
        <v>4636.9054259390678</v>
      </c>
      <c r="AI27" s="33">
        <f t="shared" si="65"/>
        <v>4345.0580880086391</v>
      </c>
      <c r="AJ27" s="33"/>
      <c r="AK27" s="33"/>
      <c r="AL27" s="33"/>
      <c r="AM27" s="33"/>
      <c r="AN27" s="33"/>
      <c r="AO27" s="33"/>
      <c r="AP27" s="33"/>
      <c r="AQ27" s="33"/>
      <c r="AS27" s="35" t="s">
        <v>537</v>
      </c>
      <c r="AT27" s="9"/>
      <c r="AU27" s="33">
        <f t="shared" ref="AU27:BD27" si="66">AU14+AU19</f>
        <v>8819</v>
      </c>
      <c r="AV27" s="33">
        <f t="shared" si="66"/>
        <v>13145</v>
      </c>
      <c r="AW27" s="33">
        <f t="shared" si="66"/>
        <v>6931</v>
      </c>
      <c r="AX27" s="33">
        <f t="shared" si="66"/>
        <v>16141</v>
      </c>
      <c r="AY27" s="33">
        <f t="shared" si="66"/>
        <v>13698</v>
      </c>
      <c r="AZ27" s="33">
        <f t="shared" si="66"/>
        <v>-8068</v>
      </c>
      <c r="BA27" s="33">
        <f t="shared" si="66"/>
        <v>16643.433426984044</v>
      </c>
      <c r="BB27" s="33">
        <f t="shared" ref="BB27" si="67">BB14+BB19</f>
        <v>18238.011958473588</v>
      </c>
      <c r="BC27" s="33">
        <f t="shared" si="66"/>
        <v>19727.965572865374</v>
      </c>
      <c r="BD27" s="33">
        <f t="shared" si="66"/>
        <v>20888.344086501922</v>
      </c>
      <c r="BE27" s="33">
        <f t="shared" ref="BE27" si="68">BE14+BE19</f>
        <v>21441.804884779103</v>
      </c>
    </row>
    <row r="28" spans="1:57" x14ac:dyDescent="0.2">
      <c r="B28" s="35" t="s">
        <v>1134</v>
      </c>
      <c r="D28" s="33">
        <f>D9+D19</f>
        <v>3816</v>
      </c>
      <c r="E28" s="33">
        <f t="shared" ref="E28:AE28" si="69">E9+E19</f>
        <v>2808</v>
      </c>
      <c r="F28" s="33">
        <f t="shared" si="69"/>
        <v>996</v>
      </c>
      <c r="G28" s="33">
        <f t="shared" si="69"/>
        <v>1594</v>
      </c>
      <c r="H28" s="33">
        <f t="shared" si="69"/>
        <v>4094</v>
      </c>
      <c r="I28" s="33">
        <f t="shared" si="69"/>
        <v>3901</v>
      </c>
      <c r="J28" s="33">
        <f t="shared" si="69"/>
        <v>3409</v>
      </c>
      <c r="K28" s="33">
        <f t="shared" si="69"/>
        <v>2425</v>
      </c>
      <c r="L28" s="33">
        <f t="shared" si="69"/>
        <v>3948</v>
      </c>
      <c r="M28" s="33">
        <f t="shared" si="69"/>
        <v>273</v>
      </c>
      <c r="N28" s="33">
        <f t="shared" si="69"/>
        <v>3144</v>
      </c>
      <c r="O28" s="33">
        <f t="shared" si="69"/>
        <v>379</v>
      </c>
      <c r="P28" s="33">
        <f t="shared" si="69"/>
        <v>4864</v>
      </c>
      <c r="Q28" s="33">
        <f t="shared" si="69"/>
        <v>4662</v>
      </c>
      <c r="R28" s="33">
        <f t="shared" si="69"/>
        <v>4179</v>
      </c>
      <c r="S28" s="33">
        <f t="shared" si="69"/>
        <v>3519</v>
      </c>
      <c r="T28" s="33">
        <f t="shared" si="69"/>
        <v>3508</v>
      </c>
      <c r="U28" s="33">
        <f t="shared" si="69"/>
        <v>4047</v>
      </c>
      <c r="V28" s="33">
        <f t="shared" si="69"/>
        <v>3887</v>
      </c>
      <c r="W28" s="33">
        <f t="shared" si="69"/>
        <v>3591</v>
      </c>
      <c r="X28" s="33">
        <f t="shared" si="69"/>
        <v>4118</v>
      </c>
      <c r="Y28" s="33">
        <f t="shared" ref="Y28:Z28" si="70">Y9+Y19</f>
        <v>3883</v>
      </c>
      <c r="Z28" s="33">
        <f t="shared" si="70"/>
        <v>4137</v>
      </c>
      <c r="AA28" s="33">
        <f t="shared" ref="AA28:AB28" si="71">AA9+AA19</f>
        <v>-18765</v>
      </c>
      <c r="AB28" s="33">
        <f t="shared" si="71"/>
        <v>4649</v>
      </c>
      <c r="AC28" s="33">
        <f t="shared" si="69"/>
        <v>4467.0525558026438</v>
      </c>
      <c r="AD28" s="33">
        <f t="shared" si="69"/>
        <v>4550.8924405375792</v>
      </c>
      <c r="AE28" s="33">
        <f t="shared" si="69"/>
        <v>4372.2385801382998</v>
      </c>
      <c r="AF28" s="33">
        <f t="shared" ref="AF28:AI28" si="72">AF9+AF19</f>
        <v>4943.6346358956571</v>
      </c>
      <c r="AG28" s="33">
        <f t="shared" si="72"/>
        <v>5074.6575558654513</v>
      </c>
      <c r="AH28" s="33">
        <f t="shared" si="72"/>
        <v>4995.4284213712617</v>
      </c>
      <c r="AI28" s="33">
        <f t="shared" si="72"/>
        <v>4743.8843676904662</v>
      </c>
      <c r="AJ28" s="33"/>
      <c r="AK28" s="33"/>
      <c r="AL28" s="33"/>
      <c r="AM28" s="33"/>
      <c r="AN28" s="33"/>
      <c r="AO28" s="33"/>
      <c r="AP28" s="33"/>
      <c r="AQ28" s="33"/>
      <c r="AS28" s="35" t="s">
        <v>1134</v>
      </c>
      <c r="AT28" s="9"/>
      <c r="AU28" s="33">
        <f t="shared" ref="AU28:BD28" si="73">AU9+AU19</f>
        <v>9214</v>
      </c>
      <c r="AV28" s="33">
        <f t="shared" si="73"/>
        <v>13829</v>
      </c>
      <c r="AW28" s="33">
        <f t="shared" si="73"/>
        <v>7744</v>
      </c>
      <c r="AX28" s="33">
        <f t="shared" si="73"/>
        <v>17224</v>
      </c>
      <c r="AY28" s="33">
        <f t="shared" si="73"/>
        <v>15033</v>
      </c>
      <c r="AZ28" s="33">
        <f t="shared" si="73"/>
        <v>-6627</v>
      </c>
      <c r="BA28" s="33">
        <f t="shared" si="73"/>
        <v>18039.183576478525</v>
      </c>
      <c r="BB28" s="33">
        <f t="shared" ref="BB28" si="74">BB9+BB19</f>
        <v>19757.604980822834</v>
      </c>
      <c r="BC28" s="33">
        <f t="shared" si="73"/>
        <v>21263.842032634446</v>
      </c>
      <c r="BD28" s="33">
        <f t="shared" si="73"/>
        <v>22436.902116171961</v>
      </c>
      <c r="BE28" s="33">
        <f t="shared" ref="BE28" si="75">BE9+BE19</f>
        <v>22996.411588841434</v>
      </c>
    </row>
    <row r="29" spans="1:57" ht="13.5" thickBot="1" x14ac:dyDescent="0.25">
      <c r="D29" s="22"/>
      <c r="U29" s="49"/>
      <c r="V29" s="49"/>
      <c r="W29" s="49"/>
      <c r="X29" s="49"/>
      <c r="Y29" s="49"/>
      <c r="Z29" s="49"/>
      <c r="AA29" s="49"/>
      <c r="AB29" s="49"/>
      <c r="AC29" s="49"/>
      <c r="AD29" s="49"/>
      <c r="AE29" s="49"/>
      <c r="AF29" s="49"/>
      <c r="AG29" s="49"/>
      <c r="AH29" s="49"/>
      <c r="AI29" s="49"/>
      <c r="AJ29" s="49"/>
      <c r="AK29" s="49"/>
      <c r="AL29" s="49"/>
      <c r="AM29" s="49"/>
      <c r="AN29" s="49"/>
      <c r="AO29" s="49"/>
      <c r="AP29" s="49"/>
      <c r="AQ29" s="49"/>
      <c r="AS29" s="10"/>
      <c r="AT29" s="9"/>
      <c r="AU29" s="232"/>
      <c r="AZ29" s="50"/>
      <c r="BA29" s="50">
        <f>BA26+2000</f>
        <v>18643.433426984044</v>
      </c>
      <c r="BB29" s="50">
        <f>BB26+2000</f>
        <v>20238.011958473588</v>
      </c>
      <c r="BC29" s="9"/>
      <c r="BD29" s="1704"/>
      <c r="BE29" s="1702"/>
    </row>
    <row r="30" spans="1:57" x14ac:dyDescent="0.2">
      <c r="A30" s="830"/>
      <c r="B30" s="929" t="s">
        <v>398</v>
      </c>
      <c r="C30" s="930"/>
      <c r="D30" s="931">
        <f t="shared" ref="D30:AE30" si="76">ROUND(D14/D1326,2)</f>
        <v>1.1000000000000001</v>
      </c>
      <c r="E30" s="931">
        <f t="shared" si="76"/>
        <v>0.98</v>
      </c>
      <c r="F30" s="931">
        <f t="shared" si="76"/>
        <v>1.0900000000000001</v>
      </c>
      <c r="G30" s="931">
        <f t="shared" si="76"/>
        <v>0.51</v>
      </c>
      <c r="H30" s="931">
        <f t="shared" si="76"/>
        <v>1.29</v>
      </c>
      <c r="I30" s="931">
        <f t="shared" si="76"/>
        <v>1.24</v>
      </c>
      <c r="J30" s="931">
        <f t="shared" si="76"/>
        <v>0.99</v>
      </c>
      <c r="K30" s="931">
        <f t="shared" si="76"/>
        <v>0.74</v>
      </c>
      <c r="L30" s="931">
        <f t="shared" si="76"/>
        <v>1.29</v>
      </c>
      <c r="M30" s="931">
        <f t="shared" si="76"/>
        <v>0.04</v>
      </c>
      <c r="N30" s="931">
        <f t="shared" si="76"/>
        <v>0.96</v>
      </c>
      <c r="O30" s="931">
        <f t="shared" si="76"/>
        <v>0.06</v>
      </c>
      <c r="P30" s="931">
        <f t="shared" si="76"/>
        <v>1.52</v>
      </c>
      <c r="Q30" s="931">
        <f t="shared" si="76"/>
        <v>1.45</v>
      </c>
      <c r="R30" s="931">
        <f t="shared" si="76"/>
        <v>1.32</v>
      </c>
      <c r="S30" s="931">
        <f t="shared" si="76"/>
        <v>1.07</v>
      </c>
      <c r="T30" s="931">
        <f t="shared" si="76"/>
        <v>1.1100000000000001</v>
      </c>
      <c r="U30" s="931">
        <f t="shared" si="76"/>
        <v>1.25</v>
      </c>
      <c r="V30" s="931">
        <f t="shared" si="76"/>
        <v>1.25</v>
      </c>
      <c r="W30" s="931">
        <f t="shared" si="76"/>
        <v>1.1399999999999999</v>
      </c>
      <c r="X30" s="931">
        <f t="shared" si="76"/>
        <v>1.36</v>
      </c>
      <c r="Y30" s="931">
        <f t="shared" ref="Y30:Z30" si="77">ROUND(Y14/Y1326,2)</f>
        <v>1.27</v>
      </c>
      <c r="Z30" s="931">
        <f t="shared" si="77"/>
        <v>1.42</v>
      </c>
      <c r="AA30" s="931">
        <f t="shared" si="76"/>
        <v>1.33</v>
      </c>
      <c r="AB30" s="931">
        <f t="shared" ref="AB30" si="78">ROUND(AB14/AB1326,2)</f>
        <v>1.68</v>
      </c>
      <c r="AC30" s="931">
        <f t="shared" si="76"/>
        <v>1.61</v>
      </c>
      <c r="AD30" s="931">
        <f t="shared" si="76"/>
        <v>1.7</v>
      </c>
      <c r="AE30" s="931">
        <f t="shared" si="76"/>
        <v>1.65</v>
      </c>
      <c r="AF30" s="931">
        <f t="shared" ref="AF30:AI30" si="79">ROUND(AF14/AF1326,2)</f>
        <v>1.94</v>
      </c>
      <c r="AG30" s="931">
        <f t="shared" si="79"/>
        <v>2.02</v>
      </c>
      <c r="AH30" s="931">
        <f t="shared" si="79"/>
        <v>2.0499999999999998</v>
      </c>
      <c r="AI30" s="932">
        <f t="shared" si="79"/>
        <v>1.96</v>
      </c>
      <c r="AJ30" s="1753"/>
      <c r="AK30" s="1753"/>
      <c r="AL30" s="1753"/>
      <c r="AM30" s="1753"/>
      <c r="AN30" s="1753"/>
      <c r="AO30" s="1753"/>
      <c r="AP30" s="1753"/>
      <c r="AQ30" s="1753"/>
      <c r="AS30" s="929" t="s">
        <v>398</v>
      </c>
      <c r="AT30" s="930"/>
      <c r="AU30" s="931">
        <f t="shared" ref="AU30:BD30" si="80">ROUND(AU14/AU1326,2)</f>
        <v>3.68</v>
      </c>
      <c r="AV30" s="931">
        <f t="shared" si="80"/>
        <v>4.26</v>
      </c>
      <c r="AW30" s="931">
        <f t="shared" si="80"/>
        <v>2.35</v>
      </c>
      <c r="AX30" s="931">
        <f t="shared" si="80"/>
        <v>5.37</v>
      </c>
      <c r="AY30" s="931">
        <f t="shared" si="80"/>
        <v>4.74</v>
      </c>
      <c r="AZ30" s="931">
        <f t="shared" si="80"/>
        <v>5.38</v>
      </c>
      <c r="BA30" s="931">
        <f t="shared" si="80"/>
        <v>6.65</v>
      </c>
      <c r="BB30" s="931">
        <f t="shared" ref="BB30" si="81">ROUND(BB14/BB1326,2)</f>
        <v>7.97</v>
      </c>
      <c r="BC30" s="931">
        <f t="shared" si="80"/>
        <v>9.3000000000000007</v>
      </c>
      <c r="BD30" s="931">
        <f t="shared" si="80"/>
        <v>10.44</v>
      </c>
      <c r="BE30" s="932">
        <f t="shared" ref="BE30" si="82">ROUND(BE14/BE1326,2)</f>
        <v>11.3</v>
      </c>
    </row>
    <row r="31" spans="1:57" ht="13.5" thickBot="1" x14ac:dyDescent="0.25">
      <c r="A31" s="830"/>
      <c r="B31" s="933" t="s">
        <v>401</v>
      </c>
      <c r="C31" s="934"/>
      <c r="D31" s="935">
        <f t="shared" ref="D31:AE31" si="83">ROUND(D23/D1326,2)</f>
        <v>0.94</v>
      </c>
      <c r="E31" s="935">
        <f t="shared" si="83"/>
        <v>0.94</v>
      </c>
      <c r="F31" s="935">
        <f t="shared" si="83"/>
        <v>0.16</v>
      </c>
      <c r="G31" s="935">
        <f t="shared" si="83"/>
        <v>0.38</v>
      </c>
      <c r="H31" s="935">
        <f t="shared" si="83"/>
        <v>1.21</v>
      </c>
      <c r="I31" s="935">
        <f t="shared" si="83"/>
        <v>1.34</v>
      </c>
      <c r="J31" s="935">
        <f t="shared" si="83"/>
        <v>1.01</v>
      </c>
      <c r="K31" s="935">
        <f t="shared" si="83"/>
        <v>0.77</v>
      </c>
      <c r="L31" s="935">
        <f t="shared" si="83"/>
        <v>1.23</v>
      </c>
      <c r="M31" s="935">
        <f t="shared" si="83"/>
        <v>0.03</v>
      </c>
      <c r="N31" s="935">
        <f t="shared" si="83"/>
        <v>0.88</v>
      </c>
      <c r="O31" s="935">
        <f t="shared" si="83"/>
        <v>0.06</v>
      </c>
      <c r="P31" s="935">
        <f t="shared" si="83"/>
        <v>1.51</v>
      </c>
      <c r="Q31" s="935">
        <f t="shared" si="83"/>
        <v>1.51</v>
      </c>
      <c r="R31" s="935">
        <f t="shared" si="83"/>
        <v>1.36</v>
      </c>
      <c r="S31" s="935">
        <f t="shared" si="83"/>
        <v>1.02</v>
      </c>
      <c r="T31" s="935">
        <f t="shared" si="83"/>
        <v>1.1000000000000001</v>
      </c>
      <c r="U31" s="935">
        <f t="shared" si="83"/>
        <v>1.24</v>
      </c>
      <c r="V31" s="935">
        <f t="shared" si="83"/>
        <v>1.24</v>
      </c>
      <c r="W31" s="935">
        <f t="shared" si="83"/>
        <v>1.1399999999999999</v>
      </c>
      <c r="X31" s="935">
        <f t="shared" si="83"/>
        <v>1.35</v>
      </c>
      <c r="Y31" s="935">
        <f t="shared" ref="Y31:Z31" si="84">ROUND(Y23/Y1326,2)</f>
        <v>1.28</v>
      </c>
      <c r="Z31" s="935">
        <f t="shared" si="84"/>
        <v>1.42</v>
      </c>
      <c r="AA31" s="935">
        <f t="shared" si="83"/>
        <v>-7.38</v>
      </c>
      <c r="AB31" s="935">
        <f t="shared" ref="AB31" si="85">ROUND(AB23/AB1326,2)</f>
        <v>1.68</v>
      </c>
      <c r="AC31" s="935">
        <f t="shared" si="83"/>
        <v>1.61</v>
      </c>
      <c r="AD31" s="935">
        <f t="shared" si="83"/>
        <v>1.7</v>
      </c>
      <c r="AE31" s="935">
        <f t="shared" si="83"/>
        <v>1.65</v>
      </c>
      <c r="AF31" s="935">
        <f t="shared" ref="AF31:AI31" si="86">ROUND(AF23/AF1326,2)</f>
        <v>1.94</v>
      </c>
      <c r="AG31" s="935">
        <f t="shared" si="86"/>
        <v>2.02</v>
      </c>
      <c r="AH31" s="935">
        <f t="shared" si="86"/>
        <v>2.0499999999999998</v>
      </c>
      <c r="AI31" s="936">
        <f t="shared" si="86"/>
        <v>1.96</v>
      </c>
      <c r="AJ31" s="1753"/>
      <c r="AK31" s="1753"/>
      <c r="AL31" s="1753"/>
      <c r="AM31" s="1753"/>
      <c r="AN31" s="1753"/>
      <c r="AO31" s="1753"/>
      <c r="AP31" s="1753"/>
      <c r="AQ31" s="1753"/>
      <c r="AS31" s="933" t="s">
        <v>401</v>
      </c>
      <c r="AT31" s="934"/>
      <c r="AU31" s="935">
        <f t="shared" ref="AU31:BD31" si="87">ROUND(AU23/AU1326,2)</f>
        <v>2.4300000000000002</v>
      </c>
      <c r="AV31" s="935">
        <f t="shared" si="87"/>
        <v>4.34</v>
      </c>
      <c r="AW31" s="935">
        <f t="shared" si="87"/>
        <v>2.2000000000000002</v>
      </c>
      <c r="AX31" s="935">
        <f t="shared" si="87"/>
        <v>5.4</v>
      </c>
      <c r="AY31" s="935">
        <f t="shared" si="87"/>
        <v>4.72</v>
      </c>
      <c r="AZ31" s="935">
        <f t="shared" si="87"/>
        <v>-3.03</v>
      </c>
      <c r="BA31" s="935">
        <f t="shared" si="87"/>
        <v>6.64</v>
      </c>
      <c r="BB31" s="935">
        <f t="shared" ref="BB31" si="88">ROUND(BB23/BB1326,2)</f>
        <v>7.97</v>
      </c>
      <c r="BC31" s="935">
        <f t="shared" si="87"/>
        <v>9.3000000000000007</v>
      </c>
      <c r="BD31" s="935">
        <f t="shared" si="87"/>
        <v>10.44</v>
      </c>
      <c r="BE31" s="936">
        <f t="shared" ref="BE31" si="89">ROUND(BE23/BE1326,2)</f>
        <v>11.3</v>
      </c>
    </row>
    <row r="32" spans="1:57" x14ac:dyDescent="0.2">
      <c r="C32" s="59"/>
      <c r="Y32" s="1215"/>
      <c r="AI32" s="1201"/>
      <c r="AJ32" s="1201"/>
      <c r="AK32" s="1201"/>
      <c r="AL32" s="1201"/>
      <c r="AM32" s="1201"/>
      <c r="AN32" s="1201"/>
      <c r="AO32" s="1201"/>
      <c r="AP32" s="1201"/>
      <c r="AQ32" s="1201"/>
      <c r="AS32" s="10"/>
      <c r="AT32" s="59"/>
      <c r="AX32" s="1201"/>
      <c r="AY32" s="1201"/>
      <c r="AZ32" s="1201"/>
      <c r="BA32" s="1201"/>
      <c r="BB32" s="1201"/>
      <c r="BC32" s="1201"/>
      <c r="BD32" s="1201"/>
      <c r="BE32" s="1201"/>
    </row>
    <row r="33" spans="1:57" x14ac:dyDescent="0.2">
      <c r="Y33" s="1215"/>
      <c r="AS33" s="10"/>
      <c r="AT33" s="9"/>
      <c r="AZ33" s="1202"/>
      <c r="BA33" s="1202"/>
      <c r="BB33" s="1202"/>
      <c r="BC33" s="1202"/>
      <c r="BD33" s="1202"/>
      <c r="BE33" s="1202"/>
    </row>
    <row r="34" spans="1:57" x14ac:dyDescent="0.2">
      <c r="A34" s="411" t="s">
        <v>194</v>
      </c>
      <c r="B34" s="13" t="s">
        <v>176</v>
      </c>
      <c r="C34" s="13"/>
      <c r="D34" s="14"/>
      <c r="E34" s="14"/>
      <c r="F34" s="14"/>
      <c r="G34" s="14"/>
      <c r="H34" s="14"/>
      <c r="I34" s="14"/>
      <c r="J34" s="14"/>
      <c r="K34" s="14"/>
      <c r="L34" s="14"/>
      <c r="M34" s="14"/>
      <c r="N34" s="14"/>
      <c r="O34" s="14"/>
      <c r="P34" s="14"/>
      <c r="Q34" s="14"/>
      <c r="R34" s="14"/>
      <c r="S34" s="14"/>
      <c r="T34" s="14"/>
      <c r="U34" s="14"/>
      <c r="V34" s="14"/>
      <c r="W34" s="14"/>
      <c r="X34" s="14"/>
      <c r="Y34" s="14"/>
      <c r="Z34" s="14"/>
      <c r="AA34" s="14"/>
      <c r="AB34" s="14"/>
      <c r="AC34" s="14"/>
      <c r="AD34" s="14"/>
      <c r="AE34" s="14"/>
      <c r="AF34" s="14"/>
      <c r="AG34" s="14"/>
      <c r="AH34" s="14"/>
      <c r="AI34" s="14"/>
      <c r="AJ34" s="14"/>
      <c r="AK34" s="14"/>
      <c r="AL34" s="14"/>
      <c r="AM34" s="14"/>
      <c r="AN34" s="14"/>
      <c r="AO34" s="14"/>
      <c r="AP34" s="14"/>
      <c r="AQ34" s="14"/>
      <c r="AS34" s="13" t="s">
        <v>176</v>
      </c>
      <c r="AT34" s="13"/>
      <c r="AU34" s="13"/>
      <c r="AV34" s="13"/>
      <c r="AW34" s="13"/>
      <c r="AX34" s="13"/>
      <c r="AY34" s="13"/>
      <c r="AZ34" s="13"/>
      <c r="BA34" s="13"/>
      <c r="BB34" s="13"/>
      <c r="BC34" s="13"/>
      <c r="BD34" s="13"/>
      <c r="BE34" s="13"/>
    </row>
    <row r="35" spans="1:57" x14ac:dyDescent="0.2">
      <c r="B35" s="16"/>
      <c r="C35" s="16"/>
      <c r="D35" s="15"/>
      <c r="E35" s="15"/>
      <c r="F35" s="15"/>
      <c r="G35" s="15"/>
      <c r="H35" s="15"/>
      <c r="I35" s="15"/>
      <c r="J35" s="15"/>
      <c r="K35" s="15"/>
      <c r="L35" s="15"/>
      <c r="M35" s="15"/>
      <c r="N35" s="15"/>
      <c r="O35" s="15"/>
      <c r="P35" s="15"/>
      <c r="Q35" s="15"/>
      <c r="R35" s="15"/>
      <c r="S35" s="15"/>
      <c r="T35" s="15"/>
      <c r="U35" s="15"/>
      <c r="V35" s="15"/>
      <c r="W35" s="15"/>
      <c r="X35" s="15"/>
      <c r="Y35" s="15"/>
      <c r="Z35" s="15"/>
      <c r="AA35" s="15"/>
      <c r="AB35" s="15"/>
      <c r="AC35" s="15"/>
      <c r="AD35" s="15"/>
      <c r="AE35" s="15"/>
      <c r="AF35" s="15"/>
      <c r="AG35" s="15"/>
      <c r="AH35" s="15"/>
      <c r="AI35" s="15"/>
      <c r="AJ35" s="15"/>
      <c r="AK35" s="15"/>
      <c r="AL35" s="15"/>
      <c r="AM35" s="15"/>
      <c r="AN35" s="15"/>
      <c r="AO35" s="15"/>
      <c r="AP35" s="15"/>
      <c r="AQ35" s="15"/>
      <c r="AS35" s="16"/>
      <c r="AT35" s="16"/>
    </row>
    <row r="36" spans="1:57" x14ac:dyDescent="0.2">
      <c r="B36" s="16" t="s">
        <v>640</v>
      </c>
      <c r="C36" s="16"/>
      <c r="D36" s="15"/>
      <c r="E36" s="15"/>
      <c r="F36" s="15"/>
      <c r="G36" s="15"/>
      <c r="H36" s="15"/>
      <c r="I36" s="15"/>
      <c r="J36" s="15"/>
      <c r="K36" s="15"/>
      <c r="L36" s="15"/>
      <c r="M36" s="15"/>
      <c r="N36" s="15"/>
      <c r="O36" s="15"/>
      <c r="P36" s="15"/>
      <c r="Q36" s="15"/>
      <c r="R36" s="15"/>
      <c r="S36" s="15"/>
      <c r="T36" s="15"/>
      <c r="U36" s="15"/>
      <c r="V36" s="15"/>
      <c r="W36" s="15"/>
      <c r="X36" s="15"/>
      <c r="Y36" s="15"/>
      <c r="Z36" s="15"/>
      <c r="AA36" s="15"/>
      <c r="AB36" s="15"/>
      <c r="AC36" s="15"/>
      <c r="AD36" s="15"/>
      <c r="AE36" s="15"/>
      <c r="AF36" s="15"/>
      <c r="AG36" s="15"/>
      <c r="AH36" s="15"/>
      <c r="AI36" s="15"/>
      <c r="AJ36" s="15"/>
      <c r="AK36" s="15"/>
      <c r="AL36" s="15"/>
      <c r="AM36" s="15"/>
      <c r="AN36" s="15"/>
      <c r="AO36" s="15"/>
      <c r="AP36" s="15"/>
      <c r="AQ36" s="15"/>
      <c r="AS36" s="16" t="s">
        <v>636</v>
      </c>
      <c r="AT36" s="16"/>
    </row>
    <row r="37" spans="1:57" x14ac:dyDescent="0.2">
      <c r="B37" s="16"/>
      <c r="C37" s="17" t="s">
        <v>100</v>
      </c>
      <c r="D37" s="34">
        <f t="shared" ref="D37:AE37" si="90">D113</f>
        <v>6512</v>
      </c>
      <c r="E37" s="34">
        <f t="shared" si="90"/>
        <v>6378</v>
      </c>
      <c r="F37" s="34">
        <f t="shared" si="90"/>
        <v>6550</v>
      </c>
      <c r="G37" s="34">
        <f t="shared" si="90"/>
        <v>6667</v>
      </c>
      <c r="H37" s="34">
        <f t="shared" si="90"/>
        <v>6551</v>
      </c>
      <c r="I37" s="34">
        <f t="shared" si="90"/>
        <v>6465</v>
      </c>
      <c r="J37" s="34">
        <f t="shared" si="90"/>
        <v>6523</v>
      </c>
      <c r="K37" s="34">
        <f t="shared" si="90"/>
        <v>6744</v>
      </c>
      <c r="L37" s="34">
        <f t="shared" si="90"/>
        <v>6523</v>
      </c>
      <c r="M37" s="34">
        <f t="shared" si="90"/>
        <v>6635</v>
      </c>
      <c r="N37" s="34">
        <f t="shared" si="90"/>
        <v>6833</v>
      </c>
      <c r="O37" s="34">
        <f t="shared" si="90"/>
        <v>6807</v>
      </c>
      <c r="P37" s="34">
        <f t="shared" si="90"/>
        <v>6400</v>
      </c>
      <c r="Q37" s="34">
        <f t="shared" si="90"/>
        <v>6404</v>
      </c>
      <c r="R37" s="34">
        <f t="shared" si="90"/>
        <v>6460</v>
      </c>
      <c r="S37" s="34">
        <f t="shared" si="90"/>
        <v>6488</v>
      </c>
      <c r="T37" s="34">
        <f t="shared" si="90"/>
        <v>6352</v>
      </c>
      <c r="U37" s="34">
        <f t="shared" si="90"/>
        <v>6308</v>
      </c>
      <c r="V37" s="34">
        <f t="shared" si="90"/>
        <v>6709</v>
      </c>
      <c r="W37" s="34">
        <f t="shared" si="90"/>
        <v>6656</v>
      </c>
      <c r="X37" s="34">
        <f t="shared" si="90"/>
        <v>6579</v>
      </c>
      <c r="Y37" s="34">
        <f t="shared" ref="Y37:Z37" si="91">Y113</f>
        <v>6760</v>
      </c>
      <c r="Z37" s="34">
        <f t="shared" si="91"/>
        <v>7071</v>
      </c>
      <c r="AA37" s="34">
        <f t="shared" ref="AA37:AB37" si="92">AA113</f>
        <v>7015</v>
      </c>
      <c r="AB37" s="34">
        <f t="shared" si="92"/>
        <v>6980</v>
      </c>
      <c r="AC37" s="34">
        <f t="shared" si="90"/>
        <v>7045.8570373972598</v>
      </c>
      <c r="AD37" s="34">
        <f t="shared" si="90"/>
        <v>7300.8720467041112</v>
      </c>
      <c r="AE37" s="34">
        <f t="shared" si="90"/>
        <v>7426.6195621957813</v>
      </c>
      <c r="AF37" s="34">
        <f t="shared" ref="AF37:AI37" si="93">AF113</f>
        <v>7245.5953362003247</v>
      </c>
      <c r="AG37" s="34">
        <f t="shared" si="93"/>
        <v>7410.5333373880994</v>
      </c>
      <c r="AH37" s="34">
        <f t="shared" si="93"/>
        <v>7648.1544421082681</v>
      </c>
      <c r="AI37" s="34">
        <f t="shared" si="93"/>
        <v>7806.7269010558457</v>
      </c>
      <c r="AJ37" s="34"/>
      <c r="AK37" s="34"/>
      <c r="AL37" s="34"/>
      <c r="AM37" s="34"/>
      <c r="AN37" s="34"/>
      <c r="AO37" s="34"/>
      <c r="AP37" s="34"/>
      <c r="AQ37" s="34"/>
      <c r="AS37" s="16"/>
      <c r="AT37" s="17" t="s">
        <v>100</v>
      </c>
      <c r="AU37" s="34">
        <f t="shared" ref="AU37:BD37" si="94">AU113</f>
        <v>26107</v>
      </c>
      <c r="AV37" s="34">
        <f t="shared" si="94"/>
        <v>26283</v>
      </c>
      <c r="AW37" s="34">
        <f t="shared" si="94"/>
        <v>26798</v>
      </c>
      <c r="AX37" s="34">
        <f t="shared" si="94"/>
        <v>25752</v>
      </c>
      <c r="AY37" s="34">
        <f t="shared" si="94"/>
        <v>26025</v>
      </c>
      <c r="AZ37" s="34">
        <f t="shared" si="94"/>
        <v>27425</v>
      </c>
      <c r="BA37" s="34">
        <f t="shared" si="94"/>
        <v>28753.348646297152</v>
      </c>
      <c r="BB37" s="34">
        <f t="shared" ref="BB37" si="95">BB113</f>
        <v>30111.010016752538</v>
      </c>
      <c r="BC37" s="34">
        <f t="shared" si="94"/>
        <v>31528.158214734001</v>
      </c>
      <c r="BD37" s="34">
        <f t="shared" si="94"/>
        <v>32953.191752933883</v>
      </c>
      <c r="BE37" s="34">
        <f t="shared" ref="BE37" si="96">BE113</f>
        <v>34267.66180017728</v>
      </c>
    </row>
    <row r="38" spans="1:57" x14ac:dyDescent="0.2">
      <c r="B38" s="16"/>
      <c r="C38" s="17" t="s">
        <v>182</v>
      </c>
      <c r="D38" s="34">
        <f t="shared" ref="D38:AE38" si="97">D510</f>
        <v>3930</v>
      </c>
      <c r="E38" s="34">
        <f t="shared" si="97"/>
        <v>3897</v>
      </c>
      <c r="F38" s="34">
        <f t="shared" si="97"/>
        <v>4064</v>
      </c>
      <c r="G38" s="34">
        <f t="shared" si="97"/>
        <v>4217</v>
      </c>
      <c r="H38" s="34">
        <f t="shared" si="97"/>
        <v>3876</v>
      </c>
      <c r="I38" s="34">
        <f t="shared" si="97"/>
        <v>3987</v>
      </c>
      <c r="J38" s="34">
        <f t="shared" si="97"/>
        <v>3846</v>
      </c>
      <c r="K38" s="34">
        <f t="shared" si="97"/>
        <v>3933</v>
      </c>
      <c r="L38" s="34">
        <f t="shared" si="97"/>
        <v>3858</v>
      </c>
      <c r="M38" s="34">
        <f t="shared" si="97"/>
        <v>3857</v>
      </c>
      <c r="N38" s="34">
        <f t="shared" si="97"/>
        <v>4050</v>
      </c>
      <c r="O38" s="34">
        <f t="shared" si="97"/>
        <v>4096</v>
      </c>
      <c r="P38" s="34">
        <f t="shared" si="97"/>
        <v>3761</v>
      </c>
      <c r="Q38" s="34">
        <f t="shared" si="97"/>
        <v>4006</v>
      </c>
      <c r="R38" s="34">
        <f t="shared" si="97"/>
        <v>3985</v>
      </c>
      <c r="S38" s="34">
        <f t="shared" si="97"/>
        <v>3916</v>
      </c>
      <c r="T38" s="34">
        <f t="shared" si="97"/>
        <v>3985</v>
      </c>
      <c r="U38" s="34">
        <f t="shared" si="97"/>
        <v>4108</v>
      </c>
      <c r="V38" s="34">
        <f t="shared" si="97"/>
        <v>4064</v>
      </c>
      <c r="W38" s="34">
        <f t="shared" si="97"/>
        <v>3937</v>
      </c>
      <c r="X38" s="34">
        <f t="shared" si="97"/>
        <v>3818</v>
      </c>
      <c r="Y38" s="34">
        <f t="shared" ref="Y38:Z38" si="98">Y510</f>
        <v>4001</v>
      </c>
      <c r="Z38" s="34">
        <f t="shared" si="98"/>
        <v>3948</v>
      </c>
      <c r="AA38" s="34">
        <f t="shared" ref="AA38:AB38" si="99">AA510</f>
        <v>3869</v>
      </c>
      <c r="AB38" s="34">
        <f t="shared" si="99"/>
        <v>3654</v>
      </c>
      <c r="AC38" s="34">
        <f t="shared" si="97"/>
        <v>3965.5755616438364</v>
      </c>
      <c r="AD38" s="34">
        <f t="shared" si="97"/>
        <v>4113.522034520548</v>
      </c>
      <c r="AE38" s="34">
        <f t="shared" si="97"/>
        <v>4309.9095381041097</v>
      </c>
      <c r="AF38" s="34">
        <f t="shared" ref="AF38:AI38" si="100">AF510</f>
        <v>4390.1347564084926</v>
      </c>
      <c r="AG38" s="34">
        <f t="shared" si="100"/>
        <v>4573.8932540695914</v>
      </c>
      <c r="AH38" s="34">
        <f t="shared" si="100"/>
        <v>4835.5124342030194</v>
      </c>
      <c r="AI38" s="34">
        <f t="shared" si="100"/>
        <v>5054.5467845641951</v>
      </c>
      <c r="AJ38" s="34"/>
      <c r="AK38" s="34"/>
      <c r="AL38" s="34"/>
      <c r="AM38" s="34"/>
      <c r="AN38" s="34"/>
      <c r="AO38" s="34"/>
      <c r="AP38" s="34"/>
      <c r="AQ38" s="34"/>
      <c r="AS38" s="16"/>
      <c r="AT38" s="17" t="s">
        <v>182</v>
      </c>
      <c r="AU38" s="34">
        <f t="shared" ref="AU38:BD38" si="101">AU510</f>
        <v>16108</v>
      </c>
      <c r="AV38" s="34">
        <f t="shared" si="101"/>
        <v>15642</v>
      </c>
      <c r="AW38" s="34">
        <f t="shared" si="101"/>
        <v>15861</v>
      </c>
      <c r="AX38" s="34">
        <f t="shared" si="101"/>
        <v>15668</v>
      </c>
      <c r="AY38" s="34">
        <f t="shared" si="101"/>
        <v>16094</v>
      </c>
      <c r="AZ38" s="34">
        <f t="shared" si="101"/>
        <v>15636</v>
      </c>
      <c r="BA38" s="34">
        <f t="shared" si="101"/>
        <v>16043.007134268495</v>
      </c>
      <c r="BB38" s="34">
        <f t="shared" ref="BB38" si="102">BB510</f>
        <v>18854.087229245299</v>
      </c>
      <c r="BC38" s="34">
        <f t="shared" si="101"/>
        <v>20910.249333264223</v>
      </c>
      <c r="BD38" s="34">
        <f t="shared" si="101"/>
        <v>22804.235378642577</v>
      </c>
      <c r="BE38" s="34">
        <f t="shared" ref="BE38" si="103">BE510</f>
        <v>24628.574208933984</v>
      </c>
    </row>
    <row r="39" spans="1:57" x14ac:dyDescent="0.2">
      <c r="B39" s="44"/>
      <c r="C39" s="29" t="s">
        <v>183</v>
      </c>
      <c r="D39" s="41">
        <f t="shared" ref="D39:AE39" si="104">D638</f>
        <v>1274</v>
      </c>
      <c r="E39" s="41">
        <f t="shared" si="104"/>
        <v>1068</v>
      </c>
      <c r="F39" s="41">
        <f t="shared" si="104"/>
        <v>1097</v>
      </c>
      <c r="G39" s="41">
        <f t="shared" si="104"/>
        <v>1032</v>
      </c>
      <c r="H39" s="41">
        <f t="shared" si="104"/>
        <v>1203</v>
      </c>
      <c r="I39" s="41">
        <f t="shared" si="104"/>
        <v>1230</v>
      </c>
      <c r="J39" s="41">
        <f t="shared" si="104"/>
        <v>1142</v>
      </c>
      <c r="K39" s="41">
        <f t="shared" si="104"/>
        <v>1293</v>
      </c>
      <c r="L39" s="41">
        <f t="shared" si="104"/>
        <v>1378</v>
      </c>
      <c r="M39" s="41">
        <f t="shared" si="104"/>
        <v>1454</v>
      </c>
      <c r="N39" s="41">
        <f t="shared" si="104"/>
        <v>1304</v>
      </c>
      <c r="O39" s="41">
        <f t="shared" si="104"/>
        <v>1198</v>
      </c>
      <c r="P39" s="41">
        <f t="shared" si="104"/>
        <v>1411</v>
      </c>
      <c r="Q39" s="41">
        <f t="shared" si="104"/>
        <v>1412</v>
      </c>
      <c r="R39" s="41">
        <f t="shared" si="104"/>
        <v>1328</v>
      </c>
      <c r="S39" s="41">
        <f t="shared" si="104"/>
        <v>1059</v>
      </c>
      <c r="T39" s="41">
        <f t="shared" si="104"/>
        <v>890</v>
      </c>
      <c r="U39" s="41">
        <f t="shared" si="104"/>
        <v>820</v>
      </c>
      <c r="V39" s="41">
        <f t="shared" si="104"/>
        <v>706</v>
      </c>
      <c r="W39" s="41">
        <f t="shared" si="104"/>
        <v>569</v>
      </c>
      <c r="X39" s="41">
        <f t="shared" si="104"/>
        <v>558</v>
      </c>
      <c r="Y39" s="41">
        <f t="shared" ref="Y39:Z39" si="105">Y638</f>
        <v>497</v>
      </c>
      <c r="Z39" s="41">
        <f t="shared" si="105"/>
        <v>516</v>
      </c>
      <c r="AA39" s="41">
        <f t="shared" ref="AA39:AB39" si="106">AA638</f>
        <v>429</v>
      </c>
      <c r="AB39" s="41">
        <f t="shared" si="106"/>
        <v>538</v>
      </c>
      <c r="AC39" s="41">
        <f t="shared" si="104"/>
        <v>378.75945205479445</v>
      </c>
      <c r="AD39" s="41">
        <f t="shared" si="104"/>
        <v>362.38724383561646</v>
      </c>
      <c r="AE39" s="41">
        <f t="shared" si="104"/>
        <v>343.01839561643834</v>
      </c>
      <c r="AF39" s="41">
        <f t="shared" ref="AF39:AI39" si="107">AF638</f>
        <v>313.88765819178082</v>
      </c>
      <c r="AG39" s="41">
        <f t="shared" si="107"/>
        <v>296.9779822224657</v>
      </c>
      <c r="AH39" s="41">
        <f t="shared" si="107"/>
        <v>283.62921743773285</v>
      </c>
      <c r="AI39" s="41">
        <f t="shared" si="107"/>
        <v>268.07799797623289</v>
      </c>
      <c r="AJ39" s="232"/>
      <c r="AK39" s="232"/>
      <c r="AL39" s="232"/>
      <c r="AM39" s="232"/>
      <c r="AN39" s="232"/>
      <c r="AO39" s="232"/>
      <c r="AP39" s="232"/>
      <c r="AQ39" s="232"/>
      <c r="AS39" s="44"/>
      <c r="AT39" s="29" t="s">
        <v>183</v>
      </c>
      <c r="AU39" s="41">
        <f t="shared" ref="AU39:BD39" si="108">AU638</f>
        <v>4471</v>
      </c>
      <c r="AV39" s="41">
        <f t="shared" si="108"/>
        <v>4868</v>
      </c>
      <c r="AW39" s="41">
        <f t="shared" si="108"/>
        <v>5334</v>
      </c>
      <c r="AX39" s="41">
        <f t="shared" si="108"/>
        <v>5210</v>
      </c>
      <c r="AY39" s="41">
        <f t="shared" si="108"/>
        <v>2985</v>
      </c>
      <c r="AZ39" s="41">
        <f t="shared" si="108"/>
        <v>2000</v>
      </c>
      <c r="BA39" s="41">
        <f t="shared" si="108"/>
        <v>1622.1650915068492</v>
      </c>
      <c r="BB39" s="41">
        <f t="shared" ref="BB39" si="109">BB638</f>
        <v>1162.5728558282121</v>
      </c>
      <c r="BC39" s="41">
        <f t="shared" si="108"/>
        <v>917.977158421068</v>
      </c>
      <c r="BD39" s="41">
        <f t="shared" si="108"/>
        <v>726.80770160797692</v>
      </c>
      <c r="BE39" s="41">
        <f t="shared" ref="BE39" si="110">BE638</f>
        <v>576.90174620905486</v>
      </c>
    </row>
    <row r="40" spans="1:57" x14ac:dyDescent="0.2">
      <c r="B40" s="16"/>
      <c r="C40" s="317" t="s">
        <v>641</v>
      </c>
      <c r="D40" s="34">
        <f t="shared" ref="D40:AE40" si="111">SUM(D37:D39)</f>
        <v>11716</v>
      </c>
      <c r="E40" s="34">
        <f t="shared" si="111"/>
        <v>11343</v>
      </c>
      <c r="F40" s="34">
        <f t="shared" si="111"/>
        <v>11711</v>
      </c>
      <c r="G40" s="34">
        <f t="shared" si="111"/>
        <v>11916</v>
      </c>
      <c r="H40" s="34">
        <f t="shared" si="111"/>
        <v>11630</v>
      </c>
      <c r="I40" s="34">
        <f t="shared" si="111"/>
        <v>11682</v>
      </c>
      <c r="J40" s="34">
        <f t="shared" si="111"/>
        <v>11511</v>
      </c>
      <c r="K40" s="34">
        <f t="shared" si="111"/>
        <v>11970</v>
      </c>
      <c r="L40" s="34">
        <f t="shared" si="111"/>
        <v>11759</v>
      </c>
      <c r="M40" s="34">
        <f t="shared" si="111"/>
        <v>11946</v>
      </c>
      <c r="N40" s="34">
        <f t="shared" si="111"/>
        <v>12187</v>
      </c>
      <c r="O40" s="34">
        <f t="shared" si="111"/>
        <v>12101</v>
      </c>
      <c r="P40" s="34">
        <f t="shared" si="111"/>
        <v>11572</v>
      </c>
      <c r="Q40" s="34">
        <f t="shared" si="111"/>
        <v>11822</v>
      </c>
      <c r="R40" s="34">
        <f t="shared" si="111"/>
        <v>11773</v>
      </c>
      <c r="S40" s="34">
        <f t="shared" si="111"/>
        <v>11463</v>
      </c>
      <c r="T40" s="34">
        <f t="shared" si="111"/>
        <v>11227</v>
      </c>
      <c r="U40" s="34">
        <f t="shared" si="111"/>
        <v>11236</v>
      </c>
      <c r="V40" s="34">
        <f t="shared" si="111"/>
        <v>11479</v>
      </c>
      <c r="W40" s="34">
        <f t="shared" si="111"/>
        <v>11162</v>
      </c>
      <c r="X40" s="34">
        <f t="shared" si="111"/>
        <v>10955</v>
      </c>
      <c r="Y40" s="34">
        <f t="shared" ref="Y40:Z40" si="112">SUM(Y37:Y39)</f>
        <v>11258</v>
      </c>
      <c r="Z40" s="34">
        <f t="shared" si="112"/>
        <v>11535</v>
      </c>
      <c r="AA40" s="34">
        <f t="shared" ref="AA40:AB40" si="113">SUM(AA37:AA39)</f>
        <v>11313</v>
      </c>
      <c r="AB40" s="34">
        <f t="shared" si="113"/>
        <v>11172</v>
      </c>
      <c r="AC40" s="34">
        <f t="shared" si="111"/>
        <v>11390.19205109589</v>
      </c>
      <c r="AD40" s="34">
        <f t="shared" si="111"/>
        <v>11776.781325060274</v>
      </c>
      <c r="AE40" s="34">
        <f t="shared" si="111"/>
        <v>12079.547495916329</v>
      </c>
      <c r="AF40" s="34">
        <f t="shared" ref="AF40:AI40" si="114">SUM(AF37:AF39)</f>
        <v>11949.617750800599</v>
      </c>
      <c r="AG40" s="34">
        <f t="shared" si="114"/>
        <v>12281.404573680156</v>
      </c>
      <c r="AH40" s="34">
        <f t="shared" si="114"/>
        <v>12767.296093749019</v>
      </c>
      <c r="AI40" s="34">
        <f t="shared" si="114"/>
        <v>13129.351683596275</v>
      </c>
      <c r="AJ40" s="34"/>
      <c r="AK40" s="34"/>
      <c r="AL40" s="34"/>
      <c r="AM40" s="34"/>
      <c r="AN40" s="34"/>
      <c r="AO40" s="34"/>
      <c r="AP40" s="34"/>
      <c r="AQ40" s="34"/>
      <c r="AS40" s="16"/>
      <c r="AT40" s="317" t="s">
        <v>641</v>
      </c>
      <c r="AU40" s="34">
        <f t="shared" ref="AU40:BD40" si="115">SUM(AU37:AU39)</f>
        <v>46686</v>
      </c>
      <c r="AV40" s="34">
        <f t="shared" si="115"/>
        <v>46793</v>
      </c>
      <c r="AW40" s="34">
        <f t="shared" si="115"/>
        <v>47993</v>
      </c>
      <c r="AX40" s="34">
        <f t="shared" si="115"/>
        <v>46630</v>
      </c>
      <c r="AY40" s="34">
        <f t="shared" si="115"/>
        <v>45104</v>
      </c>
      <c r="AZ40" s="34">
        <f t="shared" si="115"/>
        <v>45061</v>
      </c>
      <c r="BA40" s="34">
        <f t="shared" si="115"/>
        <v>46418.520872072491</v>
      </c>
      <c r="BB40" s="34">
        <f t="shared" ref="BB40" si="116">SUM(BB37:BB39)</f>
        <v>50127.67010182605</v>
      </c>
      <c r="BC40" s="34">
        <f t="shared" si="115"/>
        <v>53356.384706419296</v>
      </c>
      <c r="BD40" s="34">
        <f t="shared" si="115"/>
        <v>56484.234833184441</v>
      </c>
      <c r="BE40" s="34">
        <f t="shared" ref="BE40" si="117">SUM(BE37:BE39)</f>
        <v>59473.13775532032</v>
      </c>
    </row>
    <row r="41" spans="1:57" x14ac:dyDescent="0.2">
      <c r="B41" s="16"/>
      <c r="C41" s="317" t="s">
        <v>638</v>
      </c>
      <c r="D41" s="34">
        <f t="shared" ref="D41:AE41" si="118">D755</f>
        <v>11850</v>
      </c>
      <c r="E41" s="34">
        <f t="shared" si="118"/>
        <v>11559</v>
      </c>
      <c r="F41" s="34">
        <f t="shared" si="118"/>
        <v>11880</v>
      </c>
      <c r="G41" s="34">
        <f t="shared" si="118"/>
        <v>12049</v>
      </c>
      <c r="H41" s="34">
        <f t="shared" si="118"/>
        <v>11757</v>
      </c>
      <c r="I41" s="34">
        <f t="shared" si="118"/>
        <v>11824</v>
      </c>
      <c r="J41" s="34">
        <f t="shared" si="118"/>
        <v>11636</v>
      </c>
      <c r="K41" s="34">
        <f t="shared" si="118"/>
        <v>12097</v>
      </c>
      <c r="L41" s="34">
        <f t="shared" si="118"/>
        <v>11887</v>
      </c>
      <c r="M41" s="34">
        <f t="shared" si="118"/>
        <v>12067</v>
      </c>
      <c r="N41" s="34">
        <f t="shared" si="118"/>
        <v>12311</v>
      </c>
      <c r="O41" s="34">
        <f t="shared" si="118"/>
        <v>12225</v>
      </c>
      <c r="P41" s="34">
        <f t="shared" si="118"/>
        <v>11695</v>
      </c>
      <c r="Q41" s="34">
        <f t="shared" si="118"/>
        <v>11949</v>
      </c>
      <c r="R41" s="34">
        <f t="shared" si="118"/>
        <v>11889</v>
      </c>
      <c r="S41" s="34">
        <f t="shared" si="118"/>
        <v>11591</v>
      </c>
      <c r="T41" s="34">
        <f t="shared" si="118"/>
        <v>11346</v>
      </c>
      <c r="U41" s="34">
        <f t="shared" si="118"/>
        <v>11351</v>
      </c>
      <c r="V41" s="34">
        <f t="shared" si="118"/>
        <v>11593</v>
      </c>
      <c r="W41" s="34">
        <f t="shared" si="118"/>
        <v>11275</v>
      </c>
      <c r="X41" s="34">
        <f t="shared" si="118"/>
        <v>11078</v>
      </c>
      <c r="Y41" s="34">
        <f t="shared" ref="Y41:Z41" si="119">Y755</f>
        <v>11380</v>
      </c>
      <c r="Z41" s="34">
        <f t="shared" si="119"/>
        <v>11658</v>
      </c>
      <c r="AA41" s="34">
        <f t="shared" ref="AA41:AB41" si="120">AA755</f>
        <v>11441</v>
      </c>
      <c r="AB41" s="34">
        <f t="shared" si="120"/>
        <v>11236</v>
      </c>
      <c r="AC41" s="34">
        <f t="shared" si="118"/>
        <v>11466.590789838856</v>
      </c>
      <c r="AD41" s="34">
        <f t="shared" si="118"/>
        <v>11853.038702033275</v>
      </c>
      <c r="AE41" s="34">
        <f t="shared" si="118"/>
        <v>12158.20080100847</v>
      </c>
      <c r="AF41" s="34">
        <f t="shared" ref="AF41:AI41" si="121">AF755</f>
        <v>12014.964534956456</v>
      </c>
      <c r="AG41" s="34">
        <f t="shared" si="121"/>
        <v>12359.694025665238</v>
      </c>
      <c r="AH41" s="34">
        <f t="shared" si="121"/>
        <v>12845.881714910509</v>
      </c>
      <c r="AI41" s="34">
        <f t="shared" si="121"/>
        <v>13210.868164188989</v>
      </c>
      <c r="AJ41" s="34"/>
      <c r="AK41" s="34"/>
      <c r="AL41" s="34"/>
      <c r="AM41" s="34"/>
      <c r="AN41" s="34"/>
      <c r="AO41" s="34"/>
      <c r="AP41" s="34"/>
      <c r="AQ41" s="34"/>
      <c r="AS41" s="16"/>
      <c r="AT41" s="317" t="s">
        <v>638</v>
      </c>
      <c r="AU41" s="34">
        <f t="shared" ref="AU41:BD41" si="122">AU755</f>
        <v>47338</v>
      </c>
      <c r="AV41" s="34">
        <f t="shared" si="122"/>
        <v>47314</v>
      </c>
      <c r="AW41" s="34">
        <f t="shared" si="122"/>
        <v>48490</v>
      </c>
      <c r="AX41" s="34">
        <f t="shared" si="122"/>
        <v>47124</v>
      </c>
      <c r="AY41" s="34">
        <f t="shared" si="122"/>
        <v>45565</v>
      </c>
      <c r="AZ41" s="34">
        <f t="shared" si="122"/>
        <v>45557</v>
      </c>
      <c r="BA41" s="34">
        <f t="shared" si="122"/>
        <v>46713.830292880593</v>
      </c>
      <c r="BB41" s="34">
        <f t="shared" ref="BB41" si="123">BB755</f>
        <v>50431.408439721185</v>
      </c>
      <c r="BC41" s="34">
        <f t="shared" si="122"/>
        <v>53668.280013172516</v>
      </c>
      <c r="BD41" s="34">
        <f t="shared" si="122"/>
        <v>56806.723198482418</v>
      </c>
      <c r="BE41" s="34">
        <f t="shared" ref="BE41" si="124">BE755</f>
        <v>59806.111927837759</v>
      </c>
    </row>
    <row r="42" spans="1:57" x14ac:dyDescent="0.2">
      <c r="B42" s="16"/>
      <c r="C42" s="317"/>
      <c r="D42" s="15"/>
      <c r="E42" s="15"/>
      <c r="F42" s="15"/>
      <c r="G42" s="15"/>
      <c r="H42" s="15"/>
      <c r="I42" s="15"/>
      <c r="J42" s="15"/>
      <c r="K42" s="15"/>
      <c r="L42" s="15"/>
      <c r="M42" s="15"/>
      <c r="N42" s="15"/>
      <c r="O42" s="15"/>
      <c r="P42" s="15"/>
      <c r="Q42" s="15"/>
      <c r="R42" s="15"/>
      <c r="S42" s="15"/>
      <c r="T42" s="15"/>
      <c r="U42" s="15"/>
      <c r="V42" s="15"/>
      <c r="W42" s="15"/>
      <c r="X42" s="15"/>
      <c r="Y42" s="15"/>
      <c r="Z42" s="15"/>
      <c r="AA42" s="15"/>
      <c r="AB42" s="15"/>
      <c r="AC42" s="15"/>
      <c r="AD42" s="15"/>
      <c r="AE42" s="15"/>
      <c r="AF42" s="15"/>
      <c r="AG42" s="15"/>
      <c r="AH42" s="15"/>
      <c r="AI42" s="15"/>
      <c r="AJ42" s="15"/>
      <c r="AK42" s="15"/>
      <c r="AL42" s="15"/>
      <c r="AM42" s="15"/>
      <c r="AN42" s="15"/>
      <c r="AO42" s="15"/>
      <c r="AP42" s="15"/>
      <c r="AQ42" s="15"/>
      <c r="AS42" s="16"/>
      <c r="AT42" s="317"/>
      <c r="AU42" s="15"/>
      <c r="AV42" s="15"/>
      <c r="AW42" s="15"/>
      <c r="AX42" s="15"/>
      <c r="AY42" s="34"/>
      <c r="AZ42" s="34"/>
      <c r="BA42" s="34"/>
      <c r="BB42" s="34"/>
      <c r="BC42" s="15"/>
      <c r="BD42" s="15"/>
      <c r="BE42" s="15"/>
    </row>
    <row r="43" spans="1:57" x14ac:dyDescent="0.2">
      <c r="B43" s="16" t="s">
        <v>637</v>
      </c>
      <c r="C43" s="16"/>
      <c r="D43" s="15"/>
      <c r="E43" s="15"/>
      <c r="F43" s="15"/>
      <c r="G43" s="15"/>
      <c r="H43" s="15"/>
      <c r="I43" s="15"/>
      <c r="J43" s="15"/>
      <c r="K43" s="15"/>
      <c r="L43" s="15"/>
      <c r="M43" s="15"/>
      <c r="N43" s="15"/>
      <c r="O43" s="15"/>
      <c r="P43" s="15"/>
      <c r="Q43" s="15"/>
      <c r="R43" s="15"/>
      <c r="S43" s="15"/>
      <c r="T43" s="15"/>
      <c r="U43" s="15"/>
      <c r="V43" s="15"/>
      <c r="W43" s="15"/>
      <c r="X43" s="15"/>
      <c r="Y43" s="15"/>
      <c r="Z43" s="15"/>
      <c r="AA43" s="15"/>
      <c r="AB43" s="15"/>
      <c r="AC43" s="15"/>
      <c r="AD43" s="15"/>
      <c r="AE43" s="15"/>
      <c r="AF43" s="15"/>
      <c r="AG43" s="15"/>
      <c r="AH43" s="15"/>
      <c r="AI43" s="15"/>
      <c r="AJ43" s="15"/>
      <c r="AK43" s="15"/>
      <c r="AL43" s="15"/>
      <c r="AM43" s="15"/>
      <c r="AN43" s="15"/>
      <c r="AO43" s="15"/>
      <c r="AP43" s="15"/>
      <c r="AQ43" s="15"/>
      <c r="AS43" s="16" t="s">
        <v>637</v>
      </c>
      <c r="AT43" s="16"/>
      <c r="AU43" s="15"/>
      <c r="AV43" s="15"/>
      <c r="AW43" s="15"/>
      <c r="AX43" s="15"/>
      <c r="AY43" s="15"/>
      <c r="AZ43" s="15"/>
      <c r="BA43" s="15"/>
      <c r="BB43" s="15"/>
      <c r="BC43" s="15"/>
      <c r="BD43" s="15"/>
      <c r="BE43" s="15"/>
    </row>
    <row r="44" spans="1:57" x14ac:dyDescent="0.2">
      <c r="B44" s="16"/>
      <c r="C44" s="17" t="s">
        <v>100</v>
      </c>
      <c r="D44" s="34">
        <f t="shared" ref="D44:AE44" si="125">D114</f>
        <v>2207</v>
      </c>
      <c r="E44" s="34">
        <f t="shared" si="125"/>
        <v>2166</v>
      </c>
      <c r="F44" s="34">
        <f t="shared" si="125"/>
        <v>2390</v>
      </c>
      <c r="G44" s="34">
        <f t="shared" si="125"/>
        <v>2321</v>
      </c>
      <c r="H44" s="34">
        <f t="shared" si="125"/>
        <v>2233</v>
      </c>
      <c r="I44" s="34">
        <f t="shared" si="125"/>
        <v>2298</v>
      </c>
      <c r="J44" s="34">
        <f t="shared" si="125"/>
        <v>1789</v>
      </c>
      <c r="K44" s="34">
        <f t="shared" si="125"/>
        <v>1792</v>
      </c>
      <c r="L44" s="34">
        <f t="shared" si="125"/>
        <v>1843</v>
      </c>
      <c r="M44" s="34">
        <f t="shared" si="125"/>
        <v>1845</v>
      </c>
      <c r="N44" s="34">
        <f t="shared" si="125"/>
        <v>1932</v>
      </c>
      <c r="O44" s="34">
        <f t="shared" si="125"/>
        <v>1829</v>
      </c>
      <c r="P44" s="34">
        <f t="shared" si="125"/>
        <v>1838</v>
      </c>
      <c r="Q44" s="34">
        <f t="shared" si="125"/>
        <v>1724</v>
      </c>
      <c r="R44" s="34">
        <f t="shared" si="125"/>
        <v>1611</v>
      </c>
      <c r="S44" s="34">
        <f t="shared" si="125"/>
        <v>1326</v>
      </c>
      <c r="T44" s="34">
        <f t="shared" si="125"/>
        <v>1362</v>
      </c>
      <c r="U44" s="34">
        <f t="shared" si="125"/>
        <v>1366</v>
      </c>
      <c r="V44" s="34">
        <f t="shared" si="125"/>
        <v>1455</v>
      </c>
      <c r="W44" s="34">
        <f t="shared" si="125"/>
        <v>1311</v>
      </c>
      <c r="X44" s="34">
        <f t="shared" si="125"/>
        <v>1267</v>
      </c>
      <c r="Y44" s="34">
        <f t="shared" ref="Y44:Z44" si="126">Y114</f>
        <v>1313</v>
      </c>
      <c r="Z44" s="34">
        <f t="shared" si="126"/>
        <v>1399</v>
      </c>
      <c r="AA44" s="34">
        <f t="shared" ref="AA44:AB44" si="127">AA114</f>
        <v>1434</v>
      </c>
      <c r="AB44" s="34">
        <f t="shared" si="127"/>
        <v>1453</v>
      </c>
      <c r="AC44" s="34">
        <f t="shared" si="125"/>
        <v>1328.682802739726</v>
      </c>
      <c r="AD44" s="34">
        <f t="shared" si="125"/>
        <v>1386.5329133150685</v>
      </c>
      <c r="AE44" s="34">
        <f t="shared" si="125"/>
        <v>1355.2157850684932</v>
      </c>
      <c r="AF44" s="34">
        <f t="shared" ref="AF44:AI44" si="128">AF114</f>
        <v>1420.0144711891014</v>
      </c>
      <c r="AG44" s="34">
        <f t="shared" si="128"/>
        <v>1417.7132727423259</v>
      </c>
      <c r="AH44" s="34">
        <f t="shared" si="128"/>
        <v>1484.5877782184857</v>
      </c>
      <c r="AI44" s="34">
        <f t="shared" si="128"/>
        <v>1425.4885963288659</v>
      </c>
      <c r="AJ44" s="34"/>
      <c r="AK44" s="34"/>
      <c r="AL44" s="34"/>
      <c r="AM44" s="34"/>
      <c r="AN44" s="34"/>
      <c r="AO44" s="34"/>
      <c r="AP44" s="34"/>
      <c r="AQ44" s="34"/>
      <c r="AS44" s="16"/>
      <c r="AT44" s="17" t="s">
        <v>100</v>
      </c>
      <c r="AU44" s="34">
        <f t="shared" ref="AU44:BD44" si="129">AU114</f>
        <v>9084</v>
      </c>
      <c r="AV44" s="34">
        <f t="shared" si="129"/>
        <v>8112</v>
      </c>
      <c r="AW44" s="34">
        <f t="shared" si="129"/>
        <v>7449</v>
      </c>
      <c r="AX44" s="34">
        <f t="shared" si="129"/>
        <v>6499</v>
      </c>
      <c r="AY44" s="34">
        <f t="shared" si="129"/>
        <v>5494</v>
      </c>
      <c r="AZ44" s="34">
        <f t="shared" si="129"/>
        <v>5413</v>
      </c>
      <c r="BA44" s="34">
        <f t="shared" si="129"/>
        <v>5523.4315011232875</v>
      </c>
      <c r="BB44" s="34">
        <f t="shared" ref="BB44" si="130">BB114</f>
        <v>5747.8041184787789</v>
      </c>
      <c r="BC44" s="34">
        <f t="shared" si="129"/>
        <v>6075.890914387066</v>
      </c>
      <c r="BD44" s="34">
        <f t="shared" si="129"/>
        <v>6459.0224731692215</v>
      </c>
      <c r="BE44" s="34">
        <f t="shared" ref="BE44" si="131">BE114</f>
        <v>6820.3888932339114</v>
      </c>
    </row>
    <row r="45" spans="1:57" x14ac:dyDescent="0.2">
      <c r="B45" s="16"/>
      <c r="C45" s="17" t="s">
        <v>182</v>
      </c>
      <c r="D45" s="34">
        <f t="shared" ref="D45:AE45" si="132">D511</f>
        <v>5574</v>
      </c>
      <c r="E45" s="34">
        <f t="shared" si="132"/>
        <v>4172</v>
      </c>
      <c r="F45" s="34">
        <f t="shared" si="132"/>
        <v>4192</v>
      </c>
      <c r="G45" s="34">
        <f t="shared" si="132"/>
        <v>3312</v>
      </c>
      <c r="H45" s="34">
        <f t="shared" si="132"/>
        <v>6025</v>
      </c>
      <c r="I45" s="34">
        <f t="shared" si="132"/>
        <v>5145</v>
      </c>
      <c r="J45" s="34">
        <f t="shared" si="132"/>
        <v>3815</v>
      </c>
      <c r="K45" s="34">
        <f t="shared" si="132"/>
        <v>3298</v>
      </c>
      <c r="L45" s="34">
        <f t="shared" si="132"/>
        <v>5415</v>
      </c>
      <c r="M45" s="34">
        <f t="shared" si="132"/>
        <v>4646</v>
      </c>
      <c r="N45" s="34">
        <f t="shared" si="132"/>
        <v>4668</v>
      </c>
      <c r="O45" s="34">
        <f t="shared" si="132"/>
        <v>3115</v>
      </c>
      <c r="P45" s="34">
        <f t="shared" si="132"/>
        <v>5270</v>
      </c>
      <c r="Q45" s="34">
        <f t="shared" si="132"/>
        <v>4460</v>
      </c>
      <c r="R45" s="34">
        <f t="shared" si="132"/>
        <v>4275</v>
      </c>
      <c r="S45" s="34">
        <f t="shared" si="132"/>
        <v>3390</v>
      </c>
      <c r="T45" s="34">
        <f t="shared" si="132"/>
        <v>3910</v>
      </c>
      <c r="U45" s="34">
        <f t="shared" si="132"/>
        <v>4581</v>
      </c>
      <c r="V45" s="34">
        <f t="shared" si="132"/>
        <v>4395</v>
      </c>
      <c r="W45" s="34">
        <f t="shared" si="132"/>
        <v>4247</v>
      </c>
      <c r="X45" s="34">
        <f t="shared" si="132"/>
        <v>5501</v>
      </c>
      <c r="Y45" s="34">
        <f t="shared" ref="Y45:Z45" si="133">Y511</f>
        <v>5420</v>
      </c>
      <c r="Z45" s="34">
        <f t="shared" si="133"/>
        <v>5482</v>
      </c>
      <c r="AA45" s="34">
        <f t="shared" ref="AA45:AB45" si="134">AA511</f>
        <v>4435</v>
      </c>
      <c r="AB45" s="34">
        <f t="shared" si="134"/>
        <v>6194</v>
      </c>
      <c r="AC45" s="34">
        <f t="shared" si="132"/>
        <v>6197.0701599373169</v>
      </c>
      <c r="AD45" s="34">
        <f t="shared" si="132"/>
        <v>5825.3338287917841</v>
      </c>
      <c r="AE45" s="34">
        <f t="shared" si="132"/>
        <v>5054.7181648503229</v>
      </c>
      <c r="AF45" s="34">
        <f t="shared" ref="AF45:AI45" si="135">AF511</f>
        <v>6570.5818000603185</v>
      </c>
      <c r="AG45" s="34">
        <f t="shared" si="135"/>
        <v>6408.8943361316506</v>
      </c>
      <c r="AH45" s="34">
        <f t="shared" si="135"/>
        <v>5844.3844130483812</v>
      </c>
      <c r="AI45" s="34">
        <f t="shared" si="135"/>
        <v>4968.7529631164607</v>
      </c>
      <c r="AJ45" s="34"/>
      <c r="AK45" s="34"/>
      <c r="AL45" s="34"/>
      <c r="AM45" s="34"/>
      <c r="AN45" s="34"/>
      <c r="AO45" s="34"/>
      <c r="AP45" s="34"/>
      <c r="AQ45" s="34"/>
      <c r="AS45" s="16"/>
      <c r="AT45" s="17" t="s">
        <v>182</v>
      </c>
      <c r="AU45" s="34">
        <f t="shared" ref="AU45:BD45" si="136">AU511</f>
        <v>17250</v>
      </c>
      <c r="AV45" s="34">
        <f t="shared" si="136"/>
        <v>18283</v>
      </c>
      <c r="AW45" s="34">
        <f t="shared" si="136"/>
        <v>17844</v>
      </c>
      <c r="AX45" s="34">
        <f t="shared" si="136"/>
        <v>17395</v>
      </c>
      <c r="AY45" s="34">
        <f t="shared" si="136"/>
        <v>17133</v>
      </c>
      <c r="AZ45" s="34">
        <f t="shared" si="136"/>
        <v>20838</v>
      </c>
      <c r="BA45" s="34">
        <f t="shared" si="136"/>
        <v>23271.122153579425</v>
      </c>
      <c r="BB45" s="34">
        <f t="shared" ref="BB45" si="137">BB511</f>
        <v>23792.613512356813</v>
      </c>
      <c r="BC45" s="34">
        <f t="shared" si="136"/>
        <v>24646.057318400886</v>
      </c>
      <c r="BD45" s="34">
        <f t="shared" si="136"/>
        <v>25557.451397939269</v>
      </c>
      <c r="BE45" s="34">
        <f t="shared" ref="BE45" si="138">BE511</f>
        <v>26589.363696241533</v>
      </c>
    </row>
    <row r="46" spans="1:57" x14ac:dyDescent="0.2">
      <c r="B46" s="44"/>
      <c r="C46" s="29" t="s">
        <v>183</v>
      </c>
      <c r="D46" s="41">
        <f>D639-D641</f>
        <v>574</v>
      </c>
      <c r="E46" s="41">
        <f t="shared" ref="E46:AE46" si="139">E639-E641</f>
        <v>1013</v>
      </c>
      <c r="F46" s="41">
        <f t="shared" si="139"/>
        <v>906</v>
      </c>
      <c r="G46" s="41">
        <f t="shared" si="139"/>
        <v>978</v>
      </c>
      <c r="H46" s="41">
        <f t="shared" si="139"/>
        <v>749</v>
      </c>
      <c r="I46" s="41">
        <f t="shared" si="139"/>
        <v>990</v>
      </c>
      <c r="J46" s="41">
        <f t="shared" si="139"/>
        <v>1162</v>
      </c>
      <c r="K46" s="41">
        <f t="shared" si="139"/>
        <v>977</v>
      </c>
      <c r="L46" s="41">
        <f t="shared" si="139"/>
        <v>1182</v>
      </c>
      <c r="M46" s="41">
        <f t="shared" si="139"/>
        <v>1021</v>
      </c>
      <c r="N46" s="41">
        <f t="shared" si="139"/>
        <v>1273</v>
      </c>
      <c r="O46" s="41">
        <f t="shared" si="139"/>
        <v>847</v>
      </c>
      <c r="P46" s="41">
        <f t="shared" si="139"/>
        <v>1129</v>
      </c>
      <c r="Q46" s="41">
        <f t="shared" si="139"/>
        <v>1152</v>
      </c>
      <c r="R46" s="41">
        <f t="shared" si="139"/>
        <v>837</v>
      </c>
      <c r="S46" s="41">
        <f t="shared" si="139"/>
        <v>2458</v>
      </c>
      <c r="T46" s="41">
        <f t="shared" si="139"/>
        <v>1056</v>
      </c>
      <c r="U46" s="41">
        <f t="shared" si="139"/>
        <v>365</v>
      </c>
      <c r="V46" s="41">
        <f t="shared" si="139"/>
        <v>431</v>
      </c>
      <c r="W46" s="41">
        <f t="shared" si="139"/>
        <v>292</v>
      </c>
      <c r="X46" s="41">
        <f t="shared" si="139"/>
        <v>643</v>
      </c>
      <c r="Y46" s="41">
        <f t="shared" ref="Y46:Z46" si="140">Y639-Y641</f>
        <v>164</v>
      </c>
      <c r="Z46" s="41">
        <f t="shared" si="140"/>
        <v>3</v>
      </c>
      <c r="AA46" s="41">
        <f t="shared" ref="AA46:AB46" si="141">AA639-AA641</f>
        <v>322</v>
      </c>
      <c r="AB46" s="41">
        <f t="shared" si="141"/>
        <v>53</v>
      </c>
      <c r="AC46" s="41">
        <f t="shared" si="139"/>
        <v>158.86854794520548</v>
      </c>
      <c r="AD46" s="41">
        <f t="shared" si="139"/>
        <v>152.50463178082194</v>
      </c>
      <c r="AE46" s="41">
        <f t="shared" si="139"/>
        <v>145.30640369863013</v>
      </c>
      <c r="AF46" s="41">
        <f t="shared" ref="AF46:AI46" si="142">AF639-AF641</f>
        <v>133.83820981232878</v>
      </c>
      <c r="AG46" s="41">
        <f t="shared" si="142"/>
        <v>127.45305070380822</v>
      </c>
      <c r="AH46" s="41">
        <f t="shared" si="142"/>
        <v>122.51206475435404</v>
      </c>
      <c r="AI46" s="41">
        <f t="shared" si="142"/>
        <v>116.53946300911238</v>
      </c>
      <c r="AJ46" s="232"/>
      <c r="AK46" s="232"/>
      <c r="AL46" s="232"/>
      <c r="AM46" s="232"/>
      <c r="AN46" s="232"/>
      <c r="AO46" s="232"/>
      <c r="AP46" s="232"/>
      <c r="AQ46" s="232"/>
      <c r="AS46" s="44"/>
      <c r="AT46" s="29" t="s">
        <v>183</v>
      </c>
      <c r="AU46" s="41">
        <f>AU639-AU641</f>
        <v>3471</v>
      </c>
      <c r="AV46" s="41">
        <f t="shared" ref="AV46:BD46" si="143">AV639-AV641</f>
        <v>3878</v>
      </c>
      <c r="AW46" s="41">
        <f t="shared" si="143"/>
        <v>4323</v>
      </c>
      <c r="AX46" s="41">
        <f t="shared" si="143"/>
        <v>5576</v>
      </c>
      <c r="AY46" s="41">
        <f t="shared" si="143"/>
        <v>2144</v>
      </c>
      <c r="AZ46" s="41">
        <f t="shared" si="143"/>
        <v>1132</v>
      </c>
      <c r="BA46" s="41">
        <f t="shared" si="143"/>
        <v>509.67958342465749</v>
      </c>
      <c r="BB46" s="41">
        <f t="shared" ref="BB46" si="144">BB639-BB641</f>
        <v>500.3427882796035</v>
      </c>
      <c r="BC46" s="41">
        <f t="shared" si="143"/>
        <v>401.61500680921728</v>
      </c>
      <c r="BD46" s="41">
        <f t="shared" si="143"/>
        <v>323.02564515910086</v>
      </c>
      <c r="BE46" s="41">
        <f t="shared" ref="BE46" si="145">BE639-BE641</f>
        <v>256.4007760929133</v>
      </c>
    </row>
    <row r="47" spans="1:57" x14ac:dyDescent="0.2">
      <c r="B47" s="16"/>
      <c r="C47" s="317" t="s">
        <v>21</v>
      </c>
      <c r="D47" s="34">
        <f t="shared" ref="D47:AE47" si="146">SUM(D44:D46)</f>
        <v>8355</v>
      </c>
      <c r="E47" s="34">
        <f t="shared" si="146"/>
        <v>7351</v>
      </c>
      <c r="F47" s="34">
        <f t="shared" si="146"/>
        <v>7488</v>
      </c>
      <c r="G47" s="34">
        <f t="shared" si="146"/>
        <v>6611</v>
      </c>
      <c r="H47" s="34">
        <f t="shared" si="146"/>
        <v>9007</v>
      </c>
      <c r="I47" s="34">
        <f t="shared" si="146"/>
        <v>8433</v>
      </c>
      <c r="J47" s="34">
        <f t="shared" si="146"/>
        <v>6766</v>
      </c>
      <c r="K47" s="34">
        <f t="shared" si="146"/>
        <v>6067</v>
      </c>
      <c r="L47" s="34">
        <f t="shared" si="146"/>
        <v>8440</v>
      </c>
      <c r="M47" s="34">
        <f t="shared" si="146"/>
        <v>7512</v>
      </c>
      <c r="N47" s="34">
        <f t="shared" si="146"/>
        <v>7873</v>
      </c>
      <c r="O47" s="34">
        <f t="shared" si="146"/>
        <v>5791</v>
      </c>
      <c r="P47" s="34">
        <f t="shared" si="146"/>
        <v>8237</v>
      </c>
      <c r="Q47" s="34">
        <f t="shared" si="146"/>
        <v>7336</v>
      </c>
      <c r="R47" s="34">
        <f t="shared" si="146"/>
        <v>6723</v>
      </c>
      <c r="S47" s="34">
        <f t="shared" si="146"/>
        <v>7174</v>
      </c>
      <c r="T47" s="34">
        <f t="shared" si="146"/>
        <v>6328</v>
      </c>
      <c r="U47" s="34">
        <f t="shared" si="146"/>
        <v>6312</v>
      </c>
      <c r="V47" s="34">
        <f t="shared" si="146"/>
        <v>6281</v>
      </c>
      <c r="W47" s="34">
        <f t="shared" si="146"/>
        <v>5850</v>
      </c>
      <c r="X47" s="34">
        <f t="shared" si="146"/>
        <v>7411</v>
      </c>
      <c r="Y47" s="34">
        <f t="shared" ref="Y47:Z47" si="147">SUM(Y44:Y46)</f>
        <v>6897</v>
      </c>
      <c r="Z47" s="34">
        <f t="shared" si="147"/>
        <v>6884</v>
      </c>
      <c r="AA47" s="34">
        <f t="shared" ref="AA47:AB47" si="148">SUM(AA44:AA46)</f>
        <v>6191</v>
      </c>
      <c r="AB47" s="34">
        <f t="shared" si="148"/>
        <v>7700</v>
      </c>
      <c r="AC47" s="34">
        <f t="shared" si="146"/>
        <v>7684.621510622248</v>
      </c>
      <c r="AD47" s="34">
        <f t="shared" si="146"/>
        <v>7364.371373887675</v>
      </c>
      <c r="AE47" s="34">
        <f t="shared" si="146"/>
        <v>6555.2403536174461</v>
      </c>
      <c r="AF47" s="34">
        <f t="shared" ref="AF47:AI47" si="149">SUM(AF44:AF46)</f>
        <v>8124.4344810617486</v>
      </c>
      <c r="AG47" s="34">
        <f t="shared" si="149"/>
        <v>7954.0606595777845</v>
      </c>
      <c r="AH47" s="34">
        <f t="shared" si="149"/>
        <v>7451.484256021221</v>
      </c>
      <c r="AI47" s="34">
        <f t="shared" si="149"/>
        <v>6510.7810224544392</v>
      </c>
      <c r="AJ47" s="34"/>
      <c r="AK47" s="34"/>
      <c r="AL47" s="34"/>
      <c r="AM47" s="34"/>
      <c r="AN47" s="34"/>
      <c r="AO47" s="34"/>
      <c r="AP47" s="34"/>
      <c r="AQ47" s="34"/>
      <c r="AS47" s="16"/>
      <c r="AT47" s="317" t="s">
        <v>21</v>
      </c>
      <c r="AU47" s="34">
        <f t="shared" ref="AU47:BD47" si="150">SUM(AU44:AU46)</f>
        <v>29805</v>
      </c>
      <c r="AV47" s="34">
        <f t="shared" si="150"/>
        <v>30273</v>
      </c>
      <c r="AW47" s="34">
        <f t="shared" si="150"/>
        <v>29616</v>
      </c>
      <c r="AX47" s="34">
        <f t="shared" si="150"/>
        <v>29470</v>
      </c>
      <c r="AY47" s="34">
        <f t="shared" si="150"/>
        <v>24771</v>
      </c>
      <c r="AZ47" s="34">
        <f t="shared" si="150"/>
        <v>27383</v>
      </c>
      <c r="BA47" s="34">
        <f t="shared" si="150"/>
        <v>29304.23323812737</v>
      </c>
      <c r="BB47" s="34">
        <f t="shared" ref="BB47" si="151">SUM(BB44:BB46)</f>
        <v>30040.760419115195</v>
      </c>
      <c r="BC47" s="34">
        <f t="shared" si="150"/>
        <v>31123.56323959717</v>
      </c>
      <c r="BD47" s="34">
        <f t="shared" si="150"/>
        <v>32339.499516267591</v>
      </c>
      <c r="BE47" s="34">
        <f t="shared" ref="BE47" si="152">SUM(BE44:BE46)</f>
        <v>33666.15336556836</v>
      </c>
    </row>
    <row r="48" spans="1:57" x14ac:dyDescent="0.2">
      <c r="B48" s="16"/>
      <c r="C48" s="16"/>
      <c r="D48" s="15"/>
      <c r="E48" s="15"/>
      <c r="F48" s="15"/>
      <c r="G48" s="15"/>
      <c r="H48" s="15"/>
      <c r="I48" s="15"/>
      <c r="J48" s="15"/>
      <c r="K48" s="15"/>
      <c r="L48" s="15"/>
      <c r="M48" s="15"/>
      <c r="N48" s="15"/>
      <c r="O48" s="15"/>
      <c r="P48" s="15"/>
      <c r="Q48" s="15"/>
      <c r="R48" s="15"/>
      <c r="S48" s="15"/>
      <c r="T48" s="15"/>
      <c r="U48" s="15"/>
      <c r="V48" s="15"/>
      <c r="W48" s="15"/>
      <c r="X48" s="15"/>
      <c r="Y48" s="15"/>
      <c r="Z48" s="15"/>
      <c r="AA48" s="15"/>
      <c r="AB48" s="15"/>
      <c r="AC48" s="15"/>
      <c r="AD48" s="15"/>
      <c r="AE48" s="15"/>
      <c r="AF48" s="15"/>
      <c r="AG48" s="15"/>
      <c r="AH48" s="15"/>
      <c r="AI48" s="15"/>
      <c r="AJ48" s="15"/>
      <c r="AK48" s="15"/>
      <c r="AL48" s="15"/>
      <c r="AM48" s="15"/>
      <c r="AN48" s="15"/>
      <c r="AO48" s="15"/>
      <c r="AP48" s="15"/>
      <c r="AQ48" s="15"/>
      <c r="AS48" s="16"/>
      <c r="AT48" s="16"/>
    </row>
    <row r="49" spans="2:70" s="70" customFormat="1" x14ac:dyDescent="0.2">
      <c r="B49" s="16" t="s">
        <v>625</v>
      </c>
      <c r="C49" s="16"/>
      <c r="D49" s="15"/>
      <c r="E49" s="15"/>
      <c r="F49" s="15"/>
      <c r="G49" s="15"/>
      <c r="H49" s="15"/>
      <c r="I49" s="15"/>
      <c r="J49" s="15"/>
      <c r="K49" s="15"/>
      <c r="L49" s="15"/>
      <c r="M49" s="15"/>
      <c r="N49" s="15"/>
      <c r="O49" s="15"/>
      <c r="P49" s="15"/>
      <c r="Q49" s="15"/>
      <c r="R49" s="15"/>
      <c r="S49" s="15"/>
      <c r="T49" s="15"/>
      <c r="U49" s="15"/>
      <c r="V49" s="15"/>
      <c r="W49" s="15"/>
      <c r="X49" s="15"/>
      <c r="Y49" s="15"/>
      <c r="Z49" s="15"/>
      <c r="AA49" s="15"/>
      <c r="AB49" s="15"/>
      <c r="AC49" s="15"/>
      <c r="AD49" s="15"/>
      <c r="AE49" s="15"/>
      <c r="AF49" s="15"/>
      <c r="AG49" s="15"/>
      <c r="AH49" s="15"/>
      <c r="AI49" s="15"/>
      <c r="AJ49" s="15"/>
      <c r="AK49" s="15"/>
      <c r="AL49" s="15"/>
      <c r="AM49" s="15"/>
      <c r="AN49" s="15"/>
      <c r="AO49" s="15"/>
      <c r="AP49" s="15"/>
      <c r="AQ49" s="15"/>
      <c r="AS49" s="16" t="s">
        <v>187</v>
      </c>
      <c r="AT49" s="16"/>
      <c r="BM49"/>
      <c r="BN49"/>
      <c r="BO49"/>
      <c r="BP49"/>
      <c r="BQ49"/>
      <c r="BR49"/>
    </row>
    <row r="50" spans="2:70" s="70" customFormat="1" x14ac:dyDescent="0.2">
      <c r="B50" s="16"/>
      <c r="C50" s="17" t="s">
        <v>100</v>
      </c>
      <c r="D50" s="34">
        <f t="shared" ref="D50:AE50" si="153">D115</f>
        <v>8719</v>
      </c>
      <c r="E50" s="34">
        <f t="shared" si="153"/>
        <v>8544</v>
      </c>
      <c r="F50" s="34">
        <f t="shared" si="153"/>
        <v>8940</v>
      </c>
      <c r="G50" s="34">
        <f t="shared" si="153"/>
        <v>8988</v>
      </c>
      <c r="H50" s="34">
        <f t="shared" si="153"/>
        <v>8784</v>
      </c>
      <c r="I50" s="34">
        <f t="shared" si="153"/>
        <v>8763</v>
      </c>
      <c r="J50" s="34">
        <f t="shared" si="153"/>
        <v>8312</v>
      </c>
      <c r="K50" s="34">
        <f t="shared" si="153"/>
        <v>8536</v>
      </c>
      <c r="L50" s="34">
        <f t="shared" si="153"/>
        <v>8366</v>
      </c>
      <c r="M50" s="34">
        <f t="shared" si="153"/>
        <v>8480</v>
      </c>
      <c r="N50" s="34">
        <f t="shared" si="153"/>
        <v>8765</v>
      </c>
      <c r="O50" s="34">
        <f t="shared" si="153"/>
        <v>8636</v>
      </c>
      <c r="P50" s="34">
        <f t="shared" si="153"/>
        <v>8238</v>
      </c>
      <c r="Q50" s="34">
        <f t="shared" si="153"/>
        <v>8128</v>
      </c>
      <c r="R50" s="34">
        <f t="shared" si="153"/>
        <v>8071</v>
      </c>
      <c r="S50" s="34">
        <f t="shared" si="153"/>
        <v>7814</v>
      </c>
      <c r="T50" s="34">
        <f t="shared" si="153"/>
        <v>7714</v>
      </c>
      <c r="U50" s="34">
        <f t="shared" si="153"/>
        <v>7674</v>
      </c>
      <c r="V50" s="34">
        <f t="shared" si="153"/>
        <v>8164</v>
      </c>
      <c r="W50" s="34">
        <f t="shared" si="153"/>
        <v>7967</v>
      </c>
      <c r="X50" s="34">
        <f t="shared" si="153"/>
        <v>7846</v>
      </c>
      <c r="Y50" s="34">
        <f t="shared" ref="Y50:Z50" si="154">Y115</f>
        <v>8073</v>
      </c>
      <c r="Z50" s="34">
        <f t="shared" si="154"/>
        <v>8470</v>
      </c>
      <c r="AA50" s="34">
        <f t="shared" ref="AA50:AB50" si="155">AA115</f>
        <v>8449</v>
      </c>
      <c r="AB50" s="34">
        <f t="shared" si="155"/>
        <v>8433</v>
      </c>
      <c r="AC50" s="34">
        <f t="shared" si="153"/>
        <v>8374.5398401369857</v>
      </c>
      <c r="AD50" s="34">
        <f t="shared" si="153"/>
        <v>8687.4049600191793</v>
      </c>
      <c r="AE50" s="34">
        <f t="shared" si="153"/>
        <v>8781.8353472642739</v>
      </c>
      <c r="AF50" s="34">
        <f t="shared" ref="AF50:AI50" si="156">AF115</f>
        <v>8665.6098073894264</v>
      </c>
      <c r="AG50" s="34">
        <f t="shared" si="156"/>
        <v>8828.2466101304253</v>
      </c>
      <c r="AH50" s="34">
        <f t="shared" si="156"/>
        <v>9132.7422203267542</v>
      </c>
      <c r="AI50" s="34">
        <f t="shared" si="156"/>
        <v>9232.2154973847119</v>
      </c>
      <c r="AJ50" s="34"/>
      <c r="AK50" s="34"/>
      <c r="AL50" s="34"/>
      <c r="AM50" s="34"/>
      <c r="AN50" s="34"/>
      <c r="AO50" s="34"/>
      <c r="AP50" s="34"/>
      <c r="AQ50" s="34"/>
      <c r="AS50" s="16"/>
      <c r="AT50" s="17" t="s">
        <v>100</v>
      </c>
      <c r="AU50" s="232">
        <f>SUM(D50:G50)</f>
        <v>35191</v>
      </c>
      <c r="AV50" s="232">
        <f>SUM(H50:K50)</f>
        <v>34395</v>
      </c>
      <c r="AW50" s="232">
        <f>SUM(L50:O50)</f>
        <v>34247</v>
      </c>
      <c r="AX50" s="232">
        <f>SUM(P50:S50)</f>
        <v>32251</v>
      </c>
      <c r="AY50" s="232">
        <f>SUM(T50:W50)</f>
        <v>31519</v>
      </c>
      <c r="AZ50" s="232">
        <f>SUM(X50:AA50)</f>
        <v>32838</v>
      </c>
      <c r="BA50" s="232">
        <f>SUM(AB50:AE50)</f>
        <v>34276.780147420439</v>
      </c>
      <c r="BB50" s="232">
        <f>SUM(AF50:AI50)</f>
        <v>35858.814135231318</v>
      </c>
      <c r="BC50" s="34">
        <f>BC115</f>
        <v>37604.049129121064</v>
      </c>
      <c r="BD50" s="34">
        <f>BD115</f>
        <v>39412.214226103104</v>
      </c>
      <c r="BE50" s="34">
        <f>BE115</f>
        <v>41088.050693411191</v>
      </c>
      <c r="BM50"/>
      <c r="BN50"/>
      <c r="BO50"/>
      <c r="BP50"/>
      <c r="BQ50"/>
      <c r="BR50"/>
    </row>
    <row r="51" spans="2:70" s="70" customFormat="1" x14ac:dyDescent="0.2">
      <c r="B51" s="16"/>
      <c r="C51" s="17" t="s">
        <v>182</v>
      </c>
      <c r="D51" s="34">
        <f t="shared" ref="D51:AE51" si="157">D487</f>
        <v>9504</v>
      </c>
      <c r="E51" s="34">
        <f t="shared" si="157"/>
        <v>8069</v>
      </c>
      <c r="F51" s="34">
        <f t="shared" si="157"/>
        <v>8256</v>
      </c>
      <c r="G51" s="34">
        <f t="shared" si="157"/>
        <v>7529</v>
      </c>
      <c r="H51" s="34">
        <f t="shared" si="157"/>
        <v>9901</v>
      </c>
      <c r="I51" s="34">
        <f t="shared" si="157"/>
        <v>9132</v>
      </c>
      <c r="J51" s="34">
        <f t="shared" si="157"/>
        <v>7661</v>
      </c>
      <c r="K51" s="34">
        <f t="shared" si="157"/>
        <v>7231</v>
      </c>
      <c r="L51" s="34">
        <f t="shared" si="157"/>
        <v>9273</v>
      </c>
      <c r="M51" s="34">
        <f t="shared" si="157"/>
        <v>8503</v>
      </c>
      <c r="N51" s="34">
        <f t="shared" si="157"/>
        <v>8718</v>
      </c>
      <c r="O51" s="34">
        <f t="shared" si="157"/>
        <v>7211</v>
      </c>
      <c r="P51" s="34">
        <f t="shared" si="157"/>
        <v>9031</v>
      </c>
      <c r="Q51" s="34">
        <f t="shared" si="157"/>
        <v>8466</v>
      </c>
      <c r="R51" s="34">
        <f t="shared" si="157"/>
        <v>8260</v>
      </c>
      <c r="S51" s="34">
        <f t="shared" si="157"/>
        <v>7306</v>
      </c>
      <c r="T51" s="34">
        <f t="shared" si="157"/>
        <v>7895</v>
      </c>
      <c r="U51" s="34">
        <f t="shared" si="157"/>
        <v>8689</v>
      </c>
      <c r="V51" s="34">
        <f t="shared" si="157"/>
        <v>8459</v>
      </c>
      <c r="W51" s="34">
        <f t="shared" si="157"/>
        <v>8184</v>
      </c>
      <c r="X51" s="34">
        <f t="shared" si="157"/>
        <v>9319</v>
      </c>
      <c r="Y51" s="34">
        <f t="shared" ref="Y51:Z51" si="158">Y487</f>
        <v>9421</v>
      </c>
      <c r="Z51" s="34">
        <f t="shared" si="158"/>
        <v>9430</v>
      </c>
      <c r="AA51" s="34">
        <f t="shared" ref="AA51:AB51" si="159">AA487</f>
        <v>8304</v>
      </c>
      <c r="AB51" s="34">
        <f t="shared" si="159"/>
        <v>9848</v>
      </c>
      <c r="AC51" s="34">
        <f t="shared" si="157"/>
        <v>10162.645721581153</v>
      </c>
      <c r="AD51" s="34">
        <f t="shared" si="157"/>
        <v>9938.8558633123321</v>
      </c>
      <c r="AE51" s="34">
        <f t="shared" si="157"/>
        <v>9364.6277029544326</v>
      </c>
      <c r="AF51" s="34">
        <f t="shared" ref="AF51:AI51" si="160">AF487</f>
        <v>10960.716556468811</v>
      </c>
      <c r="AG51" s="34">
        <f t="shared" si="160"/>
        <v>10982.787590201242</v>
      </c>
      <c r="AH51" s="34">
        <f t="shared" si="160"/>
        <v>10679.896847251401</v>
      </c>
      <c r="AI51" s="34">
        <f t="shared" si="160"/>
        <v>10023.299747680656</v>
      </c>
      <c r="AJ51" s="34"/>
      <c r="AK51" s="34"/>
      <c r="AL51" s="34"/>
      <c r="AM51" s="34"/>
      <c r="AN51" s="34"/>
      <c r="AO51" s="34"/>
      <c r="AP51" s="34"/>
      <c r="AQ51" s="34"/>
      <c r="AS51" s="16"/>
      <c r="AT51" s="17" t="s">
        <v>182</v>
      </c>
      <c r="AU51" s="232">
        <f>SUM(D51:G51)</f>
        <v>33358</v>
      </c>
      <c r="AV51" s="232">
        <f>SUM(H51:K51)</f>
        <v>33925</v>
      </c>
      <c r="AW51" s="232">
        <f>SUM(L51:O51)</f>
        <v>33705</v>
      </c>
      <c r="AX51" s="232">
        <f>SUM(P51:S51)</f>
        <v>33063</v>
      </c>
      <c r="AY51" s="232">
        <f>SUM(T51:W51)</f>
        <v>33227</v>
      </c>
      <c r="AZ51" s="232">
        <f>SUM(X51:AA51)</f>
        <v>36474</v>
      </c>
      <c r="BA51" s="232">
        <f>SUM(AB51:AE51)</f>
        <v>39314.129287847914</v>
      </c>
      <c r="BB51" s="232">
        <f>SUM(AF51:AI51)</f>
        <v>42646.700741602108</v>
      </c>
      <c r="BC51" s="34">
        <f>BC487</f>
        <v>45556.306651665109</v>
      </c>
      <c r="BD51" s="34">
        <f>BD487</f>
        <v>48361.686776581846</v>
      </c>
      <c r="BE51" s="34">
        <f>BE487</f>
        <v>51217.937905175517</v>
      </c>
      <c r="BM51"/>
      <c r="BN51"/>
      <c r="BO51"/>
      <c r="BP51"/>
      <c r="BQ51"/>
      <c r="BR51"/>
    </row>
    <row r="52" spans="2:70" s="70" customFormat="1" x14ac:dyDescent="0.2">
      <c r="B52" s="16"/>
      <c r="C52" s="29" t="s">
        <v>183</v>
      </c>
      <c r="D52" s="126">
        <f t="shared" ref="D52:AE52" si="161">D642</f>
        <v>1848</v>
      </c>
      <c r="E52" s="126">
        <f t="shared" si="161"/>
        <v>2081</v>
      </c>
      <c r="F52" s="126">
        <f t="shared" si="161"/>
        <v>2003</v>
      </c>
      <c r="G52" s="126">
        <f t="shared" si="161"/>
        <v>2010</v>
      </c>
      <c r="H52" s="126">
        <f t="shared" si="161"/>
        <v>1952</v>
      </c>
      <c r="I52" s="126">
        <f t="shared" si="161"/>
        <v>2220</v>
      </c>
      <c r="J52" s="126">
        <f t="shared" si="161"/>
        <v>2304</v>
      </c>
      <c r="K52" s="126">
        <f t="shared" si="161"/>
        <v>2270</v>
      </c>
      <c r="L52" s="126">
        <f t="shared" si="161"/>
        <v>2560</v>
      </c>
      <c r="M52" s="126">
        <f t="shared" si="161"/>
        <v>2475</v>
      </c>
      <c r="N52" s="126">
        <f t="shared" si="161"/>
        <v>2577</v>
      </c>
      <c r="O52" s="126">
        <f t="shared" si="161"/>
        <v>2045</v>
      </c>
      <c r="P52" s="126">
        <f t="shared" si="161"/>
        <v>2540</v>
      </c>
      <c r="Q52" s="126">
        <f t="shared" si="161"/>
        <v>2564</v>
      </c>
      <c r="R52" s="126">
        <f t="shared" si="161"/>
        <v>2165</v>
      </c>
      <c r="S52" s="126">
        <f t="shared" si="161"/>
        <v>3517</v>
      </c>
      <c r="T52" s="126">
        <f t="shared" si="161"/>
        <v>1946</v>
      </c>
      <c r="U52" s="126">
        <f t="shared" si="161"/>
        <v>1185</v>
      </c>
      <c r="V52" s="126">
        <f t="shared" si="161"/>
        <v>1137</v>
      </c>
      <c r="W52" s="126">
        <f t="shared" si="161"/>
        <v>861</v>
      </c>
      <c r="X52" s="126">
        <f t="shared" si="161"/>
        <v>1201</v>
      </c>
      <c r="Y52" s="126">
        <f t="shared" ref="Y52:Z52" si="162">Y642</f>
        <v>661</v>
      </c>
      <c r="Z52" s="126">
        <f t="shared" si="162"/>
        <v>519</v>
      </c>
      <c r="AA52" s="126">
        <f t="shared" ref="AA52:AB52" si="163">AA642</f>
        <v>751</v>
      </c>
      <c r="AB52" s="126">
        <f t="shared" si="163"/>
        <v>591</v>
      </c>
      <c r="AC52" s="126">
        <f t="shared" si="161"/>
        <v>537.62799999999993</v>
      </c>
      <c r="AD52" s="126">
        <f t="shared" si="161"/>
        <v>514.89187561643837</v>
      </c>
      <c r="AE52" s="126">
        <f t="shared" si="161"/>
        <v>488.3247993150685</v>
      </c>
      <c r="AF52" s="126">
        <f t="shared" ref="AF52:AI52" si="164">AF642</f>
        <v>447.7258680041096</v>
      </c>
      <c r="AG52" s="126">
        <f t="shared" si="164"/>
        <v>424.43103292627393</v>
      </c>
      <c r="AH52" s="126">
        <f t="shared" si="164"/>
        <v>406.14128219208692</v>
      </c>
      <c r="AI52" s="126">
        <f t="shared" si="164"/>
        <v>384.61746098534525</v>
      </c>
      <c r="AJ52" s="1754"/>
      <c r="AK52" s="1754"/>
      <c r="AL52" s="1754"/>
      <c r="AM52" s="1754"/>
      <c r="AN52" s="1754"/>
      <c r="AO52" s="1754"/>
      <c r="AP52" s="1754"/>
      <c r="AQ52" s="1754"/>
      <c r="AS52" s="16"/>
      <c r="AT52" s="29" t="s">
        <v>183</v>
      </c>
      <c r="AU52" s="41">
        <f>SUM(D52:G52)</f>
        <v>7942</v>
      </c>
      <c r="AV52" s="41">
        <f>SUM(H52:K52)</f>
        <v>8746</v>
      </c>
      <c r="AW52" s="41">
        <f>SUM(L52:O52)</f>
        <v>9657</v>
      </c>
      <c r="AX52" s="41">
        <f>SUM(P52:S52)</f>
        <v>10786</v>
      </c>
      <c r="AY52" s="41">
        <f>SUM(T52:W52)</f>
        <v>5129</v>
      </c>
      <c r="AZ52" s="41">
        <f>SUM(X52:AA52)</f>
        <v>3132</v>
      </c>
      <c r="BA52" s="41">
        <f>SUM(AB52:AE52)</f>
        <v>2131.8446749315067</v>
      </c>
      <c r="BB52" s="41">
        <f>SUM(AF52:AI52)</f>
        <v>1662.9156441078158</v>
      </c>
      <c r="BC52" s="126">
        <f>BC642</f>
        <v>1319.5921652302852</v>
      </c>
      <c r="BD52" s="126">
        <f>BD642</f>
        <v>1049.8333467670777</v>
      </c>
      <c r="BE52" s="126">
        <f>BE642</f>
        <v>833.30252230196811</v>
      </c>
      <c r="BM52"/>
      <c r="BN52"/>
      <c r="BO52"/>
      <c r="BP52"/>
      <c r="BQ52"/>
      <c r="BR52"/>
    </row>
    <row r="53" spans="2:70" s="70" customFormat="1" x14ac:dyDescent="0.2">
      <c r="B53" s="16"/>
      <c r="C53" s="16" t="s">
        <v>391</v>
      </c>
      <c r="D53" s="125">
        <f t="shared" ref="D53:AE53" si="165">SUM(D50:D52)</f>
        <v>20071</v>
      </c>
      <c r="E53" s="125">
        <f t="shared" si="165"/>
        <v>18694</v>
      </c>
      <c r="F53" s="125">
        <f t="shared" si="165"/>
        <v>19199</v>
      </c>
      <c r="G53" s="125">
        <f t="shared" si="165"/>
        <v>18527</v>
      </c>
      <c r="H53" s="125">
        <f t="shared" si="165"/>
        <v>20637</v>
      </c>
      <c r="I53" s="125">
        <f t="shared" si="165"/>
        <v>20115</v>
      </c>
      <c r="J53" s="125">
        <f t="shared" si="165"/>
        <v>18277</v>
      </c>
      <c r="K53" s="125">
        <f t="shared" si="165"/>
        <v>18037</v>
      </c>
      <c r="L53" s="125">
        <f t="shared" si="165"/>
        <v>20199</v>
      </c>
      <c r="M53" s="125">
        <f t="shared" si="165"/>
        <v>19458</v>
      </c>
      <c r="N53" s="125">
        <f t="shared" si="165"/>
        <v>20060</v>
      </c>
      <c r="O53" s="125">
        <f t="shared" si="165"/>
        <v>17892</v>
      </c>
      <c r="P53" s="125">
        <f t="shared" si="165"/>
        <v>19809</v>
      </c>
      <c r="Q53" s="125">
        <f t="shared" si="165"/>
        <v>19158</v>
      </c>
      <c r="R53" s="125">
        <f t="shared" si="165"/>
        <v>18496</v>
      </c>
      <c r="S53" s="125">
        <f t="shared" si="165"/>
        <v>18637</v>
      </c>
      <c r="T53" s="125">
        <f t="shared" si="165"/>
        <v>17555</v>
      </c>
      <c r="U53" s="125">
        <f t="shared" si="165"/>
        <v>17548</v>
      </c>
      <c r="V53" s="125">
        <f t="shared" si="165"/>
        <v>17760</v>
      </c>
      <c r="W53" s="125">
        <f t="shared" si="165"/>
        <v>17012</v>
      </c>
      <c r="X53" s="125">
        <f t="shared" si="165"/>
        <v>18366</v>
      </c>
      <c r="Y53" s="125">
        <f t="shared" ref="Y53:Z53" si="166">SUM(Y50:Y52)</f>
        <v>18155</v>
      </c>
      <c r="Z53" s="125">
        <f t="shared" si="166"/>
        <v>18419</v>
      </c>
      <c r="AA53" s="125">
        <f t="shared" ref="AA53:AB53" si="167">SUM(AA50:AA52)</f>
        <v>17504</v>
      </c>
      <c r="AB53" s="125">
        <f t="shared" si="167"/>
        <v>18872</v>
      </c>
      <c r="AC53" s="125">
        <f t="shared" si="165"/>
        <v>19074.81356171814</v>
      </c>
      <c r="AD53" s="125">
        <f t="shared" si="165"/>
        <v>19141.15269894795</v>
      </c>
      <c r="AE53" s="125">
        <f t="shared" si="165"/>
        <v>18634.787849533775</v>
      </c>
      <c r="AF53" s="125">
        <f t="shared" ref="AF53:AI53" si="168">SUM(AF50:AF52)</f>
        <v>20074.052231862344</v>
      </c>
      <c r="AG53" s="125">
        <f t="shared" si="168"/>
        <v>20235.465233257943</v>
      </c>
      <c r="AH53" s="125">
        <f t="shared" si="168"/>
        <v>20218.780349770241</v>
      </c>
      <c r="AI53" s="125">
        <f t="shared" si="168"/>
        <v>19640.132706050714</v>
      </c>
      <c r="AJ53" s="125"/>
      <c r="AK53" s="125"/>
      <c r="AL53" s="125"/>
      <c r="AM53" s="125"/>
      <c r="AN53" s="125"/>
      <c r="AO53" s="125"/>
      <c r="AP53" s="125"/>
      <c r="AQ53" s="125"/>
      <c r="AS53" s="16"/>
      <c r="AT53" s="16" t="s">
        <v>391</v>
      </c>
      <c r="AU53" s="125">
        <f t="shared" ref="AU53:BD53" si="169">SUM(AU50:AU52)</f>
        <v>76491</v>
      </c>
      <c r="AV53" s="125">
        <f t="shared" si="169"/>
        <v>77066</v>
      </c>
      <c r="AW53" s="125">
        <f t="shared" si="169"/>
        <v>77609</v>
      </c>
      <c r="AX53" s="125">
        <f t="shared" si="169"/>
        <v>76100</v>
      </c>
      <c r="AY53" s="125">
        <f t="shared" si="169"/>
        <v>69875</v>
      </c>
      <c r="AZ53" s="125">
        <f t="shared" si="169"/>
        <v>72444</v>
      </c>
      <c r="BA53" s="125">
        <f t="shared" si="169"/>
        <v>75722.75411019985</v>
      </c>
      <c r="BB53" s="125">
        <f t="shared" ref="BB53" si="170">SUM(BB50:BB52)</f>
        <v>80168.430520941241</v>
      </c>
      <c r="BC53" s="125">
        <f t="shared" si="169"/>
        <v>84479.947946016444</v>
      </c>
      <c r="BD53" s="125">
        <f t="shared" si="169"/>
        <v>88823.734349452032</v>
      </c>
      <c r="BE53" s="125">
        <f t="shared" ref="BE53" si="171">SUM(BE50:BE52)</f>
        <v>93139.291120888665</v>
      </c>
      <c r="BM53"/>
      <c r="BN53"/>
      <c r="BO53"/>
      <c r="BP53"/>
      <c r="BQ53"/>
      <c r="BR53"/>
    </row>
    <row r="54" spans="2:70" s="70" customFormat="1" x14ac:dyDescent="0.2">
      <c r="B54" s="16"/>
      <c r="C54" s="16"/>
      <c r="D54" s="15"/>
      <c r="E54" s="15"/>
      <c r="F54" s="15"/>
      <c r="G54" s="15"/>
      <c r="H54" s="15"/>
      <c r="I54" s="15"/>
      <c r="J54" s="15"/>
      <c r="K54" s="15"/>
      <c r="L54" s="15"/>
      <c r="M54" s="15"/>
      <c r="N54" s="15"/>
      <c r="O54" s="15"/>
      <c r="P54" s="15"/>
      <c r="Q54" s="15"/>
      <c r="R54" s="15"/>
      <c r="S54" s="15"/>
      <c r="T54" s="232"/>
      <c r="U54" s="232"/>
      <c r="V54" s="232"/>
      <c r="W54" s="232"/>
      <c r="X54" s="232"/>
      <c r="Y54" s="232"/>
      <c r="Z54" s="232"/>
      <c r="AA54" s="232"/>
      <c r="AB54" s="232"/>
      <c r="AC54" s="232"/>
      <c r="AD54" s="232"/>
      <c r="AE54" s="232"/>
      <c r="AF54" s="232"/>
      <c r="AG54" s="232"/>
      <c r="AH54" s="232"/>
      <c r="AI54" s="232"/>
      <c r="AJ54" s="232"/>
      <c r="AK54" s="232"/>
      <c r="AL54" s="232"/>
      <c r="AM54" s="232"/>
      <c r="AN54" s="232"/>
      <c r="AO54" s="232"/>
      <c r="AP54" s="232"/>
      <c r="AQ54" s="232"/>
      <c r="AS54" s="16"/>
      <c r="AT54" s="16"/>
      <c r="AX54" s="232"/>
      <c r="AY54" s="232"/>
      <c r="AZ54" s="232"/>
      <c r="BA54" s="232"/>
      <c r="BB54" s="232"/>
      <c r="BC54" s="232"/>
      <c r="BD54" s="232"/>
      <c r="BE54" s="232"/>
      <c r="BM54"/>
      <c r="BN54"/>
      <c r="BO54"/>
      <c r="BP54"/>
      <c r="BQ54"/>
      <c r="BR54"/>
    </row>
    <row r="55" spans="2:70" s="70" customFormat="1" x14ac:dyDescent="0.2">
      <c r="B55" s="16" t="s">
        <v>184</v>
      </c>
      <c r="C55" s="16"/>
      <c r="D55" s="15"/>
      <c r="E55" s="15"/>
      <c r="F55" s="15"/>
      <c r="G55" s="15"/>
      <c r="H55" s="15"/>
      <c r="I55" s="15"/>
      <c r="J55" s="15"/>
      <c r="K55" s="15"/>
      <c r="L55" s="15"/>
      <c r="M55" s="15"/>
      <c r="N55" s="15"/>
      <c r="O55" s="15"/>
      <c r="P55" s="15"/>
      <c r="Q55" s="15"/>
      <c r="R55" s="15"/>
      <c r="S55" s="15"/>
      <c r="U55" s="1092"/>
      <c r="V55" s="1092"/>
      <c r="W55" s="1092"/>
      <c r="X55" s="1092"/>
      <c r="Y55" s="1092"/>
      <c r="Z55" s="1092"/>
      <c r="AA55" s="1092"/>
      <c r="AB55" s="1092"/>
      <c r="AC55" s="15"/>
      <c r="AD55" s="15"/>
      <c r="AE55" s="15"/>
      <c r="AF55" s="15"/>
      <c r="AG55" s="15"/>
      <c r="AH55" s="15"/>
      <c r="AI55" s="15"/>
      <c r="AJ55" s="15"/>
      <c r="AK55" s="15"/>
      <c r="AL55" s="15"/>
      <c r="AM55" s="15"/>
      <c r="AN55" s="15"/>
      <c r="AO55" s="15"/>
      <c r="AP55" s="15"/>
      <c r="AQ55" s="15"/>
      <c r="AS55" s="16" t="s">
        <v>184</v>
      </c>
      <c r="AT55" s="16"/>
      <c r="AY55" s="1092"/>
      <c r="AZ55" s="1092"/>
      <c r="BA55" s="1092"/>
      <c r="BB55" s="1092"/>
      <c r="BC55" s="1092"/>
      <c r="BD55" s="1092"/>
      <c r="BE55" s="15"/>
      <c r="BM55"/>
      <c r="BN55"/>
      <c r="BO55"/>
      <c r="BP55"/>
      <c r="BQ55"/>
      <c r="BR55"/>
    </row>
    <row r="56" spans="2:70" s="70" customFormat="1" x14ac:dyDescent="0.2">
      <c r="B56" s="16"/>
      <c r="C56" s="17" t="s">
        <v>100</v>
      </c>
      <c r="D56" s="34">
        <f t="shared" ref="D56:AE56" si="172">D117</f>
        <v>4475</v>
      </c>
      <c r="E56" s="34">
        <f t="shared" si="172"/>
        <v>4570</v>
      </c>
      <c r="F56" s="34">
        <f t="shared" si="172"/>
        <v>4668</v>
      </c>
      <c r="G56" s="34">
        <f t="shared" si="172"/>
        <v>5078</v>
      </c>
      <c r="H56" s="34">
        <f t="shared" si="172"/>
        <v>4628</v>
      </c>
      <c r="I56" s="34">
        <f t="shared" si="172"/>
        <v>4604</v>
      </c>
      <c r="J56" s="34">
        <f t="shared" si="172"/>
        <v>4528</v>
      </c>
      <c r="K56" s="34">
        <f t="shared" si="172"/>
        <v>4656</v>
      </c>
      <c r="L56" s="34">
        <f t="shared" si="172"/>
        <v>4554</v>
      </c>
      <c r="M56" s="34">
        <f t="shared" si="172"/>
        <v>4805</v>
      </c>
      <c r="N56" s="34">
        <f t="shared" si="172"/>
        <v>4634</v>
      </c>
      <c r="O56" s="34">
        <f t="shared" si="172"/>
        <v>4671</v>
      </c>
      <c r="P56" s="34">
        <f t="shared" si="172"/>
        <v>4300</v>
      </c>
      <c r="Q56" s="34">
        <f t="shared" si="172"/>
        <v>4334</v>
      </c>
      <c r="R56" s="34">
        <f t="shared" si="172"/>
        <v>4225</v>
      </c>
      <c r="S56" s="34">
        <f t="shared" si="172"/>
        <v>4340</v>
      </c>
      <c r="T56" s="34">
        <f t="shared" si="172"/>
        <v>4401</v>
      </c>
      <c r="U56" s="34">
        <f t="shared" si="172"/>
        <v>4297</v>
      </c>
      <c r="V56" s="34">
        <f t="shared" si="172"/>
        <v>4429</v>
      </c>
      <c r="W56" s="34">
        <f t="shared" si="172"/>
        <v>4356</v>
      </c>
      <c r="X56" s="34">
        <f t="shared" si="172"/>
        <v>4451</v>
      </c>
      <c r="Y56" s="34">
        <f t="shared" ref="Y56:Z56" si="173">Y117</f>
        <v>4537</v>
      </c>
      <c r="Z56" s="34">
        <f t="shared" si="173"/>
        <v>4452</v>
      </c>
      <c r="AA56" s="34">
        <f t="shared" ref="AA56:AB56" si="174">AA117</f>
        <v>4563</v>
      </c>
      <c r="AB56" s="34">
        <f t="shared" si="174"/>
        <v>4681</v>
      </c>
      <c r="AC56" s="34">
        <f t="shared" si="172"/>
        <v>4512.5533532739719</v>
      </c>
      <c r="AD56" s="34">
        <f t="shared" si="172"/>
        <v>4639.4705000265212</v>
      </c>
      <c r="AE56" s="34">
        <f t="shared" si="172"/>
        <v>4692.9841736783928</v>
      </c>
      <c r="AF56" s="34">
        <f t="shared" ref="AF56:AI56" si="175">AF117</f>
        <v>4593.1746213141241</v>
      </c>
      <c r="AG56" s="34">
        <f t="shared" si="175"/>
        <v>4634.5117674916901</v>
      </c>
      <c r="AH56" s="34">
        <f t="shared" si="175"/>
        <v>4742.7643934042844</v>
      </c>
      <c r="AI56" s="34">
        <f t="shared" si="175"/>
        <v>4797.5770524945819</v>
      </c>
      <c r="AJ56" s="34"/>
      <c r="AK56" s="34"/>
      <c r="AL56" s="34"/>
      <c r="AM56" s="34"/>
      <c r="AN56" s="34"/>
      <c r="AO56" s="34"/>
      <c r="AP56" s="34"/>
      <c r="AQ56" s="34"/>
      <c r="AS56" s="16"/>
      <c r="AT56" s="17" t="s">
        <v>100</v>
      </c>
      <c r="AU56" s="232">
        <f>SUM(D56:G56)</f>
        <v>18791</v>
      </c>
      <c r="AV56" s="232">
        <f>SUM(H56:K56)</f>
        <v>18416</v>
      </c>
      <c r="AW56" s="232">
        <f>SUM(L56:O56)</f>
        <v>18664</v>
      </c>
      <c r="AX56" s="232">
        <f>SUM(P56:S56)</f>
        <v>17199</v>
      </c>
      <c r="AY56" s="232">
        <f>SUM(T56:W56)</f>
        <v>17483</v>
      </c>
      <c r="AZ56" s="232">
        <f>SUM(X56:AA56)</f>
        <v>18003</v>
      </c>
      <c r="BA56" s="232">
        <f>SUM(AB56:AE56)</f>
        <v>18526.008026978885</v>
      </c>
      <c r="BB56" s="232">
        <f>SUM(AF56:AI56)</f>
        <v>18768.027834704681</v>
      </c>
      <c r="BC56" s="34">
        <f>BC117</f>
        <v>19159.862882073696</v>
      </c>
      <c r="BD56" s="34">
        <f>BD117</f>
        <v>19697.239514112363</v>
      </c>
      <c r="BE56" s="34">
        <f>BE117</f>
        <v>20566.073931771418</v>
      </c>
      <c r="BM56"/>
      <c r="BN56"/>
      <c r="BO56"/>
      <c r="BP56"/>
      <c r="BQ56"/>
      <c r="BR56"/>
    </row>
    <row r="57" spans="2:70" s="70" customFormat="1" x14ac:dyDescent="0.2">
      <c r="B57" s="16"/>
      <c r="C57" s="17" t="s">
        <v>182</v>
      </c>
      <c r="D57" s="121">
        <f t="shared" ref="D57:AE57" si="176">D494</f>
        <v>5135</v>
      </c>
      <c r="E57" s="121">
        <f t="shared" si="176"/>
        <v>5000</v>
      </c>
      <c r="F57" s="121">
        <f t="shared" si="176"/>
        <v>4881</v>
      </c>
      <c r="G57" s="121">
        <f t="shared" si="176"/>
        <v>5258</v>
      </c>
      <c r="H57" s="121">
        <f t="shared" si="176"/>
        <v>4975</v>
      </c>
      <c r="I57" s="121">
        <f t="shared" si="176"/>
        <v>4912</v>
      </c>
      <c r="J57" s="121">
        <f t="shared" si="176"/>
        <v>4786</v>
      </c>
      <c r="K57" s="121">
        <f t="shared" si="176"/>
        <v>5153</v>
      </c>
      <c r="L57" s="121">
        <f t="shared" si="176"/>
        <v>4887</v>
      </c>
      <c r="M57" s="121">
        <f t="shared" si="176"/>
        <v>4769</v>
      </c>
      <c r="N57" s="121">
        <f t="shared" si="176"/>
        <v>4938</v>
      </c>
      <c r="O57" s="121">
        <f t="shared" si="176"/>
        <v>4906</v>
      </c>
      <c r="P57" s="121">
        <f t="shared" si="176"/>
        <v>4654</v>
      </c>
      <c r="Q57" s="121">
        <f t="shared" si="176"/>
        <v>4847</v>
      </c>
      <c r="R57" s="121">
        <f t="shared" si="176"/>
        <v>4718</v>
      </c>
      <c r="S57" s="121">
        <f t="shared" si="176"/>
        <v>4868</v>
      </c>
      <c r="T57" s="121">
        <f t="shared" si="176"/>
        <v>4872</v>
      </c>
      <c r="U57" s="121">
        <f t="shared" si="176"/>
        <v>4763</v>
      </c>
      <c r="V57" s="121">
        <f t="shared" si="176"/>
        <v>4687</v>
      </c>
      <c r="W57" s="121">
        <f t="shared" si="176"/>
        <v>4634</v>
      </c>
      <c r="X57" s="121">
        <f t="shared" si="176"/>
        <v>5138</v>
      </c>
      <c r="Y57" s="121">
        <f t="shared" ref="Y57:Z57" si="177">Y494</f>
        <v>5227</v>
      </c>
      <c r="Z57" s="121">
        <f t="shared" si="177"/>
        <v>5138</v>
      </c>
      <c r="AA57" s="121">
        <f t="shared" ref="AA57:AB57" si="178">AA494</f>
        <v>4912</v>
      </c>
      <c r="AB57" s="121">
        <f t="shared" si="178"/>
        <v>5503</v>
      </c>
      <c r="AC57" s="121">
        <f t="shared" si="176"/>
        <v>5691.0816040854461</v>
      </c>
      <c r="AD57" s="121">
        <f t="shared" si="176"/>
        <v>5466.3707248217834</v>
      </c>
      <c r="AE57" s="121">
        <f t="shared" si="176"/>
        <v>5056.8989595953935</v>
      </c>
      <c r="AF57" s="121">
        <f t="shared" ref="AF57:AI57" si="179">AF494</f>
        <v>5973.5905232755022</v>
      </c>
      <c r="AG57" s="121">
        <f t="shared" si="179"/>
        <v>5875.7913607576647</v>
      </c>
      <c r="AH57" s="121">
        <f t="shared" si="179"/>
        <v>5713.7448132794998</v>
      </c>
      <c r="AI57" s="121">
        <f t="shared" si="179"/>
        <v>5312.3488662707477</v>
      </c>
      <c r="AJ57" s="121"/>
      <c r="AK57" s="121"/>
      <c r="AL57" s="121"/>
      <c r="AM57" s="121"/>
      <c r="AN57" s="121"/>
      <c r="AO57" s="121"/>
      <c r="AP57" s="121"/>
      <c r="AQ57" s="121"/>
      <c r="AS57" s="16"/>
      <c r="AT57" s="17" t="s">
        <v>182</v>
      </c>
      <c r="AU57" s="232">
        <f>SUM(D57:G57)</f>
        <v>20274</v>
      </c>
      <c r="AV57" s="232">
        <f>SUM(H57:K57)</f>
        <v>19826</v>
      </c>
      <c r="AW57" s="232">
        <f>SUM(L57:O57)</f>
        <v>19500</v>
      </c>
      <c r="AX57" s="232">
        <f>SUM(P57:S57)</f>
        <v>19087</v>
      </c>
      <c r="AY57" s="232">
        <f>SUM(T57:W57)</f>
        <v>18956</v>
      </c>
      <c r="AZ57" s="232">
        <f>SUM(X57:AA57)</f>
        <v>20415</v>
      </c>
      <c r="BA57" s="232">
        <f>SUM(AB57:AE57)</f>
        <v>21717.351288502625</v>
      </c>
      <c r="BB57" s="232">
        <f>SUM(AF57:AI57)</f>
        <v>22875.475563583415</v>
      </c>
      <c r="BC57" s="121">
        <f>BC494</f>
        <v>23917.060992124185</v>
      </c>
      <c r="BD57" s="121">
        <f>BD494</f>
        <v>25148.077123822561</v>
      </c>
      <c r="BE57" s="121">
        <f>BE494</f>
        <v>26377.238021165391</v>
      </c>
      <c r="BM57"/>
      <c r="BN57"/>
      <c r="BO57"/>
      <c r="BP57"/>
      <c r="BQ57"/>
      <c r="BR57"/>
    </row>
    <row r="58" spans="2:70" s="70" customFormat="1" x14ac:dyDescent="0.2">
      <c r="B58" s="16"/>
      <c r="C58" s="29" t="s">
        <v>183</v>
      </c>
      <c r="D58" s="41">
        <f t="shared" ref="D58:AE58" si="180">D644</f>
        <v>2605</v>
      </c>
      <c r="E58" s="41">
        <f t="shared" si="180"/>
        <v>2423</v>
      </c>
      <c r="F58" s="41">
        <f t="shared" si="180"/>
        <v>2546</v>
      </c>
      <c r="G58" s="41">
        <f t="shared" si="180"/>
        <v>3397</v>
      </c>
      <c r="H58" s="41">
        <f t="shared" si="180"/>
        <v>2685</v>
      </c>
      <c r="I58" s="41">
        <f t="shared" si="180"/>
        <v>2633</v>
      </c>
      <c r="J58" s="41">
        <f t="shared" si="180"/>
        <v>2365</v>
      </c>
      <c r="K58" s="41">
        <f t="shared" si="180"/>
        <v>2483</v>
      </c>
      <c r="L58" s="41">
        <f t="shared" si="180"/>
        <v>2708</v>
      </c>
      <c r="M58" s="41">
        <f t="shared" si="180"/>
        <v>5947</v>
      </c>
      <c r="N58" s="41">
        <f t="shared" si="180"/>
        <v>3383</v>
      </c>
      <c r="O58" s="41">
        <f t="shared" si="180"/>
        <v>4849</v>
      </c>
      <c r="P58" s="41">
        <f t="shared" si="180"/>
        <v>1930</v>
      </c>
      <c r="Q58" s="41">
        <f t="shared" si="180"/>
        <v>1747</v>
      </c>
      <c r="R58" s="41">
        <f t="shared" si="180"/>
        <v>1726</v>
      </c>
      <c r="S58" s="41">
        <f t="shared" si="180"/>
        <v>1926</v>
      </c>
      <c r="T58" s="41">
        <f t="shared" si="180"/>
        <v>1250</v>
      </c>
      <c r="U58" s="41">
        <f t="shared" si="180"/>
        <v>1309</v>
      </c>
      <c r="V58" s="41">
        <f t="shared" si="180"/>
        <v>1288</v>
      </c>
      <c r="W58" s="41">
        <f t="shared" si="180"/>
        <v>1130</v>
      </c>
      <c r="X58" s="41">
        <f t="shared" si="180"/>
        <v>1134</v>
      </c>
      <c r="Y58" s="41">
        <f t="shared" ref="Y58:Z58" si="181">Y644</f>
        <v>996</v>
      </c>
      <c r="Z58" s="41">
        <f t="shared" si="181"/>
        <v>827</v>
      </c>
      <c r="AA58" s="41">
        <f t="shared" ref="AA58:AB58" si="182">AA644</f>
        <v>857</v>
      </c>
      <c r="AB58" s="41">
        <f t="shared" si="182"/>
        <v>741</v>
      </c>
      <c r="AC58" s="41">
        <f t="shared" si="180"/>
        <v>709.66895999999997</v>
      </c>
      <c r="AD58" s="41">
        <f t="shared" si="180"/>
        <v>684.80619456986312</v>
      </c>
      <c r="AE58" s="41">
        <f t="shared" si="180"/>
        <v>664.12172706849321</v>
      </c>
      <c r="AF58" s="41">
        <f t="shared" ref="AF58:AI58" si="183">AF644</f>
        <v>582.04362840534247</v>
      </c>
      <c r="AG58" s="41">
        <f t="shared" si="183"/>
        <v>551.76034280415615</v>
      </c>
      <c r="AH58" s="41">
        <f t="shared" si="183"/>
        <v>527.98366684971302</v>
      </c>
      <c r="AI58" s="41">
        <f t="shared" si="183"/>
        <v>500.00269928094883</v>
      </c>
      <c r="AJ58" s="232"/>
      <c r="AK58" s="232"/>
      <c r="AL58" s="232"/>
      <c r="AM58" s="232"/>
      <c r="AN58" s="232"/>
      <c r="AO58" s="232"/>
      <c r="AP58" s="232"/>
      <c r="AQ58" s="232"/>
      <c r="AS58" s="16"/>
      <c r="AT58" s="29" t="s">
        <v>183</v>
      </c>
      <c r="AU58" s="41">
        <f>SUM(D58:G58)</f>
        <v>10971</v>
      </c>
      <c r="AV58" s="41">
        <f>SUM(H58:K58)</f>
        <v>10166</v>
      </c>
      <c r="AW58" s="41">
        <f>SUM(L58:O58)</f>
        <v>16887</v>
      </c>
      <c r="AX58" s="41">
        <f>SUM(P58:S58)</f>
        <v>7329</v>
      </c>
      <c r="AY58" s="41">
        <f>SUM(T58:W58)</f>
        <v>4977</v>
      </c>
      <c r="AZ58" s="41">
        <f>SUM(X58:AA58)</f>
        <v>3814</v>
      </c>
      <c r="BA58" s="41">
        <f>SUM(AB58:AE58)</f>
        <v>2799.5968816383565</v>
      </c>
      <c r="BB58" s="41">
        <f>SUM(AF58:AI58)</f>
        <v>2161.7903373401605</v>
      </c>
      <c r="BC58" s="41">
        <f>BC644</f>
        <v>1715.4698147993709</v>
      </c>
      <c r="BD58" s="41">
        <f>BD644</f>
        <v>1364.7833507972011</v>
      </c>
      <c r="BE58" s="41">
        <f>BE644</f>
        <v>1083.2932789925585</v>
      </c>
      <c r="BM58"/>
      <c r="BN58"/>
      <c r="BO58"/>
      <c r="BP58"/>
      <c r="BQ58"/>
      <c r="BR58"/>
    </row>
    <row r="59" spans="2:70" s="70" customFormat="1" x14ac:dyDescent="0.2">
      <c r="B59" s="16"/>
      <c r="C59" s="16" t="s">
        <v>404</v>
      </c>
      <c r="D59" s="122">
        <f t="shared" ref="D59:AE59" si="184">SUM(D56:D58)</f>
        <v>12215</v>
      </c>
      <c r="E59" s="122">
        <f t="shared" si="184"/>
        <v>11993</v>
      </c>
      <c r="F59" s="122">
        <f t="shared" si="184"/>
        <v>12095</v>
      </c>
      <c r="G59" s="122">
        <f t="shared" si="184"/>
        <v>13733</v>
      </c>
      <c r="H59" s="122">
        <f t="shared" si="184"/>
        <v>12288</v>
      </c>
      <c r="I59" s="122">
        <f t="shared" si="184"/>
        <v>12149</v>
      </c>
      <c r="J59" s="122">
        <f t="shared" si="184"/>
        <v>11679</v>
      </c>
      <c r="K59" s="122">
        <f t="shared" si="184"/>
        <v>12292</v>
      </c>
      <c r="L59" s="122">
        <f t="shared" si="184"/>
        <v>12149</v>
      </c>
      <c r="M59" s="122">
        <f t="shared" si="184"/>
        <v>15521</v>
      </c>
      <c r="N59" s="122">
        <f t="shared" si="184"/>
        <v>12955</v>
      </c>
      <c r="O59" s="122">
        <f t="shared" si="184"/>
        <v>14426</v>
      </c>
      <c r="P59" s="122">
        <f t="shared" si="184"/>
        <v>10884</v>
      </c>
      <c r="Q59" s="122">
        <f t="shared" si="184"/>
        <v>10928</v>
      </c>
      <c r="R59" s="122">
        <f t="shared" si="184"/>
        <v>10669</v>
      </c>
      <c r="S59" s="122">
        <f t="shared" si="184"/>
        <v>11134</v>
      </c>
      <c r="T59" s="122">
        <f t="shared" si="184"/>
        <v>10523</v>
      </c>
      <c r="U59" s="122">
        <f t="shared" si="184"/>
        <v>10369</v>
      </c>
      <c r="V59" s="122">
        <f t="shared" si="184"/>
        <v>10404</v>
      </c>
      <c r="W59" s="122">
        <f t="shared" si="184"/>
        <v>10120</v>
      </c>
      <c r="X59" s="122">
        <f t="shared" si="184"/>
        <v>10723</v>
      </c>
      <c r="Y59" s="122">
        <f t="shared" ref="Y59:Z59" si="185">SUM(Y56:Y58)</f>
        <v>10760</v>
      </c>
      <c r="Z59" s="122">
        <f t="shared" si="185"/>
        <v>10417</v>
      </c>
      <c r="AA59" s="122">
        <f t="shared" ref="AA59:AB59" si="186">SUM(AA56:AA58)</f>
        <v>10332</v>
      </c>
      <c r="AB59" s="122">
        <f t="shared" si="186"/>
        <v>10925</v>
      </c>
      <c r="AC59" s="122">
        <f t="shared" si="184"/>
        <v>10913.303917359419</v>
      </c>
      <c r="AD59" s="122">
        <f t="shared" si="184"/>
        <v>10790.647419418166</v>
      </c>
      <c r="AE59" s="122">
        <f t="shared" si="184"/>
        <v>10414.00486034228</v>
      </c>
      <c r="AF59" s="122">
        <f t="shared" ref="AF59:AI59" si="187">SUM(AF56:AF58)</f>
        <v>11148.808772994969</v>
      </c>
      <c r="AG59" s="122">
        <f t="shared" si="187"/>
        <v>11062.063471053511</v>
      </c>
      <c r="AH59" s="122">
        <f t="shared" si="187"/>
        <v>10984.492873533498</v>
      </c>
      <c r="AI59" s="122">
        <f t="shared" si="187"/>
        <v>10609.928618046279</v>
      </c>
      <c r="AJ59" s="122"/>
      <c r="AK59" s="122"/>
      <c r="AL59" s="122"/>
      <c r="AM59" s="122"/>
      <c r="AN59" s="122"/>
      <c r="AO59" s="122"/>
      <c r="AP59" s="122"/>
      <c r="AQ59" s="122"/>
      <c r="AS59" s="16"/>
      <c r="AT59" s="16" t="s">
        <v>404</v>
      </c>
      <c r="AU59" s="125">
        <f t="shared" ref="AU59:BD59" si="188">SUM(AU56:AU58)</f>
        <v>50036</v>
      </c>
      <c r="AV59" s="125">
        <f t="shared" si="188"/>
        <v>48408</v>
      </c>
      <c r="AW59" s="125">
        <f t="shared" si="188"/>
        <v>55051</v>
      </c>
      <c r="AX59" s="125">
        <f t="shared" si="188"/>
        <v>43615</v>
      </c>
      <c r="AY59" s="125">
        <f t="shared" si="188"/>
        <v>41416</v>
      </c>
      <c r="AZ59" s="125">
        <f t="shared" si="188"/>
        <v>42232</v>
      </c>
      <c r="BA59" s="125">
        <f t="shared" si="188"/>
        <v>43042.956197119864</v>
      </c>
      <c r="BB59" s="125">
        <f t="shared" ref="BB59" si="189">SUM(BB56:BB58)</f>
        <v>43805.293735628264</v>
      </c>
      <c r="BC59" s="122">
        <f t="shared" si="188"/>
        <v>44792.393688997246</v>
      </c>
      <c r="BD59" s="122">
        <f t="shared" si="188"/>
        <v>46210.09998873213</v>
      </c>
      <c r="BE59" s="122">
        <f t="shared" ref="BE59" si="190">SUM(BE56:BE58)</f>
        <v>48026.605231929374</v>
      </c>
      <c r="BM59"/>
      <c r="BN59"/>
      <c r="BO59"/>
      <c r="BP59"/>
      <c r="BQ59"/>
      <c r="BR59"/>
    </row>
    <row r="60" spans="2:70" s="70" customFormat="1" x14ac:dyDescent="0.2">
      <c r="B60" s="16"/>
      <c r="C60" s="16"/>
      <c r="D60" s="122"/>
      <c r="E60" s="122"/>
      <c r="F60" s="122"/>
      <c r="G60" s="122"/>
      <c r="H60" s="122"/>
      <c r="I60" s="122"/>
      <c r="J60" s="122"/>
      <c r="K60" s="122"/>
      <c r="L60" s="122"/>
      <c r="M60" s="122"/>
      <c r="N60" s="122"/>
      <c r="O60" s="122"/>
      <c r="P60" s="122"/>
      <c r="Q60" s="122"/>
      <c r="R60" s="122"/>
      <c r="S60" s="122"/>
      <c r="T60" s="122"/>
      <c r="U60" s="122"/>
      <c r="V60" s="122"/>
      <c r="W60" s="122"/>
      <c r="X60" s="122"/>
      <c r="Y60" s="122"/>
      <c r="Z60" s="122"/>
      <c r="AA60" s="122"/>
      <c r="AB60" s="122"/>
      <c r="AC60" s="122"/>
      <c r="AD60" s="122"/>
      <c r="AE60" s="122"/>
      <c r="AF60" s="122"/>
      <c r="AG60" s="122"/>
      <c r="AH60" s="122"/>
      <c r="AI60" s="122"/>
      <c r="AJ60" s="122"/>
      <c r="AK60" s="122"/>
      <c r="AL60" s="122"/>
      <c r="AM60" s="122"/>
      <c r="AN60" s="122"/>
      <c r="AO60" s="122"/>
      <c r="AP60" s="122"/>
      <c r="AQ60" s="122"/>
      <c r="AS60" s="16"/>
      <c r="AT60" s="16"/>
      <c r="BC60" s="122"/>
      <c r="BD60" s="122"/>
      <c r="BE60" s="122"/>
      <c r="BM60"/>
      <c r="BN60"/>
      <c r="BO60"/>
      <c r="BP60"/>
      <c r="BQ60"/>
      <c r="BR60"/>
    </row>
    <row r="61" spans="2:70" s="70" customFormat="1" x14ac:dyDescent="0.2">
      <c r="B61" s="16" t="s">
        <v>185</v>
      </c>
      <c r="C61" s="16"/>
      <c r="D61" s="15"/>
      <c r="E61" s="15"/>
      <c r="F61" s="15"/>
      <c r="G61" s="15"/>
      <c r="H61" s="15"/>
      <c r="I61" s="15"/>
      <c r="J61" s="15"/>
      <c r="K61" s="15"/>
      <c r="L61" s="15"/>
      <c r="M61" s="15"/>
      <c r="N61" s="15"/>
      <c r="O61" s="15"/>
      <c r="P61" s="15"/>
      <c r="Q61" s="15"/>
      <c r="R61" s="15"/>
      <c r="S61" s="15"/>
      <c r="T61" s="15"/>
      <c r="U61" s="15"/>
      <c r="V61" s="15"/>
      <c r="W61" s="15"/>
      <c r="X61" s="15"/>
      <c r="Y61" s="15"/>
      <c r="Z61" s="15"/>
      <c r="AA61" s="15"/>
      <c r="AB61" s="15"/>
      <c r="AC61" s="15"/>
      <c r="AD61" s="15"/>
      <c r="AE61" s="15"/>
      <c r="AF61" s="15"/>
      <c r="AG61" s="15"/>
      <c r="AH61" s="15"/>
      <c r="AI61" s="15"/>
      <c r="AJ61" s="15"/>
      <c r="AK61" s="15"/>
      <c r="AL61" s="15"/>
      <c r="AM61" s="15"/>
      <c r="AN61" s="15"/>
      <c r="AO61" s="15"/>
      <c r="AP61" s="15"/>
      <c r="AQ61" s="15"/>
      <c r="AS61" s="16" t="s">
        <v>185</v>
      </c>
      <c r="AT61" s="16"/>
      <c r="BC61" s="15"/>
      <c r="BD61" s="15"/>
      <c r="BE61" s="15"/>
      <c r="BM61"/>
      <c r="BN61"/>
      <c r="BO61"/>
      <c r="BP61"/>
      <c r="BQ61"/>
      <c r="BR61"/>
    </row>
    <row r="62" spans="2:70" s="70" customFormat="1" x14ac:dyDescent="0.2">
      <c r="B62" s="16"/>
      <c r="C62" s="17" t="s">
        <v>100</v>
      </c>
      <c r="D62" s="34">
        <f t="shared" ref="D62:AE62" si="191">D119</f>
        <v>1278</v>
      </c>
      <c r="E62" s="34">
        <f t="shared" si="191"/>
        <v>1151</v>
      </c>
      <c r="F62" s="34">
        <f t="shared" si="191"/>
        <v>1328</v>
      </c>
      <c r="G62" s="34">
        <f t="shared" si="191"/>
        <v>1640</v>
      </c>
      <c r="H62" s="34">
        <f t="shared" si="191"/>
        <v>1464</v>
      </c>
      <c r="I62" s="34">
        <f t="shared" si="191"/>
        <v>1460</v>
      </c>
      <c r="J62" s="34">
        <f t="shared" si="191"/>
        <v>1536</v>
      </c>
      <c r="K62" s="34">
        <f t="shared" si="191"/>
        <v>1647</v>
      </c>
      <c r="L62" s="34">
        <f t="shared" si="191"/>
        <v>1463</v>
      </c>
      <c r="M62" s="34">
        <f t="shared" si="191"/>
        <v>1368</v>
      </c>
      <c r="N62" s="34">
        <f t="shared" si="191"/>
        <v>1281</v>
      </c>
      <c r="O62" s="34">
        <f t="shared" si="191"/>
        <v>1399</v>
      </c>
      <c r="P62" s="34">
        <f t="shared" si="191"/>
        <v>1368</v>
      </c>
      <c r="Q62" s="34">
        <f t="shared" si="191"/>
        <v>1424</v>
      </c>
      <c r="R62" s="34">
        <f t="shared" si="191"/>
        <v>1280</v>
      </c>
      <c r="S62" s="34">
        <f t="shared" si="191"/>
        <v>1397</v>
      </c>
      <c r="T62" s="34">
        <f t="shared" si="191"/>
        <v>1485</v>
      </c>
      <c r="U62" s="34">
        <f t="shared" si="191"/>
        <v>1425</v>
      </c>
      <c r="V62" s="34">
        <f t="shared" si="191"/>
        <v>1808</v>
      </c>
      <c r="W62" s="34">
        <f t="shared" si="191"/>
        <v>1709</v>
      </c>
      <c r="X62" s="34">
        <f t="shared" si="191"/>
        <v>1815</v>
      </c>
      <c r="Y62" s="34">
        <f t="shared" ref="Y62:Z62" si="192">Y119</f>
        <v>1762</v>
      </c>
      <c r="Z62" s="34">
        <f t="shared" si="192"/>
        <v>2213</v>
      </c>
      <c r="AA62" s="34">
        <f t="shared" ref="AA62:AB62" si="193">AA119</f>
        <v>1851</v>
      </c>
      <c r="AB62" s="34">
        <f t="shared" si="193"/>
        <v>1905</v>
      </c>
      <c r="AC62" s="34">
        <f t="shared" si="191"/>
        <v>1976.3290670410961</v>
      </c>
      <c r="AD62" s="34">
        <f t="shared" si="191"/>
        <v>2073.2323909670058</v>
      </c>
      <c r="AE62" s="34">
        <f t="shared" si="191"/>
        <v>2158.5437777031289</v>
      </c>
      <c r="AF62" s="34">
        <f t="shared" ref="AF62:AI62" si="194">AF119</f>
        <v>2113.5765025433739</v>
      </c>
      <c r="AG62" s="34">
        <f t="shared" si="194"/>
        <v>2176.2687343571661</v>
      </c>
      <c r="AH62" s="34">
        <f t="shared" si="194"/>
        <v>2316.0754854818306</v>
      </c>
      <c r="AI62" s="34">
        <f t="shared" si="194"/>
        <v>2425.4247760319163</v>
      </c>
      <c r="AJ62" s="34"/>
      <c r="AK62" s="34"/>
      <c r="AL62" s="34"/>
      <c r="AM62" s="34"/>
      <c r="AN62" s="34"/>
      <c r="AO62" s="34"/>
      <c r="AP62" s="34"/>
      <c r="AQ62" s="34"/>
      <c r="AS62" s="16"/>
      <c r="AT62" s="17" t="s">
        <v>100</v>
      </c>
      <c r="AU62" s="232">
        <f>SUM(D62:G62)</f>
        <v>5397</v>
      </c>
      <c r="AV62" s="232">
        <f>SUM(H62:K62)</f>
        <v>6107</v>
      </c>
      <c r="AW62" s="232">
        <f>SUM(L62:O62)</f>
        <v>5511</v>
      </c>
      <c r="AX62" s="232">
        <f>SUM(P62:S62)</f>
        <v>5469</v>
      </c>
      <c r="AY62" s="232">
        <f>SUM(T62:W62)</f>
        <v>6427</v>
      </c>
      <c r="AZ62" s="232">
        <f>SUM(X62:AA62)</f>
        <v>7641</v>
      </c>
      <c r="BA62" s="232">
        <f>SUM(AB62:AE62)</f>
        <v>8113.1052357112312</v>
      </c>
      <c r="BB62" s="232">
        <f>SUM(AF62:AI62)</f>
        <v>9031.3454984142863</v>
      </c>
      <c r="BC62" s="34">
        <f>BC119</f>
        <v>10112.742731167547</v>
      </c>
      <c r="BD62" s="34">
        <f>BD119</f>
        <v>11198.233355476939</v>
      </c>
      <c r="BE62" s="34">
        <f>BE119</f>
        <v>12423.229162628211</v>
      </c>
      <c r="BM62"/>
      <c r="BN62"/>
      <c r="BO62"/>
      <c r="BP62"/>
      <c r="BQ62"/>
      <c r="BR62"/>
    </row>
    <row r="63" spans="2:70" s="70" customFormat="1" x14ac:dyDescent="0.2">
      <c r="B63" s="16"/>
      <c r="C63" s="17" t="s">
        <v>182</v>
      </c>
      <c r="D63" s="121">
        <f t="shared" ref="D63:AE63" si="195">D496</f>
        <v>103</v>
      </c>
      <c r="E63" s="121">
        <f t="shared" si="195"/>
        <v>135</v>
      </c>
      <c r="F63" s="121">
        <f t="shared" si="195"/>
        <v>-27</v>
      </c>
      <c r="G63" s="121">
        <f t="shared" si="195"/>
        <v>97</v>
      </c>
      <c r="H63" s="121">
        <f t="shared" si="195"/>
        <v>65</v>
      </c>
      <c r="I63" s="121">
        <f t="shared" si="195"/>
        <v>-30</v>
      </c>
      <c r="J63" s="121">
        <f t="shared" si="195"/>
        <v>144</v>
      </c>
      <c r="K63" s="121">
        <f t="shared" si="195"/>
        <v>-93</v>
      </c>
      <c r="L63" s="121">
        <f t="shared" si="195"/>
        <v>26</v>
      </c>
      <c r="M63" s="121">
        <f t="shared" si="195"/>
        <v>-110</v>
      </c>
      <c r="N63" s="121">
        <f t="shared" si="195"/>
        <v>-32</v>
      </c>
      <c r="O63" s="121">
        <f t="shared" si="195"/>
        <v>163</v>
      </c>
      <c r="P63" s="121">
        <f t="shared" si="195"/>
        <v>86</v>
      </c>
      <c r="Q63" s="121">
        <f t="shared" si="195"/>
        <v>-87</v>
      </c>
      <c r="R63" s="121">
        <f t="shared" si="195"/>
        <v>313</v>
      </c>
      <c r="S63" s="121">
        <f t="shared" si="195"/>
        <v>650</v>
      </c>
      <c r="T63" s="121">
        <f t="shared" si="195"/>
        <v>390</v>
      </c>
      <c r="U63" s="121">
        <f t="shared" si="195"/>
        <v>82</v>
      </c>
      <c r="V63" s="121">
        <f t="shared" si="195"/>
        <v>-90</v>
      </c>
      <c r="W63" s="121">
        <f t="shared" si="195"/>
        <v>104</v>
      </c>
      <c r="X63" s="121">
        <f t="shared" si="195"/>
        <v>-205</v>
      </c>
      <c r="Y63" s="121">
        <f t="shared" ref="Y63:Z63" si="196">Y496</f>
        <v>87</v>
      </c>
      <c r="Z63" s="121">
        <f t="shared" si="196"/>
        <v>-164</v>
      </c>
      <c r="AA63" s="121">
        <f t="shared" ref="AA63:AB63" si="197">AA496</f>
        <v>267</v>
      </c>
      <c r="AB63" s="121">
        <f t="shared" si="197"/>
        <v>-41</v>
      </c>
      <c r="AC63" s="121">
        <f t="shared" si="195"/>
        <v>172.41632876712333</v>
      </c>
      <c r="AD63" s="121">
        <f t="shared" si="195"/>
        <v>194.61824679452059</v>
      </c>
      <c r="AE63" s="121">
        <f t="shared" si="195"/>
        <v>224.47445510958903</v>
      </c>
      <c r="AF63" s="121">
        <f t="shared" ref="AF63:AI63" si="198">AF496</f>
        <v>241.90538453679451</v>
      </c>
      <c r="AG63" s="121">
        <f t="shared" si="198"/>
        <v>267.96546336973358</v>
      </c>
      <c r="AH63" s="121">
        <f t="shared" si="198"/>
        <v>296.83343655503688</v>
      </c>
      <c r="AI63" s="121">
        <f t="shared" si="198"/>
        <v>323.8835803701329</v>
      </c>
      <c r="AJ63" s="121"/>
      <c r="AK63" s="121"/>
      <c r="AL63" s="121"/>
      <c r="AM63" s="121"/>
      <c r="AN63" s="121"/>
      <c r="AO63" s="121"/>
      <c r="AP63" s="121"/>
      <c r="AQ63" s="121"/>
      <c r="AS63" s="16"/>
      <c r="AT63" s="17" t="s">
        <v>182</v>
      </c>
      <c r="AU63" s="232">
        <f>SUM(D63:G63)</f>
        <v>308</v>
      </c>
      <c r="AV63" s="232">
        <f>SUM(H63:K63)</f>
        <v>86</v>
      </c>
      <c r="AW63" s="232">
        <f>SUM(L63:O63)</f>
        <v>47</v>
      </c>
      <c r="AX63" s="232">
        <f>SUM(P63:S63)</f>
        <v>962</v>
      </c>
      <c r="AY63" s="232">
        <f>SUM(T63:W63)</f>
        <v>486</v>
      </c>
      <c r="AZ63" s="232">
        <f>SUM(X63:AA63)</f>
        <v>-15</v>
      </c>
      <c r="BA63" s="232">
        <f>SUM(AB63:AE63)</f>
        <v>550.50903067123295</v>
      </c>
      <c r="BB63" s="232">
        <f>SUM(AF63:AI63)</f>
        <v>1130.587864831698</v>
      </c>
      <c r="BC63" s="121">
        <f>BC496</f>
        <v>1407.4206282004766</v>
      </c>
      <c r="BD63" s="121">
        <f>BD496</f>
        <v>1721.07436819944</v>
      </c>
      <c r="BE63" s="121">
        <f>BE496</f>
        <v>2280.4235378642579</v>
      </c>
      <c r="BM63"/>
      <c r="BN63"/>
      <c r="BO63"/>
      <c r="BP63"/>
      <c r="BQ63"/>
      <c r="BR63"/>
    </row>
    <row r="64" spans="2:70" s="70" customFormat="1" x14ac:dyDescent="0.2">
      <c r="B64" s="16"/>
      <c r="C64" s="29" t="s">
        <v>183</v>
      </c>
      <c r="D64" s="41">
        <f t="shared" ref="D64:AE64" si="199">D648</f>
        <v>1519</v>
      </c>
      <c r="E64" s="41">
        <f t="shared" si="199"/>
        <v>1410</v>
      </c>
      <c r="F64" s="41">
        <f t="shared" si="199"/>
        <v>1319</v>
      </c>
      <c r="G64" s="41">
        <f t="shared" si="199"/>
        <v>1376</v>
      </c>
      <c r="H64" s="41">
        <f t="shared" si="199"/>
        <v>930</v>
      </c>
      <c r="I64" s="41">
        <f t="shared" si="199"/>
        <v>594</v>
      </c>
      <c r="J64" s="41">
        <f t="shared" si="199"/>
        <v>279</v>
      </c>
      <c r="K64" s="41">
        <f t="shared" si="199"/>
        <v>518</v>
      </c>
      <c r="L64" s="41">
        <f t="shared" si="199"/>
        <v>485</v>
      </c>
      <c r="M64" s="41">
        <f t="shared" si="199"/>
        <v>472</v>
      </c>
      <c r="N64" s="41">
        <f t="shared" si="199"/>
        <v>501</v>
      </c>
      <c r="O64" s="41">
        <f t="shared" si="199"/>
        <v>451</v>
      </c>
      <c r="P64" s="41">
        <f t="shared" si="199"/>
        <v>461</v>
      </c>
      <c r="Q64" s="41">
        <f t="shared" si="199"/>
        <v>311</v>
      </c>
      <c r="R64" s="41">
        <f t="shared" si="199"/>
        <v>243</v>
      </c>
      <c r="S64" s="41">
        <f t="shared" si="199"/>
        <v>467</v>
      </c>
      <c r="T64" s="41">
        <f t="shared" si="199"/>
        <v>170</v>
      </c>
      <c r="U64" s="41">
        <f t="shared" si="199"/>
        <v>-98</v>
      </c>
      <c r="V64" s="41">
        <f t="shared" si="199"/>
        <v>18</v>
      </c>
      <c r="W64" s="41">
        <f t="shared" si="199"/>
        <v>-21</v>
      </c>
      <c r="X64" s="41">
        <f t="shared" si="199"/>
        <v>52</v>
      </c>
      <c r="Y64" s="41">
        <f t="shared" ref="Y64:Z64" si="200">Y648</f>
        <v>-132</v>
      </c>
      <c r="Z64" s="41">
        <f t="shared" si="200"/>
        <v>-50</v>
      </c>
      <c r="AA64" s="41">
        <f t="shared" ref="AA64:AB64" si="201">AA648</f>
        <v>-45</v>
      </c>
      <c r="AB64" s="41">
        <f t="shared" si="201"/>
        <v>-7</v>
      </c>
      <c r="AC64" s="41">
        <f t="shared" si="199"/>
        <v>52.605479452054794</v>
      </c>
      <c r="AD64" s="41">
        <f t="shared" si="199"/>
        <v>50.33156164383562</v>
      </c>
      <c r="AE64" s="41">
        <f t="shared" si="199"/>
        <v>47.641443835616442</v>
      </c>
      <c r="AF64" s="41">
        <f t="shared" ref="AF64:AI64" si="202">AF648</f>
        <v>43.595508082191778</v>
      </c>
      <c r="AG64" s="41">
        <f t="shared" si="202"/>
        <v>41.246941975342466</v>
      </c>
      <c r="AH64" s="41">
        <f t="shared" si="202"/>
        <v>39.392946866351785</v>
      </c>
      <c r="AI64" s="41">
        <f t="shared" si="202"/>
        <v>37.233055274476797</v>
      </c>
      <c r="AJ64" s="232"/>
      <c r="AK64" s="232"/>
      <c r="AL64" s="232"/>
      <c r="AM64" s="232"/>
      <c r="AN64" s="232"/>
      <c r="AO64" s="232"/>
      <c r="AP64" s="232"/>
      <c r="AQ64" s="232"/>
      <c r="AS64" s="16"/>
      <c r="AT64" s="29" t="s">
        <v>183</v>
      </c>
      <c r="AU64" s="41">
        <f>SUM(D64:G64)</f>
        <v>5624</v>
      </c>
      <c r="AV64" s="41">
        <f>SUM(H64:K64)</f>
        <v>2321</v>
      </c>
      <c r="AW64" s="41">
        <f>SUM(L64:O64)</f>
        <v>1909</v>
      </c>
      <c r="AX64" s="41">
        <f>SUM(P64:S64)</f>
        <v>1482</v>
      </c>
      <c r="AY64" s="41">
        <f>SUM(T64:W64)</f>
        <v>69</v>
      </c>
      <c r="AZ64" s="41">
        <f>SUM(X64:AA64)</f>
        <v>-175</v>
      </c>
      <c r="BA64" s="41">
        <f>SUM(AB64:AE64)</f>
        <v>143.57848493150686</v>
      </c>
      <c r="BB64" s="41">
        <f>SUM(AF64:AI64)</f>
        <v>161.46845219836285</v>
      </c>
      <c r="BC64" s="41">
        <f>BC648</f>
        <v>127.49682755848167</v>
      </c>
      <c r="BD64" s="41">
        <f>BD648</f>
        <v>100.94551411221903</v>
      </c>
      <c r="BE64" s="41">
        <f>BE648</f>
        <v>80.125242529035404</v>
      </c>
      <c r="BM64"/>
      <c r="BN64"/>
      <c r="BO64"/>
      <c r="BP64"/>
      <c r="BQ64"/>
      <c r="BR64"/>
    </row>
    <row r="65" spans="1:57" x14ac:dyDescent="0.2">
      <c r="B65" s="16"/>
      <c r="C65" s="16" t="s">
        <v>405</v>
      </c>
      <c r="D65" s="122">
        <f t="shared" ref="D65:AE65" si="203">SUM(D62:D64)</f>
        <v>2900</v>
      </c>
      <c r="E65" s="122">
        <f t="shared" si="203"/>
        <v>2696</v>
      </c>
      <c r="F65" s="122">
        <f t="shared" si="203"/>
        <v>2620</v>
      </c>
      <c r="G65" s="122">
        <f t="shared" si="203"/>
        <v>3113</v>
      </c>
      <c r="H65" s="122">
        <f t="shared" si="203"/>
        <v>2459</v>
      </c>
      <c r="I65" s="122">
        <f t="shared" si="203"/>
        <v>2024</v>
      </c>
      <c r="J65" s="122">
        <f t="shared" si="203"/>
        <v>1959</v>
      </c>
      <c r="K65" s="122">
        <f t="shared" si="203"/>
        <v>2072</v>
      </c>
      <c r="L65" s="122">
        <f t="shared" si="203"/>
        <v>1974</v>
      </c>
      <c r="M65" s="122">
        <f t="shared" si="203"/>
        <v>1730</v>
      </c>
      <c r="N65" s="122">
        <f t="shared" si="203"/>
        <v>1750</v>
      </c>
      <c r="O65" s="122">
        <f t="shared" si="203"/>
        <v>2013</v>
      </c>
      <c r="P65" s="122">
        <f t="shared" si="203"/>
        <v>1915</v>
      </c>
      <c r="Q65" s="122">
        <f t="shared" si="203"/>
        <v>1648</v>
      </c>
      <c r="R65" s="122">
        <f t="shared" si="203"/>
        <v>1836</v>
      </c>
      <c r="S65" s="122">
        <f t="shared" si="203"/>
        <v>2514</v>
      </c>
      <c r="T65" s="122">
        <f t="shared" si="203"/>
        <v>2045</v>
      </c>
      <c r="U65" s="122">
        <f t="shared" si="203"/>
        <v>1409</v>
      </c>
      <c r="V65" s="122">
        <f t="shared" si="203"/>
        <v>1736</v>
      </c>
      <c r="W65" s="122">
        <f t="shared" si="203"/>
        <v>1792</v>
      </c>
      <c r="X65" s="122">
        <f t="shared" si="203"/>
        <v>1662</v>
      </c>
      <c r="Y65" s="122">
        <f t="shared" ref="Y65:Z65" si="204">SUM(Y62:Y64)</f>
        <v>1717</v>
      </c>
      <c r="Z65" s="122">
        <f t="shared" si="204"/>
        <v>1999</v>
      </c>
      <c r="AA65" s="122">
        <f t="shared" ref="AA65:AB65" si="205">SUM(AA62:AA64)</f>
        <v>2073</v>
      </c>
      <c r="AB65" s="122">
        <f t="shared" si="205"/>
        <v>1857</v>
      </c>
      <c r="AC65" s="122">
        <f t="shared" si="203"/>
        <v>2201.3508752602743</v>
      </c>
      <c r="AD65" s="122">
        <f t="shared" si="203"/>
        <v>2318.1821994053621</v>
      </c>
      <c r="AE65" s="122">
        <f t="shared" si="203"/>
        <v>2430.6596766483344</v>
      </c>
      <c r="AF65" s="122">
        <f t="shared" ref="AF65:AI65" si="206">SUM(AF62:AF64)</f>
        <v>2399.0773951623601</v>
      </c>
      <c r="AG65" s="122">
        <f t="shared" si="206"/>
        <v>2485.4811397022422</v>
      </c>
      <c r="AH65" s="122">
        <f t="shared" si="206"/>
        <v>2652.3018689032192</v>
      </c>
      <c r="AI65" s="122">
        <f t="shared" si="206"/>
        <v>2786.541411676526</v>
      </c>
      <c r="AJ65" s="122"/>
      <c r="AK65" s="122"/>
      <c r="AL65" s="122"/>
      <c r="AM65" s="122"/>
      <c r="AN65" s="122"/>
      <c r="AO65" s="122"/>
      <c r="AP65" s="122"/>
      <c r="AQ65" s="122"/>
      <c r="AS65" s="16"/>
      <c r="AT65" s="16" t="s">
        <v>405</v>
      </c>
      <c r="AU65" s="125">
        <f t="shared" ref="AU65:BD65" si="207">SUM(AU62:AU64)</f>
        <v>11329</v>
      </c>
      <c r="AV65" s="125">
        <f t="shared" si="207"/>
        <v>8514</v>
      </c>
      <c r="AW65" s="125">
        <f t="shared" si="207"/>
        <v>7467</v>
      </c>
      <c r="AX65" s="125">
        <f t="shared" si="207"/>
        <v>7913</v>
      </c>
      <c r="AY65" s="125">
        <f t="shared" si="207"/>
        <v>6982</v>
      </c>
      <c r="AZ65" s="125">
        <f t="shared" si="207"/>
        <v>7451</v>
      </c>
      <c r="BA65" s="125">
        <f t="shared" si="207"/>
        <v>8807.1927513139708</v>
      </c>
      <c r="BB65" s="125">
        <f t="shared" ref="BB65" si="208">SUM(BB62:BB64)</f>
        <v>10323.401815444347</v>
      </c>
      <c r="BC65" s="122">
        <f t="shared" si="207"/>
        <v>11647.660186926505</v>
      </c>
      <c r="BD65" s="122">
        <f t="shared" si="207"/>
        <v>13020.253237788598</v>
      </c>
      <c r="BE65" s="122">
        <f t="shared" ref="BE65" si="209">SUM(BE62:BE64)</f>
        <v>14783.777943021503</v>
      </c>
    </row>
    <row r="66" spans="1:57" x14ac:dyDescent="0.2">
      <c r="B66" s="16"/>
      <c r="C66" s="16"/>
      <c r="D66" s="15"/>
      <c r="E66" s="15"/>
      <c r="F66" s="15"/>
      <c r="G66" s="15"/>
      <c r="H66" s="15"/>
      <c r="I66" s="15"/>
      <c r="J66" s="15"/>
      <c r="K66" s="15"/>
      <c r="L66" s="15"/>
      <c r="M66" s="15"/>
      <c r="N66" s="15"/>
      <c r="O66" s="15"/>
      <c r="P66" s="15"/>
      <c r="Q66" s="15"/>
      <c r="R66" s="15"/>
      <c r="S66" s="15"/>
      <c r="T66" s="15"/>
      <c r="U66" s="15"/>
      <c r="V66" s="15"/>
      <c r="W66" s="15"/>
      <c r="X66" s="15"/>
      <c r="Y66" s="15"/>
      <c r="Z66" s="15"/>
      <c r="AA66" s="15"/>
      <c r="AB66" s="15"/>
      <c r="AC66" s="15"/>
      <c r="AD66" s="15"/>
      <c r="AE66" s="15"/>
      <c r="AF66" s="15"/>
      <c r="AG66" s="15"/>
      <c r="AH66" s="15"/>
      <c r="AI66" s="15"/>
      <c r="AJ66" s="15"/>
      <c r="AK66" s="15"/>
      <c r="AL66" s="15"/>
      <c r="AM66" s="15"/>
      <c r="AN66" s="15"/>
      <c r="AO66" s="15"/>
      <c r="AP66" s="15"/>
      <c r="AQ66" s="15"/>
      <c r="AS66" s="16"/>
      <c r="AT66" s="16"/>
      <c r="BC66" s="15"/>
      <c r="BD66" s="15"/>
      <c r="BE66" s="15"/>
    </row>
    <row r="67" spans="1:57" x14ac:dyDescent="0.2">
      <c r="B67" s="16" t="s">
        <v>186</v>
      </c>
      <c r="C67" s="16"/>
      <c r="D67" s="15"/>
      <c r="E67" s="15"/>
      <c r="F67" s="15"/>
      <c r="G67" s="15"/>
      <c r="H67" s="15"/>
      <c r="I67" s="15"/>
      <c r="J67" s="15"/>
      <c r="K67" s="15"/>
      <c r="L67" s="15"/>
      <c r="M67" s="15"/>
      <c r="N67" s="15"/>
      <c r="O67" s="15"/>
      <c r="P67" s="15"/>
      <c r="Q67" s="15"/>
      <c r="R67" s="15"/>
      <c r="S67" s="15"/>
      <c r="T67" s="15"/>
      <c r="U67" s="15"/>
      <c r="V67" s="15"/>
      <c r="W67" s="15"/>
      <c r="X67" s="15"/>
      <c r="Y67" s="15"/>
      <c r="Z67" s="15"/>
      <c r="AA67" s="15"/>
      <c r="AB67" s="15"/>
      <c r="AC67" s="15"/>
      <c r="AD67" s="15"/>
      <c r="AE67" s="15"/>
      <c r="AF67" s="15"/>
      <c r="AG67" s="15"/>
      <c r="AH67" s="15"/>
      <c r="AI67" s="15"/>
      <c r="AJ67" s="15"/>
      <c r="AK67" s="15"/>
      <c r="AL67" s="15"/>
      <c r="AM67" s="15"/>
      <c r="AN67" s="15"/>
      <c r="AO67" s="15"/>
      <c r="AP67" s="15"/>
      <c r="AQ67" s="15"/>
      <c r="AS67" s="16" t="s">
        <v>186</v>
      </c>
      <c r="AT67" s="16"/>
      <c r="BC67" s="15"/>
      <c r="BD67" s="15"/>
      <c r="BE67" s="15"/>
    </row>
    <row r="68" spans="1:57" x14ac:dyDescent="0.2">
      <c r="B68" s="16"/>
      <c r="C68" s="17" t="s">
        <v>100</v>
      </c>
      <c r="D68" s="34">
        <f t="shared" ref="D68:AE68" si="210">D123</f>
        <v>2966</v>
      </c>
      <c r="E68" s="34">
        <f t="shared" si="210"/>
        <v>2823</v>
      </c>
      <c r="F68" s="34">
        <f t="shared" si="210"/>
        <v>2944</v>
      </c>
      <c r="G68" s="34">
        <f t="shared" si="210"/>
        <v>2270</v>
      </c>
      <c r="H68" s="34">
        <f t="shared" si="210"/>
        <v>2692</v>
      </c>
      <c r="I68" s="34">
        <f t="shared" si="210"/>
        <v>2699</v>
      </c>
      <c r="J68" s="34">
        <f t="shared" si="210"/>
        <v>2248</v>
      </c>
      <c r="K68" s="34">
        <f t="shared" si="210"/>
        <v>2233</v>
      </c>
      <c r="L68" s="34">
        <f t="shared" si="210"/>
        <v>2349</v>
      </c>
      <c r="M68" s="34">
        <f t="shared" si="210"/>
        <v>2307</v>
      </c>
      <c r="N68" s="34">
        <f t="shared" si="210"/>
        <v>2850</v>
      </c>
      <c r="O68" s="34">
        <f t="shared" si="210"/>
        <v>2566</v>
      </c>
      <c r="P68" s="34">
        <f t="shared" si="210"/>
        <v>2570</v>
      </c>
      <c r="Q68" s="34">
        <f t="shared" si="210"/>
        <v>2370</v>
      </c>
      <c r="R68" s="34">
        <f t="shared" si="210"/>
        <v>2566</v>
      </c>
      <c r="S68" s="34">
        <f t="shared" si="210"/>
        <v>2077</v>
      </c>
      <c r="T68" s="34">
        <f t="shared" si="210"/>
        <v>1828</v>
      </c>
      <c r="U68" s="34">
        <f t="shared" si="210"/>
        <v>1952</v>
      </c>
      <c r="V68" s="34">
        <f t="shared" si="210"/>
        <v>1927</v>
      </c>
      <c r="W68" s="34">
        <f t="shared" si="210"/>
        <v>1902</v>
      </c>
      <c r="X68" s="34">
        <f t="shared" si="210"/>
        <v>1580</v>
      </c>
      <c r="Y68" s="34">
        <f t="shared" ref="Y68:Z68" si="211">Y123</f>
        <v>1774</v>
      </c>
      <c r="Z68" s="34">
        <f t="shared" si="211"/>
        <v>1805</v>
      </c>
      <c r="AA68" s="34">
        <f t="shared" ref="AA68:AB68" si="212">AA123</f>
        <v>2035</v>
      </c>
      <c r="AB68" s="34">
        <f t="shared" si="212"/>
        <v>1847</v>
      </c>
      <c r="AC68" s="34">
        <f t="shared" si="210"/>
        <v>1885.6574198219173</v>
      </c>
      <c r="AD68" s="34">
        <f t="shared" si="210"/>
        <v>1974.7020690256529</v>
      </c>
      <c r="AE68" s="34">
        <f t="shared" si="210"/>
        <v>1930.3073958827526</v>
      </c>
      <c r="AF68" s="34">
        <f t="shared" ref="AF68:AI68" si="213">AF123</f>
        <v>1958.8586835319275</v>
      </c>
      <c r="AG68" s="34">
        <f t="shared" si="213"/>
        <v>2017.4661082815692</v>
      </c>
      <c r="AH68" s="34">
        <f t="shared" si="213"/>
        <v>2073.9023414406392</v>
      </c>
      <c r="AI68" s="34">
        <f t="shared" si="213"/>
        <v>2009.2136688582132</v>
      </c>
      <c r="AJ68" s="34"/>
      <c r="AK68" s="34"/>
      <c r="AL68" s="34"/>
      <c r="AM68" s="34"/>
      <c r="AN68" s="34"/>
      <c r="AO68" s="34"/>
      <c r="AP68" s="34"/>
      <c r="AQ68" s="34"/>
      <c r="AS68" s="16"/>
      <c r="AT68" s="17" t="s">
        <v>100</v>
      </c>
      <c r="AU68" s="232">
        <f>SUM(D68:G68)</f>
        <v>11003</v>
      </c>
      <c r="AV68" s="232">
        <f>SUM(H68:K68)</f>
        <v>9872</v>
      </c>
      <c r="AW68" s="232">
        <f>SUM(L68:O68)</f>
        <v>10072</v>
      </c>
      <c r="AX68" s="232">
        <f>SUM(P68:S68)</f>
        <v>9583</v>
      </c>
      <c r="AY68" s="232">
        <f>SUM(T68:W68)</f>
        <v>7609</v>
      </c>
      <c r="AZ68" s="232">
        <f>SUM(X68:AA68)</f>
        <v>7194</v>
      </c>
      <c r="BA68" s="232">
        <f>SUM(AB68:AE68)</f>
        <v>7637.6668847303226</v>
      </c>
      <c r="BB68" s="232">
        <f>SUM(AF68:AI68)</f>
        <v>8059.440802112349</v>
      </c>
      <c r="BC68" s="34">
        <f>BC123</f>
        <v>8331.4435158798278</v>
      </c>
      <c r="BD68" s="34">
        <f>BD123</f>
        <v>8516.7413565137977</v>
      </c>
      <c r="BE68" s="34">
        <f>BE123</f>
        <v>8098.7475990115599</v>
      </c>
    </row>
    <row r="69" spans="1:57" x14ac:dyDescent="0.2">
      <c r="B69" s="16"/>
      <c r="C69" s="17" t="s">
        <v>182</v>
      </c>
      <c r="D69" s="121">
        <f t="shared" ref="D69:AE69" si="214">D500-D488</f>
        <v>5642</v>
      </c>
      <c r="E69" s="121">
        <f t="shared" si="214"/>
        <v>2736</v>
      </c>
      <c r="F69" s="121">
        <f t="shared" si="214"/>
        <v>4201</v>
      </c>
      <c r="G69" s="121">
        <f t="shared" si="214"/>
        <v>2684</v>
      </c>
      <c r="H69" s="121">
        <f t="shared" si="214"/>
        <v>5171</v>
      </c>
      <c r="I69" s="121">
        <f t="shared" si="214"/>
        <v>3788</v>
      </c>
      <c r="J69" s="121">
        <f t="shared" si="214"/>
        <v>3063</v>
      </c>
      <c r="K69" s="121">
        <f t="shared" si="214"/>
        <v>2336</v>
      </c>
      <c r="L69" s="121">
        <f t="shared" si="214"/>
        <v>4367</v>
      </c>
      <c r="M69" s="121">
        <f t="shared" si="214"/>
        <v>3876</v>
      </c>
      <c r="N69" s="121">
        <f t="shared" si="214"/>
        <v>4128</v>
      </c>
      <c r="O69" s="121">
        <f t="shared" si="214"/>
        <v>2130</v>
      </c>
      <c r="P69" s="121">
        <f t="shared" si="214"/>
        <v>4360</v>
      </c>
      <c r="Q69" s="121">
        <f t="shared" si="214"/>
        <v>3403</v>
      </c>
      <c r="R69" s="121">
        <f t="shared" si="214"/>
        <v>3008</v>
      </c>
      <c r="S69" s="121">
        <f t="shared" si="214"/>
        <v>1974</v>
      </c>
      <c r="T69" s="121">
        <f t="shared" si="214"/>
        <v>2633</v>
      </c>
      <c r="U69" s="121">
        <f t="shared" si="214"/>
        <v>3844</v>
      </c>
      <c r="V69" s="121">
        <f t="shared" si="214"/>
        <v>3862</v>
      </c>
      <c r="W69" s="121">
        <f t="shared" si="214"/>
        <v>3446</v>
      </c>
      <c r="X69" s="121">
        <f t="shared" si="214"/>
        <v>4386</v>
      </c>
      <c r="Y69" s="121">
        <f t="shared" ref="Y69:Z69" si="215">Y500-Y488</f>
        <v>4107</v>
      </c>
      <c r="Z69" s="121">
        <f t="shared" si="215"/>
        <v>4456</v>
      </c>
      <c r="AA69" s="121">
        <f t="shared" ref="AA69:AB69" si="216">AA500-AA488</f>
        <v>3125</v>
      </c>
      <c r="AB69" s="121">
        <f t="shared" si="216"/>
        <v>4386</v>
      </c>
      <c r="AC69" s="121">
        <f t="shared" si="214"/>
        <v>4299.1477887285837</v>
      </c>
      <c r="AD69" s="121">
        <f t="shared" si="214"/>
        <v>4277.8668916960278</v>
      </c>
      <c r="AE69" s="121">
        <f t="shared" si="214"/>
        <v>4083.2542882494499</v>
      </c>
      <c r="AF69" s="121">
        <f t="shared" ref="AF69:AI69" si="217">AF500-AF488</f>
        <v>4745.2206486565146</v>
      </c>
      <c r="AG69" s="121">
        <f t="shared" si="217"/>
        <v>4839.0307660738436</v>
      </c>
      <c r="AH69" s="121">
        <f t="shared" si="217"/>
        <v>4669.3185974168637</v>
      </c>
      <c r="AI69" s="121">
        <f t="shared" si="217"/>
        <v>4387.067301039775</v>
      </c>
      <c r="AJ69" s="121"/>
      <c r="AK69" s="121"/>
      <c r="AL69" s="121"/>
      <c r="AM69" s="121"/>
      <c r="AN69" s="121"/>
      <c r="AO69" s="121"/>
      <c r="AP69" s="121"/>
      <c r="AQ69" s="121"/>
      <c r="AS69" s="16"/>
      <c r="AT69" s="17" t="s">
        <v>182</v>
      </c>
      <c r="AU69" s="232">
        <f>SUM(D69:G69)</f>
        <v>15263</v>
      </c>
      <c r="AV69" s="232">
        <f>SUM(H69:K69)</f>
        <v>14358</v>
      </c>
      <c r="AW69" s="232">
        <f>SUM(L69:O69)</f>
        <v>14501</v>
      </c>
      <c r="AX69" s="232">
        <f>SUM(P69:S69)</f>
        <v>12745</v>
      </c>
      <c r="AY69" s="232">
        <f>SUM(T69:W69)</f>
        <v>13785</v>
      </c>
      <c r="AZ69" s="232">
        <f>SUM(X69:AA69)</f>
        <v>16074</v>
      </c>
      <c r="BA69" s="232">
        <f>SUM(AB69:AE69)</f>
        <v>17046.26896867406</v>
      </c>
      <c r="BB69" s="232">
        <f>SUM(AF69:AI69)</f>
        <v>18640.637313186999</v>
      </c>
      <c r="BC69" s="121">
        <f>BC500-BC488</f>
        <v>20231.825031340446</v>
      </c>
      <c r="BD69" s="121">
        <f>BD500-BD488</f>
        <v>21492.535284559846</v>
      </c>
      <c r="BE69" s="121">
        <f>BE500-BE488</f>
        <v>22560.276346145867</v>
      </c>
    </row>
    <row r="70" spans="1:57" x14ac:dyDescent="0.2">
      <c r="B70" s="16"/>
      <c r="C70" s="29" t="s">
        <v>183</v>
      </c>
      <c r="D70" s="117">
        <f t="shared" ref="D70:AE70" si="218">D652</f>
        <v>-2276</v>
      </c>
      <c r="E70" s="117">
        <f t="shared" si="218"/>
        <v>-1752</v>
      </c>
      <c r="F70" s="117">
        <f t="shared" si="218"/>
        <v>-1862</v>
      </c>
      <c r="G70" s="117">
        <f t="shared" si="218"/>
        <v>-2763</v>
      </c>
      <c r="H70" s="117">
        <f t="shared" si="218"/>
        <v>-1663</v>
      </c>
      <c r="I70" s="117">
        <f t="shared" si="218"/>
        <v>-1007</v>
      </c>
      <c r="J70" s="117">
        <f t="shared" si="218"/>
        <v>-340</v>
      </c>
      <c r="K70" s="117">
        <f t="shared" si="218"/>
        <v>-731</v>
      </c>
      <c r="L70" s="117">
        <f t="shared" si="218"/>
        <v>-633</v>
      </c>
      <c r="M70" s="117">
        <f t="shared" si="218"/>
        <v>-3944</v>
      </c>
      <c r="N70" s="117">
        <f t="shared" si="218"/>
        <v>-1307</v>
      </c>
      <c r="O70" s="117">
        <f t="shared" si="218"/>
        <v>-3255</v>
      </c>
      <c r="P70" s="117">
        <f t="shared" si="218"/>
        <v>149</v>
      </c>
      <c r="Q70" s="117">
        <f t="shared" si="218"/>
        <v>506</v>
      </c>
      <c r="R70" s="117">
        <f t="shared" si="218"/>
        <v>196</v>
      </c>
      <c r="S70" s="117">
        <f t="shared" si="218"/>
        <v>1124</v>
      </c>
      <c r="T70" s="117">
        <f t="shared" si="218"/>
        <v>526</v>
      </c>
      <c r="U70" s="117">
        <f t="shared" si="218"/>
        <v>-26</v>
      </c>
      <c r="V70" s="117">
        <f t="shared" si="218"/>
        <v>-169</v>
      </c>
      <c r="W70" s="117">
        <f t="shared" si="218"/>
        <v>-248</v>
      </c>
      <c r="X70" s="117">
        <f t="shared" si="218"/>
        <v>15</v>
      </c>
      <c r="Y70" s="117">
        <f t="shared" ref="Y70:Z70" si="219">Y652</f>
        <v>-203</v>
      </c>
      <c r="Z70" s="117">
        <f t="shared" si="219"/>
        <v>-258</v>
      </c>
      <c r="AA70" s="117">
        <f t="shared" ref="AA70:AB70" si="220">AA652</f>
        <v>-61</v>
      </c>
      <c r="AB70" s="117">
        <f t="shared" si="220"/>
        <v>-143</v>
      </c>
      <c r="AC70" s="117">
        <f t="shared" si="218"/>
        <v>-224.64643945205484</v>
      </c>
      <c r="AD70" s="117">
        <f t="shared" si="218"/>
        <v>-220.24588059726037</v>
      </c>
      <c r="AE70" s="117">
        <f t="shared" si="218"/>
        <v>-223.43837158904114</v>
      </c>
      <c r="AF70" s="117">
        <f t="shared" ref="AF70:AI70" si="221">AF652</f>
        <v>-177.91326848342464</v>
      </c>
      <c r="AG70" s="117">
        <f t="shared" si="221"/>
        <v>-168.57625185322468</v>
      </c>
      <c r="AH70" s="117">
        <f t="shared" si="221"/>
        <v>-161.23533152397789</v>
      </c>
      <c r="AI70" s="117">
        <f t="shared" si="221"/>
        <v>-152.61829357008037</v>
      </c>
      <c r="AJ70" s="1751"/>
      <c r="AK70" s="1751"/>
      <c r="AL70" s="1751"/>
      <c r="AM70" s="1751"/>
      <c r="AN70" s="1751"/>
      <c r="AO70" s="1751"/>
      <c r="AP70" s="1751"/>
      <c r="AQ70" s="1751"/>
      <c r="AS70" s="16"/>
      <c r="AT70" s="29" t="s">
        <v>183</v>
      </c>
      <c r="AU70" s="41">
        <f>SUM(D70:G70)</f>
        <v>-8653</v>
      </c>
      <c r="AV70" s="41">
        <f>SUM(H70:K70)</f>
        <v>-3741</v>
      </c>
      <c r="AW70" s="41">
        <f>SUM(L70:O70)</f>
        <v>-9139</v>
      </c>
      <c r="AX70" s="41">
        <f>SUM(P70:S70)</f>
        <v>1975</v>
      </c>
      <c r="AY70" s="41">
        <f>SUM(T70:W70)</f>
        <v>83</v>
      </c>
      <c r="AZ70" s="41">
        <f>SUM(X70:AA70)</f>
        <v>-507</v>
      </c>
      <c r="BA70" s="41">
        <f>SUM(AB70:AE70)</f>
        <v>-811.33069163835637</v>
      </c>
      <c r="BB70" s="41">
        <f>SUM(AF70:AI70)</f>
        <v>-660.34314543070764</v>
      </c>
      <c r="BC70" s="117">
        <f>BC652</f>
        <v>-523.37447712756727</v>
      </c>
      <c r="BD70" s="117">
        <f>BD652</f>
        <v>-415.89551814234244</v>
      </c>
      <c r="BE70" s="117">
        <f>BE652</f>
        <v>-330.11599921962579</v>
      </c>
    </row>
    <row r="71" spans="1:57" x14ac:dyDescent="0.2">
      <c r="B71" s="16"/>
      <c r="C71" s="16" t="s">
        <v>524</v>
      </c>
      <c r="D71" s="164">
        <f t="shared" ref="D71:AE71" si="222">SUM(D68:D70)</f>
        <v>6332</v>
      </c>
      <c r="E71" s="164">
        <f t="shared" si="222"/>
        <v>3807</v>
      </c>
      <c r="F71" s="164">
        <f t="shared" si="222"/>
        <v>5283</v>
      </c>
      <c r="G71" s="164">
        <f t="shared" si="222"/>
        <v>2191</v>
      </c>
      <c r="H71" s="164">
        <f t="shared" si="222"/>
        <v>6200</v>
      </c>
      <c r="I71" s="164">
        <f t="shared" si="222"/>
        <v>5480</v>
      </c>
      <c r="J71" s="164">
        <f t="shared" si="222"/>
        <v>4971</v>
      </c>
      <c r="K71" s="164">
        <f t="shared" si="222"/>
        <v>3838</v>
      </c>
      <c r="L71" s="164">
        <f t="shared" si="222"/>
        <v>6083</v>
      </c>
      <c r="M71" s="164">
        <f t="shared" si="222"/>
        <v>2239</v>
      </c>
      <c r="N71" s="164">
        <f t="shared" si="222"/>
        <v>5671</v>
      </c>
      <c r="O71" s="164">
        <f t="shared" si="222"/>
        <v>1441</v>
      </c>
      <c r="P71" s="164">
        <f t="shared" si="222"/>
        <v>7079</v>
      </c>
      <c r="Q71" s="164">
        <f t="shared" si="222"/>
        <v>6279</v>
      </c>
      <c r="R71" s="164">
        <f t="shared" si="222"/>
        <v>5770</v>
      </c>
      <c r="S71" s="164">
        <f t="shared" si="222"/>
        <v>5175</v>
      </c>
      <c r="T71" s="164">
        <f t="shared" si="222"/>
        <v>4987</v>
      </c>
      <c r="U71" s="164">
        <f t="shared" si="222"/>
        <v>5770</v>
      </c>
      <c r="V71" s="164">
        <f t="shared" si="222"/>
        <v>5620</v>
      </c>
      <c r="W71" s="164">
        <f t="shared" si="222"/>
        <v>5100</v>
      </c>
      <c r="X71" s="164">
        <f t="shared" si="222"/>
        <v>5981</v>
      </c>
      <c r="Y71" s="164">
        <f t="shared" ref="Y71:Z71" si="223">SUM(Y68:Y70)</f>
        <v>5678</v>
      </c>
      <c r="Z71" s="164">
        <f t="shared" si="223"/>
        <v>6003</v>
      </c>
      <c r="AA71" s="164">
        <f t="shared" ref="AA71:AB71" si="224">SUM(AA68:AA70)</f>
        <v>5099</v>
      </c>
      <c r="AB71" s="164">
        <f t="shared" si="224"/>
        <v>6090</v>
      </c>
      <c r="AC71" s="164">
        <f t="shared" si="222"/>
        <v>5960.1587690984461</v>
      </c>
      <c r="AD71" s="164">
        <f t="shared" si="222"/>
        <v>6032.3230801244208</v>
      </c>
      <c r="AE71" s="164">
        <f t="shared" si="222"/>
        <v>5790.1233125431618</v>
      </c>
      <c r="AF71" s="164">
        <f t="shared" ref="AF71:AI71" si="225">SUM(AF68:AF70)</f>
        <v>6526.1660637050172</v>
      </c>
      <c r="AG71" s="164">
        <f t="shared" si="225"/>
        <v>6687.9206225021881</v>
      </c>
      <c r="AH71" s="164">
        <f t="shared" si="225"/>
        <v>6581.985607333525</v>
      </c>
      <c r="AI71" s="164">
        <f t="shared" si="225"/>
        <v>6243.6626763279073</v>
      </c>
      <c r="AJ71" s="164"/>
      <c r="AK71" s="164"/>
      <c r="AL71" s="164"/>
      <c r="AM71" s="164"/>
      <c r="AN71" s="164"/>
      <c r="AO71" s="164"/>
      <c r="AP71" s="164"/>
      <c r="AQ71" s="164"/>
      <c r="AS71" s="16"/>
      <c r="AT71" s="16" t="s">
        <v>524</v>
      </c>
      <c r="AU71" s="125">
        <f t="shared" ref="AU71:BD71" si="226">SUM(AU68:AU70)</f>
        <v>17613</v>
      </c>
      <c r="AV71" s="125">
        <f t="shared" si="226"/>
        <v>20489</v>
      </c>
      <c r="AW71" s="125">
        <f t="shared" si="226"/>
        <v>15434</v>
      </c>
      <c r="AX71" s="125">
        <f t="shared" si="226"/>
        <v>24303</v>
      </c>
      <c r="AY71" s="125">
        <f t="shared" si="226"/>
        <v>21477</v>
      </c>
      <c r="AZ71" s="125">
        <f t="shared" si="226"/>
        <v>22761</v>
      </c>
      <c r="BA71" s="125">
        <f t="shared" si="226"/>
        <v>23872.605161766027</v>
      </c>
      <c r="BB71" s="125">
        <f t="shared" ref="BB71" si="227">SUM(BB68:BB70)</f>
        <v>26039.734969868641</v>
      </c>
      <c r="BC71" s="164">
        <f t="shared" si="226"/>
        <v>28039.894070092705</v>
      </c>
      <c r="BD71" s="164">
        <f t="shared" si="226"/>
        <v>29593.381122931303</v>
      </c>
      <c r="BE71" s="164">
        <f t="shared" ref="BE71" si="228">SUM(BE68:BE70)</f>
        <v>30328.907945937801</v>
      </c>
    </row>
    <row r="72" spans="1:57" x14ac:dyDescent="0.2">
      <c r="B72" s="16"/>
      <c r="C72" s="16"/>
      <c r="D72" s="164"/>
      <c r="E72" s="164"/>
      <c r="F72" s="164"/>
      <c r="G72" s="164"/>
      <c r="H72" s="164"/>
      <c r="I72" s="164"/>
      <c r="J72" s="164"/>
      <c r="K72" s="164"/>
      <c r="L72" s="164"/>
      <c r="M72" s="164"/>
      <c r="N72" s="164"/>
      <c r="O72" s="164"/>
      <c r="P72" s="164"/>
      <c r="Q72" s="164"/>
      <c r="R72" s="164"/>
      <c r="S72" s="164"/>
      <c r="T72" s="164"/>
      <c r="U72" s="164"/>
      <c r="V72" s="164"/>
      <c r="W72" s="164"/>
      <c r="X72" s="1698"/>
      <c r="Y72" s="1698"/>
      <c r="Z72" s="1698"/>
      <c r="AA72" s="1698"/>
      <c r="AB72" s="1698"/>
      <c r="AC72" s="164"/>
      <c r="AD72" s="164"/>
      <c r="AE72" s="164"/>
      <c r="AF72" s="164"/>
      <c r="AG72" s="164"/>
      <c r="AH72" s="164"/>
      <c r="AI72" s="164"/>
      <c r="AJ72" s="164"/>
      <c r="AK72" s="164"/>
      <c r="AL72" s="164"/>
      <c r="AM72" s="164"/>
      <c r="AN72" s="164"/>
      <c r="AO72" s="164"/>
      <c r="AP72" s="164"/>
      <c r="AQ72" s="164"/>
      <c r="AS72" s="16"/>
      <c r="AT72" s="16"/>
      <c r="BC72" s="164"/>
      <c r="BD72" s="164"/>
      <c r="BE72" s="164"/>
    </row>
    <row r="73" spans="1:57" x14ac:dyDescent="0.2">
      <c r="B73" s="16" t="s">
        <v>525</v>
      </c>
      <c r="C73" s="16"/>
      <c r="D73" s="164"/>
      <c r="E73" s="164"/>
      <c r="F73" s="164"/>
      <c r="G73" s="164"/>
      <c r="H73" s="164"/>
      <c r="I73" s="164"/>
      <c r="J73" s="164"/>
      <c r="K73" s="164"/>
      <c r="L73" s="164"/>
      <c r="M73" s="164"/>
      <c r="N73" s="164"/>
      <c r="O73" s="164"/>
      <c r="P73" s="164"/>
      <c r="Q73" s="164"/>
      <c r="R73" s="164"/>
      <c r="S73" s="164"/>
      <c r="T73" s="164"/>
      <c r="U73" s="164"/>
      <c r="V73" s="164"/>
      <c r="W73" s="164"/>
      <c r="X73" s="164"/>
      <c r="Y73" s="164"/>
      <c r="Z73" s="164"/>
      <c r="AA73" s="164"/>
      <c r="AB73" s="164"/>
      <c r="AC73" s="164"/>
      <c r="AD73" s="164"/>
      <c r="AE73" s="164"/>
      <c r="AF73" s="164"/>
      <c r="AG73" s="164"/>
      <c r="AH73" s="164"/>
      <c r="AI73" s="164"/>
      <c r="AJ73" s="164"/>
      <c r="AK73" s="164"/>
      <c r="AL73" s="164"/>
      <c r="AM73" s="164"/>
      <c r="AN73" s="164"/>
      <c r="AO73" s="164"/>
      <c r="AP73" s="164"/>
      <c r="AQ73" s="164"/>
      <c r="AS73" s="16" t="s">
        <v>525</v>
      </c>
      <c r="AT73" s="16"/>
      <c r="BC73" s="125"/>
      <c r="BD73" s="125"/>
      <c r="BE73" s="125"/>
    </row>
    <row r="74" spans="1:57" x14ac:dyDescent="0.2">
      <c r="B74" s="16"/>
      <c r="C74" s="17" t="s">
        <v>100</v>
      </c>
      <c r="D74" s="66">
        <f t="shared" ref="D74:W74" si="229">D1544</f>
        <v>2.1635467980295569E-2</v>
      </c>
      <c r="E74" s="66">
        <f t="shared" si="229"/>
        <v>2.0012584190003544E-2</v>
      </c>
      <c r="F74" s="66">
        <f t="shared" si="229"/>
        <v>2.0592734553775742E-2</v>
      </c>
      <c r="G74" s="66">
        <f t="shared" si="229"/>
        <v>1.7201044386422976E-2</v>
      </c>
      <c r="H74" s="66">
        <f t="shared" si="229"/>
        <v>1.8607225100748418E-2</v>
      </c>
      <c r="I74" s="66">
        <f t="shared" si="229"/>
        <v>1.845476046263448E-2</v>
      </c>
      <c r="J74" s="66">
        <f t="shared" si="229"/>
        <v>1.5255192285746889E-2</v>
      </c>
      <c r="K74" s="66">
        <f t="shared" si="229"/>
        <v>1.5110498003549244E-2</v>
      </c>
      <c r="L74" s="66">
        <f t="shared" si="229"/>
        <v>1.6794159544159543E-2</v>
      </c>
      <c r="M74" s="66">
        <f t="shared" si="229"/>
        <v>1.5411179151637167E-2</v>
      </c>
      <c r="N74" s="66">
        <f t="shared" si="229"/>
        <v>1.8671849201981283E-2</v>
      </c>
      <c r="O74" s="66">
        <f t="shared" si="229"/>
        <v>1.7077032136105858E-2</v>
      </c>
      <c r="P74" s="66">
        <f t="shared" si="229"/>
        <v>1.7838024039871003E-2</v>
      </c>
      <c r="Q74" s="66">
        <f t="shared" si="229"/>
        <v>1.6624493927125509E-2</v>
      </c>
      <c r="R74" s="66">
        <f t="shared" si="229"/>
        <v>1.7524412927226226E-2</v>
      </c>
      <c r="S74" s="66">
        <f t="shared" si="229"/>
        <v>1.3854382332643201E-2</v>
      </c>
      <c r="T74" s="66">
        <f t="shared" si="229"/>
        <v>1.2738041799049757E-2</v>
      </c>
      <c r="U74" s="66">
        <f t="shared" si="229"/>
        <v>1.3354629866257772E-2</v>
      </c>
      <c r="V74" s="66">
        <f t="shared" si="229"/>
        <v>1.2158498990113746E-2</v>
      </c>
      <c r="W74" s="66">
        <f t="shared" si="229"/>
        <v>1.1886267232237539E-2</v>
      </c>
      <c r="X74" s="66">
        <f>X1544</f>
        <v>9.8718157181571821E-3</v>
      </c>
      <c r="Y74" s="66">
        <f>Y1544</f>
        <v>1.0928491798057015E-2</v>
      </c>
      <c r="Z74" s="66">
        <f>Z1544</f>
        <v>1.1025766807807496E-2</v>
      </c>
      <c r="AA74" s="66">
        <f>AA1544</f>
        <v>5.4586802343509089E-3</v>
      </c>
      <c r="AB74" s="66">
        <f>AB1544</f>
        <v>1.3365116889939585E-2</v>
      </c>
      <c r="AC74" s="108" t="str">
        <f t="shared" ref="AC74:AE74" si="230">AC1544</f>
        <v>NF</v>
      </c>
      <c r="AD74" s="108" t="str">
        <f t="shared" si="230"/>
        <v>NF</v>
      </c>
      <c r="AE74" s="108" t="str">
        <f t="shared" si="230"/>
        <v>NF</v>
      </c>
      <c r="AF74" s="108" t="str">
        <f t="shared" ref="AF74:AI74" si="231">AF1544</f>
        <v>NF</v>
      </c>
      <c r="AG74" s="108" t="str">
        <f t="shared" si="231"/>
        <v>NF</v>
      </c>
      <c r="AH74" s="108" t="str">
        <f t="shared" si="231"/>
        <v>NF</v>
      </c>
      <c r="AI74" s="108" t="str">
        <f t="shared" si="231"/>
        <v>NF</v>
      </c>
      <c r="AJ74" s="108"/>
      <c r="AK74" s="108"/>
      <c r="AL74" s="108"/>
      <c r="AM74" s="108"/>
      <c r="AN74" s="108"/>
      <c r="AO74" s="108"/>
      <c r="AP74" s="108"/>
      <c r="AQ74" s="108"/>
      <c r="AS74" s="16"/>
      <c r="AT74" s="17" t="s">
        <v>100</v>
      </c>
      <c r="AU74" s="850">
        <f>AU1544</f>
        <v>1.9846560846560845E-2</v>
      </c>
      <c r="AV74" s="850">
        <f>AV1544</f>
        <v>1.6836363636363635E-2</v>
      </c>
      <c r="AW74" s="850">
        <f>AW1544</f>
        <v>1.6996813256851498E-2</v>
      </c>
      <c r="AX74" s="850">
        <f>AX1544</f>
        <v>1.645003309066843E-2</v>
      </c>
      <c r="AY74" s="850">
        <f>AY1544</f>
        <v>1.2518003790271636E-2</v>
      </c>
      <c r="AZ74" s="851" t="s">
        <v>226</v>
      </c>
      <c r="BA74" s="851" t="s">
        <v>226</v>
      </c>
      <c r="BB74" s="851" t="s">
        <v>226</v>
      </c>
      <c r="BC74" s="851" t="s">
        <v>226</v>
      </c>
      <c r="BD74" s="851" t="s">
        <v>226</v>
      </c>
      <c r="BE74" s="851" t="s">
        <v>226</v>
      </c>
    </row>
    <row r="75" spans="1:57" x14ac:dyDescent="0.2">
      <c r="B75" s="16"/>
      <c r="C75" s="17" t="s">
        <v>182</v>
      </c>
      <c r="D75" s="66">
        <f t="shared" ref="D75:W75" si="232">D1547</f>
        <v>9.936457977374507E-3</v>
      </c>
      <c r="E75" s="66">
        <f t="shared" si="232"/>
        <v>6.945881980309522E-3</v>
      </c>
      <c r="F75" s="66">
        <f t="shared" si="232"/>
        <v>7.978853596457584E-3</v>
      </c>
      <c r="G75" s="66">
        <f t="shared" si="232"/>
        <v>5.4549913043478258E-3</v>
      </c>
      <c r="H75" s="66">
        <f t="shared" si="232"/>
        <v>1.0584804708400213E-2</v>
      </c>
      <c r="I75" s="66">
        <f t="shared" si="232"/>
        <v>9.0153245192307694E-3</v>
      </c>
      <c r="J75" s="66">
        <f t="shared" si="232"/>
        <v>6.2534699330302921E-3</v>
      </c>
      <c r="K75" s="66">
        <f t="shared" si="232"/>
        <v>4.9280489472245002E-3</v>
      </c>
      <c r="L75" s="66">
        <f t="shared" si="232"/>
        <v>9.4776570048309174E-3</v>
      </c>
      <c r="M75" s="66">
        <f t="shared" si="232"/>
        <v>8.0993504951838297E-3</v>
      </c>
      <c r="N75" s="66">
        <f t="shared" si="232"/>
        <v>7.9595015576323994E-3</v>
      </c>
      <c r="O75" s="66">
        <f t="shared" si="232"/>
        <v>5.1630851560416106E-3</v>
      </c>
      <c r="P75" s="66">
        <f t="shared" si="232"/>
        <v>9.3436197916666654E-3</v>
      </c>
      <c r="Q75" s="66">
        <f t="shared" si="232"/>
        <v>7.9751571385812629E-3</v>
      </c>
      <c r="R75" s="66">
        <f t="shared" si="232"/>
        <v>6.8182677435985562E-3</v>
      </c>
      <c r="S75" s="66">
        <f t="shared" si="232"/>
        <v>3.97369876270132E-3</v>
      </c>
      <c r="T75" s="66">
        <f t="shared" si="232"/>
        <v>5.9096516690856308E-3</v>
      </c>
      <c r="U75" s="66">
        <f t="shared" si="232"/>
        <v>8.0903634826711753E-3</v>
      </c>
      <c r="V75" s="66">
        <f t="shared" si="232"/>
        <v>8.0779953534683025E-3</v>
      </c>
      <c r="W75" s="66">
        <f t="shared" si="232"/>
        <v>7.2307168934616656E-3</v>
      </c>
      <c r="X75" s="66">
        <f t="shared" ref="X75:Z76" si="233">X1547</f>
        <v>9.2650059011970994E-3</v>
      </c>
      <c r="Y75" s="66">
        <f t="shared" si="233"/>
        <v>8.1989334195216538E-3</v>
      </c>
      <c r="Z75" s="66">
        <f t="shared" si="233"/>
        <v>8.8737415441293224E-3</v>
      </c>
      <c r="AA75" s="66">
        <f t="shared" ref="AA75:AB75" si="234">AA1547</f>
        <v>6.101475435567414E-4</v>
      </c>
      <c r="AB75" s="66">
        <f t="shared" si="234"/>
        <v>9.7269052193403767E-3</v>
      </c>
      <c r="AC75" s="108" t="str">
        <f t="shared" ref="AC75:AE75" si="235">AC1547</f>
        <v>NF</v>
      </c>
      <c r="AD75" s="108" t="str">
        <f t="shared" si="235"/>
        <v>NF</v>
      </c>
      <c r="AE75" s="108" t="str">
        <f t="shared" si="235"/>
        <v>NF</v>
      </c>
      <c r="AF75" s="108" t="str">
        <f t="shared" ref="AF75:AI75" si="236">AF1547</f>
        <v>NF</v>
      </c>
      <c r="AG75" s="108" t="str">
        <f t="shared" si="236"/>
        <v>NF</v>
      </c>
      <c r="AH75" s="108" t="str">
        <f t="shared" si="236"/>
        <v>NF</v>
      </c>
      <c r="AI75" s="108" t="str">
        <f t="shared" si="236"/>
        <v>NF</v>
      </c>
      <c r="AJ75" s="108"/>
      <c r="AK75" s="108"/>
      <c r="AL75" s="108"/>
      <c r="AM75" s="108"/>
      <c r="AN75" s="108"/>
      <c r="AO75" s="108"/>
      <c r="AP75" s="108"/>
      <c r="AQ75" s="108"/>
      <c r="AS75" s="16"/>
      <c r="AT75" s="17" t="s">
        <v>182</v>
      </c>
      <c r="AU75" s="850">
        <f t="shared" ref="AU75:AY76" si="237">AU1547</f>
        <v>7.5611916264090176E-3</v>
      </c>
      <c r="AV75" s="850">
        <f t="shared" si="237"/>
        <v>7.6689764403088494E-3</v>
      </c>
      <c r="AW75" s="850">
        <f t="shared" si="237"/>
        <v>7.6566125290023204E-3</v>
      </c>
      <c r="AX75" s="850">
        <f t="shared" si="237"/>
        <v>7.026729559748428E-3</v>
      </c>
      <c r="AY75" s="850">
        <f t="shared" si="237"/>
        <v>7.3382126348228039E-3</v>
      </c>
      <c r="AZ75" s="851" t="s">
        <v>226</v>
      </c>
      <c r="BA75" s="851" t="s">
        <v>226</v>
      </c>
      <c r="BB75" s="851" t="s">
        <v>226</v>
      </c>
      <c r="BC75" s="851" t="s">
        <v>226</v>
      </c>
      <c r="BD75" s="851" t="s">
        <v>226</v>
      </c>
      <c r="BE75" s="851" t="s">
        <v>226</v>
      </c>
    </row>
    <row r="76" spans="1:57" x14ac:dyDescent="0.2">
      <c r="B76" s="16"/>
      <c r="C76" s="29" t="s">
        <v>183</v>
      </c>
      <c r="D76" s="161">
        <f t="shared" ref="D76:W76" si="238">D1548</f>
        <v>-1.9775796088895133E-2</v>
      </c>
      <c r="E76" s="161">
        <f t="shared" si="238"/>
        <v>-1.2624920841869993E-2</v>
      </c>
      <c r="F76" s="161">
        <f t="shared" si="238"/>
        <v>-1.6322155411655874E-2</v>
      </c>
      <c r="G76" s="161">
        <f t="shared" si="238"/>
        <v>-2.5975703324808183E-2</v>
      </c>
      <c r="H76" s="161">
        <f t="shared" si="238"/>
        <v>-1.4774945533769063E-2</v>
      </c>
      <c r="I76" s="161">
        <f t="shared" si="238"/>
        <v>-1.2285760458029366E-2</v>
      </c>
      <c r="J76" s="161">
        <f t="shared" si="238"/>
        <v>-3.6827354260089685E-3</v>
      </c>
      <c r="K76" s="161">
        <f t="shared" si="238"/>
        <v>-1.1477096273291925E-2</v>
      </c>
      <c r="L76" s="161">
        <f t="shared" si="238"/>
        <v>-9.0187830687830685E-3</v>
      </c>
      <c r="M76" s="161">
        <f t="shared" si="238"/>
        <v>-7.2235288076409568E-2</v>
      </c>
      <c r="N76" s="161">
        <f t="shared" si="238"/>
        <v>-2.3712510064412239E-2</v>
      </c>
      <c r="O76" s="161">
        <f t="shared" si="238"/>
        <v>-5.8078738069989387E-2</v>
      </c>
      <c r="P76" s="161">
        <f t="shared" si="238"/>
        <v>5.184421534936999E-3</v>
      </c>
      <c r="Q76" s="161">
        <f t="shared" si="238"/>
        <v>1.2193406593406593E-2</v>
      </c>
      <c r="R76" s="161">
        <f t="shared" si="238"/>
        <v>7.823961622540683E-3</v>
      </c>
      <c r="S76" s="161">
        <f t="shared" si="238"/>
        <v>2.5171489424206814E-2</v>
      </c>
      <c r="T76" s="161">
        <f t="shared" si="238"/>
        <v>1.3874265269614107E-2</v>
      </c>
      <c r="U76" s="161">
        <f t="shared" si="238"/>
        <v>4.926923076923077E-3</v>
      </c>
      <c r="V76" s="161">
        <f t="shared" si="238"/>
        <v>-8.2432432432432432E-4</v>
      </c>
      <c r="W76" s="161">
        <f t="shared" si="238"/>
        <v>-5.9673913043478254E-4</v>
      </c>
      <c r="X76" s="161">
        <f t="shared" si="233"/>
        <v>4.2918015102481116E-3</v>
      </c>
      <c r="Y76" s="161">
        <f t="shared" si="233"/>
        <v>-1.0555234239444766E-3</v>
      </c>
      <c r="Z76" s="161">
        <f t="shared" si="233"/>
        <v>-3.6951193520886614E-3</v>
      </c>
      <c r="AA76" s="161">
        <f t="shared" ref="AA76:AB76" si="239">AA1548</f>
        <v>0.11801044330775788</v>
      </c>
      <c r="AB76" s="161">
        <f t="shared" si="239"/>
        <v>-3.2270011947431298E-3</v>
      </c>
      <c r="AC76" s="148" t="str">
        <f t="shared" ref="AC76:AE76" si="240">AC1548</f>
        <v>NF</v>
      </c>
      <c r="AD76" s="148" t="str">
        <f t="shared" si="240"/>
        <v>NF</v>
      </c>
      <c r="AE76" s="148" t="str">
        <f t="shared" si="240"/>
        <v>NF</v>
      </c>
      <c r="AF76" s="148" t="str">
        <f t="shared" ref="AF76:AI76" si="241">AF1548</f>
        <v>NF</v>
      </c>
      <c r="AG76" s="148" t="str">
        <f t="shared" si="241"/>
        <v>NF</v>
      </c>
      <c r="AH76" s="148" t="str">
        <f t="shared" si="241"/>
        <v>NF</v>
      </c>
      <c r="AI76" s="148" t="str">
        <f t="shared" si="241"/>
        <v>NF</v>
      </c>
      <c r="AJ76" s="398"/>
      <c r="AK76" s="398"/>
      <c r="AL76" s="398"/>
      <c r="AM76" s="398"/>
      <c r="AN76" s="398"/>
      <c r="AO76" s="398"/>
      <c r="AP76" s="398"/>
      <c r="AQ76" s="398"/>
      <c r="AS76" s="16"/>
      <c r="AT76" s="29" t="s">
        <v>183</v>
      </c>
      <c r="AU76" s="926">
        <f t="shared" si="237"/>
        <v>-1.8581755593803786E-2</v>
      </c>
      <c r="AV76" s="926">
        <f t="shared" si="237"/>
        <v>-1.0693617021276596E-2</v>
      </c>
      <c r="AW76" s="926">
        <f t="shared" si="237"/>
        <v>-4.0771597633136092E-2</v>
      </c>
      <c r="AX76" s="926">
        <f t="shared" si="237"/>
        <v>1.1908045977011495E-2</v>
      </c>
      <c r="AY76" s="926">
        <f t="shared" si="237"/>
        <v>4.8173913043478263E-3</v>
      </c>
      <c r="AZ76" s="928" t="s">
        <v>226</v>
      </c>
      <c r="BA76" s="928" t="s">
        <v>226</v>
      </c>
      <c r="BB76" s="928" t="s">
        <v>226</v>
      </c>
      <c r="BC76" s="928" t="s">
        <v>226</v>
      </c>
      <c r="BD76" s="928" t="s">
        <v>226</v>
      </c>
      <c r="BE76" s="928" t="s">
        <v>226</v>
      </c>
    </row>
    <row r="77" spans="1:57" x14ac:dyDescent="0.2">
      <c r="B77" s="16"/>
      <c r="C77" s="16" t="s">
        <v>149</v>
      </c>
      <c r="D77" s="162">
        <f>D1480</f>
        <v>7.0034338503843678E-3</v>
      </c>
      <c r="E77" s="162">
        <f t="shared" ref="E77:AE77" si="242">E1480</f>
        <v>6.2299623032361405E-3</v>
      </c>
      <c r="F77" s="162">
        <f t="shared" si="242"/>
        <v>6.8172565021563797E-3</v>
      </c>
      <c r="G77" s="162">
        <f t="shared" si="242"/>
        <v>3.1965557842470599E-3</v>
      </c>
      <c r="H77" s="162">
        <f t="shared" si="242"/>
        <v>8.4451334416884554E-3</v>
      </c>
      <c r="I77" s="162">
        <f t="shared" si="242"/>
        <v>7.9695937324037805E-3</v>
      </c>
      <c r="J77" s="162">
        <f t="shared" si="242"/>
        <v>6.430374145757878E-3</v>
      </c>
      <c r="K77" s="162">
        <f t="shared" si="242"/>
        <v>4.7427977616064845E-3</v>
      </c>
      <c r="L77" s="162">
        <f t="shared" si="242"/>
        <v>8.434129463891684E-3</v>
      </c>
      <c r="M77" s="162">
        <f t="shared" si="242"/>
        <v>2.5710117130282108E-4</v>
      </c>
      <c r="N77" s="162">
        <f t="shared" si="242"/>
        <v>6.0973994246941096E-3</v>
      </c>
      <c r="O77" s="162">
        <f t="shared" si="242"/>
        <v>3.7373068281142027E-4</v>
      </c>
      <c r="P77" s="162">
        <f t="shared" si="242"/>
        <v>1.0137247495188243E-2</v>
      </c>
      <c r="Q77" s="162">
        <f t="shared" si="242"/>
        <v>9.5450942491220794E-3</v>
      </c>
      <c r="R77" s="162">
        <f t="shared" si="242"/>
        <v>8.6050326134776856E-3</v>
      </c>
      <c r="S77" s="162">
        <f t="shared" si="242"/>
        <v>7.0862949542994571E-3</v>
      </c>
      <c r="T77" s="162">
        <f t="shared" si="242"/>
        <v>7.3602016795086102E-3</v>
      </c>
      <c r="U77" s="162">
        <f t="shared" si="242"/>
        <v>8.1138338229025993E-3</v>
      </c>
      <c r="V77" s="162">
        <f t="shared" si="242"/>
        <v>7.8078423360716104E-3</v>
      </c>
      <c r="W77" s="162">
        <f t="shared" si="242"/>
        <v>7.0108158087128537E-3</v>
      </c>
      <c r="X77" s="162">
        <f t="shared" si="242"/>
        <v>8.3122716292168917E-3</v>
      </c>
      <c r="Y77" s="162">
        <f t="shared" ref="Y77:Z77" si="243">Y1480</f>
        <v>7.4739325515058453E-3</v>
      </c>
      <c r="Z77" s="162">
        <f t="shared" si="243"/>
        <v>7.9943259755209332E-3</v>
      </c>
      <c r="AA77" s="162">
        <f t="shared" ref="AA77:AB77" si="244">AA1480</f>
        <v>7.2255259760809227E-3</v>
      </c>
      <c r="AB77" s="162">
        <f t="shared" si="244"/>
        <v>9.1666374913932942E-3</v>
      </c>
      <c r="AC77" s="162">
        <f t="shared" si="242"/>
        <v>8.5864757462599198E-3</v>
      </c>
      <c r="AD77" s="162">
        <f t="shared" si="242"/>
        <v>8.7431911308497139E-3</v>
      </c>
      <c r="AE77" s="162">
        <f t="shared" si="242"/>
        <v>8.2447643058338859E-3</v>
      </c>
      <c r="AF77" s="162">
        <f t="shared" ref="AF77:AI77" si="245">AF1480</f>
        <v>9.5694262992972144E-3</v>
      </c>
      <c r="AG77" s="162">
        <f t="shared" si="245"/>
        <v>9.567425815881915E-3</v>
      </c>
      <c r="AH77" s="162">
        <f t="shared" si="245"/>
        <v>9.3019940902635476E-3</v>
      </c>
      <c r="AI77" s="162">
        <f t="shared" si="245"/>
        <v>8.6169576113157304E-3</v>
      </c>
      <c r="AJ77" s="162"/>
      <c r="AK77" s="162"/>
      <c r="AL77" s="162"/>
      <c r="AM77" s="162"/>
      <c r="AN77" s="162"/>
      <c r="AO77" s="162"/>
      <c r="AP77" s="162"/>
      <c r="AQ77" s="162"/>
      <c r="AS77" s="16"/>
      <c r="AT77" s="16" t="s">
        <v>149</v>
      </c>
      <c r="AU77" s="927">
        <f t="shared" ref="AU77:BD77" si="246">AU1480</f>
        <v>5.809465241341411E-3</v>
      </c>
      <c r="AV77" s="927">
        <f t="shared" si="246"/>
        <v>6.8885111807510486E-3</v>
      </c>
      <c r="AW77" s="927">
        <f t="shared" si="246"/>
        <v>3.7647617039223958E-3</v>
      </c>
      <c r="AX77" s="927">
        <f t="shared" si="246"/>
        <v>8.8498389418134472E-3</v>
      </c>
      <c r="AY77" s="927">
        <f t="shared" si="246"/>
        <v>7.5732905776168292E-3</v>
      </c>
      <c r="AZ77" s="927">
        <f t="shared" si="246"/>
        <v>7.7453411181316488E-3</v>
      </c>
      <c r="BA77" s="927">
        <f t="shared" si="246"/>
        <v>8.6817305009276834E-3</v>
      </c>
      <c r="BB77" s="927">
        <f t="shared" ref="BB77" si="247">BB1480</f>
        <v>9.2583138974978683E-3</v>
      </c>
      <c r="BC77" s="927">
        <f t="shared" si="246"/>
        <v>9.7594388686361513E-3</v>
      </c>
      <c r="BD77" s="927">
        <f t="shared" si="246"/>
        <v>1.0001506317984653E-2</v>
      </c>
      <c r="BE77" s="927">
        <f t="shared" ref="BE77" si="248">BE1480</f>
        <v>9.9506674648210947E-3</v>
      </c>
    </row>
    <row r="78" spans="1:57" x14ac:dyDescent="0.2">
      <c r="B78" s="16"/>
      <c r="C78" s="16"/>
      <c r="D78" s="162"/>
      <c r="E78" s="162"/>
      <c r="F78" s="162"/>
      <c r="G78" s="162"/>
      <c r="H78" s="162"/>
      <c r="I78" s="162"/>
      <c r="J78" s="162"/>
      <c r="K78" s="162"/>
      <c r="L78" s="162"/>
      <c r="M78" s="162"/>
      <c r="N78" s="162"/>
      <c r="O78" s="162"/>
      <c r="P78" s="162"/>
      <c r="Q78" s="162"/>
      <c r="R78" s="162"/>
      <c r="S78" s="162"/>
      <c r="T78" s="162"/>
      <c r="U78" s="162"/>
      <c r="V78" s="162"/>
      <c r="W78" s="162"/>
      <c r="Y78" s="1215"/>
      <c r="AB78" s="1785"/>
      <c r="AI78" s="15"/>
      <c r="AJ78" s="15"/>
      <c r="AK78" s="15"/>
      <c r="AL78" s="15"/>
      <c r="AM78" s="15"/>
      <c r="AN78" s="15"/>
      <c r="AO78" s="15"/>
      <c r="AP78" s="15"/>
      <c r="AQ78" s="15"/>
      <c r="AS78" s="16"/>
      <c r="AT78" s="16"/>
    </row>
    <row r="79" spans="1:57" x14ac:dyDescent="0.2">
      <c r="W79" s="15"/>
      <c r="Y79" s="1215"/>
      <c r="AS79" s="10"/>
      <c r="AT79" s="9"/>
    </row>
    <row r="80" spans="1:57" outlineLevel="1" x14ac:dyDescent="0.2">
      <c r="A80" s="411" t="s">
        <v>194</v>
      </c>
      <c r="B80" s="13" t="s">
        <v>177</v>
      </c>
      <c r="C80" s="13"/>
      <c r="D80" s="14"/>
      <c r="E80" s="14"/>
      <c r="F80" s="14"/>
      <c r="G80" s="14"/>
      <c r="H80" s="14"/>
      <c r="I80" s="14"/>
      <c r="J80" s="14"/>
      <c r="K80" s="14"/>
      <c r="L80" s="14"/>
      <c r="M80" s="14"/>
      <c r="N80" s="14"/>
      <c r="O80" s="14"/>
      <c r="P80" s="14"/>
      <c r="Q80" s="14"/>
      <c r="R80" s="14"/>
      <c r="S80" s="14"/>
      <c r="T80" s="14"/>
      <c r="U80" s="14"/>
      <c r="V80" s="14"/>
      <c r="W80" s="14"/>
      <c r="X80" s="14"/>
      <c r="Y80" s="14"/>
      <c r="Z80" s="14"/>
      <c r="AA80" s="14"/>
      <c r="AB80" s="14"/>
      <c r="AC80" s="14"/>
      <c r="AD80" s="14"/>
      <c r="AE80" s="14"/>
      <c r="AF80" s="14"/>
      <c r="AG80" s="14"/>
      <c r="AH80" s="14"/>
      <c r="AI80" s="14"/>
      <c r="AJ80" s="14"/>
      <c r="AK80" s="14"/>
      <c r="AL80" s="14"/>
      <c r="AM80" s="14"/>
      <c r="AN80" s="14"/>
      <c r="AO80" s="14"/>
      <c r="AP80" s="14"/>
      <c r="AQ80" s="14"/>
      <c r="AS80" s="13" t="s">
        <v>177</v>
      </c>
      <c r="AT80" s="13"/>
      <c r="AU80" s="13"/>
      <c r="AV80" s="13"/>
      <c r="AW80" s="13"/>
      <c r="AX80" s="13"/>
      <c r="AY80" s="13"/>
      <c r="AZ80" s="13"/>
      <c r="BA80" s="13"/>
      <c r="BB80" s="13"/>
      <c r="BC80" s="13"/>
      <c r="BD80" s="13"/>
      <c r="BE80" s="13"/>
    </row>
    <row r="81" spans="1:70" outlineLevel="1" x14ac:dyDescent="0.2">
      <c r="Y81" s="1215"/>
      <c r="AS81" s="10"/>
      <c r="AT81" s="9"/>
    </row>
    <row r="82" spans="1:70" outlineLevel="1" x14ac:dyDescent="0.2">
      <c r="B82" s="175" t="s">
        <v>527</v>
      </c>
      <c r="Y82" s="1215"/>
      <c r="AB82" s="1785"/>
      <c r="AS82" s="175" t="s">
        <v>527</v>
      </c>
      <c r="AT82" s="9"/>
    </row>
    <row r="83" spans="1:70" outlineLevel="1" x14ac:dyDescent="0.2">
      <c r="B83" s="65" t="s">
        <v>100</v>
      </c>
      <c r="Y83" s="1215"/>
      <c r="AA83" s="1742"/>
      <c r="AB83" s="1785"/>
      <c r="AS83" s="65" t="s">
        <v>100</v>
      </c>
      <c r="AT83" s="9"/>
      <c r="AU83" s="232"/>
    </row>
    <row r="84" spans="1:70" outlineLevel="1" x14ac:dyDescent="0.2">
      <c r="C84" s="9" t="s">
        <v>76</v>
      </c>
      <c r="D84" s="50">
        <f t="shared" ref="D84:X84" si="249">D162</f>
        <v>1278</v>
      </c>
      <c r="E84" s="50">
        <f t="shared" si="249"/>
        <v>1150</v>
      </c>
      <c r="F84" s="50">
        <f t="shared" si="249"/>
        <v>1253</v>
      </c>
      <c r="G84" s="50">
        <f t="shared" si="249"/>
        <v>951</v>
      </c>
      <c r="H84" s="50">
        <f t="shared" si="249"/>
        <v>1085</v>
      </c>
      <c r="I84" s="50">
        <f t="shared" si="249"/>
        <v>1093</v>
      </c>
      <c r="J84" s="50">
        <f t="shared" si="249"/>
        <v>907</v>
      </c>
      <c r="K84" s="50">
        <f t="shared" si="249"/>
        <v>880</v>
      </c>
      <c r="L84" s="50">
        <f t="shared" si="249"/>
        <v>1035</v>
      </c>
      <c r="M84" s="50">
        <f t="shared" si="249"/>
        <v>1094</v>
      </c>
      <c r="N84" s="50">
        <f t="shared" si="249"/>
        <v>1205</v>
      </c>
      <c r="O84" s="50">
        <f t="shared" si="249"/>
        <v>1158</v>
      </c>
      <c r="P84" s="50">
        <f t="shared" si="249"/>
        <v>1121</v>
      </c>
      <c r="Q84" s="50">
        <f t="shared" si="249"/>
        <v>1056</v>
      </c>
      <c r="R84" s="50">
        <f t="shared" si="249"/>
        <v>1049</v>
      </c>
      <c r="S84" s="50">
        <f t="shared" si="249"/>
        <v>962</v>
      </c>
      <c r="T84" s="50">
        <f t="shared" si="249"/>
        <v>833</v>
      </c>
      <c r="U84" s="50">
        <f t="shared" si="249"/>
        <v>815</v>
      </c>
      <c r="V84" s="50">
        <f t="shared" si="249"/>
        <v>780</v>
      </c>
      <c r="W84" s="50">
        <f t="shared" si="249"/>
        <v>810</v>
      </c>
      <c r="X84" s="50">
        <f t="shared" si="249"/>
        <v>614</v>
      </c>
      <c r="Y84" s="50">
        <f t="shared" ref="Y84:Z84" si="250">Y162</f>
        <v>657</v>
      </c>
      <c r="Z84" s="50">
        <f t="shared" si="250"/>
        <v>642</v>
      </c>
      <c r="AA84" s="50">
        <f t="shared" ref="AA84:AB84" si="251">AA162</f>
        <v>77</v>
      </c>
      <c r="AB84" s="50">
        <f t="shared" si="251"/>
        <v>838</v>
      </c>
      <c r="AC84" s="252" t="s">
        <v>226</v>
      </c>
      <c r="AD84" s="252" t="s">
        <v>226</v>
      </c>
      <c r="AE84" s="252" t="s">
        <v>226</v>
      </c>
      <c r="AF84" s="252" t="s">
        <v>226</v>
      </c>
      <c r="AG84" s="252" t="s">
        <v>226</v>
      </c>
      <c r="AH84" s="252" t="s">
        <v>226</v>
      </c>
      <c r="AI84" s="252" t="s">
        <v>226</v>
      </c>
      <c r="AJ84" s="252"/>
      <c r="AK84" s="252"/>
      <c r="AL84" s="252"/>
      <c r="AM84" s="252"/>
      <c r="AN84" s="252"/>
      <c r="AO84" s="252"/>
      <c r="AP84" s="252"/>
      <c r="AQ84" s="252"/>
      <c r="AS84" s="10"/>
      <c r="AT84" s="9" t="s">
        <v>76</v>
      </c>
      <c r="AU84" s="232">
        <f>SUM(D84:G84)</f>
        <v>4632</v>
      </c>
      <c r="AV84" s="232">
        <f>SUM(H84:K84)</f>
        <v>3965</v>
      </c>
      <c r="AW84" s="232">
        <f>SUM(L84:O84)</f>
        <v>4492</v>
      </c>
      <c r="AX84" s="232">
        <f>SUM(P84:S84)</f>
        <v>4188</v>
      </c>
      <c r="AY84" s="232">
        <f>SUM(T84:W84)</f>
        <v>3238</v>
      </c>
      <c r="AZ84" s="252" t="s">
        <v>226</v>
      </c>
      <c r="BA84" s="252" t="s">
        <v>226</v>
      </c>
      <c r="BB84" s="252" t="s">
        <v>226</v>
      </c>
      <c r="BC84" s="252" t="s">
        <v>226</v>
      </c>
      <c r="BD84" s="252" t="s">
        <v>226</v>
      </c>
      <c r="BE84" s="252" t="s">
        <v>226</v>
      </c>
    </row>
    <row r="85" spans="1:70" outlineLevel="1" x14ac:dyDescent="0.2">
      <c r="C85" s="9" t="s">
        <v>5</v>
      </c>
      <c r="D85" s="116">
        <f t="shared" ref="D85:X85" si="252">D285</f>
        <v>405</v>
      </c>
      <c r="E85" s="116">
        <f t="shared" si="252"/>
        <v>363</v>
      </c>
      <c r="F85" s="116">
        <f t="shared" si="252"/>
        <v>389</v>
      </c>
      <c r="G85" s="116">
        <f t="shared" si="252"/>
        <v>361</v>
      </c>
      <c r="H85" s="116">
        <f t="shared" si="252"/>
        <v>425</v>
      </c>
      <c r="I85" s="116">
        <f t="shared" si="252"/>
        <v>340</v>
      </c>
      <c r="J85" s="116">
        <f t="shared" si="252"/>
        <v>260</v>
      </c>
      <c r="K85" s="116">
        <f t="shared" si="252"/>
        <v>420</v>
      </c>
      <c r="L85" s="116">
        <f t="shared" si="252"/>
        <v>280</v>
      </c>
      <c r="M85" s="116">
        <f t="shared" si="252"/>
        <v>226</v>
      </c>
      <c r="N85" s="116">
        <f t="shared" si="252"/>
        <v>374</v>
      </c>
      <c r="O85" s="116">
        <f t="shared" si="252"/>
        <v>311</v>
      </c>
      <c r="P85" s="116">
        <f t="shared" si="252"/>
        <v>262</v>
      </c>
      <c r="Q85" s="116">
        <f t="shared" si="252"/>
        <v>230</v>
      </c>
      <c r="R85" s="116">
        <f t="shared" si="252"/>
        <v>403</v>
      </c>
      <c r="S85" s="116">
        <f t="shared" si="252"/>
        <v>196</v>
      </c>
      <c r="T85" s="116">
        <f t="shared" si="252"/>
        <v>196</v>
      </c>
      <c r="U85" s="116">
        <f t="shared" si="252"/>
        <v>240</v>
      </c>
      <c r="V85" s="116">
        <f t="shared" si="252"/>
        <v>234</v>
      </c>
      <c r="W85" s="116">
        <f t="shared" si="252"/>
        <v>218</v>
      </c>
      <c r="X85" s="116">
        <f t="shared" si="252"/>
        <v>212</v>
      </c>
      <c r="Y85" s="116">
        <f t="shared" ref="Y85:Z85" si="253">Y285</f>
        <v>222</v>
      </c>
      <c r="Z85" s="116">
        <f t="shared" si="253"/>
        <v>252</v>
      </c>
      <c r="AA85" s="116">
        <f t="shared" ref="AA85:AB85" si="254">AA285</f>
        <v>253</v>
      </c>
      <c r="AB85" s="116">
        <f t="shared" si="254"/>
        <v>247</v>
      </c>
      <c r="AC85" s="252" t="s">
        <v>226</v>
      </c>
      <c r="AD85" s="252" t="s">
        <v>226</v>
      </c>
      <c r="AE85" s="252" t="s">
        <v>226</v>
      </c>
      <c r="AF85" s="252" t="s">
        <v>226</v>
      </c>
      <c r="AG85" s="252" t="s">
        <v>226</v>
      </c>
      <c r="AH85" s="252" t="s">
        <v>226</v>
      </c>
      <c r="AI85" s="252" t="s">
        <v>226</v>
      </c>
      <c r="AJ85" s="252"/>
      <c r="AK85" s="252"/>
      <c r="AL85" s="252"/>
      <c r="AM85" s="252"/>
      <c r="AN85" s="252"/>
      <c r="AO85" s="252"/>
      <c r="AP85" s="252"/>
      <c r="AQ85" s="252"/>
      <c r="AS85" s="10"/>
      <c r="AT85" s="9" t="s">
        <v>5</v>
      </c>
      <c r="AU85" s="232">
        <f>SUM(D85:G85)</f>
        <v>1518</v>
      </c>
      <c r="AV85" s="232">
        <f>SUM(H85:K85)</f>
        <v>1445</v>
      </c>
      <c r="AW85" s="232">
        <f>SUM(L85:O85)</f>
        <v>1191</v>
      </c>
      <c r="AX85" s="232">
        <f>SUM(P85:S85)</f>
        <v>1091</v>
      </c>
      <c r="AY85" s="232">
        <f>SUM(T85:W85)</f>
        <v>888</v>
      </c>
      <c r="AZ85" s="252" t="s">
        <v>226</v>
      </c>
      <c r="BA85" s="252" t="s">
        <v>226</v>
      </c>
      <c r="BB85" s="252" t="s">
        <v>226</v>
      </c>
      <c r="BC85" s="252" t="s">
        <v>226</v>
      </c>
      <c r="BD85" s="252" t="s">
        <v>226</v>
      </c>
      <c r="BE85" s="252" t="s">
        <v>226</v>
      </c>
    </row>
    <row r="86" spans="1:70" outlineLevel="1" x14ac:dyDescent="0.2">
      <c r="C86" s="25" t="s">
        <v>239</v>
      </c>
      <c r="D86" s="172">
        <f t="shared" ref="D86:X86" si="255">D366</f>
        <v>445</v>
      </c>
      <c r="E86" s="172">
        <f t="shared" si="255"/>
        <v>419</v>
      </c>
      <c r="F86" s="172">
        <f t="shared" si="255"/>
        <v>418</v>
      </c>
      <c r="G86" s="172">
        <f t="shared" si="255"/>
        <v>320</v>
      </c>
      <c r="H86" s="172">
        <f t="shared" si="255"/>
        <v>367</v>
      </c>
      <c r="I86" s="172">
        <f t="shared" si="255"/>
        <v>390</v>
      </c>
      <c r="J86" s="172">
        <f t="shared" si="255"/>
        <v>347</v>
      </c>
      <c r="K86" s="172">
        <f t="shared" si="255"/>
        <v>298</v>
      </c>
      <c r="L86" s="172">
        <f t="shared" si="255"/>
        <v>359</v>
      </c>
      <c r="M86" s="172">
        <f t="shared" si="255"/>
        <v>210</v>
      </c>
      <c r="N86" s="172">
        <f t="shared" si="255"/>
        <v>370</v>
      </c>
      <c r="O86" s="172">
        <f t="shared" si="255"/>
        <v>282</v>
      </c>
      <c r="P86" s="172">
        <f t="shared" si="255"/>
        <v>339</v>
      </c>
      <c r="Q86" s="172">
        <f t="shared" si="255"/>
        <v>338</v>
      </c>
      <c r="R86" s="172">
        <f t="shared" si="255"/>
        <v>306</v>
      </c>
      <c r="S86" s="172">
        <f t="shared" si="255"/>
        <v>217</v>
      </c>
      <c r="T86" s="172">
        <f t="shared" si="255"/>
        <v>215</v>
      </c>
      <c r="U86" s="172">
        <f t="shared" si="255"/>
        <v>297</v>
      </c>
      <c r="V86" s="172">
        <f t="shared" si="255"/>
        <v>310</v>
      </c>
      <c r="W86" s="172">
        <f t="shared" si="255"/>
        <v>261</v>
      </c>
      <c r="X86" s="172">
        <f t="shared" si="255"/>
        <v>249</v>
      </c>
      <c r="Y86" s="172">
        <f t="shared" ref="Y86:Z86" si="256">Y366</f>
        <v>330</v>
      </c>
      <c r="Z86" s="172">
        <f t="shared" si="256"/>
        <v>359</v>
      </c>
      <c r="AA86" s="172">
        <f t="shared" ref="AA86:AB86" si="257">AA366</f>
        <v>340</v>
      </c>
      <c r="AB86" s="172">
        <f t="shared" si="257"/>
        <v>373</v>
      </c>
      <c r="AC86" s="259" t="s">
        <v>226</v>
      </c>
      <c r="AD86" s="259" t="s">
        <v>226</v>
      </c>
      <c r="AE86" s="259" t="s">
        <v>226</v>
      </c>
      <c r="AF86" s="259" t="s">
        <v>226</v>
      </c>
      <c r="AG86" s="259" t="s">
        <v>226</v>
      </c>
      <c r="AH86" s="259" t="s">
        <v>226</v>
      </c>
      <c r="AI86" s="259" t="s">
        <v>226</v>
      </c>
      <c r="AJ86" s="252"/>
      <c r="AK86" s="252"/>
      <c r="AL86" s="252"/>
      <c r="AM86" s="252"/>
      <c r="AN86" s="252"/>
      <c r="AO86" s="252"/>
      <c r="AP86" s="252"/>
      <c r="AQ86" s="252"/>
      <c r="AS86" s="10"/>
      <c r="AT86" s="25" t="s">
        <v>239</v>
      </c>
      <c r="AU86" s="41">
        <f>SUM(D86:G86)</f>
        <v>1602</v>
      </c>
      <c r="AV86" s="41">
        <f>SUM(H86:K86)</f>
        <v>1402</v>
      </c>
      <c r="AW86" s="41">
        <f>SUM(L86:O86)</f>
        <v>1221</v>
      </c>
      <c r="AX86" s="41">
        <f>SUM(P86:S86)</f>
        <v>1200</v>
      </c>
      <c r="AY86" s="41">
        <f>SUM(T86:W86)</f>
        <v>1083</v>
      </c>
      <c r="AZ86" s="259" t="s">
        <v>226</v>
      </c>
      <c r="BA86" s="259" t="s">
        <v>226</v>
      </c>
      <c r="BB86" s="259" t="s">
        <v>226</v>
      </c>
      <c r="BC86" s="259" t="s">
        <v>226</v>
      </c>
      <c r="BD86" s="259" t="s">
        <v>226</v>
      </c>
      <c r="BE86" s="259" t="s">
        <v>226</v>
      </c>
    </row>
    <row r="87" spans="1:70" s="160" customFormat="1" outlineLevel="1" x14ac:dyDescent="0.2">
      <c r="A87" s="829"/>
      <c r="B87" s="173"/>
      <c r="C87" s="9" t="s">
        <v>122</v>
      </c>
      <c r="D87" s="174">
        <f t="shared" ref="D87:X87" si="258">SUM(D84:D86)</f>
        <v>2128</v>
      </c>
      <c r="E87" s="174">
        <f t="shared" si="258"/>
        <v>1932</v>
      </c>
      <c r="F87" s="174">
        <f t="shared" si="258"/>
        <v>2060</v>
      </c>
      <c r="G87" s="174">
        <f t="shared" si="258"/>
        <v>1632</v>
      </c>
      <c r="H87" s="174">
        <f t="shared" si="258"/>
        <v>1877</v>
      </c>
      <c r="I87" s="174">
        <f t="shared" si="258"/>
        <v>1823</v>
      </c>
      <c r="J87" s="174">
        <f t="shared" si="258"/>
        <v>1514</v>
      </c>
      <c r="K87" s="174">
        <f t="shared" si="258"/>
        <v>1598</v>
      </c>
      <c r="L87" s="174">
        <f t="shared" si="258"/>
        <v>1674</v>
      </c>
      <c r="M87" s="174">
        <f t="shared" si="258"/>
        <v>1530</v>
      </c>
      <c r="N87" s="174">
        <f t="shared" si="258"/>
        <v>1949</v>
      </c>
      <c r="O87" s="174">
        <f t="shared" si="258"/>
        <v>1751</v>
      </c>
      <c r="P87" s="174">
        <f t="shared" si="258"/>
        <v>1722</v>
      </c>
      <c r="Q87" s="174">
        <f t="shared" si="258"/>
        <v>1624</v>
      </c>
      <c r="R87" s="174">
        <f t="shared" si="258"/>
        <v>1758</v>
      </c>
      <c r="S87" s="174">
        <f t="shared" si="258"/>
        <v>1375</v>
      </c>
      <c r="T87" s="174">
        <f t="shared" si="258"/>
        <v>1244</v>
      </c>
      <c r="U87" s="174">
        <f t="shared" si="258"/>
        <v>1352</v>
      </c>
      <c r="V87" s="174">
        <f t="shared" si="258"/>
        <v>1324</v>
      </c>
      <c r="W87" s="174">
        <f t="shared" si="258"/>
        <v>1289</v>
      </c>
      <c r="X87" s="174">
        <f t="shared" si="258"/>
        <v>1075</v>
      </c>
      <c r="Y87" s="174">
        <f t="shared" ref="Y87:Z87" si="259">SUM(Y84:Y86)</f>
        <v>1209</v>
      </c>
      <c r="Z87" s="174">
        <f t="shared" si="259"/>
        <v>1253</v>
      </c>
      <c r="AA87" s="174">
        <f t="shared" ref="AA87:AB87" si="260">SUM(AA84:AA86)</f>
        <v>670</v>
      </c>
      <c r="AB87" s="174">
        <f t="shared" si="260"/>
        <v>1458</v>
      </c>
      <c r="AC87" s="252" t="s">
        <v>226</v>
      </c>
      <c r="AD87" s="252" t="s">
        <v>226</v>
      </c>
      <c r="AE87" s="252" t="s">
        <v>226</v>
      </c>
      <c r="AF87" s="252" t="s">
        <v>226</v>
      </c>
      <c r="AG87" s="252" t="s">
        <v>226</v>
      </c>
      <c r="AH87" s="252" t="s">
        <v>226</v>
      </c>
      <c r="AI87" s="252" t="s">
        <v>226</v>
      </c>
      <c r="AJ87" s="252"/>
      <c r="AK87" s="252"/>
      <c r="AL87" s="252"/>
      <c r="AM87" s="252"/>
      <c r="AN87" s="252"/>
      <c r="AO87" s="252"/>
      <c r="AP87" s="252"/>
      <c r="AQ87" s="252"/>
      <c r="AR87" s="70"/>
      <c r="AS87" s="173"/>
      <c r="AT87" s="9" t="s">
        <v>122</v>
      </c>
      <c r="AU87" s="233">
        <f>SUM(AU84:AU86)</f>
        <v>7752</v>
      </c>
      <c r="AV87" s="233">
        <f>SUM(AV84:AV86)</f>
        <v>6812</v>
      </c>
      <c r="AW87" s="233">
        <f>SUM(AW84:AW86)</f>
        <v>6904</v>
      </c>
      <c r="AX87" s="233">
        <f>SUM(AX84:AX86)</f>
        <v>6479</v>
      </c>
      <c r="AY87" s="233">
        <f>SUM(AY84:AY86)</f>
        <v>5209</v>
      </c>
      <c r="AZ87" s="252" t="s">
        <v>226</v>
      </c>
      <c r="BA87" s="252" t="s">
        <v>226</v>
      </c>
      <c r="BB87" s="252" t="s">
        <v>226</v>
      </c>
      <c r="BC87" s="252" t="s">
        <v>226</v>
      </c>
      <c r="BD87" s="252" t="s">
        <v>226</v>
      </c>
      <c r="BE87" s="252" t="s">
        <v>226</v>
      </c>
      <c r="BM87"/>
      <c r="BN87"/>
      <c r="BO87"/>
      <c r="BP87"/>
      <c r="BQ87"/>
      <c r="BR87"/>
    </row>
    <row r="88" spans="1:70" outlineLevel="1" x14ac:dyDescent="0.2">
      <c r="Y88" s="1215"/>
      <c r="Z88" s="1688"/>
      <c r="AA88" s="1742"/>
      <c r="AB88" s="1785"/>
      <c r="AS88" s="10"/>
      <c r="AT88" s="9"/>
    </row>
    <row r="89" spans="1:70" outlineLevel="1" x14ac:dyDescent="0.2">
      <c r="B89" s="65" t="s">
        <v>147</v>
      </c>
      <c r="Y89" s="1215"/>
      <c r="Z89" s="1688"/>
      <c r="AA89" s="1742"/>
      <c r="AB89" s="1785"/>
      <c r="AS89" s="65" t="s">
        <v>147</v>
      </c>
      <c r="AT89" s="9"/>
    </row>
    <row r="90" spans="1:70" outlineLevel="1" x14ac:dyDescent="0.2">
      <c r="C90" s="9" t="s">
        <v>76</v>
      </c>
      <c r="D90" s="33">
        <f t="shared" ref="D90:X90" si="261">D594</f>
        <v>625</v>
      </c>
      <c r="E90" s="33">
        <f t="shared" si="261"/>
        <v>551</v>
      </c>
      <c r="F90" s="33">
        <f t="shared" si="261"/>
        <v>649</v>
      </c>
      <c r="G90" s="33">
        <f t="shared" si="261"/>
        <v>508</v>
      </c>
      <c r="H90" s="33">
        <f t="shared" si="261"/>
        <v>1301</v>
      </c>
      <c r="I90" s="33">
        <f t="shared" si="261"/>
        <v>854</v>
      </c>
      <c r="J90" s="33">
        <f t="shared" si="261"/>
        <v>577</v>
      </c>
      <c r="K90" s="33">
        <f t="shared" si="261"/>
        <v>471</v>
      </c>
      <c r="L90" s="33">
        <f t="shared" si="261"/>
        <v>1364</v>
      </c>
      <c r="M90" s="33">
        <f t="shared" si="261"/>
        <v>1143</v>
      </c>
      <c r="N90" s="33">
        <f t="shared" si="261"/>
        <v>955</v>
      </c>
      <c r="O90" s="33">
        <f t="shared" si="261"/>
        <v>653</v>
      </c>
      <c r="P90" s="33">
        <f t="shared" si="261"/>
        <v>927</v>
      </c>
      <c r="Q90" s="33">
        <f t="shared" si="261"/>
        <v>937</v>
      </c>
      <c r="R90" s="33">
        <f t="shared" si="261"/>
        <v>887</v>
      </c>
      <c r="S90" s="33">
        <f t="shared" si="261"/>
        <v>465</v>
      </c>
      <c r="T90" s="33">
        <f t="shared" si="261"/>
        <v>546</v>
      </c>
      <c r="U90" s="33">
        <f t="shared" si="261"/>
        <v>1005</v>
      </c>
      <c r="V90" s="33">
        <f t="shared" si="261"/>
        <v>1067</v>
      </c>
      <c r="W90" s="33">
        <f t="shared" si="261"/>
        <v>877</v>
      </c>
      <c r="X90" s="33">
        <f t="shared" si="261"/>
        <v>1077</v>
      </c>
      <c r="Y90" s="33">
        <f t="shared" ref="Y90:Z90" si="262">Y594</f>
        <v>1088</v>
      </c>
      <c r="Z90" s="33">
        <f t="shared" si="262"/>
        <v>1298</v>
      </c>
      <c r="AA90" s="33">
        <f t="shared" ref="AA90:AB90" si="263">AA594</f>
        <v>-1108</v>
      </c>
      <c r="AB90" s="33">
        <f t="shared" si="263"/>
        <v>857</v>
      </c>
      <c r="AC90" s="252" t="s">
        <v>226</v>
      </c>
      <c r="AD90" s="252" t="s">
        <v>226</v>
      </c>
      <c r="AE90" s="252" t="s">
        <v>226</v>
      </c>
      <c r="AF90" s="252" t="s">
        <v>226</v>
      </c>
      <c r="AG90" s="252" t="s">
        <v>226</v>
      </c>
      <c r="AH90" s="252" t="s">
        <v>226</v>
      </c>
      <c r="AI90" s="252" t="s">
        <v>226</v>
      </c>
      <c r="AJ90" s="252"/>
      <c r="AK90" s="252"/>
      <c r="AL90" s="252"/>
      <c r="AM90" s="252"/>
      <c r="AN90" s="252"/>
      <c r="AO90" s="252"/>
      <c r="AP90" s="252"/>
      <c r="AQ90" s="252"/>
      <c r="AS90" s="10"/>
      <c r="AT90" s="9" t="s">
        <v>76</v>
      </c>
      <c r="AU90" s="232">
        <f>SUM(D90:G90)</f>
        <v>2333</v>
      </c>
      <c r="AV90" s="232">
        <f>SUM(H90:K90)</f>
        <v>3203</v>
      </c>
      <c r="AW90" s="232">
        <f>SUM(L90:O90)</f>
        <v>4115</v>
      </c>
      <c r="AX90" s="232">
        <f>SUM(P90:S90)</f>
        <v>3216</v>
      </c>
      <c r="AY90" s="232">
        <f>SUM(T90:W90)</f>
        <v>3495</v>
      </c>
      <c r="AZ90" s="252" t="s">
        <v>226</v>
      </c>
      <c r="BA90" s="252" t="s">
        <v>226</v>
      </c>
      <c r="BB90" s="252" t="s">
        <v>226</v>
      </c>
      <c r="BC90" s="252" t="s">
        <v>226</v>
      </c>
      <c r="BD90" s="252" t="s">
        <v>226</v>
      </c>
      <c r="BE90" s="252" t="s">
        <v>226</v>
      </c>
    </row>
    <row r="91" spans="1:70" outlineLevel="1" x14ac:dyDescent="0.2">
      <c r="C91" s="9" t="s">
        <v>27</v>
      </c>
      <c r="D91" s="33">
        <f t="shared" ref="D91:X91" si="264">D595</f>
        <v>1215</v>
      </c>
      <c r="E91" s="33">
        <f t="shared" si="264"/>
        <v>666</v>
      </c>
      <c r="F91" s="33">
        <f t="shared" si="264"/>
        <v>830</v>
      </c>
      <c r="G91" s="33">
        <f t="shared" si="264"/>
        <v>465</v>
      </c>
      <c r="H91" s="33">
        <f t="shared" si="264"/>
        <v>775</v>
      </c>
      <c r="I91" s="33">
        <f t="shared" si="264"/>
        <v>876</v>
      </c>
      <c r="J91" s="33">
        <f t="shared" si="264"/>
        <v>516</v>
      </c>
      <c r="K91" s="33">
        <f t="shared" si="264"/>
        <v>422</v>
      </c>
      <c r="L91" s="33">
        <f t="shared" si="264"/>
        <v>763</v>
      </c>
      <c r="M91" s="33">
        <f t="shared" si="264"/>
        <v>565</v>
      </c>
      <c r="N91" s="33">
        <f t="shared" si="264"/>
        <v>660</v>
      </c>
      <c r="O91" s="33">
        <f t="shared" si="264"/>
        <v>242</v>
      </c>
      <c r="P91" s="33">
        <f t="shared" si="264"/>
        <v>998</v>
      </c>
      <c r="Q91" s="33">
        <f t="shared" si="264"/>
        <v>579</v>
      </c>
      <c r="R91" s="33">
        <f t="shared" si="264"/>
        <v>372</v>
      </c>
      <c r="S91" s="33">
        <f t="shared" si="264"/>
        <v>196</v>
      </c>
      <c r="T91" s="33">
        <f t="shared" si="264"/>
        <v>374</v>
      </c>
      <c r="U91" s="33">
        <f t="shared" si="264"/>
        <v>695</v>
      </c>
      <c r="V91" s="33">
        <f t="shared" si="264"/>
        <v>649</v>
      </c>
      <c r="W91" s="33">
        <f t="shared" si="264"/>
        <v>647</v>
      </c>
      <c r="X91" s="33">
        <f t="shared" si="264"/>
        <v>862</v>
      </c>
      <c r="Y91" s="33">
        <f t="shared" ref="Y91:Z91" si="265">Y595</f>
        <v>786</v>
      </c>
      <c r="Z91" s="33">
        <f t="shared" si="265"/>
        <v>753</v>
      </c>
      <c r="AA91" s="33">
        <f t="shared" ref="AA91:AB91" si="266">AA595</f>
        <v>431</v>
      </c>
      <c r="AB91" s="33">
        <f t="shared" si="266"/>
        <v>1113</v>
      </c>
      <c r="AC91" s="252" t="s">
        <v>226</v>
      </c>
      <c r="AD91" s="252" t="s">
        <v>226</v>
      </c>
      <c r="AE91" s="252" t="s">
        <v>226</v>
      </c>
      <c r="AF91" s="252" t="s">
        <v>226</v>
      </c>
      <c r="AG91" s="252" t="s">
        <v>226</v>
      </c>
      <c r="AH91" s="252" t="s">
        <v>226</v>
      </c>
      <c r="AI91" s="252" t="s">
        <v>226</v>
      </c>
      <c r="AJ91" s="252"/>
      <c r="AK91" s="252"/>
      <c r="AL91" s="252"/>
      <c r="AM91" s="252"/>
      <c r="AN91" s="252"/>
      <c r="AO91" s="252"/>
      <c r="AP91" s="252"/>
      <c r="AQ91" s="252"/>
      <c r="AS91" s="10"/>
      <c r="AT91" s="9" t="s">
        <v>27</v>
      </c>
      <c r="AU91" s="232">
        <f>SUM(D91:G91)</f>
        <v>3176</v>
      </c>
      <c r="AV91" s="232">
        <f>SUM(H91:K91)</f>
        <v>2589</v>
      </c>
      <c r="AW91" s="232">
        <f>SUM(L91:O91)</f>
        <v>2230</v>
      </c>
      <c r="AX91" s="232">
        <f>SUM(P91:S91)</f>
        <v>2145</v>
      </c>
      <c r="AY91" s="232">
        <f>SUM(T91:W91)</f>
        <v>2365</v>
      </c>
      <c r="AZ91" s="252" t="s">
        <v>226</v>
      </c>
      <c r="BA91" s="252" t="s">
        <v>226</v>
      </c>
      <c r="BB91" s="252" t="s">
        <v>226</v>
      </c>
      <c r="BC91" s="252" t="s">
        <v>226</v>
      </c>
      <c r="BD91" s="252" t="s">
        <v>226</v>
      </c>
      <c r="BE91" s="252" t="s">
        <v>226</v>
      </c>
    </row>
    <row r="92" spans="1:70" outlineLevel="1" x14ac:dyDescent="0.2">
      <c r="C92" s="9" t="s">
        <v>5</v>
      </c>
      <c r="D92" s="33">
        <f t="shared" ref="D92:X92" si="267">D596</f>
        <v>513</v>
      </c>
      <c r="E92" s="33">
        <f t="shared" si="267"/>
        <v>504</v>
      </c>
      <c r="F92" s="33">
        <f t="shared" si="267"/>
        <v>513</v>
      </c>
      <c r="G92" s="33">
        <f t="shared" si="267"/>
        <v>374</v>
      </c>
      <c r="H92" s="33">
        <f t="shared" si="267"/>
        <v>483</v>
      </c>
      <c r="I92" s="33">
        <f t="shared" si="267"/>
        <v>529</v>
      </c>
      <c r="J92" s="33">
        <f t="shared" si="267"/>
        <v>461</v>
      </c>
      <c r="K92" s="33">
        <f t="shared" si="267"/>
        <v>209</v>
      </c>
      <c r="L92" s="33">
        <f t="shared" si="267"/>
        <v>402</v>
      </c>
      <c r="M92" s="33">
        <f t="shared" si="267"/>
        <v>461</v>
      </c>
      <c r="N92" s="33">
        <f t="shared" si="267"/>
        <v>330</v>
      </c>
      <c r="O92" s="33">
        <f t="shared" si="267"/>
        <v>288</v>
      </c>
      <c r="P92" s="33">
        <f t="shared" si="267"/>
        <v>381</v>
      </c>
      <c r="Q92" s="33">
        <f t="shared" si="267"/>
        <v>409</v>
      </c>
      <c r="R92" s="33">
        <f t="shared" si="267"/>
        <v>380</v>
      </c>
      <c r="S92" s="33">
        <f t="shared" si="267"/>
        <v>176</v>
      </c>
      <c r="T92" s="33">
        <f t="shared" si="267"/>
        <v>330</v>
      </c>
      <c r="U92" s="33">
        <f t="shared" si="267"/>
        <v>392</v>
      </c>
      <c r="V92" s="33">
        <f t="shared" si="267"/>
        <v>389</v>
      </c>
      <c r="W92" s="33">
        <f t="shared" si="267"/>
        <v>343</v>
      </c>
      <c r="X92" s="33">
        <f t="shared" si="267"/>
        <v>482</v>
      </c>
      <c r="Y92" s="33">
        <f t="shared" ref="Y92:Z92" si="268">Y596</f>
        <v>341</v>
      </c>
      <c r="Z92" s="33">
        <f t="shared" si="268"/>
        <v>388</v>
      </c>
      <c r="AA92" s="33">
        <f t="shared" ref="AA92:AB92" si="269">AA596</f>
        <v>333</v>
      </c>
      <c r="AB92" s="33">
        <f t="shared" si="269"/>
        <v>491</v>
      </c>
      <c r="AC92" s="252" t="s">
        <v>226</v>
      </c>
      <c r="AD92" s="252" t="s">
        <v>226</v>
      </c>
      <c r="AE92" s="252" t="s">
        <v>226</v>
      </c>
      <c r="AF92" s="252" t="s">
        <v>226</v>
      </c>
      <c r="AG92" s="252" t="s">
        <v>226</v>
      </c>
      <c r="AH92" s="252" t="s">
        <v>226</v>
      </c>
      <c r="AI92" s="252" t="s">
        <v>226</v>
      </c>
      <c r="AJ92" s="252"/>
      <c r="AK92" s="252"/>
      <c r="AL92" s="252"/>
      <c r="AM92" s="252"/>
      <c r="AN92" s="252"/>
      <c r="AO92" s="252"/>
      <c r="AP92" s="252"/>
      <c r="AQ92" s="252"/>
      <c r="AS92" s="10"/>
      <c r="AT92" s="9" t="s">
        <v>5</v>
      </c>
      <c r="AU92" s="232">
        <f>SUM(D92:G92)</f>
        <v>1904</v>
      </c>
      <c r="AV92" s="232">
        <f>SUM(H92:K92)</f>
        <v>1682</v>
      </c>
      <c r="AW92" s="232">
        <f>SUM(L92:O92)</f>
        <v>1481</v>
      </c>
      <c r="AX92" s="232">
        <f>SUM(P92:S92)</f>
        <v>1346</v>
      </c>
      <c r="AY92" s="232">
        <f>SUM(T92:W92)</f>
        <v>1454</v>
      </c>
      <c r="AZ92" s="252" t="s">
        <v>226</v>
      </c>
      <c r="BA92" s="252" t="s">
        <v>226</v>
      </c>
      <c r="BB92" s="252" t="s">
        <v>226</v>
      </c>
      <c r="BC92" s="252" t="s">
        <v>226</v>
      </c>
      <c r="BD92" s="252" t="s">
        <v>226</v>
      </c>
      <c r="BE92" s="252" t="s">
        <v>226</v>
      </c>
    </row>
    <row r="93" spans="1:70" outlineLevel="1" x14ac:dyDescent="0.2">
      <c r="C93" s="25" t="s">
        <v>77</v>
      </c>
      <c r="D93" s="132">
        <f t="shared" ref="D93:X93" si="270">D597</f>
        <v>666</v>
      </c>
      <c r="E93" s="132">
        <f t="shared" si="270"/>
        <v>436</v>
      </c>
      <c r="F93" s="132">
        <f t="shared" si="270"/>
        <v>509</v>
      </c>
      <c r="G93" s="132">
        <f t="shared" si="270"/>
        <v>367</v>
      </c>
      <c r="H93" s="132">
        <f t="shared" si="270"/>
        <v>693</v>
      </c>
      <c r="I93" s="132">
        <f t="shared" si="270"/>
        <v>618</v>
      </c>
      <c r="J93" s="132">
        <f t="shared" si="270"/>
        <v>421</v>
      </c>
      <c r="K93" s="132">
        <f t="shared" si="270"/>
        <v>478</v>
      </c>
      <c r="L93" s="132">
        <f t="shared" si="270"/>
        <v>481</v>
      </c>
      <c r="M93" s="132">
        <f t="shared" si="270"/>
        <v>448</v>
      </c>
      <c r="N93" s="132">
        <f t="shared" si="270"/>
        <v>631</v>
      </c>
      <c r="O93" s="132">
        <f t="shared" si="270"/>
        <v>514</v>
      </c>
      <c r="P93" s="132">
        <f t="shared" si="270"/>
        <v>643</v>
      </c>
      <c r="Q93" s="132">
        <f t="shared" si="270"/>
        <v>630</v>
      </c>
      <c r="R93" s="132">
        <f t="shared" si="270"/>
        <v>535</v>
      </c>
      <c r="S93" s="132">
        <f t="shared" si="270"/>
        <v>423</v>
      </c>
      <c r="T93" s="132">
        <f t="shared" si="270"/>
        <v>619</v>
      </c>
      <c r="U93" s="132">
        <f t="shared" si="270"/>
        <v>523</v>
      </c>
      <c r="V93" s="132">
        <f t="shared" si="270"/>
        <v>555</v>
      </c>
      <c r="W93" s="132">
        <f t="shared" si="270"/>
        <v>514</v>
      </c>
      <c r="X93" s="132">
        <f t="shared" si="270"/>
        <v>590</v>
      </c>
      <c r="Y93" s="132">
        <f t="shared" ref="Y93:Z93" si="271">Y597</f>
        <v>565</v>
      </c>
      <c r="Z93" s="132">
        <f t="shared" si="271"/>
        <v>623</v>
      </c>
      <c r="AA93" s="132">
        <f t="shared" ref="AA93:AB93" si="272">AA597</f>
        <v>557</v>
      </c>
      <c r="AB93" s="132">
        <f t="shared" si="272"/>
        <v>868</v>
      </c>
      <c r="AC93" s="259" t="s">
        <v>226</v>
      </c>
      <c r="AD93" s="259" t="s">
        <v>226</v>
      </c>
      <c r="AE93" s="259" t="s">
        <v>226</v>
      </c>
      <c r="AF93" s="259" t="s">
        <v>226</v>
      </c>
      <c r="AG93" s="259" t="s">
        <v>226</v>
      </c>
      <c r="AH93" s="259" t="s">
        <v>226</v>
      </c>
      <c r="AI93" s="259" t="s">
        <v>226</v>
      </c>
      <c r="AJ93" s="252"/>
      <c r="AK93" s="252"/>
      <c r="AL93" s="252"/>
      <c r="AM93" s="252"/>
      <c r="AN93" s="252"/>
      <c r="AO93" s="252"/>
      <c r="AP93" s="252"/>
      <c r="AQ93" s="252"/>
      <c r="AS93" s="10"/>
      <c r="AT93" s="25" t="s">
        <v>77</v>
      </c>
      <c r="AU93" s="232">
        <f>SUM(D93:G93)</f>
        <v>1978</v>
      </c>
      <c r="AV93" s="232">
        <f>SUM(H93:K93)</f>
        <v>2210</v>
      </c>
      <c r="AW93" s="232">
        <f>SUM(L93:O93)</f>
        <v>2074</v>
      </c>
      <c r="AX93" s="232">
        <f>SUM(P93:S93)</f>
        <v>2231</v>
      </c>
      <c r="AY93" s="232">
        <f>SUM(T93:W93)</f>
        <v>2211</v>
      </c>
      <c r="AZ93" s="259" t="s">
        <v>226</v>
      </c>
      <c r="BA93" s="259" t="s">
        <v>226</v>
      </c>
      <c r="BB93" s="259" t="s">
        <v>226</v>
      </c>
      <c r="BC93" s="259" t="s">
        <v>226</v>
      </c>
      <c r="BD93" s="259" t="s">
        <v>226</v>
      </c>
      <c r="BE93" s="259" t="s">
        <v>226</v>
      </c>
    </row>
    <row r="94" spans="1:70" s="160" customFormat="1" outlineLevel="1" x14ac:dyDescent="0.2">
      <c r="A94" s="829"/>
      <c r="B94" s="173"/>
      <c r="C94" s="9" t="s">
        <v>528</v>
      </c>
      <c r="D94" s="174">
        <f t="shared" ref="D94:X94" si="273">SUM(D90:D93)</f>
        <v>3019</v>
      </c>
      <c r="E94" s="174">
        <f t="shared" si="273"/>
        <v>2157</v>
      </c>
      <c r="F94" s="174">
        <f t="shared" si="273"/>
        <v>2501</v>
      </c>
      <c r="G94" s="174">
        <f t="shared" si="273"/>
        <v>1714</v>
      </c>
      <c r="H94" s="174">
        <f t="shared" si="273"/>
        <v>3252</v>
      </c>
      <c r="I94" s="174">
        <f t="shared" si="273"/>
        <v>2877</v>
      </c>
      <c r="J94" s="174">
        <f t="shared" si="273"/>
        <v>1975</v>
      </c>
      <c r="K94" s="174">
        <f t="shared" si="273"/>
        <v>1580</v>
      </c>
      <c r="L94" s="174">
        <f t="shared" si="273"/>
        <v>3010</v>
      </c>
      <c r="M94" s="174">
        <f t="shared" si="273"/>
        <v>2617</v>
      </c>
      <c r="N94" s="174">
        <f t="shared" si="273"/>
        <v>2576</v>
      </c>
      <c r="O94" s="174">
        <f t="shared" si="273"/>
        <v>1697</v>
      </c>
      <c r="P94" s="174">
        <f t="shared" si="273"/>
        <v>2949</v>
      </c>
      <c r="Q94" s="174">
        <f t="shared" si="273"/>
        <v>2555</v>
      </c>
      <c r="R94" s="174">
        <f t="shared" si="273"/>
        <v>2174</v>
      </c>
      <c r="S94" s="174">
        <f t="shared" si="273"/>
        <v>1260</v>
      </c>
      <c r="T94" s="174">
        <f t="shared" si="273"/>
        <v>1869</v>
      </c>
      <c r="U94" s="174">
        <f t="shared" si="273"/>
        <v>2615</v>
      </c>
      <c r="V94" s="174">
        <f t="shared" si="273"/>
        <v>2660</v>
      </c>
      <c r="W94" s="174">
        <f t="shared" si="273"/>
        <v>2381</v>
      </c>
      <c r="X94" s="174">
        <f t="shared" si="273"/>
        <v>3011</v>
      </c>
      <c r="Y94" s="174">
        <f t="shared" ref="Y94:Z94" si="274">SUM(Y90:Y93)</f>
        <v>2780</v>
      </c>
      <c r="Z94" s="174">
        <f t="shared" si="274"/>
        <v>3062</v>
      </c>
      <c r="AA94" s="174">
        <f t="shared" ref="AA94:AB94" si="275">SUM(AA90:AA93)</f>
        <v>213</v>
      </c>
      <c r="AB94" s="174">
        <f t="shared" si="275"/>
        <v>3329</v>
      </c>
      <c r="AC94" s="252" t="s">
        <v>226</v>
      </c>
      <c r="AD94" s="252" t="s">
        <v>226</v>
      </c>
      <c r="AE94" s="252" t="s">
        <v>226</v>
      </c>
      <c r="AF94" s="252" t="s">
        <v>226</v>
      </c>
      <c r="AG94" s="252" t="s">
        <v>226</v>
      </c>
      <c r="AH94" s="252" t="s">
        <v>226</v>
      </c>
      <c r="AI94" s="252" t="s">
        <v>226</v>
      </c>
      <c r="AJ94" s="252"/>
      <c r="AK94" s="252"/>
      <c r="AL94" s="252"/>
      <c r="AM94" s="252"/>
      <c r="AN94" s="252"/>
      <c r="AO94" s="252"/>
      <c r="AP94" s="252"/>
      <c r="AQ94" s="252"/>
      <c r="AR94" s="70"/>
      <c r="AS94" s="173"/>
      <c r="AT94" s="9" t="s">
        <v>528</v>
      </c>
      <c r="AU94" s="234">
        <f>SUM(AU90:AU93)</f>
        <v>9391</v>
      </c>
      <c r="AV94" s="234">
        <f>SUM(AV90:AV93)</f>
        <v>9684</v>
      </c>
      <c r="AW94" s="234">
        <f>SUM(AW90:AW93)</f>
        <v>9900</v>
      </c>
      <c r="AX94" s="234">
        <f>SUM(AX90:AX93)</f>
        <v>8938</v>
      </c>
      <c r="AY94" s="234">
        <f>SUM(AY90:AY93)</f>
        <v>9525</v>
      </c>
      <c r="AZ94" s="252" t="s">
        <v>226</v>
      </c>
      <c r="BA94" s="252" t="s">
        <v>226</v>
      </c>
      <c r="BB94" s="252" t="s">
        <v>226</v>
      </c>
      <c r="BC94" s="252" t="s">
        <v>226</v>
      </c>
      <c r="BD94" s="252" t="s">
        <v>226</v>
      </c>
      <c r="BE94" s="252" t="s">
        <v>226</v>
      </c>
      <c r="BM94"/>
      <c r="BN94"/>
      <c r="BO94"/>
      <c r="BP94"/>
      <c r="BQ94"/>
      <c r="BR94"/>
    </row>
    <row r="95" spans="1:70" outlineLevel="1" x14ac:dyDescent="0.2">
      <c r="D95" s="50"/>
      <c r="E95" s="50"/>
      <c r="F95" s="50"/>
      <c r="G95" s="50"/>
      <c r="H95" s="50"/>
      <c r="I95" s="50"/>
      <c r="J95" s="50"/>
      <c r="K95" s="50"/>
      <c r="L95" s="50"/>
      <c r="M95" s="50"/>
      <c r="N95" s="50"/>
      <c r="O95" s="50"/>
      <c r="P95" s="50"/>
      <c r="Q95" s="50"/>
      <c r="R95" s="50"/>
      <c r="S95" s="50"/>
      <c r="T95" s="50"/>
      <c r="U95" s="50"/>
      <c r="V95" s="50"/>
      <c r="W95" s="50"/>
      <c r="Y95" s="1215"/>
      <c r="Z95" s="1688"/>
      <c r="AA95" s="1742"/>
      <c r="AB95" s="1785"/>
      <c r="AS95" s="10"/>
      <c r="AT95" s="9"/>
    </row>
    <row r="96" spans="1:70" s="160" customFormat="1" outlineLevel="1" x14ac:dyDescent="0.2">
      <c r="A96" s="829"/>
      <c r="B96" s="65" t="s">
        <v>183</v>
      </c>
      <c r="C96" s="59"/>
      <c r="D96" s="174">
        <f>D658</f>
        <v>-1539</v>
      </c>
      <c r="E96" s="174">
        <f t="shared" ref="E96:X96" si="276">E658</f>
        <v>-926</v>
      </c>
      <c r="F96" s="174">
        <f t="shared" si="276"/>
        <v>-1157</v>
      </c>
      <c r="G96" s="174">
        <f t="shared" si="276"/>
        <v>-1776</v>
      </c>
      <c r="H96" s="174">
        <f t="shared" si="276"/>
        <v>-929</v>
      </c>
      <c r="I96" s="174">
        <f t="shared" si="276"/>
        <v>-729</v>
      </c>
      <c r="J96" s="174">
        <f t="shared" si="276"/>
        <v>-207</v>
      </c>
      <c r="K96" s="174">
        <f t="shared" si="276"/>
        <v>-648</v>
      </c>
      <c r="L96" s="174">
        <f t="shared" si="276"/>
        <v>-467</v>
      </c>
      <c r="M96" s="174">
        <f t="shared" si="276"/>
        <v>-3854</v>
      </c>
      <c r="N96" s="174">
        <f t="shared" si="276"/>
        <v>-1291</v>
      </c>
      <c r="O96" s="174">
        <f t="shared" si="276"/>
        <v>-3001</v>
      </c>
      <c r="P96" s="174">
        <f t="shared" si="276"/>
        <v>248</v>
      </c>
      <c r="Q96" s="174">
        <f t="shared" si="276"/>
        <v>532</v>
      </c>
      <c r="R96" s="174">
        <f t="shared" si="276"/>
        <v>353</v>
      </c>
      <c r="S96" s="174">
        <f t="shared" si="276"/>
        <v>939</v>
      </c>
      <c r="T96" s="174">
        <f t="shared" si="276"/>
        <v>445</v>
      </c>
      <c r="U96" s="174">
        <f t="shared" si="276"/>
        <v>147</v>
      </c>
      <c r="V96" s="174">
        <f t="shared" si="276"/>
        <v>-23</v>
      </c>
      <c r="W96" s="174">
        <f t="shared" si="276"/>
        <v>-15</v>
      </c>
      <c r="X96" s="174">
        <f t="shared" si="276"/>
        <v>109</v>
      </c>
      <c r="Y96" s="174">
        <f t="shared" ref="Y96:Z96" si="277">Y658</f>
        <v>-25</v>
      </c>
      <c r="Z96" s="174">
        <f t="shared" si="277"/>
        <v>-95</v>
      </c>
      <c r="AA96" s="174">
        <f t="shared" ref="AA96:AB96" si="278">AA658</f>
        <v>3034</v>
      </c>
      <c r="AB96" s="174">
        <f t="shared" si="278"/>
        <v>-74</v>
      </c>
      <c r="AC96" s="252" t="s">
        <v>226</v>
      </c>
      <c r="AD96" s="252" t="s">
        <v>226</v>
      </c>
      <c r="AE96" s="252" t="s">
        <v>226</v>
      </c>
      <c r="AF96" s="252" t="s">
        <v>226</v>
      </c>
      <c r="AG96" s="252" t="s">
        <v>226</v>
      </c>
      <c r="AH96" s="252" t="s">
        <v>226</v>
      </c>
      <c r="AI96" s="252" t="s">
        <v>226</v>
      </c>
      <c r="AJ96" s="252"/>
      <c r="AK96" s="252"/>
      <c r="AL96" s="252"/>
      <c r="AM96" s="252"/>
      <c r="AN96" s="252"/>
      <c r="AO96" s="252"/>
      <c r="AP96" s="252"/>
      <c r="AQ96" s="252"/>
      <c r="AR96" s="70"/>
      <c r="AS96" s="65" t="s">
        <v>183</v>
      </c>
      <c r="AT96" s="59"/>
      <c r="AU96" s="233">
        <f>SUM(D96:G96)</f>
        <v>-5398</v>
      </c>
      <c r="AV96" s="233">
        <f>SUM(H96:K96)</f>
        <v>-2513</v>
      </c>
      <c r="AW96" s="233">
        <f>SUM(L96:O96)</f>
        <v>-8613</v>
      </c>
      <c r="AX96" s="233">
        <f>SUM(P96:S96)</f>
        <v>2072</v>
      </c>
      <c r="AY96" s="233">
        <f>SUM(T96:W96)</f>
        <v>554</v>
      </c>
      <c r="AZ96" s="252" t="s">
        <v>226</v>
      </c>
      <c r="BA96" s="252" t="s">
        <v>226</v>
      </c>
      <c r="BB96" s="252" t="s">
        <v>226</v>
      </c>
      <c r="BC96" s="252" t="s">
        <v>226</v>
      </c>
      <c r="BD96" s="252" t="s">
        <v>226</v>
      </c>
      <c r="BE96" s="252" t="s">
        <v>226</v>
      </c>
      <c r="BM96"/>
      <c r="BN96"/>
      <c r="BO96"/>
      <c r="BP96"/>
      <c r="BQ96"/>
      <c r="BR96"/>
    </row>
    <row r="97" spans="1:74" outlineLevel="1" x14ac:dyDescent="0.2">
      <c r="B97" s="65"/>
      <c r="C97" s="59"/>
      <c r="D97" s="174"/>
      <c r="E97" s="174"/>
      <c r="F97" s="174"/>
      <c r="G97" s="174"/>
      <c r="H97" s="174"/>
      <c r="I97" s="174"/>
      <c r="J97" s="174"/>
      <c r="K97" s="174"/>
      <c r="L97" s="174"/>
      <c r="M97" s="174"/>
      <c r="N97" s="174"/>
      <c r="O97" s="174"/>
      <c r="P97" s="174"/>
      <c r="Q97" s="174"/>
      <c r="R97" s="174"/>
      <c r="S97" s="174"/>
      <c r="T97" s="174"/>
      <c r="U97" s="174"/>
      <c r="V97" s="174"/>
      <c r="W97" s="174"/>
      <c r="Y97" s="1215"/>
      <c r="Z97" s="1688"/>
      <c r="AA97" s="1742"/>
      <c r="AB97" s="1785"/>
      <c r="AS97" s="65"/>
      <c r="AT97" s="59"/>
    </row>
    <row r="98" spans="1:74" outlineLevel="1" x14ac:dyDescent="0.2">
      <c r="B98" s="175" t="s">
        <v>529</v>
      </c>
      <c r="C98" s="59"/>
      <c r="D98" s="174"/>
      <c r="E98" s="174"/>
      <c r="F98" s="174"/>
      <c r="G98" s="174"/>
      <c r="H98" s="174"/>
      <c r="I98" s="174"/>
      <c r="J98" s="174"/>
      <c r="K98" s="174"/>
      <c r="L98" s="174"/>
      <c r="M98" s="174"/>
      <c r="N98" s="174"/>
      <c r="O98" s="174"/>
      <c r="P98" s="174"/>
      <c r="Q98" s="174"/>
      <c r="R98" s="174"/>
      <c r="S98" s="174"/>
      <c r="T98" s="174"/>
      <c r="U98" s="174"/>
      <c r="V98" s="174"/>
      <c r="W98" s="174"/>
      <c r="Y98" s="1215"/>
      <c r="Z98" s="1688"/>
      <c r="AA98" s="1742"/>
      <c r="AB98" s="1785"/>
      <c r="AS98" s="175" t="s">
        <v>529</v>
      </c>
      <c r="AT98" s="59"/>
    </row>
    <row r="99" spans="1:74" outlineLevel="1" x14ac:dyDescent="0.2">
      <c r="B99" s="9"/>
      <c r="C99" s="9" t="s">
        <v>76</v>
      </c>
      <c r="D99" s="50">
        <f t="shared" ref="D99:X99" si="279">D84+D90</f>
        <v>1903</v>
      </c>
      <c r="E99" s="50">
        <f t="shared" si="279"/>
        <v>1701</v>
      </c>
      <c r="F99" s="50">
        <f t="shared" si="279"/>
        <v>1902</v>
      </c>
      <c r="G99" s="50">
        <f t="shared" si="279"/>
        <v>1459</v>
      </c>
      <c r="H99" s="50">
        <f t="shared" si="279"/>
        <v>2386</v>
      </c>
      <c r="I99" s="50">
        <f t="shared" si="279"/>
        <v>1947</v>
      </c>
      <c r="J99" s="50">
        <f t="shared" si="279"/>
        <v>1484</v>
      </c>
      <c r="K99" s="50">
        <f t="shared" si="279"/>
        <v>1351</v>
      </c>
      <c r="L99" s="50">
        <f t="shared" si="279"/>
        <v>2399</v>
      </c>
      <c r="M99" s="50">
        <f t="shared" si="279"/>
        <v>2237</v>
      </c>
      <c r="N99" s="50">
        <f t="shared" si="279"/>
        <v>2160</v>
      </c>
      <c r="O99" s="50">
        <f t="shared" si="279"/>
        <v>1811</v>
      </c>
      <c r="P99" s="50">
        <f t="shared" si="279"/>
        <v>2048</v>
      </c>
      <c r="Q99" s="50">
        <f t="shared" si="279"/>
        <v>1993</v>
      </c>
      <c r="R99" s="50">
        <f t="shared" si="279"/>
        <v>1936</v>
      </c>
      <c r="S99" s="50">
        <f t="shared" si="279"/>
        <v>1427</v>
      </c>
      <c r="T99" s="50">
        <f t="shared" si="279"/>
        <v>1379</v>
      </c>
      <c r="U99" s="50">
        <f t="shared" si="279"/>
        <v>1820</v>
      </c>
      <c r="V99" s="50">
        <f t="shared" si="279"/>
        <v>1847</v>
      </c>
      <c r="W99" s="50">
        <f t="shared" si="279"/>
        <v>1687</v>
      </c>
      <c r="X99" s="50">
        <f t="shared" si="279"/>
        <v>1691</v>
      </c>
      <c r="Y99" s="50">
        <f t="shared" ref="Y99:Z99" si="280">Y84+Y90</f>
        <v>1745</v>
      </c>
      <c r="Z99" s="50">
        <f t="shared" si="280"/>
        <v>1940</v>
      </c>
      <c r="AA99" s="50">
        <f t="shared" ref="AA99:AB99" si="281">AA84+AA90</f>
        <v>-1031</v>
      </c>
      <c r="AB99" s="50">
        <f t="shared" si="281"/>
        <v>1695</v>
      </c>
      <c r="AC99" s="252" t="s">
        <v>226</v>
      </c>
      <c r="AD99" s="252" t="s">
        <v>226</v>
      </c>
      <c r="AE99" s="252" t="s">
        <v>226</v>
      </c>
      <c r="AF99" s="252" t="s">
        <v>226</v>
      </c>
      <c r="AG99" s="252" t="s">
        <v>226</v>
      </c>
      <c r="AH99" s="252" t="s">
        <v>226</v>
      </c>
      <c r="AI99" s="252" t="s">
        <v>226</v>
      </c>
      <c r="AJ99" s="252"/>
      <c r="AK99" s="252"/>
      <c r="AL99" s="252"/>
      <c r="AM99" s="252"/>
      <c r="AN99" s="252"/>
      <c r="AO99" s="252"/>
      <c r="AP99" s="252"/>
      <c r="AQ99" s="252"/>
      <c r="AS99" s="9"/>
      <c r="AT99" s="9" t="s">
        <v>76</v>
      </c>
      <c r="AU99" s="232">
        <f>SUM(D99:G99)</f>
        <v>6965</v>
      </c>
      <c r="AV99" s="232">
        <f>SUM(H99:K99)</f>
        <v>7168</v>
      </c>
      <c r="AW99" s="232">
        <f>SUM(L99:O99)</f>
        <v>8607</v>
      </c>
      <c r="AX99" s="232">
        <f>SUM(P99:S99)</f>
        <v>7404</v>
      </c>
      <c r="AY99" s="232">
        <f>SUM(T99:W99)</f>
        <v>6733</v>
      </c>
      <c r="AZ99" s="252" t="s">
        <v>226</v>
      </c>
      <c r="BA99" s="252" t="s">
        <v>226</v>
      </c>
      <c r="BB99" s="252" t="s">
        <v>226</v>
      </c>
      <c r="BC99" s="252" t="s">
        <v>226</v>
      </c>
      <c r="BD99" s="252" t="s">
        <v>226</v>
      </c>
      <c r="BE99" s="252" t="s">
        <v>226</v>
      </c>
    </row>
    <row r="100" spans="1:74" outlineLevel="1" x14ac:dyDescent="0.2">
      <c r="B100" s="65"/>
      <c r="C100" s="9" t="s">
        <v>5</v>
      </c>
      <c r="D100" s="50">
        <f t="shared" ref="D100:X100" si="282">D85+D92</f>
        <v>918</v>
      </c>
      <c r="E100" s="50">
        <f t="shared" si="282"/>
        <v>867</v>
      </c>
      <c r="F100" s="50">
        <f t="shared" si="282"/>
        <v>902</v>
      </c>
      <c r="G100" s="50">
        <f t="shared" si="282"/>
        <v>735</v>
      </c>
      <c r="H100" s="50">
        <f t="shared" si="282"/>
        <v>908</v>
      </c>
      <c r="I100" s="50">
        <f t="shared" si="282"/>
        <v>869</v>
      </c>
      <c r="J100" s="50">
        <f t="shared" si="282"/>
        <v>721</v>
      </c>
      <c r="K100" s="50">
        <f t="shared" si="282"/>
        <v>629</v>
      </c>
      <c r="L100" s="50">
        <f t="shared" si="282"/>
        <v>682</v>
      </c>
      <c r="M100" s="50">
        <f t="shared" si="282"/>
        <v>687</v>
      </c>
      <c r="N100" s="50">
        <f t="shared" si="282"/>
        <v>704</v>
      </c>
      <c r="O100" s="50">
        <f t="shared" si="282"/>
        <v>599</v>
      </c>
      <c r="P100" s="50">
        <f t="shared" si="282"/>
        <v>643</v>
      </c>
      <c r="Q100" s="50">
        <f t="shared" si="282"/>
        <v>639</v>
      </c>
      <c r="R100" s="50">
        <f t="shared" si="282"/>
        <v>783</v>
      </c>
      <c r="S100" s="50">
        <f t="shared" si="282"/>
        <v>372</v>
      </c>
      <c r="T100" s="50">
        <f t="shared" si="282"/>
        <v>526</v>
      </c>
      <c r="U100" s="50">
        <f t="shared" si="282"/>
        <v>632</v>
      </c>
      <c r="V100" s="50">
        <f t="shared" si="282"/>
        <v>623</v>
      </c>
      <c r="W100" s="50">
        <f t="shared" si="282"/>
        <v>561</v>
      </c>
      <c r="X100" s="50">
        <f t="shared" si="282"/>
        <v>694</v>
      </c>
      <c r="Y100" s="50">
        <f t="shared" ref="Y100:Z100" si="283">Y85+Y92</f>
        <v>563</v>
      </c>
      <c r="Z100" s="50">
        <f t="shared" si="283"/>
        <v>640</v>
      </c>
      <c r="AA100" s="50">
        <f t="shared" ref="AA100:AB100" si="284">AA85+AA92</f>
        <v>586</v>
      </c>
      <c r="AB100" s="50">
        <f t="shared" si="284"/>
        <v>738</v>
      </c>
      <c r="AC100" s="252" t="s">
        <v>226</v>
      </c>
      <c r="AD100" s="252" t="s">
        <v>226</v>
      </c>
      <c r="AE100" s="252" t="s">
        <v>226</v>
      </c>
      <c r="AF100" s="252" t="s">
        <v>226</v>
      </c>
      <c r="AG100" s="252" t="s">
        <v>226</v>
      </c>
      <c r="AH100" s="252" t="s">
        <v>226</v>
      </c>
      <c r="AI100" s="252" t="s">
        <v>226</v>
      </c>
      <c r="AJ100" s="252"/>
      <c r="AK100" s="252"/>
      <c r="AL100" s="252"/>
      <c r="AM100" s="252"/>
      <c r="AN100" s="252"/>
      <c r="AO100" s="252"/>
      <c r="AP100" s="252"/>
      <c r="AQ100" s="252"/>
      <c r="AS100" s="65"/>
      <c r="AT100" s="9" t="s">
        <v>5</v>
      </c>
      <c r="AU100" s="232">
        <f>SUM(D100:G100)</f>
        <v>3422</v>
      </c>
      <c r="AV100" s="232">
        <f>SUM(H100:K100)</f>
        <v>3127</v>
      </c>
      <c r="AW100" s="232">
        <f>SUM(L100:O100)</f>
        <v>2672</v>
      </c>
      <c r="AX100" s="232">
        <f>SUM(P100:S100)</f>
        <v>2437</v>
      </c>
      <c r="AY100" s="232">
        <f>SUM(T100:W100)</f>
        <v>2342</v>
      </c>
      <c r="AZ100" s="252" t="s">
        <v>226</v>
      </c>
      <c r="BA100" s="252" t="s">
        <v>226</v>
      </c>
      <c r="BB100" s="252" t="s">
        <v>226</v>
      </c>
      <c r="BC100" s="252" t="s">
        <v>226</v>
      </c>
      <c r="BD100" s="252" t="s">
        <v>226</v>
      </c>
      <c r="BE100" s="252" t="s">
        <v>226</v>
      </c>
    </row>
    <row r="101" spans="1:74" outlineLevel="1" x14ac:dyDescent="0.2">
      <c r="B101" s="65"/>
      <c r="C101" s="28" t="s">
        <v>239</v>
      </c>
      <c r="D101" s="172">
        <f t="shared" ref="D101:X101" si="285">D86+D93+D91</f>
        <v>2326</v>
      </c>
      <c r="E101" s="172">
        <f t="shared" si="285"/>
        <v>1521</v>
      </c>
      <c r="F101" s="172">
        <f t="shared" si="285"/>
        <v>1757</v>
      </c>
      <c r="G101" s="172">
        <f t="shared" si="285"/>
        <v>1152</v>
      </c>
      <c r="H101" s="172">
        <f t="shared" si="285"/>
        <v>1835</v>
      </c>
      <c r="I101" s="172">
        <f t="shared" si="285"/>
        <v>1884</v>
      </c>
      <c r="J101" s="172">
        <f t="shared" si="285"/>
        <v>1284</v>
      </c>
      <c r="K101" s="172">
        <f t="shared" si="285"/>
        <v>1198</v>
      </c>
      <c r="L101" s="172">
        <f t="shared" si="285"/>
        <v>1603</v>
      </c>
      <c r="M101" s="172">
        <f t="shared" si="285"/>
        <v>1223</v>
      </c>
      <c r="N101" s="172">
        <f t="shared" si="285"/>
        <v>1661</v>
      </c>
      <c r="O101" s="172">
        <f t="shared" si="285"/>
        <v>1038</v>
      </c>
      <c r="P101" s="172">
        <f t="shared" si="285"/>
        <v>1980</v>
      </c>
      <c r="Q101" s="172">
        <f t="shared" si="285"/>
        <v>1547</v>
      </c>
      <c r="R101" s="172">
        <f t="shared" si="285"/>
        <v>1213</v>
      </c>
      <c r="S101" s="172">
        <f t="shared" si="285"/>
        <v>836</v>
      </c>
      <c r="T101" s="172">
        <f t="shared" si="285"/>
        <v>1208</v>
      </c>
      <c r="U101" s="172">
        <f t="shared" si="285"/>
        <v>1515</v>
      </c>
      <c r="V101" s="172">
        <f t="shared" si="285"/>
        <v>1514</v>
      </c>
      <c r="W101" s="172">
        <f t="shared" si="285"/>
        <v>1422</v>
      </c>
      <c r="X101" s="172">
        <f t="shared" si="285"/>
        <v>1701</v>
      </c>
      <c r="Y101" s="172">
        <f t="shared" ref="Y101:Z101" si="286">Y86+Y93+Y91</f>
        <v>1681</v>
      </c>
      <c r="Z101" s="172">
        <f t="shared" si="286"/>
        <v>1735</v>
      </c>
      <c r="AA101" s="172">
        <f t="shared" ref="AA101:AB101" si="287">AA86+AA93+AA91</f>
        <v>1328</v>
      </c>
      <c r="AB101" s="172">
        <f t="shared" si="287"/>
        <v>2354</v>
      </c>
      <c r="AC101" s="259" t="s">
        <v>226</v>
      </c>
      <c r="AD101" s="259" t="s">
        <v>226</v>
      </c>
      <c r="AE101" s="259" t="s">
        <v>226</v>
      </c>
      <c r="AF101" s="259" t="s">
        <v>226</v>
      </c>
      <c r="AG101" s="259" t="s">
        <v>226</v>
      </c>
      <c r="AH101" s="259" t="s">
        <v>226</v>
      </c>
      <c r="AI101" s="259" t="s">
        <v>226</v>
      </c>
      <c r="AJ101" s="252"/>
      <c r="AK101" s="252"/>
      <c r="AL101" s="252"/>
      <c r="AM101" s="252"/>
      <c r="AN101" s="252"/>
      <c r="AO101" s="252"/>
      <c r="AP101" s="252"/>
      <c r="AQ101" s="252"/>
      <c r="AS101" s="65"/>
      <c r="AT101" s="28" t="s">
        <v>239</v>
      </c>
      <c r="AU101" s="41">
        <f>SUM(D101:G101)</f>
        <v>6756</v>
      </c>
      <c r="AV101" s="41">
        <f>SUM(H101:K101)</f>
        <v>6201</v>
      </c>
      <c r="AW101" s="41">
        <f>SUM(L101:O101)</f>
        <v>5525</v>
      </c>
      <c r="AX101" s="41">
        <f>SUM(P101:S101)</f>
        <v>5576</v>
      </c>
      <c r="AY101" s="41">
        <f>SUM(T101:W101)</f>
        <v>5659</v>
      </c>
      <c r="AZ101" s="259" t="s">
        <v>226</v>
      </c>
      <c r="BA101" s="259" t="s">
        <v>226</v>
      </c>
      <c r="BB101" s="259" t="s">
        <v>226</v>
      </c>
      <c r="BC101" s="259" t="s">
        <v>226</v>
      </c>
      <c r="BD101" s="259" t="s">
        <v>226</v>
      </c>
      <c r="BE101" s="259" t="s">
        <v>226</v>
      </c>
    </row>
    <row r="102" spans="1:74" outlineLevel="1" x14ac:dyDescent="0.2">
      <c r="B102" s="65"/>
      <c r="C102" s="9" t="s">
        <v>530</v>
      </c>
      <c r="D102" s="174">
        <f t="shared" ref="D102:X102" si="288">D94+D87</f>
        <v>5147</v>
      </c>
      <c r="E102" s="174">
        <f t="shared" si="288"/>
        <v>4089</v>
      </c>
      <c r="F102" s="174">
        <f t="shared" si="288"/>
        <v>4561</v>
      </c>
      <c r="G102" s="174">
        <f t="shared" si="288"/>
        <v>3346</v>
      </c>
      <c r="H102" s="174">
        <f t="shared" si="288"/>
        <v>5129</v>
      </c>
      <c r="I102" s="174">
        <f t="shared" si="288"/>
        <v>4700</v>
      </c>
      <c r="J102" s="174">
        <f t="shared" si="288"/>
        <v>3489</v>
      </c>
      <c r="K102" s="174">
        <f t="shared" si="288"/>
        <v>3178</v>
      </c>
      <c r="L102" s="174">
        <f t="shared" si="288"/>
        <v>4684</v>
      </c>
      <c r="M102" s="174">
        <f t="shared" si="288"/>
        <v>4147</v>
      </c>
      <c r="N102" s="174">
        <f t="shared" si="288"/>
        <v>4525</v>
      </c>
      <c r="O102" s="174">
        <f t="shared" si="288"/>
        <v>3448</v>
      </c>
      <c r="P102" s="174">
        <f t="shared" si="288"/>
        <v>4671</v>
      </c>
      <c r="Q102" s="174">
        <f t="shared" si="288"/>
        <v>4179</v>
      </c>
      <c r="R102" s="174">
        <f t="shared" si="288"/>
        <v>3932</v>
      </c>
      <c r="S102" s="174">
        <f t="shared" si="288"/>
        <v>2635</v>
      </c>
      <c r="T102" s="174">
        <f t="shared" si="288"/>
        <v>3113</v>
      </c>
      <c r="U102" s="174">
        <f t="shared" si="288"/>
        <v>3967</v>
      </c>
      <c r="V102" s="174">
        <f t="shared" si="288"/>
        <v>3984</v>
      </c>
      <c r="W102" s="174">
        <f t="shared" si="288"/>
        <v>3670</v>
      </c>
      <c r="X102" s="174">
        <f t="shared" si="288"/>
        <v>4086</v>
      </c>
      <c r="Y102" s="174">
        <f t="shared" ref="Y102:Z102" si="289">Y94+Y87</f>
        <v>3989</v>
      </c>
      <c r="Z102" s="174">
        <f t="shared" si="289"/>
        <v>4315</v>
      </c>
      <c r="AA102" s="174">
        <f t="shared" ref="AA102:AB102" si="290">AA94+AA87</f>
        <v>883</v>
      </c>
      <c r="AB102" s="174">
        <f t="shared" si="290"/>
        <v>4787</v>
      </c>
      <c r="AC102" s="252" t="s">
        <v>226</v>
      </c>
      <c r="AD102" s="252" t="s">
        <v>226</v>
      </c>
      <c r="AE102" s="252" t="s">
        <v>226</v>
      </c>
      <c r="AF102" s="252" t="s">
        <v>226</v>
      </c>
      <c r="AG102" s="252" t="s">
        <v>226</v>
      </c>
      <c r="AH102" s="252" t="s">
        <v>226</v>
      </c>
      <c r="AI102" s="252" t="s">
        <v>226</v>
      </c>
      <c r="AJ102" s="252"/>
      <c r="AK102" s="252"/>
      <c r="AL102" s="252"/>
      <c r="AM102" s="252"/>
      <c r="AN102" s="252"/>
      <c r="AO102" s="252"/>
      <c r="AP102" s="252"/>
      <c r="AQ102" s="252"/>
      <c r="AS102" s="65"/>
      <c r="AT102" s="9" t="s">
        <v>530</v>
      </c>
      <c r="AU102" s="233">
        <f>SUM(AU99:AU101)</f>
        <v>17143</v>
      </c>
      <c r="AV102" s="233">
        <f>SUM(AV99:AV101)</f>
        <v>16496</v>
      </c>
      <c r="AW102" s="233">
        <f>SUM(AW99:AW101)</f>
        <v>16804</v>
      </c>
      <c r="AX102" s="233">
        <f>SUM(AX99:AX101)</f>
        <v>15417</v>
      </c>
      <c r="AY102" s="233">
        <f>SUM(AY99:AY101)</f>
        <v>14734</v>
      </c>
      <c r="AZ102" s="252" t="s">
        <v>226</v>
      </c>
      <c r="BA102" s="252" t="s">
        <v>226</v>
      </c>
      <c r="BB102" s="252" t="s">
        <v>226</v>
      </c>
      <c r="BC102" s="252" t="s">
        <v>226</v>
      </c>
      <c r="BD102" s="252" t="s">
        <v>226</v>
      </c>
      <c r="BE102" s="252" t="s">
        <v>226</v>
      </c>
    </row>
    <row r="103" spans="1:74" outlineLevel="1" x14ac:dyDescent="0.2">
      <c r="B103" s="65"/>
      <c r="C103" s="59"/>
      <c r="D103" s="174"/>
      <c r="E103" s="174"/>
      <c r="F103" s="174"/>
      <c r="G103" s="174"/>
      <c r="H103" s="174"/>
      <c r="I103" s="174"/>
      <c r="J103" s="174"/>
      <c r="K103" s="174"/>
      <c r="L103" s="174"/>
      <c r="M103" s="174"/>
      <c r="N103" s="174"/>
      <c r="O103" s="174"/>
      <c r="P103" s="174"/>
      <c r="Q103" s="174"/>
      <c r="R103" s="174"/>
      <c r="S103" s="174"/>
      <c r="T103" s="174"/>
      <c r="U103" s="174"/>
      <c r="V103" s="174"/>
      <c r="W103" s="174"/>
      <c r="X103" s="174"/>
      <c r="Y103" s="174"/>
      <c r="Z103" s="174"/>
      <c r="AA103" s="174"/>
      <c r="AB103" s="174"/>
      <c r="AS103" s="65"/>
      <c r="AT103" s="59"/>
    </row>
    <row r="104" spans="1:74" outlineLevel="1" x14ac:dyDescent="0.2">
      <c r="B104" s="65"/>
      <c r="C104" s="9" t="s">
        <v>531</v>
      </c>
      <c r="D104" s="26">
        <f t="shared" ref="D104:X104" si="291">D99/D$102</f>
        <v>0.36972993977074026</v>
      </c>
      <c r="E104" s="26">
        <f t="shared" si="291"/>
        <v>0.41599413059427731</v>
      </c>
      <c r="F104" s="26">
        <f t="shared" si="291"/>
        <v>0.41701381276035959</v>
      </c>
      <c r="G104" s="26">
        <f t="shared" si="291"/>
        <v>0.43604303646144649</v>
      </c>
      <c r="H104" s="26">
        <f t="shared" si="291"/>
        <v>0.46519789432637942</v>
      </c>
      <c r="I104" s="26">
        <f t="shared" si="291"/>
        <v>0.41425531914893615</v>
      </c>
      <c r="J104" s="26">
        <f t="shared" si="291"/>
        <v>0.42533677271424475</v>
      </c>
      <c r="K104" s="26">
        <f t="shared" si="291"/>
        <v>0.42511013215859028</v>
      </c>
      <c r="L104" s="26">
        <f t="shared" si="291"/>
        <v>0.5121690862510675</v>
      </c>
      <c r="M104" s="26">
        <f t="shared" si="291"/>
        <v>0.5394260911502291</v>
      </c>
      <c r="N104" s="26">
        <f t="shared" si="291"/>
        <v>0.47734806629834253</v>
      </c>
      <c r="O104" s="26">
        <f t="shared" si="291"/>
        <v>0.52523201856148494</v>
      </c>
      <c r="P104" s="26">
        <f t="shared" si="291"/>
        <v>0.43845001070434597</v>
      </c>
      <c r="Q104" s="26">
        <f t="shared" si="291"/>
        <v>0.47690835128021059</v>
      </c>
      <c r="R104" s="26">
        <f t="shared" si="291"/>
        <v>0.49237029501525942</v>
      </c>
      <c r="S104" s="26">
        <f t="shared" si="291"/>
        <v>0.54155597722960147</v>
      </c>
      <c r="T104" s="26">
        <f t="shared" si="291"/>
        <v>0.44298104722132992</v>
      </c>
      <c r="U104" s="26">
        <f t="shared" si="291"/>
        <v>0.45878497605243257</v>
      </c>
      <c r="V104" s="26">
        <f t="shared" si="291"/>
        <v>0.46360441767068272</v>
      </c>
      <c r="W104" s="26">
        <f t="shared" si="291"/>
        <v>0.45967302452316078</v>
      </c>
      <c r="X104" s="26">
        <f t="shared" si="291"/>
        <v>0.41385217816935876</v>
      </c>
      <c r="Y104" s="26">
        <f t="shared" ref="Y104:Z104" si="292">Y99/Y$102</f>
        <v>0.43745299573828028</v>
      </c>
      <c r="Z104" s="26">
        <f t="shared" si="292"/>
        <v>0.44959443800695248</v>
      </c>
      <c r="AA104" s="26">
        <f t="shared" ref="AA104:AB104" si="293">AA99/AA$102</f>
        <v>-1.1676104190260477</v>
      </c>
      <c r="AB104" s="26">
        <f t="shared" si="293"/>
        <v>0.35408397743889702</v>
      </c>
      <c r="AC104" s="32" t="s">
        <v>229</v>
      </c>
      <c r="AD104" s="32" t="s">
        <v>229</v>
      </c>
      <c r="AE104" s="32" t="s">
        <v>229</v>
      </c>
      <c r="AF104" s="32" t="s">
        <v>229</v>
      </c>
      <c r="AG104" s="32" t="s">
        <v>229</v>
      </c>
      <c r="AH104" s="32" t="s">
        <v>229</v>
      </c>
      <c r="AI104" s="32" t="s">
        <v>229</v>
      </c>
      <c r="AJ104" s="32"/>
      <c r="AK104" s="32"/>
      <c r="AL104" s="32"/>
      <c r="AM104" s="32"/>
      <c r="AN104" s="32"/>
      <c r="AO104" s="32"/>
      <c r="AP104" s="32"/>
      <c r="AQ104" s="32"/>
      <c r="AS104" s="65"/>
      <c r="AT104" s="9" t="s">
        <v>531</v>
      </c>
      <c r="AU104" s="26">
        <f t="shared" ref="AU104:AY106" si="294">AU99/AU$102</f>
        <v>0.40628828093099223</v>
      </c>
      <c r="AV104" s="26">
        <f t="shared" si="294"/>
        <v>0.43452958292919497</v>
      </c>
      <c r="AW104" s="26">
        <f t="shared" si="294"/>
        <v>0.51219947631516305</v>
      </c>
      <c r="AX104" s="26">
        <f t="shared" si="294"/>
        <v>0.48024907569566061</v>
      </c>
      <c r="AY104" s="26">
        <f t="shared" si="294"/>
        <v>0.45697027283833308</v>
      </c>
      <c r="AZ104" s="60" t="s">
        <v>229</v>
      </c>
      <c r="BA104" s="60" t="s">
        <v>229</v>
      </c>
      <c r="BB104" s="60" t="s">
        <v>229</v>
      </c>
      <c r="BC104" s="60" t="s">
        <v>229</v>
      </c>
      <c r="BD104" s="60" t="s">
        <v>229</v>
      </c>
      <c r="BE104" s="60" t="s">
        <v>229</v>
      </c>
    </row>
    <row r="105" spans="1:74" outlineLevel="1" x14ac:dyDescent="0.2">
      <c r="B105" s="65"/>
      <c r="C105" s="9" t="s">
        <v>532</v>
      </c>
      <c r="D105" s="26">
        <f t="shared" ref="D105:X105" si="295">D100/D$102</f>
        <v>0.17835632407227511</v>
      </c>
      <c r="E105" s="26">
        <f t="shared" si="295"/>
        <v>0.21203228173147468</v>
      </c>
      <c r="F105" s="26">
        <f t="shared" si="295"/>
        <v>0.19776364832273624</v>
      </c>
      <c r="G105" s="26">
        <f t="shared" si="295"/>
        <v>0.21966527196652719</v>
      </c>
      <c r="H105" s="26">
        <f t="shared" si="295"/>
        <v>0.17703255995320724</v>
      </c>
      <c r="I105" s="26">
        <f t="shared" si="295"/>
        <v>0.1848936170212766</v>
      </c>
      <c r="J105" s="26">
        <f t="shared" si="295"/>
        <v>0.20664946976210949</v>
      </c>
      <c r="K105" s="26">
        <f t="shared" si="295"/>
        <v>0.19792322215229705</v>
      </c>
      <c r="L105" s="26">
        <f t="shared" si="295"/>
        <v>0.14560204953031597</v>
      </c>
      <c r="M105" s="26">
        <f t="shared" si="295"/>
        <v>0.16566192428261395</v>
      </c>
      <c r="N105" s="26">
        <f t="shared" si="295"/>
        <v>0.15558011049723758</v>
      </c>
      <c r="O105" s="26">
        <f t="shared" si="295"/>
        <v>0.17372389791183296</v>
      </c>
      <c r="P105" s="26">
        <f t="shared" si="295"/>
        <v>0.1376578891029758</v>
      </c>
      <c r="Q105" s="26">
        <f t="shared" si="295"/>
        <v>0.15290739411342427</v>
      </c>
      <c r="R105" s="26">
        <f t="shared" si="295"/>
        <v>0.19913530010172939</v>
      </c>
      <c r="S105" s="26">
        <f t="shared" si="295"/>
        <v>0.14117647058823529</v>
      </c>
      <c r="T105" s="26">
        <f t="shared" si="295"/>
        <v>0.16896884034693221</v>
      </c>
      <c r="U105" s="26">
        <f t="shared" si="295"/>
        <v>0.15931434333249306</v>
      </c>
      <c r="V105" s="26">
        <f t="shared" si="295"/>
        <v>0.15637550200803213</v>
      </c>
      <c r="W105" s="26">
        <f t="shared" si="295"/>
        <v>0.15286103542234333</v>
      </c>
      <c r="X105" s="26">
        <f t="shared" si="295"/>
        <v>0.16984826235927558</v>
      </c>
      <c r="Y105" s="26">
        <f t="shared" ref="Y105:Z105" si="296">Y100/Y$102</f>
        <v>0.14113812985710705</v>
      </c>
      <c r="Z105" s="26">
        <f t="shared" si="296"/>
        <v>0.14831981460023175</v>
      </c>
      <c r="AA105" s="26">
        <f t="shared" ref="AA105:AB105" si="297">AA100/AA$102</f>
        <v>0.66364665911664777</v>
      </c>
      <c r="AB105" s="26">
        <f t="shared" si="297"/>
        <v>0.15416753707959055</v>
      </c>
      <c r="AC105" s="32" t="s">
        <v>229</v>
      </c>
      <c r="AD105" s="32" t="s">
        <v>229</v>
      </c>
      <c r="AE105" s="32" t="s">
        <v>229</v>
      </c>
      <c r="AF105" s="32" t="s">
        <v>229</v>
      </c>
      <c r="AG105" s="32" t="s">
        <v>229</v>
      </c>
      <c r="AH105" s="32" t="s">
        <v>229</v>
      </c>
      <c r="AI105" s="32" t="s">
        <v>229</v>
      </c>
      <c r="AJ105" s="32"/>
      <c r="AK105" s="32"/>
      <c r="AL105" s="32"/>
      <c r="AM105" s="32"/>
      <c r="AN105" s="32"/>
      <c r="AO105" s="32"/>
      <c r="AP105" s="32"/>
      <c r="AQ105" s="32"/>
      <c r="AS105" s="65"/>
      <c r="AT105" s="9" t="s">
        <v>532</v>
      </c>
      <c r="AU105" s="26">
        <f t="shared" si="294"/>
        <v>0.19961500320830661</v>
      </c>
      <c r="AV105" s="26">
        <f t="shared" si="294"/>
        <v>0.1895611057225994</v>
      </c>
      <c r="AW105" s="26">
        <f t="shared" si="294"/>
        <v>0.15900975958105212</v>
      </c>
      <c r="AX105" s="26">
        <f t="shared" si="294"/>
        <v>0.15807225789712656</v>
      </c>
      <c r="AY105" s="26">
        <f t="shared" si="294"/>
        <v>0.15895208361612598</v>
      </c>
      <c r="AZ105" s="60" t="s">
        <v>229</v>
      </c>
      <c r="BA105" s="60" t="s">
        <v>229</v>
      </c>
      <c r="BB105" s="60" t="s">
        <v>229</v>
      </c>
      <c r="BC105" s="60" t="s">
        <v>229</v>
      </c>
      <c r="BD105" s="60" t="s">
        <v>229</v>
      </c>
      <c r="BE105" s="60" t="s">
        <v>229</v>
      </c>
    </row>
    <row r="106" spans="1:74" outlineLevel="1" x14ac:dyDescent="0.2">
      <c r="B106" s="65"/>
      <c r="C106" s="70" t="s">
        <v>533</v>
      </c>
      <c r="D106" s="176">
        <f t="shared" ref="D106:X106" si="298">D101/D$102</f>
        <v>0.45191373615698466</v>
      </c>
      <c r="E106" s="176">
        <f t="shared" si="298"/>
        <v>0.37197358767424799</v>
      </c>
      <c r="F106" s="176">
        <f t="shared" si="298"/>
        <v>0.38522253891690417</v>
      </c>
      <c r="G106" s="176">
        <f t="shared" si="298"/>
        <v>0.34429169157202633</v>
      </c>
      <c r="H106" s="176">
        <f t="shared" si="298"/>
        <v>0.35776954572041336</v>
      </c>
      <c r="I106" s="176">
        <f t="shared" si="298"/>
        <v>0.40085106382978725</v>
      </c>
      <c r="J106" s="176">
        <f t="shared" si="298"/>
        <v>0.36801375752364573</v>
      </c>
      <c r="K106" s="176">
        <f t="shared" si="298"/>
        <v>0.37696664568911264</v>
      </c>
      <c r="L106" s="176">
        <f t="shared" si="298"/>
        <v>0.34222886421861659</v>
      </c>
      <c r="M106" s="176">
        <f t="shared" si="298"/>
        <v>0.294911984567157</v>
      </c>
      <c r="N106" s="176">
        <f t="shared" si="298"/>
        <v>0.36707182320441989</v>
      </c>
      <c r="O106" s="176">
        <f t="shared" si="298"/>
        <v>0.30104408352668216</v>
      </c>
      <c r="P106" s="176">
        <f t="shared" si="298"/>
        <v>0.4238921001926782</v>
      </c>
      <c r="Q106" s="176">
        <f t="shared" si="298"/>
        <v>0.37018425460636517</v>
      </c>
      <c r="R106" s="176">
        <f t="shared" si="298"/>
        <v>0.30849440488301116</v>
      </c>
      <c r="S106" s="176">
        <f t="shared" si="298"/>
        <v>0.31726755218216318</v>
      </c>
      <c r="T106" s="176">
        <f t="shared" si="298"/>
        <v>0.38805011243173787</v>
      </c>
      <c r="U106" s="176">
        <f t="shared" si="298"/>
        <v>0.38190068061507437</v>
      </c>
      <c r="V106" s="176">
        <f t="shared" si="298"/>
        <v>0.38002008032128515</v>
      </c>
      <c r="W106" s="176">
        <f t="shared" si="298"/>
        <v>0.38746594005449592</v>
      </c>
      <c r="X106" s="176">
        <f t="shared" si="298"/>
        <v>0.41629955947136565</v>
      </c>
      <c r="Y106" s="176">
        <f t="shared" ref="Y106:Z106" si="299">Y101/Y$102</f>
        <v>0.42140887440461267</v>
      </c>
      <c r="Z106" s="176">
        <f t="shared" si="299"/>
        <v>0.40208574739281577</v>
      </c>
      <c r="AA106" s="176">
        <f t="shared" ref="AA106:AB106" si="300">AA101/AA$102</f>
        <v>1.5039637599093998</v>
      </c>
      <c r="AB106" s="176">
        <f t="shared" si="300"/>
        <v>0.49174848548151245</v>
      </c>
      <c r="AC106" s="32" t="s">
        <v>229</v>
      </c>
      <c r="AD106" s="32" t="s">
        <v>229</v>
      </c>
      <c r="AE106" s="32" t="s">
        <v>229</v>
      </c>
      <c r="AF106" s="32" t="s">
        <v>229</v>
      </c>
      <c r="AG106" s="32" t="s">
        <v>229</v>
      </c>
      <c r="AH106" s="32" t="s">
        <v>229</v>
      </c>
      <c r="AI106" s="32" t="s">
        <v>229</v>
      </c>
      <c r="AJ106" s="32"/>
      <c r="AK106" s="32"/>
      <c r="AL106" s="32"/>
      <c r="AM106" s="32"/>
      <c r="AN106" s="32"/>
      <c r="AO106" s="32"/>
      <c r="AP106" s="32"/>
      <c r="AQ106" s="32"/>
      <c r="AS106" s="65"/>
      <c r="AT106" s="70" t="s">
        <v>533</v>
      </c>
      <c r="AU106" s="176">
        <f t="shared" si="294"/>
        <v>0.39409671586070116</v>
      </c>
      <c r="AV106" s="176">
        <f t="shared" si="294"/>
        <v>0.3759093113482056</v>
      </c>
      <c r="AW106" s="176">
        <f t="shared" si="294"/>
        <v>0.32879076410378483</v>
      </c>
      <c r="AX106" s="176">
        <f t="shared" si="294"/>
        <v>0.3616786664072128</v>
      </c>
      <c r="AY106" s="176">
        <f t="shared" si="294"/>
        <v>0.38407764354554091</v>
      </c>
      <c r="AZ106" s="60" t="s">
        <v>229</v>
      </c>
      <c r="BA106" s="60" t="s">
        <v>229</v>
      </c>
      <c r="BB106" s="60" t="s">
        <v>229</v>
      </c>
      <c r="BC106" s="60" t="s">
        <v>229</v>
      </c>
      <c r="BD106" s="60" t="s">
        <v>229</v>
      </c>
      <c r="BE106" s="60" t="s">
        <v>229</v>
      </c>
    </row>
    <row r="107" spans="1:74" outlineLevel="1" x14ac:dyDescent="0.2">
      <c r="D107" s="50"/>
      <c r="E107" s="50"/>
      <c r="F107" s="50"/>
      <c r="G107" s="50"/>
      <c r="H107" s="50"/>
      <c r="I107" s="50"/>
      <c r="J107" s="50"/>
      <c r="K107" s="50"/>
      <c r="L107" s="50"/>
      <c r="M107" s="50"/>
      <c r="N107" s="50"/>
      <c r="O107" s="50"/>
      <c r="P107" s="50"/>
      <c r="Q107" s="50"/>
      <c r="R107" s="50"/>
      <c r="S107" s="50"/>
      <c r="T107" s="50"/>
      <c r="U107" s="50"/>
      <c r="V107" s="50"/>
      <c r="W107" s="50"/>
      <c r="Y107" s="1215"/>
      <c r="Z107" s="1688"/>
      <c r="AA107" s="1742"/>
      <c r="AS107" s="10"/>
      <c r="AT107" s="9"/>
    </row>
    <row r="108" spans="1:74" x14ac:dyDescent="0.2">
      <c r="D108" s="50"/>
      <c r="E108" s="50"/>
      <c r="F108" s="50"/>
      <c r="G108" s="50"/>
      <c r="H108" s="50"/>
      <c r="I108" s="50"/>
      <c r="J108" s="50"/>
      <c r="K108" s="50"/>
      <c r="L108" s="50"/>
      <c r="M108" s="50"/>
      <c r="N108" s="50"/>
      <c r="O108" s="50"/>
      <c r="P108" s="50"/>
      <c r="Q108" s="50"/>
      <c r="R108" s="50"/>
      <c r="S108" s="50"/>
      <c r="T108" s="50"/>
      <c r="U108" s="50"/>
      <c r="V108" s="50"/>
      <c r="W108" s="50"/>
      <c r="Y108" s="1215"/>
      <c r="Z108" s="1688"/>
      <c r="AS108" s="10"/>
      <c r="AT108" s="9"/>
    </row>
    <row r="109" spans="1:74" x14ac:dyDescent="0.2">
      <c r="A109" s="411" t="s">
        <v>194</v>
      </c>
      <c r="B109" s="13" t="s">
        <v>101</v>
      </c>
      <c r="C109" s="13"/>
      <c r="D109" s="14"/>
      <c r="E109" s="14"/>
      <c r="F109" s="14"/>
      <c r="G109" s="14"/>
      <c r="H109" s="14"/>
      <c r="I109" s="14"/>
      <c r="J109" s="14"/>
      <c r="K109" s="14"/>
      <c r="L109" s="14"/>
      <c r="M109" s="14"/>
      <c r="N109" s="14"/>
      <c r="O109" s="14"/>
      <c r="P109" s="14"/>
      <c r="Q109" s="14"/>
      <c r="R109" s="14"/>
      <c r="S109" s="14"/>
      <c r="T109" s="14"/>
      <c r="U109" s="14"/>
      <c r="V109" s="14"/>
      <c r="W109" s="14"/>
      <c r="X109" s="14"/>
      <c r="Y109" s="14"/>
      <c r="Z109" s="14"/>
      <c r="AA109" s="14"/>
      <c r="AB109" s="14"/>
      <c r="AC109" s="14"/>
      <c r="AD109" s="14"/>
      <c r="AE109" s="14"/>
      <c r="AF109" s="14"/>
      <c r="AG109" s="14"/>
      <c r="AH109" s="14"/>
      <c r="AI109" s="14"/>
      <c r="AJ109" s="14"/>
      <c r="AK109" s="14"/>
      <c r="AL109" s="14"/>
      <c r="AM109" s="14"/>
      <c r="AN109" s="14"/>
      <c r="AO109" s="14"/>
      <c r="AP109" s="14"/>
      <c r="AQ109" s="14"/>
      <c r="AS109" s="13" t="s">
        <v>101</v>
      </c>
      <c r="AT109" s="13"/>
      <c r="AU109" s="13"/>
      <c r="AV109" s="13"/>
      <c r="AW109" s="13"/>
      <c r="AX109" s="13"/>
      <c r="AY109" s="13"/>
      <c r="AZ109" s="13"/>
      <c r="BA109" s="13"/>
      <c r="BB109" s="13"/>
      <c r="BC109" s="13"/>
      <c r="BD109" s="13"/>
      <c r="BE109" s="13"/>
    </row>
    <row r="110" spans="1:74" x14ac:dyDescent="0.2">
      <c r="D110" s="6"/>
      <c r="E110" s="6"/>
      <c r="F110" s="6"/>
      <c r="G110" s="6"/>
      <c r="H110" s="6"/>
      <c r="I110" s="6"/>
      <c r="J110" s="6"/>
      <c r="K110" s="6"/>
      <c r="L110" s="6"/>
      <c r="M110" s="6"/>
      <c r="N110" s="6"/>
      <c r="O110" s="6"/>
      <c r="P110" s="6"/>
      <c r="Q110" s="6"/>
      <c r="R110" s="6"/>
      <c r="S110" s="6"/>
      <c r="T110" s="6"/>
      <c r="U110" s="6"/>
      <c r="V110" s="6"/>
      <c r="W110" s="6"/>
      <c r="Y110" s="1215"/>
      <c r="AS110" s="10"/>
      <c r="AT110" s="9"/>
    </row>
    <row r="111" spans="1:74" x14ac:dyDescent="0.2">
      <c r="B111" s="11" t="s">
        <v>188</v>
      </c>
      <c r="C111" s="11"/>
      <c r="D111" s="12"/>
      <c r="E111" s="12"/>
      <c r="F111" s="12"/>
      <c r="G111" s="12"/>
      <c r="H111" s="12"/>
      <c r="I111" s="12"/>
      <c r="J111" s="12"/>
      <c r="K111" s="12"/>
      <c r="L111" s="12"/>
      <c r="M111" s="12"/>
      <c r="N111" s="12"/>
      <c r="O111" s="12"/>
      <c r="P111" s="12"/>
      <c r="Q111" s="12"/>
      <c r="R111" s="12"/>
      <c r="S111" s="12"/>
      <c r="T111" s="12"/>
      <c r="U111" s="12"/>
      <c r="V111" s="12"/>
      <c r="W111" s="12"/>
      <c r="X111" s="12"/>
      <c r="Y111" s="12"/>
      <c r="Z111" s="12"/>
      <c r="AA111" s="12"/>
      <c r="AB111" s="12"/>
      <c r="AC111" s="12"/>
      <c r="AD111" s="12"/>
      <c r="AE111" s="12"/>
      <c r="AF111" s="12"/>
      <c r="AG111" s="12"/>
      <c r="AH111" s="12"/>
      <c r="AI111" s="12"/>
      <c r="AJ111" s="12"/>
      <c r="AK111" s="12"/>
      <c r="AL111" s="12"/>
      <c r="AM111" s="12"/>
      <c r="AN111" s="12"/>
      <c r="AO111" s="12"/>
      <c r="AP111" s="12"/>
      <c r="AQ111" s="12"/>
      <c r="AS111" s="11" t="s">
        <v>188</v>
      </c>
      <c r="AT111" s="11"/>
      <c r="AU111" s="12"/>
      <c r="AV111" s="12"/>
      <c r="AW111" s="12"/>
      <c r="AX111" s="12"/>
      <c r="AY111" s="12"/>
      <c r="AZ111" s="12"/>
      <c r="BA111" s="12"/>
      <c r="BB111" s="12"/>
      <c r="BC111" s="12"/>
      <c r="BD111" s="12"/>
      <c r="BE111" s="12"/>
      <c r="BF111" s="15"/>
      <c r="BG111" s="15"/>
      <c r="BH111" s="15"/>
      <c r="BI111" s="15"/>
      <c r="BJ111" s="15"/>
      <c r="BK111" s="15"/>
      <c r="BL111" s="15"/>
      <c r="BS111" s="15"/>
      <c r="BT111" s="15"/>
      <c r="BU111" s="15"/>
      <c r="BV111" s="15"/>
    </row>
    <row r="112" spans="1:74" x14ac:dyDescent="0.2">
      <c r="B112" s="16"/>
      <c r="C112" s="16"/>
      <c r="D112" s="15"/>
      <c r="E112" s="15"/>
      <c r="F112" s="15"/>
      <c r="G112" s="15"/>
      <c r="H112" s="15"/>
      <c r="I112" s="15"/>
      <c r="J112" s="15"/>
      <c r="K112" s="15"/>
      <c r="L112" s="15"/>
      <c r="M112" s="15"/>
      <c r="N112" s="15"/>
      <c r="O112" s="15"/>
      <c r="P112" s="15"/>
      <c r="Q112" s="15"/>
      <c r="R112" s="15"/>
      <c r="S112" s="15"/>
      <c r="T112" s="15"/>
      <c r="U112" s="15"/>
      <c r="V112" s="15"/>
      <c r="W112" s="15"/>
      <c r="X112" s="15"/>
      <c r="Y112" s="15"/>
      <c r="Z112" s="15"/>
      <c r="AA112" s="15"/>
      <c r="AB112" s="15"/>
      <c r="AC112" s="15"/>
      <c r="AD112" s="15"/>
      <c r="AE112" s="15"/>
      <c r="AF112" s="15"/>
      <c r="AG112" s="15"/>
      <c r="AH112" s="15"/>
      <c r="AI112" s="15"/>
      <c r="AJ112" s="15"/>
      <c r="AK112" s="15"/>
      <c r="AL112" s="15"/>
      <c r="AM112" s="15"/>
      <c r="AN112" s="15"/>
      <c r="AO112" s="15"/>
      <c r="AP112" s="15"/>
      <c r="AQ112" s="15"/>
      <c r="AS112" s="16"/>
      <c r="AT112" s="16"/>
    </row>
    <row r="113" spans="2:70" s="70" customFormat="1" x14ac:dyDescent="0.2">
      <c r="B113" s="315" t="s">
        <v>642</v>
      </c>
      <c r="C113" s="321"/>
      <c r="D113" s="431">
        <f t="shared" ref="D113:AE113" si="301">D149+D275+D353</f>
        <v>6512</v>
      </c>
      <c r="E113" s="431">
        <f t="shared" si="301"/>
        <v>6378</v>
      </c>
      <c r="F113" s="431">
        <f t="shared" si="301"/>
        <v>6550</v>
      </c>
      <c r="G113" s="431">
        <f t="shared" si="301"/>
        <v>6667</v>
      </c>
      <c r="H113" s="431">
        <f t="shared" si="301"/>
        <v>6551</v>
      </c>
      <c r="I113" s="431">
        <f t="shared" si="301"/>
        <v>6465</v>
      </c>
      <c r="J113" s="431">
        <f t="shared" si="301"/>
        <v>6523</v>
      </c>
      <c r="K113" s="431">
        <f t="shared" si="301"/>
        <v>6744</v>
      </c>
      <c r="L113" s="431">
        <f t="shared" si="301"/>
        <v>6523</v>
      </c>
      <c r="M113" s="431">
        <f t="shared" si="301"/>
        <v>6635</v>
      </c>
      <c r="N113" s="431">
        <f t="shared" si="301"/>
        <v>6833</v>
      </c>
      <c r="O113" s="431">
        <f t="shared" si="301"/>
        <v>6807</v>
      </c>
      <c r="P113" s="431">
        <f t="shared" si="301"/>
        <v>6400</v>
      </c>
      <c r="Q113" s="431">
        <f t="shared" si="301"/>
        <v>6404</v>
      </c>
      <c r="R113" s="431">
        <f t="shared" si="301"/>
        <v>6460</v>
      </c>
      <c r="S113" s="431">
        <f t="shared" si="301"/>
        <v>6488</v>
      </c>
      <c r="T113" s="431">
        <f t="shared" si="301"/>
        <v>6352</v>
      </c>
      <c r="U113" s="431">
        <f t="shared" si="301"/>
        <v>6308</v>
      </c>
      <c r="V113" s="431">
        <f t="shared" si="301"/>
        <v>6709</v>
      </c>
      <c r="W113" s="431">
        <f t="shared" si="301"/>
        <v>6656</v>
      </c>
      <c r="X113" s="431">
        <f t="shared" si="301"/>
        <v>6579</v>
      </c>
      <c r="Y113" s="431">
        <f t="shared" ref="Y113:Z113" si="302">Y149+Y275+Y353</f>
        <v>6760</v>
      </c>
      <c r="Z113" s="431">
        <f t="shared" si="302"/>
        <v>7071</v>
      </c>
      <c r="AA113" s="431">
        <f t="shared" ref="AA113" si="303">AA149+AA275+AA353</f>
        <v>7015</v>
      </c>
      <c r="AB113" s="431">
        <f>AB149+AB275+AB353</f>
        <v>6980</v>
      </c>
      <c r="AC113" s="431">
        <f t="shared" si="301"/>
        <v>7045.8570373972598</v>
      </c>
      <c r="AD113" s="431">
        <f t="shared" si="301"/>
        <v>7300.8720467041112</v>
      </c>
      <c r="AE113" s="431">
        <f t="shared" si="301"/>
        <v>7426.6195621957813</v>
      </c>
      <c r="AF113" s="431">
        <f t="shared" ref="AF113:AI113" si="304">AF149+AF275+AF353</f>
        <v>7245.5953362003247</v>
      </c>
      <c r="AG113" s="431">
        <f t="shared" si="304"/>
        <v>7410.5333373880994</v>
      </c>
      <c r="AH113" s="431">
        <f t="shared" si="304"/>
        <v>7648.1544421082681</v>
      </c>
      <c r="AI113" s="431">
        <f t="shared" si="304"/>
        <v>7806.7269010558457</v>
      </c>
      <c r="AJ113" s="431"/>
      <c r="AK113" s="431"/>
      <c r="AL113" s="431"/>
      <c r="AM113" s="431"/>
      <c r="AN113" s="431"/>
      <c r="AO113" s="431"/>
      <c r="AP113" s="431"/>
      <c r="AQ113" s="431"/>
      <c r="AS113" s="315" t="s">
        <v>209</v>
      </c>
      <c r="AT113" s="321"/>
      <c r="AU113" s="232">
        <f>SUM(D113:G113)</f>
        <v>26107</v>
      </c>
      <c r="AV113" s="232">
        <f>SUM(H113:K113)</f>
        <v>26283</v>
      </c>
      <c r="AW113" s="232">
        <f>SUM(L113:O113)</f>
        <v>26798</v>
      </c>
      <c r="AX113" s="232">
        <f>SUM(P113:S113)</f>
        <v>25752</v>
      </c>
      <c r="AY113" s="232">
        <f>SUM(T113:W113)</f>
        <v>26025</v>
      </c>
      <c r="AZ113" s="232">
        <f>SUM(X113:AA113)</f>
        <v>27425</v>
      </c>
      <c r="BA113" s="232">
        <f>SUM(AB113:AE113)</f>
        <v>28753.348646297152</v>
      </c>
      <c r="BB113" s="232">
        <f>SUM(AF113:AI113)</f>
        <v>30111.010016752538</v>
      </c>
      <c r="BC113" s="431">
        <f t="shared" ref="BC113:BD114" si="305">BC149+BC275+BC353</f>
        <v>31528.158214734001</v>
      </c>
      <c r="BD113" s="431">
        <f t="shared" si="305"/>
        <v>32953.191752933883</v>
      </c>
      <c r="BE113" s="431">
        <f t="shared" ref="BE113" si="306">BE149+BE275+BE353</f>
        <v>34267.66180017728</v>
      </c>
      <c r="BM113"/>
      <c r="BN113"/>
      <c r="BO113"/>
      <c r="BP113"/>
      <c r="BQ113"/>
      <c r="BR113"/>
    </row>
    <row r="114" spans="2:70" s="70" customFormat="1" x14ac:dyDescent="0.2">
      <c r="B114" s="375" t="s">
        <v>206</v>
      </c>
      <c r="C114" s="376"/>
      <c r="D114" s="432">
        <f t="shared" ref="D114:AE114" si="307">D150+D276+D354</f>
        <v>2207</v>
      </c>
      <c r="E114" s="432">
        <f t="shared" si="307"/>
        <v>2166</v>
      </c>
      <c r="F114" s="432">
        <f t="shared" si="307"/>
        <v>2390</v>
      </c>
      <c r="G114" s="432">
        <f t="shared" si="307"/>
        <v>2321</v>
      </c>
      <c r="H114" s="432">
        <f t="shared" si="307"/>
        <v>2233</v>
      </c>
      <c r="I114" s="432">
        <f t="shared" si="307"/>
        <v>2298</v>
      </c>
      <c r="J114" s="432">
        <f t="shared" si="307"/>
        <v>1789</v>
      </c>
      <c r="K114" s="432">
        <f t="shared" si="307"/>
        <v>1792</v>
      </c>
      <c r="L114" s="432">
        <f t="shared" si="307"/>
        <v>1843</v>
      </c>
      <c r="M114" s="432">
        <f t="shared" si="307"/>
        <v>1845</v>
      </c>
      <c r="N114" s="432">
        <f t="shared" si="307"/>
        <v>1932</v>
      </c>
      <c r="O114" s="432">
        <f t="shared" si="307"/>
        <v>1829</v>
      </c>
      <c r="P114" s="432">
        <f t="shared" si="307"/>
        <v>1838</v>
      </c>
      <c r="Q114" s="432">
        <f t="shared" si="307"/>
        <v>1724</v>
      </c>
      <c r="R114" s="432">
        <f t="shared" si="307"/>
        <v>1611</v>
      </c>
      <c r="S114" s="432">
        <f t="shared" si="307"/>
        <v>1326</v>
      </c>
      <c r="T114" s="432">
        <f t="shared" si="307"/>
        <v>1362</v>
      </c>
      <c r="U114" s="432">
        <f t="shared" si="307"/>
        <v>1366</v>
      </c>
      <c r="V114" s="432">
        <f t="shared" si="307"/>
        <v>1455</v>
      </c>
      <c r="W114" s="432">
        <f t="shared" si="307"/>
        <v>1311</v>
      </c>
      <c r="X114" s="432">
        <f t="shared" si="307"/>
        <v>1267</v>
      </c>
      <c r="Y114" s="432">
        <f t="shared" ref="Y114:Z114" si="308">Y150+Y276+Y354</f>
        <v>1313</v>
      </c>
      <c r="Z114" s="432">
        <f t="shared" si="308"/>
        <v>1399</v>
      </c>
      <c r="AA114" s="432">
        <f t="shared" ref="AA114:AB114" si="309">AA150+AA276+AA354</f>
        <v>1434</v>
      </c>
      <c r="AB114" s="432">
        <f t="shared" si="309"/>
        <v>1453</v>
      </c>
      <c r="AC114" s="432">
        <f t="shared" si="307"/>
        <v>1328.682802739726</v>
      </c>
      <c r="AD114" s="432">
        <f t="shared" si="307"/>
        <v>1386.5329133150685</v>
      </c>
      <c r="AE114" s="432">
        <f t="shared" si="307"/>
        <v>1355.2157850684932</v>
      </c>
      <c r="AF114" s="432">
        <f t="shared" ref="AF114:AI114" si="310">AF150+AF276+AF354</f>
        <v>1420.0144711891014</v>
      </c>
      <c r="AG114" s="432">
        <f t="shared" si="310"/>
        <v>1417.7132727423259</v>
      </c>
      <c r="AH114" s="432">
        <f t="shared" si="310"/>
        <v>1484.5877782184857</v>
      </c>
      <c r="AI114" s="432">
        <f t="shared" si="310"/>
        <v>1425.4885963288659</v>
      </c>
      <c r="AJ114" s="379"/>
      <c r="AK114" s="379"/>
      <c r="AL114" s="379"/>
      <c r="AM114" s="379"/>
      <c r="AN114" s="379"/>
      <c r="AO114" s="379"/>
      <c r="AP114" s="379"/>
      <c r="AQ114" s="379"/>
      <c r="AS114" s="375" t="s">
        <v>206</v>
      </c>
      <c r="AT114" s="376"/>
      <c r="AU114" s="41">
        <f>SUM(D114:G114)</f>
        <v>9084</v>
      </c>
      <c r="AV114" s="41">
        <f>SUM(H114:K114)</f>
        <v>8112</v>
      </c>
      <c r="AW114" s="41">
        <f>SUM(L114:O114)</f>
        <v>7449</v>
      </c>
      <c r="AX114" s="41">
        <f>SUM(P114:S114)</f>
        <v>6499</v>
      </c>
      <c r="AY114" s="41">
        <f>SUM(T114:W114)</f>
        <v>5494</v>
      </c>
      <c r="AZ114" s="41">
        <f>SUM(X114:AA114)</f>
        <v>5413</v>
      </c>
      <c r="BA114" s="41">
        <f>SUM(AB114:AE114)</f>
        <v>5523.4315011232875</v>
      </c>
      <c r="BB114" s="41">
        <f>SUM(AF114:AI114)</f>
        <v>5747.8041184787789</v>
      </c>
      <c r="BC114" s="432">
        <f t="shared" si="305"/>
        <v>6075.890914387066</v>
      </c>
      <c r="BD114" s="432">
        <f t="shared" si="305"/>
        <v>6459.0224731692215</v>
      </c>
      <c r="BE114" s="432">
        <f t="shared" ref="BE114" si="311">BE150+BE276+BE354</f>
        <v>6820.3888932339114</v>
      </c>
      <c r="BM114"/>
      <c r="BN114"/>
      <c r="BO114"/>
      <c r="BP114"/>
      <c r="BQ114"/>
      <c r="BR114"/>
    </row>
    <row r="115" spans="2:70" s="70" customFormat="1" x14ac:dyDescent="0.2">
      <c r="B115" s="316" t="s">
        <v>643</v>
      </c>
      <c r="C115" s="387"/>
      <c r="D115" s="433">
        <f t="shared" ref="D115:AE115" si="312">SUM(D113:D114)</f>
        <v>8719</v>
      </c>
      <c r="E115" s="433">
        <f t="shared" si="312"/>
        <v>8544</v>
      </c>
      <c r="F115" s="433">
        <f t="shared" si="312"/>
        <v>8940</v>
      </c>
      <c r="G115" s="433">
        <f t="shared" si="312"/>
        <v>8988</v>
      </c>
      <c r="H115" s="433">
        <f t="shared" si="312"/>
        <v>8784</v>
      </c>
      <c r="I115" s="433">
        <f t="shared" si="312"/>
        <v>8763</v>
      </c>
      <c r="J115" s="433">
        <f t="shared" si="312"/>
        <v>8312</v>
      </c>
      <c r="K115" s="433">
        <f t="shared" si="312"/>
        <v>8536</v>
      </c>
      <c r="L115" s="433">
        <f t="shared" si="312"/>
        <v>8366</v>
      </c>
      <c r="M115" s="433">
        <f t="shared" si="312"/>
        <v>8480</v>
      </c>
      <c r="N115" s="433">
        <f t="shared" si="312"/>
        <v>8765</v>
      </c>
      <c r="O115" s="433">
        <f t="shared" si="312"/>
        <v>8636</v>
      </c>
      <c r="P115" s="433">
        <f t="shared" si="312"/>
        <v>8238</v>
      </c>
      <c r="Q115" s="433">
        <f t="shared" si="312"/>
        <v>8128</v>
      </c>
      <c r="R115" s="433">
        <f t="shared" si="312"/>
        <v>8071</v>
      </c>
      <c r="S115" s="433">
        <f t="shared" si="312"/>
        <v>7814</v>
      </c>
      <c r="T115" s="433">
        <f t="shared" si="312"/>
        <v>7714</v>
      </c>
      <c r="U115" s="433">
        <f t="shared" si="312"/>
        <v>7674</v>
      </c>
      <c r="V115" s="433">
        <f t="shared" si="312"/>
        <v>8164</v>
      </c>
      <c r="W115" s="433">
        <f t="shared" si="312"/>
        <v>7967</v>
      </c>
      <c r="X115" s="433">
        <f t="shared" si="312"/>
        <v>7846</v>
      </c>
      <c r="Y115" s="433">
        <f t="shared" ref="Y115:Z115" si="313">SUM(Y113:Y114)</f>
        <v>8073</v>
      </c>
      <c r="Z115" s="433">
        <f t="shared" si="313"/>
        <v>8470</v>
      </c>
      <c r="AA115" s="433">
        <f t="shared" ref="AA115:AB115" si="314">SUM(AA113:AA114)</f>
        <v>8449</v>
      </c>
      <c r="AB115" s="433">
        <f t="shared" si="314"/>
        <v>8433</v>
      </c>
      <c r="AC115" s="433">
        <f t="shared" si="312"/>
        <v>8374.5398401369857</v>
      </c>
      <c r="AD115" s="433">
        <f t="shared" si="312"/>
        <v>8687.4049600191793</v>
      </c>
      <c r="AE115" s="433">
        <f t="shared" si="312"/>
        <v>8781.8353472642739</v>
      </c>
      <c r="AF115" s="433">
        <f t="shared" ref="AF115:AI115" si="315">SUM(AF113:AF114)</f>
        <v>8665.6098073894264</v>
      </c>
      <c r="AG115" s="433">
        <f t="shared" si="315"/>
        <v>8828.2466101304253</v>
      </c>
      <c r="AH115" s="433">
        <f t="shared" si="315"/>
        <v>9132.7422203267542</v>
      </c>
      <c r="AI115" s="433">
        <f t="shared" si="315"/>
        <v>9232.2154973847119</v>
      </c>
      <c r="AJ115" s="433"/>
      <c r="AK115" s="433"/>
      <c r="AL115" s="433"/>
      <c r="AM115" s="433"/>
      <c r="AN115" s="433"/>
      <c r="AO115" s="433"/>
      <c r="AP115" s="433"/>
      <c r="AQ115" s="433"/>
      <c r="AS115" s="316" t="s">
        <v>189</v>
      </c>
      <c r="AT115" s="387"/>
      <c r="AU115" s="232">
        <f t="shared" ref="AU115:BD115" si="316">SUM(AU113:AU114)</f>
        <v>35191</v>
      </c>
      <c r="AV115" s="232">
        <f t="shared" si="316"/>
        <v>34395</v>
      </c>
      <c r="AW115" s="232">
        <f t="shared" si="316"/>
        <v>34247</v>
      </c>
      <c r="AX115" s="232">
        <f t="shared" si="316"/>
        <v>32251</v>
      </c>
      <c r="AY115" s="232">
        <f t="shared" si="316"/>
        <v>31519</v>
      </c>
      <c r="AZ115" s="232">
        <f t="shared" si="316"/>
        <v>32838</v>
      </c>
      <c r="BA115" s="232">
        <f t="shared" si="316"/>
        <v>34276.780147420439</v>
      </c>
      <c r="BB115" s="232">
        <f t="shared" ref="BB115" si="317">SUM(BB113:BB114)</f>
        <v>35858.814135231318</v>
      </c>
      <c r="BC115" s="433">
        <f t="shared" si="316"/>
        <v>37604.049129121064</v>
      </c>
      <c r="BD115" s="433">
        <f t="shared" si="316"/>
        <v>39412.214226103104</v>
      </c>
      <c r="BE115" s="433">
        <f t="shared" ref="BE115" si="318">SUM(BE113:BE114)</f>
        <v>41088.050693411191</v>
      </c>
      <c r="BM115"/>
      <c r="BN115"/>
      <c r="BO115"/>
      <c r="BP115"/>
      <c r="BQ115"/>
      <c r="BR115"/>
    </row>
    <row r="116" spans="2:70" s="70" customFormat="1" x14ac:dyDescent="0.2">
      <c r="B116" s="316"/>
      <c r="C116" s="387"/>
      <c r="D116" s="387"/>
      <c r="E116" s="387"/>
      <c r="F116" s="387"/>
      <c r="G116" s="387"/>
      <c r="H116" s="387"/>
      <c r="I116" s="387"/>
      <c r="J116" s="387"/>
      <c r="K116" s="387"/>
      <c r="L116" s="387"/>
      <c r="M116" s="387"/>
      <c r="N116" s="387"/>
      <c r="O116" s="387"/>
      <c r="P116" s="387"/>
      <c r="Q116" s="387"/>
      <c r="R116" s="387"/>
      <c r="S116" s="387"/>
      <c r="T116" s="387"/>
      <c r="U116" s="387"/>
      <c r="V116" s="387"/>
      <c r="W116" s="387"/>
      <c r="X116" s="387"/>
      <c r="Y116" s="387"/>
      <c r="Z116" s="387"/>
      <c r="AA116" s="387"/>
      <c r="AB116" s="387"/>
      <c r="AC116" s="387"/>
      <c r="AD116" s="387"/>
      <c r="AE116" s="387"/>
      <c r="AF116" s="387"/>
      <c r="AG116" s="387"/>
      <c r="AH116" s="387"/>
      <c r="AI116" s="387"/>
      <c r="AJ116" s="387"/>
      <c r="AK116" s="387"/>
      <c r="AL116" s="387"/>
      <c r="AM116" s="387"/>
      <c r="AN116" s="387"/>
      <c r="AO116" s="387"/>
      <c r="AP116" s="387"/>
      <c r="AQ116" s="387"/>
      <c r="AS116" s="316"/>
      <c r="AT116" s="387"/>
      <c r="BC116" s="387"/>
      <c r="BD116" s="387"/>
      <c r="BE116" s="387"/>
      <c r="BM116"/>
      <c r="BN116"/>
      <c r="BO116"/>
      <c r="BP116"/>
      <c r="BQ116"/>
      <c r="BR116"/>
    </row>
    <row r="117" spans="2:70" s="70" customFormat="1" x14ac:dyDescent="0.2">
      <c r="B117" s="322" t="s">
        <v>184</v>
      </c>
      <c r="C117" s="387"/>
      <c r="D117" s="431">
        <f t="shared" ref="D117:AE117" si="319">D153+D279+D357</f>
        <v>4475</v>
      </c>
      <c r="E117" s="431">
        <f t="shared" si="319"/>
        <v>4570</v>
      </c>
      <c r="F117" s="431">
        <f t="shared" si="319"/>
        <v>4668</v>
      </c>
      <c r="G117" s="431">
        <f t="shared" si="319"/>
        <v>5078</v>
      </c>
      <c r="H117" s="431">
        <f t="shared" si="319"/>
        <v>4628</v>
      </c>
      <c r="I117" s="431">
        <f t="shared" si="319"/>
        <v>4604</v>
      </c>
      <c r="J117" s="431">
        <f t="shared" si="319"/>
        <v>4528</v>
      </c>
      <c r="K117" s="431">
        <f t="shared" si="319"/>
        <v>4656</v>
      </c>
      <c r="L117" s="431">
        <f t="shared" si="319"/>
        <v>4554</v>
      </c>
      <c r="M117" s="431">
        <f t="shared" si="319"/>
        <v>4805</v>
      </c>
      <c r="N117" s="431">
        <f t="shared" si="319"/>
        <v>4634</v>
      </c>
      <c r="O117" s="431">
        <f t="shared" si="319"/>
        <v>4671</v>
      </c>
      <c r="P117" s="431">
        <f t="shared" si="319"/>
        <v>4300</v>
      </c>
      <c r="Q117" s="431">
        <f t="shared" si="319"/>
        <v>4334</v>
      </c>
      <c r="R117" s="431">
        <f t="shared" si="319"/>
        <v>4225</v>
      </c>
      <c r="S117" s="431">
        <f t="shared" si="319"/>
        <v>4340</v>
      </c>
      <c r="T117" s="431">
        <f t="shared" si="319"/>
        <v>4401</v>
      </c>
      <c r="U117" s="431">
        <f t="shared" si="319"/>
        <v>4297</v>
      </c>
      <c r="V117" s="431">
        <f t="shared" si="319"/>
        <v>4429</v>
      </c>
      <c r="W117" s="431">
        <f t="shared" si="319"/>
        <v>4356</v>
      </c>
      <c r="X117" s="431">
        <f t="shared" si="319"/>
        <v>4451</v>
      </c>
      <c r="Y117" s="431">
        <f t="shared" ref="Y117:Z117" si="320">Y153+Y279+Y357</f>
        <v>4537</v>
      </c>
      <c r="Z117" s="431">
        <f t="shared" si="320"/>
        <v>4452</v>
      </c>
      <c r="AA117" s="431">
        <f t="shared" ref="AA117:AB117" si="321">AA153+AA279+AA357</f>
        <v>4563</v>
      </c>
      <c r="AB117" s="431">
        <f t="shared" si="321"/>
        <v>4681</v>
      </c>
      <c r="AC117" s="431">
        <f t="shared" si="319"/>
        <v>4512.5533532739719</v>
      </c>
      <c r="AD117" s="431">
        <f t="shared" si="319"/>
        <v>4639.4705000265212</v>
      </c>
      <c r="AE117" s="431">
        <f t="shared" si="319"/>
        <v>4692.9841736783928</v>
      </c>
      <c r="AF117" s="431">
        <f t="shared" ref="AF117:AI117" si="322">AF153+AF279+AF357</f>
        <v>4593.1746213141241</v>
      </c>
      <c r="AG117" s="431">
        <f t="shared" si="322"/>
        <v>4634.5117674916901</v>
      </c>
      <c r="AH117" s="431">
        <f t="shared" si="322"/>
        <v>4742.7643934042844</v>
      </c>
      <c r="AI117" s="431">
        <f t="shared" si="322"/>
        <v>4797.5770524945819</v>
      </c>
      <c r="AJ117" s="431"/>
      <c r="AK117" s="431"/>
      <c r="AL117" s="431"/>
      <c r="AM117" s="431"/>
      <c r="AN117" s="431"/>
      <c r="AO117" s="431"/>
      <c r="AP117" s="431"/>
      <c r="AQ117" s="431"/>
      <c r="AS117" s="322" t="s">
        <v>184</v>
      </c>
      <c r="AT117" s="387"/>
      <c r="AU117" s="232">
        <f>SUM(D117:G117)</f>
        <v>18791</v>
      </c>
      <c r="AV117" s="232">
        <f>SUM(H117:K117)</f>
        <v>18416</v>
      </c>
      <c r="AW117" s="232">
        <f>SUM(L117:O117)</f>
        <v>18664</v>
      </c>
      <c r="AX117" s="232">
        <f>SUM(P117:S117)</f>
        <v>17199</v>
      </c>
      <c r="AY117" s="232">
        <f>SUM(T117:W117)</f>
        <v>17483</v>
      </c>
      <c r="AZ117" s="232">
        <f>SUM(X117:AA117)</f>
        <v>18003</v>
      </c>
      <c r="BA117" s="232">
        <f>SUM(AB117:AE117)</f>
        <v>18526.008026978885</v>
      </c>
      <c r="BB117" s="232">
        <f>SUM(AF117:AI117)</f>
        <v>18768.027834704681</v>
      </c>
      <c r="BC117" s="431">
        <f>BC153+BC279+BC357</f>
        <v>19159.862882073696</v>
      </c>
      <c r="BD117" s="431">
        <f>BD153+BD279+BD357</f>
        <v>19697.239514112363</v>
      </c>
      <c r="BE117" s="431">
        <f>BE153+BE279+BE357</f>
        <v>20566.073931771418</v>
      </c>
      <c r="BM117"/>
      <c r="BN117"/>
      <c r="BO117"/>
      <c r="BP117"/>
      <c r="BQ117"/>
      <c r="BR117"/>
    </row>
    <row r="118" spans="2:70" s="70" customFormat="1" x14ac:dyDescent="0.2">
      <c r="B118" s="322"/>
      <c r="C118" s="387"/>
      <c r="D118" s="387"/>
      <c r="E118" s="15"/>
      <c r="F118" s="15"/>
      <c r="G118" s="15"/>
      <c r="H118" s="15"/>
      <c r="I118" s="15"/>
      <c r="J118" s="15"/>
      <c r="K118" s="15"/>
      <c r="L118" s="15"/>
      <c r="M118" s="15"/>
      <c r="N118" s="15"/>
      <c r="O118" s="15"/>
      <c r="P118" s="15"/>
      <c r="Q118" s="15"/>
      <c r="R118" s="15"/>
      <c r="S118" s="15"/>
      <c r="T118" s="15"/>
      <c r="U118" s="15"/>
      <c r="V118" s="15"/>
      <c r="W118" s="15"/>
      <c r="X118" s="15"/>
      <c r="Y118" s="15"/>
      <c r="Z118" s="15"/>
      <c r="AA118" s="15"/>
      <c r="AB118" s="15"/>
      <c r="AC118" s="15"/>
      <c r="AD118" s="15"/>
      <c r="AE118" s="15"/>
      <c r="AF118" s="15"/>
      <c r="AG118" s="15"/>
      <c r="AH118" s="15"/>
      <c r="AI118" s="15"/>
      <c r="AJ118" s="15"/>
      <c r="AK118" s="15"/>
      <c r="AL118" s="15"/>
      <c r="AM118" s="15"/>
      <c r="AN118" s="15"/>
      <c r="AO118" s="15"/>
      <c r="AP118" s="15"/>
      <c r="AQ118" s="15"/>
      <c r="AS118" s="322"/>
      <c r="AT118" s="387"/>
      <c r="BC118" s="15"/>
      <c r="BD118" s="15"/>
      <c r="BE118" s="15"/>
      <c r="BM118"/>
      <c r="BN118"/>
      <c r="BO118"/>
      <c r="BP118"/>
      <c r="BQ118"/>
      <c r="BR118"/>
    </row>
    <row r="119" spans="2:70" s="70" customFormat="1" x14ac:dyDescent="0.2">
      <c r="B119" s="322" t="s">
        <v>190</v>
      </c>
      <c r="C119" s="387"/>
      <c r="D119" s="431">
        <f t="shared" ref="D119:AE119" si="323">D155+D281+D359</f>
        <v>1278</v>
      </c>
      <c r="E119" s="431">
        <f t="shared" si="323"/>
        <v>1151</v>
      </c>
      <c r="F119" s="431">
        <f t="shared" si="323"/>
        <v>1328</v>
      </c>
      <c r="G119" s="431">
        <f t="shared" si="323"/>
        <v>1640</v>
      </c>
      <c r="H119" s="431">
        <f t="shared" si="323"/>
        <v>1464</v>
      </c>
      <c r="I119" s="431">
        <f t="shared" si="323"/>
        <v>1460</v>
      </c>
      <c r="J119" s="431">
        <f t="shared" si="323"/>
        <v>1536</v>
      </c>
      <c r="K119" s="431">
        <f t="shared" si="323"/>
        <v>1647</v>
      </c>
      <c r="L119" s="431">
        <f t="shared" si="323"/>
        <v>1463</v>
      </c>
      <c r="M119" s="431">
        <f t="shared" si="323"/>
        <v>1368</v>
      </c>
      <c r="N119" s="431">
        <f t="shared" si="323"/>
        <v>1281</v>
      </c>
      <c r="O119" s="431">
        <f t="shared" si="323"/>
        <v>1399</v>
      </c>
      <c r="P119" s="431">
        <f t="shared" si="323"/>
        <v>1368</v>
      </c>
      <c r="Q119" s="431">
        <f t="shared" si="323"/>
        <v>1424</v>
      </c>
      <c r="R119" s="431">
        <f t="shared" si="323"/>
        <v>1280</v>
      </c>
      <c r="S119" s="431">
        <f t="shared" si="323"/>
        <v>1397</v>
      </c>
      <c r="T119" s="431">
        <f t="shared" si="323"/>
        <v>1485</v>
      </c>
      <c r="U119" s="431">
        <f t="shared" si="323"/>
        <v>1425</v>
      </c>
      <c r="V119" s="431">
        <f t="shared" si="323"/>
        <v>1808</v>
      </c>
      <c r="W119" s="431">
        <f t="shared" si="323"/>
        <v>1709</v>
      </c>
      <c r="X119" s="431">
        <f t="shared" si="323"/>
        <v>1815</v>
      </c>
      <c r="Y119" s="431">
        <f t="shared" ref="Y119:Z119" si="324">Y155+Y281+Y359</f>
        <v>1762</v>
      </c>
      <c r="Z119" s="431">
        <f t="shared" si="324"/>
        <v>2213</v>
      </c>
      <c r="AA119" s="431">
        <f t="shared" ref="AA119:AB119" si="325">AA155+AA281+AA359</f>
        <v>1851</v>
      </c>
      <c r="AB119" s="431">
        <f t="shared" si="325"/>
        <v>1905</v>
      </c>
      <c r="AC119" s="431">
        <f t="shared" si="323"/>
        <v>1976.3290670410961</v>
      </c>
      <c r="AD119" s="431">
        <f t="shared" si="323"/>
        <v>2073.2323909670058</v>
      </c>
      <c r="AE119" s="431">
        <f t="shared" si="323"/>
        <v>2158.5437777031289</v>
      </c>
      <c r="AF119" s="431">
        <f t="shared" ref="AF119:AI119" si="326">AF155+AF281+AF359</f>
        <v>2113.5765025433739</v>
      </c>
      <c r="AG119" s="431">
        <f t="shared" si="326"/>
        <v>2176.2687343571661</v>
      </c>
      <c r="AH119" s="431">
        <f t="shared" si="326"/>
        <v>2316.0754854818306</v>
      </c>
      <c r="AI119" s="431">
        <f t="shared" si="326"/>
        <v>2425.4247760319163</v>
      </c>
      <c r="AJ119" s="431"/>
      <c r="AK119" s="431"/>
      <c r="AL119" s="431"/>
      <c r="AM119" s="431"/>
      <c r="AN119" s="431"/>
      <c r="AO119" s="431"/>
      <c r="AP119" s="431"/>
      <c r="AQ119" s="431"/>
      <c r="AS119" s="322" t="s">
        <v>190</v>
      </c>
      <c r="AT119" s="387"/>
      <c r="AU119" s="232">
        <f>SUM(D119:G119)</f>
        <v>5397</v>
      </c>
      <c r="AV119" s="232">
        <f>SUM(H119:K119)</f>
        <v>6107</v>
      </c>
      <c r="AW119" s="232">
        <f>SUM(L119:O119)</f>
        <v>5511</v>
      </c>
      <c r="AX119" s="232">
        <f>SUM(P119:S119)</f>
        <v>5469</v>
      </c>
      <c r="AY119" s="232">
        <f>SUM(T119:W119)</f>
        <v>6427</v>
      </c>
      <c r="AZ119" s="232">
        <f>SUM(X119:AA119)</f>
        <v>7641</v>
      </c>
      <c r="BA119" s="232">
        <f>SUM(AB119:AE119)</f>
        <v>8113.1052357112312</v>
      </c>
      <c r="BB119" s="232">
        <f>SUM(AF119:AI119)</f>
        <v>9031.3454984142863</v>
      </c>
      <c r="BC119" s="431">
        <f t="shared" ref="BC119:BD120" si="327">BC155+BC281+BC359</f>
        <v>10112.742731167547</v>
      </c>
      <c r="BD119" s="431">
        <f t="shared" si="327"/>
        <v>11198.233355476939</v>
      </c>
      <c r="BE119" s="431">
        <f t="shared" ref="BE119" si="328">BE155+BE281+BE359</f>
        <v>12423.229162628211</v>
      </c>
      <c r="BM119"/>
      <c r="BN119"/>
      <c r="BO119"/>
      <c r="BP119"/>
      <c r="BQ119"/>
      <c r="BR119"/>
    </row>
    <row r="120" spans="2:70" s="70" customFormat="1" x14ac:dyDescent="0.2">
      <c r="B120" s="322"/>
      <c r="C120" s="322" t="s">
        <v>193</v>
      </c>
      <c r="D120" s="431">
        <f t="shared" ref="D120:AE120" si="329">D156+D282+D360</f>
        <v>2037</v>
      </c>
      <c r="E120" s="431">
        <f t="shared" si="329"/>
        <v>1882</v>
      </c>
      <c r="F120" s="431">
        <f t="shared" si="329"/>
        <v>1786</v>
      </c>
      <c r="G120" s="431">
        <f t="shared" si="329"/>
        <v>1767</v>
      </c>
      <c r="H120" s="431">
        <f t="shared" si="329"/>
        <v>1749</v>
      </c>
      <c r="I120" s="431">
        <f t="shared" si="329"/>
        <v>1660</v>
      </c>
      <c r="J120" s="431">
        <f t="shared" si="329"/>
        <v>1570</v>
      </c>
      <c r="K120" s="431">
        <f t="shared" si="329"/>
        <v>1623</v>
      </c>
      <c r="L120" s="431">
        <f t="shared" si="329"/>
        <v>1644</v>
      </c>
      <c r="M120" s="431">
        <f t="shared" si="329"/>
        <v>1651</v>
      </c>
      <c r="N120" s="431">
        <f t="shared" si="329"/>
        <v>1596</v>
      </c>
      <c r="O120" s="431">
        <f t="shared" si="329"/>
        <v>1625</v>
      </c>
      <c r="P120" s="431">
        <f t="shared" si="329"/>
        <v>1490</v>
      </c>
      <c r="Q120" s="431">
        <f t="shared" si="329"/>
        <v>1504</v>
      </c>
      <c r="R120" s="431">
        <f t="shared" si="329"/>
        <v>1353</v>
      </c>
      <c r="S120" s="431">
        <f t="shared" si="329"/>
        <v>1405</v>
      </c>
      <c r="T120" s="431">
        <f t="shared" si="329"/>
        <v>1371</v>
      </c>
      <c r="U120" s="431">
        <f t="shared" si="329"/>
        <v>1374</v>
      </c>
      <c r="V120" s="431">
        <f t="shared" si="329"/>
        <v>1349</v>
      </c>
      <c r="W120" s="431">
        <f t="shared" si="329"/>
        <v>1516</v>
      </c>
      <c r="X120" s="431">
        <f t="shared" si="329"/>
        <v>1603</v>
      </c>
      <c r="Y120" s="431">
        <f t="shared" ref="Y120:Z120" si="330">Y156+Y282+Y360</f>
        <v>1615</v>
      </c>
      <c r="Z120" s="431">
        <f t="shared" si="330"/>
        <v>1704</v>
      </c>
      <c r="AA120" s="431">
        <f t="shared" ref="AA120:AB120" si="331">AA156+AA282+AA360</f>
        <v>1640</v>
      </c>
      <c r="AB120" s="431">
        <f t="shared" si="331"/>
        <v>1736</v>
      </c>
      <c r="AC120" s="431">
        <f t="shared" si="329"/>
        <v>1799.5945838356165</v>
      </c>
      <c r="AD120" s="431">
        <f t="shared" si="329"/>
        <v>1887.6612557010137</v>
      </c>
      <c r="AE120" s="431">
        <f t="shared" si="329"/>
        <v>1956.5667246606577</v>
      </c>
      <c r="AF120" s="431">
        <f t="shared" ref="AF120:AI120" si="332">AF156+AF282+AF360</f>
        <v>1930.1760649005291</v>
      </c>
      <c r="AG120" s="431">
        <f t="shared" si="332"/>
        <v>1978.4261221428778</v>
      </c>
      <c r="AH120" s="431">
        <f t="shared" si="332"/>
        <v>2105.5231686198458</v>
      </c>
      <c r="AI120" s="431">
        <f t="shared" si="332"/>
        <v>2204.9316145744688</v>
      </c>
      <c r="AJ120" s="431"/>
      <c r="AK120" s="431"/>
      <c r="AL120" s="431"/>
      <c r="AM120" s="431"/>
      <c r="AN120" s="431"/>
      <c r="AO120" s="431"/>
      <c r="AP120" s="431"/>
      <c r="AQ120" s="431"/>
      <c r="AS120" s="322"/>
      <c r="AT120" s="322" t="s">
        <v>193</v>
      </c>
      <c r="AU120" s="232">
        <f>SUM(D120:G120)</f>
        <v>7472</v>
      </c>
      <c r="AV120" s="232">
        <f>SUM(H120:K120)</f>
        <v>6602</v>
      </c>
      <c r="AW120" s="232">
        <f>SUM(L120:O120)</f>
        <v>6516</v>
      </c>
      <c r="AX120" s="232">
        <f>SUM(P120:S120)</f>
        <v>5752</v>
      </c>
      <c r="AY120" s="232">
        <f>SUM(T120:W120)</f>
        <v>5610</v>
      </c>
      <c r="AZ120" s="232">
        <f>SUM(X120:AA120)</f>
        <v>6562</v>
      </c>
      <c r="BA120" s="232">
        <f>SUM(AB120:AE120)</f>
        <v>7379.8225641972876</v>
      </c>
      <c r="BB120" s="232">
        <f>SUM(AF120:AI120)</f>
        <v>8219.0569702377215</v>
      </c>
      <c r="BC120" s="431">
        <f t="shared" si="327"/>
        <v>9193.4024828795882</v>
      </c>
      <c r="BD120" s="431">
        <f t="shared" si="327"/>
        <v>10180.21214134267</v>
      </c>
      <c r="BE120" s="431">
        <f t="shared" ref="BE120" si="333">BE156+BE282+BE360</f>
        <v>11293.844693298372</v>
      </c>
      <c r="BM120"/>
      <c r="BN120"/>
      <c r="BO120"/>
      <c r="BP120"/>
      <c r="BQ120"/>
      <c r="BR120"/>
    </row>
    <row r="121" spans="2:70" s="70" customFormat="1" x14ac:dyDescent="0.2">
      <c r="B121" s="322"/>
      <c r="C121" s="322" t="s">
        <v>192</v>
      </c>
      <c r="D121" s="431">
        <f t="shared" ref="D121:AE121" si="334">D119-D120</f>
        <v>-759</v>
      </c>
      <c r="E121" s="431">
        <f t="shared" si="334"/>
        <v>-731</v>
      </c>
      <c r="F121" s="431">
        <f t="shared" si="334"/>
        <v>-458</v>
      </c>
      <c r="G121" s="431">
        <f t="shared" si="334"/>
        <v>-127</v>
      </c>
      <c r="H121" s="431">
        <f t="shared" si="334"/>
        <v>-285</v>
      </c>
      <c r="I121" s="431">
        <f t="shared" si="334"/>
        <v>-200</v>
      </c>
      <c r="J121" s="431">
        <f t="shared" si="334"/>
        <v>-34</v>
      </c>
      <c r="K121" s="431">
        <f t="shared" si="334"/>
        <v>24</v>
      </c>
      <c r="L121" s="431">
        <f t="shared" si="334"/>
        <v>-181</v>
      </c>
      <c r="M121" s="431">
        <f t="shared" si="334"/>
        <v>-283</v>
      </c>
      <c r="N121" s="431">
        <f t="shared" si="334"/>
        <v>-315</v>
      </c>
      <c r="O121" s="431">
        <f t="shared" si="334"/>
        <v>-226</v>
      </c>
      <c r="P121" s="431">
        <f t="shared" si="334"/>
        <v>-122</v>
      </c>
      <c r="Q121" s="431">
        <f t="shared" si="334"/>
        <v>-80</v>
      </c>
      <c r="R121" s="431">
        <f t="shared" si="334"/>
        <v>-73</v>
      </c>
      <c r="S121" s="431">
        <f t="shared" si="334"/>
        <v>-8</v>
      </c>
      <c r="T121" s="431">
        <f t="shared" si="334"/>
        <v>114</v>
      </c>
      <c r="U121" s="431">
        <f t="shared" si="334"/>
        <v>51</v>
      </c>
      <c r="V121" s="431">
        <f t="shared" si="334"/>
        <v>459</v>
      </c>
      <c r="W121" s="431">
        <f t="shared" si="334"/>
        <v>193</v>
      </c>
      <c r="X121" s="431">
        <f t="shared" si="334"/>
        <v>212</v>
      </c>
      <c r="Y121" s="431">
        <f t="shared" ref="Y121:Z121" si="335">Y119-Y120</f>
        <v>147</v>
      </c>
      <c r="Z121" s="431">
        <f t="shared" si="335"/>
        <v>509</v>
      </c>
      <c r="AA121" s="431">
        <f t="shared" ref="AA121:AB121" si="336">AA119-AA120</f>
        <v>211</v>
      </c>
      <c r="AB121" s="431">
        <f t="shared" si="336"/>
        <v>169</v>
      </c>
      <c r="AC121" s="431">
        <f t="shared" si="334"/>
        <v>176.73448320547959</v>
      </c>
      <c r="AD121" s="431">
        <f t="shared" si="334"/>
        <v>185.5711352659921</v>
      </c>
      <c r="AE121" s="431">
        <f t="shared" si="334"/>
        <v>201.9770530424712</v>
      </c>
      <c r="AF121" s="431">
        <f t="shared" ref="AF121:AI121" si="337">AF119-AF120</f>
        <v>183.40043764284474</v>
      </c>
      <c r="AG121" s="431">
        <f t="shared" si="337"/>
        <v>197.84261221428824</v>
      </c>
      <c r="AH121" s="431">
        <f t="shared" si="337"/>
        <v>210.55231686198476</v>
      </c>
      <c r="AI121" s="431">
        <f t="shared" si="337"/>
        <v>220.49316145744751</v>
      </c>
      <c r="AJ121" s="431"/>
      <c r="AK121" s="431"/>
      <c r="AL121" s="431"/>
      <c r="AM121" s="431"/>
      <c r="AN121" s="431"/>
      <c r="AO121" s="431"/>
      <c r="AP121" s="431"/>
      <c r="AQ121" s="431"/>
      <c r="AS121" s="322"/>
      <c r="AT121" s="322" t="s">
        <v>192</v>
      </c>
      <c r="AU121" s="232">
        <f>SUM(D121:G121)</f>
        <v>-2075</v>
      </c>
      <c r="AV121" s="232">
        <f>SUM(H121:K121)</f>
        <v>-495</v>
      </c>
      <c r="AW121" s="232">
        <f>SUM(L121:O121)</f>
        <v>-1005</v>
      </c>
      <c r="AX121" s="232">
        <f>SUM(P121:S121)</f>
        <v>-283</v>
      </c>
      <c r="AY121" s="232">
        <f>SUM(T121:W121)</f>
        <v>817</v>
      </c>
      <c r="AZ121" s="232">
        <f>SUM(X121:AA121)</f>
        <v>1079</v>
      </c>
      <c r="BA121" s="232">
        <f>SUM(AB121:AE121)</f>
        <v>733.28267151394289</v>
      </c>
      <c r="BB121" s="232">
        <f>SUM(AF121:AI121)</f>
        <v>812.28852817656525</v>
      </c>
      <c r="BC121" s="431">
        <f>BC119-BC120</f>
        <v>919.34024828795918</v>
      </c>
      <c r="BD121" s="431">
        <f>BD119-BD120</f>
        <v>1018.021214134269</v>
      </c>
      <c r="BE121" s="431">
        <f>BE119-BE120</f>
        <v>1129.3844693298397</v>
      </c>
      <c r="BM121"/>
      <c r="BN121"/>
      <c r="BO121"/>
      <c r="BP121"/>
      <c r="BQ121"/>
      <c r="BR121"/>
    </row>
    <row r="122" spans="2:70" s="70" customFormat="1" x14ac:dyDescent="0.2">
      <c r="B122" s="322"/>
      <c r="C122" s="322"/>
      <c r="D122" s="387"/>
      <c r="E122" s="15"/>
      <c r="F122" s="15"/>
      <c r="G122" s="15"/>
      <c r="H122" s="15"/>
      <c r="I122" s="15"/>
      <c r="J122" s="15"/>
      <c r="K122" s="15"/>
      <c r="L122" s="15"/>
      <c r="M122" s="15"/>
      <c r="N122" s="15"/>
      <c r="O122" s="15"/>
      <c r="P122" s="15"/>
      <c r="Q122" s="15"/>
      <c r="R122" s="15"/>
      <c r="S122" s="15"/>
      <c r="T122" s="15"/>
      <c r="U122" s="15"/>
      <c r="V122" s="15"/>
      <c r="W122" s="15"/>
      <c r="X122" s="15"/>
      <c r="Y122" s="15"/>
      <c r="Z122" s="15"/>
      <c r="AA122" s="15"/>
      <c r="AB122" s="15"/>
      <c r="AC122" s="15"/>
      <c r="AD122" s="15"/>
      <c r="AE122" s="15"/>
      <c r="AF122" s="15"/>
      <c r="AG122" s="15"/>
      <c r="AH122" s="15"/>
      <c r="AI122" s="15"/>
      <c r="AJ122" s="15"/>
      <c r="AK122" s="15"/>
      <c r="AL122" s="15"/>
      <c r="AM122" s="15"/>
      <c r="AN122" s="15"/>
      <c r="AO122" s="15"/>
      <c r="AP122" s="15"/>
      <c r="AQ122" s="15"/>
      <c r="AS122" s="322"/>
      <c r="AT122" s="322"/>
      <c r="BC122" s="15"/>
      <c r="BD122" s="15"/>
      <c r="BE122" s="15"/>
      <c r="BM122"/>
      <c r="BN122"/>
      <c r="BO122"/>
      <c r="BP122"/>
      <c r="BQ122"/>
      <c r="BR122"/>
    </row>
    <row r="123" spans="2:70" s="70" customFormat="1" x14ac:dyDescent="0.2">
      <c r="B123" s="322" t="s">
        <v>89</v>
      </c>
      <c r="C123" s="387"/>
      <c r="D123" s="431">
        <f t="shared" ref="D123:AE123" si="338">D159+D285+D363</f>
        <v>2966</v>
      </c>
      <c r="E123" s="431">
        <f t="shared" si="338"/>
        <v>2823</v>
      </c>
      <c r="F123" s="431">
        <f t="shared" si="338"/>
        <v>2944</v>
      </c>
      <c r="G123" s="431">
        <f t="shared" si="338"/>
        <v>2270</v>
      </c>
      <c r="H123" s="431">
        <f t="shared" si="338"/>
        <v>2692</v>
      </c>
      <c r="I123" s="431">
        <f t="shared" si="338"/>
        <v>2699</v>
      </c>
      <c r="J123" s="431">
        <f t="shared" si="338"/>
        <v>2248</v>
      </c>
      <c r="K123" s="431">
        <f t="shared" si="338"/>
        <v>2233</v>
      </c>
      <c r="L123" s="431">
        <f t="shared" si="338"/>
        <v>2349</v>
      </c>
      <c r="M123" s="431">
        <f t="shared" si="338"/>
        <v>2307</v>
      </c>
      <c r="N123" s="431">
        <f t="shared" si="338"/>
        <v>2850</v>
      </c>
      <c r="O123" s="431">
        <f t="shared" si="338"/>
        <v>2566</v>
      </c>
      <c r="P123" s="431">
        <f t="shared" si="338"/>
        <v>2570</v>
      </c>
      <c r="Q123" s="431">
        <f t="shared" si="338"/>
        <v>2370</v>
      </c>
      <c r="R123" s="431">
        <f t="shared" si="338"/>
        <v>2566</v>
      </c>
      <c r="S123" s="431">
        <f t="shared" si="338"/>
        <v>2077</v>
      </c>
      <c r="T123" s="431">
        <f t="shared" si="338"/>
        <v>1828</v>
      </c>
      <c r="U123" s="431">
        <f t="shared" si="338"/>
        <v>1952</v>
      </c>
      <c r="V123" s="431">
        <f t="shared" si="338"/>
        <v>1927</v>
      </c>
      <c r="W123" s="431">
        <f t="shared" si="338"/>
        <v>1902</v>
      </c>
      <c r="X123" s="431">
        <f t="shared" si="338"/>
        <v>1580</v>
      </c>
      <c r="Y123" s="431">
        <f t="shared" ref="Y123:Z123" si="339">Y159+Y285+Y363</f>
        <v>1774</v>
      </c>
      <c r="Z123" s="431">
        <f t="shared" si="339"/>
        <v>1805</v>
      </c>
      <c r="AA123" s="431">
        <f t="shared" ref="AA123:AB123" si="340">AA159+AA285+AA363</f>
        <v>2035</v>
      </c>
      <c r="AB123" s="431">
        <f t="shared" si="340"/>
        <v>1847</v>
      </c>
      <c r="AC123" s="431">
        <f t="shared" si="338"/>
        <v>1885.6574198219173</v>
      </c>
      <c r="AD123" s="431">
        <f t="shared" si="338"/>
        <v>1974.7020690256529</v>
      </c>
      <c r="AE123" s="431">
        <f t="shared" si="338"/>
        <v>1930.3073958827526</v>
      </c>
      <c r="AF123" s="431">
        <f t="shared" ref="AF123:AI123" si="341">AF159+AF285+AF363</f>
        <v>1958.8586835319275</v>
      </c>
      <c r="AG123" s="431">
        <f t="shared" si="341"/>
        <v>2017.4661082815692</v>
      </c>
      <c r="AH123" s="431">
        <f t="shared" si="341"/>
        <v>2073.9023414406392</v>
      </c>
      <c r="AI123" s="431">
        <f t="shared" si="341"/>
        <v>2009.2136688582132</v>
      </c>
      <c r="AJ123" s="431"/>
      <c r="AK123" s="431"/>
      <c r="AL123" s="431"/>
      <c r="AM123" s="431"/>
      <c r="AN123" s="431"/>
      <c r="AO123" s="431"/>
      <c r="AP123" s="431"/>
      <c r="AQ123" s="431"/>
      <c r="AS123" s="322" t="s">
        <v>89</v>
      </c>
      <c r="AT123" s="387"/>
      <c r="AU123" s="232">
        <f>SUM(D123:G123)</f>
        <v>11003</v>
      </c>
      <c r="AV123" s="232">
        <f>SUM(H123:K123)</f>
        <v>9872</v>
      </c>
      <c r="AW123" s="232">
        <f>SUM(L123:O123)</f>
        <v>10072</v>
      </c>
      <c r="AX123" s="232">
        <f>SUM(P123:S123)</f>
        <v>9583</v>
      </c>
      <c r="AY123" s="232">
        <f>SUM(T123:W123)</f>
        <v>7609</v>
      </c>
      <c r="AZ123" s="232">
        <f>SUM(X123:AA123)</f>
        <v>7194</v>
      </c>
      <c r="BA123" s="232">
        <f>SUM(AB123:AE123)</f>
        <v>7637.6668847303226</v>
      </c>
      <c r="BB123" s="232">
        <f>SUM(AF123:AI123)</f>
        <v>8059.440802112349</v>
      </c>
      <c r="BC123" s="431">
        <f t="shared" ref="BC123:BD124" si="342">BC159+BC285+BC363</f>
        <v>8331.4435158798278</v>
      </c>
      <c r="BD123" s="431">
        <f t="shared" si="342"/>
        <v>8516.7413565137977</v>
      </c>
      <c r="BE123" s="431">
        <f t="shared" ref="BE123" si="343">BE159+BE285+BE363</f>
        <v>8098.7475990115599</v>
      </c>
      <c r="BM123"/>
      <c r="BN123"/>
      <c r="BO123"/>
      <c r="BP123"/>
      <c r="BQ123"/>
      <c r="BR123"/>
    </row>
    <row r="124" spans="2:70" s="70" customFormat="1" x14ac:dyDescent="0.2">
      <c r="B124" s="15"/>
      <c r="C124" s="322" t="s">
        <v>90</v>
      </c>
      <c r="D124" s="431">
        <f t="shared" ref="D124:AE124" si="344">D160+D286+D364</f>
        <v>938</v>
      </c>
      <c r="E124" s="431">
        <f t="shared" si="344"/>
        <v>972</v>
      </c>
      <c r="F124" s="431">
        <f t="shared" si="344"/>
        <v>977</v>
      </c>
      <c r="G124" s="431">
        <f t="shared" si="344"/>
        <v>614</v>
      </c>
      <c r="H124" s="431">
        <f t="shared" si="344"/>
        <v>921</v>
      </c>
      <c r="I124" s="431">
        <f t="shared" si="344"/>
        <v>946</v>
      </c>
      <c r="J124" s="431">
        <f t="shared" si="344"/>
        <v>783</v>
      </c>
      <c r="K124" s="431">
        <f t="shared" si="344"/>
        <v>740</v>
      </c>
      <c r="L124" s="431">
        <f t="shared" si="344"/>
        <v>734</v>
      </c>
      <c r="M124" s="431">
        <f t="shared" si="344"/>
        <v>797</v>
      </c>
      <c r="N124" s="431">
        <f t="shared" si="344"/>
        <v>991</v>
      </c>
      <c r="O124" s="431">
        <f t="shared" si="344"/>
        <v>883</v>
      </c>
      <c r="P124" s="431">
        <f t="shared" si="344"/>
        <v>903</v>
      </c>
      <c r="Q124" s="431">
        <f t="shared" si="344"/>
        <v>795</v>
      </c>
      <c r="R124" s="431">
        <f t="shared" si="344"/>
        <v>914</v>
      </c>
      <c r="S124" s="431">
        <f t="shared" si="344"/>
        <v>757</v>
      </c>
      <c r="T124" s="431">
        <f t="shared" si="344"/>
        <v>634</v>
      </c>
      <c r="U124" s="431">
        <f t="shared" si="344"/>
        <v>667</v>
      </c>
      <c r="V124" s="431">
        <f t="shared" si="344"/>
        <v>677</v>
      </c>
      <c r="W124" s="431">
        <f t="shared" si="344"/>
        <v>677</v>
      </c>
      <c r="X124" s="431">
        <f t="shared" si="344"/>
        <v>582</v>
      </c>
      <c r="Y124" s="431">
        <f t="shared" ref="Y124:Z124" si="345">Y160+Y286+Y364</f>
        <v>646</v>
      </c>
      <c r="Z124" s="431">
        <f t="shared" si="345"/>
        <v>635</v>
      </c>
      <c r="AA124" s="431">
        <f t="shared" ref="AA124:AB124" si="346">AA160+AA286+AA364</f>
        <v>1453</v>
      </c>
      <c r="AB124" s="431">
        <f t="shared" si="346"/>
        <v>453</v>
      </c>
      <c r="AC124" s="431">
        <f t="shared" si="344"/>
        <v>471.41435495547933</v>
      </c>
      <c r="AD124" s="431">
        <f t="shared" si="344"/>
        <v>493.67551725641323</v>
      </c>
      <c r="AE124" s="431">
        <f t="shared" si="344"/>
        <v>482.57684897068816</v>
      </c>
      <c r="AF124" s="431">
        <f t="shared" ref="AF124:AI124" si="347">AF160+AF286+AF364</f>
        <v>470.12608404766263</v>
      </c>
      <c r="AG124" s="431">
        <f t="shared" si="347"/>
        <v>484.19186598757659</v>
      </c>
      <c r="AH124" s="431">
        <f t="shared" si="347"/>
        <v>497.73656194575341</v>
      </c>
      <c r="AI124" s="431">
        <f t="shared" si="347"/>
        <v>482.21128052597123</v>
      </c>
      <c r="AJ124" s="431"/>
      <c r="AK124" s="431"/>
      <c r="AL124" s="431"/>
      <c r="AM124" s="431"/>
      <c r="AN124" s="431"/>
      <c r="AO124" s="431"/>
      <c r="AP124" s="431"/>
      <c r="AQ124" s="431"/>
      <c r="AS124" s="15"/>
      <c r="AT124" s="322" t="s">
        <v>90</v>
      </c>
      <c r="AU124" s="232">
        <f>SUM(D124:G124)</f>
        <v>3501</v>
      </c>
      <c r="AV124" s="232">
        <f>SUM(H124:K124)</f>
        <v>3390</v>
      </c>
      <c r="AW124" s="232">
        <f>SUM(L124:O124)</f>
        <v>3405</v>
      </c>
      <c r="AX124" s="232">
        <f>SUM(P124:S124)</f>
        <v>3369</v>
      </c>
      <c r="AY124" s="232">
        <f>SUM(T124:W124)</f>
        <v>2655</v>
      </c>
      <c r="AZ124" s="232">
        <f>SUM(X124:AA124)</f>
        <v>3316</v>
      </c>
      <c r="BA124" s="232">
        <f>SUM(AB124:AE124)</f>
        <v>1900.6667211825807</v>
      </c>
      <c r="BB124" s="232">
        <f>SUM(AF124:AI124)</f>
        <v>1934.2657925069639</v>
      </c>
      <c r="BC124" s="431">
        <f t="shared" si="342"/>
        <v>1999.5464438111585</v>
      </c>
      <c r="BD124" s="431">
        <f t="shared" si="342"/>
        <v>2044.0179255633113</v>
      </c>
      <c r="BE124" s="431">
        <f t="shared" ref="BE124" si="348">BE160+BE286+BE364</f>
        <v>1943.6994237627746</v>
      </c>
      <c r="BM124"/>
      <c r="BN124"/>
      <c r="BO124"/>
      <c r="BP124"/>
      <c r="BQ124"/>
      <c r="BR124"/>
    </row>
    <row r="125" spans="2:70" s="70" customFormat="1" x14ac:dyDescent="0.2">
      <c r="B125" s="322"/>
      <c r="C125" s="434" t="s">
        <v>191</v>
      </c>
      <c r="D125" s="435">
        <f t="shared" ref="D125:AE125" si="349">D124/D123</f>
        <v>0.31625084288604183</v>
      </c>
      <c r="E125" s="435">
        <f t="shared" si="349"/>
        <v>0.34431455897980873</v>
      </c>
      <c r="F125" s="435">
        <f t="shared" si="349"/>
        <v>0.33186141304347827</v>
      </c>
      <c r="G125" s="435">
        <f t="shared" si="349"/>
        <v>0.27048458149779736</v>
      </c>
      <c r="H125" s="435">
        <f t="shared" si="349"/>
        <v>0.34212481426448738</v>
      </c>
      <c r="I125" s="435">
        <f t="shared" si="349"/>
        <v>0.35050018525379772</v>
      </c>
      <c r="J125" s="435">
        <f t="shared" si="349"/>
        <v>0.34830960854092524</v>
      </c>
      <c r="K125" s="435">
        <f t="shared" si="349"/>
        <v>0.33139274518584866</v>
      </c>
      <c r="L125" s="435">
        <f t="shared" si="349"/>
        <v>0.31247339293316306</v>
      </c>
      <c r="M125" s="435">
        <f t="shared" si="349"/>
        <v>0.34547030775899434</v>
      </c>
      <c r="N125" s="435">
        <f t="shared" si="349"/>
        <v>0.34771929824561404</v>
      </c>
      <c r="O125" s="435">
        <f t="shared" si="349"/>
        <v>0.3441153546375682</v>
      </c>
      <c r="P125" s="435">
        <f t="shared" si="349"/>
        <v>0.35136186770428013</v>
      </c>
      <c r="Q125" s="435">
        <f t="shared" si="349"/>
        <v>0.33544303797468356</v>
      </c>
      <c r="R125" s="435">
        <f t="shared" si="349"/>
        <v>0.35619641465315666</v>
      </c>
      <c r="S125" s="435">
        <f t="shared" si="349"/>
        <v>0.36446798266730862</v>
      </c>
      <c r="T125" s="435">
        <f t="shared" si="349"/>
        <v>0.34682713347921224</v>
      </c>
      <c r="U125" s="435">
        <f t="shared" si="349"/>
        <v>0.34170081967213117</v>
      </c>
      <c r="V125" s="435">
        <f t="shared" si="349"/>
        <v>0.35132330046704724</v>
      </c>
      <c r="W125" s="435">
        <f t="shared" si="349"/>
        <v>0.35594111461619349</v>
      </c>
      <c r="X125" s="435">
        <f t="shared" si="349"/>
        <v>0.36835443037974686</v>
      </c>
      <c r="Y125" s="435">
        <f t="shared" ref="Y125:Z125" si="350">Y124/Y123</f>
        <v>0.3641488162344983</v>
      </c>
      <c r="Z125" s="435">
        <f t="shared" si="350"/>
        <v>0.35180055401662053</v>
      </c>
      <c r="AA125" s="435">
        <f t="shared" ref="AA125:AB125" si="351">AA124/AA123</f>
        <v>0.71400491400491406</v>
      </c>
      <c r="AB125" s="435">
        <f t="shared" si="351"/>
        <v>0.24526258798050893</v>
      </c>
      <c r="AC125" s="435">
        <f t="shared" si="349"/>
        <v>0.25</v>
      </c>
      <c r="AD125" s="435">
        <f t="shared" si="349"/>
        <v>0.25</v>
      </c>
      <c r="AE125" s="435">
        <f t="shared" si="349"/>
        <v>0.25</v>
      </c>
      <c r="AF125" s="435">
        <f t="shared" ref="AF125:AI125" si="352">AF124/AF123</f>
        <v>0.24000000000000002</v>
      </c>
      <c r="AG125" s="435">
        <f t="shared" si="352"/>
        <v>0.24</v>
      </c>
      <c r="AH125" s="435">
        <f t="shared" si="352"/>
        <v>0.24</v>
      </c>
      <c r="AI125" s="435">
        <f t="shared" si="352"/>
        <v>0.24000000000000005</v>
      </c>
      <c r="AJ125" s="435"/>
      <c r="AK125" s="435"/>
      <c r="AL125" s="435"/>
      <c r="AM125" s="435"/>
      <c r="AN125" s="435"/>
      <c r="AO125" s="435"/>
      <c r="AP125" s="435"/>
      <c r="AQ125" s="435"/>
      <c r="AS125" s="322"/>
      <c r="AT125" s="434" t="s">
        <v>191</v>
      </c>
      <c r="AU125" s="435">
        <f t="shared" ref="AU125:BD125" si="353">AU124/AU123</f>
        <v>0.31818594928655819</v>
      </c>
      <c r="AV125" s="435">
        <f t="shared" si="353"/>
        <v>0.34339546191247972</v>
      </c>
      <c r="AW125" s="435">
        <f t="shared" si="353"/>
        <v>0.33806592533756952</v>
      </c>
      <c r="AX125" s="435">
        <f t="shared" si="353"/>
        <v>0.35156005426275694</v>
      </c>
      <c r="AY125" s="435">
        <f t="shared" si="353"/>
        <v>0.34892889998685767</v>
      </c>
      <c r="AZ125" s="435">
        <f t="shared" si="353"/>
        <v>0.46093967194884627</v>
      </c>
      <c r="BA125" s="435">
        <f t="shared" si="353"/>
        <v>0.24885436218519905</v>
      </c>
      <c r="BB125" s="435">
        <f t="shared" ref="BB125" si="354">BB124/BB123</f>
        <v>0.24000000000000002</v>
      </c>
      <c r="BC125" s="435">
        <f t="shared" si="353"/>
        <v>0.24</v>
      </c>
      <c r="BD125" s="435">
        <f t="shared" si="353"/>
        <v>0.24</v>
      </c>
      <c r="BE125" s="435">
        <f t="shared" ref="BE125" si="355">BE124/BE123</f>
        <v>0.24000000000000002</v>
      </c>
      <c r="BM125"/>
      <c r="BN125"/>
      <c r="BO125"/>
      <c r="BP125"/>
      <c r="BQ125"/>
      <c r="BR125"/>
    </row>
    <row r="126" spans="2:70" s="70" customFormat="1" x14ac:dyDescent="0.2">
      <c r="B126" s="316" t="s">
        <v>80</v>
      </c>
      <c r="C126" s="427"/>
      <c r="D126" s="436">
        <f t="shared" ref="D126:AE126" si="356">D162+D288+D366</f>
        <v>2028</v>
      </c>
      <c r="E126" s="436">
        <f t="shared" si="356"/>
        <v>1851</v>
      </c>
      <c r="F126" s="436">
        <f t="shared" si="356"/>
        <v>1967</v>
      </c>
      <c r="G126" s="436">
        <f t="shared" si="356"/>
        <v>1656</v>
      </c>
      <c r="H126" s="436">
        <f t="shared" si="356"/>
        <v>1771</v>
      </c>
      <c r="I126" s="436">
        <f t="shared" si="356"/>
        <v>1753</v>
      </c>
      <c r="J126" s="436">
        <f t="shared" si="356"/>
        <v>1465</v>
      </c>
      <c r="K126" s="436">
        <f t="shared" si="356"/>
        <v>1493</v>
      </c>
      <c r="L126" s="436">
        <f t="shared" si="356"/>
        <v>1615</v>
      </c>
      <c r="M126" s="436">
        <f t="shared" si="356"/>
        <v>1510</v>
      </c>
      <c r="N126" s="436">
        <f t="shared" si="356"/>
        <v>1859</v>
      </c>
      <c r="O126" s="436">
        <f t="shared" si="356"/>
        <v>1683</v>
      </c>
      <c r="P126" s="436">
        <f t="shared" si="356"/>
        <v>1667</v>
      </c>
      <c r="Q126" s="436">
        <f t="shared" si="356"/>
        <v>1575</v>
      </c>
      <c r="R126" s="436">
        <f t="shared" si="356"/>
        <v>1652</v>
      </c>
      <c r="S126" s="436">
        <f t="shared" si="356"/>
        <v>1320</v>
      </c>
      <c r="T126" s="436">
        <f t="shared" si="356"/>
        <v>1194</v>
      </c>
      <c r="U126" s="436">
        <f t="shared" si="356"/>
        <v>1285</v>
      </c>
      <c r="V126" s="436">
        <f t="shared" si="356"/>
        <v>1250</v>
      </c>
      <c r="W126" s="436">
        <f t="shared" si="356"/>
        <v>1225</v>
      </c>
      <c r="X126" s="436">
        <f t="shared" si="356"/>
        <v>998</v>
      </c>
      <c r="Y126" s="436">
        <f t="shared" ref="Y126:Z126" si="357">Y162+Y288+Y366</f>
        <v>1128</v>
      </c>
      <c r="Z126" s="436">
        <f t="shared" si="357"/>
        <v>1170</v>
      </c>
      <c r="AA126" s="436">
        <f t="shared" ref="AA126:AB126" si="358">AA162+AA288+AA366</f>
        <v>582</v>
      </c>
      <c r="AB126" s="436">
        <f t="shared" si="358"/>
        <v>1394</v>
      </c>
      <c r="AC126" s="436">
        <f t="shared" si="356"/>
        <v>1414.2430648664379</v>
      </c>
      <c r="AD126" s="436">
        <f t="shared" si="356"/>
        <v>1481.0265517692396</v>
      </c>
      <c r="AE126" s="436">
        <f t="shared" si="356"/>
        <v>1447.7305469120643</v>
      </c>
      <c r="AF126" s="436">
        <f t="shared" ref="AF126:AI126" si="359">AF162+AF288+AF366</f>
        <v>1488.7325994842649</v>
      </c>
      <c r="AG126" s="436">
        <f t="shared" si="359"/>
        <v>1533.2742422939928</v>
      </c>
      <c r="AH126" s="436">
        <f t="shared" si="359"/>
        <v>1576.1657794948858</v>
      </c>
      <c r="AI126" s="436">
        <f t="shared" si="359"/>
        <v>1527.0023883322422</v>
      </c>
      <c r="AJ126" s="436"/>
      <c r="AK126" s="436"/>
      <c r="AL126" s="436"/>
      <c r="AM126" s="436"/>
      <c r="AN126" s="436"/>
      <c r="AO126" s="436"/>
      <c r="AP126" s="436"/>
      <c r="AQ126" s="436"/>
      <c r="AS126" s="316" t="s">
        <v>80</v>
      </c>
      <c r="AT126" s="427"/>
      <c r="AU126" s="233">
        <f>SUM(D126:G126)</f>
        <v>7502</v>
      </c>
      <c r="AV126" s="233">
        <f>SUM(H126:K126)</f>
        <v>6482</v>
      </c>
      <c r="AW126" s="233">
        <f>SUM(L126:O126)</f>
        <v>6667</v>
      </c>
      <c r="AX126" s="233">
        <f>SUM(P126:S126)</f>
        <v>6214</v>
      </c>
      <c r="AY126" s="233">
        <f>SUM(T126:W126)</f>
        <v>4954</v>
      </c>
      <c r="AZ126" s="233">
        <f>SUM(X126:AA126)</f>
        <v>3878</v>
      </c>
      <c r="BA126" s="233">
        <f>SUM(AB126:AE126)</f>
        <v>5737.000163547742</v>
      </c>
      <c r="BB126" s="233">
        <f>SUM(AF126:AI126)</f>
        <v>6125.1750096053856</v>
      </c>
      <c r="BC126" s="436">
        <f>BC162+BC288+BC366</f>
        <v>6331.8970720686684</v>
      </c>
      <c r="BD126" s="436">
        <f>BD162+BD288+BD366</f>
        <v>6472.7234309504865</v>
      </c>
      <c r="BE126" s="436">
        <f>BE162+BE288+BE366</f>
        <v>6155.0481752487858</v>
      </c>
      <c r="BM126"/>
      <c r="BN126"/>
      <c r="BO126"/>
      <c r="BP126"/>
      <c r="BQ126"/>
      <c r="BR126"/>
    </row>
    <row r="127" spans="2:70" s="70" customFormat="1" x14ac:dyDescent="0.2">
      <c r="B127" s="316"/>
      <c r="C127" s="427"/>
      <c r="D127" s="431"/>
      <c r="E127" s="431"/>
      <c r="F127" s="431"/>
      <c r="G127" s="431"/>
      <c r="H127" s="431"/>
      <c r="I127" s="431"/>
      <c r="J127" s="431"/>
      <c r="K127" s="431"/>
      <c r="L127" s="431"/>
      <c r="M127" s="431"/>
      <c r="N127" s="431"/>
      <c r="O127" s="431"/>
      <c r="P127" s="431"/>
      <c r="Q127" s="431"/>
      <c r="R127" s="431"/>
      <c r="S127" s="431"/>
      <c r="T127" s="431"/>
      <c r="U127" s="431"/>
      <c r="V127" s="431"/>
      <c r="W127" s="431"/>
      <c r="X127" s="431"/>
      <c r="Y127" s="431"/>
      <c r="Z127" s="431"/>
      <c r="AA127" s="431"/>
      <c r="AB127" s="431"/>
      <c r="AC127" s="431"/>
      <c r="AD127" s="431"/>
      <c r="AE127" s="431"/>
      <c r="AF127" s="431"/>
      <c r="AG127" s="431"/>
      <c r="AH127" s="431"/>
      <c r="AI127" s="431"/>
      <c r="AJ127" s="431"/>
      <c r="AK127" s="431"/>
      <c r="AL127" s="431"/>
      <c r="AM127" s="431"/>
      <c r="AN127" s="431"/>
      <c r="AO127" s="431"/>
      <c r="AP127" s="431"/>
      <c r="AQ127" s="431"/>
      <c r="AS127" s="316"/>
      <c r="AT127" s="427"/>
      <c r="BM127"/>
      <c r="BN127"/>
      <c r="BO127"/>
      <c r="BP127"/>
      <c r="BQ127"/>
      <c r="BR127"/>
    </row>
    <row r="128" spans="2:70" s="70" customFormat="1" x14ac:dyDescent="0.2">
      <c r="B128" s="322"/>
      <c r="C128" s="16"/>
      <c r="D128" s="15"/>
      <c r="E128" s="15"/>
      <c r="F128" s="15"/>
      <c r="G128" s="15"/>
      <c r="H128" s="15"/>
      <c r="I128" s="15"/>
      <c r="J128" s="15"/>
      <c r="K128" s="15"/>
      <c r="L128" s="15"/>
      <c r="M128" s="15"/>
      <c r="N128" s="15"/>
      <c r="O128" s="15"/>
      <c r="P128" s="15"/>
      <c r="Q128" s="15"/>
      <c r="R128" s="15"/>
      <c r="S128" s="15"/>
      <c r="T128" s="15"/>
      <c r="U128" s="15"/>
      <c r="V128" s="15"/>
      <c r="W128" s="15"/>
      <c r="X128" s="15"/>
      <c r="Y128" s="15"/>
      <c r="Z128" s="15"/>
      <c r="AA128" s="15"/>
      <c r="AB128" s="15"/>
      <c r="AC128" s="15"/>
      <c r="AD128" s="15"/>
      <c r="AE128" s="15"/>
      <c r="AF128" s="15"/>
      <c r="AG128" s="15"/>
      <c r="AH128" s="15"/>
      <c r="AI128" s="15"/>
      <c r="AJ128" s="15"/>
      <c r="AK128" s="15"/>
      <c r="AL128" s="15"/>
      <c r="AM128" s="15"/>
      <c r="AN128" s="15"/>
      <c r="AO128" s="15"/>
      <c r="AP128" s="15"/>
      <c r="AQ128" s="15"/>
      <c r="AS128" s="322"/>
      <c r="AT128" s="16"/>
      <c r="BM128"/>
      <c r="BN128"/>
      <c r="BO128"/>
      <c r="BP128"/>
      <c r="BQ128"/>
      <c r="BR128"/>
    </row>
    <row r="129" spans="1:70" x14ac:dyDescent="0.2">
      <c r="B129" s="11" t="s">
        <v>633</v>
      </c>
      <c r="C129" s="11"/>
      <c r="D129" s="11"/>
      <c r="E129" s="12"/>
      <c r="F129" s="12"/>
      <c r="G129" s="12"/>
      <c r="H129" s="12"/>
      <c r="I129" s="12"/>
      <c r="J129" s="12"/>
      <c r="K129" s="12"/>
      <c r="L129" s="12"/>
      <c r="M129" s="12"/>
      <c r="N129" s="12"/>
      <c r="O129" s="12"/>
      <c r="P129" s="12"/>
      <c r="Q129" s="12"/>
      <c r="R129" s="12"/>
      <c r="S129" s="12"/>
      <c r="T129" s="12"/>
      <c r="U129" s="12"/>
      <c r="V129" s="12"/>
      <c r="W129" s="12"/>
      <c r="X129" s="12"/>
      <c r="Y129" s="12"/>
      <c r="Z129" s="12"/>
      <c r="AA129" s="12"/>
      <c r="AB129" s="12"/>
      <c r="AC129" s="12"/>
      <c r="AD129" s="12"/>
      <c r="AE129" s="12"/>
      <c r="AF129" s="12"/>
      <c r="AG129" s="12"/>
      <c r="AH129" s="12"/>
      <c r="AI129" s="12"/>
      <c r="AJ129" s="12"/>
      <c r="AK129" s="12"/>
      <c r="AL129" s="12"/>
      <c r="AM129" s="12"/>
      <c r="AN129" s="12"/>
      <c r="AO129" s="12"/>
      <c r="AP129" s="12"/>
      <c r="AQ129" s="12"/>
      <c r="AS129" s="11" t="s">
        <v>176</v>
      </c>
      <c r="AT129" s="11"/>
      <c r="AU129" s="12"/>
      <c r="AV129" s="12"/>
      <c r="AW129" s="12"/>
      <c r="AX129" s="12"/>
      <c r="AY129" s="12"/>
      <c r="AZ129" s="12"/>
      <c r="BA129" s="12"/>
      <c r="BB129" s="12"/>
      <c r="BC129" s="12"/>
      <c r="BD129" s="12"/>
      <c r="BE129" s="12"/>
    </row>
    <row r="130" spans="1:70" x14ac:dyDescent="0.2">
      <c r="B130" s="16" t="s">
        <v>639</v>
      </c>
      <c r="C130" s="16"/>
      <c r="D130" s="15"/>
      <c r="E130" s="15"/>
      <c r="F130" s="15"/>
      <c r="G130" s="15"/>
      <c r="H130" s="15"/>
      <c r="I130" s="15"/>
      <c r="J130" s="15"/>
      <c r="K130" s="15"/>
      <c r="L130" s="15"/>
      <c r="M130" s="15"/>
      <c r="N130" s="15"/>
      <c r="O130" s="15"/>
      <c r="P130" s="15"/>
      <c r="Q130" s="15"/>
      <c r="R130" s="15"/>
      <c r="S130" s="15"/>
      <c r="T130" s="15"/>
      <c r="U130" s="15"/>
      <c r="V130" s="15"/>
      <c r="W130" s="15"/>
      <c r="X130" s="15"/>
      <c r="Y130" s="15"/>
      <c r="Z130" s="15"/>
      <c r="AA130" s="15"/>
      <c r="AB130" s="15"/>
      <c r="AC130" s="15"/>
      <c r="AD130" s="15"/>
      <c r="AE130" s="15"/>
      <c r="AF130" s="15"/>
      <c r="AG130" s="15"/>
      <c r="AH130" s="15"/>
      <c r="AI130" s="15"/>
      <c r="AJ130" s="15"/>
      <c r="AK130" s="15"/>
      <c r="AL130" s="15"/>
      <c r="AM130" s="15"/>
      <c r="AN130" s="15"/>
      <c r="AO130" s="15"/>
      <c r="AP130" s="15"/>
      <c r="AQ130" s="15"/>
      <c r="AS130" s="16" t="s">
        <v>187</v>
      </c>
      <c r="AT130" s="16"/>
    </row>
    <row r="131" spans="1:70" x14ac:dyDescent="0.2">
      <c r="B131" s="17" t="s">
        <v>74</v>
      </c>
      <c r="C131" s="17"/>
      <c r="D131" s="37">
        <f t="shared" ref="D131:AE131" si="360">D432</f>
        <v>3968</v>
      </c>
      <c r="E131" s="37">
        <f t="shared" si="360"/>
        <v>3878</v>
      </c>
      <c r="F131" s="37">
        <f t="shared" si="360"/>
        <v>4074</v>
      </c>
      <c r="G131" s="37">
        <f t="shared" si="360"/>
        <v>4022</v>
      </c>
      <c r="H131" s="37">
        <f t="shared" si="360"/>
        <v>3970</v>
      </c>
      <c r="I131" s="37">
        <f t="shared" si="360"/>
        <v>3984</v>
      </c>
      <c r="J131" s="37">
        <f t="shared" si="360"/>
        <v>3400</v>
      </c>
      <c r="K131" s="37">
        <f t="shared" si="360"/>
        <v>3405</v>
      </c>
      <c r="L131" s="37">
        <f t="shared" si="360"/>
        <v>3466</v>
      </c>
      <c r="M131" s="37">
        <f t="shared" si="360"/>
        <v>3546</v>
      </c>
      <c r="N131" s="37">
        <f t="shared" si="360"/>
        <v>3649</v>
      </c>
      <c r="O131" s="37">
        <f t="shared" si="360"/>
        <v>3630</v>
      </c>
      <c r="P131" s="37">
        <f t="shared" si="360"/>
        <v>3483</v>
      </c>
      <c r="Q131" s="37">
        <f t="shared" si="360"/>
        <v>3483</v>
      </c>
      <c r="R131" s="37">
        <f t="shared" si="360"/>
        <v>3461</v>
      </c>
      <c r="S131" s="37">
        <f t="shared" si="360"/>
        <v>3227</v>
      </c>
      <c r="T131" s="37">
        <f t="shared" si="360"/>
        <v>3187</v>
      </c>
      <c r="U131" s="37">
        <f t="shared" si="360"/>
        <v>3242</v>
      </c>
      <c r="V131" s="37">
        <f t="shared" si="360"/>
        <v>3330</v>
      </c>
      <c r="W131" s="37">
        <f t="shared" si="360"/>
        <v>3157</v>
      </c>
      <c r="X131" s="37">
        <f t="shared" si="360"/>
        <v>3175</v>
      </c>
      <c r="Y131" s="37">
        <f t="shared" ref="Y131:Z131" si="361">Y432</f>
        <v>3328</v>
      </c>
      <c r="Z131" s="37">
        <f t="shared" si="361"/>
        <v>3521</v>
      </c>
      <c r="AA131" s="37">
        <f t="shared" ref="AA131:AB131" si="362">AA432</f>
        <v>3458</v>
      </c>
      <c r="AB131" s="37">
        <f t="shared" si="362"/>
        <v>3471</v>
      </c>
      <c r="AC131" s="37">
        <f t="shared" si="360"/>
        <v>3549.1135380821916</v>
      </c>
      <c r="AD131" s="37">
        <f t="shared" si="360"/>
        <v>3650.157811539726</v>
      </c>
      <c r="AE131" s="37">
        <f t="shared" si="360"/>
        <v>3694.2878178963292</v>
      </c>
      <c r="AF131" s="37">
        <f t="shared" ref="AF131:AI131" si="363">AF432</f>
        <v>3605.9652337116449</v>
      </c>
      <c r="AG131" s="37">
        <f t="shared" si="363"/>
        <v>3705.1893862263155</v>
      </c>
      <c r="AH131" s="37">
        <f t="shared" si="363"/>
        <v>3835.921130442287</v>
      </c>
      <c r="AI131" s="37">
        <f t="shared" si="363"/>
        <v>3877.5277336454633</v>
      </c>
      <c r="AJ131" s="37"/>
      <c r="AK131" s="37"/>
      <c r="AL131" s="37"/>
      <c r="AM131" s="37"/>
      <c r="AN131" s="37"/>
      <c r="AO131" s="37"/>
      <c r="AP131" s="37"/>
      <c r="AQ131" s="37"/>
      <c r="AS131" s="17" t="s">
        <v>74</v>
      </c>
      <c r="AT131" s="17"/>
      <c r="AU131" s="37">
        <f t="shared" ref="AU131:BD131" si="364">AU432</f>
        <v>15942</v>
      </c>
      <c r="AV131" s="37">
        <f t="shared" si="364"/>
        <v>14759</v>
      </c>
      <c r="AW131" s="37">
        <f t="shared" si="364"/>
        <v>14291</v>
      </c>
      <c r="AX131" s="37">
        <f t="shared" si="364"/>
        <v>13654</v>
      </c>
      <c r="AY131" s="37">
        <f t="shared" si="364"/>
        <v>12916</v>
      </c>
      <c r="AZ131" s="37">
        <f t="shared" si="364"/>
        <v>13482</v>
      </c>
      <c r="BA131" s="37">
        <f t="shared" si="364"/>
        <v>14364.559167518248</v>
      </c>
      <c r="BB131" s="37">
        <f t="shared" ref="BB131" si="365">BB432</f>
        <v>15024.603484025711</v>
      </c>
      <c r="BC131" s="37">
        <f t="shared" si="364"/>
        <v>15739.383755890489</v>
      </c>
      <c r="BD131" s="37">
        <f t="shared" si="364"/>
        <v>16511.068872152991</v>
      </c>
      <c r="BE131" s="37">
        <f t="shared" ref="BE131" si="366">BE432</f>
        <v>17308.36833040923</v>
      </c>
    </row>
    <row r="132" spans="1:70" x14ac:dyDescent="0.2">
      <c r="B132" s="17" t="s">
        <v>195</v>
      </c>
      <c r="C132" s="17"/>
      <c r="D132" s="34">
        <f t="shared" ref="D132:AE132" si="367">D166+D292+D370</f>
        <v>3260</v>
      </c>
      <c r="E132" s="34">
        <f t="shared" si="367"/>
        <v>3202</v>
      </c>
      <c r="F132" s="34">
        <f t="shared" si="367"/>
        <v>3325</v>
      </c>
      <c r="G132" s="34">
        <f t="shared" si="367"/>
        <v>3433</v>
      </c>
      <c r="H132" s="34">
        <f t="shared" si="367"/>
        <v>3303</v>
      </c>
      <c r="I132" s="34">
        <f t="shared" si="367"/>
        <v>3296</v>
      </c>
      <c r="J132" s="34">
        <f t="shared" si="367"/>
        <v>3384</v>
      </c>
      <c r="K132" s="34">
        <f t="shared" si="367"/>
        <v>3464</v>
      </c>
      <c r="L132" s="34">
        <f t="shared" si="367"/>
        <v>3275</v>
      </c>
      <c r="M132" s="34">
        <f t="shared" si="367"/>
        <v>3353</v>
      </c>
      <c r="N132" s="34">
        <f t="shared" si="367"/>
        <v>3470</v>
      </c>
      <c r="O132" s="34">
        <f t="shared" si="367"/>
        <v>3396</v>
      </c>
      <c r="P132" s="34">
        <f t="shared" si="367"/>
        <v>3120</v>
      </c>
      <c r="Q132" s="34">
        <f t="shared" si="367"/>
        <v>3064</v>
      </c>
      <c r="R132" s="34">
        <f t="shared" si="367"/>
        <v>2997</v>
      </c>
      <c r="S132" s="34">
        <f t="shared" si="367"/>
        <v>2994</v>
      </c>
      <c r="T132" s="34">
        <f t="shared" si="367"/>
        <v>2847</v>
      </c>
      <c r="U132" s="34">
        <f t="shared" si="367"/>
        <v>2922</v>
      </c>
      <c r="V132" s="34">
        <f t="shared" si="367"/>
        <v>3220</v>
      </c>
      <c r="W132" s="34">
        <f t="shared" si="367"/>
        <v>3227</v>
      </c>
      <c r="X132" s="34">
        <f t="shared" si="367"/>
        <v>3079</v>
      </c>
      <c r="Y132" s="34">
        <f t="shared" ref="Y132:Z132" si="368">Y166+Y292+Y370</f>
        <v>3171</v>
      </c>
      <c r="Z132" s="34">
        <f t="shared" si="368"/>
        <v>3296</v>
      </c>
      <c r="AA132" s="34">
        <f t="shared" ref="AA132:AB132" si="369">AA166+AA292+AA370</f>
        <v>3383</v>
      </c>
      <c r="AB132" s="34">
        <f t="shared" si="369"/>
        <v>3344</v>
      </c>
      <c r="AC132" s="34">
        <f t="shared" si="367"/>
        <v>3190.8605863013699</v>
      </c>
      <c r="AD132" s="34">
        <f t="shared" si="367"/>
        <v>3305.1335080547951</v>
      </c>
      <c r="AE132" s="34">
        <f t="shared" si="367"/>
        <v>3406.4722340515082</v>
      </c>
      <c r="AF132" s="34">
        <f t="shared" ref="AF132:AI132" si="370">AF166+AF292+AF370</f>
        <v>3323.1833784389046</v>
      </c>
      <c r="AG132" s="34">
        <f t="shared" si="370"/>
        <v>3408.2758291991458</v>
      </c>
      <c r="AH132" s="34">
        <f t="shared" si="370"/>
        <v>3501.815199585571</v>
      </c>
      <c r="AI132" s="34">
        <f t="shared" si="370"/>
        <v>3642.5658679878188</v>
      </c>
      <c r="AJ132" s="34"/>
      <c r="AK132" s="34"/>
      <c r="AL132" s="34"/>
      <c r="AM132" s="34"/>
      <c r="AN132" s="34"/>
      <c r="AO132" s="34"/>
      <c r="AP132" s="34"/>
      <c r="AQ132" s="34"/>
      <c r="AS132" s="17" t="s">
        <v>195</v>
      </c>
      <c r="AT132" s="17"/>
      <c r="AU132" s="34">
        <f t="shared" ref="AU132:BD132" si="371">AU166+AU292+AU370</f>
        <v>13220</v>
      </c>
      <c r="AV132" s="34">
        <f t="shared" si="371"/>
        <v>13447</v>
      </c>
      <c r="AW132" s="34">
        <f t="shared" si="371"/>
        <v>13494</v>
      </c>
      <c r="AX132" s="34">
        <f t="shared" si="371"/>
        <v>12175</v>
      </c>
      <c r="AY132" s="34">
        <f t="shared" si="371"/>
        <v>12216</v>
      </c>
      <c r="AZ132" s="34">
        <f t="shared" si="371"/>
        <v>12929</v>
      </c>
      <c r="BA132" s="34">
        <f t="shared" si="371"/>
        <v>13246.466328407674</v>
      </c>
      <c r="BB132" s="34">
        <f t="shared" ref="BB132" si="372">BB166+BB292+BB370</f>
        <v>13875.84027521144</v>
      </c>
      <c r="BC132" s="34">
        <f t="shared" si="371"/>
        <v>14703.175490270285</v>
      </c>
      <c r="BD132" s="34">
        <f t="shared" si="371"/>
        <v>15453.195875671403</v>
      </c>
      <c r="BE132" s="34">
        <f t="shared" ref="BE132" si="373">BE166+BE292+BE370</f>
        <v>16033.814905592102</v>
      </c>
    </row>
    <row r="133" spans="1:70" x14ac:dyDescent="0.2">
      <c r="B133" s="29" t="s">
        <v>102</v>
      </c>
      <c r="C133" s="29"/>
      <c r="D133" s="41">
        <f t="shared" ref="D133:AE133" si="374">D167</f>
        <v>1491</v>
      </c>
      <c r="E133" s="41">
        <f t="shared" si="374"/>
        <v>1464</v>
      </c>
      <c r="F133" s="41">
        <f t="shared" si="374"/>
        <v>1541</v>
      </c>
      <c r="G133" s="41">
        <f t="shared" si="374"/>
        <v>1533</v>
      </c>
      <c r="H133" s="41">
        <f t="shared" si="374"/>
        <v>1511</v>
      </c>
      <c r="I133" s="41">
        <f t="shared" si="374"/>
        <v>1483</v>
      </c>
      <c r="J133" s="41">
        <f t="shared" si="374"/>
        <v>1528</v>
      </c>
      <c r="K133" s="41">
        <f t="shared" si="374"/>
        <v>1667</v>
      </c>
      <c r="L133" s="41">
        <f t="shared" si="374"/>
        <v>1625</v>
      </c>
      <c r="M133" s="41">
        <f t="shared" si="374"/>
        <v>1581</v>
      </c>
      <c r="N133" s="41">
        <f t="shared" si="374"/>
        <v>1646</v>
      </c>
      <c r="O133" s="41">
        <f t="shared" si="374"/>
        <v>1610</v>
      </c>
      <c r="P133" s="41">
        <f t="shared" si="374"/>
        <v>1635</v>
      </c>
      <c r="Q133" s="41">
        <f t="shared" si="374"/>
        <v>1581</v>
      </c>
      <c r="R133" s="41">
        <f t="shared" si="374"/>
        <v>1613</v>
      </c>
      <c r="S133" s="41">
        <f t="shared" si="374"/>
        <v>1593</v>
      </c>
      <c r="T133" s="41">
        <f t="shared" si="374"/>
        <v>1680</v>
      </c>
      <c r="U133" s="41">
        <f t="shared" si="374"/>
        <v>1510</v>
      </c>
      <c r="V133" s="41">
        <f t="shared" si="374"/>
        <v>1614</v>
      </c>
      <c r="W133" s="41">
        <f t="shared" si="374"/>
        <v>1583</v>
      </c>
      <c r="X133" s="41">
        <f t="shared" si="374"/>
        <v>1592</v>
      </c>
      <c r="Y133" s="41">
        <f t="shared" ref="Y133:Z133" si="375">Y167</f>
        <v>1574</v>
      </c>
      <c r="Z133" s="41">
        <f t="shared" si="375"/>
        <v>1653</v>
      </c>
      <c r="AA133" s="41">
        <f t="shared" ref="AA133:AB133" si="376">AA167</f>
        <v>1608</v>
      </c>
      <c r="AB133" s="41">
        <f t="shared" si="376"/>
        <v>1618</v>
      </c>
      <c r="AC133" s="41">
        <f t="shared" si="374"/>
        <v>1634.5657157534242</v>
      </c>
      <c r="AD133" s="41">
        <f t="shared" si="374"/>
        <v>1732.1136404246577</v>
      </c>
      <c r="AE133" s="41">
        <f t="shared" si="374"/>
        <v>1681.0752953164376</v>
      </c>
      <c r="AF133" s="41">
        <f t="shared" ref="AF133:AI133" si="377">AF167</f>
        <v>1736.4611952388766</v>
      </c>
      <c r="AG133" s="41">
        <f t="shared" si="377"/>
        <v>1714.7813947049644</v>
      </c>
      <c r="AH133" s="41">
        <f t="shared" si="377"/>
        <v>1795.0058902988953</v>
      </c>
      <c r="AI133" s="41">
        <f t="shared" si="377"/>
        <v>1712.1218957514302</v>
      </c>
      <c r="AJ133" s="232"/>
      <c r="AK133" s="232"/>
      <c r="AL133" s="232"/>
      <c r="AM133" s="232"/>
      <c r="AN133" s="232"/>
      <c r="AO133" s="232"/>
      <c r="AP133" s="232"/>
      <c r="AQ133" s="232"/>
      <c r="AS133" s="29" t="s">
        <v>102</v>
      </c>
      <c r="AT133" s="29"/>
      <c r="AU133" s="41">
        <f t="shared" ref="AU133:BD133" si="378">AU167</f>
        <v>6029</v>
      </c>
      <c r="AV133" s="41">
        <f t="shared" si="378"/>
        <v>6189</v>
      </c>
      <c r="AW133" s="41">
        <f t="shared" si="378"/>
        <v>6462</v>
      </c>
      <c r="AX133" s="41">
        <f t="shared" si="378"/>
        <v>6422</v>
      </c>
      <c r="AY133" s="41">
        <f t="shared" si="378"/>
        <v>6387</v>
      </c>
      <c r="AZ133" s="41">
        <f t="shared" si="378"/>
        <v>6427</v>
      </c>
      <c r="BA133" s="41">
        <f t="shared" si="378"/>
        <v>6665.7546514945188</v>
      </c>
      <c r="BB133" s="41">
        <f t="shared" ref="BB133" si="379">BB167</f>
        <v>6958.3703759941673</v>
      </c>
      <c r="BC133" s="41">
        <f t="shared" si="378"/>
        <v>7161.4898829602971</v>
      </c>
      <c r="BD133" s="41">
        <f t="shared" si="378"/>
        <v>7447.9494782787087</v>
      </c>
      <c r="BE133" s="41">
        <f t="shared" ref="BE133" si="380">BE167</f>
        <v>7745.8674574098577</v>
      </c>
    </row>
    <row r="134" spans="1:70" x14ac:dyDescent="0.2">
      <c r="B134" s="17"/>
      <c r="C134" s="17" t="s">
        <v>643</v>
      </c>
      <c r="D134" s="34">
        <f t="shared" ref="D134:AE134" si="381">SUM(D131:D133)</f>
        <v>8719</v>
      </c>
      <c r="E134" s="34">
        <f t="shared" si="381"/>
        <v>8544</v>
      </c>
      <c r="F134" s="34">
        <f t="shared" si="381"/>
        <v>8940</v>
      </c>
      <c r="G134" s="34">
        <f t="shared" si="381"/>
        <v>8988</v>
      </c>
      <c r="H134" s="34">
        <f t="shared" si="381"/>
        <v>8784</v>
      </c>
      <c r="I134" s="34">
        <f t="shared" si="381"/>
        <v>8763</v>
      </c>
      <c r="J134" s="34">
        <f t="shared" si="381"/>
        <v>8312</v>
      </c>
      <c r="K134" s="34">
        <f t="shared" si="381"/>
        <v>8536</v>
      </c>
      <c r="L134" s="34">
        <f t="shared" si="381"/>
        <v>8366</v>
      </c>
      <c r="M134" s="34">
        <f t="shared" si="381"/>
        <v>8480</v>
      </c>
      <c r="N134" s="34">
        <f t="shared" si="381"/>
        <v>8765</v>
      </c>
      <c r="O134" s="34">
        <f t="shared" si="381"/>
        <v>8636</v>
      </c>
      <c r="P134" s="34">
        <f t="shared" si="381"/>
        <v>8238</v>
      </c>
      <c r="Q134" s="34">
        <f t="shared" si="381"/>
        <v>8128</v>
      </c>
      <c r="R134" s="34">
        <f t="shared" si="381"/>
        <v>8071</v>
      </c>
      <c r="S134" s="34">
        <f t="shared" si="381"/>
        <v>7814</v>
      </c>
      <c r="T134" s="34">
        <f t="shared" si="381"/>
        <v>7714</v>
      </c>
      <c r="U134" s="34">
        <f t="shared" si="381"/>
        <v>7674</v>
      </c>
      <c r="V134" s="34">
        <f t="shared" si="381"/>
        <v>8164</v>
      </c>
      <c r="W134" s="34">
        <f t="shared" si="381"/>
        <v>7967</v>
      </c>
      <c r="X134" s="34">
        <f t="shared" si="381"/>
        <v>7846</v>
      </c>
      <c r="Y134" s="34">
        <f t="shared" ref="Y134:Z134" si="382">SUM(Y131:Y133)</f>
        <v>8073</v>
      </c>
      <c r="Z134" s="34">
        <f t="shared" si="382"/>
        <v>8470</v>
      </c>
      <c r="AA134" s="34">
        <f t="shared" ref="AA134:AB134" si="383">SUM(AA131:AA133)</f>
        <v>8449</v>
      </c>
      <c r="AB134" s="34">
        <f t="shared" si="383"/>
        <v>8433</v>
      </c>
      <c r="AC134" s="34">
        <f t="shared" si="381"/>
        <v>8374.5398401369857</v>
      </c>
      <c r="AD134" s="34">
        <f t="shared" si="381"/>
        <v>8687.4049600191793</v>
      </c>
      <c r="AE134" s="34">
        <f t="shared" si="381"/>
        <v>8781.8353472642757</v>
      </c>
      <c r="AF134" s="34">
        <f t="shared" ref="AF134:AI134" si="384">SUM(AF131:AF133)</f>
        <v>8665.6098073894264</v>
      </c>
      <c r="AG134" s="34">
        <f t="shared" si="384"/>
        <v>8828.2466101304271</v>
      </c>
      <c r="AH134" s="34">
        <f t="shared" si="384"/>
        <v>9132.7422203267524</v>
      </c>
      <c r="AI134" s="34">
        <f t="shared" si="384"/>
        <v>9232.2154973847119</v>
      </c>
      <c r="AJ134" s="34"/>
      <c r="AK134" s="34"/>
      <c r="AL134" s="34"/>
      <c r="AM134" s="34"/>
      <c r="AN134" s="34"/>
      <c r="AO134" s="34"/>
      <c r="AP134" s="34"/>
      <c r="AQ134" s="34"/>
      <c r="AS134" s="17"/>
      <c r="AT134" s="17" t="s">
        <v>21</v>
      </c>
      <c r="AU134" s="34">
        <f t="shared" ref="AU134:BD134" si="385">SUM(AU131:AU133)</f>
        <v>35191</v>
      </c>
      <c r="AV134" s="34">
        <f t="shared" si="385"/>
        <v>34395</v>
      </c>
      <c r="AW134" s="34">
        <f t="shared" si="385"/>
        <v>34247</v>
      </c>
      <c r="AX134" s="34">
        <f t="shared" si="385"/>
        <v>32251</v>
      </c>
      <c r="AY134" s="34">
        <f t="shared" si="385"/>
        <v>31519</v>
      </c>
      <c r="AZ134" s="34">
        <f t="shared" si="385"/>
        <v>32838</v>
      </c>
      <c r="BA134" s="34">
        <f t="shared" si="385"/>
        <v>34276.780147420439</v>
      </c>
      <c r="BB134" s="34">
        <f t="shared" ref="BB134" si="386">SUM(BB131:BB133)</f>
        <v>35858.814135231318</v>
      </c>
      <c r="BC134" s="34">
        <f t="shared" si="385"/>
        <v>37604.049129121071</v>
      </c>
      <c r="BD134" s="34">
        <f t="shared" si="385"/>
        <v>39412.214226103104</v>
      </c>
      <c r="BE134" s="34">
        <f t="shared" ref="BE134" si="387">SUM(BE131:BE133)</f>
        <v>41088.050693411191</v>
      </c>
    </row>
    <row r="135" spans="1:70" s="146" customFormat="1" x14ac:dyDescent="0.2">
      <c r="A135" s="831"/>
      <c r="B135" s="39"/>
      <c r="C135" s="39" t="s">
        <v>237</v>
      </c>
      <c r="D135" s="40">
        <f t="shared" ref="D135:AE135" si="388">D134-D115</f>
        <v>0</v>
      </c>
      <c r="E135" s="40">
        <f t="shared" si="388"/>
        <v>0</v>
      </c>
      <c r="F135" s="40">
        <f t="shared" si="388"/>
        <v>0</v>
      </c>
      <c r="G135" s="40">
        <f t="shared" si="388"/>
        <v>0</v>
      </c>
      <c r="H135" s="40">
        <f t="shared" si="388"/>
        <v>0</v>
      </c>
      <c r="I135" s="40">
        <f t="shared" si="388"/>
        <v>0</v>
      </c>
      <c r="J135" s="40">
        <f t="shared" si="388"/>
        <v>0</v>
      </c>
      <c r="K135" s="40">
        <f t="shared" si="388"/>
        <v>0</v>
      </c>
      <c r="L135" s="40">
        <f t="shared" si="388"/>
        <v>0</v>
      </c>
      <c r="M135" s="40">
        <f t="shared" si="388"/>
        <v>0</v>
      </c>
      <c r="N135" s="40">
        <f t="shared" si="388"/>
        <v>0</v>
      </c>
      <c r="O135" s="40">
        <f t="shared" si="388"/>
        <v>0</v>
      </c>
      <c r="P135" s="40">
        <f t="shared" si="388"/>
        <v>0</v>
      </c>
      <c r="Q135" s="40">
        <f t="shared" si="388"/>
        <v>0</v>
      </c>
      <c r="R135" s="40">
        <f t="shared" si="388"/>
        <v>0</v>
      </c>
      <c r="S135" s="40">
        <f t="shared" si="388"/>
        <v>0</v>
      </c>
      <c r="T135" s="40">
        <f t="shared" si="388"/>
        <v>0</v>
      </c>
      <c r="U135" s="40">
        <f t="shared" si="388"/>
        <v>0</v>
      </c>
      <c r="V135" s="40">
        <f t="shared" si="388"/>
        <v>0</v>
      </c>
      <c r="W135" s="40">
        <f t="shared" si="388"/>
        <v>0</v>
      </c>
      <c r="X135" s="40">
        <f t="shared" si="388"/>
        <v>0</v>
      </c>
      <c r="Y135" s="40">
        <f t="shared" ref="Y135:Z135" si="389">Y134-Y115</f>
        <v>0</v>
      </c>
      <c r="Z135" s="40">
        <f t="shared" si="389"/>
        <v>0</v>
      </c>
      <c r="AA135" s="40">
        <f t="shared" ref="AA135:AB135" si="390">AA134-AA115</f>
        <v>0</v>
      </c>
      <c r="AB135" s="40">
        <f t="shared" si="390"/>
        <v>0</v>
      </c>
      <c r="AC135" s="40">
        <f t="shared" si="388"/>
        <v>0</v>
      </c>
      <c r="AD135" s="40">
        <f t="shared" si="388"/>
        <v>0</v>
      </c>
      <c r="AE135" s="40">
        <f t="shared" si="388"/>
        <v>0</v>
      </c>
      <c r="AF135" s="40">
        <f t="shared" ref="AF135:AI135" si="391">AF134-AF115</f>
        <v>0</v>
      </c>
      <c r="AG135" s="40">
        <f t="shared" si="391"/>
        <v>0</v>
      </c>
      <c r="AH135" s="40">
        <f t="shared" si="391"/>
        <v>0</v>
      </c>
      <c r="AI135" s="40">
        <f t="shared" si="391"/>
        <v>0</v>
      </c>
      <c r="AJ135" s="40"/>
      <c r="AK135" s="40"/>
      <c r="AL135" s="40"/>
      <c r="AM135" s="40"/>
      <c r="AN135" s="40"/>
      <c r="AO135" s="40"/>
      <c r="AP135" s="40"/>
      <c r="AQ135" s="40"/>
      <c r="AR135" s="70"/>
      <c r="AS135" s="39"/>
      <c r="AT135" s="39" t="s">
        <v>237</v>
      </c>
      <c r="AU135" s="40">
        <f t="shared" ref="AU135:BD135" si="392">AU134-AU115</f>
        <v>0</v>
      </c>
      <c r="AV135" s="40">
        <f t="shared" si="392"/>
        <v>0</v>
      </c>
      <c r="AW135" s="40">
        <f t="shared" si="392"/>
        <v>0</v>
      </c>
      <c r="AX135" s="40">
        <f t="shared" si="392"/>
        <v>0</v>
      </c>
      <c r="AY135" s="40">
        <f t="shared" si="392"/>
        <v>0</v>
      </c>
      <c r="AZ135" s="40">
        <f t="shared" si="392"/>
        <v>0</v>
      </c>
      <c r="BA135" s="40">
        <f t="shared" si="392"/>
        <v>0</v>
      </c>
      <c r="BB135" s="40">
        <f t="shared" ref="BB135" si="393">BB134-BB115</f>
        <v>0</v>
      </c>
      <c r="BC135" s="40">
        <f t="shared" si="392"/>
        <v>0</v>
      </c>
      <c r="BD135" s="40">
        <f t="shared" si="392"/>
        <v>0</v>
      </c>
      <c r="BE135" s="40">
        <f t="shared" ref="BE135" si="394">BE134-BE115</f>
        <v>0</v>
      </c>
      <c r="BM135"/>
      <c r="BN135"/>
      <c r="BO135"/>
      <c r="BP135"/>
      <c r="BQ135"/>
      <c r="BR135"/>
    </row>
    <row r="136" spans="1:70" x14ac:dyDescent="0.2">
      <c r="B136" s="322"/>
      <c r="C136" s="16"/>
      <c r="D136" s="15"/>
      <c r="E136" s="15"/>
      <c r="F136" s="15"/>
      <c r="G136" s="15"/>
      <c r="H136" s="15"/>
      <c r="I136" s="15"/>
      <c r="J136" s="15"/>
      <c r="K136" s="15"/>
      <c r="L136" s="15"/>
      <c r="M136" s="15"/>
      <c r="N136" s="15"/>
      <c r="O136" s="15"/>
      <c r="P136" s="15"/>
      <c r="Q136" s="15"/>
      <c r="R136" s="15"/>
      <c r="S136" s="15"/>
      <c r="T136" s="34">
        <f t="shared" ref="T136:X136" si="395">SUM(T132:T133)</f>
        <v>4527</v>
      </c>
      <c r="U136" s="34">
        <f t="shared" si="395"/>
        <v>4432</v>
      </c>
      <c r="V136" s="34">
        <f t="shared" si="395"/>
        <v>4834</v>
      </c>
      <c r="W136" s="34">
        <f t="shared" si="395"/>
        <v>4810</v>
      </c>
      <c r="X136" s="34">
        <f t="shared" si="395"/>
        <v>4671</v>
      </c>
      <c r="Y136" s="34">
        <f t="shared" ref="Y136:Z136" si="396">SUM(Y132:Y133)</f>
        <v>4745</v>
      </c>
      <c r="Z136" s="34">
        <f t="shared" si="396"/>
        <v>4949</v>
      </c>
      <c r="AA136" s="34">
        <f t="shared" ref="AA136:AB136" si="397">SUM(AA132:AA133)</f>
        <v>4991</v>
      </c>
      <c r="AB136" s="34">
        <f t="shared" si="397"/>
        <v>4962</v>
      </c>
      <c r="AC136" s="34">
        <f t="shared" ref="AC136:AE136" si="398">SUM(AC132:AC133)</f>
        <v>4825.4263020547942</v>
      </c>
      <c r="AD136" s="34">
        <f t="shared" si="398"/>
        <v>5037.2471484794532</v>
      </c>
      <c r="AE136" s="34">
        <f t="shared" si="398"/>
        <v>5087.5475293679456</v>
      </c>
      <c r="AF136" s="34">
        <f t="shared" ref="AF136:AI136" si="399">SUM(AF132:AF133)</f>
        <v>5059.6445736777814</v>
      </c>
      <c r="AG136" s="34">
        <f t="shared" si="399"/>
        <v>5123.0572239041103</v>
      </c>
      <c r="AH136" s="34">
        <f t="shared" si="399"/>
        <v>5296.8210898844663</v>
      </c>
      <c r="AI136" s="34">
        <f t="shared" si="399"/>
        <v>5354.687763739249</v>
      </c>
      <c r="AJ136" s="34"/>
      <c r="AK136" s="34"/>
      <c r="AL136" s="34"/>
      <c r="AM136" s="34"/>
      <c r="AN136" s="34"/>
      <c r="AO136" s="34"/>
      <c r="AP136" s="34"/>
      <c r="AQ136" s="34"/>
      <c r="AS136" s="322"/>
      <c r="AT136" s="16"/>
      <c r="AX136" s="1092"/>
      <c r="AY136" s="1092"/>
      <c r="AZ136" s="1092"/>
      <c r="BA136" s="1092"/>
      <c r="BB136" s="1092"/>
      <c r="BC136" s="1092"/>
      <c r="BD136" s="1092"/>
    </row>
    <row r="137" spans="1:70" x14ac:dyDescent="0.2">
      <c r="B137" s="11" t="s">
        <v>632</v>
      </c>
      <c r="C137" s="11"/>
      <c r="D137" s="11"/>
      <c r="E137" s="12"/>
      <c r="F137" s="12"/>
      <c r="G137" s="12"/>
      <c r="H137" s="12"/>
      <c r="I137" s="12"/>
      <c r="J137" s="12"/>
      <c r="K137" s="12"/>
      <c r="L137" s="12"/>
      <c r="M137" s="12"/>
      <c r="N137" s="12"/>
      <c r="O137" s="12"/>
      <c r="P137" s="12"/>
      <c r="Q137" s="12"/>
      <c r="R137" s="12"/>
      <c r="S137" s="12"/>
      <c r="T137" s="12"/>
      <c r="U137" s="12"/>
      <c r="V137" s="12"/>
      <c r="W137" s="12"/>
      <c r="X137" s="1086"/>
      <c r="Y137" s="1086"/>
      <c r="Z137" s="1086"/>
      <c r="AA137" s="1086"/>
      <c r="AB137" s="1086"/>
      <c r="AC137" s="1086"/>
      <c r="AD137" s="1086"/>
      <c r="AE137" s="1086"/>
      <c r="AF137" s="1086"/>
      <c r="AG137" s="1086"/>
      <c r="AH137" s="1086"/>
      <c r="AI137" s="1086"/>
      <c r="AJ137" s="1086"/>
      <c r="AK137" s="1086"/>
      <c r="AL137" s="1086"/>
      <c r="AM137" s="1086"/>
      <c r="AN137" s="1086"/>
      <c r="AO137" s="1086"/>
      <c r="AP137" s="1086"/>
      <c r="AQ137" s="1086"/>
      <c r="AS137" s="11" t="s">
        <v>236</v>
      </c>
      <c r="AT137" s="11"/>
      <c r="AU137" s="12"/>
      <c r="AV137" s="12"/>
      <c r="AW137" s="12"/>
      <c r="AX137" s="12"/>
      <c r="AY137" s="12"/>
      <c r="AZ137" s="12"/>
      <c r="BA137" s="12"/>
      <c r="BB137" s="12"/>
      <c r="BC137" s="12"/>
      <c r="BD137" s="12"/>
      <c r="BE137" s="12"/>
    </row>
    <row r="138" spans="1:70" x14ac:dyDescent="0.2">
      <c r="B138" s="16" t="s">
        <v>639</v>
      </c>
      <c r="C138" s="16"/>
      <c r="D138" s="15"/>
      <c r="E138" s="15"/>
      <c r="F138" s="15"/>
      <c r="G138" s="15"/>
      <c r="H138" s="15"/>
      <c r="I138" s="15"/>
      <c r="J138" s="15"/>
      <c r="K138" s="15"/>
      <c r="L138" s="15"/>
      <c r="M138" s="15"/>
      <c r="N138" s="15"/>
      <c r="O138" s="15"/>
      <c r="P138" s="15"/>
      <c r="Q138" s="15"/>
      <c r="R138" s="15"/>
      <c r="S138" s="15"/>
      <c r="T138" s="15"/>
      <c r="U138" s="15"/>
      <c r="V138" s="15"/>
      <c r="W138" s="15"/>
      <c r="X138" s="15"/>
      <c r="Y138" s="15"/>
      <c r="Z138" s="15"/>
      <c r="AA138" s="15"/>
      <c r="AB138" s="15"/>
      <c r="AC138" s="15"/>
      <c r="AD138" s="15"/>
      <c r="AE138" s="15"/>
      <c r="AF138" s="15"/>
      <c r="AG138" s="15"/>
      <c r="AH138" s="15"/>
      <c r="AI138" s="15"/>
      <c r="AJ138" s="15"/>
      <c r="AK138" s="15"/>
      <c r="AL138" s="15"/>
      <c r="AM138" s="15"/>
      <c r="AN138" s="15"/>
      <c r="AO138" s="15"/>
      <c r="AP138" s="15"/>
      <c r="AQ138" s="15"/>
      <c r="AS138" s="16" t="s">
        <v>187</v>
      </c>
      <c r="AT138" s="16"/>
    </row>
    <row r="139" spans="1:70" x14ac:dyDescent="0.2">
      <c r="B139" s="17" t="s">
        <v>76</v>
      </c>
      <c r="C139" s="17"/>
      <c r="D139" s="37">
        <f t="shared" ref="D139:AE139" si="400">D151</f>
        <v>5253</v>
      </c>
      <c r="E139" s="37">
        <f t="shared" si="400"/>
        <v>5186</v>
      </c>
      <c r="F139" s="37">
        <f t="shared" si="400"/>
        <v>5454</v>
      </c>
      <c r="G139" s="37">
        <f t="shared" si="400"/>
        <v>5399</v>
      </c>
      <c r="H139" s="37">
        <f t="shared" si="400"/>
        <v>5187</v>
      </c>
      <c r="I139" s="37">
        <f t="shared" si="400"/>
        <v>5130</v>
      </c>
      <c r="J139" s="37">
        <f t="shared" si="400"/>
        <v>4813</v>
      </c>
      <c r="K139" s="37">
        <f t="shared" si="400"/>
        <v>4945</v>
      </c>
      <c r="L139" s="37">
        <f t="shared" si="400"/>
        <v>4856</v>
      </c>
      <c r="M139" s="37">
        <f t="shared" si="400"/>
        <v>4856</v>
      </c>
      <c r="N139" s="37">
        <f t="shared" si="400"/>
        <v>5070</v>
      </c>
      <c r="O139" s="37">
        <f t="shared" si="400"/>
        <v>5165</v>
      </c>
      <c r="P139" s="37">
        <f t="shared" si="400"/>
        <v>5008</v>
      </c>
      <c r="Q139" s="37">
        <f t="shared" si="400"/>
        <v>4848</v>
      </c>
      <c r="R139" s="37">
        <f t="shared" si="400"/>
        <v>4840</v>
      </c>
      <c r="S139" s="37">
        <f t="shared" si="400"/>
        <v>4819</v>
      </c>
      <c r="T139" s="37">
        <f t="shared" si="400"/>
        <v>4830</v>
      </c>
      <c r="U139" s="37">
        <f t="shared" si="400"/>
        <v>4709</v>
      </c>
      <c r="V139" s="37">
        <f t="shared" si="400"/>
        <v>5161</v>
      </c>
      <c r="W139" s="37">
        <f t="shared" si="400"/>
        <v>5059</v>
      </c>
      <c r="X139" s="37">
        <f t="shared" si="400"/>
        <v>4945</v>
      </c>
      <c r="Y139" s="37">
        <f t="shared" ref="Y139:Z139" si="401">Y151</f>
        <v>4946</v>
      </c>
      <c r="Z139" s="37">
        <f t="shared" si="401"/>
        <v>5197</v>
      </c>
      <c r="AA139" s="37">
        <f t="shared" ref="AA139:AB139" si="402">AA151</f>
        <v>5182</v>
      </c>
      <c r="AB139" s="37">
        <f t="shared" si="402"/>
        <v>5157</v>
      </c>
      <c r="AC139" s="37">
        <f t="shared" si="400"/>
        <v>4992.6236952054787</v>
      </c>
      <c r="AD139" s="37">
        <f t="shared" si="400"/>
        <v>5207.5221528410975</v>
      </c>
      <c r="AE139" s="37">
        <f t="shared" si="400"/>
        <v>5229.3818727250955</v>
      </c>
      <c r="AF139" s="37">
        <f t="shared" ref="AF139:AI139" si="403">AF151</f>
        <v>5196.0603797014728</v>
      </c>
      <c r="AG139" s="37">
        <f t="shared" si="403"/>
        <v>5268.0513349164794</v>
      </c>
      <c r="AH139" s="37">
        <f t="shared" si="403"/>
        <v>5445.9121710969985</v>
      </c>
      <c r="AI139" s="37">
        <f t="shared" si="403"/>
        <v>5468.3809458063806</v>
      </c>
      <c r="AJ139" s="37"/>
      <c r="AK139" s="37"/>
      <c r="AL139" s="37"/>
      <c r="AM139" s="37"/>
      <c r="AN139" s="37"/>
      <c r="AO139" s="37"/>
      <c r="AP139" s="37"/>
      <c r="AQ139" s="37"/>
      <c r="AS139" s="17" t="s">
        <v>76</v>
      </c>
      <c r="AT139" s="17"/>
      <c r="AU139" s="232">
        <f>SUM(D139:G139)</f>
        <v>21292</v>
      </c>
      <c r="AV139" s="232">
        <f>SUM(H139:K139)</f>
        <v>20075</v>
      </c>
      <c r="AW139" s="232">
        <f>SUM(L139:O139)</f>
        <v>19947</v>
      </c>
      <c r="AX139" s="232">
        <f>SUM(P139:S139)</f>
        <v>19515</v>
      </c>
      <c r="AY139" s="232">
        <f>SUM(T139:W139)</f>
        <v>19759</v>
      </c>
      <c r="AZ139" s="232">
        <f>SUM(X139:AA139)</f>
        <v>20270</v>
      </c>
      <c r="BA139" s="232">
        <f>SUM(AB139:AE139)</f>
        <v>20586.527720771672</v>
      </c>
      <c r="BB139" s="232">
        <f>SUM(AF139:AI139)</f>
        <v>21378.404831521333</v>
      </c>
      <c r="BC139" s="37">
        <f>BC151</f>
        <v>22368.618915102063</v>
      </c>
      <c r="BD139" s="37">
        <f>BD151</f>
        <v>23368.690402641856</v>
      </c>
      <c r="BE139" s="37">
        <f>BE151</f>
        <v>24371.74933415432</v>
      </c>
    </row>
    <row r="140" spans="1:70" x14ac:dyDescent="0.2">
      <c r="B140" s="17" t="s">
        <v>238</v>
      </c>
      <c r="C140" s="17"/>
      <c r="D140" s="37">
        <f t="shared" ref="D140:AE140" si="404">D277</f>
        <v>1451</v>
      </c>
      <c r="E140" s="37">
        <f t="shared" si="404"/>
        <v>1395</v>
      </c>
      <c r="F140" s="37">
        <f t="shared" si="404"/>
        <v>1480</v>
      </c>
      <c r="G140" s="37">
        <f t="shared" si="404"/>
        <v>1563</v>
      </c>
      <c r="H140" s="37">
        <f t="shared" si="404"/>
        <v>1589</v>
      </c>
      <c r="I140" s="37">
        <f t="shared" si="404"/>
        <v>1617</v>
      </c>
      <c r="J140" s="37">
        <f t="shared" si="404"/>
        <v>1586</v>
      </c>
      <c r="K140" s="37">
        <f t="shared" si="404"/>
        <v>1689</v>
      </c>
      <c r="L140" s="37">
        <f t="shared" si="404"/>
        <v>1564</v>
      </c>
      <c r="M140" s="37">
        <f t="shared" si="404"/>
        <v>1626</v>
      </c>
      <c r="N140" s="37">
        <f t="shared" si="404"/>
        <v>1687</v>
      </c>
      <c r="O140" s="37">
        <f t="shared" si="404"/>
        <v>1632</v>
      </c>
      <c r="P140" s="37">
        <f t="shared" si="404"/>
        <v>1420</v>
      </c>
      <c r="Q140" s="37">
        <f t="shared" si="404"/>
        <v>1420</v>
      </c>
      <c r="R140" s="37">
        <f t="shared" si="404"/>
        <v>1533</v>
      </c>
      <c r="S140" s="37">
        <f t="shared" si="404"/>
        <v>1349</v>
      </c>
      <c r="T140" s="37">
        <f t="shared" si="404"/>
        <v>1229</v>
      </c>
      <c r="U140" s="37">
        <f t="shared" si="404"/>
        <v>1236</v>
      </c>
      <c r="V140" s="37">
        <f t="shared" si="404"/>
        <v>1245</v>
      </c>
      <c r="W140" s="37">
        <f t="shared" si="404"/>
        <v>1212</v>
      </c>
      <c r="X140" s="37">
        <f t="shared" si="404"/>
        <v>1167</v>
      </c>
      <c r="Y140" s="37">
        <f t="shared" ref="Y140:Z140" si="405">Y277</f>
        <v>1308</v>
      </c>
      <c r="Z140" s="37">
        <f t="shared" si="405"/>
        <v>1388</v>
      </c>
      <c r="AA140" s="37">
        <f t="shared" ref="AA140:AB140" si="406">AA277</f>
        <v>1359</v>
      </c>
      <c r="AB140" s="37">
        <f t="shared" si="406"/>
        <v>1347</v>
      </c>
      <c r="AC140" s="37">
        <f t="shared" si="404"/>
        <v>1390.2921219178083</v>
      </c>
      <c r="AD140" s="37">
        <f t="shared" si="404"/>
        <v>1434.5992638082193</v>
      </c>
      <c r="AE140" s="37">
        <f t="shared" si="404"/>
        <v>1473.1870622268495</v>
      </c>
      <c r="AF140" s="37">
        <f t="shared" ref="AF140:AI140" si="407">AF277</f>
        <v>1427.8042005243287</v>
      </c>
      <c r="AG140" s="37">
        <f t="shared" si="407"/>
        <v>1466.8429893250541</v>
      </c>
      <c r="AH140" s="37">
        <f t="shared" si="407"/>
        <v>1502.997234405319</v>
      </c>
      <c r="AI140" s="37">
        <f t="shared" si="407"/>
        <v>1539.8109744407834</v>
      </c>
      <c r="AJ140" s="37"/>
      <c r="AK140" s="37"/>
      <c r="AL140" s="37"/>
      <c r="AM140" s="37"/>
      <c r="AN140" s="37"/>
      <c r="AO140" s="37"/>
      <c r="AP140" s="37"/>
      <c r="AQ140" s="37"/>
      <c r="AR140" s="1092"/>
      <c r="AS140" s="17" t="s">
        <v>238</v>
      </c>
      <c r="AT140" s="17"/>
      <c r="AU140" s="232">
        <f>SUM(D140:G140)</f>
        <v>5889</v>
      </c>
      <c r="AV140" s="232">
        <f>SUM(H140:K140)</f>
        <v>6481</v>
      </c>
      <c r="AW140" s="232">
        <f>SUM(L140:O140)</f>
        <v>6509</v>
      </c>
      <c r="AX140" s="232">
        <f>SUM(P140:S140)</f>
        <v>5722</v>
      </c>
      <c r="AY140" s="232">
        <f>SUM(T140:W140)</f>
        <v>4922</v>
      </c>
      <c r="AZ140" s="232">
        <f>SUM(X140:AA140)</f>
        <v>5222</v>
      </c>
      <c r="BA140" s="232">
        <f>SUM(AB140:AE140)</f>
        <v>5645.0784479528775</v>
      </c>
      <c r="BB140" s="232">
        <f>SUM(AF140:AI140)</f>
        <v>5937.4553986954852</v>
      </c>
      <c r="BC140" s="37">
        <f>BC277</f>
        <v>6183.0767054459684</v>
      </c>
      <c r="BD140" s="37">
        <f>BD277</f>
        <v>6475.4640868128081</v>
      </c>
      <c r="BE140" s="37">
        <f>BE277</f>
        <v>6603.4899568475066</v>
      </c>
    </row>
    <row r="141" spans="1:70" x14ac:dyDescent="0.2">
      <c r="B141" s="29" t="s">
        <v>239</v>
      </c>
      <c r="C141" s="29"/>
      <c r="D141" s="42">
        <f t="shared" ref="D141:AE141" si="408">D355</f>
        <v>2015</v>
      </c>
      <c r="E141" s="42">
        <f t="shared" si="408"/>
        <v>1963</v>
      </c>
      <c r="F141" s="42">
        <f t="shared" si="408"/>
        <v>2006</v>
      </c>
      <c r="G141" s="42">
        <f t="shared" si="408"/>
        <v>2026</v>
      </c>
      <c r="H141" s="42">
        <f t="shared" si="408"/>
        <v>2008</v>
      </c>
      <c r="I141" s="42">
        <f t="shared" si="408"/>
        <v>2016</v>
      </c>
      <c r="J141" s="42">
        <f t="shared" si="408"/>
        <v>1913</v>
      </c>
      <c r="K141" s="42">
        <f t="shared" si="408"/>
        <v>1902</v>
      </c>
      <c r="L141" s="42">
        <f t="shared" si="408"/>
        <v>1946</v>
      </c>
      <c r="M141" s="42">
        <f t="shared" si="408"/>
        <v>1998</v>
      </c>
      <c r="N141" s="42">
        <f t="shared" si="408"/>
        <v>2008</v>
      </c>
      <c r="O141" s="42">
        <f t="shared" si="408"/>
        <v>1839</v>
      </c>
      <c r="P141" s="42">
        <f t="shared" si="408"/>
        <v>1810</v>
      </c>
      <c r="Q141" s="42">
        <f t="shared" si="408"/>
        <v>1860</v>
      </c>
      <c r="R141" s="42">
        <f t="shared" si="408"/>
        <v>1698</v>
      </c>
      <c r="S141" s="42">
        <f t="shared" si="408"/>
        <v>1646</v>
      </c>
      <c r="T141" s="42">
        <f t="shared" si="408"/>
        <v>1655</v>
      </c>
      <c r="U141" s="42">
        <f t="shared" si="408"/>
        <v>1729</v>
      </c>
      <c r="V141" s="42">
        <f t="shared" si="408"/>
        <v>1758</v>
      </c>
      <c r="W141" s="42">
        <f t="shared" si="408"/>
        <v>1696</v>
      </c>
      <c r="X141" s="42">
        <f t="shared" si="408"/>
        <v>1734</v>
      </c>
      <c r="Y141" s="42">
        <f t="shared" ref="Y141:Z141" si="409">Y355</f>
        <v>1819</v>
      </c>
      <c r="Z141" s="42">
        <f t="shared" si="409"/>
        <v>1885</v>
      </c>
      <c r="AA141" s="42">
        <f t="shared" ref="AA141:AB141" si="410">AA355</f>
        <v>1908</v>
      </c>
      <c r="AB141" s="42">
        <f t="shared" si="410"/>
        <v>1929</v>
      </c>
      <c r="AC141" s="42">
        <f t="shared" si="408"/>
        <v>1991.6240230136984</v>
      </c>
      <c r="AD141" s="42">
        <f t="shared" si="408"/>
        <v>2045.2835433698631</v>
      </c>
      <c r="AE141" s="42">
        <f t="shared" si="408"/>
        <v>2079.2664123123291</v>
      </c>
      <c r="AF141" s="42">
        <f t="shared" ref="AF141:AI141" si="411">AF355</f>
        <v>2041.7452271636246</v>
      </c>
      <c r="AG141" s="42">
        <f t="shared" si="411"/>
        <v>2093.3522858888914</v>
      </c>
      <c r="AH141" s="42">
        <f t="shared" si="411"/>
        <v>2183.8328148244364</v>
      </c>
      <c r="AI141" s="42">
        <f t="shared" si="411"/>
        <v>2224.0235771375469</v>
      </c>
      <c r="AJ141" s="207"/>
      <c r="AK141" s="207"/>
      <c r="AL141" s="207"/>
      <c r="AM141" s="207"/>
      <c r="AN141" s="207"/>
      <c r="AO141" s="207"/>
      <c r="AP141" s="207"/>
      <c r="AQ141" s="207"/>
      <c r="AR141" s="1092"/>
      <c r="AS141" s="29" t="s">
        <v>239</v>
      </c>
      <c r="AT141" s="29"/>
      <c r="AU141" s="41">
        <f>SUM(D141:G141)</f>
        <v>8010</v>
      </c>
      <c r="AV141" s="41">
        <f>SUM(H141:K141)</f>
        <v>7839</v>
      </c>
      <c r="AW141" s="41">
        <f>SUM(L141:O141)</f>
        <v>7791</v>
      </c>
      <c r="AX141" s="41">
        <f>SUM(P141:S141)</f>
        <v>7014</v>
      </c>
      <c r="AY141" s="41">
        <f>SUM(T141:W141)</f>
        <v>6838</v>
      </c>
      <c r="AZ141" s="41">
        <f>SUM(X141:AA141)</f>
        <v>7346</v>
      </c>
      <c r="BA141" s="41">
        <f>SUM(AB141:AE141)</f>
        <v>8045.1739786958897</v>
      </c>
      <c r="BB141" s="41">
        <f>SUM(AF141:AI141)</f>
        <v>8542.9539050144995</v>
      </c>
      <c r="BC141" s="42">
        <f>BC355</f>
        <v>9052.3535085730382</v>
      </c>
      <c r="BD141" s="42">
        <f>BD355</f>
        <v>9568.059736648438</v>
      </c>
      <c r="BE141" s="42">
        <f>BE355</f>
        <v>10112.811402409363</v>
      </c>
    </row>
    <row r="142" spans="1:70" x14ac:dyDescent="0.2">
      <c r="B142" s="17"/>
      <c r="C142" s="17" t="s">
        <v>643</v>
      </c>
      <c r="D142" s="34">
        <f t="shared" ref="D142:AE142" si="412">SUM(D139:D141)</f>
        <v>8719</v>
      </c>
      <c r="E142" s="34">
        <f t="shared" si="412"/>
        <v>8544</v>
      </c>
      <c r="F142" s="34">
        <f t="shared" si="412"/>
        <v>8940</v>
      </c>
      <c r="G142" s="34">
        <f t="shared" si="412"/>
        <v>8988</v>
      </c>
      <c r="H142" s="34">
        <f t="shared" si="412"/>
        <v>8784</v>
      </c>
      <c r="I142" s="34">
        <f t="shared" si="412"/>
        <v>8763</v>
      </c>
      <c r="J142" s="34">
        <f t="shared" si="412"/>
        <v>8312</v>
      </c>
      <c r="K142" s="34">
        <f t="shared" si="412"/>
        <v>8536</v>
      </c>
      <c r="L142" s="34">
        <f t="shared" si="412"/>
        <v>8366</v>
      </c>
      <c r="M142" s="34">
        <f t="shared" si="412"/>
        <v>8480</v>
      </c>
      <c r="N142" s="34">
        <f t="shared" si="412"/>
        <v>8765</v>
      </c>
      <c r="O142" s="34">
        <f t="shared" si="412"/>
        <v>8636</v>
      </c>
      <c r="P142" s="34">
        <f t="shared" si="412"/>
        <v>8238</v>
      </c>
      <c r="Q142" s="34">
        <f t="shared" si="412"/>
        <v>8128</v>
      </c>
      <c r="R142" s="34">
        <f t="shared" si="412"/>
        <v>8071</v>
      </c>
      <c r="S142" s="34">
        <f t="shared" si="412"/>
        <v>7814</v>
      </c>
      <c r="T142" s="34">
        <f t="shared" si="412"/>
        <v>7714</v>
      </c>
      <c r="U142" s="34">
        <f t="shared" si="412"/>
        <v>7674</v>
      </c>
      <c r="V142" s="34">
        <f t="shared" si="412"/>
        <v>8164</v>
      </c>
      <c r="W142" s="34">
        <f t="shared" si="412"/>
        <v>7967</v>
      </c>
      <c r="X142" s="34">
        <f t="shared" si="412"/>
        <v>7846</v>
      </c>
      <c r="Y142" s="34">
        <f t="shared" ref="Y142:Z142" si="413">SUM(Y139:Y141)</f>
        <v>8073</v>
      </c>
      <c r="Z142" s="34">
        <f t="shared" si="413"/>
        <v>8470</v>
      </c>
      <c r="AA142" s="34">
        <f t="shared" ref="AA142:AB142" si="414">SUM(AA139:AA141)</f>
        <v>8449</v>
      </c>
      <c r="AB142" s="34">
        <f t="shared" si="414"/>
        <v>8433</v>
      </c>
      <c r="AC142" s="34">
        <f t="shared" si="412"/>
        <v>8374.5398401369857</v>
      </c>
      <c r="AD142" s="34">
        <f t="shared" si="412"/>
        <v>8687.4049600191811</v>
      </c>
      <c r="AE142" s="34">
        <f t="shared" si="412"/>
        <v>8781.8353472642739</v>
      </c>
      <c r="AF142" s="34">
        <f t="shared" ref="AF142:AI142" si="415">SUM(AF139:AF141)</f>
        <v>8665.6098073894264</v>
      </c>
      <c r="AG142" s="34">
        <f t="shared" si="415"/>
        <v>8828.2466101304253</v>
      </c>
      <c r="AH142" s="34">
        <f t="shared" si="415"/>
        <v>9132.7422203267542</v>
      </c>
      <c r="AI142" s="34">
        <f t="shared" si="415"/>
        <v>9232.21549738471</v>
      </c>
      <c r="AJ142" s="34"/>
      <c r="AK142" s="34"/>
      <c r="AL142" s="34"/>
      <c r="AM142" s="34"/>
      <c r="AN142" s="34"/>
      <c r="AO142" s="34"/>
      <c r="AP142" s="34"/>
      <c r="AQ142" s="34"/>
      <c r="AS142" s="17"/>
      <c r="AT142" s="17" t="s">
        <v>21</v>
      </c>
      <c r="AU142" s="232">
        <f t="shared" ref="AU142:BD142" si="416">SUM(AU139:AU141)</f>
        <v>35191</v>
      </c>
      <c r="AV142" s="232">
        <f t="shared" si="416"/>
        <v>34395</v>
      </c>
      <c r="AW142" s="232">
        <f t="shared" si="416"/>
        <v>34247</v>
      </c>
      <c r="AX142" s="232">
        <f t="shared" si="416"/>
        <v>32251</v>
      </c>
      <c r="AY142" s="232">
        <f t="shared" si="416"/>
        <v>31519</v>
      </c>
      <c r="AZ142" s="232">
        <f t="shared" si="416"/>
        <v>32838</v>
      </c>
      <c r="BA142" s="232">
        <f t="shared" si="416"/>
        <v>34276.780147420439</v>
      </c>
      <c r="BB142" s="232">
        <f t="shared" ref="BB142" si="417">SUM(BB139:BB141)</f>
        <v>35858.814135231318</v>
      </c>
      <c r="BC142" s="34">
        <f t="shared" si="416"/>
        <v>37604.049129121071</v>
      </c>
      <c r="BD142" s="34">
        <f t="shared" si="416"/>
        <v>39412.214226103104</v>
      </c>
      <c r="BE142" s="34">
        <f t="shared" ref="BE142" si="418">SUM(BE139:BE141)</f>
        <v>41088.050693411191</v>
      </c>
    </row>
    <row r="143" spans="1:70" x14ac:dyDescent="0.2">
      <c r="B143" s="39"/>
      <c r="C143" s="39" t="s">
        <v>237</v>
      </c>
      <c r="D143" s="40">
        <f t="shared" ref="D143:AE143" si="419">D115-D142</f>
        <v>0</v>
      </c>
      <c r="E143" s="40">
        <f t="shared" si="419"/>
        <v>0</v>
      </c>
      <c r="F143" s="40">
        <f t="shared" si="419"/>
        <v>0</v>
      </c>
      <c r="G143" s="40">
        <f t="shared" si="419"/>
        <v>0</v>
      </c>
      <c r="H143" s="40">
        <f t="shared" si="419"/>
        <v>0</v>
      </c>
      <c r="I143" s="40">
        <f t="shared" si="419"/>
        <v>0</v>
      </c>
      <c r="J143" s="40">
        <f t="shared" si="419"/>
        <v>0</v>
      </c>
      <c r="K143" s="40">
        <f t="shared" si="419"/>
        <v>0</v>
      </c>
      <c r="L143" s="40">
        <f t="shared" si="419"/>
        <v>0</v>
      </c>
      <c r="M143" s="40">
        <f t="shared" si="419"/>
        <v>0</v>
      </c>
      <c r="N143" s="40">
        <f t="shared" si="419"/>
        <v>0</v>
      </c>
      <c r="O143" s="40">
        <f t="shared" si="419"/>
        <v>0</v>
      </c>
      <c r="P143" s="40">
        <f t="shared" si="419"/>
        <v>0</v>
      </c>
      <c r="Q143" s="40">
        <f t="shared" si="419"/>
        <v>0</v>
      </c>
      <c r="R143" s="40">
        <f t="shared" si="419"/>
        <v>0</v>
      </c>
      <c r="S143" s="40">
        <f t="shared" si="419"/>
        <v>0</v>
      </c>
      <c r="T143" s="40">
        <f t="shared" si="419"/>
        <v>0</v>
      </c>
      <c r="U143" s="40">
        <f t="shared" si="419"/>
        <v>0</v>
      </c>
      <c r="V143" s="40">
        <f t="shared" si="419"/>
        <v>0</v>
      </c>
      <c r="W143" s="40">
        <f t="shared" si="419"/>
        <v>0</v>
      </c>
      <c r="X143" s="40">
        <f t="shared" si="419"/>
        <v>0</v>
      </c>
      <c r="Y143" s="40">
        <f t="shared" ref="Y143:Z143" si="420">Y115-Y142</f>
        <v>0</v>
      </c>
      <c r="Z143" s="40">
        <f t="shared" si="420"/>
        <v>0</v>
      </c>
      <c r="AA143" s="40">
        <f t="shared" ref="AA143:AB143" si="421">AA115-AA142</f>
        <v>0</v>
      </c>
      <c r="AB143" s="40">
        <f t="shared" si="421"/>
        <v>0</v>
      </c>
      <c r="AC143" s="40">
        <f t="shared" si="419"/>
        <v>0</v>
      </c>
      <c r="AD143" s="40">
        <f t="shared" si="419"/>
        <v>0</v>
      </c>
      <c r="AE143" s="40">
        <f t="shared" si="419"/>
        <v>0</v>
      </c>
      <c r="AF143" s="40">
        <f t="shared" ref="AF143:AI143" si="422">AF115-AF142</f>
        <v>0</v>
      </c>
      <c r="AG143" s="40">
        <f t="shared" si="422"/>
        <v>0</v>
      </c>
      <c r="AH143" s="40">
        <f t="shared" si="422"/>
        <v>0</v>
      </c>
      <c r="AI143" s="40">
        <f t="shared" si="422"/>
        <v>0</v>
      </c>
      <c r="AJ143" s="40"/>
      <c r="AK143" s="40"/>
      <c r="AL143" s="40"/>
      <c r="AM143" s="40"/>
      <c r="AN143" s="40"/>
      <c r="AO143" s="40"/>
      <c r="AP143" s="40"/>
      <c r="AQ143" s="40"/>
      <c r="AS143" s="39"/>
      <c r="AT143" s="39" t="s">
        <v>237</v>
      </c>
      <c r="AU143" s="40">
        <f t="shared" ref="AU143:BD143" si="423">AU115-AU142</f>
        <v>0</v>
      </c>
      <c r="AV143" s="40">
        <f t="shared" si="423"/>
        <v>0</v>
      </c>
      <c r="AW143" s="40">
        <f t="shared" si="423"/>
        <v>0</v>
      </c>
      <c r="AX143" s="40">
        <f t="shared" si="423"/>
        <v>0</v>
      </c>
      <c r="AY143" s="40">
        <f t="shared" si="423"/>
        <v>0</v>
      </c>
      <c r="AZ143" s="40">
        <f t="shared" si="423"/>
        <v>0</v>
      </c>
      <c r="BA143" s="40">
        <f t="shared" si="423"/>
        <v>0</v>
      </c>
      <c r="BB143" s="40">
        <f t="shared" ref="BB143" si="424">BB115-BB142</f>
        <v>0</v>
      </c>
      <c r="BC143" s="40">
        <f t="shared" si="423"/>
        <v>0</v>
      </c>
      <c r="BD143" s="40">
        <f t="shared" si="423"/>
        <v>0</v>
      </c>
      <c r="BE143" s="40">
        <f t="shared" ref="BE143" si="425">BE115-BE142</f>
        <v>0</v>
      </c>
    </row>
    <row r="144" spans="1:70" x14ac:dyDescent="0.2">
      <c r="B144" s="322"/>
      <c r="C144" s="16"/>
      <c r="D144" s="15"/>
      <c r="E144" s="15"/>
      <c r="F144" s="15"/>
      <c r="G144" s="15"/>
      <c r="H144" s="15"/>
      <c r="I144" s="15"/>
      <c r="J144" s="15"/>
      <c r="K144" s="15"/>
      <c r="L144" s="15"/>
      <c r="M144" s="15"/>
      <c r="N144" s="15"/>
      <c r="O144" s="15"/>
      <c r="P144" s="15"/>
      <c r="Q144" s="15"/>
      <c r="R144" s="15"/>
      <c r="S144" s="15"/>
      <c r="T144" s="15"/>
      <c r="U144" s="15"/>
      <c r="V144" s="15"/>
      <c r="W144" s="15"/>
      <c r="X144" s="15"/>
      <c r="Y144" s="34"/>
      <c r="Z144" s="1084">
        <f>Z140/V140-1</f>
        <v>0.11485943775100393</v>
      </c>
      <c r="AA144" s="1084">
        <f>AA140/W140-1</f>
        <v>0.12128712871287139</v>
      </c>
      <c r="AB144" s="15"/>
      <c r="AC144" s="15"/>
      <c r="AD144" s="15"/>
      <c r="AE144" s="15"/>
      <c r="AF144" s="15"/>
      <c r="AG144" s="15"/>
      <c r="AH144" s="15"/>
      <c r="AI144" s="15"/>
      <c r="AJ144" s="15"/>
      <c r="AK144" s="15"/>
      <c r="AL144" s="15"/>
      <c r="AM144" s="15"/>
      <c r="AN144" s="15"/>
      <c r="AO144" s="15"/>
      <c r="AP144" s="15"/>
      <c r="AQ144" s="15"/>
      <c r="AS144" s="322"/>
      <c r="AT144" s="16"/>
    </row>
    <row r="145" spans="1:71" x14ac:dyDescent="0.2">
      <c r="A145" s="411" t="s">
        <v>194</v>
      </c>
      <c r="B145" s="166" t="s">
        <v>178</v>
      </c>
      <c r="C145" s="166"/>
      <c r="D145" s="167"/>
      <c r="E145" s="167"/>
      <c r="F145" s="167"/>
      <c r="G145" s="167"/>
      <c r="H145" s="167"/>
      <c r="I145" s="167"/>
      <c r="J145" s="167"/>
      <c r="K145" s="167"/>
      <c r="L145" s="167"/>
      <c r="M145" s="167"/>
      <c r="N145" s="167"/>
      <c r="O145" s="167"/>
      <c r="P145" s="167"/>
      <c r="Q145" s="167"/>
      <c r="R145" s="167"/>
      <c r="S145" s="167"/>
      <c r="T145" s="167"/>
      <c r="U145" s="167"/>
      <c r="V145" s="167"/>
      <c r="W145" s="167"/>
      <c r="X145" s="167"/>
      <c r="Y145" s="167"/>
      <c r="Z145" s="1697"/>
      <c r="AA145" s="1697"/>
      <c r="AB145" s="167"/>
      <c r="AC145" s="167"/>
      <c r="AD145" s="167"/>
      <c r="AE145" s="167"/>
      <c r="AF145" s="167"/>
      <c r="AG145" s="167"/>
      <c r="AH145" s="167"/>
      <c r="AI145" s="167"/>
      <c r="AJ145" s="167"/>
      <c r="AK145" s="167"/>
      <c r="AL145" s="167"/>
      <c r="AM145" s="167"/>
      <c r="AN145" s="167"/>
      <c r="AO145" s="167"/>
      <c r="AP145" s="167"/>
      <c r="AQ145" s="167"/>
      <c r="AS145" s="166" t="s">
        <v>178</v>
      </c>
      <c r="AT145" s="166"/>
      <c r="AU145" s="167"/>
      <c r="AV145" s="167"/>
      <c r="AW145" s="167"/>
      <c r="AX145" s="167"/>
      <c r="AY145" s="167"/>
      <c r="AZ145" s="167"/>
      <c r="BA145" s="167"/>
      <c r="BB145" s="167"/>
      <c r="BC145" s="167"/>
      <c r="BD145" s="167"/>
      <c r="BE145" s="167"/>
      <c r="BF145" s="15"/>
      <c r="BG145" s="15"/>
      <c r="BH145" s="15"/>
      <c r="BI145" s="15"/>
      <c r="BJ145" s="15"/>
      <c r="BK145" s="15"/>
      <c r="BL145" s="15"/>
      <c r="BS145" s="15"/>
    </row>
    <row r="146" spans="1:71" x14ac:dyDescent="0.2">
      <c r="B146" s="16"/>
      <c r="C146" s="16"/>
      <c r="D146" s="20"/>
      <c r="E146" s="20"/>
      <c r="F146" s="20"/>
      <c r="G146" s="20"/>
      <c r="H146" s="20"/>
      <c r="I146" s="20"/>
      <c r="J146" s="20"/>
      <c r="K146" s="20"/>
      <c r="L146" s="20"/>
      <c r="M146" s="20"/>
      <c r="N146" s="20"/>
      <c r="O146" s="20"/>
      <c r="P146" s="20"/>
      <c r="Q146" s="20"/>
      <c r="R146" s="20"/>
      <c r="S146" s="20"/>
      <c r="T146" s="20"/>
      <c r="U146" s="20"/>
      <c r="V146" s="20"/>
      <c r="W146" s="20"/>
      <c r="X146" s="20"/>
      <c r="Y146" s="20"/>
      <c r="Z146" s="20"/>
      <c r="AA146" s="20"/>
      <c r="AB146" s="20"/>
      <c r="AC146" s="20"/>
      <c r="AD146" s="20"/>
      <c r="AE146" s="20"/>
      <c r="AF146" s="20"/>
      <c r="AG146" s="20"/>
      <c r="AH146" s="20"/>
      <c r="AI146" s="20"/>
      <c r="AJ146" s="20"/>
      <c r="AK146" s="20"/>
      <c r="AL146" s="20"/>
      <c r="AM146" s="20"/>
      <c r="AN146" s="20"/>
      <c r="AO146" s="20"/>
      <c r="AP146" s="20"/>
      <c r="AQ146" s="20"/>
      <c r="AS146" s="16"/>
      <c r="AT146" s="16"/>
    </row>
    <row r="147" spans="1:71" x14ac:dyDescent="0.2">
      <c r="B147" s="11" t="s">
        <v>188</v>
      </c>
      <c r="C147" s="11"/>
      <c r="D147" s="12"/>
      <c r="E147" s="12"/>
      <c r="F147" s="12"/>
      <c r="G147" s="12"/>
      <c r="H147" s="12"/>
      <c r="I147" s="12"/>
      <c r="J147" s="12"/>
      <c r="K147" s="12"/>
      <c r="L147" s="12"/>
      <c r="M147" s="12"/>
      <c r="N147" s="12"/>
      <c r="O147" s="12"/>
      <c r="P147" s="12"/>
      <c r="Q147" s="12"/>
      <c r="R147" s="12"/>
      <c r="S147" s="12"/>
      <c r="T147" s="12"/>
      <c r="U147" s="12"/>
      <c r="V147" s="12"/>
      <c r="W147" s="12"/>
      <c r="X147" s="12"/>
      <c r="Y147" s="12"/>
      <c r="Z147" s="12"/>
      <c r="AA147" s="12"/>
      <c r="AB147" s="12"/>
      <c r="AC147" s="12"/>
      <c r="AD147" s="12"/>
      <c r="AE147" s="12"/>
      <c r="AF147" s="12"/>
      <c r="AG147" s="12"/>
      <c r="AH147" s="12"/>
      <c r="AI147" s="12"/>
      <c r="AJ147" s="12"/>
      <c r="AK147" s="12"/>
      <c r="AL147" s="12"/>
      <c r="AM147" s="12"/>
      <c r="AN147" s="12"/>
      <c r="AO147" s="12"/>
      <c r="AP147" s="12"/>
      <c r="AQ147" s="12"/>
      <c r="AS147" s="11" t="s">
        <v>188</v>
      </c>
      <c r="AT147" s="11"/>
      <c r="AU147" s="12"/>
      <c r="AV147" s="12"/>
      <c r="AW147" s="12"/>
      <c r="AX147" s="12"/>
      <c r="AY147" s="12"/>
      <c r="AZ147" s="12"/>
      <c r="BA147" s="12"/>
      <c r="BB147" s="12"/>
      <c r="BC147" s="12"/>
      <c r="BD147" s="12"/>
      <c r="BE147" s="12"/>
    </row>
    <row r="148" spans="1:71" x14ac:dyDescent="0.2">
      <c r="B148" s="16"/>
      <c r="C148" s="16"/>
      <c r="D148" s="15"/>
      <c r="E148" s="15"/>
      <c r="F148" s="15"/>
      <c r="G148" s="15"/>
      <c r="H148" s="15"/>
      <c r="I148" s="15"/>
      <c r="J148" s="15"/>
      <c r="K148" s="15"/>
      <c r="L148" s="15"/>
      <c r="M148" s="15"/>
      <c r="N148" s="15"/>
      <c r="O148" s="15"/>
      <c r="P148" s="15"/>
      <c r="Q148" s="15"/>
      <c r="R148" s="15"/>
      <c r="S148" s="15"/>
      <c r="T148" s="15"/>
      <c r="U148" s="15"/>
      <c r="V148" s="15"/>
      <c r="W148" s="15"/>
      <c r="X148" s="15"/>
      <c r="Y148" s="15"/>
      <c r="Z148" s="15"/>
      <c r="AA148" s="15"/>
      <c r="AB148" s="15"/>
      <c r="AC148" s="15"/>
      <c r="AD148" s="15"/>
      <c r="AE148" s="15"/>
      <c r="AF148" s="15"/>
      <c r="AG148" s="15"/>
      <c r="AH148" s="15"/>
      <c r="AI148" s="15"/>
      <c r="AJ148" s="15"/>
      <c r="AK148" s="15"/>
      <c r="AL148" s="15"/>
      <c r="AM148" s="15"/>
      <c r="AN148" s="15"/>
      <c r="AO148" s="15"/>
      <c r="AP148" s="15"/>
      <c r="AQ148" s="15"/>
      <c r="AS148" s="16"/>
      <c r="AT148" s="16"/>
    </row>
    <row r="149" spans="1:71" x14ac:dyDescent="0.2">
      <c r="B149" s="315" t="s">
        <v>642</v>
      </c>
      <c r="C149" s="321"/>
      <c r="D149" s="437">
        <v>4148</v>
      </c>
      <c r="E149" s="437">
        <v>4052</v>
      </c>
      <c r="F149" s="437">
        <v>4196</v>
      </c>
      <c r="G149" s="437">
        <v>4253</v>
      </c>
      <c r="H149" s="437">
        <v>4188</v>
      </c>
      <c r="I149" s="437">
        <v>4102</v>
      </c>
      <c r="J149" s="437">
        <v>4173</v>
      </c>
      <c r="K149" s="437">
        <v>4340</v>
      </c>
      <c r="L149" s="437">
        <v>4217</v>
      </c>
      <c r="M149" s="437">
        <v>4241</v>
      </c>
      <c r="N149" s="437">
        <v>4395</v>
      </c>
      <c r="O149" s="437">
        <v>4475</v>
      </c>
      <c r="P149" s="437">
        <v>4285</v>
      </c>
      <c r="Q149" s="437">
        <v>4266</v>
      </c>
      <c r="R149" s="437">
        <v>4403</v>
      </c>
      <c r="S149" s="437">
        <v>4455</v>
      </c>
      <c r="T149" s="437">
        <v>4398</v>
      </c>
      <c r="U149" s="437">
        <v>4331</v>
      </c>
      <c r="V149" s="437">
        <v>4696</v>
      </c>
      <c r="W149" s="437">
        <v>4706</v>
      </c>
      <c r="X149" s="437">
        <v>4617</v>
      </c>
      <c r="Y149" s="437">
        <v>4632</v>
      </c>
      <c r="Z149" s="437">
        <v>4825</v>
      </c>
      <c r="AA149" s="437">
        <v>4805</v>
      </c>
      <c r="AB149" s="437">
        <v>4750</v>
      </c>
      <c r="AC149" s="37">
        <f t="shared" ref="AC149:AE149" si="426">AC175</f>
        <v>4758.6495993150675</v>
      </c>
      <c r="AD149" s="37">
        <f t="shared" si="426"/>
        <v>4938.6162377726041</v>
      </c>
      <c r="AE149" s="37">
        <f t="shared" si="426"/>
        <v>5008.0104080812598</v>
      </c>
      <c r="AF149" s="37">
        <f t="shared" ref="AF149:AI149" si="427">AF175</f>
        <v>4878.8018961315411</v>
      </c>
      <c r="AG149" s="37">
        <f t="shared" si="427"/>
        <v>4987.8035382852331</v>
      </c>
      <c r="AH149" s="37">
        <f t="shared" si="427"/>
        <v>5155.700644241474</v>
      </c>
      <c r="AI149" s="37">
        <f t="shared" si="427"/>
        <v>5253.1955132765788</v>
      </c>
      <c r="AJ149" s="37"/>
      <c r="AK149" s="37"/>
      <c r="AL149" s="37"/>
      <c r="AM149" s="37"/>
      <c r="AN149" s="37"/>
      <c r="AO149" s="37"/>
      <c r="AP149" s="37"/>
      <c r="AQ149" s="37"/>
      <c r="AS149" s="315" t="s">
        <v>209</v>
      </c>
      <c r="AT149" s="321"/>
      <c r="AU149" s="232">
        <f>SUM(D149:G149)</f>
        <v>16649</v>
      </c>
      <c r="AV149" s="232">
        <f>SUM(H149:K149)</f>
        <v>16803</v>
      </c>
      <c r="AW149" s="232">
        <f>SUM(L149:O149)</f>
        <v>17328</v>
      </c>
      <c r="AX149" s="232">
        <f>SUM(P149:S149)</f>
        <v>17409</v>
      </c>
      <c r="AY149" s="232">
        <f>SUM(T149:W149)</f>
        <v>18131</v>
      </c>
      <c r="AZ149" s="232">
        <f>SUM(X149:AA149)</f>
        <v>18879</v>
      </c>
      <c r="BA149" s="232">
        <f>SUM(AB149:AE149)</f>
        <v>19455.27624516893</v>
      </c>
      <c r="BB149" s="232">
        <f>SUM(AF149:AI149)</f>
        <v>20275.50159193483</v>
      </c>
      <c r="BC149" s="37">
        <f>BC175</f>
        <v>21223.58616356715</v>
      </c>
      <c r="BD149" s="37">
        <f>BD175</f>
        <v>22108.320907249417</v>
      </c>
      <c r="BE149" s="37">
        <f>BE175</f>
        <v>23049.461280522984</v>
      </c>
    </row>
    <row r="150" spans="1:71" x14ac:dyDescent="0.2">
      <c r="B150" s="375" t="s">
        <v>206</v>
      </c>
      <c r="C150" s="376"/>
      <c r="D150" s="438">
        <v>1105</v>
      </c>
      <c r="E150" s="438">
        <v>1134</v>
      </c>
      <c r="F150" s="438">
        <v>1258</v>
      </c>
      <c r="G150" s="438">
        <v>1146</v>
      </c>
      <c r="H150" s="438">
        <v>999</v>
      </c>
      <c r="I150" s="438">
        <v>1028</v>
      </c>
      <c r="J150" s="438">
        <v>640</v>
      </c>
      <c r="K150" s="438">
        <v>605</v>
      </c>
      <c r="L150" s="438">
        <v>639</v>
      </c>
      <c r="M150" s="438">
        <v>615</v>
      </c>
      <c r="N150" s="438">
        <v>675</v>
      </c>
      <c r="O150" s="438">
        <v>690</v>
      </c>
      <c r="P150" s="438">
        <v>723</v>
      </c>
      <c r="Q150" s="438">
        <v>582</v>
      </c>
      <c r="R150" s="438">
        <v>437</v>
      </c>
      <c r="S150" s="438">
        <v>364</v>
      </c>
      <c r="T150" s="438">
        <v>432</v>
      </c>
      <c r="U150" s="438">
        <v>378</v>
      </c>
      <c r="V150" s="438">
        <v>465</v>
      </c>
      <c r="W150" s="438">
        <v>353</v>
      </c>
      <c r="X150" s="438">
        <v>328</v>
      </c>
      <c r="Y150" s="438">
        <v>314</v>
      </c>
      <c r="Z150" s="438">
        <v>372</v>
      </c>
      <c r="AA150" s="438">
        <v>377</v>
      </c>
      <c r="AB150" s="438">
        <v>407</v>
      </c>
      <c r="AC150" s="41">
        <f t="shared" ref="AC150:AE150" si="428">AC181</f>
        <v>233.97409589041104</v>
      </c>
      <c r="AD150" s="41">
        <f t="shared" si="428"/>
        <v>268.90591506849319</v>
      </c>
      <c r="AE150" s="41">
        <f t="shared" si="428"/>
        <v>221.37146464383562</v>
      </c>
      <c r="AF150" s="41">
        <f t="shared" ref="AF150:AI150" si="429">AF181</f>
        <v>317.25848356993151</v>
      </c>
      <c r="AG150" s="41">
        <f t="shared" si="429"/>
        <v>280.24779663124656</v>
      </c>
      <c r="AH150" s="41">
        <f t="shared" si="429"/>
        <v>290.21152685552431</v>
      </c>
      <c r="AI150" s="41">
        <f t="shared" si="429"/>
        <v>215.18543252980191</v>
      </c>
      <c r="AJ150" s="232"/>
      <c r="AK150" s="232"/>
      <c r="AL150" s="232"/>
      <c r="AM150" s="232"/>
      <c r="AN150" s="232"/>
      <c r="AO150" s="232"/>
      <c r="AP150" s="232"/>
      <c r="AQ150" s="232"/>
      <c r="AS150" s="375" t="s">
        <v>206</v>
      </c>
      <c r="AT150" s="376"/>
      <c r="AU150" s="41">
        <f>SUM(D150:G150)</f>
        <v>4643</v>
      </c>
      <c r="AV150" s="41">
        <f>SUM(H150:K150)</f>
        <v>3272</v>
      </c>
      <c r="AW150" s="41">
        <f>SUM(L150:O150)</f>
        <v>2619</v>
      </c>
      <c r="AX150" s="41">
        <f>SUM(P150:S150)</f>
        <v>2106</v>
      </c>
      <c r="AY150" s="41">
        <f>SUM(T150:W150)</f>
        <v>1628</v>
      </c>
      <c r="AZ150" s="41">
        <f>SUM(X150:AA150)</f>
        <v>1391</v>
      </c>
      <c r="BA150" s="41">
        <f>SUM(AB150:AE150)</f>
        <v>1131.2514756027399</v>
      </c>
      <c r="BB150" s="41">
        <f>SUM(AF150:AI150)</f>
        <v>1102.9032395865042</v>
      </c>
      <c r="BC150" s="41">
        <f>BC181</f>
        <v>1145.0327515349122</v>
      </c>
      <c r="BD150" s="41">
        <f>BD181</f>
        <v>1260.3694953924403</v>
      </c>
      <c r="BE150" s="41">
        <f>BE181</f>
        <v>1322.2880536313339</v>
      </c>
    </row>
    <row r="151" spans="1:71" x14ac:dyDescent="0.2">
      <c r="B151" s="316" t="s">
        <v>643</v>
      </c>
      <c r="C151" s="387"/>
      <c r="D151" s="439">
        <f t="shared" ref="D151:AE151" si="430">SUM(D149:D150)</f>
        <v>5253</v>
      </c>
      <c r="E151" s="439">
        <f t="shared" si="430"/>
        <v>5186</v>
      </c>
      <c r="F151" s="439">
        <f t="shared" si="430"/>
        <v>5454</v>
      </c>
      <c r="G151" s="439">
        <f t="shared" si="430"/>
        <v>5399</v>
      </c>
      <c r="H151" s="439">
        <f t="shared" si="430"/>
        <v>5187</v>
      </c>
      <c r="I151" s="439">
        <f t="shared" si="430"/>
        <v>5130</v>
      </c>
      <c r="J151" s="439">
        <f t="shared" si="430"/>
        <v>4813</v>
      </c>
      <c r="K151" s="439">
        <f t="shared" si="430"/>
        <v>4945</v>
      </c>
      <c r="L151" s="439">
        <f t="shared" si="430"/>
        <v>4856</v>
      </c>
      <c r="M151" s="439">
        <f t="shared" si="430"/>
        <v>4856</v>
      </c>
      <c r="N151" s="439">
        <f t="shared" si="430"/>
        <v>5070</v>
      </c>
      <c r="O151" s="439">
        <f t="shared" si="430"/>
        <v>5165</v>
      </c>
      <c r="P151" s="439">
        <f t="shared" si="430"/>
        <v>5008</v>
      </c>
      <c r="Q151" s="439">
        <f t="shared" si="430"/>
        <v>4848</v>
      </c>
      <c r="R151" s="439">
        <f t="shared" si="430"/>
        <v>4840</v>
      </c>
      <c r="S151" s="439">
        <f t="shared" si="430"/>
        <v>4819</v>
      </c>
      <c r="T151" s="439">
        <f t="shared" si="430"/>
        <v>4830</v>
      </c>
      <c r="U151" s="439">
        <f t="shared" si="430"/>
        <v>4709</v>
      </c>
      <c r="V151" s="439">
        <f t="shared" si="430"/>
        <v>5161</v>
      </c>
      <c r="W151" s="439">
        <f t="shared" si="430"/>
        <v>5059</v>
      </c>
      <c r="X151" s="439">
        <f t="shared" si="430"/>
        <v>4945</v>
      </c>
      <c r="Y151" s="439">
        <f t="shared" ref="Y151:Z151" si="431">SUM(Y149:Y150)</f>
        <v>4946</v>
      </c>
      <c r="Z151" s="439">
        <f t="shared" si="431"/>
        <v>5197</v>
      </c>
      <c r="AA151" s="439">
        <f t="shared" ref="AA151:AB151" si="432">SUM(AA149:AA150)</f>
        <v>5182</v>
      </c>
      <c r="AB151" s="439">
        <f t="shared" si="432"/>
        <v>5157</v>
      </c>
      <c r="AC151" s="439">
        <f t="shared" si="430"/>
        <v>4992.6236952054787</v>
      </c>
      <c r="AD151" s="439">
        <f t="shared" si="430"/>
        <v>5207.5221528410975</v>
      </c>
      <c r="AE151" s="439">
        <f t="shared" si="430"/>
        <v>5229.3818727250955</v>
      </c>
      <c r="AF151" s="439">
        <f t="shared" ref="AF151:AI151" si="433">SUM(AF149:AF150)</f>
        <v>5196.0603797014728</v>
      </c>
      <c r="AG151" s="439">
        <f t="shared" si="433"/>
        <v>5268.0513349164794</v>
      </c>
      <c r="AH151" s="439">
        <f t="shared" si="433"/>
        <v>5445.9121710969985</v>
      </c>
      <c r="AI151" s="439">
        <f t="shared" si="433"/>
        <v>5468.3809458063806</v>
      </c>
      <c r="AJ151" s="439"/>
      <c r="AK151" s="439"/>
      <c r="AL151" s="439"/>
      <c r="AM151" s="439"/>
      <c r="AN151" s="439"/>
      <c r="AO151" s="439"/>
      <c r="AP151" s="439"/>
      <c r="AQ151" s="439"/>
      <c r="AS151" s="316" t="s">
        <v>189</v>
      </c>
      <c r="AT151" s="387"/>
      <c r="AU151" s="233">
        <f t="shared" ref="AU151:BD151" si="434">SUM(AU149:AU150)</f>
        <v>21292</v>
      </c>
      <c r="AV151" s="233">
        <f t="shared" si="434"/>
        <v>20075</v>
      </c>
      <c r="AW151" s="233">
        <f t="shared" si="434"/>
        <v>19947</v>
      </c>
      <c r="AX151" s="233">
        <f t="shared" si="434"/>
        <v>19515</v>
      </c>
      <c r="AY151" s="233">
        <f t="shared" si="434"/>
        <v>19759</v>
      </c>
      <c r="AZ151" s="233">
        <f t="shared" si="434"/>
        <v>20270</v>
      </c>
      <c r="BA151" s="233">
        <f t="shared" si="434"/>
        <v>20586.527720771672</v>
      </c>
      <c r="BB151" s="233">
        <f t="shared" ref="BB151" si="435">SUM(BB149:BB150)</f>
        <v>21378.404831521333</v>
      </c>
      <c r="BC151" s="439">
        <f t="shared" si="434"/>
        <v>22368.618915102063</v>
      </c>
      <c r="BD151" s="439">
        <f t="shared" si="434"/>
        <v>23368.690402641856</v>
      </c>
      <c r="BE151" s="439">
        <f t="shared" ref="BE151" si="436">SUM(BE149:BE150)</f>
        <v>24371.74933415432</v>
      </c>
    </row>
    <row r="152" spans="1:71" x14ac:dyDescent="0.2">
      <c r="B152" s="316"/>
      <c r="C152" s="387"/>
      <c r="D152" s="387"/>
      <c r="E152" s="15"/>
      <c r="F152" s="15"/>
      <c r="G152" s="15"/>
      <c r="H152" s="15"/>
      <c r="I152" s="15"/>
      <c r="J152" s="15"/>
      <c r="K152" s="15"/>
      <c r="L152" s="15"/>
      <c r="M152" s="15"/>
      <c r="N152" s="15"/>
      <c r="O152" s="15"/>
      <c r="P152" s="15"/>
      <c r="Q152" s="15"/>
      <c r="R152" s="15"/>
      <c r="S152" s="15"/>
      <c r="T152" s="15"/>
      <c r="U152" s="15"/>
      <c r="V152" s="15"/>
      <c r="W152" s="15"/>
      <c r="X152" s="15"/>
      <c r="Y152" s="1084">
        <f>Y151/U151-1</f>
        <v>5.0329156933531571E-2</v>
      </c>
      <c r="Z152" s="1084">
        <f>Z151/V151-1</f>
        <v>6.9753923658206762E-3</v>
      </c>
      <c r="AA152" s="1084">
        <f>AA151/W151-1</f>
        <v>2.4313105356789988E-2</v>
      </c>
      <c r="AB152" s="1084">
        <f>AB151/X151-1</f>
        <v>4.2871587462082861E-2</v>
      </c>
      <c r="AC152" s="15"/>
      <c r="AD152" s="15"/>
      <c r="AE152" s="15"/>
      <c r="AF152" s="15"/>
      <c r="AG152" s="15"/>
      <c r="AH152" s="15"/>
      <c r="AI152" s="15"/>
      <c r="AJ152" s="15"/>
      <c r="AK152" s="15"/>
      <c r="AL152" s="15"/>
      <c r="AM152" s="15"/>
      <c r="AN152" s="15"/>
      <c r="AO152" s="15"/>
      <c r="AP152" s="15"/>
      <c r="AQ152" s="15"/>
      <c r="AS152" s="316"/>
      <c r="AT152" s="387"/>
      <c r="BC152" s="15"/>
      <c r="BD152" s="15"/>
      <c r="BE152" s="15"/>
    </row>
    <row r="153" spans="1:71" x14ac:dyDescent="0.2">
      <c r="B153" s="322" t="s">
        <v>184</v>
      </c>
      <c r="C153" s="387"/>
      <c r="D153" s="440">
        <v>2459</v>
      </c>
      <c r="E153" s="440">
        <v>2576</v>
      </c>
      <c r="F153" s="440">
        <v>2591</v>
      </c>
      <c r="G153" s="440">
        <v>2799</v>
      </c>
      <c r="H153" s="440">
        <v>2549</v>
      </c>
      <c r="I153" s="440">
        <v>2508</v>
      </c>
      <c r="J153" s="440">
        <v>2475</v>
      </c>
      <c r="K153" s="440">
        <v>2535</v>
      </c>
      <c r="L153" s="440">
        <v>2484</v>
      </c>
      <c r="M153" s="440">
        <v>2394</v>
      </c>
      <c r="N153" s="440">
        <v>2459</v>
      </c>
      <c r="O153" s="440">
        <v>2555</v>
      </c>
      <c r="P153" s="440">
        <v>2338</v>
      </c>
      <c r="Q153" s="440">
        <v>2315</v>
      </c>
      <c r="R153" s="440">
        <v>2315</v>
      </c>
      <c r="S153" s="440">
        <v>2401</v>
      </c>
      <c r="T153" s="440">
        <v>2500</v>
      </c>
      <c r="U153" s="440">
        <v>2426</v>
      </c>
      <c r="V153" s="440">
        <v>2595</v>
      </c>
      <c r="W153" s="440">
        <v>2537</v>
      </c>
      <c r="X153" s="440">
        <v>2597</v>
      </c>
      <c r="Y153" s="440">
        <v>2598</v>
      </c>
      <c r="Z153" s="440">
        <v>2482</v>
      </c>
      <c r="AA153" s="440">
        <v>2568</v>
      </c>
      <c r="AB153" s="440">
        <v>2645</v>
      </c>
      <c r="AC153" s="441">
        <f>AC151*Drivers!AC113</f>
        <v>2446.3856106506846</v>
      </c>
      <c r="AD153" s="441">
        <f>AD151*Drivers!AD113</f>
        <v>2551.6858548921377</v>
      </c>
      <c r="AE153" s="441">
        <f>AE151*Drivers!AE113</f>
        <v>2562.3971176352966</v>
      </c>
      <c r="AF153" s="441">
        <f>AF151*Drivers!AF113</f>
        <v>2546.0695860537217</v>
      </c>
      <c r="AG153" s="441">
        <f>AG151*Drivers!AG113</f>
        <v>2555.0048974344922</v>
      </c>
      <c r="AH153" s="441">
        <f>AH151*Drivers!AH113</f>
        <v>2614.0378421265591</v>
      </c>
      <c r="AI153" s="441">
        <f>AI151*Drivers!AI113</f>
        <v>2624.8228539870624</v>
      </c>
      <c r="AJ153" s="441"/>
      <c r="AK153" s="441"/>
      <c r="AL153" s="441"/>
      <c r="AM153" s="441"/>
      <c r="AN153" s="441"/>
      <c r="AO153" s="441"/>
      <c r="AP153" s="441"/>
      <c r="AQ153" s="441"/>
      <c r="AS153" s="322" t="s">
        <v>184</v>
      </c>
      <c r="AT153" s="387"/>
      <c r="AU153" s="232">
        <f>SUM(D153:G153)</f>
        <v>10425</v>
      </c>
      <c r="AV153" s="232">
        <f>SUM(H153:K153)</f>
        <v>10067</v>
      </c>
      <c r="AW153" s="232">
        <f>SUM(L153:O153)</f>
        <v>9892</v>
      </c>
      <c r="AX153" s="232">
        <f>SUM(P153:S153)</f>
        <v>9369</v>
      </c>
      <c r="AY153" s="232">
        <f>SUM(T153:W153)</f>
        <v>10058</v>
      </c>
      <c r="AZ153" s="232">
        <f>SUM(X153:AA153)</f>
        <v>10245</v>
      </c>
      <c r="BA153" s="232">
        <f>SUM(AB153:AE153)</f>
        <v>10205.468583178119</v>
      </c>
      <c r="BB153" s="232">
        <f>SUM(AF153:AI153)</f>
        <v>10339.935179601835</v>
      </c>
      <c r="BC153" s="441">
        <f>BC151*Drivers!BC113</f>
        <v>10513.250890097968</v>
      </c>
      <c r="BD153" s="441">
        <f>BD151*Drivers!BD113</f>
        <v>10749.597585215255</v>
      </c>
      <c r="BE153" s="441">
        <f>BE151*Drivers!BE113</f>
        <v>11332.86344038176</v>
      </c>
    </row>
    <row r="154" spans="1:71" x14ac:dyDescent="0.2">
      <c r="B154" s="322"/>
      <c r="C154" s="387"/>
      <c r="D154" s="387"/>
      <c r="E154" s="15"/>
      <c r="F154" s="15"/>
      <c r="G154" s="15"/>
      <c r="H154" s="15"/>
      <c r="I154" s="15"/>
      <c r="J154" s="15"/>
      <c r="K154" s="15"/>
      <c r="L154" s="15"/>
      <c r="M154" s="15"/>
      <c r="N154" s="15"/>
      <c r="O154" s="15"/>
      <c r="P154" s="15"/>
      <c r="Q154" s="15"/>
      <c r="R154" s="15"/>
      <c r="S154" s="15"/>
      <c r="T154" s="15"/>
      <c r="U154" s="15"/>
      <c r="V154" s="15"/>
      <c r="W154" s="15"/>
      <c r="X154" s="15"/>
      <c r="Y154" s="15"/>
      <c r="Z154" s="15"/>
      <c r="AA154" s="15"/>
      <c r="AB154" s="15"/>
      <c r="AC154" s="15"/>
      <c r="AD154" s="15"/>
      <c r="AE154" s="15"/>
      <c r="AF154" s="15"/>
      <c r="AG154" s="15"/>
      <c r="AH154" s="15"/>
      <c r="AI154" s="15"/>
      <c r="AJ154" s="15"/>
      <c r="AK154" s="15"/>
      <c r="AL154" s="15"/>
      <c r="AM154" s="15"/>
      <c r="AN154" s="15"/>
      <c r="AO154" s="15"/>
      <c r="AP154" s="15"/>
      <c r="AQ154" s="15"/>
      <c r="AS154" s="322"/>
      <c r="AT154" s="387"/>
      <c r="BC154" s="15"/>
      <c r="BD154" s="15"/>
      <c r="BE154" s="15"/>
    </row>
    <row r="155" spans="1:71" x14ac:dyDescent="0.2">
      <c r="B155" s="322" t="s">
        <v>190</v>
      </c>
      <c r="C155" s="387"/>
      <c r="D155" s="442">
        <v>801</v>
      </c>
      <c r="E155" s="442">
        <v>714</v>
      </c>
      <c r="F155" s="442">
        <v>852</v>
      </c>
      <c r="G155" s="442">
        <v>1067</v>
      </c>
      <c r="H155" s="442">
        <v>900</v>
      </c>
      <c r="I155" s="442">
        <v>850</v>
      </c>
      <c r="J155" s="442">
        <v>877</v>
      </c>
      <c r="K155" s="442">
        <v>1038</v>
      </c>
      <c r="L155" s="442">
        <v>840</v>
      </c>
      <c r="M155" s="442">
        <v>686</v>
      </c>
      <c r="N155" s="442">
        <v>690</v>
      </c>
      <c r="O155" s="442">
        <v>779</v>
      </c>
      <c r="P155" s="442">
        <v>872</v>
      </c>
      <c r="Q155" s="442">
        <v>900</v>
      </c>
      <c r="R155" s="442">
        <v>828</v>
      </c>
      <c r="S155" s="442">
        <v>859</v>
      </c>
      <c r="T155" s="442">
        <v>1021</v>
      </c>
      <c r="U155" s="442">
        <v>1018</v>
      </c>
      <c r="V155" s="442">
        <v>1343</v>
      </c>
      <c r="W155" s="442">
        <v>1230</v>
      </c>
      <c r="X155" s="442">
        <v>1355</v>
      </c>
      <c r="Y155" s="442">
        <v>1292</v>
      </c>
      <c r="Z155" s="442">
        <v>1708</v>
      </c>
      <c r="AA155" s="442">
        <v>1347</v>
      </c>
      <c r="AB155" s="442">
        <v>1421</v>
      </c>
      <c r="AC155" s="34">
        <f t="shared" ref="AC155:AE156" si="437">AC1183</f>
        <v>1474.8177827945206</v>
      </c>
      <c r="AD155" s="34">
        <f t="shared" si="437"/>
        <v>1539.7005423615262</v>
      </c>
      <c r="AE155" s="34">
        <f t="shared" si="437"/>
        <v>1592.2048369440822</v>
      </c>
      <c r="AF155" s="34">
        <f t="shared" ref="AF155:AI155" si="438">AF1183</f>
        <v>1564.4927350919347</v>
      </c>
      <c r="AG155" s="34">
        <f t="shared" si="438"/>
        <v>1599.1317512243934</v>
      </c>
      <c r="AH155" s="34">
        <f t="shared" si="438"/>
        <v>1706.3221766830313</v>
      </c>
      <c r="AI155" s="34">
        <f t="shared" si="438"/>
        <v>1783.4176233111123</v>
      </c>
      <c r="AJ155" s="34"/>
      <c r="AK155" s="34"/>
      <c r="AL155" s="34"/>
      <c r="AM155" s="34"/>
      <c r="AN155" s="34"/>
      <c r="AO155" s="34"/>
      <c r="AP155" s="34"/>
      <c r="AQ155" s="34"/>
      <c r="AS155" s="322" t="s">
        <v>190</v>
      </c>
      <c r="AT155" s="387"/>
      <c r="AU155" s="232">
        <f>SUM(D155:G155)</f>
        <v>3434</v>
      </c>
      <c r="AV155" s="232">
        <f>SUM(H155:K155)</f>
        <v>3665</v>
      </c>
      <c r="AW155" s="232">
        <f>SUM(L155:O155)</f>
        <v>2995</v>
      </c>
      <c r="AX155" s="232">
        <f>SUM(P155:S155)</f>
        <v>3459</v>
      </c>
      <c r="AY155" s="232">
        <f>SUM(T155:W155)</f>
        <v>4612</v>
      </c>
      <c r="AZ155" s="232">
        <f>SUM(X155:AA155)</f>
        <v>5702</v>
      </c>
      <c r="BA155" s="232">
        <f>SUM(AB155:AE155)</f>
        <v>6027.7231621001283</v>
      </c>
      <c r="BB155" s="232">
        <f>SUM(AF155:AI155)</f>
        <v>6653.3642863104715</v>
      </c>
      <c r="BC155" s="34">
        <f t="shared" ref="BC155:BD156" si="439">BC1183</f>
        <v>7461.4261992635866</v>
      </c>
      <c r="BD155" s="34">
        <f t="shared" si="439"/>
        <v>8293.2145815098611</v>
      </c>
      <c r="BE155" s="34">
        <f t="shared" ref="BE155" si="440">BE1183</f>
        <v>9199.4084386045688</v>
      </c>
    </row>
    <row r="156" spans="1:71" x14ac:dyDescent="0.2">
      <c r="B156" s="322"/>
      <c r="C156" s="322" t="s">
        <v>193</v>
      </c>
      <c r="D156" s="442">
        <v>1629</v>
      </c>
      <c r="E156" s="105">
        <v>1509</v>
      </c>
      <c r="F156" s="105">
        <v>1351</v>
      </c>
      <c r="G156" s="105">
        <v>1266</v>
      </c>
      <c r="H156" s="105">
        <v>1257</v>
      </c>
      <c r="I156" s="105">
        <v>1189</v>
      </c>
      <c r="J156" s="105">
        <v>1084</v>
      </c>
      <c r="K156" s="105">
        <v>1108</v>
      </c>
      <c r="L156" s="105">
        <v>1102</v>
      </c>
      <c r="M156" s="105">
        <v>1073</v>
      </c>
      <c r="N156" s="105">
        <v>1018</v>
      </c>
      <c r="O156" s="105">
        <v>1013</v>
      </c>
      <c r="P156" s="105">
        <v>961</v>
      </c>
      <c r="Q156" s="105">
        <v>999</v>
      </c>
      <c r="R156" s="105">
        <v>877</v>
      </c>
      <c r="S156" s="105">
        <v>914</v>
      </c>
      <c r="T156" s="105">
        <v>933</v>
      </c>
      <c r="U156" s="105">
        <v>954</v>
      </c>
      <c r="V156" s="105">
        <v>927</v>
      </c>
      <c r="W156" s="105">
        <v>1105</v>
      </c>
      <c r="X156" s="105">
        <v>1190</v>
      </c>
      <c r="Y156" s="105">
        <v>1181</v>
      </c>
      <c r="Z156" s="105">
        <v>1239</v>
      </c>
      <c r="AA156" s="105">
        <v>1186</v>
      </c>
      <c r="AB156" s="105">
        <v>1296</v>
      </c>
      <c r="AC156" s="34">
        <f t="shared" si="437"/>
        <v>1340.7434389041096</v>
      </c>
      <c r="AD156" s="34">
        <f t="shared" si="437"/>
        <v>1399.7277657832055</v>
      </c>
      <c r="AE156" s="34">
        <f t="shared" si="437"/>
        <v>1447.4589426764383</v>
      </c>
      <c r="AF156" s="34">
        <f t="shared" ref="AF156:AI156" si="441">AF1184</f>
        <v>1422.2661228108495</v>
      </c>
      <c r="AG156" s="34">
        <f t="shared" si="441"/>
        <v>1453.7561374767211</v>
      </c>
      <c r="AH156" s="34">
        <f t="shared" si="441"/>
        <v>1551.2019788027555</v>
      </c>
      <c r="AI156" s="34">
        <f t="shared" si="441"/>
        <v>1621.2887484646474</v>
      </c>
      <c r="AJ156" s="34"/>
      <c r="AK156" s="34"/>
      <c r="AL156" s="34"/>
      <c r="AM156" s="34"/>
      <c r="AN156" s="34"/>
      <c r="AO156" s="34"/>
      <c r="AP156" s="34"/>
      <c r="AQ156" s="34"/>
      <c r="AS156" s="322"/>
      <c r="AT156" s="322" t="s">
        <v>193</v>
      </c>
      <c r="AU156" s="232">
        <f>SUM(D156:G156)</f>
        <v>5755</v>
      </c>
      <c r="AV156" s="232">
        <f>SUM(H156:K156)</f>
        <v>4638</v>
      </c>
      <c r="AW156" s="232">
        <f>SUM(L156:O156)</f>
        <v>4206</v>
      </c>
      <c r="AX156" s="232">
        <f>SUM(P156:S156)</f>
        <v>3751</v>
      </c>
      <c r="AY156" s="232">
        <f>SUM(T156:W156)</f>
        <v>3919</v>
      </c>
      <c r="AZ156" s="232">
        <f>SUM(X156:AA156)</f>
        <v>4796</v>
      </c>
      <c r="BA156" s="232">
        <f>SUM(AB156:AE156)</f>
        <v>5483.9301473637533</v>
      </c>
      <c r="BB156" s="232">
        <f>SUM(AF156:AI156)</f>
        <v>6048.5129875549737</v>
      </c>
      <c r="BC156" s="34">
        <f t="shared" si="439"/>
        <v>6783.1147266032604</v>
      </c>
      <c r="BD156" s="34">
        <f t="shared" si="439"/>
        <v>7539.2859831907817</v>
      </c>
      <c r="BE156" s="34">
        <f t="shared" ref="BE156" si="442">BE1184</f>
        <v>8363.0985805496075</v>
      </c>
    </row>
    <row r="157" spans="1:71" x14ac:dyDescent="0.2">
      <c r="B157" s="322"/>
      <c r="C157" s="322" t="s">
        <v>243</v>
      </c>
      <c r="D157" s="433">
        <f t="shared" ref="D157:AE157" si="443">D155-D156</f>
        <v>-828</v>
      </c>
      <c r="E157" s="433">
        <f t="shared" si="443"/>
        <v>-795</v>
      </c>
      <c r="F157" s="433">
        <f t="shared" si="443"/>
        <v>-499</v>
      </c>
      <c r="G157" s="433">
        <f t="shared" si="443"/>
        <v>-199</v>
      </c>
      <c r="H157" s="433">
        <f t="shared" si="443"/>
        <v>-357</v>
      </c>
      <c r="I157" s="433">
        <f t="shared" si="443"/>
        <v>-339</v>
      </c>
      <c r="J157" s="433">
        <f t="shared" si="443"/>
        <v>-207</v>
      </c>
      <c r="K157" s="433">
        <f t="shared" si="443"/>
        <v>-70</v>
      </c>
      <c r="L157" s="433">
        <f t="shared" si="443"/>
        <v>-262</v>
      </c>
      <c r="M157" s="433">
        <f t="shared" si="443"/>
        <v>-387</v>
      </c>
      <c r="N157" s="433">
        <f t="shared" si="443"/>
        <v>-328</v>
      </c>
      <c r="O157" s="433">
        <f t="shared" si="443"/>
        <v>-234</v>
      </c>
      <c r="P157" s="433">
        <f t="shared" si="443"/>
        <v>-89</v>
      </c>
      <c r="Q157" s="433">
        <f t="shared" si="443"/>
        <v>-99</v>
      </c>
      <c r="R157" s="433">
        <f t="shared" si="443"/>
        <v>-49</v>
      </c>
      <c r="S157" s="433">
        <f t="shared" si="443"/>
        <v>-55</v>
      </c>
      <c r="T157" s="433">
        <f t="shared" si="443"/>
        <v>88</v>
      </c>
      <c r="U157" s="433">
        <f t="shared" si="443"/>
        <v>64</v>
      </c>
      <c r="V157" s="433">
        <f t="shared" si="443"/>
        <v>416</v>
      </c>
      <c r="W157" s="433">
        <f t="shared" si="443"/>
        <v>125</v>
      </c>
      <c r="X157" s="433">
        <f t="shared" si="443"/>
        <v>165</v>
      </c>
      <c r="Y157" s="433">
        <f t="shared" ref="Y157" si="444">Y155-Y156</f>
        <v>111</v>
      </c>
      <c r="Z157" s="433">
        <f t="shared" ref="Z157:AA157" si="445">Z155-Z156</f>
        <v>469</v>
      </c>
      <c r="AA157" s="433">
        <f t="shared" si="445"/>
        <v>161</v>
      </c>
      <c r="AB157" s="433">
        <f t="shared" ref="AB157" si="446">AB155-AB156</f>
        <v>125</v>
      </c>
      <c r="AC157" s="433">
        <f t="shared" si="443"/>
        <v>134.074343890411</v>
      </c>
      <c r="AD157" s="433">
        <f t="shared" si="443"/>
        <v>139.97277657832069</v>
      </c>
      <c r="AE157" s="433">
        <f t="shared" si="443"/>
        <v>144.74589426764396</v>
      </c>
      <c r="AF157" s="433">
        <f t="shared" ref="AF157:AI157" si="447">AF155-AF156</f>
        <v>142.22661228108518</v>
      </c>
      <c r="AG157" s="433">
        <f t="shared" si="447"/>
        <v>145.37561374767233</v>
      </c>
      <c r="AH157" s="433">
        <f t="shared" si="447"/>
        <v>155.12019788027578</v>
      </c>
      <c r="AI157" s="433">
        <f t="shared" si="447"/>
        <v>162.1288748464649</v>
      </c>
      <c r="AJ157" s="433"/>
      <c r="AK157" s="433"/>
      <c r="AL157" s="433"/>
      <c r="AM157" s="433"/>
      <c r="AN157" s="433"/>
      <c r="AO157" s="433"/>
      <c r="AP157" s="433"/>
      <c r="AQ157" s="433"/>
      <c r="AS157" s="322"/>
      <c r="AT157" s="322" t="s">
        <v>243</v>
      </c>
      <c r="AU157" s="232">
        <f>SUM(D157:G157)</f>
        <v>-2321</v>
      </c>
      <c r="AV157" s="232">
        <f>SUM(H157:K157)</f>
        <v>-973</v>
      </c>
      <c r="AW157" s="232">
        <f>SUM(L157:O157)</f>
        <v>-1211</v>
      </c>
      <c r="AX157" s="232">
        <f>SUM(P157:S157)</f>
        <v>-292</v>
      </c>
      <c r="AY157" s="232">
        <f>SUM(T157:W157)</f>
        <v>693</v>
      </c>
      <c r="AZ157" s="232">
        <f>SUM(X157:AA157)</f>
        <v>906</v>
      </c>
      <c r="BA157" s="232">
        <f>SUM(AB157:AE157)</f>
        <v>543.79301473637565</v>
      </c>
      <c r="BB157" s="232">
        <f>SUM(AF157:AI157)</f>
        <v>604.85129875549819</v>
      </c>
      <c r="BC157" s="433">
        <f>BC155-BC156</f>
        <v>678.31147266032622</v>
      </c>
      <c r="BD157" s="433">
        <f>BD155-BD156</f>
        <v>753.92859831907936</v>
      </c>
      <c r="BE157" s="433">
        <f>BE155-BE156</f>
        <v>836.3098580549613</v>
      </c>
    </row>
    <row r="158" spans="1:71" x14ac:dyDescent="0.2">
      <c r="B158" s="322"/>
      <c r="C158" s="322"/>
      <c r="D158" s="387"/>
      <c r="E158" s="15"/>
      <c r="F158" s="15"/>
      <c r="G158" s="15"/>
      <c r="H158" s="15"/>
      <c r="I158" s="15"/>
      <c r="J158" s="15"/>
      <c r="K158" s="15"/>
      <c r="L158" s="15"/>
      <c r="M158" s="15"/>
      <c r="N158" s="15"/>
      <c r="O158" s="15"/>
      <c r="P158" s="15"/>
      <c r="Q158" s="15"/>
      <c r="R158" s="15"/>
      <c r="S158" s="15"/>
      <c r="T158" s="15"/>
      <c r="U158" s="15"/>
      <c r="V158" s="15"/>
      <c r="W158" s="15"/>
      <c r="X158" s="15"/>
      <c r="Y158" s="15"/>
      <c r="Z158" s="15"/>
      <c r="AA158" s="15"/>
      <c r="AB158" s="15"/>
      <c r="AC158" s="15"/>
      <c r="AD158" s="15"/>
      <c r="AE158" s="15"/>
      <c r="AF158" s="15"/>
      <c r="AG158" s="15"/>
      <c r="AH158" s="15"/>
      <c r="AI158" s="15"/>
      <c r="AJ158" s="15"/>
      <c r="AK158" s="15"/>
      <c r="AL158" s="15"/>
      <c r="AM158" s="15"/>
      <c r="AN158" s="15"/>
      <c r="AO158" s="15"/>
      <c r="AP158" s="15"/>
      <c r="AQ158" s="15"/>
      <c r="AS158" s="322"/>
      <c r="AT158" s="322"/>
      <c r="BC158" s="15"/>
      <c r="BD158" s="15"/>
      <c r="BE158" s="15"/>
    </row>
    <row r="159" spans="1:71" x14ac:dyDescent="0.2">
      <c r="B159" s="322" t="s">
        <v>89</v>
      </c>
      <c r="C159" s="387"/>
      <c r="D159" s="439">
        <f t="shared" ref="D159:AE159" si="448">D151-D153-D155</f>
        <v>1993</v>
      </c>
      <c r="E159" s="439">
        <f t="shared" si="448"/>
        <v>1896</v>
      </c>
      <c r="F159" s="439">
        <f t="shared" si="448"/>
        <v>2011</v>
      </c>
      <c r="G159" s="439">
        <f t="shared" si="448"/>
        <v>1533</v>
      </c>
      <c r="H159" s="439">
        <f t="shared" si="448"/>
        <v>1738</v>
      </c>
      <c r="I159" s="439">
        <f t="shared" si="448"/>
        <v>1772</v>
      </c>
      <c r="J159" s="439">
        <f t="shared" si="448"/>
        <v>1461</v>
      </c>
      <c r="K159" s="439">
        <f t="shared" si="448"/>
        <v>1372</v>
      </c>
      <c r="L159" s="439">
        <f t="shared" si="448"/>
        <v>1532</v>
      </c>
      <c r="M159" s="439">
        <f t="shared" si="448"/>
        <v>1776</v>
      </c>
      <c r="N159" s="439">
        <f t="shared" si="448"/>
        <v>1921</v>
      </c>
      <c r="O159" s="439">
        <f t="shared" si="448"/>
        <v>1831</v>
      </c>
      <c r="P159" s="439">
        <f t="shared" si="448"/>
        <v>1798</v>
      </c>
      <c r="Q159" s="439">
        <f t="shared" si="448"/>
        <v>1633</v>
      </c>
      <c r="R159" s="439">
        <f t="shared" si="448"/>
        <v>1697</v>
      </c>
      <c r="S159" s="439">
        <f t="shared" si="448"/>
        <v>1559</v>
      </c>
      <c r="T159" s="439">
        <f t="shared" si="448"/>
        <v>1309</v>
      </c>
      <c r="U159" s="439">
        <f t="shared" si="448"/>
        <v>1265</v>
      </c>
      <c r="V159" s="439">
        <f t="shared" si="448"/>
        <v>1223</v>
      </c>
      <c r="W159" s="439">
        <f t="shared" si="448"/>
        <v>1292</v>
      </c>
      <c r="X159" s="439">
        <f t="shared" si="448"/>
        <v>993</v>
      </c>
      <c r="Y159" s="439">
        <f t="shared" ref="Y159" si="449">Y151-Y153-Y155</f>
        <v>1056</v>
      </c>
      <c r="Z159" s="439">
        <f t="shared" ref="Z159:AA159" si="450">Z151-Z153-Z155</f>
        <v>1007</v>
      </c>
      <c r="AA159" s="439">
        <f t="shared" si="450"/>
        <v>1267</v>
      </c>
      <c r="AB159" s="439">
        <f t="shared" ref="AB159" si="451">AB151-AB153-AB155</f>
        <v>1091</v>
      </c>
      <c r="AC159" s="439">
        <f t="shared" si="448"/>
        <v>1071.4203017602736</v>
      </c>
      <c r="AD159" s="439">
        <f t="shared" si="448"/>
        <v>1116.1357555874336</v>
      </c>
      <c r="AE159" s="439">
        <f t="shared" si="448"/>
        <v>1074.7799181457167</v>
      </c>
      <c r="AF159" s="439">
        <f t="shared" ref="AF159:AI159" si="452">AF151-AF153-AF155</f>
        <v>1085.4980585558164</v>
      </c>
      <c r="AG159" s="439">
        <f t="shared" si="452"/>
        <v>1113.9146862575938</v>
      </c>
      <c r="AH159" s="439">
        <f t="shared" si="452"/>
        <v>1125.552152287408</v>
      </c>
      <c r="AI159" s="439">
        <f t="shared" si="452"/>
        <v>1060.1404685082059</v>
      </c>
      <c r="AJ159" s="439"/>
      <c r="AK159" s="439"/>
      <c r="AL159" s="439"/>
      <c r="AM159" s="439"/>
      <c r="AN159" s="439"/>
      <c r="AO159" s="439"/>
      <c r="AP159" s="439"/>
      <c r="AQ159" s="439"/>
      <c r="AS159" s="322" t="s">
        <v>89</v>
      </c>
      <c r="AT159" s="387"/>
      <c r="AU159" s="232">
        <f>SUM(D159:G159)</f>
        <v>7433</v>
      </c>
      <c r="AV159" s="232">
        <f>SUM(H159:K159)</f>
        <v>6343</v>
      </c>
      <c r="AW159" s="232">
        <f>SUM(L159:O159)</f>
        <v>7060</v>
      </c>
      <c r="AX159" s="232">
        <f>SUM(P159:S159)</f>
        <v>6687</v>
      </c>
      <c r="AY159" s="232">
        <f>SUM(T159:W159)</f>
        <v>5089</v>
      </c>
      <c r="AZ159" s="232">
        <f>SUM(X159:AA159)</f>
        <v>4323</v>
      </c>
      <c r="BA159" s="232">
        <f>SUM(AB159:AE159)</f>
        <v>4353.3359754934236</v>
      </c>
      <c r="BB159" s="232">
        <f>SUM(AF159:AI159)</f>
        <v>4385.1053656090244</v>
      </c>
      <c r="BC159" s="439">
        <f>BC151-BC153-BC155</f>
        <v>4393.9418257405077</v>
      </c>
      <c r="BD159" s="439">
        <f>BD151-BD153-BD155</f>
        <v>4325.8782359167399</v>
      </c>
      <c r="BE159" s="439">
        <f>BE151-BE153-BE155</f>
        <v>3839.4774551679911</v>
      </c>
    </row>
    <row r="160" spans="1:71" s="207" customFormat="1" x14ac:dyDescent="0.2">
      <c r="A160" s="832"/>
      <c r="B160" s="37"/>
      <c r="C160" s="434" t="s">
        <v>90</v>
      </c>
      <c r="D160" s="37">
        <f t="shared" ref="D160:X160" si="453">D159-D162</f>
        <v>715</v>
      </c>
      <c r="E160" s="37">
        <f t="shared" si="453"/>
        <v>746</v>
      </c>
      <c r="F160" s="37">
        <f t="shared" si="453"/>
        <v>758</v>
      </c>
      <c r="G160" s="37">
        <f t="shared" si="453"/>
        <v>582</v>
      </c>
      <c r="H160" s="37">
        <f t="shared" si="453"/>
        <v>653</v>
      </c>
      <c r="I160" s="37">
        <f t="shared" si="453"/>
        <v>679</v>
      </c>
      <c r="J160" s="37">
        <f t="shared" si="453"/>
        <v>554</v>
      </c>
      <c r="K160" s="37">
        <f t="shared" si="453"/>
        <v>492</v>
      </c>
      <c r="L160" s="37">
        <f t="shared" si="453"/>
        <v>497</v>
      </c>
      <c r="M160" s="37">
        <f t="shared" si="453"/>
        <v>682</v>
      </c>
      <c r="N160" s="37">
        <f t="shared" si="453"/>
        <v>716</v>
      </c>
      <c r="O160" s="37">
        <f t="shared" si="453"/>
        <v>673</v>
      </c>
      <c r="P160" s="37">
        <f t="shared" si="453"/>
        <v>677</v>
      </c>
      <c r="Q160" s="37">
        <f t="shared" si="453"/>
        <v>577</v>
      </c>
      <c r="R160" s="37">
        <f t="shared" si="453"/>
        <v>648</v>
      </c>
      <c r="S160" s="37">
        <f t="shared" si="453"/>
        <v>597</v>
      </c>
      <c r="T160" s="37">
        <f t="shared" si="453"/>
        <v>476</v>
      </c>
      <c r="U160" s="37">
        <f t="shared" si="453"/>
        <v>450</v>
      </c>
      <c r="V160" s="37">
        <f t="shared" si="453"/>
        <v>443</v>
      </c>
      <c r="W160" s="37">
        <f t="shared" si="453"/>
        <v>482</v>
      </c>
      <c r="X160" s="37">
        <f t="shared" si="453"/>
        <v>379</v>
      </c>
      <c r="Y160" s="37">
        <f t="shared" ref="Y160" si="454">Y159-Y162</f>
        <v>399</v>
      </c>
      <c r="Z160" s="37">
        <f t="shared" ref="Z160:AA160" si="455">Z159-Z162</f>
        <v>365</v>
      </c>
      <c r="AA160" s="37">
        <f t="shared" si="455"/>
        <v>1190</v>
      </c>
      <c r="AB160" s="37">
        <f t="shared" ref="AB160" si="456">AB159-AB162</f>
        <v>253</v>
      </c>
      <c r="AC160" s="37">
        <f t="shared" ref="AC160:AE160" si="457">AC159*AC161</f>
        <v>267.85507544006839</v>
      </c>
      <c r="AD160" s="37">
        <f t="shared" si="457"/>
        <v>279.03393889685839</v>
      </c>
      <c r="AE160" s="37">
        <f t="shared" si="457"/>
        <v>268.69497953642917</v>
      </c>
      <c r="AF160" s="37">
        <f t="shared" ref="AF160:AI160" si="458">AF159*AF161</f>
        <v>260.51953405339594</v>
      </c>
      <c r="AG160" s="37">
        <f t="shared" si="458"/>
        <v>267.33952470182248</v>
      </c>
      <c r="AH160" s="37">
        <f t="shared" si="458"/>
        <v>270.13251654897795</v>
      </c>
      <c r="AI160" s="37">
        <f t="shared" si="458"/>
        <v>254.43371244196942</v>
      </c>
      <c r="AJ160" s="37"/>
      <c r="AK160" s="37"/>
      <c r="AL160" s="37"/>
      <c r="AM160" s="37"/>
      <c r="AN160" s="37"/>
      <c r="AO160" s="37"/>
      <c r="AP160" s="37"/>
      <c r="AQ160" s="37"/>
      <c r="AR160" s="70"/>
      <c r="AS160" s="37"/>
      <c r="AT160" s="434" t="s">
        <v>90</v>
      </c>
      <c r="AU160" s="232">
        <f t="shared" ref="AU160:BA160" si="459">AU159-AU162</f>
        <v>2801</v>
      </c>
      <c r="AV160" s="232">
        <f t="shared" si="459"/>
        <v>2378</v>
      </c>
      <c r="AW160" s="232">
        <f t="shared" si="459"/>
        <v>2568</v>
      </c>
      <c r="AX160" s="232">
        <f t="shared" si="459"/>
        <v>2499</v>
      </c>
      <c r="AY160" s="232">
        <f t="shared" si="459"/>
        <v>1851</v>
      </c>
      <c r="AZ160" s="232">
        <f t="shared" si="459"/>
        <v>2333</v>
      </c>
      <c r="BA160" s="232">
        <f t="shared" si="459"/>
        <v>1068.5839938733561</v>
      </c>
      <c r="BB160" s="232">
        <f t="shared" ref="BB160" si="460">BB159-BB162</f>
        <v>1052.4252877461658</v>
      </c>
      <c r="BC160" s="37">
        <f>BC159*BC161</f>
        <v>1054.5460381777218</v>
      </c>
      <c r="BD160" s="37">
        <f>BD159*BD161</f>
        <v>1038.2107766200174</v>
      </c>
      <c r="BE160" s="37">
        <f>BE159*BE161</f>
        <v>921.47458924031787</v>
      </c>
      <c r="BM160"/>
      <c r="BN160"/>
      <c r="BO160"/>
      <c r="BP160"/>
      <c r="BQ160"/>
      <c r="BR160"/>
    </row>
    <row r="161" spans="1:70" x14ac:dyDescent="0.2">
      <c r="B161" s="322"/>
      <c r="C161" s="434" t="s">
        <v>191</v>
      </c>
      <c r="D161" s="435">
        <f t="shared" ref="D161:X161" si="461">D160/D159</f>
        <v>0.35875564475664828</v>
      </c>
      <c r="E161" s="435">
        <f t="shared" si="461"/>
        <v>0.39345991561181437</v>
      </c>
      <c r="F161" s="435">
        <f t="shared" si="461"/>
        <v>0.37692690203878665</v>
      </c>
      <c r="G161" s="435">
        <f t="shared" si="461"/>
        <v>0.37964774951076319</v>
      </c>
      <c r="H161" s="435">
        <f t="shared" si="461"/>
        <v>0.37571921749136938</v>
      </c>
      <c r="I161" s="435">
        <f t="shared" si="461"/>
        <v>0.38318284424379234</v>
      </c>
      <c r="J161" s="435">
        <f t="shared" si="461"/>
        <v>0.37919233401779601</v>
      </c>
      <c r="K161" s="435">
        <f t="shared" si="461"/>
        <v>0.35860058309037901</v>
      </c>
      <c r="L161" s="435">
        <f t="shared" si="461"/>
        <v>0.3244125326370757</v>
      </c>
      <c r="M161" s="435">
        <f t="shared" si="461"/>
        <v>0.38400900900900903</v>
      </c>
      <c r="N161" s="435">
        <f t="shared" si="461"/>
        <v>0.37272254034357105</v>
      </c>
      <c r="O161" s="435">
        <f t="shared" si="461"/>
        <v>0.3675587110868378</v>
      </c>
      <c r="P161" s="435">
        <f t="shared" si="461"/>
        <v>0.37652947719688545</v>
      </c>
      <c r="Q161" s="435">
        <f t="shared" si="461"/>
        <v>0.35333741579914268</v>
      </c>
      <c r="R161" s="435">
        <f t="shared" si="461"/>
        <v>0.38185032410135533</v>
      </c>
      <c r="S161" s="435">
        <f t="shared" si="461"/>
        <v>0.38293778062860806</v>
      </c>
      <c r="T161" s="435">
        <f t="shared" si="461"/>
        <v>0.36363636363636365</v>
      </c>
      <c r="U161" s="435">
        <f t="shared" si="461"/>
        <v>0.35573122529644269</v>
      </c>
      <c r="V161" s="435">
        <f t="shared" si="461"/>
        <v>0.36222403924775143</v>
      </c>
      <c r="W161" s="435">
        <f t="shared" si="461"/>
        <v>0.37306501547987614</v>
      </c>
      <c r="X161" s="435">
        <f t="shared" si="461"/>
        <v>0.38167170191339378</v>
      </c>
      <c r="Y161" s="435">
        <f t="shared" ref="Y161" si="462">Y160/Y159</f>
        <v>0.37784090909090912</v>
      </c>
      <c r="Z161" s="435">
        <f t="shared" ref="Z161:AA161" si="463">Z160/Z159</f>
        <v>0.36246276067527311</v>
      </c>
      <c r="AA161" s="435">
        <f t="shared" si="463"/>
        <v>0.93922651933701662</v>
      </c>
      <c r="AB161" s="435">
        <f t="shared" ref="AB161" si="464">AB160/AB159</f>
        <v>0.23189734188817598</v>
      </c>
      <c r="AC161" s="349">
        <f>Drivers!AC119</f>
        <v>0.25</v>
      </c>
      <c r="AD161" s="349">
        <f>Drivers!AD119</f>
        <v>0.25</v>
      </c>
      <c r="AE161" s="349">
        <f>Drivers!AE119</f>
        <v>0.25</v>
      </c>
      <c r="AF161" s="349">
        <f>Drivers!AF119</f>
        <v>0.24</v>
      </c>
      <c r="AG161" s="349">
        <f>Drivers!AG119</f>
        <v>0.24</v>
      </c>
      <c r="AH161" s="349">
        <f>Drivers!AH119</f>
        <v>0.24</v>
      </c>
      <c r="AI161" s="349">
        <f>Drivers!AI119</f>
        <v>0.24</v>
      </c>
      <c r="AJ161" s="349"/>
      <c r="AK161" s="349"/>
      <c r="AL161" s="349"/>
      <c r="AM161" s="349"/>
      <c r="AN161" s="349"/>
      <c r="AO161" s="349"/>
      <c r="AP161" s="349"/>
      <c r="AQ161" s="349"/>
      <c r="AS161" s="322"/>
      <c r="AT161" s="434" t="s">
        <v>191</v>
      </c>
      <c r="AU161" s="435">
        <f t="shared" ref="AU161:BA161" si="465">AU160/AU159</f>
        <v>0.37683304184044125</v>
      </c>
      <c r="AV161" s="435">
        <f t="shared" si="465"/>
        <v>0.37490146618319409</v>
      </c>
      <c r="AW161" s="435">
        <f t="shared" si="465"/>
        <v>0.36373937677053825</v>
      </c>
      <c r="AX161" s="435">
        <f t="shared" si="465"/>
        <v>0.37371018393898608</v>
      </c>
      <c r="AY161" s="435">
        <f t="shared" si="465"/>
        <v>0.36372568284535273</v>
      </c>
      <c r="AZ161" s="435">
        <f t="shared" si="465"/>
        <v>0.53967152440434885</v>
      </c>
      <c r="BA161" s="435">
        <f t="shared" si="465"/>
        <v>0.24546324930784574</v>
      </c>
      <c r="BB161" s="435">
        <f t="shared" ref="BB161" si="466">BB160/BB159</f>
        <v>0.24</v>
      </c>
      <c r="BC161" s="349">
        <f>Drivers!BC119</f>
        <v>0.24</v>
      </c>
      <c r="BD161" s="349">
        <f>Drivers!BD119</f>
        <v>0.24</v>
      </c>
      <c r="BE161" s="349">
        <f>Drivers!BE119</f>
        <v>0.24</v>
      </c>
    </row>
    <row r="162" spans="1:70" s="160" customFormat="1" x14ac:dyDescent="0.2">
      <c r="A162" s="829"/>
      <c r="B162" s="316" t="s">
        <v>80</v>
      </c>
      <c r="C162" s="316"/>
      <c r="D162" s="402">
        <v>1278</v>
      </c>
      <c r="E162" s="402">
        <v>1150</v>
      </c>
      <c r="F162" s="402">
        <v>1253</v>
      </c>
      <c r="G162" s="402">
        <v>951</v>
      </c>
      <c r="H162" s="402">
        <v>1085</v>
      </c>
      <c r="I162" s="402">
        <v>1093</v>
      </c>
      <c r="J162" s="402">
        <v>907</v>
      </c>
      <c r="K162" s="402">
        <v>880</v>
      </c>
      <c r="L162" s="402">
        <v>1035</v>
      </c>
      <c r="M162" s="402">
        <v>1094</v>
      </c>
      <c r="N162" s="402">
        <v>1205</v>
      </c>
      <c r="O162" s="402">
        <v>1158</v>
      </c>
      <c r="P162" s="402">
        <v>1121</v>
      </c>
      <c r="Q162" s="402">
        <v>1056</v>
      </c>
      <c r="R162" s="402">
        <v>1049</v>
      </c>
      <c r="S162" s="402">
        <v>962</v>
      </c>
      <c r="T162" s="402">
        <v>833</v>
      </c>
      <c r="U162" s="402">
        <v>815</v>
      </c>
      <c r="V162" s="402">
        <v>780</v>
      </c>
      <c r="W162" s="402">
        <v>810</v>
      </c>
      <c r="X162" s="402">
        <v>614</v>
      </c>
      <c r="Y162" s="402">
        <v>657</v>
      </c>
      <c r="Z162" s="402">
        <v>642</v>
      </c>
      <c r="AA162" s="402">
        <v>77</v>
      </c>
      <c r="AB162" s="402">
        <v>838</v>
      </c>
      <c r="AC162" s="401">
        <f t="shared" ref="AC162:AE162" si="467">AC159-AC160</f>
        <v>803.56522632020517</v>
      </c>
      <c r="AD162" s="401">
        <f t="shared" si="467"/>
        <v>837.10181669057511</v>
      </c>
      <c r="AE162" s="401">
        <f t="shared" si="467"/>
        <v>806.08493860928752</v>
      </c>
      <c r="AF162" s="401">
        <f t="shared" ref="AF162:AI162" si="468">AF159-AF160</f>
        <v>824.97852450242044</v>
      </c>
      <c r="AG162" s="401">
        <f t="shared" si="468"/>
        <v>846.57516155577127</v>
      </c>
      <c r="AH162" s="401">
        <f t="shared" si="468"/>
        <v>855.41963573843009</v>
      </c>
      <c r="AI162" s="401">
        <f t="shared" si="468"/>
        <v>805.70675606623649</v>
      </c>
      <c r="AJ162" s="401"/>
      <c r="AK162" s="401"/>
      <c r="AL162" s="401"/>
      <c r="AM162" s="401"/>
      <c r="AN162" s="401"/>
      <c r="AO162" s="401"/>
      <c r="AP162" s="401"/>
      <c r="AQ162" s="401"/>
      <c r="AR162" s="70"/>
      <c r="AS162" s="316" t="s">
        <v>80</v>
      </c>
      <c r="AT162" s="316"/>
      <c r="AU162" s="233">
        <f>SUM(D162:G162)</f>
        <v>4632</v>
      </c>
      <c r="AV162" s="233">
        <f>SUM(H162:K162)</f>
        <v>3965</v>
      </c>
      <c r="AW162" s="233">
        <f>SUM(L162:O162)</f>
        <v>4492</v>
      </c>
      <c r="AX162" s="233">
        <f>SUM(P162:S162)</f>
        <v>4188</v>
      </c>
      <c r="AY162" s="233">
        <f>SUM(T162:W162)</f>
        <v>3238</v>
      </c>
      <c r="AZ162" s="233">
        <f>SUM(X162:AA162)</f>
        <v>1990</v>
      </c>
      <c r="BA162" s="233">
        <f>SUM(AB162:AE162)</f>
        <v>3284.7519816200675</v>
      </c>
      <c r="BB162" s="233">
        <f>SUM(AF162:AI162)</f>
        <v>3332.6800778628585</v>
      </c>
      <c r="BC162" s="401">
        <f>BC159-BC160</f>
        <v>3339.3957875627857</v>
      </c>
      <c r="BD162" s="401">
        <f>BD159-BD160</f>
        <v>3287.6674592967224</v>
      </c>
      <c r="BE162" s="401">
        <f>BE159-BE160</f>
        <v>2918.0028659276732</v>
      </c>
      <c r="BM162"/>
      <c r="BN162"/>
      <c r="BO162"/>
      <c r="BP162"/>
      <c r="BQ162"/>
      <c r="BR162"/>
    </row>
    <row r="163" spans="1:70" x14ac:dyDescent="0.2">
      <c r="B163" s="16"/>
      <c r="C163" s="17"/>
      <c r="D163" s="15"/>
      <c r="E163" s="15"/>
      <c r="F163" s="15"/>
      <c r="G163" s="15"/>
      <c r="H163" s="15"/>
      <c r="I163" s="15"/>
      <c r="J163" s="15"/>
      <c r="K163" s="15"/>
      <c r="L163" s="15"/>
      <c r="M163" s="15"/>
      <c r="N163" s="15"/>
      <c r="O163" s="15"/>
      <c r="P163" s="15"/>
      <c r="Q163" s="15"/>
      <c r="R163" s="15"/>
      <c r="S163" s="15"/>
      <c r="T163" s="15"/>
      <c r="U163" s="15"/>
      <c r="V163" s="15"/>
      <c r="W163" s="15"/>
      <c r="X163" s="15"/>
      <c r="Y163" s="15"/>
      <c r="Z163" s="15"/>
      <c r="AA163" s="15"/>
      <c r="AB163" s="15"/>
      <c r="AC163" s="15"/>
      <c r="AD163" s="15"/>
      <c r="AE163" s="15"/>
      <c r="AF163" s="15"/>
      <c r="AG163" s="15"/>
      <c r="AH163" s="15"/>
      <c r="AI163" s="15"/>
      <c r="AJ163" s="15"/>
      <c r="AK163" s="15"/>
      <c r="AL163" s="15"/>
      <c r="AM163" s="15"/>
      <c r="AN163" s="15"/>
      <c r="AO163" s="15"/>
      <c r="AP163" s="15"/>
      <c r="AQ163" s="15"/>
      <c r="AS163" s="16"/>
      <c r="AT163" s="17"/>
    </row>
    <row r="164" spans="1:70" x14ac:dyDescent="0.2">
      <c r="A164" s="833"/>
      <c r="B164" s="340" t="s">
        <v>207</v>
      </c>
      <c r="C164" s="388"/>
      <c r="D164" s="388"/>
      <c r="E164" s="409"/>
      <c r="F164" s="12"/>
      <c r="G164" s="12"/>
      <c r="H164" s="12"/>
      <c r="I164" s="12"/>
      <c r="J164" s="12"/>
      <c r="K164" s="12"/>
      <c r="L164" s="12"/>
      <c r="M164" s="12"/>
      <c r="N164" s="12"/>
      <c r="O164" s="12"/>
      <c r="P164" s="12"/>
      <c r="Q164" s="12"/>
      <c r="R164" s="12"/>
      <c r="S164" s="12"/>
      <c r="T164" s="12"/>
      <c r="U164" s="12"/>
      <c r="V164" s="12"/>
      <c r="W164" s="12"/>
      <c r="X164" s="12"/>
      <c r="Y164" s="12"/>
      <c r="Z164" s="12"/>
      <c r="AA164" s="12"/>
      <c r="AB164" s="12"/>
      <c r="AC164" s="1784"/>
      <c r="AD164" s="1784"/>
      <c r="AE164" s="1784"/>
      <c r="AF164" s="12"/>
      <c r="AG164" s="12"/>
      <c r="AH164" s="12"/>
      <c r="AI164" s="12"/>
      <c r="AJ164" s="12"/>
      <c r="AK164" s="12"/>
      <c r="AL164" s="12"/>
      <c r="AM164" s="12"/>
      <c r="AN164" s="12"/>
      <c r="AO164" s="12"/>
      <c r="AP164" s="12"/>
      <c r="AQ164" s="12"/>
      <c r="AS164" s="340" t="s">
        <v>207</v>
      </c>
      <c r="AT164" s="388"/>
      <c r="AU164" s="12"/>
      <c r="AV164" s="12"/>
      <c r="AW164" s="12"/>
      <c r="AX164" s="12"/>
      <c r="AY164" s="12"/>
      <c r="AZ164" s="12"/>
      <c r="BA164" s="12"/>
      <c r="BB164" s="12"/>
      <c r="BC164" s="12"/>
      <c r="BD164" s="12"/>
      <c r="BE164" s="12"/>
    </row>
    <row r="165" spans="1:70" x14ac:dyDescent="0.2">
      <c r="B165" s="321" t="s">
        <v>74</v>
      </c>
      <c r="D165" s="105">
        <v>1714</v>
      </c>
      <c r="E165" s="105">
        <v>1732</v>
      </c>
      <c r="F165" s="105">
        <v>1824</v>
      </c>
      <c r="G165" s="105">
        <v>1751</v>
      </c>
      <c r="H165" s="105">
        <v>1648</v>
      </c>
      <c r="I165" s="105">
        <v>1667</v>
      </c>
      <c r="J165" s="105">
        <v>1196</v>
      </c>
      <c r="K165" s="105">
        <v>1155</v>
      </c>
      <c r="L165" s="105">
        <v>1210</v>
      </c>
      <c r="M165" s="105">
        <v>1246</v>
      </c>
      <c r="N165" s="105">
        <v>1306</v>
      </c>
      <c r="O165" s="105">
        <v>1433</v>
      </c>
      <c r="P165" s="105">
        <v>1371</v>
      </c>
      <c r="Q165" s="105">
        <v>1340</v>
      </c>
      <c r="R165" s="105">
        <v>1305</v>
      </c>
      <c r="S165" s="105">
        <v>1296</v>
      </c>
      <c r="T165" s="105">
        <v>1290</v>
      </c>
      <c r="U165" s="105">
        <v>1313</v>
      </c>
      <c r="V165" s="105">
        <v>1356</v>
      </c>
      <c r="W165" s="105">
        <v>1263</v>
      </c>
      <c r="X165" s="105">
        <v>1257</v>
      </c>
      <c r="Y165" s="105">
        <v>1293</v>
      </c>
      <c r="Z165" s="105">
        <v>1366</v>
      </c>
      <c r="AA165" s="105">
        <v>1349</v>
      </c>
      <c r="AB165" s="105">
        <v>1307</v>
      </c>
      <c r="AC165" s="50">
        <f t="shared" ref="AC165:AE165" si="469">AC171+AC178+AC174</f>
        <v>1309.8359246575342</v>
      </c>
      <c r="AD165" s="50">
        <f t="shared" si="469"/>
        <v>1345.5530439232878</v>
      </c>
      <c r="AE165" s="50">
        <f t="shared" si="469"/>
        <v>1361.9479195456438</v>
      </c>
      <c r="AF165" s="50">
        <f t="shared" ref="AF165:AI165" si="470">AF171+AF178+AF174</f>
        <v>1331.0491454143767</v>
      </c>
      <c r="AG165" s="50">
        <f t="shared" si="470"/>
        <v>1370.2852293414328</v>
      </c>
      <c r="AH165" s="50">
        <f t="shared" si="470"/>
        <v>1402.9193830066463</v>
      </c>
      <c r="AI165" s="50">
        <f t="shared" si="470"/>
        <v>1420.4901954032534</v>
      </c>
      <c r="AJ165" s="50"/>
      <c r="AK165" s="50"/>
      <c r="AL165" s="50"/>
      <c r="AM165" s="50"/>
      <c r="AN165" s="50"/>
      <c r="AO165" s="50"/>
      <c r="AP165" s="50"/>
      <c r="AQ165" s="50"/>
      <c r="AS165" s="321" t="s">
        <v>74</v>
      </c>
      <c r="AT165" s="9"/>
      <c r="AU165" s="232">
        <f>SUM(D165:G165)</f>
        <v>7021</v>
      </c>
      <c r="AV165" s="232">
        <f>SUM(H165:K165)</f>
        <v>5666</v>
      </c>
      <c r="AW165" s="232">
        <f>SUM(L165:O165)</f>
        <v>5195</v>
      </c>
      <c r="AX165" s="232">
        <f>SUM(P165:S165)</f>
        <v>5312</v>
      </c>
      <c r="AY165" s="232">
        <f>SUM(T165:W165)</f>
        <v>5222</v>
      </c>
      <c r="AZ165" s="232">
        <f>SUM(X165:AA165)</f>
        <v>5265</v>
      </c>
      <c r="BA165" s="232">
        <f>SUM(AB165:AE165)</f>
        <v>5324.3368881264651</v>
      </c>
      <c r="BB165" s="232">
        <f>SUM(AF165:AI165)</f>
        <v>5524.7439531657092</v>
      </c>
      <c r="BC165" s="50">
        <f t="shared" ref="BC165" si="471">BC171+BC178+BC174</f>
        <v>5768.3946707422683</v>
      </c>
      <c r="BD165" s="50">
        <f t="shared" ref="BD165:BE165" si="472">BD171+BD178+BD174</f>
        <v>6028.2439149661841</v>
      </c>
      <c r="BE165" s="50">
        <f t="shared" si="472"/>
        <v>6257.8744492695914</v>
      </c>
    </row>
    <row r="166" spans="1:70" x14ac:dyDescent="0.2">
      <c r="B166" s="321" t="s">
        <v>75</v>
      </c>
      <c r="D166" s="437">
        <v>2048</v>
      </c>
      <c r="E166" s="437">
        <v>1990</v>
      </c>
      <c r="F166" s="437">
        <v>2089</v>
      </c>
      <c r="G166" s="437">
        <v>2115</v>
      </c>
      <c r="H166" s="437">
        <v>2028</v>
      </c>
      <c r="I166" s="437">
        <v>1980</v>
      </c>
      <c r="J166" s="437">
        <v>2089</v>
      </c>
      <c r="K166" s="437">
        <v>2123</v>
      </c>
      <c r="L166" s="437">
        <v>2021</v>
      </c>
      <c r="M166" s="437">
        <v>2029</v>
      </c>
      <c r="N166" s="437">
        <v>2118</v>
      </c>
      <c r="O166" s="437">
        <v>2122</v>
      </c>
      <c r="P166" s="437">
        <v>2002</v>
      </c>
      <c r="Q166" s="437">
        <v>1927</v>
      </c>
      <c r="R166" s="437">
        <v>1922</v>
      </c>
      <c r="S166" s="437">
        <v>1930</v>
      </c>
      <c r="T166" s="437">
        <v>1860</v>
      </c>
      <c r="U166" s="437">
        <v>1886</v>
      </c>
      <c r="V166" s="437">
        <v>2191</v>
      </c>
      <c r="W166" s="437">
        <v>2213</v>
      </c>
      <c r="X166" s="437">
        <v>2096</v>
      </c>
      <c r="Y166" s="437">
        <v>2079</v>
      </c>
      <c r="Z166" s="437">
        <v>2178</v>
      </c>
      <c r="AA166" s="437">
        <v>2225</v>
      </c>
      <c r="AB166" s="437">
        <v>2232</v>
      </c>
      <c r="AC166" s="50">
        <f t="shared" ref="AC166:AE167" si="473">AC172+AC179</f>
        <v>2048.2220547945208</v>
      </c>
      <c r="AD166" s="50">
        <f t="shared" si="473"/>
        <v>2129.855468493151</v>
      </c>
      <c r="AE166" s="50">
        <f t="shared" si="473"/>
        <v>2186.3586578630143</v>
      </c>
      <c r="AF166" s="50">
        <f t="shared" ref="AF166:AI166" si="474">AF172+AF179</f>
        <v>2128.5500390482193</v>
      </c>
      <c r="AG166" s="50">
        <f t="shared" si="474"/>
        <v>2182.9847108700824</v>
      </c>
      <c r="AH166" s="50">
        <f t="shared" si="474"/>
        <v>2247.9868977914566</v>
      </c>
      <c r="AI166" s="50">
        <f t="shared" si="474"/>
        <v>2335.7688546516979</v>
      </c>
      <c r="AJ166" s="50"/>
      <c r="AK166" s="50"/>
      <c r="AL166" s="50"/>
      <c r="AM166" s="50"/>
      <c r="AN166" s="50"/>
      <c r="AO166" s="50"/>
      <c r="AP166" s="50"/>
      <c r="AQ166" s="50"/>
      <c r="AS166" s="321" t="s">
        <v>75</v>
      </c>
      <c r="AT166" s="9"/>
      <c r="AU166" s="232">
        <f>SUM(D166:G166)</f>
        <v>8242</v>
      </c>
      <c r="AV166" s="232">
        <f>SUM(H166:K166)</f>
        <v>8220</v>
      </c>
      <c r="AW166" s="232">
        <f>SUM(L166:O166)</f>
        <v>8290</v>
      </c>
      <c r="AX166" s="232">
        <f>SUM(P166:S166)</f>
        <v>7781</v>
      </c>
      <c r="AY166" s="232">
        <f>SUM(T166:W166)</f>
        <v>8150</v>
      </c>
      <c r="AZ166" s="232">
        <f>SUM(X166:AA166)</f>
        <v>8578</v>
      </c>
      <c r="BA166" s="232">
        <f>SUM(AB166:AE166)</f>
        <v>8596.436181150686</v>
      </c>
      <c r="BB166" s="232">
        <f>SUM(AF166:AI166)</f>
        <v>8895.2905023614567</v>
      </c>
      <c r="BC166" s="50">
        <f t="shared" ref="BC166:BD167" si="475">BC172+BC179</f>
        <v>9438.7343613994999</v>
      </c>
      <c r="BD166" s="50">
        <f t="shared" si="475"/>
        <v>9892.497009396966</v>
      </c>
      <c r="BE166" s="50">
        <f t="shared" ref="BE166" si="476">BE172+BE179</f>
        <v>10368.007427474869</v>
      </c>
    </row>
    <row r="167" spans="1:70" x14ac:dyDescent="0.2">
      <c r="A167" s="833"/>
      <c r="B167" s="376" t="s">
        <v>102</v>
      </c>
      <c r="C167" s="25"/>
      <c r="D167" s="443">
        <v>1491</v>
      </c>
      <c r="E167" s="443">
        <v>1464</v>
      </c>
      <c r="F167" s="443">
        <v>1541</v>
      </c>
      <c r="G167" s="443">
        <v>1533</v>
      </c>
      <c r="H167" s="443">
        <v>1511</v>
      </c>
      <c r="I167" s="443">
        <v>1483</v>
      </c>
      <c r="J167" s="443">
        <v>1528</v>
      </c>
      <c r="K167" s="443">
        <v>1667</v>
      </c>
      <c r="L167" s="443">
        <v>1625</v>
      </c>
      <c r="M167" s="443">
        <v>1581</v>
      </c>
      <c r="N167" s="443">
        <v>1646</v>
      </c>
      <c r="O167" s="443">
        <v>1610</v>
      </c>
      <c r="P167" s="443">
        <v>1635</v>
      </c>
      <c r="Q167" s="443">
        <v>1581</v>
      </c>
      <c r="R167" s="443">
        <v>1613</v>
      </c>
      <c r="S167" s="443">
        <v>1593</v>
      </c>
      <c r="T167" s="443">
        <v>1680</v>
      </c>
      <c r="U167" s="443">
        <v>1510</v>
      </c>
      <c r="V167" s="443">
        <v>1614</v>
      </c>
      <c r="W167" s="443">
        <v>1583</v>
      </c>
      <c r="X167" s="443">
        <v>1592</v>
      </c>
      <c r="Y167" s="443">
        <v>1574</v>
      </c>
      <c r="Z167" s="443">
        <v>1653</v>
      </c>
      <c r="AA167" s="443">
        <v>1608</v>
      </c>
      <c r="AB167" s="443">
        <v>1618</v>
      </c>
      <c r="AC167" s="172">
        <f t="shared" si="473"/>
        <v>1634.5657157534242</v>
      </c>
      <c r="AD167" s="172">
        <f t="shared" si="473"/>
        <v>1732.1136404246577</v>
      </c>
      <c r="AE167" s="172">
        <f t="shared" si="473"/>
        <v>1681.0752953164376</v>
      </c>
      <c r="AF167" s="172">
        <f t="shared" ref="AF167:AI167" si="477">AF173+AF180</f>
        <v>1736.4611952388766</v>
      </c>
      <c r="AG167" s="172">
        <f t="shared" si="477"/>
        <v>1714.7813947049644</v>
      </c>
      <c r="AH167" s="172">
        <f t="shared" si="477"/>
        <v>1795.0058902988953</v>
      </c>
      <c r="AI167" s="172">
        <f t="shared" si="477"/>
        <v>1712.1218957514302</v>
      </c>
      <c r="AJ167" s="1755"/>
      <c r="AK167" s="1755"/>
      <c r="AL167" s="1755"/>
      <c r="AM167" s="1755"/>
      <c r="AN167" s="1755"/>
      <c r="AO167" s="1755"/>
      <c r="AP167" s="1755"/>
      <c r="AQ167" s="1755"/>
      <c r="AS167" s="376" t="s">
        <v>102</v>
      </c>
      <c r="AT167" s="25"/>
      <c r="AU167" s="41">
        <f>SUM(D167:G167)</f>
        <v>6029</v>
      </c>
      <c r="AV167" s="41">
        <f>SUM(H167:K167)</f>
        <v>6189</v>
      </c>
      <c r="AW167" s="41">
        <f>SUM(L167:O167)</f>
        <v>6462</v>
      </c>
      <c r="AX167" s="41">
        <f>SUM(P167:S167)</f>
        <v>6422</v>
      </c>
      <c r="AY167" s="41">
        <f>SUM(T167:W167)</f>
        <v>6387</v>
      </c>
      <c r="AZ167" s="41">
        <f>SUM(X167:AA167)</f>
        <v>6427</v>
      </c>
      <c r="BA167" s="41">
        <f>SUM(AB167:AE167)</f>
        <v>6665.7546514945188</v>
      </c>
      <c r="BB167" s="41">
        <f>SUM(AF167:AI167)</f>
        <v>6958.3703759941673</v>
      </c>
      <c r="BC167" s="172">
        <f t="shared" si="475"/>
        <v>7161.4898829602971</v>
      </c>
      <c r="BD167" s="172">
        <f t="shared" si="475"/>
        <v>7447.9494782787087</v>
      </c>
      <c r="BE167" s="172">
        <f t="shared" ref="BE167" si="478">BE173+BE180</f>
        <v>7745.8674574098577</v>
      </c>
    </row>
    <row r="168" spans="1:70" x14ac:dyDescent="0.2">
      <c r="A168" s="833"/>
      <c r="C168" s="17" t="s">
        <v>545</v>
      </c>
      <c r="D168" s="379">
        <f t="shared" ref="D168:AE168" si="479">SUM(D165:D167)</f>
        <v>5253</v>
      </c>
      <c r="E168" s="379">
        <f t="shared" si="479"/>
        <v>5186</v>
      </c>
      <c r="F168" s="379">
        <f t="shared" si="479"/>
        <v>5454</v>
      </c>
      <c r="G168" s="379">
        <f t="shared" si="479"/>
        <v>5399</v>
      </c>
      <c r="H168" s="379">
        <f t="shared" si="479"/>
        <v>5187</v>
      </c>
      <c r="I168" s="379">
        <f t="shared" si="479"/>
        <v>5130</v>
      </c>
      <c r="J168" s="379">
        <f t="shared" si="479"/>
        <v>4813</v>
      </c>
      <c r="K168" s="379">
        <f t="shared" si="479"/>
        <v>4945</v>
      </c>
      <c r="L168" s="379">
        <f t="shared" si="479"/>
        <v>4856</v>
      </c>
      <c r="M168" s="379">
        <f t="shared" si="479"/>
        <v>4856</v>
      </c>
      <c r="N168" s="379">
        <f t="shared" si="479"/>
        <v>5070</v>
      </c>
      <c r="O168" s="379">
        <f t="shared" si="479"/>
        <v>5165</v>
      </c>
      <c r="P168" s="379">
        <f t="shared" si="479"/>
        <v>5008</v>
      </c>
      <c r="Q168" s="379">
        <f t="shared" si="479"/>
        <v>4848</v>
      </c>
      <c r="R168" s="379">
        <f t="shared" si="479"/>
        <v>4840</v>
      </c>
      <c r="S168" s="379">
        <f t="shared" si="479"/>
        <v>4819</v>
      </c>
      <c r="T168" s="379">
        <f t="shared" si="479"/>
        <v>4830</v>
      </c>
      <c r="U168" s="379">
        <f t="shared" si="479"/>
        <v>4709</v>
      </c>
      <c r="V168" s="379">
        <f t="shared" si="479"/>
        <v>5161</v>
      </c>
      <c r="W168" s="379">
        <f t="shared" si="479"/>
        <v>5059</v>
      </c>
      <c r="X168" s="379">
        <f t="shared" si="479"/>
        <v>4945</v>
      </c>
      <c r="Y168" s="379">
        <f t="shared" ref="Y168:Z168" si="480">SUM(Y165:Y167)</f>
        <v>4946</v>
      </c>
      <c r="Z168" s="379">
        <f t="shared" si="480"/>
        <v>5197</v>
      </c>
      <c r="AA168" s="379">
        <f t="shared" ref="AA168:AB168" si="481">SUM(AA165:AA167)</f>
        <v>5182</v>
      </c>
      <c r="AB168" s="379">
        <f t="shared" si="481"/>
        <v>5157</v>
      </c>
      <c r="AC168" s="379">
        <f t="shared" si="479"/>
        <v>4992.6236952054787</v>
      </c>
      <c r="AD168" s="379">
        <f t="shared" si="479"/>
        <v>5207.5221528410966</v>
      </c>
      <c r="AE168" s="379">
        <f t="shared" si="479"/>
        <v>5229.3818727250955</v>
      </c>
      <c r="AF168" s="379">
        <f t="shared" ref="AF168:AI168" si="482">SUM(AF165:AF167)</f>
        <v>5196.0603797014728</v>
      </c>
      <c r="AG168" s="379">
        <f t="shared" si="482"/>
        <v>5268.0513349164794</v>
      </c>
      <c r="AH168" s="379">
        <f t="shared" si="482"/>
        <v>5445.9121710969976</v>
      </c>
      <c r="AI168" s="379">
        <f t="shared" si="482"/>
        <v>5468.3809458063815</v>
      </c>
      <c r="AJ168" s="379"/>
      <c r="AK168" s="379"/>
      <c r="AL168" s="379"/>
      <c r="AM168" s="379"/>
      <c r="AN168" s="379"/>
      <c r="AO168" s="379"/>
      <c r="AP168" s="379"/>
      <c r="AQ168" s="379"/>
      <c r="AS168" s="10"/>
      <c r="AT168" s="322" t="s">
        <v>55</v>
      </c>
      <c r="AU168" s="379">
        <f t="shared" ref="AU168:BD168" si="483">SUM(AU165:AU167)</f>
        <v>21292</v>
      </c>
      <c r="AV168" s="379">
        <f t="shared" si="483"/>
        <v>20075</v>
      </c>
      <c r="AW168" s="379">
        <f t="shared" si="483"/>
        <v>19947</v>
      </c>
      <c r="AX168" s="379">
        <f t="shared" si="483"/>
        <v>19515</v>
      </c>
      <c r="AY168" s="379">
        <f t="shared" si="483"/>
        <v>19759</v>
      </c>
      <c r="AZ168" s="379">
        <f t="shared" si="483"/>
        <v>20270</v>
      </c>
      <c r="BA168" s="379">
        <f t="shared" si="483"/>
        <v>20586.527720771672</v>
      </c>
      <c r="BB168" s="379">
        <f t="shared" ref="BB168" si="484">SUM(BB165:BB167)</f>
        <v>21378.404831521333</v>
      </c>
      <c r="BC168" s="379">
        <f t="shared" si="483"/>
        <v>22368.618915102066</v>
      </c>
      <c r="BD168" s="379">
        <f t="shared" si="483"/>
        <v>23368.69040264186</v>
      </c>
      <c r="BE168" s="379">
        <f t="shared" ref="BE168" si="485">SUM(BE165:BE167)</f>
        <v>24371.74933415432</v>
      </c>
    </row>
    <row r="169" spans="1:70" x14ac:dyDescent="0.2">
      <c r="B169" s="321"/>
      <c r="C169" s="319"/>
      <c r="D169" s="319"/>
      <c r="E169" s="444"/>
      <c r="Y169" s="1215"/>
      <c r="Z169" s="1688"/>
      <c r="AA169" s="1085"/>
      <c r="AB169" s="1085"/>
      <c r="AS169" s="321"/>
      <c r="AT169" s="319"/>
      <c r="BA169" s="1092">
        <f>BA166/AZ166-1</f>
        <v>2.1492400502081122E-3</v>
      </c>
    </row>
    <row r="170" spans="1:70" x14ac:dyDescent="0.2">
      <c r="A170" s="833"/>
      <c r="B170" s="340" t="s">
        <v>214</v>
      </c>
      <c r="C170" s="388"/>
      <c r="D170" s="388"/>
      <c r="E170" s="409"/>
      <c r="F170" s="12"/>
      <c r="G170" s="12"/>
      <c r="H170" s="12"/>
      <c r="I170" s="12"/>
      <c r="J170" s="12"/>
      <c r="K170" s="12"/>
      <c r="L170" s="12"/>
      <c r="M170" s="12"/>
      <c r="N170" s="12"/>
      <c r="O170" s="12"/>
      <c r="P170" s="12"/>
      <c r="Q170" s="12"/>
      <c r="R170" s="12"/>
      <c r="S170" s="12"/>
      <c r="T170" s="12"/>
      <c r="U170" s="12"/>
      <c r="V170" s="12"/>
      <c r="W170" s="12"/>
      <c r="X170" s="12"/>
      <c r="Y170" s="12"/>
      <c r="Z170" s="12"/>
      <c r="AA170" s="12"/>
      <c r="AB170" s="12"/>
      <c r="AC170" s="12"/>
      <c r="AD170" s="12"/>
      <c r="AE170" s="12"/>
      <c r="AF170" s="12"/>
      <c r="AG170" s="12"/>
      <c r="AH170" s="12"/>
      <c r="AI170" s="12"/>
      <c r="AJ170" s="12"/>
      <c r="AK170" s="12"/>
      <c r="AL170" s="12"/>
      <c r="AM170" s="12"/>
      <c r="AN170" s="12"/>
      <c r="AO170" s="12"/>
      <c r="AP170" s="12"/>
      <c r="AQ170" s="12"/>
      <c r="AS170" s="340" t="s">
        <v>214</v>
      </c>
      <c r="AT170" s="388"/>
      <c r="AU170" s="12"/>
      <c r="AV170" s="12"/>
      <c r="AW170" s="12"/>
      <c r="AX170" s="12"/>
      <c r="AY170" s="12"/>
      <c r="AZ170" s="12"/>
      <c r="BA170" s="12"/>
      <c r="BB170" s="12"/>
      <c r="BC170" s="12"/>
      <c r="BD170" s="12"/>
      <c r="BE170" s="12"/>
    </row>
    <row r="171" spans="1:70" x14ac:dyDescent="0.2">
      <c r="B171" s="321" t="s">
        <v>74</v>
      </c>
      <c r="D171" s="105">
        <v>109</v>
      </c>
      <c r="E171" s="105">
        <v>130</v>
      </c>
      <c r="F171" s="105">
        <v>152</v>
      </c>
      <c r="G171" s="105">
        <v>160</v>
      </c>
      <c r="H171" s="105">
        <v>156</v>
      </c>
      <c r="I171" s="105">
        <v>162</v>
      </c>
      <c r="J171" s="105">
        <v>168</v>
      </c>
      <c r="K171" s="105">
        <v>185</v>
      </c>
      <c r="L171" s="105">
        <v>219</v>
      </c>
      <c r="M171" s="105">
        <v>247</v>
      </c>
      <c r="N171" s="105">
        <v>257</v>
      </c>
      <c r="O171" s="105">
        <v>274</v>
      </c>
      <c r="P171" s="105">
        <v>252</v>
      </c>
      <c r="Q171" s="105">
        <v>269</v>
      </c>
      <c r="R171" s="105">
        <v>265</v>
      </c>
      <c r="S171" s="105">
        <v>274</v>
      </c>
      <c r="T171" s="105">
        <v>277</v>
      </c>
      <c r="U171" s="105">
        <v>269</v>
      </c>
      <c r="V171" s="105">
        <v>256</v>
      </c>
      <c r="W171" s="105">
        <v>247</v>
      </c>
      <c r="X171" s="105">
        <v>251</v>
      </c>
      <c r="Y171" s="105">
        <v>248</v>
      </c>
      <c r="Z171" s="105">
        <v>253</v>
      </c>
      <c r="AA171" s="105">
        <v>235</v>
      </c>
      <c r="AB171" s="105">
        <v>232</v>
      </c>
      <c r="AC171" s="33">
        <f t="shared" ref="AC171:AE171" si="486">(AC214*1000)*AC256/AC1</f>
        <v>245.45006164383565</v>
      </c>
      <c r="AD171" s="33">
        <f t="shared" si="486"/>
        <v>254.92528173150689</v>
      </c>
      <c r="AE171" s="33">
        <f t="shared" si="486"/>
        <v>265.86701854290419</v>
      </c>
      <c r="AF171" s="33">
        <f t="shared" ref="AF171:AI171" si="487">(AF214*1000)*AF256/AF1</f>
        <v>267.01819859810962</v>
      </c>
      <c r="AG171" s="33">
        <f t="shared" si="487"/>
        <v>279.85046777470205</v>
      </c>
      <c r="AH171" s="33">
        <f t="shared" si="487"/>
        <v>290.31492541117808</v>
      </c>
      <c r="AI171" s="33">
        <f t="shared" si="487"/>
        <v>302.32271551980801</v>
      </c>
      <c r="AJ171" s="33"/>
      <c r="AK171" s="33"/>
      <c r="AL171" s="33"/>
      <c r="AM171" s="33"/>
      <c r="AN171" s="33"/>
      <c r="AO171" s="33"/>
      <c r="AP171" s="33"/>
      <c r="AQ171" s="33"/>
      <c r="AS171" s="321" t="s">
        <v>74</v>
      </c>
      <c r="AT171" s="9"/>
      <c r="AU171" s="232">
        <f>SUM(D171:G171)</f>
        <v>551</v>
      </c>
      <c r="AV171" s="232">
        <f>SUM(H171:K171)</f>
        <v>671</v>
      </c>
      <c r="AW171" s="232">
        <f>SUM(L171:O171)</f>
        <v>997</v>
      </c>
      <c r="AX171" s="232">
        <f>SUM(P171:S171)</f>
        <v>1060</v>
      </c>
      <c r="AY171" s="232">
        <f>SUM(T171:W171)</f>
        <v>1049</v>
      </c>
      <c r="AZ171" s="232">
        <f>SUM(X171:AA171)</f>
        <v>987</v>
      </c>
      <c r="BA171" s="232">
        <f>SUM(AB171:AE171)</f>
        <v>998.24236191824662</v>
      </c>
      <c r="BB171" s="232">
        <f>SUM(AF171:AI171)</f>
        <v>1139.5063073037979</v>
      </c>
      <c r="BC171" s="33">
        <f>(BC214*1000)*BC256/BC1</f>
        <v>1304.095559619856</v>
      </c>
      <c r="BD171" s="33">
        <f>(BD214*1000)*BD256/BD1</f>
        <v>1402.6979068106255</v>
      </c>
      <c r="BE171" s="33">
        <f>(BE214*1000)*BE256/BE1</f>
        <v>1507.9002498214224</v>
      </c>
    </row>
    <row r="172" spans="1:70" x14ac:dyDescent="0.2">
      <c r="B172" s="321" t="s">
        <v>75</v>
      </c>
      <c r="D172" s="437">
        <v>1670</v>
      </c>
      <c r="E172" s="437">
        <v>1609</v>
      </c>
      <c r="F172" s="437">
        <v>1664</v>
      </c>
      <c r="G172" s="437">
        <v>1687</v>
      </c>
      <c r="H172" s="437">
        <v>1649</v>
      </c>
      <c r="I172" s="437">
        <v>1645</v>
      </c>
      <c r="J172" s="437">
        <v>1690</v>
      </c>
      <c r="K172" s="437">
        <v>1708</v>
      </c>
      <c r="L172" s="437">
        <v>1649</v>
      </c>
      <c r="M172" s="437">
        <v>1635</v>
      </c>
      <c r="N172" s="437">
        <v>1681</v>
      </c>
      <c r="O172" s="437">
        <v>1679</v>
      </c>
      <c r="P172" s="437">
        <v>1600</v>
      </c>
      <c r="Q172" s="437">
        <v>1576</v>
      </c>
      <c r="R172" s="437">
        <v>1610</v>
      </c>
      <c r="S172" s="437">
        <v>1626</v>
      </c>
      <c r="T172" s="437">
        <v>1592</v>
      </c>
      <c r="U172" s="437">
        <v>1591</v>
      </c>
      <c r="V172" s="437">
        <v>1863</v>
      </c>
      <c r="W172" s="437">
        <v>1867</v>
      </c>
      <c r="X172" s="437">
        <v>1785</v>
      </c>
      <c r="Y172" s="437">
        <v>1788</v>
      </c>
      <c r="Z172" s="437">
        <v>1849</v>
      </c>
      <c r="AA172" s="437">
        <v>1854</v>
      </c>
      <c r="AB172" s="437">
        <v>1800</v>
      </c>
      <c r="AC172" s="33">
        <f t="shared" ref="AC172:AE172" si="488">(AC217*1000)*AC257/AC1</f>
        <v>1787.4020547945206</v>
      </c>
      <c r="AD172" s="33">
        <f t="shared" si="488"/>
        <v>1869.3594684931511</v>
      </c>
      <c r="AE172" s="33">
        <f t="shared" si="488"/>
        <v>1906.7466578630142</v>
      </c>
      <c r="AF172" s="33">
        <f t="shared" ref="AF172:AI172" si="489">(AF217*1000)*AF257/AF1</f>
        <v>1851.0134390482194</v>
      </c>
      <c r="AG172" s="33">
        <f t="shared" si="489"/>
        <v>1875.9995708700824</v>
      </c>
      <c r="AH172" s="33">
        <f t="shared" si="489"/>
        <v>1941.3831057914565</v>
      </c>
      <c r="AI172" s="33">
        <f t="shared" si="489"/>
        <v>2006.6655306516977</v>
      </c>
      <c r="AJ172" s="33"/>
      <c r="AK172" s="33"/>
      <c r="AL172" s="33"/>
      <c r="AM172" s="33"/>
      <c r="AN172" s="33"/>
      <c r="AO172" s="33"/>
      <c r="AP172" s="33"/>
      <c r="AQ172" s="33"/>
      <c r="AS172" s="321" t="s">
        <v>75</v>
      </c>
      <c r="AT172" s="9"/>
      <c r="AU172" s="232">
        <f>SUM(D172:G172)</f>
        <v>6630</v>
      </c>
      <c r="AV172" s="232">
        <f>SUM(H172:K172)</f>
        <v>6692</v>
      </c>
      <c r="AW172" s="232">
        <f>SUM(L172:O172)</f>
        <v>6644</v>
      </c>
      <c r="AX172" s="232">
        <f>SUM(P172:S172)</f>
        <v>6412</v>
      </c>
      <c r="AY172" s="232">
        <f>SUM(T172:W172)</f>
        <v>6913</v>
      </c>
      <c r="AZ172" s="232">
        <f>SUM(X172:AA172)</f>
        <v>7276</v>
      </c>
      <c r="BA172" s="232">
        <f>SUM(AB172:AE172)</f>
        <v>7363.5081811506861</v>
      </c>
      <c r="BB172" s="232">
        <f>SUM(AF172:AI172)</f>
        <v>7675.061646361456</v>
      </c>
      <c r="BC172" s="33">
        <f>(BC217*1000)*BC257/BC1</f>
        <v>8066.9013141994992</v>
      </c>
      <c r="BD172" s="33">
        <f>(BD217*1000)*BD257/BD1</f>
        <v>8438.3539793649652</v>
      </c>
      <c r="BE172" s="33">
        <f>(BE217*1000)*BE257/BE1</f>
        <v>8826.6158156409492</v>
      </c>
    </row>
    <row r="173" spans="1:70" x14ac:dyDescent="0.2">
      <c r="A173" s="830"/>
      <c r="B173" s="369" t="s">
        <v>102</v>
      </c>
      <c r="C173" s="71"/>
      <c r="D173" s="437">
        <v>1566</v>
      </c>
      <c r="E173" s="437">
        <v>1543</v>
      </c>
      <c r="F173" s="437">
        <v>1634</v>
      </c>
      <c r="G173" s="437">
        <v>1660</v>
      </c>
      <c r="H173" s="437">
        <v>1652</v>
      </c>
      <c r="I173" s="437">
        <v>1587</v>
      </c>
      <c r="J173" s="437">
        <v>1682</v>
      </c>
      <c r="K173" s="437">
        <v>1860</v>
      </c>
      <c r="L173" s="437">
        <v>1819</v>
      </c>
      <c r="M173" s="437">
        <v>1810</v>
      </c>
      <c r="N173" s="437">
        <v>1884</v>
      </c>
      <c r="O173" s="437">
        <v>1923</v>
      </c>
      <c r="P173" s="437">
        <v>1883</v>
      </c>
      <c r="Q173" s="437">
        <v>1842</v>
      </c>
      <c r="R173" s="437">
        <v>1922</v>
      </c>
      <c r="S173" s="437">
        <v>1937</v>
      </c>
      <c r="T173" s="437">
        <v>1891</v>
      </c>
      <c r="U173" s="437">
        <v>1834</v>
      </c>
      <c r="V173" s="437">
        <v>1923</v>
      </c>
      <c r="W173" s="437">
        <v>1947</v>
      </c>
      <c r="X173" s="437">
        <v>1908</v>
      </c>
      <c r="Y173" s="437">
        <v>1897</v>
      </c>
      <c r="Z173" s="437">
        <v>1986</v>
      </c>
      <c r="AA173" s="437">
        <v>1954</v>
      </c>
      <c r="AB173" s="437">
        <v>1973</v>
      </c>
      <c r="AC173" s="206">
        <f t="shared" ref="AC173:AE173" si="490">(AC218*1000)*AC258/AC1</f>
        <v>2035.7507157534242</v>
      </c>
      <c r="AD173" s="206">
        <f t="shared" si="490"/>
        <v>2113.2136404246576</v>
      </c>
      <c r="AE173" s="206">
        <f t="shared" si="490"/>
        <v>2130.7732953164377</v>
      </c>
      <c r="AF173" s="206">
        <f t="shared" ref="AF173:AI173" si="491">(AF218*1000)*AF258/AF1</f>
        <v>2068.0181952388766</v>
      </c>
      <c r="AG173" s="206">
        <f t="shared" si="491"/>
        <v>2128.0019447049644</v>
      </c>
      <c r="AH173" s="206">
        <f t="shared" si="491"/>
        <v>2208.7568902988955</v>
      </c>
      <c r="AI173" s="206">
        <f t="shared" si="491"/>
        <v>2225.3853157514304</v>
      </c>
      <c r="AJ173" s="206"/>
      <c r="AK173" s="206"/>
      <c r="AL173" s="206"/>
      <c r="AM173" s="206"/>
      <c r="AN173" s="206"/>
      <c r="AO173" s="206"/>
      <c r="AP173" s="206"/>
      <c r="AQ173" s="206"/>
      <c r="AS173" s="369" t="s">
        <v>102</v>
      </c>
      <c r="AT173" s="71"/>
      <c r="AU173" s="232">
        <f>SUM(D173:G173)</f>
        <v>6403</v>
      </c>
      <c r="AV173" s="232">
        <f>SUM(H173:K173)</f>
        <v>6781</v>
      </c>
      <c r="AW173" s="232">
        <f>SUM(L173:O173)</f>
        <v>7436</v>
      </c>
      <c r="AX173" s="232">
        <f>SUM(P173:S173)</f>
        <v>7584</v>
      </c>
      <c r="AY173" s="232">
        <f>SUM(T173:W173)</f>
        <v>7595</v>
      </c>
      <c r="AZ173" s="232">
        <f>SUM(X173:AA173)</f>
        <v>7745</v>
      </c>
      <c r="BA173" s="232">
        <f>SUM(AB173:AE173)</f>
        <v>8252.737651494519</v>
      </c>
      <c r="BB173" s="232">
        <f>SUM(AF173:AI173)</f>
        <v>8630.1623459941657</v>
      </c>
      <c r="BC173" s="206">
        <f>(BC218*1000)*BC258/BC1</f>
        <v>9038.1069525602979</v>
      </c>
      <c r="BD173" s="206">
        <f>(BD218*1000)*BD258/BD1</f>
        <v>9399.6312306627096</v>
      </c>
      <c r="BE173" s="206">
        <f>(BE218*1000)*BE258/BE1</f>
        <v>9775.6164798892187</v>
      </c>
    </row>
    <row r="174" spans="1:70" x14ac:dyDescent="0.2">
      <c r="A174" s="828"/>
      <c r="B174" s="28" t="s">
        <v>611</v>
      </c>
      <c r="C174" s="25"/>
      <c r="D174" s="42">
        <f t="shared" ref="D174:X174" si="492">D175-SUM(D171:D173)</f>
        <v>803</v>
      </c>
      <c r="E174" s="42">
        <f t="shared" si="492"/>
        <v>770</v>
      </c>
      <c r="F174" s="42">
        <f t="shared" si="492"/>
        <v>746</v>
      </c>
      <c r="G174" s="42">
        <f t="shared" si="492"/>
        <v>746</v>
      </c>
      <c r="H174" s="42">
        <f t="shared" si="492"/>
        <v>731</v>
      </c>
      <c r="I174" s="42">
        <f t="shared" si="492"/>
        <v>708</v>
      </c>
      <c r="J174" s="42">
        <f t="shared" si="492"/>
        <v>633</v>
      </c>
      <c r="K174" s="42">
        <f t="shared" si="492"/>
        <v>587</v>
      </c>
      <c r="L174" s="42">
        <f t="shared" si="492"/>
        <v>530</v>
      </c>
      <c r="M174" s="42">
        <f t="shared" si="492"/>
        <v>549</v>
      </c>
      <c r="N174" s="42">
        <f t="shared" si="492"/>
        <v>573</v>
      </c>
      <c r="O174" s="42">
        <f t="shared" si="492"/>
        <v>599</v>
      </c>
      <c r="P174" s="42">
        <f t="shared" si="492"/>
        <v>550</v>
      </c>
      <c r="Q174" s="42">
        <f t="shared" si="492"/>
        <v>579</v>
      </c>
      <c r="R174" s="42">
        <f t="shared" si="492"/>
        <v>606</v>
      </c>
      <c r="S174" s="42">
        <f t="shared" si="492"/>
        <v>618</v>
      </c>
      <c r="T174" s="42">
        <f t="shared" si="492"/>
        <v>638</v>
      </c>
      <c r="U174" s="42">
        <f t="shared" si="492"/>
        <v>637</v>
      </c>
      <c r="V174" s="42">
        <f t="shared" si="492"/>
        <v>654</v>
      </c>
      <c r="W174" s="42">
        <f t="shared" si="492"/>
        <v>645</v>
      </c>
      <c r="X174" s="42">
        <f t="shared" si="492"/>
        <v>673</v>
      </c>
      <c r="Y174" s="42">
        <f t="shared" ref="Y174:Z174" si="493">Y175-SUM(Y171:Y173)</f>
        <v>699</v>
      </c>
      <c r="Z174" s="42">
        <f t="shared" si="493"/>
        <v>737</v>
      </c>
      <c r="AA174" s="42">
        <f t="shared" ref="AA174:AB174" si="494">AA175-SUM(AA171:AA173)</f>
        <v>762</v>
      </c>
      <c r="AB174" s="42">
        <f t="shared" si="494"/>
        <v>745</v>
      </c>
      <c r="AC174" s="132">
        <f t="shared" ref="AC174:AE174" si="495">AC196</f>
        <v>690.04676712328762</v>
      </c>
      <c r="AD174" s="132">
        <f t="shared" si="495"/>
        <v>701.11784712328767</v>
      </c>
      <c r="AE174" s="132">
        <f t="shared" si="495"/>
        <v>704.62343635890409</v>
      </c>
      <c r="AF174" s="132">
        <f t="shared" ref="AF174:AI174" si="496">AF196</f>
        <v>692.75206324633541</v>
      </c>
      <c r="AG174" s="132">
        <f t="shared" si="496"/>
        <v>703.95155493548441</v>
      </c>
      <c r="AH174" s="132">
        <f t="shared" si="496"/>
        <v>715.24572273994386</v>
      </c>
      <c r="AI174" s="132">
        <f t="shared" si="496"/>
        <v>718.8219513536435</v>
      </c>
      <c r="AJ174" s="206"/>
      <c r="AK174" s="206"/>
      <c r="AL174" s="206"/>
      <c r="AM174" s="206"/>
      <c r="AN174" s="206"/>
      <c r="AO174" s="206"/>
      <c r="AP174" s="206"/>
      <c r="AQ174" s="206"/>
      <c r="AS174" s="28" t="s">
        <v>611</v>
      </c>
      <c r="AT174" s="25"/>
      <c r="AU174" s="41">
        <f>SUM(D174:G174)</f>
        <v>3065</v>
      </c>
      <c r="AV174" s="41">
        <f>SUM(H174:K174)</f>
        <v>2659</v>
      </c>
      <c r="AW174" s="41">
        <f>SUM(L174:O174)</f>
        <v>2251</v>
      </c>
      <c r="AX174" s="41">
        <f>SUM(P174:S174)</f>
        <v>2353</v>
      </c>
      <c r="AY174" s="41">
        <f>SUM(T174:W174)</f>
        <v>2574</v>
      </c>
      <c r="AZ174" s="41">
        <f>SUM(X174:AA174)</f>
        <v>2871</v>
      </c>
      <c r="BA174" s="41">
        <f>SUM(AB174:AE174)</f>
        <v>2840.7880506054794</v>
      </c>
      <c r="BB174" s="41">
        <f>SUM(AF174:AI174)</f>
        <v>2830.7712922754072</v>
      </c>
      <c r="BC174" s="132">
        <f>BC196</f>
        <v>2814.4823371875</v>
      </c>
      <c r="BD174" s="132">
        <f>BD196</f>
        <v>2867.6377904111173</v>
      </c>
      <c r="BE174" s="132">
        <f>BE196</f>
        <v>2939.3287351713952</v>
      </c>
    </row>
    <row r="175" spans="1:70" x14ac:dyDescent="0.2">
      <c r="C175" s="322" t="s">
        <v>634</v>
      </c>
      <c r="D175" s="105">
        <v>4148</v>
      </c>
      <c r="E175" s="105">
        <v>4052</v>
      </c>
      <c r="F175" s="105">
        <v>4196</v>
      </c>
      <c r="G175" s="105">
        <v>4253</v>
      </c>
      <c r="H175" s="105">
        <v>4188</v>
      </c>
      <c r="I175" s="105">
        <v>4102</v>
      </c>
      <c r="J175" s="105">
        <v>4173</v>
      </c>
      <c r="K175" s="105">
        <v>4340</v>
      </c>
      <c r="L175" s="105">
        <v>4217</v>
      </c>
      <c r="M175" s="105">
        <v>4241</v>
      </c>
      <c r="N175" s="105">
        <v>4395</v>
      </c>
      <c r="O175" s="105">
        <v>4475</v>
      </c>
      <c r="P175" s="105">
        <v>4285</v>
      </c>
      <c r="Q175" s="105">
        <v>4266</v>
      </c>
      <c r="R175" s="105">
        <v>4403</v>
      </c>
      <c r="S175" s="105">
        <v>4455</v>
      </c>
      <c r="T175" s="105">
        <v>4398</v>
      </c>
      <c r="U175" s="105">
        <v>4331</v>
      </c>
      <c r="V175" s="105">
        <v>4696</v>
      </c>
      <c r="W175" s="105">
        <v>4706</v>
      </c>
      <c r="X175" s="105">
        <v>4617</v>
      </c>
      <c r="Y175" s="105">
        <v>4632</v>
      </c>
      <c r="Z175" s="105">
        <v>4825</v>
      </c>
      <c r="AA175" s="105">
        <v>4805</v>
      </c>
      <c r="AB175" s="105">
        <v>4750</v>
      </c>
      <c r="AC175" s="431">
        <f t="shared" ref="AC175:AE175" si="497">SUM(AC171:AC174)</f>
        <v>4758.6495993150675</v>
      </c>
      <c r="AD175" s="431">
        <f t="shared" si="497"/>
        <v>4938.6162377726041</v>
      </c>
      <c r="AE175" s="431">
        <f t="shared" si="497"/>
        <v>5008.0104080812598</v>
      </c>
      <c r="AF175" s="431">
        <f t="shared" ref="AF175:AI175" si="498">SUM(AF171:AF174)</f>
        <v>4878.8018961315411</v>
      </c>
      <c r="AG175" s="431">
        <f t="shared" si="498"/>
        <v>4987.8035382852331</v>
      </c>
      <c r="AH175" s="431">
        <f t="shared" si="498"/>
        <v>5155.700644241474</v>
      </c>
      <c r="AI175" s="431">
        <f t="shared" si="498"/>
        <v>5253.1955132765788</v>
      </c>
      <c r="AJ175" s="431"/>
      <c r="AK175" s="431"/>
      <c r="AL175" s="431"/>
      <c r="AM175" s="431"/>
      <c r="AN175" s="431"/>
      <c r="AO175" s="431"/>
      <c r="AP175" s="431"/>
      <c r="AQ175" s="431"/>
      <c r="AS175" s="10"/>
      <c r="AT175" s="322" t="s">
        <v>55</v>
      </c>
      <c r="AU175" s="379">
        <f t="shared" ref="AU175:BD175" si="499">SUM(AU171:AU174)</f>
        <v>16649</v>
      </c>
      <c r="AV175" s="379">
        <f t="shared" si="499"/>
        <v>16803</v>
      </c>
      <c r="AW175" s="379">
        <f t="shared" si="499"/>
        <v>17328</v>
      </c>
      <c r="AX175" s="379">
        <f t="shared" si="499"/>
        <v>17409</v>
      </c>
      <c r="AY175" s="379">
        <f t="shared" si="499"/>
        <v>18131</v>
      </c>
      <c r="AZ175" s="379">
        <f t="shared" si="499"/>
        <v>18879</v>
      </c>
      <c r="BA175" s="379">
        <f t="shared" si="499"/>
        <v>19455.27624516893</v>
      </c>
      <c r="BB175" s="379">
        <f t="shared" ref="BB175" si="500">SUM(BB171:BB174)</f>
        <v>20275.501591934826</v>
      </c>
      <c r="BC175" s="379">
        <f t="shared" si="499"/>
        <v>21223.58616356715</v>
      </c>
      <c r="BD175" s="379">
        <f t="shared" si="499"/>
        <v>22108.320907249417</v>
      </c>
      <c r="BE175" s="379">
        <f t="shared" ref="BE175" si="501">SUM(BE171:BE174)</f>
        <v>23049.461280522984</v>
      </c>
    </row>
    <row r="176" spans="1:70" x14ac:dyDescent="0.2">
      <c r="B176" s="321"/>
      <c r="C176" s="319"/>
      <c r="P176" s="70"/>
      <c r="Q176" s="321"/>
      <c r="R176" s="319"/>
      <c r="S176" s="70"/>
      <c r="T176" s="70"/>
      <c r="U176" s="70"/>
      <c r="V176" s="70"/>
      <c r="W176" s="70"/>
      <c r="X176" s="70"/>
      <c r="Y176" s="70"/>
      <c r="Z176" s="15"/>
      <c r="AA176" s="15"/>
      <c r="AB176" s="15"/>
    </row>
    <row r="177" spans="1:70" x14ac:dyDescent="0.2">
      <c r="A177" s="833"/>
      <c r="B177" s="340" t="s">
        <v>215</v>
      </c>
      <c r="C177" s="388"/>
      <c r="D177" s="388"/>
      <c r="E177" s="409"/>
      <c r="F177" s="12"/>
      <c r="G177" s="12"/>
      <c r="H177" s="12"/>
      <c r="I177" s="12"/>
      <c r="J177" s="12"/>
      <c r="K177" s="12"/>
      <c r="L177" s="12"/>
      <c r="M177" s="12"/>
      <c r="N177" s="12"/>
      <c r="O177" s="12"/>
      <c r="P177" s="12"/>
      <c r="Q177" s="12"/>
      <c r="R177" s="12"/>
      <c r="S177" s="12"/>
      <c r="T177" s="12"/>
      <c r="U177" s="12"/>
      <c r="V177" s="12"/>
      <c r="W177" s="12"/>
      <c r="X177" s="12"/>
      <c r="Y177" s="12"/>
      <c r="Z177" s="12"/>
      <c r="AA177" s="12"/>
      <c r="AB177" s="12"/>
      <c r="AC177" s="1784"/>
      <c r="AD177" s="1784"/>
      <c r="AE177" s="1784"/>
      <c r="AF177" s="12"/>
      <c r="AG177" s="12"/>
      <c r="AH177" s="12"/>
      <c r="AI177" s="12"/>
      <c r="AJ177" s="12"/>
      <c r="AK177" s="12"/>
      <c r="AL177" s="12"/>
      <c r="AM177" s="12"/>
      <c r="AN177" s="12"/>
      <c r="AO177" s="12"/>
      <c r="AP177" s="12"/>
      <c r="AQ177" s="12"/>
      <c r="AS177" s="340" t="s">
        <v>215</v>
      </c>
      <c r="AT177" s="388"/>
      <c r="AU177" s="12"/>
      <c r="AV177" s="12"/>
      <c r="AW177" s="12"/>
      <c r="AX177" s="12"/>
      <c r="AY177" s="12"/>
      <c r="AZ177" s="12"/>
      <c r="BA177" s="12"/>
      <c r="BB177" s="12"/>
      <c r="BC177" s="12"/>
      <c r="BD177" s="12"/>
      <c r="BE177" s="12"/>
    </row>
    <row r="178" spans="1:70" x14ac:dyDescent="0.2">
      <c r="B178" s="321" t="s">
        <v>74</v>
      </c>
      <c r="D178" s="431">
        <f t="shared" ref="D178:X178" si="502">D165-D171-D174</f>
        <v>802</v>
      </c>
      <c r="E178" s="431">
        <f t="shared" si="502"/>
        <v>832</v>
      </c>
      <c r="F178" s="431">
        <f t="shared" si="502"/>
        <v>926</v>
      </c>
      <c r="G178" s="431">
        <f t="shared" si="502"/>
        <v>845</v>
      </c>
      <c r="H178" s="431">
        <f t="shared" si="502"/>
        <v>761</v>
      </c>
      <c r="I178" s="431">
        <f t="shared" si="502"/>
        <v>797</v>
      </c>
      <c r="J178" s="431">
        <f t="shared" si="502"/>
        <v>395</v>
      </c>
      <c r="K178" s="431">
        <f t="shared" si="502"/>
        <v>383</v>
      </c>
      <c r="L178" s="431">
        <f t="shared" si="502"/>
        <v>461</v>
      </c>
      <c r="M178" s="431">
        <f t="shared" si="502"/>
        <v>450</v>
      </c>
      <c r="N178" s="431">
        <f t="shared" si="502"/>
        <v>476</v>
      </c>
      <c r="O178" s="431">
        <f t="shared" si="502"/>
        <v>560</v>
      </c>
      <c r="P178" s="431">
        <f t="shared" si="502"/>
        <v>569</v>
      </c>
      <c r="Q178" s="431">
        <f t="shared" si="502"/>
        <v>492</v>
      </c>
      <c r="R178" s="431">
        <f t="shared" si="502"/>
        <v>434</v>
      </c>
      <c r="S178" s="431">
        <f t="shared" si="502"/>
        <v>404</v>
      </c>
      <c r="T178" s="431">
        <f t="shared" si="502"/>
        <v>375</v>
      </c>
      <c r="U178" s="431">
        <f t="shared" si="502"/>
        <v>407</v>
      </c>
      <c r="V178" s="431">
        <f t="shared" si="502"/>
        <v>446</v>
      </c>
      <c r="W178" s="431">
        <f t="shared" si="502"/>
        <v>371</v>
      </c>
      <c r="X178" s="431">
        <f t="shared" si="502"/>
        <v>333</v>
      </c>
      <c r="Y178" s="431">
        <f t="shared" ref="Y178" si="503">Y165-Y171-Y174</f>
        <v>346</v>
      </c>
      <c r="Z178" s="431">
        <f t="shared" ref="Z178" si="504">Z165-Z171-Z174</f>
        <v>376</v>
      </c>
      <c r="AA178" s="431">
        <f t="shared" ref="AA178" si="505">AA165-AA171-AA174</f>
        <v>352</v>
      </c>
      <c r="AB178" s="431">
        <f t="shared" ref="AB178" si="506">AB165-AB171-AB174</f>
        <v>330</v>
      </c>
      <c r="AC178" s="33">
        <f t="shared" ref="AC178:AE178" si="507">AC261*AC215*1000/AC1</f>
        <v>374.33909589041099</v>
      </c>
      <c r="AD178" s="33">
        <f t="shared" si="507"/>
        <v>389.50991506849323</v>
      </c>
      <c r="AE178" s="33">
        <f t="shared" si="507"/>
        <v>391.45746464383564</v>
      </c>
      <c r="AF178" s="33">
        <f t="shared" ref="AF178:AI178" si="508">AF261*AF215*1000/AF1</f>
        <v>371.27888356993151</v>
      </c>
      <c r="AG178" s="33">
        <f t="shared" si="508"/>
        <v>386.48320663124639</v>
      </c>
      <c r="AH178" s="33">
        <f t="shared" si="508"/>
        <v>397.35873485552435</v>
      </c>
      <c r="AI178" s="33">
        <f t="shared" si="508"/>
        <v>399.34552852980198</v>
      </c>
      <c r="AJ178" s="33"/>
      <c r="AK178" s="33"/>
      <c r="AL178" s="33"/>
      <c r="AM178" s="33"/>
      <c r="AN178" s="33"/>
      <c r="AO178" s="33"/>
      <c r="AP178" s="33"/>
      <c r="AQ178" s="33"/>
      <c r="AS178" s="321" t="s">
        <v>74</v>
      </c>
      <c r="AT178" s="9"/>
      <c r="AU178" s="232">
        <f>SUM(D178:G178)</f>
        <v>3405</v>
      </c>
      <c r="AV178" s="232">
        <f>SUM(H178:K178)</f>
        <v>2336</v>
      </c>
      <c r="AW178" s="232">
        <f>SUM(L178:O178)</f>
        <v>1947</v>
      </c>
      <c r="AX178" s="232">
        <f>SUM(P178:S178)</f>
        <v>1899</v>
      </c>
      <c r="AY178" s="232">
        <f>SUM(T178:W178)</f>
        <v>1599</v>
      </c>
      <c r="AZ178" s="232">
        <f>SUM(X178:AA178)</f>
        <v>1407</v>
      </c>
      <c r="BA178" s="232">
        <f>SUM(AB178:AE178)</f>
        <v>1485.30647560274</v>
      </c>
      <c r="BB178" s="232">
        <f>SUM(AF178:AI178)</f>
        <v>1554.4663535865043</v>
      </c>
      <c r="BC178" s="33">
        <f>BC215*BC261*1000/BC1</f>
        <v>1649.8167739349121</v>
      </c>
      <c r="BD178" s="33">
        <f>BD215*BD261*1000/BD1</f>
        <v>1757.9082177444407</v>
      </c>
      <c r="BE178" s="33">
        <f>BE215*BE261*1000/BE1</f>
        <v>1810.645464276774</v>
      </c>
    </row>
    <row r="179" spans="1:70" x14ac:dyDescent="0.2">
      <c r="B179" s="321" t="s">
        <v>75</v>
      </c>
      <c r="D179" s="431">
        <f t="shared" ref="D179:X179" si="509">D166-D172</f>
        <v>378</v>
      </c>
      <c r="E179" s="431">
        <f t="shared" si="509"/>
        <v>381</v>
      </c>
      <c r="F179" s="431">
        <f t="shared" si="509"/>
        <v>425</v>
      </c>
      <c r="G179" s="431">
        <f t="shared" si="509"/>
        <v>428</v>
      </c>
      <c r="H179" s="431">
        <f t="shared" si="509"/>
        <v>379</v>
      </c>
      <c r="I179" s="431">
        <f t="shared" si="509"/>
        <v>335</v>
      </c>
      <c r="J179" s="431">
        <f t="shared" si="509"/>
        <v>399</v>
      </c>
      <c r="K179" s="431">
        <f t="shared" si="509"/>
        <v>415</v>
      </c>
      <c r="L179" s="431">
        <f t="shared" si="509"/>
        <v>372</v>
      </c>
      <c r="M179" s="431">
        <f t="shared" si="509"/>
        <v>394</v>
      </c>
      <c r="N179" s="431">
        <f t="shared" si="509"/>
        <v>437</v>
      </c>
      <c r="O179" s="431">
        <f t="shared" si="509"/>
        <v>443</v>
      </c>
      <c r="P179" s="431">
        <f t="shared" si="509"/>
        <v>402</v>
      </c>
      <c r="Q179" s="431">
        <f t="shared" si="509"/>
        <v>351</v>
      </c>
      <c r="R179" s="431">
        <f t="shared" si="509"/>
        <v>312</v>
      </c>
      <c r="S179" s="431">
        <f t="shared" si="509"/>
        <v>304</v>
      </c>
      <c r="T179" s="431">
        <f t="shared" si="509"/>
        <v>268</v>
      </c>
      <c r="U179" s="431">
        <f t="shared" si="509"/>
        <v>295</v>
      </c>
      <c r="V179" s="431">
        <f t="shared" si="509"/>
        <v>328</v>
      </c>
      <c r="W179" s="431">
        <f t="shared" si="509"/>
        <v>346</v>
      </c>
      <c r="X179" s="431">
        <f t="shared" si="509"/>
        <v>311</v>
      </c>
      <c r="Y179" s="431">
        <f t="shared" ref="Y179" si="510">Y166-Y172</f>
        <v>291</v>
      </c>
      <c r="Z179" s="431">
        <f t="shared" ref="Z179" si="511">Z166-Z172</f>
        <v>329</v>
      </c>
      <c r="AA179" s="431">
        <f t="shared" ref="AA179" si="512">AA166-AA172</f>
        <v>371</v>
      </c>
      <c r="AB179" s="431">
        <f t="shared" ref="AB179" si="513">AB166-AB172</f>
        <v>432</v>
      </c>
      <c r="AC179" s="206">
        <f t="shared" ref="AC179:AE180" si="514">AC262*AC243*1000</f>
        <v>260.82000000000005</v>
      </c>
      <c r="AD179" s="206">
        <f t="shared" si="514"/>
        <v>260.49599999999998</v>
      </c>
      <c r="AE179" s="206">
        <f t="shared" si="514"/>
        <v>279.61200000000002</v>
      </c>
      <c r="AF179" s="206">
        <f t="shared" ref="AF179:AI179" si="515">AF262*AF243*1000</f>
        <v>277.53660000000002</v>
      </c>
      <c r="AG179" s="206">
        <f t="shared" si="515"/>
        <v>306.98514000000006</v>
      </c>
      <c r="AH179" s="206">
        <f t="shared" si="515"/>
        <v>306.60379200000006</v>
      </c>
      <c r="AI179" s="206">
        <f t="shared" si="515"/>
        <v>329.10332400000004</v>
      </c>
      <c r="AJ179" s="206"/>
      <c r="AK179" s="206"/>
      <c r="AL179" s="206"/>
      <c r="AM179" s="206"/>
      <c r="AN179" s="206"/>
      <c r="AO179" s="206"/>
      <c r="AP179" s="206"/>
      <c r="AQ179" s="206"/>
      <c r="AS179" s="321" t="s">
        <v>75</v>
      </c>
      <c r="AT179" s="9"/>
      <c r="AU179" s="232">
        <f>SUM(D179:G179)</f>
        <v>1612</v>
      </c>
      <c r="AV179" s="232">
        <f>SUM(H179:K179)</f>
        <v>1528</v>
      </c>
      <c r="AW179" s="232">
        <f>SUM(L179:O179)</f>
        <v>1646</v>
      </c>
      <c r="AX179" s="232">
        <f>SUM(P179:S179)</f>
        <v>1369</v>
      </c>
      <c r="AY179" s="232">
        <f>SUM(T179:W179)</f>
        <v>1237</v>
      </c>
      <c r="AZ179" s="232">
        <f>SUM(X179:AA179)</f>
        <v>1302</v>
      </c>
      <c r="BA179" s="232">
        <f>SUM(AB179:AE179)</f>
        <v>1232.9280000000001</v>
      </c>
      <c r="BB179" s="232">
        <f>SUM(AF179:AI179)</f>
        <v>1220.2288560000002</v>
      </c>
      <c r="BC179" s="206">
        <f t="shared" ref="BC179:BD180" si="516">BC262*BC243*1000</f>
        <v>1371.8330472000005</v>
      </c>
      <c r="BD179" s="206">
        <f t="shared" si="516"/>
        <v>1454.1430300320003</v>
      </c>
      <c r="BE179" s="206">
        <f t="shared" ref="BE179" si="517">BE262*BE243*1000</f>
        <v>1541.3916118339207</v>
      </c>
    </row>
    <row r="180" spans="1:70" x14ac:dyDescent="0.2">
      <c r="B180" s="376" t="s">
        <v>102</v>
      </c>
      <c r="C180" s="25"/>
      <c r="D180" s="432">
        <f t="shared" ref="D180:X180" si="518">D167-D173</f>
        <v>-75</v>
      </c>
      <c r="E180" s="432">
        <f t="shared" si="518"/>
        <v>-79</v>
      </c>
      <c r="F180" s="432">
        <f t="shared" si="518"/>
        <v>-93</v>
      </c>
      <c r="G180" s="432">
        <f t="shared" si="518"/>
        <v>-127</v>
      </c>
      <c r="H180" s="432">
        <f t="shared" si="518"/>
        <v>-141</v>
      </c>
      <c r="I180" s="432">
        <f t="shared" si="518"/>
        <v>-104</v>
      </c>
      <c r="J180" s="432">
        <f t="shared" si="518"/>
        <v>-154</v>
      </c>
      <c r="K180" s="432">
        <f t="shared" si="518"/>
        <v>-193</v>
      </c>
      <c r="L180" s="432">
        <f t="shared" si="518"/>
        <v>-194</v>
      </c>
      <c r="M180" s="432">
        <f t="shared" si="518"/>
        <v>-229</v>
      </c>
      <c r="N180" s="432">
        <f t="shared" si="518"/>
        <v>-238</v>
      </c>
      <c r="O180" s="432">
        <f t="shared" si="518"/>
        <v>-313</v>
      </c>
      <c r="P180" s="432">
        <f t="shared" si="518"/>
        <v>-248</v>
      </c>
      <c r="Q180" s="432">
        <f t="shared" si="518"/>
        <v>-261</v>
      </c>
      <c r="R180" s="432">
        <f t="shared" si="518"/>
        <v>-309</v>
      </c>
      <c r="S180" s="432">
        <f t="shared" si="518"/>
        <v>-344</v>
      </c>
      <c r="T180" s="432">
        <f t="shared" si="518"/>
        <v>-211</v>
      </c>
      <c r="U180" s="432">
        <f t="shared" si="518"/>
        <v>-324</v>
      </c>
      <c r="V180" s="432">
        <f t="shared" si="518"/>
        <v>-309</v>
      </c>
      <c r="W180" s="432">
        <f t="shared" si="518"/>
        <v>-364</v>
      </c>
      <c r="X180" s="432">
        <f t="shared" si="518"/>
        <v>-316</v>
      </c>
      <c r="Y180" s="432">
        <f t="shared" ref="Y180" si="519">Y167-Y173</f>
        <v>-323</v>
      </c>
      <c r="Z180" s="432">
        <f t="shared" ref="Z180" si="520">Z167-Z173</f>
        <v>-333</v>
      </c>
      <c r="AA180" s="432">
        <f t="shared" ref="AA180" si="521">AA167-AA173</f>
        <v>-346</v>
      </c>
      <c r="AB180" s="432">
        <f t="shared" ref="AB180" si="522">AB167-AB173</f>
        <v>-355</v>
      </c>
      <c r="AC180" s="132">
        <f t="shared" si="514"/>
        <v>-401.18499999999995</v>
      </c>
      <c r="AD180" s="132">
        <f t="shared" si="514"/>
        <v>-381.1</v>
      </c>
      <c r="AE180" s="132">
        <f t="shared" si="514"/>
        <v>-449.69800000000004</v>
      </c>
      <c r="AF180" s="132">
        <f t="shared" ref="AF180:AI180" si="523">AF263*AF244*1000</f>
        <v>-331.55700000000002</v>
      </c>
      <c r="AG180" s="132">
        <f t="shared" si="523"/>
        <v>-413.22054999999995</v>
      </c>
      <c r="AH180" s="132">
        <f t="shared" si="523"/>
        <v>-413.75100000000009</v>
      </c>
      <c r="AI180" s="132">
        <f t="shared" si="523"/>
        <v>-513.26342000000011</v>
      </c>
      <c r="AJ180" s="206"/>
      <c r="AK180" s="206"/>
      <c r="AL180" s="206"/>
      <c r="AM180" s="206"/>
      <c r="AN180" s="206"/>
      <c r="AO180" s="206"/>
      <c r="AP180" s="206"/>
      <c r="AQ180" s="206"/>
      <c r="AS180" s="376" t="s">
        <v>102</v>
      </c>
      <c r="AT180" s="25"/>
      <c r="AU180" s="41">
        <f>SUM(D180:G180)</f>
        <v>-374</v>
      </c>
      <c r="AV180" s="41">
        <f>SUM(H180:K180)</f>
        <v>-592</v>
      </c>
      <c r="AW180" s="41">
        <f>SUM(L180:O180)</f>
        <v>-974</v>
      </c>
      <c r="AX180" s="41">
        <f>SUM(P180:S180)</f>
        <v>-1162</v>
      </c>
      <c r="AY180" s="41">
        <f>SUM(T180:W180)</f>
        <v>-1208</v>
      </c>
      <c r="AZ180" s="41">
        <f>SUM(X180:AA180)</f>
        <v>-1318</v>
      </c>
      <c r="BA180" s="41">
        <f>SUM(AB180:AE180)</f>
        <v>-1586.9829999999999</v>
      </c>
      <c r="BB180" s="41">
        <f>SUM(AF180:AI180)</f>
        <v>-1671.7919700000002</v>
      </c>
      <c r="BC180" s="132">
        <f t="shared" si="516"/>
        <v>-1876.6170696000004</v>
      </c>
      <c r="BD180" s="132">
        <f t="shared" si="516"/>
        <v>-1951.6817523840007</v>
      </c>
      <c r="BE180" s="132">
        <f t="shared" ref="BE180" si="524">BE263*BE244*1000</f>
        <v>-2029.7490224793607</v>
      </c>
    </row>
    <row r="181" spans="1:70" x14ac:dyDescent="0.2">
      <c r="C181" s="322" t="s">
        <v>293</v>
      </c>
      <c r="D181" s="431">
        <f t="shared" ref="D181:AE181" si="525">SUM(D178:D180)</f>
        <v>1105</v>
      </c>
      <c r="E181" s="431">
        <f t="shared" si="525"/>
        <v>1134</v>
      </c>
      <c r="F181" s="431">
        <f t="shared" si="525"/>
        <v>1258</v>
      </c>
      <c r="G181" s="431">
        <f t="shared" si="525"/>
        <v>1146</v>
      </c>
      <c r="H181" s="431">
        <f t="shared" si="525"/>
        <v>999</v>
      </c>
      <c r="I181" s="431">
        <f t="shared" si="525"/>
        <v>1028</v>
      </c>
      <c r="J181" s="431">
        <f t="shared" si="525"/>
        <v>640</v>
      </c>
      <c r="K181" s="431">
        <f t="shared" si="525"/>
        <v>605</v>
      </c>
      <c r="L181" s="431">
        <f t="shared" si="525"/>
        <v>639</v>
      </c>
      <c r="M181" s="431">
        <f t="shared" si="525"/>
        <v>615</v>
      </c>
      <c r="N181" s="431">
        <f t="shared" si="525"/>
        <v>675</v>
      </c>
      <c r="O181" s="431">
        <f t="shared" si="525"/>
        <v>690</v>
      </c>
      <c r="P181" s="431">
        <f t="shared" si="525"/>
        <v>723</v>
      </c>
      <c r="Q181" s="431">
        <f t="shared" si="525"/>
        <v>582</v>
      </c>
      <c r="R181" s="431">
        <f t="shared" si="525"/>
        <v>437</v>
      </c>
      <c r="S181" s="431">
        <f t="shared" si="525"/>
        <v>364</v>
      </c>
      <c r="T181" s="431">
        <f t="shared" si="525"/>
        <v>432</v>
      </c>
      <c r="U181" s="431">
        <f t="shared" si="525"/>
        <v>378</v>
      </c>
      <c r="V181" s="431">
        <f t="shared" si="525"/>
        <v>465</v>
      </c>
      <c r="W181" s="431">
        <f t="shared" si="525"/>
        <v>353</v>
      </c>
      <c r="X181" s="431">
        <f t="shared" si="525"/>
        <v>328</v>
      </c>
      <c r="Y181" s="431">
        <f t="shared" ref="Y181" si="526">SUM(Y178:Y180)</f>
        <v>314</v>
      </c>
      <c r="Z181" s="431">
        <f t="shared" ref="Z181" si="527">SUM(Z178:Z180)</f>
        <v>372</v>
      </c>
      <c r="AA181" s="431">
        <f t="shared" ref="AA181" si="528">SUM(AA178:AA180)</f>
        <v>377</v>
      </c>
      <c r="AB181" s="431">
        <f>SUM(AB178:AB180)</f>
        <v>407</v>
      </c>
      <c r="AC181" s="431">
        <f t="shared" si="525"/>
        <v>233.97409589041104</v>
      </c>
      <c r="AD181" s="431">
        <f t="shared" si="525"/>
        <v>268.90591506849319</v>
      </c>
      <c r="AE181" s="431">
        <f t="shared" si="525"/>
        <v>221.37146464383562</v>
      </c>
      <c r="AF181" s="431">
        <f t="shared" ref="AF181:AI181" si="529">SUM(AF178:AF180)</f>
        <v>317.25848356993151</v>
      </c>
      <c r="AG181" s="431">
        <f t="shared" si="529"/>
        <v>280.24779663124656</v>
      </c>
      <c r="AH181" s="431">
        <f t="shared" si="529"/>
        <v>290.21152685552431</v>
      </c>
      <c r="AI181" s="431">
        <f t="shared" si="529"/>
        <v>215.18543252980191</v>
      </c>
      <c r="AJ181" s="431"/>
      <c r="AK181" s="431"/>
      <c r="AL181" s="431"/>
      <c r="AM181" s="431"/>
      <c r="AN181" s="431"/>
      <c r="AO181" s="431"/>
      <c r="AP181" s="431"/>
      <c r="AQ181" s="431"/>
      <c r="AS181" s="10"/>
      <c r="AT181" s="322" t="s">
        <v>55</v>
      </c>
      <c r="AU181" s="379">
        <f t="shared" ref="AU181:BD181" si="530">SUM(AU178:AU180)</f>
        <v>4643</v>
      </c>
      <c r="AV181" s="379">
        <f t="shared" si="530"/>
        <v>3272</v>
      </c>
      <c r="AW181" s="379">
        <f t="shared" si="530"/>
        <v>2619</v>
      </c>
      <c r="AX181" s="379">
        <f t="shared" si="530"/>
        <v>2106</v>
      </c>
      <c r="AY181" s="379">
        <f t="shared" si="530"/>
        <v>1628</v>
      </c>
      <c r="AZ181" s="379">
        <f t="shared" si="530"/>
        <v>1391</v>
      </c>
      <c r="BA181" s="379">
        <f t="shared" si="530"/>
        <v>1131.2514756027401</v>
      </c>
      <c r="BB181" s="379">
        <f t="shared" ref="BB181" si="531">SUM(BB178:BB180)</f>
        <v>1102.9032395865042</v>
      </c>
      <c r="BC181" s="431">
        <f t="shared" si="530"/>
        <v>1145.0327515349122</v>
      </c>
      <c r="BD181" s="431">
        <f t="shared" si="530"/>
        <v>1260.3694953924403</v>
      </c>
      <c r="BE181" s="431">
        <f t="shared" ref="BE181" si="532">SUM(BE178:BE180)</f>
        <v>1322.2880536313339</v>
      </c>
    </row>
    <row r="182" spans="1:70" x14ac:dyDescent="0.2">
      <c r="B182" s="321"/>
      <c r="C182" s="319"/>
      <c r="D182" s="319"/>
      <c r="E182" s="444"/>
      <c r="Y182" s="1215"/>
      <c r="Z182" s="1688"/>
      <c r="AA182" s="1742"/>
      <c r="AS182" s="321"/>
      <c r="AT182" s="319"/>
    </row>
    <row r="183" spans="1:70" x14ac:dyDescent="0.2">
      <c r="A183" s="833"/>
      <c r="B183" s="340" t="s">
        <v>96</v>
      </c>
      <c r="C183" s="388"/>
      <c r="D183" s="388"/>
      <c r="E183" s="409"/>
      <c r="F183" s="12"/>
      <c r="G183" s="12"/>
      <c r="H183" s="12"/>
      <c r="I183" s="12"/>
      <c r="J183" s="12"/>
      <c r="K183" s="12"/>
      <c r="L183" s="12"/>
      <c r="M183" s="12"/>
      <c r="N183" s="12"/>
      <c r="O183" s="12"/>
      <c r="P183" s="12"/>
      <c r="Q183" s="12"/>
      <c r="R183" s="12"/>
      <c r="S183" s="12"/>
      <c r="T183" s="12"/>
      <c r="U183" s="12"/>
      <c r="V183" s="12"/>
      <c r="W183" s="12"/>
      <c r="X183" s="12"/>
      <c r="Y183" s="12"/>
      <c r="Z183" s="12"/>
      <c r="AA183" s="12"/>
      <c r="AB183" s="12"/>
      <c r="AC183" s="12"/>
      <c r="AD183" s="12"/>
      <c r="AE183" s="12"/>
      <c r="AF183" s="12"/>
      <c r="AG183" s="12"/>
      <c r="AH183" s="12"/>
      <c r="AI183" s="12"/>
      <c r="AJ183" s="12"/>
      <c r="AK183" s="12"/>
      <c r="AL183" s="12"/>
      <c r="AM183" s="12"/>
      <c r="AN183" s="12"/>
      <c r="AO183" s="12"/>
      <c r="AP183" s="12"/>
      <c r="AQ183" s="12"/>
      <c r="AS183" s="340" t="s">
        <v>96</v>
      </c>
      <c r="AT183" s="388"/>
      <c r="AU183" s="12"/>
      <c r="AV183" s="12"/>
      <c r="AW183" s="12"/>
      <c r="AX183" s="12"/>
      <c r="AY183" s="12"/>
      <c r="AZ183" s="12"/>
      <c r="BA183" s="12"/>
      <c r="BB183" s="12"/>
      <c r="BC183" s="12"/>
      <c r="BD183" s="12"/>
      <c r="BE183" s="12"/>
    </row>
    <row r="184" spans="1:70" x14ac:dyDescent="0.2">
      <c r="B184" s="321" t="s">
        <v>74</v>
      </c>
      <c r="D184" s="105">
        <v>329</v>
      </c>
      <c r="E184" s="445">
        <v>327</v>
      </c>
      <c r="F184" s="426">
        <v>332</v>
      </c>
      <c r="G184" s="426">
        <v>215</v>
      </c>
      <c r="H184" s="426">
        <v>224</v>
      </c>
      <c r="I184" s="426">
        <v>267</v>
      </c>
      <c r="J184" s="426">
        <v>-24</v>
      </c>
      <c r="K184" s="426">
        <v>-4</v>
      </c>
      <c r="L184" s="426">
        <v>35</v>
      </c>
      <c r="M184" s="426">
        <v>110</v>
      </c>
      <c r="N184" s="426">
        <v>129</v>
      </c>
      <c r="O184" s="426">
        <v>161</v>
      </c>
      <c r="P184" s="426">
        <v>183</v>
      </c>
      <c r="Q184" s="426">
        <v>183</v>
      </c>
      <c r="R184" s="426">
        <v>137</v>
      </c>
      <c r="S184" s="426">
        <v>113</v>
      </c>
      <c r="T184" s="426">
        <v>89</v>
      </c>
      <c r="U184" s="426">
        <v>172</v>
      </c>
      <c r="V184" s="426">
        <v>187</v>
      </c>
      <c r="W184" s="426">
        <v>85</v>
      </c>
      <c r="X184" s="105">
        <v>72</v>
      </c>
      <c r="Y184" s="105">
        <v>130</v>
      </c>
      <c r="Z184" s="105">
        <v>169</v>
      </c>
      <c r="AA184" s="105">
        <v>41</v>
      </c>
      <c r="AB184" s="105">
        <v>140</v>
      </c>
      <c r="AC184" s="144" t="s">
        <v>226</v>
      </c>
      <c r="AD184" s="144" t="s">
        <v>226</v>
      </c>
      <c r="AE184" s="144" t="s">
        <v>226</v>
      </c>
      <c r="AF184" s="144" t="s">
        <v>226</v>
      </c>
      <c r="AG184" s="144" t="s">
        <v>226</v>
      </c>
      <c r="AH184" s="144" t="s">
        <v>226</v>
      </c>
      <c r="AI184" s="144" t="s">
        <v>226</v>
      </c>
      <c r="AJ184" s="144"/>
      <c r="AK184" s="144"/>
      <c r="AL184" s="144"/>
      <c r="AM184" s="144"/>
      <c r="AN184" s="144"/>
      <c r="AO184" s="144"/>
      <c r="AP184" s="144"/>
      <c r="AQ184" s="144"/>
      <c r="AS184" s="321" t="s">
        <v>74</v>
      </c>
      <c r="AT184" s="9"/>
      <c r="AU184" s="232">
        <f>SUM(D184:G184)</f>
        <v>1203</v>
      </c>
      <c r="AV184" s="232">
        <f>SUM(H184:K184)</f>
        <v>463</v>
      </c>
      <c r="AW184" s="232">
        <f>SUM(L184:O184)</f>
        <v>435</v>
      </c>
      <c r="AX184" s="232">
        <f>SUM(P184:S184)</f>
        <v>616</v>
      </c>
      <c r="AY184" s="232">
        <f>SUM(T184:W184)</f>
        <v>533</v>
      </c>
      <c r="AZ184" s="144" t="s">
        <v>226</v>
      </c>
      <c r="BA184" s="144" t="s">
        <v>226</v>
      </c>
      <c r="BB184" s="144" t="s">
        <v>226</v>
      </c>
      <c r="BC184" s="144" t="s">
        <v>226</v>
      </c>
      <c r="BD184" s="144" t="s">
        <v>226</v>
      </c>
      <c r="BE184" s="144" t="s">
        <v>226</v>
      </c>
    </row>
    <row r="185" spans="1:70" x14ac:dyDescent="0.2">
      <c r="B185" s="321" t="s">
        <v>75</v>
      </c>
      <c r="D185" s="105">
        <v>584</v>
      </c>
      <c r="E185" s="445">
        <v>405</v>
      </c>
      <c r="F185" s="426">
        <v>547</v>
      </c>
      <c r="G185" s="426">
        <v>453</v>
      </c>
      <c r="H185" s="426">
        <v>431</v>
      </c>
      <c r="I185" s="426">
        <v>439</v>
      </c>
      <c r="J185" s="426">
        <v>548</v>
      </c>
      <c r="K185" s="426">
        <v>527</v>
      </c>
      <c r="L185" s="426">
        <v>564</v>
      </c>
      <c r="M185" s="426">
        <v>555</v>
      </c>
      <c r="N185" s="426">
        <v>636</v>
      </c>
      <c r="O185" s="426">
        <v>636</v>
      </c>
      <c r="P185" s="426">
        <v>535</v>
      </c>
      <c r="Q185" s="426">
        <v>495</v>
      </c>
      <c r="R185" s="426">
        <v>517</v>
      </c>
      <c r="S185" s="426">
        <v>510</v>
      </c>
      <c r="T185" s="426">
        <v>353</v>
      </c>
      <c r="U185" s="426">
        <v>320</v>
      </c>
      <c r="V185" s="426">
        <v>322</v>
      </c>
      <c r="W185" s="426">
        <v>446</v>
      </c>
      <c r="X185" s="105">
        <v>246</v>
      </c>
      <c r="Y185" s="105">
        <v>302</v>
      </c>
      <c r="Z185" s="105">
        <v>342</v>
      </c>
      <c r="AA185" s="105">
        <v>119</v>
      </c>
      <c r="AB185" s="105">
        <v>425</v>
      </c>
      <c r="AC185" s="144" t="s">
        <v>226</v>
      </c>
      <c r="AD185" s="144" t="s">
        <v>226</v>
      </c>
      <c r="AE185" s="144" t="s">
        <v>226</v>
      </c>
      <c r="AF185" s="144" t="s">
        <v>226</v>
      </c>
      <c r="AG185" s="144" t="s">
        <v>226</v>
      </c>
      <c r="AH185" s="144" t="s">
        <v>226</v>
      </c>
      <c r="AI185" s="144" t="s">
        <v>226</v>
      </c>
      <c r="AJ185" s="144"/>
      <c r="AK185" s="144"/>
      <c r="AL185" s="144"/>
      <c r="AM185" s="144"/>
      <c r="AN185" s="144"/>
      <c r="AO185" s="144"/>
      <c r="AP185" s="144"/>
      <c r="AQ185" s="144"/>
      <c r="AS185" s="321" t="s">
        <v>75</v>
      </c>
      <c r="AT185" s="9"/>
      <c r="AU185" s="232">
        <f>SUM(D185:G185)</f>
        <v>1989</v>
      </c>
      <c r="AV185" s="232">
        <f>SUM(H185:K185)</f>
        <v>1945</v>
      </c>
      <c r="AW185" s="232">
        <f>SUM(L185:O185)</f>
        <v>2391</v>
      </c>
      <c r="AX185" s="232">
        <f>SUM(P185:S185)</f>
        <v>2057</v>
      </c>
      <c r="AY185" s="232">
        <f>SUM(T185:W185)</f>
        <v>1441</v>
      </c>
      <c r="AZ185" s="144" t="s">
        <v>226</v>
      </c>
      <c r="BA185" s="144" t="s">
        <v>226</v>
      </c>
      <c r="BB185" s="144" t="s">
        <v>226</v>
      </c>
      <c r="BC185" s="144" t="s">
        <v>226</v>
      </c>
      <c r="BD185" s="144" t="s">
        <v>226</v>
      </c>
      <c r="BE185" s="144" t="s">
        <v>226</v>
      </c>
    </row>
    <row r="186" spans="1:70" x14ac:dyDescent="0.2">
      <c r="A186" s="833"/>
      <c r="B186" s="376" t="s">
        <v>102</v>
      </c>
      <c r="C186" s="25"/>
      <c r="D186" s="443">
        <v>365</v>
      </c>
      <c r="E186" s="443">
        <v>418</v>
      </c>
      <c r="F186" s="430">
        <v>374</v>
      </c>
      <c r="G186" s="430">
        <v>283</v>
      </c>
      <c r="H186" s="430">
        <v>430</v>
      </c>
      <c r="I186" s="430">
        <v>387</v>
      </c>
      <c r="J186" s="430">
        <v>383</v>
      </c>
      <c r="K186" s="430">
        <v>357</v>
      </c>
      <c r="L186" s="430">
        <v>436</v>
      </c>
      <c r="M186" s="430">
        <v>429</v>
      </c>
      <c r="N186" s="430">
        <v>440</v>
      </c>
      <c r="O186" s="430">
        <v>361</v>
      </c>
      <c r="P186" s="430">
        <v>403</v>
      </c>
      <c r="Q186" s="430">
        <v>378</v>
      </c>
      <c r="R186" s="430">
        <v>395</v>
      </c>
      <c r="S186" s="430">
        <v>339</v>
      </c>
      <c r="T186" s="430">
        <v>391</v>
      </c>
      <c r="U186" s="430">
        <v>323</v>
      </c>
      <c r="V186" s="430">
        <v>271</v>
      </c>
      <c r="W186" s="430">
        <v>279</v>
      </c>
      <c r="X186" s="443">
        <v>296</v>
      </c>
      <c r="Y186" s="443">
        <v>225</v>
      </c>
      <c r="Z186" s="443">
        <v>131</v>
      </c>
      <c r="AA186" s="443">
        <v>-83</v>
      </c>
      <c r="AB186" s="443">
        <v>273</v>
      </c>
      <c r="AC186" s="197" t="s">
        <v>226</v>
      </c>
      <c r="AD186" s="197" t="s">
        <v>226</v>
      </c>
      <c r="AE186" s="197" t="s">
        <v>226</v>
      </c>
      <c r="AF186" s="197" t="s">
        <v>226</v>
      </c>
      <c r="AG186" s="197" t="s">
        <v>226</v>
      </c>
      <c r="AH186" s="197" t="s">
        <v>226</v>
      </c>
      <c r="AI186" s="197" t="s">
        <v>226</v>
      </c>
      <c r="AJ186" s="1756"/>
      <c r="AK186" s="1756"/>
      <c r="AL186" s="1756"/>
      <c r="AM186" s="1756"/>
      <c r="AN186" s="1756"/>
      <c r="AO186" s="1756"/>
      <c r="AP186" s="1756"/>
      <c r="AQ186" s="1756"/>
      <c r="AS186" s="376" t="s">
        <v>102</v>
      </c>
      <c r="AT186" s="25"/>
      <c r="AU186" s="41">
        <f>SUM(D186:G186)</f>
        <v>1440</v>
      </c>
      <c r="AV186" s="41">
        <f>SUM(H186:K186)</f>
        <v>1557</v>
      </c>
      <c r="AW186" s="41">
        <f>SUM(L186:O186)</f>
        <v>1666</v>
      </c>
      <c r="AX186" s="41">
        <f>SUM(P186:S186)</f>
        <v>1515</v>
      </c>
      <c r="AY186" s="41">
        <f>SUM(T186:W186)</f>
        <v>1264</v>
      </c>
      <c r="AZ186" s="197" t="s">
        <v>226</v>
      </c>
      <c r="BA186" s="197" t="s">
        <v>226</v>
      </c>
      <c r="BB186" s="197" t="s">
        <v>226</v>
      </c>
      <c r="BC186" s="197" t="s">
        <v>226</v>
      </c>
      <c r="BD186" s="197" t="s">
        <v>226</v>
      </c>
      <c r="BE186" s="197" t="s">
        <v>226</v>
      </c>
    </row>
    <row r="187" spans="1:70" x14ac:dyDescent="0.2">
      <c r="B187" s="321"/>
      <c r="C187" s="319" t="s">
        <v>635</v>
      </c>
      <c r="D187" s="431">
        <f t="shared" ref="D187:X187" si="533">SUM(D184:D186)</f>
        <v>1278</v>
      </c>
      <c r="E187" s="431">
        <f t="shared" si="533"/>
        <v>1150</v>
      </c>
      <c r="F187" s="431">
        <f t="shared" si="533"/>
        <v>1253</v>
      </c>
      <c r="G187" s="431">
        <f t="shared" si="533"/>
        <v>951</v>
      </c>
      <c r="H187" s="431">
        <f t="shared" si="533"/>
        <v>1085</v>
      </c>
      <c r="I187" s="431">
        <f t="shared" si="533"/>
        <v>1093</v>
      </c>
      <c r="J187" s="431">
        <f t="shared" si="533"/>
        <v>907</v>
      </c>
      <c r="K187" s="431">
        <f t="shared" si="533"/>
        <v>880</v>
      </c>
      <c r="L187" s="431">
        <f t="shared" si="533"/>
        <v>1035</v>
      </c>
      <c r="M187" s="431">
        <f t="shared" si="533"/>
        <v>1094</v>
      </c>
      <c r="N187" s="431">
        <f t="shared" si="533"/>
        <v>1205</v>
      </c>
      <c r="O187" s="431">
        <f t="shared" si="533"/>
        <v>1158</v>
      </c>
      <c r="P187" s="431">
        <f t="shared" si="533"/>
        <v>1121</v>
      </c>
      <c r="Q187" s="431">
        <f t="shared" si="533"/>
        <v>1056</v>
      </c>
      <c r="R187" s="431">
        <f t="shared" si="533"/>
        <v>1049</v>
      </c>
      <c r="S187" s="431">
        <f t="shared" si="533"/>
        <v>962</v>
      </c>
      <c r="T187" s="431">
        <f t="shared" si="533"/>
        <v>833</v>
      </c>
      <c r="U187" s="431">
        <f t="shared" si="533"/>
        <v>815</v>
      </c>
      <c r="V187" s="431">
        <f t="shared" si="533"/>
        <v>780</v>
      </c>
      <c r="W187" s="431">
        <f t="shared" si="533"/>
        <v>810</v>
      </c>
      <c r="X187" s="431">
        <f t="shared" si="533"/>
        <v>614</v>
      </c>
      <c r="Y187" s="431">
        <f t="shared" ref="Y187:Z187" si="534">SUM(Y184:Y186)</f>
        <v>657</v>
      </c>
      <c r="Z187" s="431">
        <f t="shared" si="534"/>
        <v>642</v>
      </c>
      <c r="AA187" s="431">
        <f t="shared" ref="AA187" si="535">SUM(AA184:AA186)</f>
        <v>77</v>
      </c>
      <c r="AB187" s="144" t="s">
        <v>226</v>
      </c>
      <c r="AC187" s="144" t="s">
        <v>226</v>
      </c>
      <c r="AD187" s="144" t="s">
        <v>226</v>
      </c>
      <c r="AE187" s="144" t="s">
        <v>226</v>
      </c>
      <c r="AF187" s="144" t="s">
        <v>226</v>
      </c>
      <c r="AG187" s="144" t="s">
        <v>226</v>
      </c>
      <c r="AH187" s="144" t="s">
        <v>226</v>
      </c>
      <c r="AI187" s="144" t="s">
        <v>226</v>
      </c>
      <c r="AJ187" s="144"/>
      <c r="AK187" s="144"/>
      <c r="AL187" s="144"/>
      <c r="AM187" s="144"/>
      <c r="AN187" s="144"/>
      <c r="AO187" s="144"/>
      <c r="AP187" s="144"/>
      <c r="AQ187" s="144"/>
      <c r="AS187" s="321"/>
      <c r="AT187" s="319" t="s">
        <v>21</v>
      </c>
      <c r="AU187" s="379">
        <f>SUM(AU184:AU186)</f>
        <v>4632</v>
      </c>
      <c r="AV187" s="379">
        <f>SUM(AV184:AV186)</f>
        <v>3965</v>
      </c>
      <c r="AW187" s="379">
        <f>SUM(AW184:AW186)</f>
        <v>4492</v>
      </c>
      <c r="AX187" s="379">
        <f>SUM(AX184:AX186)</f>
        <v>4188</v>
      </c>
      <c r="AY187" s="379">
        <f>SUM(AY184:AY186)</f>
        <v>3238</v>
      </c>
      <c r="AZ187" s="144" t="s">
        <v>226</v>
      </c>
      <c r="BA187" s="144" t="s">
        <v>226</v>
      </c>
      <c r="BB187" s="144" t="s">
        <v>226</v>
      </c>
      <c r="BC187" s="144" t="s">
        <v>226</v>
      </c>
      <c r="BD187" s="144" t="s">
        <v>226</v>
      </c>
      <c r="BE187" s="144" t="s">
        <v>226</v>
      </c>
    </row>
    <row r="188" spans="1:70" s="382" customFormat="1" x14ac:dyDescent="0.2">
      <c r="A188" s="833"/>
      <c r="B188" s="334"/>
      <c r="C188" s="319"/>
      <c r="D188" s="446"/>
      <c r="E188" s="446"/>
      <c r="F188" s="446"/>
      <c r="G188" s="446"/>
      <c r="H188" s="447"/>
      <c r="I188" s="447"/>
      <c r="J188" s="447"/>
      <c r="K188" s="447"/>
      <c r="L188" s="447"/>
      <c r="M188" s="447"/>
      <c r="N188" s="447"/>
      <c r="O188" s="447"/>
      <c r="P188" s="447"/>
      <c r="Q188" s="447"/>
      <c r="R188" s="447"/>
      <c r="S188" s="447"/>
      <c r="T188" s="447"/>
      <c r="U188" s="447"/>
      <c r="V188" s="447"/>
      <c r="W188" s="447"/>
      <c r="X188" s="319"/>
      <c r="Y188" s="319"/>
      <c r="Z188" s="319"/>
      <c r="AA188" s="319"/>
      <c r="AB188" s="319"/>
      <c r="AC188" s="319"/>
      <c r="AD188" s="319"/>
      <c r="AE188" s="319"/>
      <c r="AF188" s="319"/>
      <c r="AG188" s="319"/>
      <c r="AH188" s="319"/>
      <c r="AI188" s="319"/>
      <c r="AJ188" s="319"/>
      <c r="AK188" s="319"/>
      <c r="AL188" s="319"/>
      <c r="AM188" s="319"/>
      <c r="AN188" s="319"/>
      <c r="AO188" s="319"/>
      <c r="AP188" s="319"/>
      <c r="AQ188" s="319"/>
      <c r="AR188" s="70"/>
      <c r="AS188" s="334"/>
      <c r="AT188" s="319"/>
      <c r="BM188"/>
      <c r="BN188"/>
      <c r="BO188"/>
      <c r="BP188"/>
      <c r="BQ188"/>
      <c r="BR188"/>
    </row>
    <row r="189" spans="1:70" x14ac:dyDescent="0.2">
      <c r="B189" s="11" t="s">
        <v>613</v>
      </c>
      <c r="C189" s="11"/>
      <c r="D189" s="12"/>
      <c r="E189" s="12"/>
      <c r="F189" s="12"/>
      <c r="G189" s="12"/>
      <c r="H189" s="12"/>
      <c r="I189" s="12"/>
      <c r="J189" s="12"/>
      <c r="K189" s="12"/>
      <c r="L189" s="12"/>
      <c r="M189" s="12"/>
      <c r="N189" s="12"/>
      <c r="O189" s="12"/>
      <c r="P189" s="12"/>
      <c r="Q189" s="12"/>
      <c r="R189" s="12"/>
      <c r="S189" s="12"/>
      <c r="T189" s="12"/>
      <c r="U189" s="12"/>
      <c r="V189" s="12"/>
      <c r="W189" s="12"/>
      <c r="X189" s="12"/>
      <c r="Y189" s="12"/>
      <c r="Z189" s="12"/>
      <c r="AA189" s="12"/>
      <c r="AB189" s="12"/>
      <c r="AC189" s="12"/>
      <c r="AD189" s="12"/>
      <c r="AE189" s="12"/>
      <c r="AF189" s="12"/>
      <c r="AG189" s="12"/>
      <c r="AH189" s="12"/>
      <c r="AI189" s="12"/>
      <c r="AJ189" s="12"/>
      <c r="AK189" s="12"/>
      <c r="AL189" s="12"/>
      <c r="AM189" s="12"/>
      <c r="AN189" s="12"/>
      <c r="AO189" s="12"/>
      <c r="AP189" s="12"/>
      <c r="AQ189" s="12"/>
      <c r="AS189" s="11" t="s">
        <v>503</v>
      </c>
      <c r="AT189" s="11"/>
      <c r="AU189" s="12"/>
      <c r="AV189" s="12"/>
      <c r="AW189" s="12"/>
      <c r="AX189" s="12"/>
      <c r="AY189" s="12"/>
      <c r="AZ189" s="12"/>
      <c r="BA189" s="12"/>
      <c r="BB189" s="12"/>
      <c r="BC189" s="12"/>
      <c r="BD189" s="12"/>
      <c r="BE189" s="12"/>
    </row>
    <row r="190" spans="1:70" x14ac:dyDescent="0.2">
      <c r="B190" s="16"/>
      <c r="C190" s="16"/>
      <c r="D190" s="15"/>
      <c r="E190" s="15"/>
      <c r="F190" s="15"/>
      <c r="G190" s="15"/>
      <c r="H190" s="15"/>
      <c r="I190" s="15"/>
      <c r="J190" s="15"/>
      <c r="K190" s="15"/>
      <c r="L190" s="15"/>
      <c r="M190" s="15"/>
      <c r="N190" s="15"/>
      <c r="O190" s="15"/>
      <c r="P190" s="15"/>
      <c r="Q190" s="15"/>
      <c r="R190" s="15"/>
      <c r="S190" s="15"/>
      <c r="T190" s="15"/>
      <c r="U190" s="15"/>
      <c r="V190" s="15"/>
      <c r="W190" s="15"/>
      <c r="X190" s="15"/>
      <c r="Y190" s="15"/>
      <c r="Z190" s="15"/>
      <c r="AA190" s="15"/>
      <c r="AB190" s="15"/>
      <c r="AC190" s="15"/>
      <c r="AD190" s="15"/>
      <c r="AE190" s="15"/>
      <c r="AF190" s="15"/>
      <c r="AG190" s="15"/>
      <c r="AH190" s="15"/>
      <c r="AI190" s="15"/>
      <c r="AJ190" s="15"/>
      <c r="AK190" s="15"/>
      <c r="AL190" s="15"/>
      <c r="AM190" s="15"/>
      <c r="AN190" s="15"/>
      <c r="AO190" s="15"/>
      <c r="AP190" s="15"/>
      <c r="AQ190" s="15"/>
      <c r="AS190" s="16"/>
      <c r="AT190" s="16"/>
      <c r="AU190" s="15"/>
      <c r="AV190" s="15"/>
      <c r="AW190" s="15"/>
      <c r="AX190" s="15"/>
      <c r="AY190" s="15"/>
      <c r="AZ190" s="15"/>
      <c r="BA190" s="15"/>
      <c r="BB190" s="15"/>
      <c r="BC190" s="15"/>
      <c r="BD190" s="15"/>
      <c r="BE190" s="15"/>
    </row>
    <row r="191" spans="1:70" x14ac:dyDescent="0.2">
      <c r="B191" s="175" t="s">
        <v>614</v>
      </c>
      <c r="C191" s="16"/>
      <c r="D191" s="15"/>
      <c r="E191" s="15"/>
      <c r="F191" s="15"/>
      <c r="G191" s="15"/>
      <c r="H191" s="15"/>
      <c r="I191" s="15"/>
      <c r="J191" s="15"/>
      <c r="K191" s="15"/>
      <c r="L191" s="15"/>
      <c r="M191" s="15"/>
      <c r="N191" s="15"/>
      <c r="O191" s="15"/>
      <c r="P191" s="15"/>
      <c r="Q191" s="15"/>
      <c r="R191" s="15"/>
      <c r="S191" s="15"/>
      <c r="T191" s="15"/>
      <c r="U191" s="15"/>
      <c r="V191" s="15"/>
      <c r="W191" s="15"/>
      <c r="X191" s="15"/>
      <c r="Y191" s="15"/>
      <c r="Z191" s="15"/>
      <c r="AA191" s="15"/>
      <c r="AB191" s="15"/>
      <c r="AC191" s="15"/>
      <c r="AD191" s="15"/>
      <c r="AE191" s="15"/>
      <c r="AF191" s="15"/>
      <c r="AG191" s="15"/>
      <c r="AH191" s="15"/>
      <c r="AI191" s="15"/>
      <c r="AJ191" s="15"/>
      <c r="AK191" s="15"/>
      <c r="AL191" s="15"/>
      <c r="AM191" s="15"/>
      <c r="AN191" s="15"/>
      <c r="AO191" s="15"/>
      <c r="AP191" s="15"/>
      <c r="AQ191" s="15"/>
      <c r="AS191" s="175" t="s">
        <v>614</v>
      </c>
      <c r="AT191" s="16"/>
      <c r="AU191" s="15"/>
      <c r="AV191" s="15"/>
      <c r="AW191" s="15"/>
      <c r="AX191" s="15"/>
      <c r="AY191" s="15"/>
      <c r="AZ191" s="15"/>
      <c r="BA191" s="15"/>
      <c r="BB191" s="15"/>
      <c r="BC191" s="15"/>
      <c r="BD191" s="15"/>
      <c r="BE191" s="15"/>
    </row>
    <row r="192" spans="1:70" s="369" customFormat="1" x14ac:dyDescent="0.2">
      <c r="A192" s="411"/>
      <c r="B192" s="334" t="s">
        <v>42</v>
      </c>
      <c r="C192" s="321"/>
      <c r="D192" s="449">
        <v>3.8</v>
      </c>
      <c r="E192" s="449">
        <v>4.0999999999999996</v>
      </c>
      <c r="F192" s="449">
        <v>4.5999999999999996</v>
      </c>
      <c r="G192" s="449">
        <v>4.5999999999999996</v>
      </c>
      <c r="H192" s="449">
        <v>5.8</v>
      </c>
      <c r="I192" s="449">
        <v>5.8</v>
      </c>
      <c r="J192" s="449">
        <v>4.9000000000000004</v>
      </c>
      <c r="K192" s="449">
        <v>5.2</v>
      </c>
      <c r="L192" s="449">
        <v>5.7</v>
      </c>
      <c r="M192" s="449">
        <v>5.6</v>
      </c>
      <c r="N192" s="449">
        <v>5.5</v>
      </c>
      <c r="O192" s="449">
        <v>6</v>
      </c>
      <c r="P192" s="449">
        <v>6.3</v>
      </c>
      <c r="Q192" s="449">
        <v>5.9</v>
      </c>
      <c r="R192" s="449">
        <v>4.9000000000000004</v>
      </c>
      <c r="S192" s="449">
        <v>4.5999999999999996</v>
      </c>
      <c r="T192" s="449">
        <v>4.8</v>
      </c>
      <c r="U192" s="449">
        <v>5.5</v>
      </c>
      <c r="V192" s="449">
        <v>5.2</v>
      </c>
      <c r="W192" s="449">
        <v>5.3</v>
      </c>
      <c r="X192" s="449">
        <v>6.2</v>
      </c>
      <c r="Y192" s="449">
        <v>6.5</v>
      </c>
      <c r="Z192" s="449">
        <v>6.7</v>
      </c>
      <c r="AA192" s="449">
        <v>7</v>
      </c>
      <c r="AB192" s="449">
        <v>8.4</v>
      </c>
      <c r="AC192" s="144" t="s">
        <v>226</v>
      </c>
      <c r="AD192" s="144" t="s">
        <v>226</v>
      </c>
      <c r="AE192" s="144" t="s">
        <v>226</v>
      </c>
      <c r="AF192" s="144" t="s">
        <v>226</v>
      </c>
      <c r="AG192" s="144" t="s">
        <v>226</v>
      </c>
      <c r="AH192" s="144" t="s">
        <v>226</v>
      </c>
      <c r="AI192" s="144" t="s">
        <v>226</v>
      </c>
      <c r="AJ192" s="144"/>
      <c r="AK192" s="144"/>
      <c r="AL192" s="144"/>
      <c r="AM192" s="144"/>
      <c r="AN192" s="144"/>
      <c r="AO192" s="144"/>
      <c r="AP192" s="144"/>
      <c r="AQ192" s="144"/>
      <c r="AR192" s="70"/>
      <c r="AS192" s="334" t="s">
        <v>42</v>
      </c>
      <c r="AT192" s="321"/>
      <c r="AU192" s="232">
        <f>SUM(D192:G192)</f>
        <v>17.100000000000001</v>
      </c>
      <c r="AV192" s="232">
        <f>SUM(H192:K192)</f>
        <v>21.7</v>
      </c>
      <c r="AW192" s="232">
        <f>SUM(L192:O192)</f>
        <v>22.8</v>
      </c>
      <c r="AX192" s="232">
        <f>SUM(P192:S192)</f>
        <v>21.700000000000003</v>
      </c>
      <c r="AY192" s="232">
        <f>SUM(T192:W192)</f>
        <v>20.8</v>
      </c>
      <c r="AZ192" s="144" t="s">
        <v>226</v>
      </c>
      <c r="BA192" s="144" t="s">
        <v>226</v>
      </c>
      <c r="BB192" s="144" t="s">
        <v>226</v>
      </c>
      <c r="BC192" s="144" t="s">
        <v>226</v>
      </c>
      <c r="BD192" s="144" t="s">
        <v>226</v>
      </c>
      <c r="BE192" s="144" t="s">
        <v>226</v>
      </c>
      <c r="BM192"/>
      <c r="BN192"/>
      <c r="BO192"/>
      <c r="BP192"/>
      <c r="BQ192"/>
      <c r="BR192"/>
    </row>
    <row r="193" spans="1:70" s="369" customFormat="1" x14ac:dyDescent="0.2">
      <c r="A193" s="411"/>
      <c r="B193" s="334" t="s">
        <v>43</v>
      </c>
      <c r="C193" s="321"/>
      <c r="D193" s="449">
        <v>41.6</v>
      </c>
      <c r="E193" s="449">
        <v>39.4</v>
      </c>
      <c r="F193" s="449">
        <v>40.9</v>
      </c>
      <c r="G193" s="449">
        <v>41.2</v>
      </c>
      <c r="H193" s="449">
        <v>43.1</v>
      </c>
      <c r="I193" s="449">
        <v>42.6</v>
      </c>
      <c r="J193" s="449">
        <v>44.1</v>
      </c>
      <c r="K193" s="449">
        <v>46.2</v>
      </c>
      <c r="L193" s="449">
        <v>47.1</v>
      </c>
      <c r="M193" s="449">
        <v>48.9</v>
      </c>
      <c r="N193" s="449">
        <v>48.9</v>
      </c>
      <c r="O193" s="449">
        <v>49.4</v>
      </c>
      <c r="P193" s="449">
        <v>50.6</v>
      </c>
      <c r="Q193" s="449">
        <v>50.6</v>
      </c>
      <c r="R193" s="449">
        <v>47.9</v>
      </c>
      <c r="S193" s="449">
        <v>48.9</v>
      </c>
      <c r="T193" s="449">
        <v>49.4</v>
      </c>
      <c r="U193" s="449">
        <v>51.4</v>
      </c>
      <c r="V193" s="449">
        <v>53.1</v>
      </c>
      <c r="W193" s="449">
        <v>52.8</v>
      </c>
      <c r="X193" s="449">
        <v>55.1</v>
      </c>
      <c r="Y193" s="449">
        <v>56.7</v>
      </c>
      <c r="Z193" s="449">
        <v>58.6</v>
      </c>
      <c r="AA193" s="449">
        <v>60.3</v>
      </c>
      <c r="AB193" s="449">
        <v>60.5</v>
      </c>
      <c r="AC193" s="144" t="s">
        <v>226</v>
      </c>
      <c r="AD193" s="144" t="s">
        <v>226</v>
      </c>
      <c r="AE193" s="144" t="s">
        <v>226</v>
      </c>
      <c r="AF193" s="144" t="s">
        <v>226</v>
      </c>
      <c r="AG193" s="144" t="s">
        <v>226</v>
      </c>
      <c r="AH193" s="144" t="s">
        <v>226</v>
      </c>
      <c r="AI193" s="144" t="s">
        <v>226</v>
      </c>
      <c r="AJ193" s="144"/>
      <c r="AK193" s="144"/>
      <c r="AL193" s="144"/>
      <c r="AM193" s="144"/>
      <c r="AN193" s="144"/>
      <c r="AO193" s="144"/>
      <c r="AP193" s="144"/>
      <c r="AQ193" s="144"/>
      <c r="AR193" s="70"/>
      <c r="AS193" s="334" t="s">
        <v>43</v>
      </c>
      <c r="AT193" s="321"/>
      <c r="AU193" s="232">
        <f>G193</f>
        <v>41.2</v>
      </c>
      <c r="AV193" s="232">
        <f>K193</f>
        <v>46.2</v>
      </c>
      <c r="AW193" s="232">
        <f>O193</f>
        <v>49.4</v>
      </c>
      <c r="AX193" s="232">
        <f>S193</f>
        <v>48.9</v>
      </c>
      <c r="AY193" s="232">
        <f>W193</f>
        <v>52.8</v>
      </c>
      <c r="AZ193" s="144" t="s">
        <v>226</v>
      </c>
      <c r="BA193" s="144" t="s">
        <v>226</v>
      </c>
      <c r="BB193" s="144" t="s">
        <v>226</v>
      </c>
      <c r="BC193" s="144" t="s">
        <v>226</v>
      </c>
      <c r="BD193" s="144" t="s">
        <v>226</v>
      </c>
      <c r="BE193" s="144" t="s">
        <v>226</v>
      </c>
      <c r="BM193"/>
      <c r="BN193"/>
      <c r="BO193"/>
      <c r="BP193"/>
      <c r="BQ193"/>
      <c r="BR193"/>
    </row>
    <row r="194" spans="1:70" s="369" customFormat="1" x14ac:dyDescent="0.2">
      <c r="A194" s="411"/>
      <c r="B194" s="334"/>
      <c r="C194" s="321"/>
      <c r="D194" s="449"/>
      <c r="E194" s="449"/>
      <c r="F194" s="449"/>
      <c r="G194" s="449"/>
      <c r="H194" s="449"/>
      <c r="I194" s="449"/>
      <c r="J194" s="449"/>
      <c r="K194" s="449"/>
      <c r="L194" s="449"/>
      <c r="M194" s="449"/>
      <c r="N194" s="449"/>
      <c r="O194" s="449"/>
      <c r="P194" s="449"/>
      <c r="Q194" s="449"/>
      <c r="R194" s="449"/>
      <c r="S194" s="449"/>
      <c r="T194" s="449"/>
      <c r="U194" s="449"/>
      <c r="V194" s="449"/>
      <c r="W194" s="449"/>
      <c r="X194" s="449"/>
      <c r="Y194" s="449"/>
      <c r="Z194" s="449"/>
      <c r="AA194" s="449"/>
      <c r="AB194" s="449"/>
      <c r="AC194" s="144"/>
      <c r="AD194" s="144"/>
      <c r="AE194" s="144"/>
      <c r="AF194" s="144"/>
      <c r="AG194" s="144"/>
      <c r="AH194" s="144"/>
      <c r="AI194" s="144"/>
      <c r="AJ194" s="144"/>
      <c r="AK194" s="144"/>
      <c r="AL194" s="144"/>
      <c r="AM194" s="144"/>
      <c r="AN194" s="144"/>
      <c r="AO194" s="144"/>
      <c r="AP194" s="144"/>
      <c r="AQ194" s="144"/>
      <c r="AR194" s="70"/>
      <c r="AS194" s="334"/>
      <c r="AT194" s="321"/>
      <c r="AU194" s="232"/>
      <c r="AV194" s="232"/>
      <c r="AW194" s="232"/>
      <c r="AX194" s="232"/>
      <c r="AY194" s="232"/>
      <c r="AZ194" s="144"/>
      <c r="BA194" s="144"/>
      <c r="BB194" s="144"/>
      <c r="BC194" s="144"/>
      <c r="BD194" s="144"/>
      <c r="BE194" s="144"/>
      <c r="BM194"/>
      <c r="BN194"/>
      <c r="BO194"/>
      <c r="BP194"/>
      <c r="BQ194"/>
      <c r="BR194"/>
    </row>
    <row r="195" spans="1:70" s="369" customFormat="1" x14ac:dyDescent="0.2">
      <c r="A195" s="411"/>
      <c r="B195" s="296" t="s">
        <v>616</v>
      </c>
      <c r="C195" s="321"/>
      <c r="D195" s="449"/>
      <c r="E195" s="449"/>
      <c r="F195" s="449"/>
      <c r="G195" s="449"/>
      <c r="H195" s="449"/>
      <c r="I195" s="449"/>
      <c r="J195" s="449"/>
      <c r="K195" s="449"/>
      <c r="L195" s="449"/>
      <c r="M195" s="449"/>
      <c r="N195" s="449"/>
      <c r="O195" s="449"/>
      <c r="P195" s="449"/>
      <c r="Q195" s="449"/>
      <c r="R195" s="449"/>
      <c r="S195" s="449"/>
      <c r="T195" s="449"/>
      <c r="U195" s="449"/>
      <c r="V195" s="449"/>
      <c r="W195" s="449"/>
      <c r="X195" s="449"/>
      <c r="Y195" s="449"/>
      <c r="Z195" s="449"/>
      <c r="AA195" s="449"/>
      <c r="AB195" s="449"/>
      <c r="AC195" s="144"/>
      <c r="AD195" s="144"/>
      <c r="AE195" s="144"/>
      <c r="AF195" s="144"/>
      <c r="AG195" s="144"/>
      <c r="AH195" s="144"/>
      <c r="AI195" s="144"/>
      <c r="AJ195" s="144"/>
      <c r="AK195" s="144"/>
      <c r="AL195" s="144"/>
      <c r="AM195" s="144"/>
      <c r="AN195" s="144"/>
      <c r="AO195" s="144"/>
      <c r="AP195" s="144"/>
      <c r="AQ195" s="144"/>
      <c r="AR195" s="70"/>
      <c r="AS195" s="296" t="s">
        <v>616</v>
      </c>
      <c r="AT195" s="321"/>
      <c r="AU195" s="232"/>
      <c r="AV195" s="232"/>
      <c r="AW195" s="232"/>
      <c r="AX195" s="232"/>
      <c r="AY195" s="232"/>
      <c r="AZ195" s="144"/>
      <c r="BA195" s="144"/>
      <c r="BB195" s="144"/>
      <c r="BC195" s="144"/>
      <c r="BD195" s="144"/>
      <c r="BE195" s="144"/>
      <c r="BM195"/>
      <c r="BN195"/>
      <c r="BO195"/>
      <c r="BP195"/>
      <c r="BQ195"/>
      <c r="BR195"/>
    </row>
    <row r="196" spans="1:70" s="369" customFormat="1" x14ac:dyDescent="0.2">
      <c r="A196" s="411"/>
      <c r="B196" s="334" t="s">
        <v>617</v>
      </c>
      <c r="C196" s="321"/>
      <c r="D196" s="207">
        <f t="shared" ref="D196:X196" si="536">D174</f>
        <v>803</v>
      </c>
      <c r="E196" s="207">
        <f t="shared" si="536"/>
        <v>770</v>
      </c>
      <c r="F196" s="207">
        <f t="shared" si="536"/>
        <v>746</v>
      </c>
      <c r="G196" s="207">
        <f t="shared" si="536"/>
        <v>746</v>
      </c>
      <c r="H196" s="207">
        <f t="shared" si="536"/>
        <v>731</v>
      </c>
      <c r="I196" s="207">
        <f t="shared" si="536"/>
        <v>708</v>
      </c>
      <c r="J196" s="207">
        <f t="shared" si="536"/>
        <v>633</v>
      </c>
      <c r="K196" s="207">
        <f t="shared" si="536"/>
        <v>587</v>
      </c>
      <c r="L196" s="207">
        <f t="shared" si="536"/>
        <v>530</v>
      </c>
      <c r="M196" s="207">
        <f t="shared" si="536"/>
        <v>549</v>
      </c>
      <c r="N196" s="207">
        <f t="shared" si="536"/>
        <v>573</v>
      </c>
      <c r="O196" s="207">
        <f t="shared" si="536"/>
        <v>599</v>
      </c>
      <c r="P196" s="207">
        <f t="shared" si="536"/>
        <v>550</v>
      </c>
      <c r="Q196" s="207">
        <f t="shared" si="536"/>
        <v>579</v>
      </c>
      <c r="R196" s="207">
        <f t="shared" si="536"/>
        <v>606</v>
      </c>
      <c r="S196" s="207">
        <f t="shared" si="536"/>
        <v>618</v>
      </c>
      <c r="T196" s="207">
        <f t="shared" si="536"/>
        <v>638</v>
      </c>
      <c r="U196" s="207">
        <f t="shared" si="536"/>
        <v>637</v>
      </c>
      <c r="V196" s="207">
        <f t="shared" si="536"/>
        <v>654</v>
      </c>
      <c r="W196" s="207">
        <f t="shared" si="536"/>
        <v>645</v>
      </c>
      <c r="X196" s="207">
        <f t="shared" si="536"/>
        <v>673</v>
      </c>
      <c r="Y196" s="207">
        <f t="shared" ref="Y196:Z196" si="537">Y174</f>
        <v>699</v>
      </c>
      <c r="Z196" s="207">
        <f t="shared" si="537"/>
        <v>737</v>
      </c>
      <c r="AA196" s="207">
        <f t="shared" ref="AA196:AB196" si="538">AA174</f>
        <v>762</v>
      </c>
      <c r="AB196" s="207">
        <f t="shared" si="538"/>
        <v>745</v>
      </c>
      <c r="AC196" s="144">
        <f t="shared" ref="AC196:AE196" si="539">AC215*(AC197*1000)/AC1</f>
        <v>690.04676712328762</v>
      </c>
      <c r="AD196" s="144">
        <f t="shared" si="539"/>
        <v>701.11784712328767</v>
      </c>
      <c r="AE196" s="144">
        <f t="shared" si="539"/>
        <v>704.62343635890409</v>
      </c>
      <c r="AF196" s="144">
        <f t="shared" ref="AF196:AI196" si="540">AF215*(AF197*1000)/AF1</f>
        <v>692.75206324633541</v>
      </c>
      <c r="AG196" s="144">
        <f t="shared" si="540"/>
        <v>703.95155493548441</v>
      </c>
      <c r="AH196" s="144">
        <f t="shared" si="540"/>
        <v>715.24572273994386</v>
      </c>
      <c r="AI196" s="144">
        <f t="shared" si="540"/>
        <v>718.8219513536435</v>
      </c>
      <c r="AJ196" s="144"/>
      <c r="AK196" s="144"/>
      <c r="AL196" s="144"/>
      <c r="AM196" s="144"/>
      <c r="AN196" s="144"/>
      <c r="AO196" s="144"/>
      <c r="AP196" s="144"/>
      <c r="AQ196" s="144"/>
      <c r="AR196" s="70"/>
      <c r="AS196" s="334" t="s">
        <v>617</v>
      </c>
      <c r="AT196" s="321"/>
      <c r="AU196" s="207">
        <f t="shared" ref="AU196:BA196" si="541">AU174</f>
        <v>3065</v>
      </c>
      <c r="AV196" s="207">
        <f t="shared" si="541"/>
        <v>2659</v>
      </c>
      <c r="AW196" s="207">
        <f t="shared" si="541"/>
        <v>2251</v>
      </c>
      <c r="AX196" s="207">
        <f t="shared" si="541"/>
        <v>2353</v>
      </c>
      <c r="AY196" s="207">
        <f t="shared" si="541"/>
        <v>2574</v>
      </c>
      <c r="AZ196" s="207">
        <f t="shared" si="541"/>
        <v>2871</v>
      </c>
      <c r="BA196" s="207">
        <f t="shared" si="541"/>
        <v>2840.7880506054794</v>
      </c>
      <c r="BB196" s="207">
        <f t="shared" ref="BB196" si="542">BB174</f>
        <v>2830.7712922754072</v>
      </c>
      <c r="BC196" s="144">
        <f>BA215*(BC197*1000)/BA1</f>
        <v>2814.4823371875</v>
      </c>
      <c r="BD196" s="144">
        <f>BB215*(BD197*1000)/BB1</f>
        <v>2867.6377904111173</v>
      </c>
      <c r="BE196" s="144">
        <f>BC215*(BE197*1000)/BC1</f>
        <v>2939.3287351713952</v>
      </c>
      <c r="BM196"/>
      <c r="BN196"/>
      <c r="BO196"/>
      <c r="BP196"/>
      <c r="BQ196"/>
      <c r="BR196"/>
    </row>
    <row r="197" spans="1:70" s="369" customFormat="1" x14ac:dyDescent="0.2">
      <c r="A197" s="411"/>
      <c r="B197" s="334" t="s">
        <v>619</v>
      </c>
      <c r="C197" s="321"/>
      <c r="D197" s="209">
        <f t="shared" ref="D197:X197" si="543">D196/(D215*1000)*D1</f>
        <v>2.0544836842546769E-2</v>
      </c>
      <c r="E197" s="209">
        <f t="shared" si="543"/>
        <v>1.9404279930595722E-2</v>
      </c>
      <c r="F197" s="209">
        <f t="shared" si="543"/>
        <v>1.8263277591973243E-2</v>
      </c>
      <c r="G197" s="209">
        <f t="shared" si="543"/>
        <v>1.7654863823293586E-2</v>
      </c>
      <c r="H197" s="209">
        <f t="shared" si="543"/>
        <v>1.7216092399019226E-2</v>
      </c>
      <c r="I197" s="209">
        <f t="shared" si="543"/>
        <v>1.6339356845685962E-2</v>
      </c>
      <c r="J197" s="209">
        <f t="shared" si="543"/>
        <v>1.4334239130434781E-2</v>
      </c>
      <c r="K197" s="209">
        <f t="shared" si="543"/>
        <v>1.3127726582030291E-2</v>
      </c>
      <c r="L197" s="209">
        <f t="shared" si="543"/>
        <v>1.1987977938898184E-2</v>
      </c>
      <c r="M197" s="209">
        <f t="shared" si="543"/>
        <v>1.2240316659438394E-2</v>
      </c>
      <c r="N197" s="209">
        <f t="shared" si="543"/>
        <v>1.2678835568272751E-2</v>
      </c>
      <c r="O197" s="209">
        <f t="shared" si="543"/>
        <v>1.3246752459890454E-2</v>
      </c>
      <c r="P197" s="209">
        <f t="shared" si="543"/>
        <v>1.2364498644986449E-2</v>
      </c>
      <c r="Q197" s="209">
        <f t="shared" si="543"/>
        <v>1.2909186422249235E-2</v>
      </c>
      <c r="R197" s="209">
        <f t="shared" si="543"/>
        <v>1.3253798954987775E-2</v>
      </c>
      <c r="S197" s="209">
        <f t="shared" si="543"/>
        <v>1.3531169018139937E-2</v>
      </c>
      <c r="T197" s="209">
        <f t="shared" si="543"/>
        <v>1.4208316600343178E-2</v>
      </c>
      <c r="U197" s="209">
        <f t="shared" si="543"/>
        <v>1.4069192751235584E-2</v>
      </c>
      <c r="V197" s="209">
        <f t="shared" si="543"/>
        <v>1.41478119015533E-2</v>
      </c>
      <c r="W197" s="209">
        <f t="shared" si="543"/>
        <v>1.3795582047685833E-2</v>
      </c>
      <c r="X197" s="209">
        <f t="shared" si="543"/>
        <v>1.4713686732554658E-2</v>
      </c>
      <c r="Y197" s="209">
        <f t="shared" ref="Y197:Z197" si="544">Y196/(Y215*1000)*Y1</f>
        <v>1.5146846670347481E-2</v>
      </c>
      <c r="Z197" s="209">
        <f t="shared" si="544"/>
        <v>1.588249533571074E-2</v>
      </c>
      <c r="AA197" s="209">
        <f t="shared" ref="AA197:AB197" si="545">AA196/(AA215*1000)*AA1</f>
        <v>1.6547083601056615E-2</v>
      </c>
      <c r="AB197" s="209">
        <f t="shared" si="545"/>
        <v>1.670198390762238E-2</v>
      </c>
      <c r="AC197" s="349">
        <f>Drivers!AC108</f>
        <v>1.5299999999999999E-2</v>
      </c>
      <c r="AD197" s="349">
        <f>Drivers!AD108</f>
        <v>1.5299999999999999E-2</v>
      </c>
      <c r="AE197" s="349">
        <f>Drivers!AE108</f>
        <v>1.5299999999999999E-2</v>
      </c>
      <c r="AF197" s="349">
        <f>Drivers!AF108</f>
        <v>1.5299999999999999E-2</v>
      </c>
      <c r="AG197" s="349">
        <f>Drivers!AG108</f>
        <v>1.5299999999999999E-2</v>
      </c>
      <c r="AH197" s="349">
        <f>Drivers!AH108</f>
        <v>1.5299999999999999E-2</v>
      </c>
      <c r="AI197" s="349">
        <f>Drivers!AI108</f>
        <v>1.5299999999999999E-2</v>
      </c>
      <c r="AJ197" s="349"/>
      <c r="AK197" s="349"/>
      <c r="AL197" s="349"/>
      <c r="AM197" s="349"/>
      <c r="AN197" s="349"/>
      <c r="AO197" s="349"/>
      <c r="AP197" s="349"/>
      <c r="AQ197" s="349"/>
      <c r="AR197" s="70"/>
      <c r="AS197" s="334" t="s">
        <v>619</v>
      </c>
      <c r="AT197" s="321"/>
      <c r="AU197" s="209">
        <f t="shared" ref="AU197:BA197" si="546">AU196/(AU215*1000)*AU1</f>
        <v>1.8937287611986407E-2</v>
      </c>
      <c r="AV197" s="209">
        <f t="shared" si="546"/>
        <v>1.5224735184655024E-2</v>
      </c>
      <c r="AW197" s="209">
        <f t="shared" si="546"/>
        <v>1.2542136787853462E-2</v>
      </c>
      <c r="AX197" s="209">
        <f t="shared" si="546"/>
        <v>1.3019781435883246E-2</v>
      </c>
      <c r="AY197" s="209">
        <f t="shared" si="546"/>
        <v>1.4054054054054054E-2</v>
      </c>
      <c r="AZ197" s="209">
        <f t="shared" si="546"/>
        <v>1.5573637103336042E-2</v>
      </c>
      <c r="BA197" s="209">
        <f t="shared" si="546"/>
        <v>1.564487159950918E-2</v>
      </c>
      <c r="BB197" s="209">
        <f t="shared" ref="BB197" si="547">BB196/(BB215*1000)*BB1</f>
        <v>1.530073120705332E-2</v>
      </c>
      <c r="BC197" s="349">
        <f>Drivers!BC108</f>
        <v>1.55E-2</v>
      </c>
      <c r="BD197" s="349">
        <f>Drivers!BD108</f>
        <v>1.55E-2</v>
      </c>
      <c r="BE197" s="349">
        <f>Drivers!BE108</f>
        <v>1.55E-2</v>
      </c>
      <c r="BM197"/>
      <c r="BN197"/>
      <c r="BO197"/>
      <c r="BP197"/>
      <c r="BQ197"/>
      <c r="BR197"/>
    </row>
    <row r="198" spans="1:70" s="369" customFormat="1" x14ac:dyDescent="0.2">
      <c r="A198" s="411"/>
      <c r="B198" s="334"/>
      <c r="C198" s="321"/>
      <c r="D198" s="449"/>
      <c r="E198" s="449"/>
      <c r="F198" s="449"/>
      <c r="G198" s="449"/>
      <c r="H198" s="449"/>
      <c r="I198" s="449"/>
      <c r="J198" s="449"/>
      <c r="K198" s="449"/>
      <c r="L198" s="449"/>
      <c r="M198" s="449"/>
      <c r="N198" s="449"/>
      <c r="O198" s="449"/>
      <c r="P198" s="449"/>
      <c r="Q198" s="449"/>
      <c r="R198" s="449"/>
      <c r="S198" s="449"/>
      <c r="T198" s="449"/>
      <c r="U198" s="449"/>
      <c r="V198" s="449"/>
      <c r="W198" s="449"/>
      <c r="X198" s="449"/>
      <c r="Y198" s="449"/>
      <c r="Z198" s="449"/>
      <c r="AA198" s="449"/>
      <c r="AB198" s="449"/>
      <c r="AC198" s="144"/>
      <c r="AD198" s="144"/>
      <c r="AE198" s="144"/>
      <c r="AF198" s="144"/>
      <c r="AG198" s="144"/>
      <c r="AH198" s="144"/>
      <c r="AI198" s="144"/>
      <c r="AJ198" s="144"/>
      <c r="AK198" s="144"/>
      <c r="AL198" s="144"/>
      <c r="AM198" s="144"/>
      <c r="AN198" s="144"/>
      <c r="AO198" s="144"/>
      <c r="AP198" s="144"/>
      <c r="AQ198" s="144"/>
      <c r="AR198" s="70"/>
      <c r="AS198" s="334"/>
      <c r="AT198" s="321"/>
      <c r="AU198" s="232"/>
      <c r="AV198" s="232"/>
      <c r="AW198" s="232"/>
      <c r="AX198" s="232"/>
      <c r="AY198" s="232"/>
      <c r="AZ198" s="144"/>
      <c r="BA198" s="144"/>
      <c r="BB198" s="144"/>
      <c r="BC198" s="144"/>
      <c r="BD198" s="144"/>
      <c r="BE198" s="144"/>
      <c r="BM198"/>
      <c r="BN198"/>
      <c r="BO198"/>
      <c r="BP198"/>
      <c r="BQ198"/>
      <c r="BR198"/>
    </row>
    <row r="199" spans="1:70" s="369" customFormat="1" x14ac:dyDescent="0.2">
      <c r="A199" s="411"/>
      <c r="B199" s="296" t="s">
        <v>615</v>
      </c>
      <c r="C199" s="321"/>
      <c r="D199" s="378"/>
      <c r="E199" s="378"/>
      <c r="F199" s="378"/>
      <c r="G199" s="378"/>
      <c r="H199" s="378"/>
      <c r="I199" s="378"/>
      <c r="J199" s="378"/>
      <c r="K199" s="378"/>
      <c r="L199" s="378"/>
      <c r="M199" s="378"/>
      <c r="N199" s="378"/>
      <c r="O199" s="378"/>
      <c r="P199" s="378"/>
      <c r="Q199" s="378"/>
      <c r="R199" s="378"/>
      <c r="S199" s="378"/>
      <c r="T199" s="378"/>
      <c r="U199" s="378"/>
      <c r="V199" s="378"/>
      <c r="W199" s="378"/>
      <c r="X199" s="378"/>
      <c r="Y199" s="378"/>
      <c r="Z199" s="378"/>
      <c r="AA199" s="378"/>
      <c r="AB199" s="378"/>
      <c r="AC199" s="321"/>
      <c r="AD199" s="321"/>
      <c r="AE199" s="321"/>
      <c r="AF199" s="321"/>
      <c r="AG199" s="321"/>
      <c r="AH199" s="321"/>
      <c r="AI199" s="321"/>
      <c r="AJ199" s="321"/>
      <c r="AK199" s="321"/>
      <c r="AL199" s="321"/>
      <c r="AM199" s="321"/>
      <c r="AN199" s="321"/>
      <c r="AO199" s="321"/>
      <c r="AP199" s="321"/>
      <c r="AQ199" s="321"/>
      <c r="AR199" s="70"/>
      <c r="AS199" s="450" t="s">
        <v>500</v>
      </c>
      <c r="AT199" s="321"/>
      <c r="AU199" s="15"/>
      <c r="AV199" s="15"/>
      <c r="AW199" s="15"/>
      <c r="AX199" s="15"/>
      <c r="AY199" s="15"/>
      <c r="AZ199" s="15"/>
      <c r="BA199" s="15"/>
      <c r="BB199" s="15"/>
      <c r="BC199" s="15"/>
      <c r="BD199" s="15"/>
      <c r="BE199" s="15"/>
      <c r="BM199"/>
      <c r="BN199"/>
      <c r="BO199"/>
      <c r="BP199"/>
      <c r="BQ199"/>
      <c r="BR199"/>
    </row>
    <row r="200" spans="1:70" s="369" customFormat="1" x14ac:dyDescent="0.2">
      <c r="A200" s="411"/>
      <c r="B200" s="334" t="s">
        <v>198</v>
      </c>
      <c r="C200" s="321"/>
      <c r="D200" s="422">
        <f>Drivers!D101</f>
        <v>435.66399999999999</v>
      </c>
      <c r="E200" s="422">
        <f>Drivers!E101</f>
        <v>461.36</v>
      </c>
      <c r="F200" s="422">
        <f>Drivers!F101</f>
        <v>550.12799999999993</v>
      </c>
      <c r="G200" s="422">
        <f>Drivers!G101</f>
        <v>596.84799999999996</v>
      </c>
      <c r="H200" s="422">
        <f>Drivers!H101</f>
        <v>477</v>
      </c>
      <c r="I200" s="422">
        <f>Drivers!I101</f>
        <v>572</v>
      </c>
      <c r="J200" s="422">
        <f>Drivers!J101</f>
        <v>469</v>
      </c>
      <c r="K200" s="422">
        <f>Drivers!K101</f>
        <v>326</v>
      </c>
      <c r="L200" s="422">
        <f>Drivers!L101</f>
        <v>247</v>
      </c>
      <c r="M200" s="422">
        <f>Drivers!M101</f>
        <v>297</v>
      </c>
      <c r="N200" s="422">
        <f>Drivers!N101</f>
        <v>300</v>
      </c>
      <c r="O200" s="422">
        <f>Drivers!O101</f>
        <v>278</v>
      </c>
      <c r="P200" s="422">
        <f>Drivers!P101</f>
        <v>338</v>
      </c>
      <c r="Q200" s="422">
        <f>Drivers!Q101</f>
        <v>461</v>
      </c>
      <c r="R200" s="422">
        <f>Drivers!R101</f>
        <v>426</v>
      </c>
      <c r="S200" s="422">
        <f>Drivers!S101</f>
        <v>405</v>
      </c>
      <c r="T200" s="422">
        <f>Drivers!T101</f>
        <v>350</v>
      </c>
      <c r="U200" s="422">
        <f>Drivers!U101</f>
        <v>510</v>
      </c>
      <c r="V200" s="422">
        <f>Drivers!V101</f>
        <v>561</v>
      </c>
      <c r="W200" s="422">
        <f>Drivers!W101</f>
        <v>470</v>
      </c>
      <c r="X200" s="422">
        <f>Drivers!X101</f>
        <v>361</v>
      </c>
      <c r="Y200" s="422">
        <f>Drivers!Y101</f>
        <v>463</v>
      </c>
      <c r="Z200" s="422">
        <f>Drivers!Z101</f>
        <v>471</v>
      </c>
      <c r="AA200" s="422">
        <f>Drivers!AA101</f>
        <v>415</v>
      </c>
      <c r="AB200" s="422">
        <f>Drivers!AB101</f>
        <v>344.45</v>
      </c>
      <c r="AC200" s="422">
        <f>Drivers!AC101</f>
        <v>451.19505499999997</v>
      </c>
      <c r="AD200" s="422">
        <f>Drivers!AD101</f>
        <v>449.20723405000001</v>
      </c>
      <c r="AE200" s="422">
        <f>Drivers!AE101</f>
        <v>377.89013601500005</v>
      </c>
      <c r="AF200" s="422">
        <f>Drivers!AF101</f>
        <v>336.33483377900001</v>
      </c>
      <c r="AG200" s="422">
        <f>Drivers!AG101</f>
        <v>454.07485678099999</v>
      </c>
      <c r="AH200" s="422">
        <f>Drivers!AH101</f>
        <v>454.07485678099999</v>
      </c>
      <c r="AI200" s="422">
        <f>Drivers!AI101</f>
        <v>397.0576549191</v>
      </c>
      <c r="AJ200" s="422"/>
      <c r="AK200" s="422"/>
      <c r="AL200" s="422"/>
      <c r="AM200" s="422"/>
      <c r="AN200" s="422"/>
      <c r="AO200" s="422"/>
      <c r="AP200" s="422"/>
      <c r="AQ200" s="422"/>
      <c r="AR200" s="70"/>
      <c r="AS200" s="334" t="s">
        <v>198</v>
      </c>
      <c r="AT200" s="321"/>
      <c r="AU200" s="423">
        <f>SUM(D200:G200)</f>
        <v>2044</v>
      </c>
      <c r="AV200" s="423">
        <f>SUM(H200:K200)</f>
        <v>1844</v>
      </c>
      <c r="AW200" s="423">
        <f>SUM(L200:O200)</f>
        <v>1122</v>
      </c>
      <c r="AX200" s="423">
        <f>SUM(P200:S200)</f>
        <v>1630</v>
      </c>
      <c r="AY200" s="423">
        <f>SUM(T200:W200)</f>
        <v>1891</v>
      </c>
      <c r="AZ200" s="423">
        <f>SUM(X200:AA200)</f>
        <v>1710</v>
      </c>
      <c r="BA200" s="423">
        <f>SUM(AB200:AE200)</f>
        <v>1622.7424250649999</v>
      </c>
      <c r="BB200" s="423">
        <f>SUM(AF200:AI200)</f>
        <v>1641.5422022601001</v>
      </c>
      <c r="BC200" s="423">
        <f>Drivers!BC101</f>
        <v>1703.6500643936552</v>
      </c>
      <c r="BD200" s="423">
        <f>Drivers!BD101</f>
        <v>1768.8633196338881</v>
      </c>
      <c r="BE200" s="423">
        <f>Drivers!BE101</f>
        <v>1837.3372376361326</v>
      </c>
      <c r="BM200"/>
      <c r="BN200"/>
      <c r="BO200"/>
      <c r="BP200"/>
      <c r="BQ200"/>
      <c r="BR200"/>
    </row>
    <row r="201" spans="1:70" s="369" customFormat="1" x14ac:dyDescent="0.2">
      <c r="A201" s="411"/>
      <c r="B201" s="334"/>
      <c r="C201" s="321" t="s">
        <v>203</v>
      </c>
      <c r="D201" s="380">
        <f t="shared" ref="D201:X201" si="548">D202/D200</f>
        <v>3.2823460281317718E-2</v>
      </c>
      <c r="E201" s="380">
        <f t="shared" si="548"/>
        <v>2.7960811513785329E-2</v>
      </c>
      <c r="F201" s="380">
        <f t="shared" si="548"/>
        <v>2.6357502254020886E-2</v>
      </c>
      <c r="G201" s="380">
        <f t="shared" si="548"/>
        <v>2.8147870144492403E-2</v>
      </c>
      <c r="H201" s="380">
        <f t="shared" si="548"/>
        <v>3.7735849056603772E-2</v>
      </c>
      <c r="I201" s="380">
        <f t="shared" si="548"/>
        <v>3.006993006993007E-2</v>
      </c>
      <c r="J201" s="380">
        <f t="shared" si="548"/>
        <v>3.0916844349680169E-2</v>
      </c>
      <c r="K201" s="380">
        <f t="shared" si="548"/>
        <v>2.5460122699386505E-2</v>
      </c>
      <c r="L201" s="380">
        <f t="shared" si="548"/>
        <v>2.1052631578947368E-2</v>
      </c>
      <c r="M201" s="380">
        <f t="shared" si="548"/>
        <v>2.0875420875420877E-2</v>
      </c>
      <c r="N201" s="380">
        <f t="shared" si="548"/>
        <v>2.3666666666666666E-2</v>
      </c>
      <c r="O201" s="380">
        <f t="shared" si="548"/>
        <v>2.4100719424460432E-2</v>
      </c>
      <c r="P201" s="380">
        <f t="shared" si="548"/>
        <v>2.0710059171597635E-2</v>
      </c>
      <c r="Q201" s="380">
        <f t="shared" si="548"/>
        <v>1.9088937093275488E-2</v>
      </c>
      <c r="R201" s="380">
        <f t="shared" si="548"/>
        <v>1.7605633802816902E-2</v>
      </c>
      <c r="S201" s="380">
        <f t="shared" si="548"/>
        <v>1.5308641975308642E-2</v>
      </c>
      <c r="T201" s="380">
        <f t="shared" si="548"/>
        <v>1.5714285714285715E-2</v>
      </c>
      <c r="U201" s="380">
        <f t="shared" si="548"/>
        <v>1.2549019607843138E-2</v>
      </c>
      <c r="V201" s="380">
        <f t="shared" si="548"/>
        <v>1.1586452762923352E-2</v>
      </c>
      <c r="W201" s="380">
        <f t="shared" si="548"/>
        <v>1.1914893617021275E-2</v>
      </c>
      <c r="X201" s="380">
        <f t="shared" si="548"/>
        <v>1.0526315789473684E-2</v>
      </c>
      <c r="Y201" s="380">
        <f t="shared" ref="Y201:Z201" si="549">Y202/Y200</f>
        <v>6.6954643628509723E-3</v>
      </c>
      <c r="Z201" s="380">
        <f t="shared" si="549"/>
        <v>6.794055201698514E-3</v>
      </c>
      <c r="AA201" s="380">
        <f t="shared" ref="AA201:AB201" si="550">AA202/AA200</f>
        <v>7.2289156626506026E-3</v>
      </c>
      <c r="AB201" s="380">
        <f t="shared" si="550"/>
        <v>6.6773116562636086E-3</v>
      </c>
      <c r="AC201" s="349">
        <f>Drivers!AC102</f>
        <v>7.0000000000000001E-3</v>
      </c>
      <c r="AD201" s="349">
        <f>Drivers!AD102</f>
        <v>7.0000000000000001E-3</v>
      </c>
      <c r="AE201" s="349">
        <f>Drivers!AE102</f>
        <v>7.0000000000000001E-3</v>
      </c>
      <c r="AF201" s="349">
        <f>Drivers!AF102</f>
        <v>7.0000000000000001E-3</v>
      </c>
      <c r="AG201" s="349">
        <f>Drivers!AG102</f>
        <v>7.0000000000000001E-3</v>
      </c>
      <c r="AH201" s="349">
        <f>Drivers!AH102</f>
        <v>7.0000000000000001E-3</v>
      </c>
      <c r="AI201" s="349">
        <f>Drivers!AI102</f>
        <v>7.0000000000000001E-3</v>
      </c>
      <c r="AJ201" s="349"/>
      <c r="AK201" s="349"/>
      <c r="AL201" s="349"/>
      <c r="AM201" s="349"/>
      <c r="AN201" s="349"/>
      <c r="AO201" s="349"/>
      <c r="AP201" s="349"/>
      <c r="AQ201" s="349"/>
      <c r="AR201" s="70"/>
      <c r="AS201" s="334"/>
      <c r="AT201" s="321" t="s">
        <v>203</v>
      </c>
      <c r="AU201" s="451">
        <f t="shared" ref="AU201:BA201" si="551">AU202/AU200</f>
        <v>2.8620352250489235E-2</v>
      </c>
      <c r="AV201" s="451">
        <f t="shared" si="551"/>
        <v>3.1453362255965296E-2</v>
      </c>
      <c r="AW201" s="451">
        <f t="shared" si="551"/>
        <v>2.2459893048128343E-2</v>
      </c>
      <c r="AX201" s="451">
        <f t="shared" si="551"/>
        <v>1.8098159509202454E-2</v>
      </c>
      <c r="AY201" s="451">
        <f t="shared" si="551"/>
        <v>1.269169751454257E-2</v>
      </c>
      <c r="AZ201" s="451">
        <f t="shared" si="551"/>
        <v>7.6608187134502934E-3</v>
      </c>
      <c r="BA201" s="451">
        <f t="shared" si="551"/>
        <v>6.9315048412593597E-3</v>
      </c>
      <c r="BB201" s="451">
        <f t="shared" ref="BB201" si="552">BB202/BB200</f>
        <v>7.0000000000000001E-3</v>
      </c>
      <c r="BC201" s="349">
        <f>Drivers!BC102</f>
        <v>7.0000000000000001E-3</v>
      </c>
      <c r="BD201" s="349">
        <f>Drivers!BD102</f>
        <v>7.0000000000000001E-3</v>
      </c>
      <c r="BE201" s="349">
        <f>Drivers!BE102</f>
        <v>7.0000000000000001E-3</v>
      </c>
      <c r="BM201"/>
      <c r="BN201"/>
      <c r="BO201"/>
      <c r="BP201"/>
      <c r="BQ201"/>
      <c r="BR201"/>
    </row>
    <row r="202" spans="1:70" s="382" customFormat="1" x14ac:dyDescent="0.2">
      <c r="A202" s="833"/>
      <c r="B202" s="322" t="s">
        <v>200</v>
      </c>
      <c r="C202" s="319"/>
      <c r="D202" s="452">
        <v>14.3</v>
      </c>
      <c r="E202" s="452">
        <v>12.9</v>
      </c>
      <c r="F202" s="452">
        <v>14.5</v>
      </c>
      <c r="G202" s="452">
        <v>16.8</v>
      </c>
      <c r="H202" s="452">
        <v>18</v>
      </c>
      <c r="I202" s="452">
        <v>17.2</v>
      </c>
      <c r="J202" s="452">
        <v>14.5</v>
      </c>
      <c r="K202" s="452">
        <v>8.3000000000000007</v>
      </c>
      <c r="L202" s="452">
        <v>5.2</v>
      </c>
      <c r="M202" s="452">
        <v>6.2</v>
      </c>
      <c r="N202" s="452">
        <v>7.1</v>
      </c>
      <c r="O202" s="452">
        <v>6.7</v>
      </c>
      <c r="P202" s="452">
        <v>7</v>
      </c>
      <c r="Q202" s="452">
        <v>8.8000000000000007</v>
      </c>
      <c r="R202" s="452">
        <v>7.5</v>
      </c>
      <c r="S202" s="452">
        <v>6.2</v>
      </c>
      <c r="T202" s="452">
        <v>5.5</v>
      </c>
      <c r="U202" s="452">
        <v>6.4</v>
      </c>
      <c r="V202" s="452">
        <v>6.5</v>
      </c>
      <c r="W202" s="452">
        <v>5.6</v>
      </c>
      <c r="X202" s="452">
        <v>3.8</v>
      </c>
      <c r="Y202" s="452">
        <v>3.1</v>
      </c>
      <c r="Z202" s="452">
        <v>3.2</v>
      </c>
      <c r="AA202" s="452">
        <v>3</v>
      </c>
      <c r="AB202" s="452">
        <v>2.2999999999999998</v>
      </c>
      <c r="AC202" s="453">
        <f t="shared" ref="AC202:AE202" si="553">AC200*AC201</f>
        <v>3.1583653849999997</v>
      </c>
      <c r="AD202" s="453">
        <f t="shared" si="553"/>
        <v>3.1444506383499999</v>
      </c>
      <c r="AE202" s="453">
        <f t="shared" si="553"/>
        <v>2.6452309521050004</v>
      </c>
      <c r="AF202" s="453">
        <f t="shared" ref="AF202:AI202" si="554">AF200*AF201</f>
        <v>2.3543438364530003</v>
      </c>
      <c r="AG202" s="453">
        <f t="shared" si="554"/>
        <v>3.1785239974669999</v>
      </c>
      <c r="AH202" s="453">
        <f t="shared" si="554"/>
        <v>3.1785239974669999</v>
      </c>
      <c r="AI202" s="453">
        <f t="shared" si="554"/>
        <v>2.7794035844336999</v>
      </c>
      <c r="AJ202" s="453"/>
      <c r="AK202" s="453"/>
      <c r="AL202" s="453"/>
      <c r="AM202" s="453"/>
      <c r="AN202" s="453"/>
      <c r="AO202" s="453"/>
      <c r="AP202" s="453"/>
      <c r="AQ202" s="453"/>
      <c r="AR202" s="70"/>
      <c r="AS202" s="322" t="s">
        <v>200</v>
      </c>
      <c r="AT202" s="319"/>
      <c r="AU202" s="155">
        <f>SUM(D202:G202)</f>
        <v>58.5</v>
      </c>
      <c r="AV202" s="155">
        <f>SUM(H202:K202)</f>
        <v>58</v>
      </c>
      <c r="AW202" s="155">
        <f>SUM(L202:O202)</f>
        <v>25.2</v>
      </c>
      <c r="AX202" s="155">
        <f>SUM(P202:S202)</f>
        <v>29.5</v>
      </c>
      <c r="AY202" s="155">
        <f>SUM(T202:W202)</f>
        <v>24</v>
      </c>
      <c r="AZ202" s="155">
        <f>SUM(X202:AA202)</f>
        <v>13.100000000000001</v>
      </c>
      <c r="BA202" s="155">
        <f>SUM(AB202:AE202)</f>
        <v>11.248046975455001</v>
      </c>
      <c r="BB202" s="155">
        <f>SUM(AF202:AI202)</f>
        <v>11.490795415820701</v>
      </c>
      <c r="BC202" s="453">
        <f>BC200*BC201</f>
        <v>11.925550450755587</v>
      </c>
      <c r="BD202" s="453">
        <f>BD200*BD201</f>
        <v>12.382043237437216</v>
      </c>
      <c r="BE202" s="453">
        <f>BE200*BE201</f>
        <v>12.861360663452929</v>
      </c>
      <c r="BM202"/>
      <c r="BN202"/>
      <c r="BO202"/>
      <c r="BP202"/>
      <c r="BQ202"/>
      <c r="BR202"/>
    </row>
    <row r="203" spans="1:70" s="369" customFormat="1" x14ac:dyDescent="0.2">
      <c r="A203" s="411"/>
      <c r="B203" s="334"/>
      <c r="C203" s="321"/>
      <c r="D203" s="378"/>
      <c r="E203" s="378"/>
      <c r="F203" s="378"/>
      <c r="G203" s="378"/>
      <c r="H203" s="378"/>
      <c r="I203" s="378"/>
      <c r="J203" s="378"/>
      <c r="K203" s="378"/>
      <c r="L203" s="378"/>
      <c r="M203" s="378"/>
      <c r="N203" s="378"/>
      <c r="O203" s="378"/>
      <c r="P203" s="378"/>
      <c r="Q203" s="378"/>
      <c r="R203" s="378"/>
      <c r="S203" s="378"/>
      <c r="T203" s="378"/>
      <c r="U203" s="378"/>
      <c r="V203" s="378"/>
      <c r="W203" s="378"/>
      <c r="X203" s="378"/>
      <c r="Y203" s="378"/>
      <c r="Z203" s="378"/>
      <c r="AA203" s="378"/>
      <c r="AB203" s="378"/>
      <c r="AC203" s="321"/>
      <c r="AD203" s="321"/>
      <c r="AE203" s="321"/>
      <c r="AF203" s="321"/>
      <c r="AG203" s="321"/>
      <c r="AH203" s="321"/>
      <c r="AI203" s="321"/>
      <c r="AJ203" s="321"/>
      <c r="AK203" s="321"/>
      <c r="AL203" s="321"/>
      <c r="AM203" s="321"/>
      <c r="AN203" s="321"/>
      <c r="AO203" s="321"/>
      <c r="AP203" s="321"/>
      <c r="AQ203" s="321"/>
      <c r="AR203" s="70"/>
      <c r="AS203" s="334"/>
      <c r="AT203" s="321"/>
      <c r="BM203"/>
      <c r="BN203"/>
      <c r="BO203"/>
      <c r="BP203"/>
      <c r="BQ203"/>
      <c r="BR203"/>
    </row>
    <row r="204" spans="1:70" s="382" customFormat="1" x14ac:dyDescent="0.2">
      <c r="A204" s="833"/>
      <c r="B204" s="322" t="s">
        <v>244</v>
      </c>
      <c r="C204" s="319"/>
      <c r="D204" s="452">
        <v>196.7</v>
      </c>
      <c r="E204" s="452">
        <v>190.8</v>
      </c>
      <c r="F204" s="452">
        <v>184.9</v>
      </c>
      <c r="G204" s="452">
        <v>177.2</v>
      </c>
      <c r="H204" s="452">
        <v>175.8</v>
      </c>
      <c r="I204" s="452">
        <v>177.9</v>
      </c>
      <c r="J204" s="452">
        <v>180.3</v>
      </c>
      <c r="K204" s="452">
        <v>180.6</v>
      </c>
      <c r="L204" s="452">
        <v>178.8</v>
      </c>
      <c r="M204" s="452">
        <v>175.9</v>
      </c>
      <c r="N204" s="452">
        <v>173</v>
      </c>
      <c r="O204" s="452">
        <v>171.9</v>
      </c>
      <c r="P204" s="452">
        <v>168.2</v>
      </c>
      <c r="Q204" s="452">
        <v>165</v>
      </c>
      <c r="R204" s="452">
        <v>162.6</v>
      </c>
      <c r="S204" s="452">
        <v>159.5</v>
      </c>
      <c r="T204" s="452">
        <v>155.9</v>
      </c>
      <c r="U204" s="452">
        <v>151.80000000000001</v>
      </c>
      <c r="V204" s="452">
        <v>147.6</v>
      </c>
      <c r="W204" s="452">
        <v>143.19999999999999</v>
      </c>
      <c r="X204" s="452">
        <v>48.5</v>
      </c>
      <c r="Y204" s="452">
        <v>49.1</v>
      </c>
      <c r="Z204" s="452">
        <v>49.1</v>
      </c>
      <c r="AA204" s="452">
        <v>47.3</v>
      </c>
      <c r="AB204" s="452">
        <v>46</v>
      </c>
      <c r="AC204" s="144" t="s">
        <v>226</v>
      </c>
      <c r="AD204" s="144" t="s">
        <v>226</v>
      </c>
      <c r="AE204" s="144" t="s">
        <v>226</v>
      </c>
      <c r="AF204" s="144" t="s">
        <v>226</v>
      </c>
      <c r="AG204" s="144" t="s">
        <v>226</v>
      </c>
      <c r="AH204" s="144" t="s">
        <v>226</v>
      </c>
      <c r="AI204" s="144" t="s">
        <v>226</v>
      </c>
      <c r="AJ204" s="144"/>
      <c r="AK204" s="144"/>
      <c r="AL204" s="144"/>
      <c r="AM204" s="144"/>
      <c r="AN204" s="144"/>
      <c r="AO204" s="144"/>
      <c r="AP204" s="144"/>
      <c r="AQ204" s="144"/>
      <c r="AR204" s="70"/>
      <c r="AS204" s="322" t="s">
        <v>244</v>
      </c>
      <c r="AT204" s="319"/>
      <c r="AU204" s="232">
        <f>G204</f>
        <v>177.2</v>
      </c>
      <c r="AV204" s="232">
        <f>K204</f>
        <v>180.6</v>
      </c>
      <c r="AW204" s="232">
        <f>O204</f>
        <v>171.9</v>
      </c>
      <c r="AX204" s="232">
        <f>S204</f>
        <v>159.5</v>
      </c>
      <c r="AY204" s="232">
        <f>W204</f>
        <v>143.19999999999999</v>
      </c>
      <c r="AZ204" s="252">
        <f>AA204</f>
        <v>47.3</v>
      </c>
      <c r="BA204" s="252" t="str">
        <f>AE204</f>
        <v>NF</v>
      </c>
      <c r="BB204" s="252" t="str">
        <f>AI204</f>
        <v>NF</v>
      </c>
      <c r="BC204" s="252" t="s">
        <v>226</v>
      </c>
      <c r="BD204" s="252" t="s">
        <v>226</v>
      </c>
      <c r="BE204" s="252" t="s">
        <v>226</v>
      </c>
      <c r="BM204"/>
      <c r="BN204"/>
      <c r="BO204"/>
      <c r="BP204"/>
      <c r="BQ204"/>
      <c r="BR204"/>
    </row>
    <row r="205" spans="1:70" s="382" customFormat="1" x14ac:dyDescent="0.2">
      <c r="A205" s="833"/>
      <c r="B205" s="322" t="s">
        <v>245</v>
      </c>
      <c r="C205" s="319"/>
      <c r="D205" s="452">
        <v>12.1</v>
      </c>
      <c r="E205" s="452">
        <v>11.5</v>
      </c>
      <c r="F205" s="452">
        <v>15.8</v>
      </c>
      <c r="G205" s="452">
        <v>12.7</v>
      </c>
      <c r="H205" s="452">
        <v>14.3</v>
      </c>
      <c r="I205" s="452">
        <v>13</v>
      </c>
      <c r="J205" s="452">
        <v>7.1</v>
      </c>
      <c r="K205" s="452">
        <v>4.5</v>
      </c>
      <c r="L205" s="452">
        <v>3.6</v>
      </c>
      <c r="M205" s="452">
        <v>4.2</v>
      </c>
      <c r="N205" s="452">
        <v>4.4000000000000004</v>
      </c>
      <c r="O205" s="452">
        <v>3.8</v>
      </c>
      <c r="P205" s="452">
        <v>4.4000000000000004</v>
      </c>
      <c r="Q205" s="452">
        <v>5</v>
      </c>
      <c r="R205" s="452">
        <v>3.9</v>
      </c>
      <c r="S205" s="452">
        <v>3.2</v>
      </c>
      <c r="T205" s="452">
        <v>3</v>
      </c>
      <c r="U205" s="452">
        <v>4</v>
      </c>
      <c r="V205" s="452">
        <v>3.9</v>
      </c>
      <c r="W205" s="452">
        <v>2.6</v>
      </c>
      <c r="X205" s="452">
        <v>1.9</v>
      </c>
      <c r="Y205" s="452">
        <v>1.5</v>
      </c>
      <c r="Z205" s="452">
        <v>1.7</v>
      </c>
      <c r="AA205" s="452">
        <v>1.3</v>
      </c>
      <c r="AB205" s="452">
        <v>1.2</v>
      </c>
      <c r="AC205" s="144" t="s">
        <v>226</v>
      </c>
      <c r="AD205" s="144" t="s">
        <v>226</v>
      </c>
      <c r="AE205" s="144" t="s">
        <v>226</v>
      </c>
      <c r="AF205" s="144" t="s">
        <v>226</v>
      </c>
      <c r="AG205" s="144" t="s">
        <v>226</v>
      </c>
      <c r="AH205" s="144" t="s">
        <v>226</v>
      </c>
      <c r="AI205" s="144" t="s">
        <v>226</v>
      </c>
      <c r="AJ205" s="144"/>
      <c r="AK205" s="144"/>
      <c r="AL205" s="144"/>
      <c r="AM205" s="144"/>
      <c r="AN205" s="144"/>
      <c r="AO205" s="144"/>
      <c r="AP205" s="144"/>
      <c r="AQ205" s="144"/>
      <c r="AR205" s="70"/>
      <c r="AS205" s="322" t="s">
        <v>245</v>
      </c>
      <c r="AT205" s="319"/>
      <c r="AU205" s="235">
        <f>SUM(D205:G205)</f>
        <v>52.100000000000009</v>
      </c>
      <c r="AV205" s="235">
        <f>SUM(H205:K205)</f>
        <v>38.9</v>
      </c>
      <c r="AW205" s="235">
        <f>SUM(L205:O205)</f>
        <v>16</v>
      </c>
      <c r="AX205" s="235">
        <f>SUM(P205:S205)</f>
        <v>16.5</v>
      </c>
      <c r="AY205" s="235">
        <f>SUM(T205:W205)</f>
        <v>13.5</v>
      </c>
      <c r="AZ205" s="252">
        <f>AA205</f>
        <v>1.3</v>
      </c>
      <c r="BA205" s="252" t="str">
        <f>AE205</f>
        <v>NF</v>
      </c>
      <c r="BB205" s="252" t="str">
        <f>AI205</f>
        <v>NF</v>
      </c>
      <c r="BC205" s="252" t="s">
        <v>226</v>
      </c>
      <c r="BD205" s="252" t="s">
        <v>226</v>
      </c>
      <c r="BE205" s="252" t="s">
        <v>226</v>
      </c>
      <c r="BM205"/>
      <c r="BN205"/>
      <c r="BO205"/>
      <c r="BP205"/>
      <c r="BQ205"/>
      <c r="BR205"/>
    </row>
    <row r="206" spans="1:70" s="382" customFormat="1" x14ac:dyDescent="0.2">
      <c r="A206" s="833"/>
      <c r="B206" s="322"/>
      <c r="C206" s="319"/>
      <c r="D206" s="381"/>
      <c r="E206" s="381"/>
      <c r="F206" s="381"/>
      <c r="G206" s="381"/>
      <c r="H206" s="381"/>
      <c r="I206" s="381"/>
      <c r="J206" s="381"/>
      <c r="K206" s="381"/>
      <c r="L206" s="381"/>
      <c r="M206" s="381"/>
      <c r="N206" s="381"/>
      <c r="O206" s="381"/>
      <c r="P206" s="381"/>
      <c r="Q206" s="381"/>
      <c r="R206" s="381"/>
      <c r="S206" s="381"/>
      <c r="T206" s="381"/>
      <c r="U206" s="381"/>
      <c r="V206" s="381"/>
      <c r="W206" s="381"/>
      <c r="X206" s="381"/>
      <c r="Y206" s="381"/>
      <c r="Z206" s="381"/>
      <c r="AA206" s="381"/>
      <c r="AB206" s="381"/>
      <c r="AC206" s="319"/>
      <c r="AD206" s="319"/>
      <c r="AE206" s="319"/>
      <c r="AF206" s="319"/>
      <c r="AG206" s="319"/>
      <c r="AH206" s="319"/>
      <c r="AI206" s="319"/>
      <c r="AJ206" s="319"/>
      <c r="AK206" s="319"/>
      <c r="AL206" s="319"/>
      <c r="AM206" s="319"/>
      <c r="AN206" s="319"/>
      <c r="AO206" s="319"/>
      <c r="AP206" s="319"/>
      <c r="AQ206" s="319"/>
      <c r="AR206" s="70"/>
      <c r="AS206" s="322"/>
      <c r="AT206" s="319"/>
      <c r="BM206"/>
      <c r="BN206"/>
      <c r="BO206"/>
      <c r="BP206"/>
      <c r="BQ206"/>
      <c r="BR206"/>
    </row>
    <row r="207" spans="1:70" s="382" customFormat="1" x14ac:dyDescent="0.2">
      <c r="A207" s="833"/>
      <c r="B207" s="322" t="s">
        <v>201</v>
      </c>
      <c r="C207" s="319"/>
      <c r="D207" s="454">
        <v>533</v>
      </c>
      <c r="E207" s="454">
        <v>637</v>
      </c>
      <c r="F207" s="454">
        <v>684</v>
      </c>
      <c r="G207" s="454">
        <v>615</v>
      </c>
      <c r="H207" s="454">
        <v>562</v>
      </c>
      <c r="I207" s="454">
        <v>589</v>
      </c>
      <c r="J207" s="454">
        <v>167</v>
      </c>
      <c r="K207" s="454">
        <v>143</v>
      </c>
      <c r="L207" s="454">
        <v>128</v>
      </c>
      <c r="M207" s="454">
        <v>134</v>
      </c>
      <c r="N207" s="454">
        <v>132</v>
      </c>
      <c r="O207" s="454">
        <v>256</v>
      </c>
      <c r="P207" s="454">
        <v>169</v>
      </c>
      <c r="Q207" s="454">
        <v>179</v>
      </c>
      <c r="R207" s="454">
        <v>107</v>
      </c>
      <c r="S207" s="454">
        <v>111</v>
      </c>
      <c r="T207" s="454">
        <v>98</v>
      </c>
      <c r="U207" s="454">
        <v>91</v>
      </c>
      <c r="V207" s="454">
        <v>142</v>
      </c>
      <c r="W207" s="454">
        <v>103</v>
      </c>
      <c r="X207" s="454">
        <v>63</v>
      </c>
      <c r="Y207" s="454">
        <v>50</v>
      </c>
      <c r="Z207" s="454">
        <v>47.3</v>
      </c>
      <c r="AA207" s="454">
        <v>69.099999999999994</v>
      </c>
      <c r="AB207" s="454">
        <v>33.4</v>
      </c>
      <c r="AC207" s="455">
        <f t="shared" ref="AC207:AE207" si="555">AC208*(AC202*1000)</f>
        <v>47.375480774999993</v>
      </c>
      <c r="AD207" s="455">
        <f t="shared" si="555"/>
        <v>47.166759575249998</v>
      </c>
      <c r="AE207" s="455">
        <f t="shared" si="555"/>
        <v>39.678464281575003</v>
      </c>
      <c r="AF207" s="455">
        <f t="shared" ref="AF207:AI207" si="556">AF208*(AF202*1000)</f>
        <v>35.315157546795</v>
      </c>
      <c r="AG207" s="455">
        <f t="shared" si="556"/>
        <v>47.677859962004995</v>
      </c>
      <c r="AH207" s="455">
        <f t="shared" si="556"/>
        <v>47.677859962004995</v>
      </c>
      <c r="AI207" s="455">
        <f t="shared" si="556"/>
        <v>41.691053766505497</v>
      </c>
      <c r="AJ207" s="455"/>
      <c r="AK207" s="455"/>
      <c r="AL207" s="455"/>
      <c r="AM207" s="455"/>
      <c r="AN207" s="455"/>
      <c r="AO207" s="455"/>
      <c r="AP207" s="455"/>
      <c r="AQ207" s="455"/>
      <c r="AR207" s="70"/>
      <c r="AS207" s="322" t="s">
        <v>201</v>
      </c>
      <c r="AT207" s="319"/>
      <c r="AU207" s="232">
        <f>SUM(D207:G207)</f>
        <v>2469</v>
      </c>
      <c r="AV207" s="232">
        <f>SUM(H207:K207)</f>
        <v>1461</v>
      </c>
      <c r="AW207" s="232">
        <f>SUM(L207:O207)</f>
        <v>650</v>
      </c>
      <c r="AX207" s="232">
        <f>SUM(P207:S207)</f>
        <v>566</v>
      </c>
      <c r="AY207" s="232">
        <f>SUM(T207:W207)</f>
        <v>434</v>
      </c>
      <c r="AZ207" s="232">
        <f>SUM(X207:AA207)</f>
        <v>229.4</v>
      </c>
      <c r="BA207" s="232">
        <f>SUM(AB207:AE207)</f>
        <v>167.62070463182499</v>
      </c>
      <c r="BB207" s="232">
        <f>SUM(AF207:AI207)</f>
        <v>172.36193123731047</v>
      </c>
      <c r="BC207" s="455">
        <f>BC208*(BC202*1000)</f>
        <v>184.84603198671161</v>
      </c>
      <c r="BD207" s="455">
        <f>BD208*(BD202*1000)</f>
        <v>198.11269179899546</v>
      </c>
      <c r="BE207" s="455">
        <f>BE208*(BE202*1000)</f>
        <v>205.78177061524687</v>
      </c>
      <c r="BM207"/>
      <c r="BN207"/>
      <c r="BO207"/>
      <c r="BP207"/>
      <c r="BQ207"/>
      <c r="BR207"/>
    </row>
    <row r="208" spans="1:70" s="382" customFormat="1" x14ac:dyDescent="0.2">
      <c r="A208" s="833"/>
      <c r="B208" s="319"/>
      <c r="C208" s="322" t="s">
        <v>202</v>
      </c>
      <c r="D208" s="456">
        <f t="shared" ref="D208:X208" si="557">D207/(D202*1000)</f>
        <v>3.727272727272727E-2</v>
      </c>
      <c r="E208" s="456">
        <f t="shared" si="557"/>
        <v>4.9379844961240309E-2</v>
      </c>
      <c r="F208" s="456">
        <f t="shared" si="557"/>
        <v>4.7172413793103447E-2</v>
      </c>
      <c r="G208" s="456">
        <f t="shared" si="557"/>
        <v>3.6607142857142859E-2</v>
      </c>
      <c r="H208" s="456">
        <f t="shared" si="557"/>
        <v>3.1222222222222221E-2</v>
      </c>
      <c r="I208" s="456">
        <f t="shared" si="557"/>
        <v>3.4244186046511631E-2</v>
      </c>
      <c r="J208" s="456">
        <f t="shared" si="557"/>
        <v>1.1517241379310345E-2</v>
      </c>
      <c r="K208" s="456">
        <f t="shared" si="557"/>
        <v>1.7228915662650602E-2</v>
      </c>
      <c r="L208" s="456">
        <f t="shared" si="557"/>
        <v>2.4615384615384615E-2</v>
      </c>
      <c r="M208" s="456">
        <f t="shared" si="557"/>
        <v>2.1612903225806453E-2</v>
      </c>
      <c r="N208" s="456">
        <f t="shared" si="557"/>
        <v>1.8591549295774647E-2</v>
      </c>
      <c r="O208" s="456">
        <f t="shared" si="557"/>
        <v>3.8208955223880597E-2</v>
      </c>
      <c r="P208" s="456">
        <f t="shared" si="557"/>
        <v>2.4142857142857143E-2</v>
      </c>
      <c r="Q208" s="456">
        <f t="shared" si="557"/>
        <v>2.034090909090909E-2</v>
      </c>
      <c r="R208" s="456">
        <f t="shared" si="557"/>
        <v>1.4266666666666667E-2</v>
      </c>
      <c r="S208" s="456">
        <f t="shared" si="557"/>
        <v>1.7903225806451612E-2</v>
      </c>
      <c r="T208" s="456">
        <f t="shared" si="557"/>
        <v>1.781818181818182E-2</v>
      </c>
      <c r="U208" s="456">
        <f t="shared" si="557"/>
        <v>1.421875E-2</v>
      </c>
      <c r="V208" s="456">
        <f t="shared" si="557"/>
        <v>2.1846153846153845E-2</v>
      </c>
      <c r="W208" s="456">
        <f t="shared" si="557"/>
        <v>1.8392857142857141E-2</v>
      </c>
      <c r="X208" s="456">
        <f t="shared" si="557"/>
        <v>1.6578947368421054E-2</v>
      </c>
      <c r="Y208" s="456">
        <f t="shared" ref="Y208:Z208" si="558">Y207/(Y202*1000)</f>
        <v>1.6129032258064516E-2</v>
      </c>
      <c r="Z208" s="456">
        <f t="shared" si="558"/>
        <v>1.4781249999999999E-2</v>
      </c>
      <c r="AA208" s="456">
        <f t="shared" ref="AA208:AB208" si="559">AA207/(AA202*1000)</f>
        <v>2.3033333333333333E-2</v>
      </c>
      <c r="AB208" s="456">
        <f t="shared" si="559"/>
        <v>1.4521739130434782E-2</v>
      </c>
      <c r="AC208" s="349">
        <f>Drivers!AC105</f>
        <v>1.4999999999999999E-2</v>
      </c>
      <c r="AD208" s="349">
        <f>Drivers!AD105</f>
        <v>1.4999999999999999E-2</v>
      </c>
      <c r="AE208" s="349">
        <f>Drivers!AE105</f>
        <v>1.4999999999999999E-2</v>
      </c>
      <c r="AF208" s="349">
        <f>Drivers!AF105</f>
        <v>1.4999999999999999E-2</v>
      </c>
      <c r="AG208" s="349">
        <f>Drivers!AG105</f>
        <v>1.4999999999999999E-2</v>
      </c>
      <c r="AH208" s="349">
        <f>Drivers!AH105</f>
        <v>1.4999999999999999E-2</v>
      </c>
      <c r="AI208" s="349">
        <f>Drivers!AI105</f>
        <v>1.4999999999999999E-2</v>
      </c>
      <c r="AJ208" s="349"/>
      <c r="AK208" s="349"/>
      <c r="AL208" s="349"/>
      <c r="AM208" s="349"/>
      <c r="AN208" s="349"/>
      <c r="AO208" s="349"/>
      <c r="AP208" s="349"/>
      <c r="AQ208" s="349"/>
      <c r="AR208" s="70"/>
      <c r="AS208" s="319"/>
      <c r="AT208" s="322" t="s">
        <v>202</v>
      </c>
      <c r="AU208" s="456">
        <f t="shared" ref="AU208:BA208" si="560">AU207/(AU202*1000)</f>
        <v>4.2205128205128208E-2</v>
      </c>
      <c r="AV208" s="456">
        <f t="shared" si="560"/>
        <v>2.5189655172413793E-2</v>
      </c>
      <c r="AW208" s="456">
        <f t="shared" si="560"/>
        <v>2.5793650793650792E-2</v>
      </c>
      <c r="AX208" s="456">
        <f t="shared" si="560"/>
        <v>1.9186440677966102E-2</v>
      </c>
      <c r="AY208" s="456">
        <f t="shared" si="560"/>
        <v>1.8083333333333333E-2</v>
      </c>
      <c r="AZ208" s="456">
        <f t="shared" si="560"/>
        <v>1.7511450381679387E-2</v>
      </c>
      <c r="BA208" s="456">
        <f t="shared" si="560"/>
        <v>1.4902205244839357E-2</v>
      </c>
      <c r="BB208" s="456">
        <f t="shared" ref="BB208" si="561">BB207/(BB202*1000)</f>
        <v>1.4999999999999996E-2</v>
      </c>
      <c r="BC208" s="349">
        <f>Drivers!BC105</f>
        <v>1.55E-2</v>
      </c>
      <c r="BD208" s="349">
        <f>Drivers!BD105</f>
        <v>1.6E-2</v>
      </c>
      <c r="BE208" s="349">
        <f>Drivers!BE105</f>
        <v>1.6E-2</v>
      </c>
      <c r="BM208"/>
      <c r="BN208"/>
      <c r="BO208"/>
      <c r="BP208"/>
      <c r="BQ208"/>
      <c r="BR208"/>
    </row>
    <row r="209" spans="1:70" s="382" customFormat="1" x14ac:dyDescent="0.2">
      <c r="A209" s="833"/>
      <c r="B209" s="322"/>
      <c r="C209" s="319"/>
      <c r="D209" s="381"/>
      <c r="E209" s="381"/>
      <c r="F209" s="381"/>
      <c r="G209" s="381"/>
      <c r="H209" s="381"/>
      <c r="I209" s="381"/>
      <c r="J209" s="381"/>
      <c r="K209" s="381"/>
      <c r="L209" s="381"/>
      <c r="M209" s="381"/>
      <c r="N209" s="381"/>
      <c r="O209" s="381"/>
      <c r="P209" s="381"/>
      <c r="Q209" s="381"/>
      <c r="R209" s="381"/>
      <c r="S209" s="381"/>
      <c r="T209" s="381"/>
      <c r="U209" s="381"/>
      <c r="V209" s="381"/>
      <c r="W209" s="381"/>
      <c r="X209" s="381"/>
      <c r="Y209" s="381"/>
      <c r="Z209" s="381"/>
      <c r="AA209" s="381"/>
      <c r="AB209" s="381"/>
      <c r="AC209" s="319"/>
      <c r="AD209" s="319"/>
      <c r="AE209" s="319"/>
      <c r="AF209" s="319"/>
      <c r="AG209" s="319"/>
      <c r="AH209" s="319"/>
      <c r="AI209" s="319"/>
      <c r="AJ209" s="319"/>
      <c r="AK209" s="319"/>
      <c r="AL209" s="319"/>
      <c r="AM209" s="319"/>
      <c r="AN209" s="319"/>
      <c r="AO209" s="319"/>
      <c r="AP209" s="319"/>
      <c r="AQ209" s="319"/>
      <c r="AR209" s="70"/>
      <c r="AS209" s="322"/>
      <c r="AT209" s="319"/>
      <c r="BM209"/>
      <c r="BN209"/>
      <c r="BO209"/>
      <c r="BP209"/>
      <c r="BQ209"/>
      <c r="BR209"/>
    </row>
    <row r="210" spans="1:70" s="382" customFormat="1" x14ac:dyDescent="0.2">
      <c r="A210" s="833"/>
      <c r="B210" s="322" t="s">
        <v>204</v>
      </c>
      <c r="C210" s="319"/>
      <c r="D210" s="385">
        <f t="shared" ref="D210:AE210" si="562">D178-D207</f>
        <v>269</v>
      </c>
      <c r="E210" s="385">
        <f t="shared" si="562"/>
        <v>195</v>
      </c>
      <c r="F210" s="385">
        <f t="shared" si="562"/>
        <v>242</v>
      </c>
      <c r="G210" s="385">
        <f t="shared" si="562"/>
        <v>230</v>
      </c>
      <c r="H210" s="385">
        <f t="shared" si="562"/>
        <v>199</v>
      </c>
      <c r="I210" s="385">
        <f t="shared" si="562"/>
        <v>208</v>
      </c>
      <c r="J210" s="385">
        <f t="shared" si="562"/>
        <v>228</v>
      </c>
      <c r="K210" s="385">
        <f t="shared" si="562"/>
        <v>240</v>
      </c>
      <c r="L210" s="385">
        <f t="shared" si="562"/>
        <v>333</v>
      </c>
      <c r="M210" s="385">
        <f t="shared" si="562"/>
        <v>316</v>
      </c>
      <c r="N210" s="385">
        <f t="shared" si="562"/>
        <v>344</v>
      </c>
      <c r="O210" s="385">
        <f t="shared" si="562"/>
        <v>304</v>
      </c>
      <c r="P210" s="385">
        <f t="shared" si="562"/>
        <v>400</v>
      </c>
      <c r="Q210" s="385">
        <f t="shared" si="562"/>
        <v>313</v>
      </c>
      <c r="R210" s="385">
        <f t="shared" si="562"/>
        <v>327</v>
      </c>
      <c r="S210" s="385">
        <f t="shared" si="562"/>
        <v>293</v>
      </c>
      <c r="T210" s="385">
        <f t="shared" si="562"/>
        <v>277</v>
      </c>
      <c r="U210" s="385">
        <f t="shared" si="562"/>
        <v>316</v>
      </c>
      <c r="V210" s="385">
        <f t="shared" si="562"/>
        <v>304</v>
      </c>
      <c r="W210" s="385">
        <f t="shared" si="562"/>
        <v>268</v>
      </c>
      <c r="X210" s="385">
        <f t="shared" si="562"/>
        <v>270</v>
      </c>
      <c r="Y210" s="385">
        <f t="shared" ref="Y210:Z210" si="563">Y178-Y207</f>
        <v>296</v>
      </c>
      <c r="Z210" s="385">
        <f t="shared" si="563"/>
        <v>328.7</v>
      </c>
      <c r="AA210" s="385">
        <f t="shared" ref="AA210:AB210" si="564">AA178-AA207</f>
        <v>282.89999999999998</v>
      </c>
      <c r="AB210" s="385">
        <f t="shared" si="564"/>
        <v>296.60000000000002</v>
      </c>
      <c r="AC210" s="385">
        <f t="shared" si="562"/>
        <v>326.96361511541102</v>
      </c>
      <c r="AD210" s="385">
        <f t="shared" si="562"/>
        <v>342.34315549324322</v>
      </c>
      <c r="AE210" s="385">
        <f t="shared" si="562"/>
        <v>351.7790003622606</v>
      </c>
      <c r="AF210" s="385">
        <f t="shared" ref="AF210:AI210" si="565">AF178-AF207</f>
        <v>335.96372602313653</v>
      </c>
      <c r="AG210" s="385">
        <f t="shared" si="565"/>
        <v>338.80534666924137</v>
      </c>
      <c r="AH210" s="385">
        <f t="shared" si="565"/>
        <v>349.68087489351933</v>
      </c>
      <c r="AI210" s="385">
        <f t="shared" si="565"/>
        <v>357.65447476329649</v>
      </c>
      <c r="AJ210" s="385"/>
      <c r="AK210" s="385"/>
      <c r="AL210" s="385"/>
      <c r="AM210" s="385"/>
      <c r="AN210" s="385"/>
      <c r="AO210" s="385"/>
      <c r="AP210" s="385"/>
      <c r="AQ210" s="385"/>
      <c r="AR210" s="70"/>
      <c r="AS210" s="322" t="s">
        <v>204</v>
      </c>
      <c r="AT210" s="319"/>
      <c r="AU210" s="232">
        <f>SUM(D210:G210)</f>
        <v>936</v>
      </c>
      <c r="AV210" s="232">
        <f>SUM(H210:K210)</f>
        <v>875</v>
      </c>
      <c r="AW210" s="232">
        <f>SUM(L210:O210)</f>
        <v>1297</v>
      </c>
      <c r="AX210" s="232">
        <f>SUM(P210:S210)</f>
        <v>1333</v>
      </c>
      <c r="AY210" s="232">
        <f>SUM(T210:W210)</f>
        <v>1165</v>
      </c>
      <c r="AZ210" s="232">
        <f>SUM(X210:AA210)</f>
        <v>1177.5999999999999</v>
      </c>
      <c r="BA210" s="232">
        <f>SUM(AB210:AE210)</f>
        <v>1317.6857709709147</v>
      </c>
      <c r="BB210" s="232">
        <f>SUM(AF210:AI210)</f>
        <v>1382.1044223491938</v>
      </c>
      <c r="BC210" s="385">
        <f>BC178-BC207</f>
        <v>1464.9707419482006</v>
      </c>
      <c r="BD210" s="385">
        <f>BD178-BD207</f>
        <v>1559.7955259454452</v>
      </c>
      <c r="BE210" s="385">
        <f>BE178-BE207</f>
        <v>1604.8636936615271</v>
      </c>
      <c r="BM210"/>
      <c r="BN210"/>
      <c r="BO210"/>
      <c r="BP210"/>
      <c r="BQ210"/>
      <c r="BR210"/>
    </row>
    <row r="211" spans="1:70" s="382" customFormat="1" x14ac:dyDescent="0.2">
      <c r="A211" s="833"/>
      <c r="B211" s="322" t="s">
        <v>205</v>
      </c>
      <c r="C211" s="319"/>
      <c r="D211" s="377">
        <f t="shared" ref="D211:AE211" si="566">(D210/(D215*1000))*D1</f>
        <v>6.8823924167435617E-3</v>
      </c>
      <c r="E211" s="377">
        <f t="shared" si="566"/>
        <v>4.9140708915145007E-3</v>
      </c>
      <c r="F211" s="377">
        <f t="shared" si="566"/>
        <v>5.9245484949832774E-3</v>
      </c>
      <c r="G211" s="377">
        <f t="shared" si="566"/>
        <v>5.4431885782272454E-3</v>
      </c>
      <c r="H211" s="377">
        <f t="shared" si="566"/>
        <v>4.6867337720996258E-3</v>
      </c>
      <c r="I211" s="377">
        <f t="shared" si="566"/>
        <v>4.8002630281111297E-3</v>
      </c>
      <c r="J211" s="377">
        <f t="shared" si="566"/>
        <v>5.1630434782608692E-3</v>
      </c>
      <c r="K211" s="377">
        <f t="shared" si="566"/>
        <v>5.3673839517670695E-3</v>
      </c>
      <c r="L211" s="377">
        <f t="shared" si="566"/>
        <v>7.5320691578360287E-3</v>
      </c>
      <c r="M211" s="377">
        <f t="shared" si="566"/>
        <v>7.0454281682741943E-3</v>
      </c>
      <c r="N211" s="377">
        <f t="shared" si="566"/>
        <v>7.6117267635005684E-3</v>
      </c>
      <c r="O211" s="377">
        <f t="shared" si="566"/>
        <v>6.7228927342348893E-3</v>
      </c>
      <c r="P211" s="377">
        <f t="shared" si="566"/>
        <v>8.9923626508992358E-3</v>
      </c>
      <c r="Q211" s="377">
        <f t="shared" si="566"/>
        <v>6.9785411919931093E-3</v>
      </c>
      <c r="R211" s="377">
        <f t="shared" si="566"/>
        <v>7.1518024064042944E-3</v>
      </c>
      <c r="S211" s="377">
        <f t="shared" si="566"/>
        <v>6.4152629810922349E-3</v>
      </c>
      <c r="T211" s="377">
        <f t="shared" si="566"/>
        <v>6.1688145741301886E-3</v>
      </c>
      <c r="U211" s="377">
        <f t="shared" si="566"/>
        <v>6.9793797635642769E-3</v>
      </c>
      <c r="V211" s="377">
        <f t="shared" si="566"/>
        <v>6.5763529328321151E-3</v>
      </c>
      <c r="W211" s="377">
        <f t="shared" si="566"/>
        <v>5.7321178120617105E-3</v>
      </c>
      <c r="X211" s="377">
        <f t="shared" si="566"/>
        <v>5.9029649595687328E-3</v>
      </c>
      <c r="Y211" s="377">
        <f t="shared" ref="Y211:Z211" si="567">(Y210/(Y215*1000))*Y1</f>
        <v>6.4141153282158145E-3</v>
      </c>
      <c r="Z211" s="377">
        <f t="shared" si="567"/>
        <v>7.083549819332592E-3</v>
      </c>
      <c r="AA211" s="377">
        <f t="shared" ref="AA211:AB211" si="568">(AA210/(AA215*1000))*AA1</f>
        <v>6.1432676518883402E-3</v>
      </c>
      <c r="AB211" s="377">
        <f t="shared" si="568"/>
        <v>6.6494072845648304E-3</v>
      </c>
      <c r="AC211" s="377">
        <f t="shared" si="566"/>
        <v>7.2495714053131786E-3</v>
      </c>
      <c r="AD211" s="377">
        <f t="shared" si="566"/>
        <v>7.4707130912980086E-3</v>
      </c>
      <c r="AE211" s="377">
        <f t="shared" si="566"/>
        <v>7.6384327114562825E-3</v>
      </c>
      <c r="AF211" s="377">
        <f t="shared" ref="AF211:AI211" si="569">(AF210/(AF215*1000))*AF1</f>
        <v>7.4200356532553129E-3</v>
      </c>
      <c r="AG211" s="377">
        <f t="shared" si="569"/>
        <v>7.3637479279585784E-3</v>
      </c>
      <c r="AH211" s="377">
        <f t="shared" si="569"/>
        <v>7.4801109825246657E-3</v>
      </c>
      <c r="AI211" s="377">
        <f t="shared" si="569"/>
        <v>7.6126131840766305E-3</v>
      </c>
      <c r="AJ211" s="377"/>
      <c r="AK211" s="377"/>
      <c r="AL211" s="377"/>
      <c r="AM211" s="377"/>
      <c r="AN211" s="377"/>
      <c r="AO211" s="377"/>
      <c r="AP211" s="377"/>
      <c r="AQ211" s="377"/>
      <c r="AR211" s="70"/>
      <c r="AS211" s="322" t="s">
        <v>205</v>
      </c>
      <c r="AT211" s="319"/>
      <c r="AU211" s="377">
        <f t="shared" ref="AU211:BD211" si="570">(AU210/(AU215*1000))*AU1</f>
        <v>5.7831325301204821E-3</v>
      </c>
      <c r="AV211" s="377">
        <f t="shared" si="570"/>
        <v>5.0100200400801601E-3</v>
      </c>
      <c r="AW211" s="377">
        <f t="shared" si="570"/>
        <v>7.2266332358267172E-3</v>
      </c>
      <c r="AX211" s="377">
        <f t="shared" si="570"/>
        <v>7.3758472817817113E-3</v>
      </c>
      <c r="AY211" s="377">
        <f t="shared" si="570"/>
        <v>6.3609063609063607E-3</v>
      </c>
      <c r="AZ211" s="377">
        <f t="shared" si="570"/>
        <v>6.3878491998915089E-3</v>
      </c>
      <c r="BA211" s="377">
        <f t="shared" si="570"/>
        <v>7.2567978772462025E-3</v>
      </c>
      <c r="BB211" s="377">
        <f t="shared" ref="BB211" si="571">(BB210/(BB215*1000))*BB1</f>
        <v>7.4704757407110549E-3</v>
      </c>
      <c r="BC211" s="377">
        <f t="shared" si="570"/>
        <v>7.7252490435960174E-3</v>
      </c>
      <c r="BD211" s="377">
        <f t="shared" si="570"/>
        <v>7.9857182484312332E-3</v>
      </c>
      <c r="BE211" s="377">
        <f t="shared" ref="BE211" si="572">(BE210/(BE215*1000))*BE1</f>
        <v>7.9771404882529109E-3</v>
      </c>
      <c r="BM211"/>
      <c r="BN211"/>
      <c r="BO211"/>
      <c r="BP211"/>
      <c r="BQ211"/>
      <c r="BR211"/>
    </row>
    <row r="212" spans="1:70" s="369" customFormat="1" x14ac:dyDescent="0.2">
      <c r="A212" s="411"/>
      <c r="B212" s="334"/>
      <c r="C212" s="334"/>
      <c r="D212" s="384"/>
      <c r="E212" s="384"/>
      <c r="F212" s="384"/>
      <c r="G212" s="384"/>
      <c r="H212" s="384"/>
      <c r="I212" s="384"/>
      <c r="J212" s="384"/>
      <c r="K212" s="384"/>
      <c r="L212" s="384"/>
      <c r="M212" s="384"/>
      <c r="N212" s="384"/>
      <c r="O212" s="384"/>
      <c r="P212" s="384"/>
      <c r="Q212" s="384"/>
      <c r="R212" s="384"/>
      <c r="S212" s="384"/>
      <c r="T212" s="384"/>
      <c r="U212" s="384"/>
      <c r="V212" s="384"/>
      <c r="W212" s="384"/>
      <c r="X212" s="321"/>
      <c r="Y212" s="321"/>
      <c r="Z212" s="321"/>
      <c r="AA212" s="321"/>
      <c r="AB212" s="351"/>
      <c r="AC212" s="321"/>
      <c r="AD212" s="321"/>
      <c r="AE212" s="321"/>
      <c r="AF212" s="321"/>
      <c r="AG212" s="321"/>
      <c r="AH212" s="321"/>
      <c r="AI212" s="321"/>
      <c r="AJ212" s="321"/>
      <c r="AK212" s="321"/>
      <c r="AL212" s="321"/>
      <c r="AM212" s="321"/>
      <c r="AN212" s="321"/>
      <c r="AO212" s="321"/>
      <c r="AP212" s="321"/>
      <c r="AQ212" s="321"/>
      <c r="AR212" s="70"/>
      <c r="AS212" s="334"/>
      <c r="AT212" s="334"/>
      <c r="BM212"/>
      <c r="BN212"/>
      <c r="BO212"/>
      <c r="BP212"/>
      <c r="BQ212"/>
      <c r="BR212"/>
    </row>
    <row r="213" spans="1:70" s="369" customFormat="1" x14ac:dyDescent="0.2">
      <c r="A213" s="411"/>
      <c r="B213" s="337" t="s">
        <v>210</v>
      </c>
      <c r="C213" s="366"/>
      <c r="D213" s="457"/>
      <c r="E213" s="457"/>
      <c r="F213" s="457"/>
      <c r="G213" s="457"/>
      <c r="H213" s="457"/>
      <c r="I213" s="457"/>
      <c r="J213" s="457"/>
      <c r="K213" s="457"/>
      <c r="L213" s="457"/>
      <c r="M213" s="457"/>
      <c r="N213" s="457"/>
      <c r="O213" s="457"/>
      <c r="P213" s="457"/>
      <c r="Q213" s="457"/>
      <c r="R213" s="457"/>
      <c r="S213" s="457"/>
      <c r="T213" s="457"/>
      <c r="U213" s="457"/>
      <c r="V213" s="457"/>
      <c r="W213" s="457"/>
      <c r="X213" s="367"/>
      <c r="Y213" s="367"/>
      <c r="Z213" s="367"/>
      <c r="AA213" s="367"/>
      <c r="AB213" s="368"/>
      <c r="AC213" s="367"/>
      <c r="AD213" s="367"/>
      <c r="AE213" s="367"/>
      <c r="AF213" s="367"/>
      <c r="AG213" s="367"/>
      <c r="AH213" s="367"/>
      <c r="AI213" s="367"/>
      <c r="AJ213" s="367"/>
      <c r="AK213" s="367"/>
      <c r="AL213" s="367"/>
      <c r="AM213" s="367"/>
      <c r="AN213" s="367"/>
      <c r="AO213" s="367"/>
      <c r="AP213" s="367"/>
      <c r="AQ213" s="367"/>
      <c r="AR213" s="70"/>
      <c r="AS213" s="337" t="s">
        <v>210</v>
      </c>
      <c r="AT213" s="366"/>
      <c r="AU213" s="12"/>
      <c r="AV213" s="12"/>
      <c r="AW213" s="12"/>
      <c r="AX213" s="12"/>
      <c r="AY213" s="12"/>
      <c r="AZ213" s="12"/>
      <c r="BA213" s="12"/>
      <c r="BB213" s="12"/>
      <c r="BC213" s="12"/>
      <c r="BD213" s="12"/>
      <c r="BE213" s="12"/>
      <c r="BM213"/>
      <c r="BN213"/>
      <c r="BO213"/>
      <c r="BP213"/>
      <c r="BQ213"/>
      <c r="BR213"/>
    </row>
    <row r="214" spans="1:70" s="160" customFormat="1" x14ac:dyDescent="0.2">
      <c r="A214" s="829"/>
      <c r="B214" s="17" t="s">
        <v>495</v>
      </c>
      <c r="C214" s="19"/>
      <c r="D214" s="449">
        <v>40.5</v>
      </c>
      <c r="E214" s="449">
        <v>41.1</v>
      </c>
      <c r="F214" s="449">
        <v>41.3</v>
      </c>
      <c r="G214" s="449">
        <v>42.2</v>
      </c>
      <c r="H214" s="449">
        <v>43.3</v>
      </c>
      <c r="I214" s="449">
        <v>41.1</v>
      </c>
      <c r="J214" s="449">
        <v>43</v>
      </c>
      <c r="K214" s="449">
        <v>44</v>
      </c>
      <c r="L214" s="449">
        <v>45</v>
      </c>
      <c r="M214" s="449">
        <v>45.7</v>
      </c>
      <c r="N214" s="449">
        <v>47.3</v>
      </c>
      <c r="O214" s="449">
        <v>48.6</v>
      </c>
      <c r="P214" s="449">
        <v>47.8</v>
      </c>
      <c r="Q214" s="449">
        <v>49.3</v>
      </c>
      <c r="R214" s="449">
        <v>50.3</v>
      </c>
      <c r="S214" s="449">
        <v>51.8</v>
      </c>
      <c r="T214" s="449">
        <v>52.9</v>
      </c>
      <c r="U214" s="449">
        <v>54.4</v>
      </c>
      <c r="V214" s="449">
        <v>55</v>
      </c>
      <c r="W214" s="449">
        <v>55</v>
      </c>
      <c r="X214" s="449">
        <v>55.4</v>
      </c>
      <c r="Y214" s="449">
        <v>55.6</v>
      </c>
      <c r="Z214" s="449">
        <v>55.7</v>
      </c>
      <c r="AA214" s="449">
        <v>56</v>
      </c>
      <c r="AB214" s="449">
        <v>55.7</v>
      </c>
      <c r="AC214" s="458">
        <f>AB214*(1+Drivers!AC36)</f>
        <v>56.257000000000005</v>
      </c>
      <c r="AD214" s="458">
        <f>AC214*(1+Drivers!AD36)</f>
        <v>56.819570000000006</v>
      </c>
      <c r="AE214" s="458">
        <f>AD214*(1+Drivers!AE36)</f>
        <v>57.955961400000007</v>
      </c>
      <c r="AF214" s="458">
        <f>AE214*(1+Drivers!AF36)</f>
        <v>58.535521014000004</v>
      </c>
      <c r="AG214" s="458">
        <f>AF214*(1+Drivers!AG36)</f>
        <v>59.706231434280006</v>
      </c>
      <c r="AH214" s="458">
        <f>AG214*(1+Drivers!AH36)</f>
        <v>60.303293748622806</v>
      </c>
      <c r="AI214" s="458">
        <f>AH214*(1+Drivers!AI36)</f>
        <v>61.509359623595266</v>
      </c>
      <c r="AJ214" s="458"/>
      <c r="AK214" s="458"/>
      <c r="AL214" s="458"/>
      <c r="AM214" s="458"/>
      <c r="AN214" s="458"/>
      <c r="AO214" s="458"/>
      <c r="AP214" s="458"/>
      <c r="AQ214" s="458"/>
      <c r="AR214" s="70"/>
      <c r="AS214" s="17" t="s">
        <v>495</v>
      </c>
      <c r="AT214" s="19"/>
      <c r="AU214" s="235">
        <f>AVERAGE(D214:G214)</f>
        <v>41.274999999999999</v>
      </c>
      <c r="AV214" s="235">
        <f>AVERAGE(H214:K214)</f>
        <v>42.85</v>
      </c>
      <c r="AW214" s="235">
        <f>AVERAGE(L214:O214)</f>
        <v>46.65</v>
      </c>
      <c r="AX214" s="235">
        <f>AVERAGE(P214:S214)</f>
        <v>49.8</v>
      </c>
      <c r="AY214" s="235">
        <f>AVERAGE(T214:W214)</f>
        <v>54.325000000000003</v>
      </c>
      <c r="AZ214" s="235">
        <f>AVERAGE(X214:AA214)</f>
        <v>55.674999999999997</v>
      </c>
      <c r="BA214" s="235">
        <f>AVERAGE(AB214:AE214)</f>
        <v>56.683132850000007</v>
      </c>
      <c r="BB214" s="235">
        <f>AVERAGE(AF214:AI214)</f>
        <v>60.013601455124522</v>
      </c>
      <c r="BC214" s="458">
        <f>BB214*(1+Drivers!BC36)</f>
        <v>63.614417542431994</v>
      </c>
      <c r="BD214" s="458">
        <f>BC214*(1+Drivers!BD36)</f>
        <v>66.795138419553595</v>
      </c>
      <c r="BE214" s="458">
        <f>BD214*(1+Drivers!BE36)</f>
        <v>70.134895340531273</v>
      </c>
      <c r="BM214"/>
      <c r="BN214"/>
      <c r="BO214"/>
      <c r="BP214"/>
      <c r="BQ214"/>
      <c r="BR214"/>
    </row>
    <row r="215" spans="1:70" s="160" customFormat="1" x14ac:dyDescent="0.2">
      <c r="A215" s="829"/>
      <c r="B215" s="17" t="s">
        <v>496</v>
      </c>
      <c r="C215" s="19"/>
      <c r="D215" s="449">
        <v>157.19999999999999</v>
      </c>
      <c r="E215" s="449">
        <v>159.6</v>
      </c>
      <c r="F215" s="449">
        <v>162.5</v>
      </c>
      <c r="G215" s="449">
        <v>168.1</v>
      </c>
      <c r="H215" s="449">
        <v>172.2</v>
      </c>
      <c r="I215" s="449">
        <v>173.8</v>
      </c>
      <c r="J215" s="449">
        <v>175.2</v>
      </c>
      <c r="K215" s="449">
        <v>177.4</v>
      </c>
      <c r="L215" s="449">
        <v>179.3</v>
      </c>
      <c r="M215" s="449">
        <v>179.9</v>
      </c>
      <c r="N215" s="449">
        <v>179.3</v>
      </c>
      <c r="O215" s="449">
        <v>179.4</v>
      </c>
      <c r="P215" s="449">
        <v>180.4</v>
      </c>
      <c r="Q215" s="449">
        <v>179.9</v>
      </c>
      <c r="R215" s="449">
        <v>181.4</v>
      </c>
      <c r="S215" s="449">
        <v>181.2</v>
      </c>
      <c r="T215" s="449">
        <v>180.6</v>
      </c>
      <c r="U215" s="449">
        <v>182.1</v>
      </c>
      <c r="V215" s="449">
        <v>183.9</v>
      </c>
      <c r="W215" s="449">
        <v>186</v>
      </c>
      <c r="X215" s="449">
        <v>185.5</v>
      </c>
      <c r="Y215" s="449">
        <v>185.1</v>
      </c>
      <c r="Z215" s="449">
        <v>184.1</v>
      </c>
      <c r="AA215" s="449">
        <v>182.7</v>
      </c>
      <c r="AB215" s="449">
        <v>180.9</v>
      </c>
      <c r="AC215" s="458">
        <f>AB215*(1+Drivers!AC37)</f>
        <v>180.9</v>
      </c>
      <c r="AD215" s="458">
        <f>AC215*(1+Drivers!AD37)</f>
        <v>181.80449999999999</v>
      </c>
      <c r="AE215" s="458">
        <f>AD215*(1+Drivers!AE37)</f>
        <v>182.71352249999998</v>
      </c>
      <c r="AF215" s="458">
        <f>AE215*(1+Drivers!AF37)</f>
        <v>183.62709011249996</v>
      </c>
      <c r="AG215" s="458">
        <f>AF215*(1+Drivers!AG37)</f>
        <v>184.54522556306244</v>
      </c>
      <c r="AH215" s="458">
        <f>AG215*(1+Drivers!AH37)</f>
        <v>185.46795169087773</v>
      </c>
      <c r="AI215" s="458">
        <f>AH215*(1+Drivers!AI37)</f>
        <v>186.39529144933209</v>
      </c>
      <c r="AJ215" s="458"/>
      <c r="AK215" s="458"/>
      <c r="AL215" s="458"/>
      <c r="AM215" s="458"/>
      <c r="AN215" s="458"/>
      <c r="AO215" s="458"/>
      <c r="AP215" s="458"/>
      <c r="AQ215" s="458"/>
      <c r="AR215" s="70"/>
      <c r="AS215" s="17" t="s">
        <v>496</v>
      </c>
      <c r="AT215" s="19"/>
      <c r="AU215" s="235">
        <f>AVERAGE(D215:G215)</f>
        <v>161.85</v>
      </c>
      <c r="AV215" s="235">
        <f>AVERAGE(H215:K215)</f>
        <v>174.65</v>
      </c>
      <c r="AW215" s="235">
        <f>AVERAGE(L215:O215)</f>
        <v>179.47499999999999</v>
      </c>
      <c r="AX215" s="235">
        <f>AVERAGE(P215:S215)</f>
        <v>180.72500000000002</v>
      </c>
      <c r="AY215" s="235">
        <f>AVERAGE(T215:W215)</f>
        <v>183.15</v>
      </c>
      <c r="AZ215" s="235">
        <f>AVERAGE(X215:AA215)</f>
        <v>184.35000000000002</v>
      </c>
      <c r="BA215" s="235">
        <f>AVERAGE(AB215:AE215)</f>
        <v>181.579505625</v>
      </c>
      <c r="BB215" s="235">
        <f>AVERAGE(AF215:AI215)</f>
        <v>185.00888970394305</v>
      </c>
      <c r="BC215" s="458">
        <f>BB215*(1+Drivers!BC37)</f>
        <v>189.63411194654162</v>
      </c>
      <c r="BD215" s="458">
        <f>BC215*(1+Drivers!BD37)</f>
        <v>195.32313530493786</v>
      </c>
      <c r="BE215" s="458">
        <f>BD215*(1+Drivers!BE37)</f>
        <v>201.18282936408602</v>
      </c>
      <c r="BM215"/>
      <c r="BN215"/>
      <c r="BO215"/>
      <c r="BP215"/>
      <c r="BQ215"/>
      <c r="BR215"/>
    </row>
    <row r="216" spans="1:70" s="160" customFormat="1" x14ac:dyDescent="0.2">
      <c r="A216" s="829"/>
      <c r="B216" s="17"/>
      <c r="C216" s="19"/>
      <c r="D216" s="449"/>
      <c r="E216" s="449"/>
      <c r="F216" s="449"/>
      <c r="G216" s="449"/>
      <c r="H216" s="449"/>
      <c r="I216" s="449"/>
      <c r="J216" s="449"/>
      <c r="K216" s="449"/>
      <c r="L216" s="449"/>
      <c r="M216" s="449"/>
      <c r="N216" s="449"/>
      <c r="O216" s="449"/>
      <c r="P216" s="449"/>
      <c r="Q216" s="449"/>
      <c r="R216" s="449"/>
      <c r="S216" s="449"/>
      <c r="T216" s="449"/>
      <c r="U216" s="449"/>
      <c r="V216" s="449"/>
      <c r="W216" s="449"/>
      <c r="X216" s="449"/>
      <c r="Y216" s="449"/>
      <c r="Z216" s="449"/>
      <c r="AA216" s="449"/>
      <c r="AB216" s="449"/>
      <c r="AC216" s="19"/>
      <c r="AD216" s="19"/>
      <c r="AE216" s="19"/>
      <c r="AF216" s="19"/>
      <c r="AG216" s="19"/>
      <c r="AH216" s="19"/>
      <c r="AI216" s="19"/>
      <c r="AJ216" s="19"/>
      <c r="AK216" s="19"/>
      <c r="AL216" s="19"/>
      <c r="AM216" s="19"/>
      <c r="AN216" s="19"/>
      <c r="AO216" s="19"/>
      <c r="AP216" s="19"/>
      <c r="AQ216" s="19"/>
      <c r="AR216" s="70"/>
      <c r="AS216" s="17"/>
      <c r="AT216" s="19"/>
      <c r="BC216" s="19"/>
      <c r="BD216" s="19"/>
      <c r="BE216" s="19"/>
      <c r="BM216"/>
      <c r="BN216"/>
      <c r="BO216"/>
      <c r="BP216"/>
      <c r="BQ216"/>
      <c r="BR216"/>
    </row>
    <row r="217" spans="1:70" s="369" customFormat="1" x14ac:dyDescent="0.2">
      <c r="A217" s="411"/>
      <c r="B217" s="334" t="s">
        <v>499</v>
      </c>
      <c r="C217" s="321"/>
      <c r="D217" s="449">
        <v>73.5</v>
      </c>
      <c r="E217" s="449">
        <v>71.7</v>
      </c>
      <c r="F217" s="449">
        <v>71.5</v>
      </c>
      <c r="G217" s="449">
        <v>71.099999999999994</v>
      </c>
      <c r="H217" s="449">
        <v>69.7</v>
      </c>
      <c r="I217" s="449">
        <v>68.400000000000006</v>
      </c>
      <c r="J217" s="449">
        <v>68.400000000000006</v>
      </c>
      <c r="K217" s="449">
        <v>68.2</v>
      </c>
      <c r="L217" s="449">
        <v>67.5</v>
      </c>
      <c r="M217" s="449">
        <v>66.400000000000006</v>
      </c>
      <c r="N217" s="449">
        <v>66.099999999999994</v>
      </c>
      <c r="O217" s="449">
        <v>65.7</v>
      </c>
      <c r="P217" s="449">
        <v>64.099999999999994</v>
      </c>
      <c r="Q217" s="449">
        <v>63.2</v>
      </c>
      <c r="R217" s="449">
        <v>63.9</v>
      </c>
      <c r="S217" s="449">
        <v>64.599999999999994</v>
      </c>
      <c r="T217" s="449">
        <v>64.7</v>
      </c>
      <c r="U217" s="449">
        <v>66.7</v>
      </c>
      <c r="V217" s="449">
        <v>79.2</v>
      </c>
      <c r="W217" s="449">
        <v>82.1</v>
      </c>
      <c r="X217" s="449">
        <v>82.6</v>
      </c>
      <c r="Y217" s="449">
        <v>83.3</v>
      </c>
      <c r="Z217" s="449">
        <v>85.4</v>
      </c>
      <c r="AA217" s="449">
        <v>86.8</v>
      </c>
      <c r="AB217" s="449">
        <v>86.9</v>
      </c>
      <c r="AC217" s="458">
        <f>AB217*(1+Drivers!AC39)</f>
        <v>86.9</v>
      </c>
      <c r="AD217" s="458">
        <f>AC217*(1+Drivers!AD39)</f>
        <v>87.769000000000005</v>
      </c>
      <c r="AE217" s="458">
        <f>AD217*(1+Drivers!AE39)</f>
        <v>89.524380000000008</v>
      </c>
      <c r="AF217" s="458">
        <f>AE217*(1+Drivers!AF39)</f>
        <v>88.629136200000005</v>
      </c>
      <c r="AG217" s="458">
        <f>AF217*(1+Drivers!AG39)</f>
        <v>88.629136200000005</v>
      </c>
      <c r="AH217" s="458">
        <f>AG217*(1+Drivers!AH39)</f>
        <v>90.401718924000008</v>
      </c>
      <c r="AI217" s="458">
        <f>AH217*(1+Drivers!AI39)</f>
        <v>93.113770491720004</v>
      </c>
      <c r="AJ217" s="458"/>
      <c r="AK217" s="458"/>
      <c r="AL217" s="458"/>
      <c r="AM217" s="458"/>
      <c r="AN217" s="458"/>
      <c r="AO217" s="458"/>
      <c r="AP217" s="458"/>
      <c r="AQ217" s="458"/>
      <c r="AR217" s="70"/>
      <c r="AS217" s="334" t="s">
        <v>499</v>
      </c>
      <c r="AT217" s="321"/>
      <c r="AU217" s="235">
        <f t="shared" ref="AU217:AU218" si="573">AVERAGE(D217:G217)</f>
        <v>71.949999999999989</v>
      </c>
      <c r="AV217" s="235">
        <f t="shared" ref="AV217:AV218" si="574">AVERAGE(H217:K217)</f>
        <v>68.675000000000011</v>
      </c>
      <c r="AW217" s="235">
        <f t="shared" ref="AW217:AW218" si="575">AVERAGE(L217:O217)</f>
        <v>66.424999999999997</v>
      </c>
      <c r="AX217" s="235">
        <f t="shared" ref="AX217:AX218" si="576">AVERAGE(P217:S217)</f>
        <v>63.949999999999996</v>
      </c>
      <c r="AY217" s="235">
        <f t="shared" ref="AY217:AY218" si="577">AVERAGE(T217:W217)</f>
        <v>73.175000000000011</v>
      </c>
      <c r="AZ217" s="235">
        <f t="shared" ref="AZ217:AZ218" si="578">AVERAGE(X217:AA217)</f>
        <v>84.524999999999991</v>
      </c>
      <c r="BA217" s="235">
        <f t="shared" ref="BA217:BA218" si="579">AVERAGE(AB217:AE217)</f>
        <v>87.773345000000006</v>
      </c>
      <c r="BB217" s="235">
        <f>AVERAGE(AF217:AI217)</f>
        <v>90.193440453930009</v>
      </c>
      <c r="BC217" s="458">
        <f>BB217*(1+Drivers!BC39)</f>
        <v>93.801178072087211</v>
      </c>
      <c r="BD217" s="458">
        <f>BC217*(1+Drivers!BD39)</f>
        <v>97.553225194970707</v>
      </c>
      <c r="BE217" s="458">
        <f>BD217*(1+Drivers!BE39)</f>
        <v>101.45535420276954</v>
      </c>
      <c r="BM217"/>
      <c r="BN217"/>
      <c r="BO217"/>
      <c r="BP217"/>
      <c r="BQ217"/>
      <c r="BR217"/>
    </row>
    <row r="218" spans="1:70" s="369" customFormat="1" x14ac:dyDescent="0.2">
      <c r="A218" s="411"/>
      <c r="B218" s="375" t="s">
        <v>498</v>
      </c>
      <c r="C218" s="376"/>
      <c r="D218" s="449">
        <v>37.6</v>
      </c>
      <c r="E218" s="449">
        <v>36.5</v>
      </c>
      <c r="F218" s="449">
        <v>36.5</v>
      </c>
      <c r="G218" s="449">
        <v>37</v>
      </c>
      <c r="H218" s="449">
        <v>36.700000000000003</v>
      </c>
      <c r="I218" s="449">
        <v>35.799999999999997</v>
      </c>
      <c r="J218" s="449">
        <v>37.799999999999997</v>
      </c>
      <c r="K218" s="449">
        <v>43.6</v>
      </c>
      <c r="L218" s="449">
        <v>43.6</v>
      </c>
      <c r="M218" s="449">
        <v>42.4</v>
      </c>
      <c r="N218" s="449">
        <v>42.9</v>
      </c>
      <c r="O218" s="449">
        <v>43.9</v>
      </c>
      <c r="P218" s="449">
        <v>43.9</v>
      </c>
      <c r="Q218" s="449">
        <v>42.6</v>
      </c>
      <c r="R218" s="449">
        <v>43.1</v>
      </c>
      <c r="S218" s="449">
        <v>44.1</v>
      </c>
      <c r="T218" s="449">
        <v>44</v>
      </c>
      <c r="U218" s="449">
        <v>42.7</v>
      </c>
      <c r="V218" s="449">
        <v>43.6</v>
      </c>
      <c r="W218" s="449">
        <v>44.9</v>
      </c>
      <c r="X218" s="449">
        <v>45.3</v>
      </c>
      <c r="Y218" s="449">
        <v>44.5</v>
      </c>
      <c r="Z218" s="449">
        <v>45.6</v>
      </c>
      <c r="AA218" s="449">
        <v>46.9</v>
      </c>
      <c r="AB218" s="449">
        <v>47.1</v>
      </c>
      <c r="AC218" s="458">
        <f>AB218*(1+Drivers!AC40)</f>
        <v>47.335499999999996</v>
      </c>
      <c r="AD218" s="458">
        <f>AC218*(1+Drivers!AD40)</f>
        <v>48.045532499999993</v>
      </c>
      <c r="AE218" s="458">
        <f>AD218*(1+Drivers!AE40)</f>
        <v>49.006443149999996</v>
      </c>
      <c r="AF218" s="458">
        <f>AE218*(1+Drivers!AF40)</f>
        <v>48.761410934249994</v>
      </c>
      <c r="AG218" s="458">
        <f>AF218*(1+Drivers!AG40)</f>
        <v>49.053979399855493</v>
      </c>
      <c r="AH218" s="458">
        <f>AG218*(1+Drivers!AH40)</f>
        <v>49.789789090853318</v>
      </c>
      <c r="AI218" s="458">
        <f>AH218*(1+Drivers!AI40)</f>
        <v>51.03453381812465</v>
      </c>
      <c r="AJ218" s="458"/>
      <c r="AK218" s="458"/>
      <c r="AL218" s="458"/>
      <c r="AM218" s="458"/>
      <c r="AN218" s="458"/>
      <c r="AO218" s="458"/>
      <c r="AP218" s="458"/>
      <c r="AQ218" s="458"/>
      <c r="AR218" s="70"/>
      <c r="AS218" s="375" t="s">
        <v>498</v>
      </c>
      <c r="AT218" s="376"/>
      <c r="AU218" s="235">
        <f t="shared" si="573"/>
        <v>36.9</v>
      </c>
      <c r="AV218" s="235">
        <f t="shared" si="574"/>
        <v>38.475000000000001</v>
      </c>
      <c r="AW218" s="235">
        <f t="shared" si="575"/>
        <v>43.2</v>
      </c>
      <c r="AX218" s="235">
        <f t="shared" si="576"/>
        <v>43.424999999999997</v>
      </c>
      <c r="AY218" s="235">
        <f t="shared" si="577"/>
        <v>43.800000000000004</v>
      </c>
      <c r="AZ218" s="235">
        <f t="shared" si="578"/>
        <v>45.575000000000003</v>
      </c>
      <c r="BA218" s="235">
        <f t="shared" si="579"/>
        <v>47.871868912499991</v>
      </c>
      <c r="BB218" s="235">
        <f>AVERAGE(AF218:AI218)</f>
        <v>49.659928310770866</v>
      </c>
      <c r="BC218" s="458">
        <f>BB218*(1+Drivers!BC40)</f>
        <v>51.646325443201704</v>
      </c>
      <c r="BD218" s="458">
        <f>BC218*(1+Drivers!BD40)</f>
        <v>53.712178460929771</v>
      </c>
      <c r="BE218" s="458">
        <f>BD218*(1+Drivers!BE40)</f>
        <v>55.860665599366961</v>
      </c>
      <c r="BM218"/>
      <c r="BN218"/>
      <c r="BO218"/>
      <c r="BP218"/>
      <c r="BQ218"/>
      <c r="BR218"/>
    </row>
    <row r="219" spans="1:70" s="369" customFormat="1" x14ac:dyDescent="0.2">
      <c r="A219" s="411"/>
      <c r="B219" s="334" t="s">
        <v>485</v>
      </c>
      <c r="C219" s="321"/>
      <c r="D219" s="459">
        <f t="shared" ref="D219:AE219" si="580">SUM(D217:D218)</f>
        <v>111.1</v>
      </c>
      <c r="E219" s="459">
        <f t="shared" si="580"/>
        <v>108.2</v>
      </c>
      <c r="F219" s="459">
        <f t="shared" si="580"/>
        <v>108</v>
      </c>
      <c r="G219" s="459">
        <f t="shared" si="580"/>
        <v>108.1</v>
      </c>
      <c r="H219" s="459">
        <f t="shared" si="580"/>
        <v>106.4</v>
      </c>
      <c r="I219" s="459">
        <f t="shared" si="580"/>
        <v>104.2</v>
      </c>
      <c r="J219" s="459">
        <f t="shared" si="580"/>
        <v>106.2</v>
      </c>
      <c r="K219" s="459">
        <f t="shared" si="580"/>
        <v>111.80000000000001</v>
      </c>
      <c r="L219" s="459">
        <f t="shared" si="580"/>
        <v>111.1</v>
      </c>
      <c r="M219" s="459">
        <f t="shared" si="580"/>
        <v>108.80000000000001</v>
      </c>
      <c r="N219" s="459">
        <f t="shared" si="580"/>
        <v>109</v>
      </c>
      <c r="O219" s="459">
        <f t="shared" si="580"/>
        <v>109.6</v>
      </c>
      <c r="P219" s="459">
        <f t="shared" si="580"/>
        <v>108</v>
      </c>
      <c r="Q219" s="459">
        <f t="shared" si="580"/>
        <v>105.80000000000001</v>
      </c>
      <c r="R219" s="459">
        <f t="shared" si="580"/>
        <v>107</v>
      </c>
      <c r="S219" s="459">
        <f t="shared" si="580"/>
        <v>108.69999999999999</v>
      </c>
      <c r="T219" s="459">
        <f t="shared" si="580"/>
        <v>108.7</v>
      </c>
      <c r="U219" s="459">
        <f t="shared" si="580"/>
        <v>109.4</v>
      </c>
      <c r="V219" s="459">
        <f t="shared" si="580"/>
        <v>122.80000000000001</v>
      </c>
      <c r="W219" s="459">
        <f t="shared" si="580"/>
        <v>127</v>
      </c>
      <c r="X219" s="459">
        <f t="shared" si="580"/>
        <v>127.89999999999999</v>
      </c>
      <c r="Y219" s="459">
        <f t="shared" ref="Y219" si="581">SUM(Y217:Y218)</f>
        <v>127.8</v>
      </c>
      <c r="Z219" s="459">
        <f t="shared" ref="Z219:AA219" si="582">SUM(Z217:Z218)</f>
        <v>131</v>
      </c>
      <c r="AA219" s="459">
        <f t="shared" si="582"/>
        <v>133.69999999999999</v>
      </c>
      <c r="AB219" s="459">
        <f t="shared" ref="AB219" si="583">SUM(AB217:AB218)</f>
        <v>134</v>
      </c>
      <c r="AC219" s="459">
        <f t="shared" si="580"/>
        <v>134.2355</v>
      </c>
      <c r="AD219" s="459">
        <f t="shared" si="580"/>
        <v>135.81453249999998</v>
      </c>
      <c r="AE219" s="459">
        <f t="shared" si="580"/>
        <v>138.53082315</v>
      </c>
      <c r="AF219" s="459">
        <f t="shared" ref="AF219:AI219" si="584">SUM(AF217:AF218)</f>
        <v>137.39054713425</v>
      </c>
      <c r="AG219" s="459">
        <f t="shared" si="584"/>
        <v>137.68311559985551</v>
      </c>
      <c r="AH219" s="459">
        <f t="shared" si="584"/>
        <v>140.19150801485333</v>
      </c>
      <c r="AI219" s="459">
        <f t="shared" si="584"/>
        <v>144.14830430984466</v>
      </c>
      <c r="AJ219" s="446"/>
      <c r="AK219" s="446"/>
      <c r="AL219" s="446"/>
      <c r="AM219" s="446"/>
      <c r="AN219" s="446"/>
      <c r="AO219" s="446"/>
      <c r="AP219" s="446"/>
      <c r="AQ219" s="446"/>
      <c r="AR219" s="70"/>
      <c r="AS219" s="334" t="s">
        <v>485</v>
      </c>
      <c r="AT219" s="321"/>
      <c r="AU219" s="459">
        <f t="shared" ref="AU219:BD219" si="585">SUM(AU217:AU218)</f>
        <v>108.85</v>
      </c>
      <c r="AV219" s="459">
        <f t="shared" si="585"/>
        <v>107.15</v>
      </c>
      <c r="AW219" s="459">
        <f t="shared" si="585"/>
        <v>109.625</v>
      </c>
      <c r="AX219" s="459">
        <f t="shared" si="585"/>
        <v>107.375</v>
      </c>
      <c r="AY219" s="459">
        <f t="shared" si="585"/>
        <v>116.97500000000002</v>
      </c>
      <c r="AZ219" s="459">
        <f t="shared" si="585"/>
        <v>130.1</v>
      </c>
      <c r="BA219" s="459">
        <f t="shared" si="585"/>
        <v>135.6452139125</v>
      </c>
      <c r="BB219" s="459">
        <f t="shared" ref="BB219" si="586">SUM(BB217:BB218)</f>
        <v>139.85336876470086</v>
      </c>
      <c r="BC219" s="459">
        <f t="shared" si="585"/>
        <v>145.44750351528893</v>
      </c>
      <c r="BD219" s="459">
        <f t="shared" si="585"/>
        <v>151.26540365590049</v>
      </c>
      <c r="BE219" s="459">
        <f t="shared" ref="BE219" si="587">SUM(BE217:BE218)</f>
        <v>157.31601980213651</v>
      </c>
      <c r="BM219"/>
      <c r="BN219"/>
      <c r="BO219"/>
      <c r="BP219"/>
      <c r="BQ219"/>
      <c r="BR219"/>
    </row>
    <row r="220" spans="1:70" s="369" customFormat="1" x14ac:dyDescent="0.2">
      <c r="A220" s="411"/>
      <c r="B220" s="334"/>
      <c r="C220" s="334"/>
      <c r="D220" s="446"/>
      <c r="E220" s="446"/>
      <c r="F220" s="446"/>
      <c r="G220" s="446"/>
      <c r="H220" s="446"/>
      <c r="I220" s="446"/>
      <c r="J220" s="446"/>
      <c r="K220" s="446"/>
      <c r="L220" s="446"/>
      <c r="M220" s="446"/>
      <c r="N220" s="446"/>
      <c r="O220" s="446"/>
      <c r="P220" s="446"/>
      <c r="Q220" s="446"/>
      <c r="R220" s="446"/>
      <c r="S220" s="446"/>
      <c r="T220" s="446"/>
      <c r="U220" s="446"/>
      <c r="V220" s="446"/>
      <c r="W220" s="446"/>
      <c r="X220" s="446"/>
      <c r="Y220" s="446"/>
      <c r="Z220" s="446"/>
      <c r="AA220" s="446"/>
      <c r="AB220" s="446"/>
      <c r="AC220" s="321"/>
      <c r="AD220" s="321"/>
      <c r="AE220" s="321"/>
      <c r="AF220" s="321"/>
      <c r="AG220" s="321"/>
      <c r="AH220" s="321"/>
      <c r="AI220" s="321"/>
      <c r="AJ220" s="321"/>
      <c r="AK220" s="321"/>
      <c r="AL220" s="321"/>
      <c r="AM220" s="321"/>
      <c r="AN220" s="321"/>
      <c r="AO220" s="321"/>
      <c r="AP220" s="321"/>
      <c r="AQ220" s="321"/>
      <c r="AR220" s="70"/>
      <c r="AS220" s="334"/>
      <c r="AT220" s="334"/>
      <c r="BC220" s="321"/>
      <c r="BD220" s="321"/>
      <c r="BE220" s="321"/>
      <c r="BM220"/>
      <c r="BN220"/>
      <c r="BO220"/>
      <c r="BP220"/>
      <c r="BQ220"/>
      <c r="BR220"/>
    </row>
    <row r="221" spans="1:70" s="369" customFormat="1" x14ac:dyDescent="0.2">
      <c r="A221" s="411"/>
      <c r="B221" s="334" t="s">
        <v>497</v>
      </c>
      <c r="C221" s="321"/>
      <c r="D221" s="446">
        <f t="shared" ref="D221:AE221" si="588">D219+D214</f>
        <v>151.6</v>
      </c>
      <c r="E221" s="446">
        <f t="shared" si="588"/>
        <v>149.30000000000001</v>
      </c>
      <c r="F221" s="446">
        <f t="shared" si="588"/>
        <v>149.30000000000001</v>
      </c>
      <c r="G221" s="446">
        <f t="shared" si="588"/>
        <v>150.30000000000001</v>
      </c>
      <c r="H221" s="446">
        <f t="shared" si="588"/>
        <v>149.69999999999999</v>
      </c>
      <c r="I221" s="446">
        <f t="shared" si="588"/>
        <v>145.30000000000001</v>
      </c>
      <c r="J221" s="446">
        <f t="shared" si="588"/>
        <v>149.19999999999999</v>
      </c>
      <c r="K221" s="446">
        <f t="shared" si="588"/>
        <v>155.80000000000001</v>
      </c>
      <c r="L221" s="446">
        <f t="shared" si="588"/>
        <v>156.1</v>
      </c>
      <c r="M221" s="446">
        <f t="shared" si="588"/>
        <v>154.5</v>
      </c>
      <c r="N221" s="446">
        <f t="shared" si="588"/>
        <v>156.30000000000001</v>
      </c>
      <c r="O221" s="446">
        <f t="shared" si="588"/>
        <v>158.19999999999999</v>
      </c>
      <c r="P221" s="446">
        <f t="shared" si="588"/>
        <v>155.80000000000001</v>
      </c>
      <c r="Q221" s="446">
        <f t="shared" si="588"/>
        <v>155.10000000000002</v>
      </c>
      <c r="R221" s="446">
        <f t="shared" si="588"/>
        <v>157.30000000000001</v>
      </c>
      <c r="S221" s="446">
        <f t="shared" si="588"/>
        <v>160.5</v>
      </c>
      <c r="T221" s="446">
        <f t="shared" si="588"/>
        <v>161.6</v>
      </c>
      <c r="U221" s="446">
        <f t="shared" si="588"/>
        <v>163.80000000000001</v>
      </c>
      <c r="V221" s="446">
        <f t="shared" si="588"/>
        <v>177.8</v>
      </c>
      <c r="W221" s="446">
        <f t="shared" si="588"/>
        <v>182</v>
      </c>
      <c r="X221" s="446">
        <f t="shared" si="588"/>
        <v>183.29999999999998</v>
      </c>
      <c r="Y221" s="446">
        <f t="shared" ref="Y221" si="589">Y219+Y214</f>
        <v>183.4</v>
      </c>
      <c r="Z221" s="446">
        <f t="shared" ref="Z221:AA221" si="590">Z219+Z214</f>
        <v>186.7</v>
      </c>
      <c r="AA221" s="446">
        <f t="shared" si="590"/>
        <v>189.7</v>
      </c>
      <c r="AB221" s="446">
        <f t="shared" ref="AB221" si="591">AB219+AB214</f>
        <v>189.7</v>
      </c>
      <c r="AC221" s="446">
        <f t="shared" si="588"/>
        <v>190.49250000000001</v>
      </c>
      <c r="AD221" s="446">
        <f t="shared" si="588"/>
        <v>192.63410249999998</v>
      </c>
      <c r="AE221" s="446">
        <f t="shared" si="588"/>
        <v>196.48678455000001</v>
      </c>
      <c r="AF221" s="446">
        <f t="shared" ref="AF221:AI221" si="592">AF219+AF214</f>
        <v>195.92606814825001</v>
      </c>
      <c r="AG221" s="446">
        <f t="shared" si="592"/>
        <v>197.38934703413551</v>
      </c>
      <c r="AH221" s="446">
        <f t="shared" si="592"/>
        <v>200.49480176347612</v>
      </c>
      <c r="AI221" s="446">
        <f t="shared" si="592"/>
        <v>205.65766393343992</v>
      </c>
      <c r="AJ221" s="446"/>
      <c r="AK221" s="446"/>
      <c r="AL221" s="446"/>
      <c r="AM221" s="446"/>
      <c r="AN221" s="446"/>
      <c r="AO221" s="446"/>
      <c r="AP221" s="446"/>
      <c r="AQ221" s="446"/>
      <c r="AR221" s="70"/>
      <c r="AS221" s="334" t="s">
        <v>497</v>
      </c>
      <c r="AT221" s="321"/>
      <c r="AU221" s="446">
        <f t="shared" ref="AU221:BD221" si="593">AU219+AU214</f>
        <v>150.125</v>
      </c>
      <c r="AV221" s="446">
        <f t="shared" si="593"/>
        <v>150</v>
      </c>
      <c r="AW221" s="446">
        <f t="shared" si="593"/>
        <v>156.27500000000001</v>
      </c>
      <c r="AX221" s="446">
        <f t="shared" si="593"/>
        <v>157.17500000000001</v>
      </c>
      <c r="AY221" s="446">
        <f t="shared" si="593"/>
        <v>171.3</v>
      </c>
      <c r="AZ221" s="446">
        <f t="shared" si="593"/>
        <v>185.77499999999998</v>
      </c>
      <c r="BA221" s="446">
        <f t="shared" si="593"/>
        <v>192.32834676250002</v>
      </c>
      <c r="BB221" s="446">
        <f t="shared" ref="BB221" si="594">BB219+BB214</f>
        <v>199.86697021982539</v>
      </c>
      <c r="BC221" s="446">
        <f t="shared" si="593"/>
        <v>209.06192105772092</v>
      </c>
      <c r="BD221" s="446">
        <f t="shared" si="593"/>
        <v>218.06054207545407</v>
      </c>
      <c r="BE221" s="446">
        <f t="shared" ref="BE221" si="595">BE219+BE214</f>
        <v>227.45091514266778</v>
      </c>
      <c r="BM221"/>
      <c r="BN221"/>
      <c r="BO221"/>
      <c r="BP221"/>
      <c r="BQ221"/>
      <c r="BR221"/>
    </row>
    <row r="222" spans="1:70" s="369" customFormat="1" x14ac:dyDescent="0.2">
      <c r="A222" s="411"/>
      <c r="B222" s="334"/>
      <c r="C222" s="321"/>
      <c r="D222" s="446"/>
      <c r="E222" s="446"/>
      <c r="F222" s="446"/>
      <c r="G222" s="446"/>
      <c r="H222" s="446"/>
      <c r="I222" s="446"/>
      <c r="J222" s="446"/>
      <c r="K222" s="446"/>
      <c r="L222" s="446"/>
      <c r="M222" s="446"/>
      <c r="N222" s="446"/>
      <c r="O222" s="446"/>
      <c r="P222" s="446"/>
      <c r="Q222" s="446"/>
      <c r="R222" s="446"/>
      <c r="S222" s="446"/>
      <c r="T222" s="446"/>
      <c r="U222" s="446"/>
      <c r="V222" s="446"/>
      <c r="W222" s="446"/>
      <c r="X222" s="321"/>
      <c r="Y222" s="321"/>
      <c r="Z222" s="321"/>
      <c r="AA222" s="321"/>
      <c r="AB222" s="351"/>
      <c r="AC222" s="321"/>
      <c r="AD222" s="321"/>
      <c r="AE222" s="321"/>
      <c r="AF222" s="321"/>
      <c r="AG222" s="321"/>
      <c r="AH222" s="321"/>
      <c r="AI222" s="321"/>
      <c r="AJ222" s="321"/>
      <c r="AK222" s="321"/>
      <c r="AL222" s="321"/>
      <c r="AM222" s="321"/>
      <c r="AN222" s="321"/>
      <c r="AO222" s="321"/>
      <c r="AP222" s="321"/>
      <c r="AQ222" s="321"/>
      <c r="AR222" s="70"/>
      <c r="AS222" s="334"/>
      <c r="AT222" s="321"/>
      <c r="BM222"/>
      <c r="BN222"/>
      <c r="BO222"/>
      <c r="BP222"/>
      <c r="BQ222"/>
      <c r="BR222"/>
    </row>
    <row r="223" spans="1:70" s="369" customFormat="1" x14ac:dyDescent="0.2">
      <c r="A223" s="411"/>
      <c r="B223" s="337" t="s">
        <v>212</v>
      </c>
      <c r="C223" s="366"/>
      <c r="D223" s="457"/>
      <c r="E223" s="457"/>
      <c r="F223" s="457"/>
      <c r="G223" s="457"/>
      <c r="H223" s="457"/>
      <c r="I223" s="457"/>
      <c r="J223" s="457"/>
      <c r="K223" s="457"/>
      <c r="L223" s="457"/>
      <c r="M223" s="457"/>
      <c r="N223" s="457"/>
      <c r="O223" s="457"/>
      <c r="P223" s="457"/>
      <c r="Q223" s="457"/>
      <c r="R223" s="457"/>
      <c r="S223" s="457"/>
      <c r="T223" s="457"/>
      <c r="U223" s="457"/>
      <c r="V223" s="457"/>
      <c r="W223" s="457"/>
      <c r="X223" s="367"/>
      <c r="Y223" s="367"/>
      <c r="Z223" s="367"/>
      <c r="AA223" s="367"/>
      <c r="AB223" s="368"/>
      <c r="AC223" s="367"/>
      <c r="AD223" s="367"/>
      <c r="AE223" s="367"/>
      <c r="AF223" s="367"/>
      <c r="AG223" s="367"/>
      <c r="AH223" s="367"/>
      <c r="AI223" s="367"/>
      <c r="AJ223" s="367"/>
      <c r="AK223" s="367"/>
      <c r="AL223" s="367"/>
      <c r="AM223" s="367"/>
      <c r="AN223" s="367"/>
      <c r="AO223" s="367"/>
      <c r="AP223" s="367"/>
      <c r="AQ223" s="367"/>
      <c r="AR223" s="70"/>
      <c r="AS223" s="337" t="s">
        <v>212</v>
      </c>
      <c r="AT223" s="366"/>
      <c r="AU223" s="12"/>
      <c r="AV223" s="12"/>
      <c r="AW223" s="12"/>
      <c r="AX223" s="12"/>
      <c r="AY223" s="12"/>
      <c r="AZ223" s="12"/>
      <c r="BA223" s="12"/>
      <c r="BB223" s="12"/>
      <c r="BC223" s="12"/>
      <c r="BD223" s="12"/>
      <c r="BE223" s="12"/>
      <c r="BM223"/>
      <c r="BN223"/>
      <c r="BO223"/>
      <c r="BP223"/>
      <c r="BQ223"/>
      <c r="BR223"/>
    </row>
    <row r="224" spans="1:70" s="369" customFormat="1" x14ac:dyDescent="0.2">
      <c r="A224" s="411"/>
      <c r="B224" s="16" t="s">
        <v>502</v>
      </c>
      <c r="C224" s="334"/>
      <c r="D224" s="384"/>
      <c r="E224" s="384"/>
      <c r="F224" s="384"/>
      <c r="G224" s="384"/>
      <c r="H224" s="384"/>
      <c r="I224" s="384"/>
      <c r="J224" s="384"/>
      <c r="K224" s="384"/>
      <c r="L224" s="384"/>
      <c r="M224" s="384"/>
      <c r="N224" s="384"/>
      <c r="O224" s="384"/>
      <c r="P224" s="384"/>
      <c r="Q224" s="384"/>
      <c r="R224" s="384"/>
      <c r="S224" s="384"/>
      <c r="T224" s="384"/>
      <c r="U224" s="384"/>
      <c r="V224" s="384"/>
      <c r="W224" s="384"/>
      <c r="X224" s="453"/>
      <c r="Y224" s="453"/>
      <c r="Z224" s="453"/>
      <c r="AA224" s="460"/>
      <c r="AB224" s="460"/>
      <c r="AC224" s="453"/>
      <c r="AD224" s="453"/>
      <c r="AE224" s="453"/>
      <c r="AF224" s="453"/>
      <c r="AG224" s="453"/>
      <c r="AH224" s="453"/>
      <c r="AI224" s="453"/>
      <c r="AJ224" s="453"/>
      <c r="AK224" s="453"/>
      <c r="AL224" s="453"/>
      <c r="AM224" s="453"/>
      <c r="AN224" s="453"/>
      <c r="AO224" s="453"/>
      <c r="AP224" s="453"/>
      <c r="AQ224" s="453"/>
      <c r="AR224" s="70"/>
      <c r="AS224" s="16" t="s">
        <v>502</v>
      </c>
      <c r="AT224" s="334"/>
      <c r="BM224"/>
      <c r="BN224"/>
      <c r="BO224"/>
      <c r="BP224"/>
      <c r="BQ224"/>
      <c r="BR224"/>
    </row>
    <row r="225" spans="1:70" s="369" customFormat="1" x14ac:dyDescent="0.2">
      <c r="A225" s="411"/>
      <c r="B225" s="321" t="s">
        <v>1289</v>
      </c>
      <c r="C225" s="321"/>
      <c r="D225" s="462">
        <v>32.6</v>
      </c>
      <c r="E225" s="462">
        <v>32.6</v>
      </c>
      <c r="F225" s="462">
        <v>33</v>
      </c>
      <c r="G225" s="462">
        <v>33.700000000000003</v>
      </c>
      <c r="H225" s="462">
        <v>33.9</v>
      </c>
      <c r="I225" s="462">
        <v>32.200000000000003</v>
      </c>
      <c r="J225" s="462">
        <v>33.6</v>
      </c>
      <c r="K225" s="462">
        <v>34.299999999999997</v>
      </c>
      <c r="L225" s="462">
        <v>35.1</v>
      </c>
      <c r="M225" s="462">
        <v>36.4</v>
      </c>
      <c r="N225" s="462">
        <v>37.6</v>
      </c>
      <c r="O225" s="462">
        <v>36.700000000000003</v>
      </c>
      <c r="P225" s="462">
        <v>37.799999999999997</v>
      </c>
      <c r="Q225" s="462">
        <v>38.9</v>
      </c>
      <c r="R225" s="462">
        <v>40.6</v>
      </c>
      <c r="S225" s="462">
        <v>41.9</v>
      </c>
      <c r="T225" s="462">
        <v>42.9</v>
      </c>
      <c r="U225" s="462">
        <v>43.9</v>
      </c>
      <c r="V225" s="462">
        <v>44</v>
      </c>
      <c r="W225" s="462">
        <v>44.2</v>
      </c>
      <c r="X225" s="462">
        <v>44.3</v>
      </c>
      <c r="Y225" s="462">
        <v>44.3</v>
      </c>
      <c r="Z225" s="462">
        <v>44.2</v>
      </c>
      <c r="AA225" s="462">
        <v>44.3</v>
      </c>
      <c r="AB225" s="462">
        <v>44.2</v>
      </c>
      <c r="AC225" s="453">
        <f t="shared" ref="AC225:AE227" si="596">AB225/AB$228*AC$228</f>
        <v>44.64200000000001</v>
      </c>
      <c r="AD225" s="453">
        <f t="shared" si="596"/>
        <v>45.088420000000013</v>
      </c>
      <c r="AE225" s="453">
        <f t="shared" si="596"/>
        <v>45.990188400000008</v>
      </c>
      <c r="AF225" s="453">
        <f t="shared" ref="AF225:AF227" si="597">AE225/AE$228*AF$228</f>
        <v>46.450090284000012</v>
      </c>
      <c r="AG225" s="453">
        <f t="shared" ref="AG225:AG227" si="598">AF225/AF$228*AG$228</f>
        <v>47.379092089680015</v>
      </c>
      <c r="AH225" s="453">
        <f t="shared" ref="AH225:AH227" si="599">AG225/AG$228*AH$228</f>
        <v>47.852883010576818</v>
      </c>
      <c r="AI225" s="453">
        <f t="shared" ref="AI225:AI227" si="600">AH225/AH$228*AI$228</f>
        <v>48.809940670788357</v>
      </c>
      <c r="AJ225" s="453"/>
      <c r="AK225" s="453"/>
      <c r="AL225" s="453"/>
      <c r="AM225" s="453"/>
      <c r="AN225" s="453"/>
      <c r="AO225" s="453"/>
      <c r="AP225" s="453"/>
      <c r="AQ225" s="453"/>
      <c r="AR225" s="70"/>
      <c r="AS225" s="321" t="s">
        <v>1289</v>
      </c>
      <c r="AT225" s="321"/>
      <c r="AU225" s="235">
        <f>G225</f>
        <v>33.700000000000003</v>
      </c>
      <c r="AV225" s="235">
        <f>K225</f>
        <v>34.299999999999997</v>
      </c>
      <c r="AW225" s="235">
        <f>O225</f>
        <v>36.700000000000003</v>
      </c>
      <c r="AX225" s="235">
        <f>S225</f>
        <v>41.9</v>
      </c>
      <c r="AY225" s="235">
        <f>W225</f>
        <v>44.2</v>
      </c>
      <c r="AZ225" s="235">
        <f>AA225</f>
        <v>44.3</v>
      </c>
      <c r="BA225" s="235">
        <f>AE225</f>
        <v>45.990188400000008</v>
      </c>
      <c r="BB225" s="235">
        <f>AI225</f>
        <v>48.809940670788357</v>
      </c>
      <c r="BC225" s="453">
        <f t="shared" ref="BC225:BE227" si="601">BB225/BB$228*BC$228</f>
        <v>51.738537111035669</v>
      </c>
      <c r="BD225" s="453">
        <f t="shared" si="601"/>
        <v>54.325463966587449</v>
      </c>
      <c r="BE225" s="453">
        <f t="shared" si="601"/>
        <v>57.041737164916825</v>
      </c>
      <c r="BM225"/>
      <c r="BN225"/>
      <c r="BO225"/>
      <c r="BP225"/>
      <c r="BQ225"/>
      <c r="BR225"/>
    </row>
    <row r="226" spans="1:70" s="369" customFormat="1" x14ac:dyDescent="0.2">
      <c r="A226" s="411"/>
      <c r="B226" s="321" t="s">
        <v>1290</v>
      </c>
      <c r="C226" s="321"/>
      <c r="D226" s="449">
        <v>6.9</v>
      </c>
      <c r="E226" s="449">
        <v>7.2</v>
      </c>
      <c r="F226" s="449">
        <v>7.4</v>
      </c>
      <c r="G226" s="449">
        <v>7.9</v>
      </c>
      <c r="H226" s="449">
        <v>8.1999999999999993</v>
      </c>
      <c r="I226" s="449">
        <v>8.4</v>
      </c>
      <c r="J226" s="449">
        <v>8.5</v>
      </c>
      <c r="K226" s="449">
        <v>8.6999999999999993</v>
      </c>
      <c r="L226" s="449">
        <v>8.6999999999999993</v>
      </c>
      <c r="M226" s="449">
        <v>8.5</v>
      </c>
      <c r="N226" s="449">
        <v>8.6</v>
      </c>
      <c r="O226" s="449">
        <v>8.6</v>
      </c>
      <c r="P226" s="449">
        <v>8.5</v>
      </c>
      <c r="Q226" s="449">
        <v>8.5</v>
      </c>
      <c r="R226" s="449">
        <v>8.4</v>
      </c>
      <c r="S226" s="449">
        <v>8.3000000000000007</v>
      </c>
      <c r="T226" s="449">
        <v>8.6</v>
      </c>
      <c r="U226" s="449">
        <v>8.8000000000000007</v>
      </c>
      <c r="V226" s="449">
        <v>8.8000000000000007</v>
      </c>
      <c r="W226" s="449">
        <v>9</v>
      </c>
      <c r="X226" s="449">
        <v>9.1999999999999993</v>
      </c>
      <c r="Y226" s="449">
        <v>9.1999999999999993</v>
      </c>
      <c r="Z226" s="449">
        <v>9.4</v>
      </c>
      <c r="AA226" s="449">
        <v>9.5</v>
      </c>
      <c r="AB226" s="449">
        <v>9.1</v>
      </c>
      <c r="AC226" s="453">
        <f t="shared" si="596"/>
        <v>9.1910000000000007</v>
      </c>
      <c r="AD226" s="453">
        <f t="shared" si="596"/>
        <v>9.2829100000000011</v>
      </c>
      <c r="AE226" s="453">
        <f t="shared" si="596"/>
        <v>9.4685682</v>
      </c>
      <c r="AF226" s="453">
        <f t="shared" si="597"/>
        <v>9.5632538819999997</v>
      </c>
      <c r="AG226" s="453">
        <f t="shared" si="598"/>
        <v>9.7545189596400004</v>
      </c>
      <c r="AH226" s="453">
        <f t="shared" si="599"/>
        <v>9.8520641492363996</v>
      </c>
      <c r="AI226" s="453">
        <f t="shared" si="600"/>
        <v>10.049105432221127</v>
      </c>
      <c r="AJ226" s="453"/>
      <c r="AK226" s="453"/>
      <c r="AL226" s="453"/>
      <c r="AM226" s="453"/>
      <c r="AN226" s="453"/>
      <c r="AO226" s="453"/>
      <c r="AP226" s="453"/>
      <c r="AQ226" s="453"/>
      <c r="AR226" s="70"/>
      <c r="AS226" s="321" t="s">
        <v>1290</v>
      </c>
      <c r="AT226" s="321"/>
      <c r="AU226" s="235">
        <f>G226</f>
        <v>7.9</v>
      </c>
      <c r="AV226" s="235">
        <f>K226</f>
        <v>8.6999999999999993</v>
      </c>
      <c r="AW226" s="235">
        <f>O226</f>
        <v>8.6</v>
      </c>
      <c r="AX226" s="235">
        <f>S226</f>
        <v>8.3000000000000007</v>
      </c>
      <c r="AY226" s="235">
        <f>W226</f>
        <v>9</v>
      </c>
      <c r="AZ226" s="235">
        <f>AA226</f>
        <v>9.5</v>
      </c>
      <c r="BA226" s="235">
        <f>AE226</f>
        <v>9.4685682</v>
      </c>
      <c r="BB226" s="235">
        <f>AI226</f>
        <v>10.049105432221127</v>
      </c>
      <c r="BC226" s="453">
        <f t="shared" si="601"/>
        <v>10.652051758154396</v>
      </c>
      <c r="BD226" s="453">
        <f t="shared" si="601"/>
        <v>11.184654346062118</v>
      </c>
      <c r="BE226" s="453">
        <f t="shared" si="601"/>
        <v>11.743887063365223</v>
      </c>
      <c r="BM226"/>
      <c r="BN226"/>
      <c r="BO226"/>
      <c r="BP226"/>
      <c r="BQ226"/>
      <c r="BR226"/>
    </row>
    <row r="227" spans="1:70" s="369" customFormat="1" x14ac:dyDescent="0.2">
      <c r="A227" s="411"/>
      <c r="B227" s="376" t="s">
        <v>1291</v>
      </c>
      <c r="C227" s="376"/>
      <c r="D227" s="463">
        <v>1.1000000000000001</v>
      </c>
      <c r="E227" s="452">
        <v>1.1000000000000001</v>
      </c>
      <c r="F227" s="452">
        <v>1.1000000000000001</v>
      </c>
      <c r="G227" s="452">
        <v>1.1000000000000001</v>
      </c>
      <c r="H227" s="452">
        <v>1.1000000000000001</v>
      </c>
      <c r="I227" s="452">
        <v>1.2</v>
      </c>
      <c r="J227" s="452">
        <v>1.2</v>
      </c>
      <c r="K227" s="452">
        <v>1.3</v>
      </c>
      <c r="L227" s="452">
        <v>1.4</v>
      </c>
      <c r="M227" s="452">
        <v>1.5</v>
      </c>
      <c r="N227" s="452">
        <v>1.6</v>
      </c>
      <c r="O227" s="452">
        <v>1.8</v>
      </c>
      <c r="P227" s="452">
        <v>1.8</v>
      </c>
      <c r="Q227" s="452">
        <v>1.8</v>
      </c>
      <c r="R227" s="452">
        <v>2</v>
      </c>
      <c r="S227" s="452">
        <v>2</v>
      </c>
      <c r="T227" s="452">
        <v>2</v>
      </c>
      <c r="U227" s="452">
        <v>2.1</v>
      </c>
      <c r="V227" s="452">
        <v>2</v>
      </c>
      <c r="W227" s="452">
        <v>2.1</v>
      </c>
      <c r="X227" s="452">
        <v>2</v>
      </c>
      <c r="Y227" s="452">
        <v>2.1</v>
      </c>
      <c r="Z227" s="452">
        <v>2.1</v>
      </c>
      <c r="AA227" s="452">
        <v>2.2000000000000002</v>
      </c>
      <c r="AB227" s="452">
        <v>2.1</v>
      </c>
      <c r="AC227" s="464">
        <f t="shared" si="596"/>
        <v>2.121</v>
      </c>
      <c r="AD227" s="464">
        <f t="shared" si="596"/>
        <v>2.1422099999999999</v>
      </c>
      <c r="AE227" s="464">
        <f t="shared" si="596"/>
        <v>2.1850542000000002</v>
      </c>
      <c r="AF227" s="464">
        <f t="shared" si="597"/>
        <v>2.2069047419999999</v>
      </c>
      <c r="AG227" s="464">
        <f t="shared" si="598"/>
        <v>2.2510428368399999</v>
      </c>
      <c r="AH227" s="464">
        <f t="shared" si="599"/>
        <v>2.2735532652083998</v>
      </c>
      <c r="AI227" s="464">
        <f t="shared" si="600"/>
        <v>2.3190243305125677</v>
      </c>
      <c r="AJ227" s="468"/>
      <c r="AK227" s="468"/>
      <c r="AL227" s="468"/>
      <c r="AM227" s="468"/>
      <c r="AN227" s="468"/>
      <c r="AO227" s="468"/>
      <c r="AP227" s="468"/>
      <c r="AQ227" s="468"/>
      <c r="AR227" s="70"/>
      <c r="AS227" s="376" t="s">
        <v>1291</v>
      </c>
      <c r="AT227" s="376"/>
      <c r="AU227" s="236">
        <f>G227</f>
        <v>1.1000000000000001</v>
      </c>
      <c r="AV227" s="236">
        <f>K227</f>
        <v>1.3</v>
      </c>
      <c r="AW227" s="236">
        <f>O227</f>
        <v>1.8</v>
      </c>
      <c r="AX227" s="236">
        <f>S227</f>
        <v>2</v>
      </c>
      <c r="AY227" s="236">
        <f>W227</f>
        <v>2.1</v>
      </c>
      <c r="AZ227" s="236">
        <f>AA227</f>
        <v>2.2000000000000002</v>
      </c>
      <c r="BA227" s="236">
        <f>AE227</f>
        <v>2.1850542000000002</v>
      </c>
      <c r="BB227" s="236">
        <f>AI227</f>
        <v>2.3190243305125677</v>
      </c>
      <c r="BC227" s="464">
        <f t="shared" si="601"/>
        <v>2.4581657903433221</v>
      </c>
      <c r="BD227" s="464">
        <f t="shared" si="601"/>
        <v>2.5810740798604881</v>
      </c>
      <c r="BE227" s="464">
        <f t="shared" si="601"/>
        <v>2.7101277838535127</v>
      </c>
      <c r="BM227"/>
      <c r="BN227"/>
      <c r="BO227"/>
      <c r="BP227"/>
      <c r="BQ227"/>
      <c r="BR227"/>
    </row>
    <row r="228" spans="1:70" s="369" customFormat="1" x14ac:dyDescent="0.2">
      <c r="A228" s="411"/>
      <c r="B228" s="321"/>
      <c r="C228" s="334" t="s">
        <v>1292</v>
      </c>
      <c r="D228" s="465">
        <f t="shared" ref="D228:X228" si="602">SUM(D225:D227)</f>
        <v>40.6</v>
      </c>
      <c r="E228" s="466">
        <f t="shared" si="602"/>
        <v>40.900000000000006</v>
      </c>
      <c r="F228" s="466">
        <f t="shared" si="602"/>
        <v>41.5</v>
      </c>
      <c r="G228" s="466">
        <f t="shared" si="602"/>
        <v>42.7</v>
      </c>
      <c r="H228" s="466">
        <f t="shared" si="602"/>
        <v>43.199999999999996</v>
      </c>
      <c r="I228" s="466">
        <f t="shared" si="602"/>
        <v>41.800000000000004</v>
      </c>
      <c r="J228" s="466">
        <f t="shared" si="602"/>
        <v>43.300000000000004</v>
      </c>
      <c r="K228" s="466">
        <f t="shared" si="602"/>
        <v>44.3</v>
      </c>
      <c r="L228" s="466">
        <f t="shared" si="602"/>
        <v>45.199999999999996</v>
      </c>
      <c r="M228" s="466">
        <f t="shared" si="602"/>
        <v>46.4</v>
      </c>
      <c r="N228" s="466">
        <f t="shared" si="602"/>
        <v>47.800000000000004</v>
      </c>
      <c r="O228" s="466">
        <f t="shared" si="602"/>
        <v>47.1</v>
      </c>
      <c r="P228" s="466">
        <f t="shared" si="602"/>
        <v>48.099999999999994</v>
      </c>
      <c r="Q228" s="466">
        <f t="shared" si="602"/>
        <v>49.199999999999996</v>
      </c>
      <c r="R228" s="466">
        <f t="shared" si="602"/>
        <v>51</v>
      </c>
      <c r="S228" s="466">
        <f t="shared" si="602"/>
        <v>52.2</v>
      </c>
      <c r="T228" s="466">
        <f t="shared" si="602"/>
        <v>53.5</v>
      </c>
      <c r="U228" s="466">
        <f t="shared" si="602"/>
        <v>54.800000000000004</v>
      </c>
      <c r="V228" s="466">
        <f t="shared" si="602"/>
        <v>54.8</v>
      </c>
      <c r="W228" s="466">
        <f t="shared" si="602"/>
        <v>55.300000000000004</v>
      </c>
      <c r="X228" s="466">
        <f t="shared" si="602"/>
        <v>55.5</v>
      </c>
      <c r="Y228" s="466">
        <f t="shared" ref="Y228:Z228" si="603">SUM(Y225:Y227)</f>
        <v>55.6</v>
      </c>
      <c r="Z228" s="466">
        <f t="shared" si="603"/>
        <v>55.7</v>
      </c>
      <c r="AA228" s="466">
        <f t="shared" ref="AA228:AB228" si="604">SUM(AA225:AA227)</f>
        <v>56</v>
      </c>
      <c r="AB228" s="466">
        <f t="shared" si="604"/>
        <v>55.400000000000006</v>
      </c>
      <c r="AC228" s="453">
        <f t="shared" ref="AC228:AE228" si="605">AB228*(AC214/AB214)</f>
        <v>55.954000000000008</v>
      </c>
      <c r="AD228" s="453">
        <f t="shared" si="605"/>
        <v>56.513540000000006</v>
      </c>
      <c r="AE228" s="453">
        <f t="shared" si="605"/>
        <v>57.643810800000004</v>
      </c>
      <c r="AF228" s="453">
        <f t="shared" ref="AF228" si="606">AE228*(AF214/AE214)</f>
        <v>58.220248908000002</v>
      </c>
      <c r="AG228" s="453">
        <f t="shared" ref="AG228" si="607">AF228*(AG214/AF214)</f>
        <v>59.384653886160002</v>
      </c>
      <c r="AH228" s="453">
        <f t="shared" ref="AH228" si="608">AG228*(AH214/AG214)</f>
        <v>59.978500425021601</v>
      </c>
      <c r="AI228" s="453">
        <f t="shared" ref="AI228" si="609">AH228*(AI214/AH214)</f>
        <v>61.178070433522031</v>
      </c>
      <c r="AJ228" s="453"/>
      <c r="AK228" s="453"/>
      <c r="AL228" s="453"/>
      <c r="AM228" s="453"/>
      <c r="AN228" s="453"/>
      <c r="AO228" s="453"/>
      <c r="AP228" s="453"/>
      <c r="AQ228" s="453"/>
      <c r="AR228" s="70"/>
      <c r="AS228" s="321"/>
      <c r="AT228" s="334" t="s">
        <v>1292</v>
      </c>
      <c r="AU228" s="467">
        <f t="shared" ref="AU228:BA228" si="610">SUM(AU225:AU227)</f>
        <v>42.7</v>
      </c>
      <c r="AV228" s="467">
        <f t="shared" si="610"/>
        <v>44.3</v>
      </c>
      <c r="AW228" s="467">
        <f t="shared" si="610"/>
        <v>47.1</v>
      </c>
      <c r="AX228" s="467">
        <f t="shared" si="610"/>
        <v>52.2</v>
      </c>
      <c r="AY228" s="467">
        <f t="shared" si="610"/>
        <v>55.300000000000004</v>
      </c>
      <c r="AZ228" s="467">
        <f t="shared" si="610"/>
        <v>56</v>
      </c>
      <c r="BA228" s="467">
        <f t="shared" si="610"/>
        <v>57.643810800000011</v>
      </c>
      <c r="BB228" s="467">
        <f t="shared" ref="BB228" si="611">SUM(BB225:BB227)</f>
        <v>61.178070433522052</v>
      </c>
      <c r="BC228" s="453">
        <f>BB228*(BC214/BB214)</f>
        <v>64.848754659533384</v>
      </c>
      <c r="BD228" s="453">
        <f>BC228*(BD214/BC214)</f>
        <v>68.091192392510052</v>
      </c>
      <c r="BE228" s="453">
        <f>BD228*(BE214/BD214)</f>
        <v>71.495752012135554</v>
      </c>
      <c r="BM228"/>
      <c r="BN228"/>
      <c r="BO228"/>
      <c r="BP228"/>
      <c r="BQ228"/>
      <c r="BR228"/>
    </row>
    <row r="229" spans="1:70" s="369" customFormat="1" x14ac:dyDescent="0.2">
      <c r="A229" s="411"/>
      <c r="B229" s="334"/>
      <c r="C229" s="334"/>
      <c r="D229" s="384"/>
      <c r="E229" s="384"/>
      <c r="F229" s="384"/>
      <c r="G229" s="384"/>
      <c r="H229" s="384"/>
      <c r="I229" s="384"/>
      <c r="J229" s="384"/>
      <c r="K229" s="384"/>
      <c r="L229" s="384"/>
      <c r="M229" s="384"/>
      <c r="N229" s="384"/>
      <c r="O229" s="384"/>
      <c r="P229" s="384"/>
      <c r="Q229" s="384"/>
      <c r="R229" s="384"/>
      <c r="S229" s="384"/>
      <c r="T229" s="384"/>
      <c r="U229" s="384"/>
      <c r="V229" s="384"/>
      <c r="W229" s="384"/>
      <c r="X229" s="384"/>
      <c r="Y229" s="384"/>
      <c r="Z229" s="384"/>
      <c r="AA229" s="384"/>
      <c r="AB229" s="384"/>
      <c r="AC229" s="468"/>
      <c r="AD229" s="468"/>
      <c r="AE229" s="468"/>
      <c r="AF229" s="468"/>
      <c r="AG229" s="468"/>
      <c r="AH229" s="468"/>
      <c r="AI229" s="468"/>
      <c r="AJ229" s="468"/>
      <c r="AK229" s="468"/>
      <c r="AL229" s="468"/>
      <c r="AM229" s="468"/>
      <c r="AN229" s="468"/>
      <c r="AO229" s="468"/>
      <c r="AP229" s="468"/>
      <c r="AQ229" s="468"/>
      <c r="AR229" s="70"/>
      <c r="AS229" s="334"/>
      <c r="AT229" s="334"/>
      <c r="AU229" s="467"/>
      <c r="AV229" s="467"/>
      <c r="AW229" s="467"/>
      <c r="AX229" s="467"/>
      <c r="AY229" s="467"/>
      <c r="AZ229" s="467"/>
      <c r="BA229" s="467"/>
      <c r="BB229" s="467"/>
      <c r="BC229" s="468"/>
      <c r="BD229" s="468"/>
      <c r="BE229" s="468"/>
      <c r="BM229"/>
      <c r="BN229"/>
      <c r="BO229"/>
      <c r="BP229"/>
      <c r="BQ229"/>
      <c r="BR229"/>
    </row>
    <row r="230" spans="1:70" s="369" customFormat="1" x14ac:dyDescent="0.2">
      <c r="A230" s="411"/>
      <c r="B230" s="334" t="s">
        <v>499</v>
      </c>
      <c r="C230" s="321"/>
      <c r="D230" s="449">
        <v>72.7</v>
      </c>
      <c r="E230" s="449">
        <v>72.7</v>
      </c>
      <c r="F230" s="449">
        <v>72.2</v>
      </c>
      <c r="G230" s="449">
        <v>72.900000000000006</v>
      </c>
      <c r="H230" s="449">
        <v>69.2</v>
      </c>
      <c r="I230" s="449">
        <v>69.3</v>
      </c>
      <c r="J230" s="449">
        <v>68.8</v>
      </c>
      <c r="K230" s="449">
        <v>70.5</v>
      </c>
      <c r="L230" s="449">
        <v>66.8</v>
      </c>
      <c r="M230" s="449">
        <v>67.3</v>
      </c>
      <c r="N230" s="449">
        <v>66.5</v>
      </c>
      <c r="O230" s="449">
        <v>67.5</v>
      </c>
      <c r="P230" s="449">
        <v>63.5</v>
      </c>
      <c r="Q230" s="449">
        <v>64.5</v>
      </c>
      <c r="R230" s="449">
        <v>64.8</v>
      </c>
      <c r="S230" s="449">
        <v>67.2</v>
      </c>
      <c r="T230" s="449">
        <v>64.900000000000006</v>
      </c>
      <c r="U230" s="449">
        <v>77.5</v>
      </c>
      <c r="V230" s="449">
        <v>81.3</v>
      </c>
      <c r="W230" s="449">
        <v>86</v>
      </c>
      <c r="X230" s="449">
        <v>82.2</v>
      </c>
      <c r="Y230" s="449">
        <v>85.6</v>
      </c>
      <c r="Z230" s="449">
        <v>86.3</v>
      </c>
      <c r="AA230" s="449">
        <v>90.5</v>
      </c>
      <c r="AB230" s="449">
        <v>85.7</v>
      </c>
      <c r="AC230" s="453">
        <f t="shared" ref="AC230:AE231" si="612">AB230*(AC217/AB217)</f>
        <v>85.7</v>
      </c>
      <c r="AD230" s="453">
        <f t="shared" si="612"/>
        <v>86.557000000000002</v>
      </c>
      <c r="AE230" s="453">
        <f t="shared" si="612"/>
        <v>88.288139999999999</v>
      </c>
      <c r="AF230" s="453">
        <f t="shared" ref="AF230:AF231" si="613">AE230*(AF217/AE217)</f>
        <v>87.405258599999996</v>
      </c>
      <c r="AG230" s="453">
        <f t="shared" ref="AG230:AG231" si="614">AF230*(AG217/AF217)</f>
        <v>87.405258599999996</v>
      </c>
      <c r="AH230" s="453">
        <f t="shared" ref="AH230:AH231" si="615">AG230*(AH217/AG217)</f>
        <v>89.153363771999992</v>
      </c>
      <c r="AI230" s="453">
        <f t="shared" ref="AI230:AI231" si="616">AH230*(AI217/AH217)</f>
        <v>91.827964685159998</v>
      </c>
      <c r="AJ230" s="453"/>
      <c r="AK230" s="453"/>
      <c r="AL230" s="453"/>
      <c r="AM230" s="453"/>
      <c r="AN230" s="453"/>
      <c r="AO230" s="453"/>
      <c r="AP230" s="453"/>
      <c r="AQ230" s="453"/>
      <c r="AR230" s="70"/>
      <c r="AS230" s="334" t="s">
        <v>499</v>
      </c>
      <c r="AT230" s="321"/>
      <c r="AU230" s="235">
        <f>G230</f>
        <v>72.900000000000006</v>
      </c>
      <c r="AV230" s="235">
        <f>K230</f>
        <v>70.5</v>
      </c>
      <c r="AW230" s="235">
        <f>O230</f>
        <v>67.5</v>
      </c>
      <c r="AX230" s="235">
        <f>S230</f>
        <v>67.2</v>
      </c>
      <c r="AY230" s="235">
        <f>W230</f>
        <v>86</v>
      </c>
      <c r="AZ230" s="235">
        <f>AA230</f>
        <v>90.5</v>
      </c>
      <c r="BA230" s="235">
        <f>AE230</f>
        <v>88.288139999999999</v>
      </c>
      <c r="BB230" s="235">
        <f>AI230</f>
        <v>91.827964685159998</v>
      </c>
      <c r="BC230" s="453">
        <f t="shared" ref="BC230:BE231" si="617">BB230*(BC217/BB217)</f>
        <v>95.501083272566405</v>
      </c>
      <c r="BD230" s="453">
        <f t="shared" si="617"/>
        <v>99.321126603469068</v>
      </c>
      <c r="BE230" s="453">
        <f t="shared" si="617"/>
        <v>103.29397166760783</v>
      </c>
      <c r="BM230"/>
      <c r="BN230"/>
      <c r="BO230"/>
      <c r="BP230"/>
      <c r="BQ230"/>
      <c r="BR230"/>
    </row>
    <row r="231" spans="1:70" s="369" customFormat="1" x14ac:dyDescent="0.2">
      <c r="A231" s="411"/>
      <c r="B231" s="375" t="s">
        <v>498</v>
      </c>
      <c r="C231" s="376"/>
      <c r="D231" s="469">
        <v>36.700000000000003</v>
      </c>
      <c r="E231" s="469">
        <v>36.6</v>
      </c>
      <c r="F231" s="469">
        <v>36.6</v>
      </c>
      <c r="G231" s="469">
        <v>38.6</v>
      </c>
      <c r="H231" s="469">
        <v>35.4</v>
      </c>
      <c r="I231" s="469">
        <v>36</v>
      </c>
      <c r="J231" s="469">
        <v>43</v>
      </c>
      <c r="K231" s="469">
        <v>46.3</v>
      </c>
      <c r="L231" s="469">
        <v>42.3</v>
      </c>
      <c r="M231" s="469">
        <v>43.1</v>
      </c>
      <c r="N231" s="469">
        <v>43</v>
      </c>
      <c r="O231" s="469">
        <v>46.5</v>
      </c>
      <c r="P231" s="469">
        <v>42.4</v>
      </c>
      <c r="Q231" s="469">
        <v>43.2</v>
      </c>
      <c r="R231" s="469">
        <v>43.1</v>
      </c>
      <c r="S231" s="469">
        <v>46.1</v>
      </c>
      <c r="T231" s="469">
        <v>42.5</v>
      </c>
      <c r="U231" s="469">
        <v>43.3</v>
      </c>
      <c r="V231" s="469">
        <v>43.9</v>
      </c>
      <c r="W231" s="469">
        <v>47.3</v>
      </c>
      <c r="X231" s="469">
        <v>44.2</v>
      </c>
      <c r="Y231" s="469">
        <v>45.2</v>
      </c>
      <c r="Z231" s="469">
        <v>45.9</v>
      </c>
      <c r="AA231" s="469">
        <v>49.2</v>
      </c>
      <c r="AB231" s="469">
        <v>46</v>
      </c>
      <c r="AC231" s="464">
        <f t="shared" si="612"/>
        <v>46.23</v>
      </c>
      <c r="AD231" s="464">
        <f t="shared" si="612"/>
        <v>46.923449999999995</v>
      </c>
      <c r="AE231" s="464">
        <f t="shared" si="612"/>
        <v>47.861918999999993</v>
      </c>
      <c r="AF231" s="464">
        <f t="shared" si="613"/>
        <v>47.622609404999992</v>
      </c>
      <c r="AG231" s="464">
        <f t="shared" si="614"/>
        <v>47.908345061429991</v>
      </c>
      <c r="AH231" s="464">
        <f t="shared" si="615"/>
        <v>48.626970237351436</v>
      </c>
      <c r="AI231" s="464">
        <f t="shared" si="616"/>
        <v>49.842644493285221</v>
      </c>
      <c r="AJ231" s="468"/>
      <c r="AK231" s="468"/>
      <c r="AL231" s="468"/>
      <c r="AM231" s="468"/>
      <c r="AN231" s="468"/>
      <c r="AO231" s="468"/>
      <c r="AP231" s="468"/>
      <c r="AQ231" s="468"/>
      <c r="AR231" s="70"/>
      <c r="AS231" s="375" t="s">
        <v>498</v>
      </c>
      <c r="AT231" s="376"/>
      <c r="AU231" s="236">
        <f>G231</f>
        <v>38.6</v>
      </c>
      <c r="AV231" s="236">
        <f>K231</f>
        <v>46.3</v>
      </c>
      <c r="AW231" s="236">
        <f>O231</f>
        <v>46.5</v>
      </c>
      <c r="AX231" s="236">
        <f>S231</f>
        <v>46.1</v>
      </c>
      <c r="AY231" s="236">
        <f>W231</f>
        <v>47.3</v>
      </c>
      <c r="AZ231" s="236">
        <f>AA231</f>
        <v>49.2</v>
      </c>
      <c r="BA231" s="236">
        <f>AE231</f>
        <v>47.861918999999993</v>
      </c>
      <c r="BB231" s="236">
        <f>AI231</f>
        <v>49.842644493285221</v>
      </c>
      <c r="BC231" s="464">
        <f t="shared" si="617"/>
        <v>51.836350273016635</v>
      </c>
      <c r="BD231" s="464">
        <f t="shared" si="617"/>
        <v>53.909804283937305</v>
      </c>
      <c r="BE231" s="464">
        <f t="shared" si="617"/>
        <v>56.066196455294801</v>
      </c>
      <c r="BM231"/>
      <c r="BN231"/>
      <c r="BO231"/>
      <c r="BP231"/>
      <c r="BQ231"/>
      <c r="BR231"/>
    </row>
    <row r="232" spans="1:70" s="369" customFormat="1" x14ac:dyDescent="0.2">
      <c r="A232" s="411"/>
      <c r="B232" s="334" t="s">
        <v>1293</v>
      </c>
      <c r="C232" s="321"/>
      <c r="D232" s="155">
        <f t="shared" ref="D232:AE232" si="618">SUM(D230:D231)</f>
        <v>109.4</v>
      </c>
      <c r="E232" s="155">
        <f t="shared" si="618"/>
        <v>109.30000000000001</v>
      </c>
      <c r="F232" s="155">
        <f t="shared" si="618"/>
        <v>108.80000000000001</v>
      </c>
      <c r="G232" s="155">
        <f t="shared" si="618"/>
        <v>111.5</v>
      </c>
      <c r="H232" s="155">
        <f t="shared" si="618"/>
        <v>104.6</v>
      </c>
      <c r="I232" s="155">
        <f t="shared" si="618"/>
        <v>105.3</v>
      </c>
      <c r="J232" s="155">
        <f t="shared" si="618"/>
        <v>111.8</v>
      </c>
      <c r="K232" s="155">
        <f t="shared" si="618"/>
        <v>116.8</v>
      </c>
      <c r="L232" s="155">
        <f t="shared" si="618"/>
        <v>109.1</v>
      </c>
      <c r="M232" s="155">
        <f t="shared" si="618"/>
        <v>110.4</v>
      </c>
      <c r="N232" s="155">
        <f t="shared" si="618"/>
        <v>109.5</v>
      </c>
      <c r="O232" s="155">
        <f t="shared" si="618"/>
        <v>114</v>
      </c>
      <c r="P232" s="155">
        <f t="shared" si="618"/>
        <v>105.9</v>
      </c>
      <c r="Q232" s="155">
        <f t="shared" si="618"/>
        <v>107.7</v>
      </c>
      <c r="R232" s="155">
        <f t="shared" si="618"/>
        <v>107.9</v>
      </c>
      <c r="S232" s="155">
        <f t="shared" si="618"/>
        <v>113.30000000000001</v>
      </c>
      <c r="T232" s="155">
        <f t="shared" si="618"/>
        <v>107.4</v>
      </c>
      <c r="U232" s="155">
        <f t="shared" si="618"/>
        <v>120.8</v>
      </c>
      <c r="V232" s="155">
        <f t="shared" si="618"/>
        <v>125.19999999999999</v>
      </c>
      <c r="W232" s="155">
        <f t="shared" si="618"/>
        <v>133.30000000000001</v>
      </c>
      <c r="X232" s="155">
        <f t="shared" si="618"/>
        <v>126.4</v>
      </c>
      <c r="Y232" s="155">
        <f t="shared" ref="Y232" si="619">SUM(Y230:Y231)</f>
        <v>130.80000000000001</v>
      </c>
      <c r="Z232" s="155">
        <f t="shared" ref="Z232:AA232" si="620">SUM(Z230:Z231)</f>
        <v>132.19999999999999</v>
      </c>
      <c r="AA232" s="155">
        <f t="shared" si="620"/>
        <v>139.69999999999999</v>
      </c>
      <c r="AB232" s="155">
        <f t="shared" ref="AB232" si="621">SUM(AB230:AB231)</f>
        <v>131.69999999999999</v>
      </c>
      <c r="AC232" s="155">
        <f t="shared" si="618"/>
        <v>131.93</v>
      </c>
      <c r="AD232" s="155">
        <f t="shared" si="618"/>
        <v>133.48044999999999</v>
      </c>
      <c r="AE232" s="155">
        <f t="shared" si="618"/>
        <v>136.150059</v>
      </c>
      <c r="AF232" s="155">
        <f t="shared" ref="AF232:AI232" si="622">SUM(AF230:AF231)</f>
        <v>135.02786800499999</v>
      </c>
      <c r="AG232" s="155">
        <f t="shared" si="622"/>
        <v>135.31360366142999</v>
      </c>
      <c r="AH232" s="155">
        <f t="shared" si="622"/>
        <v>137.78033400935144</v>
      </c>
      <c r="AI232" s="155">
        <f t="shared" si="622"/>
        <v>141.6706091784452</v>
      </c>
      <c r="AJ232" s="155"/>
      <c r="AK232" s="155"/>
      <c r="AL232" s="155"/>
      <c r="AM232" s="155"/>
      <c r="AN232" s="155"/>
      <c r="AO232" s="155"/>
      <c r="AP232" s="155"/>
      <c r="AQ232" s="155"/>
      <c r="AR232" s="70"/>
      <c r="AS232" s="334" t="s">
        <v>1293</v>
      </c>
      <c r="AT232" s="321"/>
      <c r="AU232" s="155">
        <f t="shared" ref="AU232:BD232" si="623">SUM(AU230:AU231)</f>
        <v>111.5</v>
      </c>
      <c r="AV232" s="155">
        <f t="shared" si="623"/>
        <v>116.8</v>
      </c>
      <c r="AW232" s="155">
        <f t="shared" si="623"/>
        <v>114</v>
      </c>
      <c r="AX232" s="155">
        <f t="shared" si="623"/>
        <v>113.30000000000001</v>
      </c>
      <c r="AY232" s="155">
        <f t="shared" si="623"/>
        <v>133.30000000000001</v>
      </c>
      <c r="AZ232" s="155">
        <f t="shared" si="623"/>
        <v>139.69999999999999</v>
      </c>
      <c r="BA232" s="155">
        <f t="shared" si="623"/>
        <v>136.150059</v>
      </c>
      <c r="BB232" s="155">
        <f t="shared" ref="BB232" si="624">SUM(BB230:BB231)</f>
        <v>141.6706091784452</v>
      </c>
      <c r="BC232" s="155">
        <f t="shared" si="623"/>
        <v>147.33743354558305</v>
      </c>
      <c r="BD232" s="155">
        <f t="shared" si="623"/>
        <v>153.23093088740637</v>
      </c>
      <c r="BE232" s="155">
        <f t="shared" ref="BE232" si="625">SUM(BE230:BE231)</f>
        <v>159.36016812290262</v>
      </c>
      <c r="BM232"/>
      <c r="BN232"/>
      <c r="BO232"/>
      <c r="BP232"/>
      <c r="BQ232"/>
      <c r="BR232"/>
    </row>
    <row r="233" spans="1:70" s="369" customFormat="1" x14ac:dyDescent="0.2">
      <c r="A233" s="411"/>
      <c r="B233" s="334"/>
      <c r="C233" s="334"/>
      <c r="D233" s="384"/>
      <c r="E233" s="384"/>
      <c r="F233" s="384"/>
      <c r="G233" s="384"/>
      <c r="H233" s="384"/>
      <c r="I233" s="384"/>
      <c r="J233" s="384"/>
      <c r="K233" s="384"/>
      <c r="L233" s="384"/>
      <c r="M233" s="384"/>
      <c r="N233" s="384"/>
      <c r="O233" s="384"/>
      <c r="P233" s="384"/>
      <c r="Q233" s="384"/>
      <c r="R233" s="384"/>
      <c r="S233" s="384"/>
      <c r="T233" s="384"/>
      <c r="U233" s="384"/>
      <c r="V233" s="384"/>
      <c r="W233" s="384"/>
      <c r="X233" s="384"/>
      <c r="Y233" s="384"/>
      <c r="Z233" s="384"/>
      <c r="AA233" s="384"/>
      <c r="AB233" s="384"/>
      <c r="AC233" s="453"/>
      <c r="AD233" s="453"/>
      <c r="AE233" s="453"/>
      <c r="AF233" s="453"/>
      <c r="AG233" s="453"/>
      <c r="AH233" s="453"/>
      <c r="AI233" s="453"/>
      <c r="AJ233" s="453"/>
      <c r="AK233" s="453"/>
      <c r="AL233" s="453"/>
      <c r="AM233" s="453"/>
      <c r="AN233" s="453"/>
      <c r="AO233" s="453"/>
      <c r="AP233" s="453"/>
      <c r="AQ233" s="453"/>
      <c r="AR233" s="70"/>
      <c r="AS233" s="334"/>
      <c r="AT233" s="334"/>
      <c r="AU233" s="467"/>
      <c r="AV233" s="467"/>
      <c r="AW233" s="467"/>
      <c r="AX233" s="467"/>
      <c r="AY233" s="467"/>
      <c r="AZ233" s="467"/>
      <c r="BA233" s="467"/>
      <c r="BB233" s="467"/>
      <c r="BC233" s="453"/>
      <c r="BD233" s="453"/>
      <c r="BE233" s="453"/>
      <c r="BM233"/>
      <c r="BN233"/>
      <c r="BO233"/>
      <c r="BP233"/>
      <c r="BQ233"/>
      <c r="BR233"/>
    </row>
    <row r="234" spans="1:70" s="369" customFormat="1" x14ac:dyDescent="0.2">
      <c r="A234" s="411"/>
      <c r="B234" s="334" t="s">
        <v>1294</v>
      </c>
      <c r="C234" s="334"/>
      <c r="D234" s="446">
        <f t="shared" ref="D234:AE234" si="626">SUM(D228:D231)</f>
        <v>150</v>
      </c>
      <c r="E234" s="446">
        <f t="shared" si="626"/>
        <v>150.20000000000002</v>
      </c>
      <c r="F234" s="446">
        <f t="shared" si="626"/>
        <v>150.30000000000001</v>
      </c>
      <c r="G234" s="446">
        <f t="shared" si="626"/>
        <v>154.20000000000002</v>
      </c>
      <c r="H234" s="446">
        <f t="shared" si="626"/>
        <v>147.80000000000001</v>
      </c>
      <c r="I234" s="446">
        <f t="shared" si="626"/>
        <v>147.1</v>
      </c>
      <c r="J234" s="446">
        <f t="shared" si="626"/>
        <v>155.1</v>
      </c>
      <c r="K234" s="446">
        <f t="shared" si="626"/>
        <v>161.1</v>
      </c>
      <c r="L234" s="446">
        <f t="shared" si="626"/>
        <v>154.30000000000001</v>
      </c>
      <c r="M234" s="446">
        <f t="shared" si="626"/>
        <v>156.79999999999998</v>
      </c>
      <c r="N234" s="446">
        <f t="shared" si="626"/>
        <v>157.30000000000001</v>
      </c>
      <c r="O234" s="446">
        <f t="shared" si="626"/>
        <v>161.1</v>
      </c>
      <c r="P234" s="446">
        <f t="shared" si="626"/>
        <v>154</v>
      </c>
      <c r="Q234" s="446">
        <f t="shared" si="626"/>
        <v>156.89999999999998</v>
      </c>
      <c r="R234" s="446">
        <f t="shared" si="626"/>
        <v>158.9</v>
      </c>
      <c r="S234" s="446">
        <f t="shared" si="626"/>
        <v>165.5</v>
      </c>
      <c r="T234" s="446">
        <f t="shared" si="626"/>
        <v>160.9</v>
      </c>
      <c r="U234" s="446">
        <f t="shared" si="626"/>
        <v>175.60000000000002</v>
      </c>
      <c r="V234" s="446">
        <f t="shared" si="626"/>
        <v>180</v>
      </c>
      <c r="W234" s="446">
        <f t="shared" si="626"/>
        <v>188.60000000000002</v>
      </c>
      <c r="X234" s="446">
        <f t="shared" si="626"/>
        <v>181.89999999999998</v>
      </c>
      <c r="Y234" s="446">
        <f t="shared" ref="Y234" si="627">SUM(Y228:Y231)</f>
        <v>186.39999999999998</v>
      </c>
      <c r="Z234" s="446">
        <f t="shared" ref="Z234:AA234" si="628">SUM(Z228:Z231)</f>
        <v>187.9</v>
      </c>
      <c r="AA234" s="446">
        <f t="shared" si="628"/>
        <v>195.7</v>
      </c>
      <c r="AB234" s="446">
        <f t="shared" ref="AB234" si="629">SUM(AB228:AB231)</f>
        <v>187.10000000000002</v>
      </c>
      <c r="AC234" s="446">
        <f t="shared" si="626"/>
        <v>187.88399999999999</v>
      </c>
      <c r="AD234" s="446">
        <f t="shared" si="626"/>
        <v>189.99399</v>
      </c>
      <c r="AE234" s="446">
        <f t="shared" si="626"/>
        <v>193.79386980000001</v>
      </c>
      <c r="AF234" s="446">
        <f t="shared" ref="AF234:AI234" si="630">SUM(AF228:AF231)</f>
        <v>193.24811691299999</v>
      </c>
      <c r="AG234" s="446">
        <f t="shared" si="630"/>
        <v>194.69825754759</v>
      </c>
      <c r="AH234" s="446">
        <f t="shared" si="630"/>
        <v>197.75883443437303</v>
      </c>
      <c r="AI234" s="446">
        <f t="shared" si="630"/>
        <v>202.84867961196727</v>
      </c>
      <c r="AJ234" s="446"/>
      <c r="AK234" s="446"/>
      <c r="AL234" s="446"/>
      <c r="AM234" s="446"/>
      <c r="AN234" s="446"/>
      <c r="AO234" s="446"/>
      <c r="AP234" s="446"/>
      <c r="AQ234" s="446"/>
      <c r="AR234" s="70"/>
      <c r="AS234" s="334" t="s">
        <v>1294</v>
      </c>
      <c r="AT234" s="334"/>
      <c r="AU234" s="235">
        <f>G234</f>
        <v>154.20000000000002</v>
      </c>
      <c r="AV234" s="235">
        <f>K234</f>
        <v>161.1</v>
      </c>
      <c r="AW234" s="235">
        <f>O234</f>
        <v>161.1</v>
      </c>
      <c r="AX234" s="235">
        <f>S234</f>
        <v>165.5</v>
      </c>
      <c r="AY234" s="235">
        <f>W234</f>
        <v>188.60000000000002</v>
      </c>
      <c r="AZ234" s="235">
        <f>AA234</f>
        <v>195.7</v>
      </c>
      <c r="BA234" s="235">
        <f>AE234</f>
        <v>193.79386980000001</v>
      </c>
      <c r="BB234" s="235">
        <f>AI234</f>
        <v>202.84867961196727</v>
      </c>
      <c r="BC234" s="446">
        <f>SUM(BC228:BC231)</f>
        <v>212.18618820511642</v>
      </c>
      <c r="BD234" s="446">
        <f>SUM(BD228:BD231)</f>
        <v>221.32212327991641</v>
      </c>
      <c r="BE234" s="446">
        <f>SUM(BE228:BE231)</f>
        <v>230.85592013503819</v>
      </c>
      <c r="BM234"/>
      <c r="BN234"/>
      <c r="BO234"/>
      <c r="BP234"/>
      <c r="BQ234"/>
      <c r="BR234"/>
    </row>
    <row r="235" spans="1:70" s="369" customFormat="1" x14ac:dyDescent="0.2">
      <c r="A235" s="411"/>
      <c r="B235" s="334"/>
      <c r="C235" s="334"/>
      <c r="D235" s="446"/>
      <c r="E235" s="446"/>
      <c r="F235" s="446"/>
      <c r="G235" s="446"/>
      <c r="H235" s="446"/>
      <c r="I235" s="446"/>
      <c r="J235" s="446"/>
      <c r="K235" s="446"/>
      <c r="L235" s="446"/>
      <c r="M235" s="446"/>
      <c r="N235" s="446"/>
      <c r="O235" s="446"/>
      <c r="P235" s="446"/>
      <c r="Q235" s="446"/>
      <c r="R235" s="446"/>
      <c r="S235" s="446"/>
      <c r="T235" s="446"/>
      <c r="U235" s="446"/>
      <c r="V235" s="446"/>
      <c r="W235" s="446"/>
      <c r="X235" s="453"/>
      <c r="Y235" s="453"/>
      <c r="Z235" s="453"/>
      <c r="AA235" s="460"/>
      <c r="AB235" s="461"/>
      <c r="AC235" s="453"/>
      <c r="AD235" s="453"/>
      <c r="AE235" s="453"/>
      <c r="AF235" s="453"/>
      <c r="AG235" s="453"/>
      <c r="AH235" s="453"/>
      <c r="AI235" s="453"/>
      <c r="AJ235" s="453"/>
      <c r="AK235" s="453"/>
      <c r="AL235" s="453"/>
      <c r="AM235" s="453"/>
      <c r="AN235" s="453"/>
      <c r="AO235" s="453"/>
      <c r="AP235" s="453"/>
      <c r="AQ235" s="453"/>
      <c r="AR235" s="70"/>
      <c r="AS235" s="334"/>
      <c r="AT235" s="334"/>
      <c r="BM235"/>
      <c r="BN235"/>
      <c r="BO235"/>
      <c r="BP235"/>
      <c r="BQ235"/>
      <c r="BR235"/>
    </row>
    <row r="236" spans="1:70" s="369" customFormat="1" x14ac:dyDescent="0.2">
      <c r="A236" s="411"/>
      <c r="B236" s="337" t="s">
        <v>505</v>
      </c>
      <c r="C236" s="366"/>
      <c r="D236" s="470"/>
      <c r="E236" s="470"/>
      <c r="F236" s="470"/>
      <c r="G236" s="470"/>
      <c r="H236" s="470"/>
      <c r="I236" s="470"/>
      <c r="J236" s="470"/>
      <c r="K236" s="470"/>
      <c r="L236" s="470"/>
      <c r="M236" s="470"/>
      <c r="N236" s="470"/>
      <c r="O236" s="470"/>
      <c r="P236" s="470"/>
      <c r="Q236" s="470"/>
      <c r="R236" s="470"/>
      <c r="S236" s="470"/>
      <c r="T236" s="470"/>
      <c r="U236" s="470"/>
      <c r="V236" s="470"/>
      <c r="W236" s="470"/>
      <c r="X236" s="367"/>
      <c r="Y236" s="367"/>
      <c r="Z236" s="367"/>
      <c r="AA236" s="367"/>
      <c r="AB236" s="368"/>
      <c r="AC236" s="367"/>
      <c r="AD236" s="367"/>
      <c r="AE236" s="367"/>
      <c r="AF236" s="367"/>
      <c r="AG236" s="367"/>
      <c r="AH236" s="367"/>
      <c r="AI236" s="367"/>
      <c r="AJ236" s="367"/>
      <c r="AK236" s="367"/>
      <c r="AL236" s="367"/>
      <c r="AM236" s="367"/>
      <c r="AN236" s="367"/>
      <c r="AO236" s="367"/>
      <c r="AP236" s="367"/>
      <c r="AQ236" s="367"/>
      <c r="AR236" s="70"/>
      <c r="AS236" s="337" t="s">
        <v>505</v>
      </c>
      <c r="AT236" s="366"/>
      <c r="AU236" s="12"/>
      <c r="AV236" s="12"/>
      <c r="AW236" s="12"/>
      <c r="AX236" s="12"/>
      <c r="AY236" s="12"/>
      <c r="AZ236" s="12"/>
      <c r="BA236" s="12"/>
      <c r="BB236" s="12"/>
      <c r="BC236" s="12"/>
      <c r="BD236" s="12"/>
      <c r="BE236" s="12"/>
      <c r="BM236"/>
      <c r="BN236"/>
      <c r="BO236"/>
      <c r="BP236"/>
      <c r="BQ236"/>
      <c r="BR236"/>
    </row>
    <row r="237" spans="1:70" s="369" customFormat="1" x14ac:dyDescent="0.2">
      <c r="A237" s="411"/>
      <c r="B237" s="318" t="s">
        <v>491</v>
      </c>
      <c r="C237" s="334"/>
      <c r="D237" s="446"/>
      <c r="E237" s="446"/>
      <c r="F237" s="446"/>
      <c r="G237" s="446"/>
      <c r="H237" s="446"/>
      <c r="I237" s="446"/>
      <c r="J237" s="446"/>
      <c r="K237" s="446"/>
      <c r="L237" s="446"/>
      <c r="M237" s="446"/>
      <c r="N237" s="446"/>
      <c r="O237" s="446"/>
      <c r="P237" s="446"/>
      <c r="Q237" s="446"/>
      <c r="R237" s="446"/>
      <c r="S237" s="446"/>
      <c r="T237" s="446"/>
      <c r="U237" s="446"/>
      <c r="V237" s="446"/>
      <c r="W237" s="446"/>
      <c r="X237" s="321"/>
      <c r="Y237" s="321"/>
      <c r="Z237" s="321"/>
      <c r="AA237" s="412"/>
      <c r="AB237" s="412"/>
      <c r="AC237" s="321"/>
      <c r="AD237" s="321"/>
      <c r="AE237" s="321"/>
      <c r="AF237" s="321"/>
      <c r="AG237" s="321"/>
      <c r="AH237" s="321"/>
      <c r="AI237" s="321"/>
      <c r="AJ237" s="321"/>
      <c r="AK237" s="321"/>
      <c r="AL237" s="321"/>
      <c r="AM237" s="321"/>
      <c r="AN237" s="321"/>
      <c r="AO237" s="321"/>
      <c r="AP237" s="321"/>
      <c r="AQ237" s="321"/>
      <c r="AR237" s="70"/>
      <c r="AS237" s="318" t="s">
        <v>491</v>
      </c>
      <c r="AT237" s="334"/>
      <c r="BM237"/>
      <c r="BN237"/>
      <c r="BO237"/>
      <c r="BP237"/>
      <c r="BQ237"/>
      <c r="BR237"/>
    </row>
    <row r="238" spans="1:70" s="369" customFormat="1" x14ac:dyDescent="0.2">
      <c r="A238" s="411"/>
      <c r="B238" s="334" t="s">
        <v>1295</v>
      </c>
      <c r="C238" s="321"/>
      <c r="D238" s="471">
        <v>22.7</v>
      </c>
      <c r="E238" s="471">
        <v>22.9</v>
      </c>
      <c r="F238" s="471">
        <v>23.1</v>
      </c>
      <c r="G238" s="471">
        <v>23.2</v>
      </c>
      <c r="H238" s="471">
        <v>23.4</v>
      </c>
      <c r="I238" s="471">
        <v>23.6</v>
      </c>
      <c r="J238" s="471">
        <v>23.8</v>
      </c>
      <c r="K238" s="471">
        <v>23.9</v>
      </c>
      <c r="L238" s="471">
        <v>24</v>
      </c>
      <c r="M238" s="471">
        <v>24.1</v>
      </c>
      <c r="N238" s="471">
        <v>23.5</v>
      </c>
      <c r="O238" s="471">
        <v>23.6</v>
      </c>
      <c r="P238" s="471">
        <v>23.7</v>
      </c>
      <c r="Q238" s="471">
        <v>23.2</v>
      </c>
      <c r="R238" s="471">
        <v>23.3</v>
      </c>
      <c r="S238" s="471">
        <v>23.5</v>
      </c>
      <c r="T238" s="471">
        <v>23.8</v>
      </c>
      <c r="U238" s="471">
        <v>31.8</v>
      </c>
      <c r="V238" s="471">
        <v>32.5</v>
      </c>
      <c r="W238" s="471">
        <v>32.9</v>
      </c>
      <c r="X238" s="471">
        <v>33.200000000000003</v>
      </c>
      <c r="Y238" s="471">
        <v>33.6</v>
      </c>
      <c r="Z238" s="471">
        <v>33.9</v>
      </c>
      <c r="AA238" s="471">
        <v>34.200000000000003</v>
      </c>
      <c r="AB238" s="471">
        <v>33.9</v>
      </c>
      <c r="AC238" s="351" t="s">
        <v>226</v>
      </c>
      <c r="AD238" s="351" t="s">
        <v>226</v>
      </c>
      <c r="AE238" s="351" t="s">
        <v>226</v>
      </c>
      <c r="AF238" s="351" t="s">
        <v>226</v>
      </c>
      <c r="AG238" s="351" t="s">
        <v>226</v>
      </c>
      <c r="AH238" s="351" t="s">
        <v>226</v>
      </c>
      <c r="AI238" s="351" t="s">
        <v>226</v>
      </c>
      <c r="AJ238" s="351"/>
      <c r="AK238" s="351"/>
      <c r="AL238" s="351"/>
      <c r="AM238" s="351"/>
      <c r="AN238" s="351"/>
      <c r="AO238" s="351"/>
      <c r="AP238" s="351"/>
      <c r="AQ238" s="351"/>
      <c r="AR238" s="70"/>
      <c r="AS238" s="334" t="s">
        <v>1295</v>
      </c>
      <c r="AT238" s="321"/>
      <c r="AU238" s="235">
        <f>G238</f>
        <v>23.2</v>
      </c>
      <c r="AV238" s="235">
        <f>K238</f>
        <v>23.9</v>
      </c>
      <c r="AW238" s="235">
        <f>O238</f>
        <v>23.6</v>
      </c>
      <c r="AX238" s="235">
        <f>S238</f>
        <v>23.5</v>
      </c>
      <c r="AY238" s="235">
        <f>W238</f>
        <v>32.9</v>
      </c>
      <c r="AZ238" s="253">
        <f>AA238</f>
        <v>34.200000000000003</v>
      </c>
      <c r="BA238" s="253" t="str">
        <f>AE238</f>
        <v>NF</v>
      </c>
      <c r="BB238" s="253" t="str">
        <f>AI238</f>
        <v>NF</v>
      </c>
      <c r="BC238" s="351" t="s">
        <v>226</v>
      </c>
      <c r="BD238" s="351" t="s">
        <v>226</v>
      </c>
      <c r="BE238" s="351" t="s">
        <v>226</v>
      </c>
      <c r="BM238"/>
      <c r="BN238"/>
      <c r="BO238"/>
      <c r="BP238"/>
      <c r="BQ238"/>
      <c r="BR238"/>
    </row>
    <row r="239" spans="1:70" s="369" customFormat="1" x14ac:dyDescent="0.2">
      <c r="A239" s="411"/>
      <c r="B239" s="375" t="s">
        <v>1296</v>
      </c>
      <c r="C239" s="376"/>
      <c r="D239" s="472">
        <v>82.7</v>
      </c>
      <c r="E239" s="472">
        <v>81.599999999999994</v>
      </c>
      <c r="F239" s="472">
        <v>80.900000000000006</v>
      </c>
      <c r="G239" s="472">
        <v>80.599999999999994</v>
      </c>
      <c r="H239" s="472">
        <v>79.400000000000006</v>
      </c>
      <c r="I239" s="472">
        <v>77.7</v>
      </c>
      <c r="J239" s="472">
        <v>91.2</v>
      </c>
      <c r="K239" s="472">
        <v>91.6</v>
      </c>
      <c r="L239" s="472">
        <v>89.7</v>
      </c>
      <c r="M239" s="472">
        <v>90.3</v>
      </c>
      <c r="N239" s="472">
        <v>88.6</v>
      </c>
      <c r="O239" s="472">
        <v>89.5</v>
      </c>
      <c r="P239" s="472">
        <v>88.7</v>
      </c>
      <c r="Q239" s="472">
        <v>89.5</v>
      </c>
      <c r="R239" s="472">
        <v>89.5</v>
      </c>
      <c r="S239" s="472">
        <v>89.9</v>
      </c>
      <c r="T239" s="472">
        <v>88.1</v>
      </c>
      <c r="U239" s="472">
        <v>88.9</v>
      </c>
      <c r="V239" s="472">
        <v>88.3</v>
      </c>
      <c r="W239" s="472">
        <v>87.7</v>
      </c>
      <c r="X239" s="472">
        <v>86.8</v>
      </c>
      <c r="Y239" s="472">
        <v>86.5</v>
      </c>
      <c r="Z239" s="472">
        <v>86</v>
      </c>
      <c r="AA239" s="472">
        <v>86.4</v>
      </c>
      <c r="AB239" s="472">
        <v>85.4</v>
      </c>
      <c r="AC239" s="473" t="s">
        <v>226</v>
      </c>
      <c r="AD239" s="473" t="s">
        <v>226</v>
      </c>
      <c r="AE239" s="473" t="s">
        <v>226</v>
      </c>
      <c r="AF239" s="473" t="s">
        <v>226</v>
      </c>
      <c r="AG239" s="473" t="s">
        <v>226</v>
      </c>
      <c r="AH239" s="473" t="s">
        <v>226</v>
      </c>
      <c r="AI239" s="473" t="s">
        <v>226</v>
      </c>
      <c r="AJ239" s="351"/>
      <c r="AK239" s="351"/>
      <c r="AL239" s="351"/>
      <c r="AM239" s="351"/>
      <c r="AN239" s="351"/>
      <c r="AO239" s="351"/>
      <c r="AP239" s="351"/>
      <c r="AQ239" s="351"/>
      <c r="AR239" s="70"/>
      <c r="AS239" s="375" t="s">
        <v>1296</v>
      </c>
      <c r="AT239" s="376"/>
      <c r="AU239" s="236">
        <f>G239</f>
        <v>80.599999999999994</v>
      </c>
      <c r="AV239" s="236">
        <f>K239</f>
        <v>91.6</v>
      </c>
      <c r="AW239" s="236">
        <f>O239</f>
        <v>89.5</v>
      </c>
      <c r="AX239" s="236">
        <f>S239</f>
        <v>89.9</v>
      </c>
      <c r="AY239" s="236">
        <f>W239</f>
        <v>87.7</v>
      </c>
      <c r="AZ239" s="254">
        <f>AA239</f>
        <v>86.4</v>
      </c>
      <c r="BA239" s="254" t="str">
        <f>AE239</f>
        <v>NF</v>
      </c>
      <c r="BB239" s="254" t="str">
        <f>AI239</f>
        <v>NF</v>
      </c>
      <c r="BC239" s="473" t="s">
        <v>226</v>
      </c>
      <c r="BD239" s="473" t="s">
        <v>226</v>
      </c>
      <c r="BE239" s="473" t="s">
        <v>226</v>
      </c>
      <c r="BM239"/>
      <c r="BN239"/>
      <c r="BO239"/>
      <c r="BP239"/>
      <c r="BQ239"/>
      <c r="BR239"/>
    </row>
    <row r="240" spans="1:70" s="369" customFormat="1" x14ac:dyDescent="0.2">
      <c r="A240" s="411"/>
      <c r="B240" s="334"/>
      <c r="C240" s="321" t="s">
        <v>1297</v>
      </c>
      <c r="D240" s="474">
        <f t="shared" ref="D240:X240" si="631">SUM(D238:D239)</f>
        <v>105.4</v>
      </c>
      <c r="E240" s="474">
        <f t="shared" si="631"/>
        <v>104.5</v>
      </c>
      <c r="F240" s="474">
        <f t="shared" si="631"/>
        <v>104</v>
      </c>
      <c r="G240" s="474">
        <f t="shared" si="631"/>
        <v>103.8</v>
      </c>
      <c r="H240" s="474">
        <f t="shared" si="631"/>
        <v>102.80000000000001</v>
      </c>
      <c r="I240" s="474">
        <f t="shared" si="631"/>
        <v>101.30000000000001</v>
      </c>
      <c r="J240" s="474">
        <f t="shared" si="631"/>
        <v>115</v>
      </c>
      <c r="K240" s="474">
        <f t="shared" si="631"/>
        <v>115.5</v>
      </c>
      <c r="L240" s="474">
        <f t="shared" si="631"/>
        <v>113.7</v>
      </c>
      <c r="M240" s="474">
        <f t="shared" si="631"/>
        <v>114.4</v>
      </c>
      <c r="N240" s="474">
        <f t="shared" si="631"/>
        <v>112.1</v>
      </c>
      <c r="O240" s="474">
        <f t="shared" si="631"/>
        <v>113.1</v>
      </c>
      <c r="P240" s="474">
        <f t="shared" si="631"/>
        <v>112.4</v>
      </c>
      <c r="Q240" s="474">
        <f t="shared" si="631"/>
        <v>112.7</v>
      </c>
      <c r="R240" s="474">
        <f t="shared" si="631"/>
        <v>112.8</v>
      </c>
      <c r="S240" s="474">
        <f t="shared" si="631"/>
        <v>113.4</v>
      </c>
      <c r="T240" s="474">
        <f t="shared" si="631"/>
        <v>111.89999999999999</v>
      </c>
      <c r="U240" s="474">
        <f t="shared" si="631"/>
        <v>120.7</v>
      </c>
      <c r="V240" s="474">
        <f t="shared" si="631"/>
        <v>120.8</v>
      </c>
      <c r="W240" s="474">
        <f t="shared" si="631"/>
        <v>120.6</v>
      </c>
      <c r="X240" s="474">
        <f t="shared" si="631"/>
        <v>120</v>
      </c>
      <c r="Y240" s="474">
        <f t="shared" ref="Y240:Z240" si="632">SUM(Y238:Y239)</f>
        <v>120.1</v>
      </c>
      <c r="Z240" s="474">
        <f t="shared" si="632"/>
        <v>119.9</v>
      </c>
      <c r="AA240" s="474">
        <f t="shared" ref="AA240:AB240" si="633">SUM(AA238:AA239)</f>
        <v>120.60000000000001</v>
      </c>
      <c r="AB240" s="474">
        <f t="shared" si="633"/>
        <v>119.30000000000001</v>
      </c>
      <c r="AC240" s="351" t="s">
        <v>226</v>
      </c>
      <c r="AD240" s="351" t="s">
        <v>226</v>
      </c>
      <c r="AE240" s="351" t="s">
        <v>226</v>
      </c>
      <c r="AF240" s="351" t="s">
        <v>226</v>
      </c>
      <c r="AG240" s="351" t="s">
        <v>226</v>
      </c>
      <c r="AH240" s="351" t="s">
        <v>226</v>
      </c>
      <c r="AI240" s="351" t="s">
        <v>226</v>
      </c>
      <c r="AJ240" s="351"/>
      <c r="AK240" s="351"/>
      <c r="AL240" s="351"/>
      <c r="AM240" s="351"/>
      <c r="AN240" s="351"/>
      <c r="AO240" s="351"/>
      <c r="AP240" s="351"/>
      <c r="AQ240" s="351"/>
      <c r="AR240" s="70"/>
      <c r="AS240" s="334"/>
      <c r="AT240" s="321" t="s">
        <v>1297</v>
      </c>
      <c r="AU240" s="474">
        <f>SUM(AU238:AU239)</f>
        <v>103.8</v>
      </c>
      <c r="AV240" s="474">
        <f>SUM(AV238:AV239)</f>
        <v>115.5</v>
      </c>
      <c r="AW240" s="474">
        <f>SUM(AW238:AW239)</f>
        <v>113.1</v>
      </c>
      <c r="AX240" s="474">
        <f>SUM(AX238:AX239)</f>
        <v>113.4</v>
      </c>
      <c r="AY240" s="474">
        <f>SUM(AY238:AY239)</f>
        <v>120.6</v>
      </c>
      <c r="AZ240" s="253">
        <f>AA240</f>
        <v>120.60000000000001</v>
      </c>
      <c r="BA240" s="253" t="str">
        <f>AE240</f>
        <v>NF</v>
      </c>
      <c r="BB240" s="253" t="str">
        <f>AI240</f>
        <v>NF</v>
      </c>
      <c r="BC240" s="351" t="s">
        <v>226</v>
      </c>
      <c r="BD240" s="351" t="s">
        <v>226</v>
      </c>
      <c r="BE240" s="351" t="s">
        <v>226</v>
      </c>
      <c r="BM240"/>
      <c r="BN240"/>
      <c r="BO240"/>
      <c r="BP240"/>
      <c r="BQ240"/>
      <c r="BR240"/>
    </row>
    <row r="241" spans="1:70" s="369" customFormat="1" x14ac:dyDescent="0.2">
      <c r="A241" s="411"/>
      <c r="B241" s="334"/>
      <c r="C241" s="321"/>
      <c r="D241" s="474"/>
      <c r="E241" s="474"/>
      <c r="F241" s="474"/>
      <c r="G241" s="474"/>
      <c r="H241" s="474"/>
      <c r="I241" s="474"/>
      <c r="J241" s="474"/>
      <c r="K241" s="474"/>
      <c r="L241" s="474"/>
      <c r="M241" s="474"/>
      <c r="N241" s="474"/>
      <c r="O241" s="474"/>
      <c r="P241" s="474"/>
      <c r="Q241" s="474"/>
      <c r="R241" s="474"/>
      <c r="S241" s="474"/>
      <c r="T241" s="474"/>
      <c r="U241" s="474"/>
      <c r="V241" s="474"/>
      <c r="W241" s="474"/>
      <c r="X241" s="474"/>
      <c r="Y241" s="474"/>
      <c r="Z241" s="474"/>
      <c r="AA241" s="474"/>
      <c r="AB241" s="474"/>
      <c r="AC241" s="321"/>
      <c r="AD241" s="321"/>
      <c r="AE241" s="321"/>
      <c r="AF241" s="321"/>
      <c r="AG241" s="321"/>
      <c r="AH241" s="321"/>
      <c r="AI241" s="321"/>
      <c r="AJ241" s="321"/>
      <c r="AK241" s="321"/>
      <c r="AL241" s="321"/>
      <c r="AM241" s="321"/>
      <c r="AN241" s="321"/>
      <c r="AO241" s="321"/>
      <c r="AP241" s="321"/>
      <c r="AQ241" s="321"/>
      <c r="AR241" s="70"/>
      <c r="AS241" s="334"/>
      <c r="AT241" s="321"/>
      <c r="BM241"/>
      <c r="BN241"/>
      <c r="BO241"/>
      <c r="BP241"/>
      <c r="BQ241"/>
      <c r="BR241"/>
    </row>
    <row r="242" spans="1:70" s="369" customFormat="1" x14ac:dyDescent="0.2">
      <c r="A242" s="411"/>
      <c r="B242" s="450" t="s">
        <v>217</v>
      </c>
      <c r="C242" s="321"/>
      <c r="D242" s="474"/>
      <c r="E242" s="474"/>
      <c r="F242" s="474"/>
      <c r="G242" s="474"/>
      <c r="H242" s="474"/>
      <c r="I242" s="474"/>
      <c r="J242" s="474"/>
      <c r="K242" s="474"/>
      <c r="L242" s="474"/>
      <c r="M242" s="474"/>
      <c r="N242" s="474"/>
      <c r="O242" s="474"/>
      <c r="P242" s="474"/>
      <c r="Q242" s="474"/>
      <c r="R242" s="474"/>
      <c r="S242" s="474"/>
      <c r="T242" s="474"/>
      <c r="U242" s="474"/>
      <c r="V242" s="474"/>
      <c r="W242" s="474"/>
      <c r="X242" s="474"/>
      <c r="Y242" s="474"/>
      <c r="Z242" s="474"/>
      <c r="AA242" s="474"/>
      <c r="AB242" s="474"/>
      <c r="AC242" s="321"/>
      <c r="AD242" s="321"/>
      <c r="AE242" s="321"/>
      <c r="AF242" s="321"/>
      <c r="AG242" s="321"/>
      <c r="AH242" s="321"/>
      <c r="AI242" s="321"/>
      <c r="AJ242" s="321"/>
      <c r="AK242" s="321"/>
      <c r="AL242" s="321"/>
      <c r="AM242" s="321"/>
      <c r="AN242" s="321"/>
      <c r="AO242" s="321"/>
      <c r="AP242" s="321"/>
      <c r="AQ242" s="321"/>
      <c r="AR242" s="70"/>
      <c r="AS242" s="450" t="s">
        <v>217</v>
      </c>
      <c r="AT242" s="321"/>
      <c r="BM242"/>
      <c r="BN242"/>
      <c r="BO242"/>
      <c r="BP242"/>
      <c r="BQ242"/>
      <c r="BR242"/>
    </row>
    <row r="243" spans="1:70" s="369" customFormat="1" x14ac:dyDescent="0.2">
      <c r="A243" s="411"/>
      <c r="B243" s="334" t="s">
        <v>492</v>
      </c>
      <c r="C243" s="321"/>
      <c r="D243" s="449">
        <v>38.200000000000003</v>
      </c>
      <c r="E243" s="449">
        <v>40.799999999999997</v>
      </c>
      <c r="F243" s="449">
        <v>40.299999999999997</v>
      </c>
      <c r="G243" s="449">
        <v>41.6</v>
      </c>
      <c r="H243" s="449">
        <v>38.200000000000003</v>
      </c>
      <c r="I243" s="449">
        <v>41.9</v>
      </c>
      <c r="J243" s="449">
        <v>41.7</v>
      </c>
      <c r="K243" s="449">
        <v>43.4</v>
      </c>
      <c r="L243" s="449">
        <v>39.6</v>
      </c>
      <c r="M243" s="449">
        <v>43.9</v>
      </c>
      <c r="N243" s="449">
        <v>43.3</v>
      </c>
      <c r="O243" s="449">
        <v>45.1</v>
      </c>
      <c r="P243" s="449">
        <v>40.9</v>
      </c>
      <c r="Q243" s="449">
        <v>46.1</v>
      </c>
      <c r="R243" s="449">
        <v>46.6</v>
      </c>
      <c r="S243" s="449">
        <v>49</v>
      </c>
      <c r="T243" s="449">
        <v>45.9</v>
      </c>
      <c r="U243" s="449">
        <v>53.1</v>
      </c>
      <c r="V243" s="449">
        <v>73.099999999999994</v>
      </c>
      <c r="W243" s="449">
        <v>78.5</v>
      </c>
      <c r="X243" s="449">
        <v>72.5</v>
      </c>
      <c r="Y243" s="449">
        <v>80.5</v>
      </c>
      <c r="Z243" s="449">
        <v>80.400000000000006</v>
      </c>
      <c r="AA243" s="449">
        <v>86.3</v>
      </c>
      <c r="AB243" s="449">
        <v>78.599999999999994</v>
      </c>
      <c r="AC243" s="458">
        <f>Y243*(1+Drivers!AC90)</f>
        <v>86.940000000000012</v>
      </c>
      <c r="AD243" s="458">
        <f>Z243*(1+Drivers!AD90)</f>
        <v>86.832000000000008</v>
      </c>
      <c r="AE243" s="458">
        <f>AA243*(1+Drivers!AE90)</f>
        <v>93.204000000000008</v>
      </c>
      <c r="AF243" s="458">
        <f>AB243*(1+Drivers!AF90)</f>
        <v>84.102000000000004</v>
      </c>
      <c r="AG243" s="458">
        <f>AC243*(1+Drivers!AG90)</f>
        <v>93.025800000000018</v>
      </c>
      <c r="AH243" s="458">
        <f>AD243*(1+Drivers!AH90)</f>
        <v>92.910240000000016</v>
      </c>
      <c r="AI243" s="458">
        <f>AE243*(1+Drivers!AI90)</f>
        <v>99.728280000000012</v>
      </c>
      <c r="AJ243" s="458"/>
      <c r="AK243" s="458"/>
      <c r="AL243" s="458"/>
      <c r="AM243" s="458"/>
      <c r="AN243" s="458"/>
      <c r="AO243" s="458"/>
      <c r="AP243" s="458"/>
      <c r="AQ243" s="458"/>
      <c r="AR243" s="70"/>
      <c r="AS243" s="334" t="s">
        <v>492</v>
      </c>
      <c r="AT243" s="321"/>
      <c r="AU243" s="235">
        <f>SUM(D243:G243)</f>
        <v>160.9</v>
      </c>
      <c r="AV243" s="235">
        <f>SUM(H243:K243)</f>
        <v>165.2</v>
      </c>
      <c r="AW243" s="235">
        <f>SUM(L243:O243)</f>
        <v>171.9</v>
      </c>
      <c r="AX243" s="235">
        <f>SUM(P243:S243)</f>
        <v>182.6</v>
      </c>
      <c r="AY243" s="235">
        <f>SUM(T243:W243)</f>
        <v>250.6</v>
      </c>
      <c r="AZ243" s="235">
        <f>SUM(X243:AA243)</f>
        <v>319.7</v>
      </c>
      <c r="BA243" s="235">
        <f>SUM(AB243:AE243)</f>
        <v>345.57600000000002</v>
      </c>
      <c r="BB243" s="235">
        <f>SUM(AF243:AI243)</f>
        <v>369.76632000000006</v>
      </c>
      <c r="BC243" s="458">
        <f>BB243*(1+Drivers!BC90)</f>
        <v>391.95229920000008</v>
      </c>
      <c r="BD243" s="458">
        <f>BC243*(1+Drivers!BD90)</f>
        <v>415.46943715200013</v>
      </c>
      <c r="BE243" s="458">
        <f>BD243*(1+Drivers!BE90)</f>
        <v>440.39760338112018</v>
      </c>
      <c r="BM243"/>
      <c r="BN243"/>
      <c r="BO243"/>
      <c r="BP243"/>
      <c r="BQ243"/>
      <c r="BR243"/>
    </row>
    <row r="244" spans="1:70" s="369" customFormat="1" x14ac:dyDescent="0.2">
      <c r="A244" s="411"/>
      <c r="B244" s="375" t="s">
        <v>493</v>
      </c>
      <c r="C244" s="376"/>
      <c r="D244" s="469">
        <v>15.5</v>
      </c>
      <c r="E244" s="469">
        <v>18.100000000000001</v>
      </c>
      <c r="F244" s="469">
        <v>17.5</v>
      </c>
      <c r="G244" s="469">
        <v>20.399999999999999</v>
      </c>
      <c r="H244" s="469">
        <v>15.3</v>
      </c>
      <c r="I244" s="469">
        <v>18.3</v>
      </c>
      <c r="J244" s="469">
        <v>18.100000000000001</v>
      </c>
      <c r="K244" s="469">
        <v>23.3</v>
      </c>
      <c r="L244" s="469">
        <v>16.7</v>
      </c>
      <c r="M244" s="469">
        <v>20.399999999999999</v>
      </c>
      <c r="N244" s="469">
        <v>19.7</v>
      </c>
      <c r="O244" s="469">
        <v>23.5</v>
      </c>
      <c r="P244" s="469">
        <v>16.5</v>
      </c>
      <c r="Q244" s="469">
        <v>20.2</v>
      </c>
      <c r="R244" s="469">
        <v>19.8</v>
      </c>
      <c r="S244" s="469">
        <v>23.5</v>
      </c>
      <c r="T244" s="469">
        <v>16.899999999999999</v>
      </c>
      <c r="U244" s="469">
        <v>20.100000000000001</v>
      </c>
      <c r="V244" s="469">
        <v>19.7</v>
      </c>
      <c r="W244" s="469">
        <v>23.2</v>
      </c>
      <c r="X244" s="469">
        <v>16.899999999999999</v>
      </c>
      <c r="Y244" s="469">
        <v>20.6</v>
      </c>
      <c r="Z244" s="469">
        <v>20</v>
      </c>
      <c r="AA244" s="469">
        <v>23.6</v>
      </c>
      <c r="AB244" s="469">
        <v>17.399999999999999</v>
      </c>
      <c r="AC244" s="475">
        <f>Y244*(1+Drivers!AC91)</f>
        <v>21.114999999999998</v>
      </c>
      <c r="AD244" s="475">
        <f>Z244*(1+Drivers!AD91)</f>
        <v>20.6</v>
      </c>
      <c r="AE244" s="475">
        <f>AA244*(1+Drivers!AE91)</f>
        <v>24.308000000000003</v>
      </c>
      <c r="AF244" s="475">
        <f>AB244*(1+Drivers!AF91)</f>
        <v>17.922000000000001</v>
      </c>
      <c r="AG244" s="475">
        <f>AC244*(1+Drivers!AG91)</f>
        <v>21.748449999999998</v>
      </c>
      <c r="AH244" s="475">
        <f>AD244*(1+Drivers!AH91)</f>
        <v>21.218000000000004</v>
      </c>
      <c r="AI244" s="475">
        <f>AE244*(1+Drivers!AI91)</f>
        <v>25.037240000000004</v>
      </c>
      <c r="AJ244" s="787"/>
      <c r="AK244" s="787"/>
      <c r="AL244" s="787"/>
      <c r="AM244" s="787"/>
      <c r="AN244" s="787"/>
      <c r="AO244" s="787"/>
      <c r="AP244" s="787"/>
      <c r="AQ244" s="787"/>
      <c r="AR244" s="70"/>
      <c r="AS244" s="375" t="s">
        <v>493</v>
      </c>
      <c r="AT244" s="376"/>
      <c r="AU244" s="236">
        <f>SUM(D244:G244)</f>
        <v>71.5</v>
      </c>
      <c r="AV244" s="236">
        <f>SUM(H244:K244)</f>
        <v>75</v>
      </c>
      <c r="AW244" s="236">
        <f>SUM(L244:O244)</f>
        <v>80.3</v>
      </c>
      <c r="AX244" s="236">
        <f>SUM(P244:S244)</f>
        <v>80</v>
      </c>
      <c r="AY244" s="236">
        <f>SUM(T244:W244)</f>
        <v>79.900000000000006</v>
      </c>
      <c r="AZ244" s="236">
        <f>SUM(X244:AA244)</f>
        <v>81.099999999999994</v>
      </c>
      <c r="BA244" s="236">
        <f>SUM(AB244:AE244)</f>
        <v>83.423000000000002</v>
      </c>
      <c r="BB244" s="236">
        <f>SUM(AF244:AI244)</f>
        <v>85.925690000000003</v>
      </c>
      <c r="BC244" s="475">
        <f>BB244*(1+Drivers!BC91)</f>
        <v>89.362717600000011</v>
      </c>
      <c r="BD244" s="475">
        <f>BC244*(1+Drivers!BD91)</f>
        <v>92.937226304000021</v>
      </c>
      <c r="BE244" s="475">
        <f>BD244*(1+Drivers!BE91)</f>
        <v>96.654715356160025</v>
      </c>
      <c r="BM244"/>
      <c r="BN244"/>
      <c r="BO244"/>
      <c r="BP244"/>
      <c r="BQ244"/>
      <c r="BR244"/>
    </row>
    <row r="245" spans="1:70" s="369" customFormat="1" x14ac:dyDescent="0.2">
      <c r="A245" s="411"/>
      <c r="B245" s="334"/>
      <c r="C245" s="334" t="s">
        <v>494</v>
      </c>
      <c r="D245" s="474">
        <f t="shared" ref="D245:AE245" si="634">SUM(D243:D244)</f>
        <v>53.7</v>
      </c>
      <c r="E245" s="474">
        <f t="shared" si="634"/>
        <v>58.9</v>
      </c>
      <c r="F245" s="474">
        <f t="shared" si="634"/>
        <v>57.8</v>
      </c>
      <c r="G245" s="474">
        <f t="shared" si="634"/>
        <v>62</v>
      </c>
      <c r="H245" s="474">
        <f t="shared" si="634"/>
        <v>53.5</v>
      </c>
      <c r="I245" s="474">
        <f t="shared" si="634"/>
        <v>60.2</v>
      </c>
      <c r="J245" s="474">
        <f t="shared" si="634"/>
        <v>59.800000000000004</v>
      </c>
      <c r="K245" s="474">
        <f t="shared" si="634"/>
        <v>66.7</v>
      </c>
      <c r="L245" s="474">
        <f t="shared" si="634"/>
        <v>56.3</v>
      </c>
      <c r="M245" s="474">
        <f t="shared" si="634"/>
        <v>64.3</v>
      </c>
      <c r="N245" s="474">
        <f t="shared" si="634"/>
        <v>63</v>
      </c>
      <c r="O245" s="474">
        <f t="shared" si="634"/>
        <v>68.599999999999994</v>
      </c>
      <c r="P245" s="474">
        <f t="shared" si="634"/>
        <v>57.4</v>
      </c>
      <c r="Q245" s="474">
        <f t="shared" si="634"/>
        <v>66.3</v>
      </c>
      <c r="R245" s="474">
        <f t="shared" si="634"/>
        <v>66.400000000000006</v>
      </c>
      <c r="S245" s="474">
        <f t="shared" si="634"/>
        <v>72.5</v>
      </c>
      <c r="T245" s="474">
        <f t="shared" si="634"/>
        <v>62.8</v>
      </c>
      <c r="U245" s="474">
        <f t="shared" si="634"/>
        <v>73.2</v>
      </c>
      <c r="V245" s="474">
        <f t="shared" si="634"/>
        <v>92.8</v>
      </c>
      <c r="W245" s="474">
        <f t="shared" si="634"/>
        <v>101.7</v>
      </c>
      <c r="X245" s="474">
        <f t="shared" si="634"/>
        <v>89.4</v>
      </c>
      <c r="Y245" s="474">
        <f t="shared" ref="Y245:Z245" si="635">SUM(Y243:Y244)</f>
        <v>101.1</v>
      </c>
      <c r="Z245" s="474">
        <f t="shared" si="635"/>
        <v>100.4</v>
      </c>
      <c r="AA245" s="474">
        <f t="shared" ref="AA245:AB245" si="636">SUM(AA243:AA244)</f>
        <v>109.9</v>
      </c>
      <c r="AB245" s="474">
        <f t="shared" si="636"/>
        <v>96</v>
      </c>
      <c r="AC245" s="474">
        <f t="shared" si="634"/>
        <v>108.05500000000001</v>
      </c>
      <c r="AD245" s="474">
        <f t="shared" si="634"/>
        <v>107.43200000000002</v>
      </c>
      <c r="AE245" s="474">
        <f t="shared" si="634"/>
        <v>117.51200000000001</v>
      </c>
      <c r="AF245" s="474">
        <f t="shared" ref="AF245:AI245" si="637">SUM(AF243:AF244)</f>
        <v>102.024</v>
      </c>
      <c r="AG245" s="474">
        <f t="shared" si="637"/>
        <v>114.77425000000002</v>
      </c>
      <c r="AH245" s="474">
        <f t="shared" si="637"/>
        <v>114.12824000000002</v>
      </c>
      <c r="AI245" s="474">
        <f t="shared" si="637"/>
        <v>124.76552000000001</v>
      </c>
      <c r="AJ245" s="474"/>
      <c r="AK245" s="474"/>
      <c r="AL245" s="474"/>
      <c r="AM245" s="474"/>
      <c r="AN245" s="474"/>
      <c r="AO245" s="474"/>
      <c r="AP245" s="474"/>
      <c r="AQ245" s="474"/>
      <c r="AR245" s="70"/>
      <c r="AS245" s="334"/>
      <c r="AT245" s="334" t="s">
        <v>494</v>
      </c>
      <c r="AU245" s="474">
        <f t="shared" ref="AU245:BD245" si="638">SUM(AU243:AU244)</f>
        <v>232.4</v>
      </c>
      <c r="AV245" s="474">
        <f t="shared" si="638"/>
        <v>240.2</v>
      </c>
      <c r="AW245" s="474">
        <f t="shared" si="638"/>
        <v>252.2</v>
      </c>
      <c r="AX245" s="474">
        <f t="shared" si="638"/>
        <v>262.60000000000002</v>
      </c>
      <c r="AY245" s="474">
        <f t="shared" si="638"/>
        <v>330.5</v>
      </c>
      <c r="AZ245" s="474">
        <f t="shared" si="638"/>
        <v>400.79999999999995</v>
      </c>
      <c r="BA245" s="474">
        <f t="shared" si="638"/>
        <v>428.99900000000002</v>
      </c>
      <c r="BB245" s="474">
        <f t="shared" ref="BB245" si="639">SUM(BB243:BB244)</f>
        <v>455.6920100000001</v>
      </c>
      <c r="BC245" s="474">
        <f t="shared" si="638"/>
        <v>481.31501680000008</v>
      </c>
      <c r="BD245" s="474">
        <f t="shared" si="638"/>
        <v>508.40666345600016</v>
      </c>
      <c r="BE245" s="474">
        <f t="shared" ref="BE245" si="640">SUM(BE243:BE244)</f>
        <v>537.05231873728019</v>
      </c>
      <c r="BM245"/>
      <c r="BN245"/>
      <c r="BO245"/>
      <c r="BP245"/>
      <c r="BQ245"/>
      <c r="BR245"/>
    </row>
    <row r="246" spans="1:70" s="369" customFormat="1" x14ac:dyDescent="0.2">
      <c r="A246" s="411"/>
      <c r="B246" s="334"/>
      <c r="C246" s="334"/>
      <c r="D246" s="474"/>
      <c r="E246" s="474"/>
      <c r="F246" s="474"/>
      <c r="G246" s="474"/>
      <c r="H246" s="474"/>
      <c r="I246" s="474"/>
      <c r="J246" s="474"/>
      <c r="K246" s="474"/>
      <c r="L246" s="474"/>
      <c r="M246" s="474"/>
      <c r="N246" s="474"/>
      <c r="O246" s="474"/>
      <c r="P246" s="474"/>
      <c r="Q246" s="474"/>
      <c r="R246" s="474"/>
      <c r="S246" s="474"/>
      <c r="T246" s="474"/>
      <c r="U246" s="474"/>
      <c r="V246" s="474"/>
      <c r="W246" s="474"/>
      <c r="X246" s="474"/>
      <c r="Y246" s="474"/>
      <c r="Z246" s="474"/>
      <c r="AA246" s="474"/>
      <c r="AB246" s="474"/>
      <c r="AC246" s="321"/>
      <c r="AD246" s="321"/>
      <c r="AE246" s="321"/>
      <c r="AF246" s="321"/>
      <c r="AG246" s="321"/>
      <c r="AH246" s="321"/>
      <c r="AI246" s="321"/>
      <c r="AJ246" s="321"/>
      <c r="AK246" s="321"/>
      <c r="AL246" s="321"/>
      <c r="AM246" s="321"/>
      <c r="AN246" s="321"/>
      <c r="AO246" s="321"/>
      <c r="AP246" s="321"/>
      <c r="AQ246" s="321"/>
      <c r="AR246" s="70"/>
      <c r="AS246" s="334"/>
      <c r="AT246" s="334"/>
      <c r="BM246"/>
      <c r="BN246"/>
      <c r="BO246"/>
      <c r="BP246"/>
      <c r="BQ246"/>
      <c r="BR246"/>
    </row>
    <row r="247" spans="1:70" s="369" customFormat="1" x14ac:dyDescent="0.2">
      <c r="A247" s="411"/>
      <c r="B247" s="337" t="s">
        <v>228</v>
      </c>
      <c r="C247" s="366"/>
      <c r="D247" s="476"/>
      <c r="E247" s="476"/>
      <c r="F247" s="476"/>
      <c r="G247" s="476"/>
      <c r="H247" s="476"/>
      <c r="I247" s="476"/>
      <c r="J247" s="476"/>
      <c r="K247" s="476"/>
      <c r="L247" s="476"/>
      <c r="M247" s="476"/>
      <c r="N247" s="476"/>
      <c r="O247" s="476"/>
      <c r="P247" s="476"/>
      <c r="Q247" s="476"/>
      <c r="R247" s="476"/>
      <c r="S247" s="476"/>
      <c r="T247" s="476"/>
      <c r="U247" s="476"/>
      <c r="V247" s="476"/>
      <c r="W247" s="476"/>
      <c r="X247" s="476"/>
      <c r="Y247" s="476"/>
      <c r="Z247" s="476"/>
      <c r="AA247" s="476"/>
      <c r="AB247" s="476"/>
      <c r="AC247" s="367"/>
      <c r="AD247" s="367"/>
      <c r="AE247" s="367"/>
      <c r="AF247" s="367"/>
      <c r="AG247" s="367"/>
      <c r="AH247" s="367"/>
      <c r="AI247" s="367"/>
      <c r="AJ247" s="367"/>
      <c r="AK247" s="367"/>
      <c r="AL247" s="367"/>
      <c r="AM247" s="367"/>
      <c r="AN247" s="367"/>
      <c r="AO247" s="367"/>
      <c r="AP247" s="367"/>
      <c r="AQ247" s="367"/>
      <c r="AR247" s="70"/>
      <c r="AS247" s="337" t="s">
        <v>228</v>
      </c>
      <c r="AT247" s="366"/>
      <c r="AU247" s="12"/>
      <c r="AV247" s="12"/>
      <c r="AW247" s="12"/>
      <c r="AX247" s="12"/>
      <c r="AY247" s="12"/>
      <c r="AZ247" s="12"/>
      <c r="BA247" s="12"/>
      <c r="BB247" s="12"/>
      <c r="BC247" s="12"/>
      <c r="BD247" s="12"/>
      <c r="BE247" s="12"/>
      <c r="BM247"/>
      <c r="BN247"/>
      <c r="BO247"/>
      <c r="BP247"/>
      <c r="BQ247"/>
      <c r="BR247"/>
    </row>
    <row r="248" spans="1:70" s="369" customFormat="1" x14ac:dyDescent="0.2">
      <c r="A248" s="411"/>
      <c r="B248" s="334" t="s">
        <v>195</v>
      </c>
      <c r="C248" s="334"/>
      <c r="D248" s="477">
        <v>0.1019</v>
      </c>
      <c r="E248" s="477">
        <v>9.9599999999999994E-2</v>
      </c>
      <c r="F248" s="477">
        <v>9.9400000000000002E-2</v>
      </c>
      <c r="G248" s="477">
        <v>0.1002</v>
      </c>
      <c r="H248" s="477">
        <v>0.1023</v>
      </c>
      <c r="I248" s="477">
        <v>0.1011</v>
      </c>
      <c r="J248" s="477">
        <v>0.1022</v>
      </c>
      <c r="K248" s="477">
        <v>0.1033</v>
      </c>
      <c r="L248" s="477">
        <v>0.10390000000000001</v>
      </c>
      <c r="M248" s="477">
        <v>0.1031</v>
      </c>
      <c r="N248" s="477">
        <v>0.1038</v>
      </c>
      <c r="O248" s="477">
        <v>0.10349999999999999</v>
      </c>
      <c r="P248" s="477">
        <v>0.1048</v>
      </c>
      <c r="Q248" s="477">
        <v>0.10390000000000001</v>
      </c>
      <c r="R248" s="477">
        <v>0.1028</v>
      </c>
      <c r="S248" s="477">
        <v>0.1031</v>
      </c>
      <c r="T248" s="477">
        <v>0.1038</v>
      </c>
      <c r="U248" s="477">
        <v>0.1004</v>
      </c>
      <c r="V248" s="477">
        <v>9.9000000000000005E-2</v>
      </c>
      <c r="W248" s="477">
        <v>9.6000000000000002E-2</v>
      </c>
      <c r="X248" s="477">
        <v>9.6000000000000002E-2</v>
      </c>
      <c r="Y248" s="477">
        <v>9.6100000000000005E-2</v>
      </c>
      <c r="Z248" s="477">
        <v>9.7000000000000003E-2</v>
      </c>
      <c r="AA248" s="477">
        <v>9.6299999999999997E-2</v>
      </c>
      <c r="AB248" s="477">
        <v>9.7900000000000001E-2</v>
      </c>
      <c r="AC248" s="20" t="s">
        <v>226</v>
      </c>
      <c r="AD248" s="20" t="s">
        <v>226</v>
      </c>
      <c r="AE248" s="20" t="s">
        <v>226</v>
      </c>
      <c r="AF248" s="20" t="s">
        <v>226</v>
      </c>
      <c r="AG248" s="20" t="s">
        <v>226</v>
      </c>
      <c r="AH248" s="20" t="s">
        <v>226</v>
      </c>
      <c r="AI248" s="20" t="s">
        <v>226</v>
      </c>
      <c r="AJ248" s="20"/>
      <c r="AK248" s="20"/>
      <c r="AL248" s="20"/>
      <c r="AM248" s="20"/>
      <c r="AN248" s="20"/>
      <c r="AO248" s="20"/>
      <c r="AP248" s="20"/>
      <c r="AQ248" s="20"/>
      <c r="AR248" s="70"/>
      <c r="AS248" s="334" t="s">
        <v>195</v>
      </c>
      <c r="AT248" s="334"/>
      <c r="AU248" s="377">
        <f>G248</f>
        <v>0.1002</v>
      </c>
      <c r="AV248" s="377">
        <f>K248</f>
        <v>0.1033</v>
      </c>
      <c r="AW248" s="377">
        <f>O248</f>
        <v>0.10349999999999999</v>
      </c>
      <c r="AX248" s="377">
        <f>S248</f>
        <v>0.1031</v>
      </c>
      <c r="AY248" s="377">
        <f>W248</f>
        <v>9.6000000000000002E-2</v>
      </c>
      <c r="AZ248" s="377">
        <f>AA248</f>
        <v>9.6299999999999997E-2</v>
      </c>
      <c r="BA248" s="377" t="str">
        <f>AE248</f>
        <v>NF</v>
      </c>
      <c r="BB248" s="377" t="str">
        <f>AI248</f>
        <v>NF</v>
      </c>
      <c r="BC248" s="377" t="s">
        <v>226</v>
      </c>
      <c r="BD248" s="377" t="s">
        <v>226</v>
      </c>
      <c r="BE248" s="377" t="s">
        <v>226</v>
      </c>
      <c r="BM248"/>
      <c r="BN248"/>
      <c r="BO248"/>
      <c r="BP248"/>
      <c r="BQ248"/>
      <c r="BR248"/>
    </row>
    <row r="249" spans="1:70" s="369" customFormat="1" x14ac:dyDescent="0.2">
      <c r="A249" s="411"/>
      <c r="B249" s="334" t="s">
        <v>486</v>
      </c>
      <c r="C249" s="334"/>
      <c r="D249" s="477">
        <v>0.18190000000000001</v>
      </c>
      <c r="E249" s="477">
        <v>0.18140000000000001</v>
      </c>
      <c r="F249" s="477">
        <v>0.18260000000000001</v>
      </c>
      <c r="G249" s="477">
        <v>0.1804</v>
      </c>
      <c r="H249" s="477">
        <v>0.18279999999999999</v>
      </c>
      <c r="I249" s="477">
        <v>0.1789</v>
      </c>
      <c r="J249" s="477">
        <v>0.17330000000000001</v>
      </c>
      <c r="K249" s="477">
        <v>0.16339999999999999</v>
      </c>
      <c r="L249" s="477">
        <v>0.1663</v>
      </c>
      <c r="M249" s="477">
        <v>0.16889999999999999</v>
      </c>
      <c r="N249" s="477">
        <v>0.16889999999999999</v>
      </c>
      <c r="O249" s="477">
        <v>0.16800000000000001</v>
      </c>
      <c r="P249" s="477">
        <v>0.1696</v>
      </c>
      <c r="Q249" s="477">
        <v>0.17</v>
      </c>
      <c r="R249" s="477">
        <v>0.1694</v>
      </c>
      <c r="S249" s="477">
        <v>0.16489999999999999</v>
      </c>
      <c r="T249" s="477">
        <v>0.16919999999999999</v>
      </c>
      <c r="U249" s="477">
        <v>0.1701</v>
      </c>
      <c r="V249" s="477">
        <v>0.1706</v>
      </c>
      <c r="W249" s="477">
        <v>0.16919999999999999</v>
      </c>
      <c r="X249" s="477">
        <v>0.1714</v>
      </c>
      <c r="Y249" s="477">
        <v>0.17380000000000001</v>
      </c>
      <c r="Z249" s="477">
        <v>0.17510000000000001</v>
      </c>
      <c r="AA249" s="477">
        <v>0.1706</v>
      </c>
      <c r="AB249" s="477">
        <v>0.17680000000000001</v>
      </c>
      <c r="AC249" s="20" t="s">
        <v>226</v>
      </c>
      <c r="AD249" s="20" t="s">
        <v>226</v>
      </c>
      <c r="AE249" s="20" t="s">
        <v>226</v>
      </c>
      <c r="AF249" s="20" t="s">
        <v>226</v>
      </c>
      <c r="AG249" s="20" t="s">
        <v>226</v>
      </c>
      <c r="AH249" s="20" t="s">
        <v>226</v>
      </c>
      <c r="AI249" s="20" t="s">
        <v>226</v>
      </c>
      <c r="AJ249" s="20"/>
      <c r="AK249" s="20"/>
      <c r="AL249" s="20"/>
      <c r="AM249" s="20"/>
      <c r="AN249" s="20"/>
      <c r="AO249" s="20"/>
      <c r="AP249" s="20"/>
      <c r="AQ249" s="20"/>
      <c r="AR249" s="70"/>
      <c r="AS249" s="334" t="s">
        <v>486</v>
      </c>
      <c r="AT249" s="334"/>
      <c r="AU249" s="377">
        <f>G249</f>
        <v>0.1804</v>
      </c>
      <c r="AV249" s="377">
        <f>K249</f>
        <v>0.16339999999999999</v>
      </c>
      <c r="AW249" s="377">
        <f>O249</f>
        <v>0.16800000000000001</v>
      </c>
      <c r="AX249" s="377">
        <f>S249</f>
        <v>0.16489999999999999</v>
      </c>
      <c r="AY249" s="377">
        <f>W249</f>
        <v>0.16919999999999999</v>
      </c>
      <c r="AZ249" s="377">
        <f>AA249</f>
        <v>0.1706</v>
      </c>
      <c r="BA249" s="377" t="str">
        <f>AE249</f>
        <v>NF</v>
      </c>
      <c r="BB249" s="377" t="str">
        <f>AI249</f>
        <v>NF</v>
      </c>
      <c r="BC249" s="377" t="s">
        <v>226</v>
      </c>
      <c r="BD249" s="377" t="s">
        <v>226</v>
      </c>
      <c r="BE249" s="377" t="s">
        <v>226</v>
      </c>
      <c r="BM249"/>
      <c r="BN249"/>
      <c r="BO249"/>
      <c r="BP249"/>
      <c r="BQ249"/>
      <c r="BR249"/>
    </row>
    <row r="250" spans="1:70" s="369" customFormat="1" x14ac:dyDescent="0.2">
      <c r="A250" s="411"/>
      <c r="B250" s="334"/>
      <c r="C250" s="334"/>
      <c r="D250" s="478"/>
      <c r="E250" s="478"/>
      <c r="F250" s="478"/>
      <c r="G250" s="478"/>
      <c r="H250" s="478"/>
      <c r="I250" s="478"/>
      <c r="J250" s="478"/>
      <c r="K250" s="478"/>
      <c r="L250" s="478"/>
      <c r="M250" s="478"/>
      <c r="N250" s="478"/>
      <c r="O250" s="478"/>
      <c r="P250" s="478"/>
      <c r="Q250" s="478"/>
      <c r="R250" s="478"/>
      <c r="S250" s="478"/>
      <c r="T250" s="478"/>
      <c r="U250" s="478"/>
      <c r="V250" s="478"/>
      <c r="W250" s="478"/>
      <c r="X250" s="478"/>
      <c r="Y250" s="478"/>
      <c r="Z250" s="478"/>
      <c r="AA250" s="478"/>
      <c r="AB250" s="478"/>
      <c r="AC250" s="15"/>
      <c r="AD250" s="15"/>
      <c r="AE250" s="15"/>
      <c r="AF250" s="15"/>
      <c r="AG250" s="15"/>
      <c r="AH250" s="15"/>
      <c r="AI250" s="15"/>
      <c r="AJ250" s="15"/>
      <c r="AK250" s="15"/>
      <c r="AL250" s="15"/>
      <c r="AM250" s="15"/>
      <c r="AN250" s="15"/>
      <c r="AO250" s="15"/>
      <c r="AP250" s="15"/>
      <c r="AQ250" s="15"/>
      <c r="AR250" s="70"/>
      <c r="AS250" s="334"/>
      <c r="AT250" s="334"/>
      <c r="BM250"/>
      <c r="BN250"/>
      <c r="BO250"/>
      <c r="BP250"/>
      <c r="BQ250"/>
      <c r="BR250"/>
    </row>
    <row r="251" spans="1:70" s="369" customFormat="1" x14ac:dyDescent="0.2">
      <c r="A251" s="411"/>
      <c r="B251" s="337" t="s">
        <v>219</v>
      </c>
      <c r="C251" s="366"/>
      <c r="D251" s="479"/>
      <c r="E251" s="479"/>
      <c r="F251" s="479"/>
      <c r="G251" s="479"/>
      <c r="H251" s="479"/>
      <c r="I251" s="479"/>
      <c r="J251" s="479"/>
      <c r="K251" s="479"/>
      <c r="L251" s="479"/>
      <c r="M251" s="479"/>
      <c r="N251" s="479"/>
      <c r="O251" s="479"/>
      <c r="P251" s="479"/>
      <c r="Q251" s="479"/>
      <c r="R251" s="479"/>
      <c r="S251" s="479"/>
      <c r="T251" s="479"/>
      <c r="U251" s="479"/>
      <c r="V251" s="479"/>
      <c r="W251" s="479"/>
      <c r="X251" s="479"/>
      <c r="Y251" s="479"/>
      <c r="Z251" s="479"/>
      <c r="AA251" s="479"/>
      <c r="AB251" s="479"/>
      <c r="AC251" s="12"/>
      <c r="AD251" s="12"/>
      <c r="AE251" s="12"/>
      <c r="AF251" s="12"/>
      <c r="AG251" s="12"/>
      <c r="AH251" s="12"/>
      <c r="AI251" s="12"/>
      <c r="AJ251" s="12"/>
      <c r="AK251" s="12"/>
      <c r="AL251" s="12"/>
      <c r="AM251" s="12"/>
      <c r="AN251" s="12"/>
      <c r="AO251" s="12"/>
      <c r="AP251" s="12"/>
      <c r="AQ251" s="12"/>
      <c r="AR251" s="70"/>
      <c r="AS251" s="337" t="s">
        <v>219</v>
      </c>
      <c r="AT251" s="366"/>
      <c r="AU251" s="12"/>
      <c r="AV251" s="12"/>
      <c r="AW251" s="12"/>
      <c r="AX251" s="12"/>
      <c r="AY251" s="12"/>
      <c r="AZ251" s="12"/>
      <c r="BA251" s="12"/>
      <c r="BB251" s="12"/>
      <c r="BC251" s="12"/>
      <c r="BD251" s="12"/>
      <c r="BE251" s="12"/>
      <c r="BM251"/>
      <c r="BN251"/>
      <c r="BO251"/>
      <c r="BP251"/>
      <c r="BQ251"/>
      <c r="BR251"/>
    </row>
    <row r="252" spans="1:70" s="369" customFormat="1" x14ac:dyDescent="0.2">
      <c r="A252" s="411"/>
      <c r="B252" s="334" t="s">
        <v>195</v>
      </c>
      <c r="C252" s="334"/>
      <c r="D252" s="478">
        <f t="shared" ref="D252:X252" si="641">D248-D257</f>
        <v>1.0500000000000009E-2</v>
      </c>
      <c r="E252" s="478">
        <f t="shared" si="641"/>
        <v>9.2999999999999888E-3</v>
      </c>
      <c r="F252" s="478">
        <f t="shared" si="641"/>
        <v>6.8000000000000005E-3</v>
      </c>
      <c r="G252" s="478">
        <f t="shared" si="641"/>
        <v>5.7999999999999996E-3</v>
      </c>
      <c r="H252" s="478">
        <f t="shared" si="641"/>
        <v>6.4000000000000029E-3</v>
      </c>
      <c r="I252" s="478">
        <f t="shared" si="641"/>
        <v>4.599999999999993E-3</v>
      </c>
      <c r="J252" s="478">
        <f t="shared" si="641"/>
        <v>4.1999999999999954E-3</v>
      </c>
      <c r="K252" s="478">
        <f t="shared" si="641"/>
        <v>3.9000000000000007E-3</v>
      </c>
      <c r="L252" s="478">
        <f t="shared" si="641"/>
        <v>4.8000000000000126E-3</v>
      </c>
      <c r="M252" s="478">
        <f t="shared" si="641"/>
        <v>4.2999999999999983E-3</v>
      </c>
      <c r="N252" s="478">
        <f t="shared" si="641"/>
        <v>2.8999999999999998E-3</v>
      </c>
      <c r="O252" s="478">
        <f t="shared" si="641"/>
        <v>2.0999999999999908E-3</v>
      </c>
      <c r="P252" s="478">
        <f t="shared" si="641"/>
        <v>3.600000000000006E-3</v>
      </c>
      <c r="Q252" s="478">
        <f t="shared" si="641"/>
        <v>3.9000000000000007E-3</v>
      </c>
      <c r="R252" s="478">
        <f t="shared" si="641"/>
        <v>2.7999999999999969E-3</v>
      </c>
      <c r="S252" s="478">
        <f t="shared" si="641"/>
        <v>3.1999999999999945E-3</v>
      </c>
      <c r="T252" s="478">
        <f t="shared" si="641"/>
        <v>4.7999999999999987E-3</v>
      </c>
      <c r="U252" s="478">
        <f t="shared" si="641"/>
        <v>4.500000000000004E-3</v>
      </c>
      <c r="V252" s="478">
        <f t="shared" si="641"/>
        <v>5.400000000000002E-3</v>
      </c>
      <c r="W252" s="478">
        <f t="shared" si="641"/>
        <v>5.5000000000000049E-3</v>
      </c>
      <c r="X252" s="478">
        <f t="shared" si="641"/>
        <v>8.4000000000000047E-3</v>
      </c>
      <c r="Y252" s="478">
        <f t="shared" ref="Y252:Z252" si="642">Y248-Y257</f>
        <v>1.0000000000000009E-2</v>
      </c>
      <c r="Z252" s="478">
        <f t="shared" si="642"/>
        <v>1.1099999999999999E-2</v>
      </c>
      <c r="AA252" s="478">
        <f t="shared" ref="AA252:AB252" si="643">AA248-AA257</f>
        <v>1.1599999999999999E-2</v>
      </c>
      <c r="AB252" s="478">
        <f t="shared" si="643"/>
        <v>1.3899999999999996E-2</v>
      </c>
      <c r="AC252" s="20" t="s">
        <v>226</v>
      </c>
      <c r="AD252" s="20" t="s">
        <v>226</v>
      </c>
      <c r="AE252" s="20" t="s">
        <v>226</v>
      </c>
      <c r="AF252" s="20" t="s">
        <v>226</v>
      </c>
      <c r="AG252" s="20" t="s">
        <v>226</v>
      </c>
      <c r="AH252" s="20" t="s">
        <v>226</v>
      </c>
      <c r="AI252" s="20" t="s">
        <v>226</v>
      </c>
      <c r="AJ252" s="20"/>
      <c r="AK252" s="20"/>
      <c r="AL252" s="20"/>
      <c r="AM252" s="20"/>
      <c r="AN252" s="20"/>
      <c r="AO252" s="20"/>
      <c r="AP252" s="20"/>
      <c r="AQ252" s="20"/>
      <c r="AR252" s="70"/>
      <c r="AS252" s="334" t="s">
        <v>195</v>
      </c>
      <c r="AT252" s="334"/>
      <c r="AU252" s="377">
        <f>G252</f>
        <v>5.7999999999999996E-3</v>
      </c>
      <c r="AV252" s="377">
        <f>K252</f>
        <v>3.9000000000000007E-3</v>
      </c>
      <c r="AW252" s="377">
        <f>O252</f>
        <v>2.0999999999999908E-3</v>
      </c>
      <c r="AX252" s="377">
        <f>S252</f>
        <v>3.1999999999999945E-3</v>
      </c>
      <c r="AY252" s="377">
        <f>W252</f>
        <v>5.5000000000000049E-3</v>
      </c>
      <c r="AZ252" s="377">
        <f>AA252</f>
        <v>1.1599999999999999E-2</v>
      </c>
      <c r="BA252" s="377" t="str">
        <f>AE252</f>
        <v>NF</v>
      </c>
      <c r="BB252" s="377" t="str">
        <f>AI252</f>
        <v>NF</v>
      </c>
      <c r="BC252" s="377" t="s">
        <v>226</v>
      </c>
      <c r="BD252" s="377" t="s">
        <v>226</v>
      </c>
      <c r="BE252" s="377" t="s">
        <v>226</v>
      </c>
      <c r="BM252"/>
      <c r="BN252"/>
      <c r="BO252"/>
      <c r="BP252"/>
      <c r="BQ252"/>
      <c r="BR252"/>
    </row>
    <row r="253" spans="1:70" s="369" customFormat="1" x14ac:dyDescent="0.2">
      <c r="A253" s="411"/>
      <c r="B253" s="334" t="s">
        <v>486</v>
      </c>
      <c r="C253" s="334"/>
      <c r="D253" s="478">
        <f t="shared" ref="D253:X253" si="644">D249-D258</f>
        <v>1.4399999999999996E-2</v>
      </c>
      <c r="E253" s="478">
        <f t="shared" si="644"/>
        <v>1.1399999999999993E-2</v>
      </c>
      <c r="F253" s="478">
        <f t="shared" si="644"/>
        <v>4.500000000000004E-3</v>
      </c>
      <c r="G253" s="478">
        <f t="shared" si="644"/>
        <v>1.9000000000000128E-3</v>
      </c>
      <c r="H253" s="478">
        <f t="shared" si="644"/>
        <v>1.9999999999997797E-4</v>
      </c>
      <c r="I253" s="478">
        <f t="shared" si="644"/>
        <v>1.0999999999999899E-3</v>
      </c>
      <c r="J253" s="478">
        <f t="shared" si="644"/>
        <v>-3.1999999999999806E-3</v>
      </c>
      <c r="K253" s="478">
        <f t="shared" si="644"/>
        <v>-5.9000000000000163E-3</v>
      </c>
      <c r="L253" s="478">
        <f t="shared" si="644"/>
        <v>-2.8999999999999859E-3</v>
      </c>
      <c r="M253" s="478">
        <f t="shared" si="644"/>
        <v>-2.2999999999999965E-3</v>
      </c>
      <c r="N253" s="478">
        <f t="shared" si="644"/>
        <v>-5.2999999999999992E-3</v>
      </c>
      <c r="O253" s="478">
        <f t="shared" si="644"/>
        <v>-5.7999999999999996E-3</v>
      </c>
      <c r="P253" s="478">
        <f t="shared" si="644"/>
        <v>-4.3999999999999873E-3</v>
      </c>
      <c r="Q253" s="478">
        <f t="shared" si="644"/>
        <v>-3.3999999999999864E-3</v>
      </c>
      <c r="R253" s="478">
        <f t="shared" si="644"/>
        <v>-7.5000000000000067E-3</v>
      </c>
      <c r="S253" s="478">
        <f t="shared" si="644"/>
        <v>-9.4000000000000195E-3</v>
      </c>
      <c r="T253" s="478">
        <f t="shared" si="644"/>
        <v>-3.7000000000000088E-3</v>
      </c>
      <c r="U253" s="478">
        <f t="shared" si="644"/>
        <v>-2.5999999999999912E-3</v>
      </c>
      <c r="V253" s="478">
        <f t="shared" si="644"/>
        <v>-4.8999999999999877E-3</v>
      </c>
      <c r="W253" s="478">
        <f t="shared" si="644"/>
        <v>-3.2999999999999974E-3</v>
      </c>
      <c r="X253" s="478">
        <f t="shared" si="644"/>
        <v>5.9999999999998943E-4</v>
      </c>
      <c r="Y253" s="478">
        <f t="shared" ref="Y253:Z253" si="645">Y249-Y258</f>
        <v>2.7999999999999969E-3</v>
      </c>
      <c r="Z253" s="478">
        <f t="shared" si="645"/>
        <v>2.2999999999999965E-3</v>
      </c>
      <c r="AA253" s="478">
        <f t="shared" ref="AA253:AB253" si="646">AA249-AA258</f>
        <v>5.2999999999999992E-3</v>
      </c>
      <c r="AB253" s="478">
        <f t="shared" si="646"/>
        <v>6.9000000000000172E-3</v>
      </c>
      <c r="AC253" s="20" t="s">
        <v>226</v>
      </c>
      <c r="AD253" s="20" t="s">
        <v>226</v>
      </c>
      <c r="AE253" s="20" t="s">
        <v>226</v>
      </c>
      <c r="AF253" s="20" t="s">
        <v>226</v>
      </c>
      <c r="AG253" s="20" t="s">
        <v>226</v>
      </c>
      <c r="AH253" s="20" t="s">
        <v>226</v>
      </c>
      <c r="AI253" s="20" t="s">
        <v>226</v>
      </c>
      <c r="AJ253" s="20"/>
      <c r="AK253" s="20"/>
      <c r="AL253" s="20"/>
      <c r="AM253" s="20"/>
      <c r="AN253" s="20"/>
      <c r="AO253" s="20"/>
      <c r="AP253" s="20"/>
      <c r="AQ253" s="20"/>
      <c r="AR253" s="70"/>
      <c r="AS253" s="334" t="s">
        <v>486</v>
      </c>
      <c r="AT253" s="334"/>
      <c r="AU253" s="377">
        <f>G253</f>
        <v>1.9000000000000128E-3</v>
      </c>
      <c r="AV253" s="377">
        <f>K253</f>
        <v>-5.9000000000000163E-3</v>
      </c>
      <c r="AW253" s="377">
        <f>O253</f>
        <v>-5.7999999999999996E-3</v>
      </c>
      <c r="AX253" s="377">
        <f>S253</f>
        <v>-9.4000000000000195E-3</v>
      </c>
      <c r="AY253" s="377">
        <f>W253</f>
        <v>-3.2999999999999974E-3</v>
      </c>
      <c r="AZ253" s="377">
        <f>AA253</f>
        <v>5.2999999999999992E-3</v>
      </c>
      <c r="BA253" s="377" t="str">
        <f>AE253</f>
        <v>NF</v>
      </c>
      <c r="BB253" s="377" t="str">
        <f>AI253</f>
        <v>NF</v>
      </c>
      <c r="BC253" s="377" t="s">
        <v>226</v>
      </c>
      <c r="BD253" s="377" t="s">
        <v>226</v>
      </c>
      <c r="BE253" s="377" t="s">
        <v>226</v>
      </c>
      <c r="BM253"/>
      <c r="BN253"/>
      <c r="BO253"/>
      <c r="BP253"/>
      <c r="BQ253"/>
      <c r="BR253"/>
    </row>
    <row r="254" spans="1:70" s="369" customFormat="1" x14ac:dyDescent="0.2">
      <c r="A254" s="411"/>
      <c r="B254" s="334"/>
      <c r="C254" s="334"/>
      <c r="D254" s="478"/>
      <c r="E254" s="478"/>
      <c r="F254" s="478"/>
      <c r="G254" s="478"/>
      <c r="H254" s="478"/>
      <c r="I254" s="478"/>
      <c r="J254" s="478"/>
      <c r="K254" s="478"/>
      <c r="L254" s="478"/>
      <c r="M254" s="478"/>
      <c r="N254" s="478"/>
      <c r="O254" s="478"/>
      <c r="P254" s="478"/>
      <c r="Q254" s="478"/>
      <c r="R254" s="478"/>
      <c r="S254" s="478"/>
      <c r="T254" s="478"/>
      <c r="U254" s="478"/>
      <c r="V254" s="478"/>
      <c r="W254" s="478"/>
      <c r="X254" s="478"/>
      <c r="Y254" s="478"/>
      <c r="Z254" s="478"/>
      <c r="AA254" s="412"/>
      <c r="AB254" s="412"/>
      <c r="AC254" s="321"/>
      <c r="AD254" s="321"/>
      <c r="AE254" s="321"/>
      <c r="AF254" s="321"/>
      <c r="AG254" s="321"/>
      <c r="AH254" s="321"/>
      <c r="AI254" s="321"/>
      <c r="AJ254" s="321"/>
      <c r="AK254" s="321"/>
      <c r="AL254" s="321"/>
      <c r="AM254" s="321"/>
      <c r="AN254" s="321"/>
      <c r="AO254" s="321"/>
      <c r="AP254" s="321"/>
      <c r="AQ254" s="321"/>
      <c r="AR254" s="70"/>
      <c r="AS254" s="334"/>
      <c r="AT254" s="334"/>
      <c r="BM254"/>
      <c r="BN254"/>
      <c r="BO254"/>
      <c r="BP254"/>
      <c r="BQ254"/>
      <c r="BR254"/>
    </row>
    <row r="255" spans="1:70" s="369" customFormat="1" x14ac:dyDescent="0.2">
      <c r="A255" s="411"/>
      <c r="B255" s="337" t="s">
        <v>302</v>
      </c>
      <c r="C255" s="366"/>
      <c r="D255" s="367"/>
      <c r="E255" s="367"/>
      <c r="F255" s="367"/>
      <c r="G255" s="367"/>
      <c r="H255" s="367"/>
      <c r="I255" s="367"/>
      <c r="J255" s="367"/>
      <c r="K255" s="367"/>
      <c r="L255" s="367"/>
      <c r="M255" s="367"/>
      <c r="N255" s="367"/>
      <c r="O255" s="367"/>
      <c r="P255" s="367"/>
      <c r="Q255" s="367"/>
      <c r="R255" s="367"/>
      <c r="S255" s="367"/>
      <c r="T255" s="367"/>
      <c r="U255" s="367"/>
      <c r="V255" s="367"/>
      <c r="W255" s="367"/>
      <c r="X255" s="367"/>
      <c r="Y255" s="367"/>
      <c r="Z255" s="367"/>
      <c r="AA255" s="367"/>
      <c r="AB255" s="367"/>
      <c r="AC255" s="367"/>
      <c r="AD255" s="367"/>
      <c r="AE255" s="367"/>
      <c r="AF255" s="367"/>
      <c r="AG255" s="367"/>
      <c r="AH255" s="367"/>
      <c r="AI255" s="367"/>
      <c r="AJ255" s="367"/>
      <c r="AK255" s="367"/>
      <c r="AL255" s="367"/>
      <c r="AM255" s="367"/>
      <c r="AN255" s="367"/>
      <c r="AO255" s="367"/>
      <c r="AP255" s="367"/>
      <c r="AQ255" s="367"/>
      <c r="AR255" s="70"/>
      <c r="AS255" s="337" t="s">
        <v>302</v>
      </c>
      <c r="AT255" s="366"/>
      <c r="AU255" s="12"/>
      <c r="AV255" s="12"/>
      <c r="AW255" s="12"/>
      <c r="AX255" s="12"/>
      <c r="AY255" s="12"/>
      <c r="AZ255" s="12"/>
      <c r="BA255" s="12"/>
      <c r="BB255" s="12"/>
      <c r="BC255" s="12"/>
      <c r="BD255" s="12"/>
      <c r="BE255" s="12"/>
      <c r="BM255"/>
      <c r="BN255"/>
      <c r="BO255"/>
      <c r="BP255"/>
      <c r="BQ255"/>
      <c r="BR255"/>
    </row>
    <row r="256" spans="1:70" s="369" customFormat="1" x14ac:dyDescent="0.2">
      <c r="A256" s="411"/>
      <c r="B256" s="17" t="s">
        <v>74</v>
      </c>
      <c r="C256" s="334"/>
      <c r="D256" s="480">
        <v>1.0800000000000001E-2</v>
      </c>
      <c r="E256" s="480">
        <v>1.2699999999999999E-2</v>
      </c>
      <c r="F256" s="480">
        <v>1.46E-2</v>
      </c>
      <c r="G256" s="480">
        <v>1.5100000000000001E-2</v>
      </c>
      <c r="H256" s="480">
        <v>1.46E-2</v>
      </c>
      <c r="I256" s="480">
        <v>1.5800000000000002E-2</v>
      </c>
      <c r="J256" s="480">
        <v>1.55E-2</v>
      </c>
      <c r="K256" s="480">
        <v>1.67E-2</v>
      </c>
      <c r="L256" s="480">
        <v>1.9699999999999999E-2</v>
      </c>
      <c r="M256" s="480">
        <v>2.1700000000000001E-2</v>
      </c>
      <c r="N256" s="480">
        <v>2.1600000000000001E-2</v>
      </c>
      <c r="O256" s="480">
        <v>2.24E-2</v>
      </c>
      <c r="P256" s="480">
        <v>2.1399999999999999E-2</v>
      </c>
      <c r="Q256" s="480">
        <v>2.1899999999999999E-2</v>
      </c>
      <c r="R256" s="480">
        <v>2.0899999999999998E-2</v>
      </c>
      <c r="S256" s="480">
        <v>2.1000000000000001E-2</v>
      </c>
      <c r="T256" s="480">
        <v>2.1100000000000001E-2</v>
      </c>
      <c r="U256" s="480">
        <v>1.9900000000000001E-2</v>
      </c>
      <c r="V256" s="480">
        <v>1.9300000000000001E-2</v>
      </c>
      <c r="W256" s="480">
        <v>1.8499999999999999E-2</v>
      </c>
      <c r="X256" s="480">
        <v>1.84E-2</v>
      </c>
      <c r="Y256" s="480">
        <v>1.7999999999999999E-2</v>
      </c>
      <c r="Z256" s="480">
        <v>1.7999999999999999E-2</v>
      </c>
      <c r="AA256" s="480">
        <v>1.66E-2</v>
      </c>
      <c r="AB256" s="480">
        <v>1.6899999999999998E-2</v>
      </c>
      <c r="AC256" s="481">
        <f>Drivers!AC8</f>
        <v>1.7500000000000002E-2</v>
      </c>
      <c r="AD256" s="481">
        <f>Drivers!AD8</f>
        <v>1.78E-2</v>
      </c>
      <c r="AE256" s="481">
        <f>Drivers!AE8</f>
        <v>1.8200000000000001E-2</v>
      </c>
      <c r="AF256" s="481">
        <f>Drivers!AF8</f>
        <v>1.8499999999999999E-2</v>
      </c>
      <c r="AG256" s="481">
        <f>Drivers!AG8</f>
        <v>1.8800000000000001E-2</v>
      </c>
      <c r="AH256" s="481">
        <f>Drivers!AH8</f>
        <v>1.9099999999999999E-2</v>
      </c>
      <c r="AI256" s="481">
        <f>Drivers!AI8</f>
        <v>1.95E-2</v>
      </c>
      <c r="AJ256" s="481"/>
      <c r="AK256" s="481"/>
      <c r="AL256" s="481"/>
      <c r="AM256" s="481"/>
      <c r="AN256" s="481"/>
      <c r="AO256" s="481"/>
      <c r="AP256" s="481"/>
      <c r="AQ256" s="481"/>
      <c r="AR256" s="70"/>
      <c r="AS256" s="17" t="s">
        <v>74</v>
      </c>
      <c r="AT256" s="334"/>
      <c r="AU256" s="377">
        <f t="shared" ref="AU256:BA256" si="647">AU171/(AU214*1000)*AU1</f>
        <v>1.3349485160508783E-2</v>
      </c>
      <c r="AV256" s="377">
        <f t="shared" si="647"/>
        <v>1.5659276546091016E-2</v>
      </c>
      <c r="AW256" s="377">
        <f t="shared" si="647"/>
        <v>2.1371918542336547E-2</v>
      </c>
      <c r="AX256" s="377">
        <f t="shared" si="647"/>
        <v>2.1285140562248995E-2</v>
      </c>
      <c r="AY256" s="377">
        <f t="shared" si="647"/>
        <v>1.9309710078232858E-2</v>
      </c>
      <c r="AZ256" s="377">
        <f t="shared" si="647"/>
        <v>1.7727885047148631E-2</v>
      </c>
      <c r="BA256" s="377">
        <f t="shared" si="647"/>
        <v>1.7610924303705745E-2</v>
      </c>
      <c r="BB256" s="377">
        <f t="shared" ref="BB256" si="648">BB171/(BB214*1000)*BB1</f>
        <v>1.8987467501944032E-2</v>
      </c>
      <c r="BC256" s="481">
        <f>Drivers!BC8</f>
        <v>2.0500000000000001E-2</v>
      </c>
      <c r="BD256" s="481">
        <f>Drivers!BD8</f>
        <v>2.1000000000000001E-2</v>
      </c>
      <c r="BE256" s="481">
        <f>Drivers!BE8</f>
        <v>2.1499999999999998E-2</v>
      </c>
      <c r="BM256"/>
      <c r="BN256"/>
      <c r="BO256"/>
      <c r="BP256"/>
      <c r="BQ256"/>
      <c r="BR256"/>
    </row>
    <row r="257" spans="1:70" s="369" customFormat="1" x14ac:dyDescent="0.2">
      <c r="A257" s="411"/>
      <c r="B257" s="334" t="s">
        <v>195</v>
      </c>
      <c r="C257" s="334"/>
      <c r="D257" s="480">
        <v>9.1399999999999995E-2</v>
      </c>
      <c r="E257" s="480">
        <v>9.0300000000000005E-2</v>
      </c>
      <c r="F257" s="480">
        <v>9.2600000000000002E-2</v>
      </c>
      <c r="G257" s="480">
        <v>9.4399999999999998E-2</v>
      </c>
      <c r="H257" s="480">
        <v>9.5899999999999999E-2</v>
      </c>
      <c r="I257" s="480">
        <v>9.6500000000000002E-2</v>
      </c>
      <c r="J257" s="480">
        <v>9.8000000000000004E-2</v>
      </c>
      <c r="K257" s="480">
        <v>9.9400000000000002E-2</v>
      </c>
      <c r="L257" s="480">
        <v>9.9099999999999994E-2</v>
      </c>
      <c r="M257" s="480">
        <v>9.8799999999999999E-2</v>
      </c>
      <c r="N257" s="480">
        <v>0.1009</v>
      </c>
      <c r="O257" s="480">
        <v>0.1014</v>
      </c>
      <c r="P257" s="480">
        <v>0.1012</v>
      </c>
      <c r="Q257" s="480">
        <v>0.1</v>
      </c>
      <c r="R257" s="480">
        <v>0.1</v>
      </c>
      <c r="S257" s="480">
        <v>9.9900000000000003E-2</v>
      </c>
      <c r="T257" s="480">
        <v>9.9000000000000005E-2</v>
      </c>
      <c r="U257" s="480">
        <v>9.5899999999999999E-2</v>
      </c>
      <c r="V257" s="480">
        <v>9.3600000000000003E-2</v>
      </c>
      <c r="W257" s="480">
        <v>9.0499999999999997E-2</v>
      </c>
      <c r="X257" s="480">
        <v>8.7599999999999997E-2</v>
      </c>
      <c r="Y257" s="480">
        <v>8.6099999999999996E-2</v>
      </c>
      <c r="Z257" s="480">
        <v>8.5900000000000004E-2</v>
      </c>
      <c r="AA257" s="480">
        <v>8.4699999999999998E-2</v>
      </c>
      <c r="AB257" s="480">
        <v>8.4000000000000005E-2</v>
      </c>
      <c r="AC257" s="481">
        <f>Drivers!AC9</f>
        <v>8.2500000000000004E-2</v>
      </c>
      <c r="AD257" s="481">
        <f>Drivers!AD9</f>
        <v>8.4500000000000006E-2</v>
      </c>
      <c r="AE257" s="481">
        <f>Drivers!AE9</f>
        <v>8.4500000000000006E-2</v>
      </c>
      <c r="AF257" s="481">
        <f>Drivers!AF9</f>
        <v>8.4699999999999998E-2</v>
      </c>
      <c r="AG257" s="481">
        <f>Drivers!AG9</f>
        <v>8.4900000000000003E-2</v>
      </c>
      <c r="AH257" s="481">
        <f>Drivers!AH9</f>
        <v>8.5199999999999998E-2</v>
      </c>
      <c r="AI257" s="481">
        <f>Drivers!AI9</f>
        <v>8.5500000000000007E-2</v>
      </c>
      <c r="AJ257" s="481"/>
      <c r="AK257" s="481"/>
      <c r="AL257" s="481"/>
      <c r="AM257" s="481"/>
      <c r="AN257" s="481"/>
      <c r="AO257" s="481"/>
      <c r="AP257" s="481"/>
      <c r="AQ257" s="481"/>
      <c r="AR257" s="70"/>
      <c r="AS257" s="334" t="s">
        <v>195</v>
      </c>
      <c r="AT257" s="334"/>
      <c r="AU257" s="377">
        <f t="shared" ref="AU257:BA257" si="649">AU172/(AU217*1000)*AU1</f>
        <v>9.2147324530924266E-2</v>
      </c>
      <c r="AV257" s="377">
        <f t="shared" si="649"/>
        <v>9.7444484892610095E-2</v>
      </c>
      <c r="AW257" s="377">
        <f t="shared" si="649"/>
        <v>0.10002258185923975</v>
      </c>
      <c r="AX257" s="377">
        <f t="shared" si="649"/>
        <v>0.10026583268178266</v>
      </c>
      <c r="AY257" s="377">
        <f t="shared" si="649"/>
        <v>9.4472155790912171E-2</v>
      </c>
      <c r="AZ257" s="377">
        <f t="shared" si="649"/>
        <v>8.6081041112097023E-2</v>
      </c>
      <c r="BA257" s="377">
        <f t="shared" si="649"/>
        <v>8.3892304447901425E-2</v>
      </c>
      <c r="BB257" s="377">
        <f t="shared" ref="BB257" si="650">BB172/(BB217*1000)*BB1</f>
        <v>8.5095563576841352E-2</v>
      </c>
      <c r="BC257" s="481">
        <f>Drivers!BC9</f>
        <v>8.5999999999999993E-2</v>
      </c>
      <c r="BD257" s="481">
        <f>Drivers!BD9</f>
        <v>8.6499999999999994E-2</v>
      </c>
      <c r="BE257" s="481">
        <f>Drivers!BE9</f>
        <v>8.6999999999999994E-2</v>
      </c>
      <c r="BM257"/>
      <c r="BN257"/>
      <c r="BO257"/>
      <c r="BP257"/>
      <c r="BQ257"/>
      <c r="BR257"/>
    </row>
    <row r="258" spans="1:70" s="369" customFormat="1" x14ac:dyDescent="0.2">
      <c r="A258" s="411"/>
      <c r="B258" s="334" t="s">
        <v>486</v>
      </c>
      <c r="C258" s="334"/>
      <c r="D258" s="480">
        <v>0.16750000000000001</v>
      </c>
      <c r="E258" s="480">
        <v>0.17</v>
      </c>
      <c r="F258" s="480">
        <v>0.17810000000000001</v>
      </c>
      <c r="G258" s="480">
        <v>0.17849999999999999</v>
      </c>
      <c r="H258" s="480">
        <v>0.18260000000000001</v>
      </c>
      <c r="I258" s="480">
        <v>0.17780000000000001</v>
      </c>
      <c r="J258" s="480">
        <v>0.17649999999999999</v>
      </c>
      <c r="K258" s="480">
        <v>0.16930000000000001</v>
      </c>
      <c r="L258" s="480">
        <v>0.16919999999999999</v>
      </c>
      <c r="M258" s="480">
        <v>0.17119999999999999</v>
      </c>
      <c r="N258" s="480">
        <v>0.17419999999999999</v>
      </c>
      <c r="O258" s="480">
        <v>0.17380000000000001</v>
      </c>
      <c r="P258" s="480">
        <v>0.17399999999999999</v>
      </c>
      <c r="Q258" s="480">
        <v>0.1734</v>
      </c>
      <c r="R258" s="480">
        <v>0.1769</v>
      </c>
      <c r="S258" s="480">
        <v>0.17430000000000001</v>
      </c>
      <c r="T258" s="480">
        <v>0.1729</v>
      </c>
      <c r="U258" s="480">
        <v>0.17269999999999999</v>
      </c>
      <c r="V258" s="480">
        <v>0.17549999999999999</v>
      </c>
      <c r="W258" s="480">
        <v>0.17249999999999999</v>
      </c>
      <c r="X258" s="480">
        <v>0.17080000000000001</v>
      </c>
      <c r="Y258" s="480">
        <v>0.17100000000000001</v>
      </c>
      <c r="Z258" s="480">
        <v>0.17280000000000001</v>
      </c>
      <c r="AA258" s="480">
        <v>0.1653</v>
      </c>
      <c r="AB258" s="480">
        <v>0.1699</v>
      </c>
      <c r="AC258" s="481">
        <f>Drivers!AC10</f>
        <v>0.17249999999999999</v>
      </c>
      <c r="AD258" s="481">
        <f>Drivers!AD10</f>
        <v>0.17449999999999999</v>
      </c>
      <c r="AE258" s="481">
        <f>Drivers!AE10</f>
        <v>0.17249999999999999</v>
      </c>
      <c r="AF258" s="481">
        <f>Drivers!AF10</f>
        <v>0.17200000000000001</v>
      </c>
      <c r="AG258" s="481">
        <f>Drivers!AG10</f>
        <v>0.17400000000000002</v>
      </c>
      <c r="AH258" s="481">
        <f>Drivers!AH10</f>
        <v>0.17599999999999999</v>
      </c>
      <c r="AI258" s="481">
        <f>Drivers!AI10</f>
        <v>0.17300000000000001</v>
      </c>
      <c r="AJ258" s="481"/>
      <c r="AK258" s="481"/>
      <c r="AL258" s="481"/>
      <c r="AM258" s="481"/>
      <c r="AN258" s="481"/>
      <c r="AO258" s="481"/>
      <c r="AP258" s="481"/>
      <c r="AQ258" s="481"/>
      <c r="AR258" s="70"/>
      <c r="AS258" s="334" t="s">
        <v>486</v>
      </c>
      <c r="AT258" s="334"/>
      <c r="AU258" s="377">
        <f t="shared" ref="AU258:BA258" si="651">AU173/(AU218*1000)*AU1</f>
        <v>0.17352303523035231</v>
      </c>
      <c r="AV258" s="377">
        <f t="shared" si="651"/>
        <v>0.17624431448992853</v>
      </c>
      <c r="AW258" s="377">
        <f t="shared" si="651"/>
        <v>0.17212962962962963</v>
      </c>
      <c r="AX258" s="377">
        <f t="shared" si="651"/>
        <v>0.17464594127806563</v>
      </c>
      <c r="AY258" s="377">
        <f t="shared" si="651"/>
        <v>0.17340182648401822</v>
      </c>
      <c r="AZ258" s="377">
        <f t="shared" si="651"/>
        <v>0.16993965990126167</v>
      </c>
      <c r="BA258" s="377">
        <f t="shared" si="651"/>
        <v>0.17239221778825553</v>
      </c>
      <c r="BB258" s="377">
        <f t="shared" ref="BB258" si="652">BB173/(BB218*1000)*BB1</f>
        <v>0.17378523569318863</v>
      </c>
      <c r="BC258" s="481">
        <f>Drivers!BC10</f>
        <v>0.17499999999999999</v>
      </c>
      <c r="BD258" s="481">
        <f>Drivers!BD10</f>
        <v>0.17499999999999999</v>
      </c>
      <c r="BE258" s="481">
        <f>Drivers!BE10</f>
        <v>0.17499999999999999</v>
      </c>
      <c r="BM258"/>
      <c r="BN258"/>
      <c r="BO258"/>
      <c r="BP258"/>
      <c r="BQ258"/>
      <c r="BR258"/>
    </row>
    <row r="259" spans="1:70" s="369" customFormat="1" x14ac:dyDescent="0.2">
      <c r="A259" s="411"/>
      <c r="B259" s="334"/>
      <c r="C259" s="334"/>
      <c r="D259" s="480"/>
      <c r="E259" s="480"/>
      <c r="F259" s="480"/>
      <c r="G259" s="480"/>
      <c r="H259" s="480"/>
      <c r="I259" s="480"/>
      <c r="J259" s="480"/>
      <c r="K259" s="480"/>
      <c r="L259" s="480"/>
      <c r="M259" s="480"/>
      <c r="N259" s="480"/>
      <c r="O259" s="480"/>
      <c r="P259" s="480"/>
      <c r="Q259" s="480"/>
      <c r="R259" s="480"/>
      <c r="S259" s="480"/>
      <c r="T259" s="480"/>
      <c r="U259" s="480"/>
      <c r="V259" s="480"/>
      <c r="W259" s="480"/>
      <c r="X259" s="480"/>
      <c r="Y259" s="480"/>
      <c r="Z259" s="480"/>
      <c r="AA259" s="480"/>
      <c r="AB259" s="480"/>
      <c r="AC259" s="321"/>
      <c r="AD259" s="321"/>
      <c r="AE259" s="321"/>
      <c r="AF259" s="321"/>
      <c r="AG259" s="321"/>
      <c r="AH259" s="321"/>
      <c r="AI259" s="321"/>
      <c r="AJ259" s="321"/>
      <c r="AK259" s="321"/>
      <c r="AL259" s="321"/>
      <c r="AM259" s="321"/>
      <c r="AN259" s="321"/>
      <c r="AO259" s="321"/>
      <c r="AP259" s="321"/>
      <c r="AQ259" s="321"/>
      <c r="AR259" s="70"/>
      <c r="AS259" s="334"/>
      <c r="AT259" s="334"/>
      <c r="BM259"/>
      <c r="BN259"/>
      <c r="BO259"/>
      <c r="BP259"/>
      <c r="BQ259"/>
      <c r="BR259"/>
    </row>
    <row r="260" spans="1:70" s="369" customFormat="1" x14ac:dyDescent="0.2">
      <c r="A260" s="411"/>
      <c r="B260" s="337" t="s">
        <v>487</v>
      </c>
      <c r="C260" s="366"/>
      <c r="D260" s="482"/>
      <c r="E260" s="482"/>
      <c r="F260" s="482"/>
      <c r="G260" s="482"/>
      <c r="H260" s="482"/>
      <c r="I260" s="482"/>
      <c r="J260" s="482"/>
      <c r="K260" s="482"/>
      <c r="L260" s="482"/>
      <c r="M260" s="482"/>
      <c r="N260" s="482"/>
      <c r="O260" s="482"/>
      <c r="P260" s="482"/>
      <c r="Q260" s="482"/>
      <c r="R260" s="482"/>
      <c r="S260" s="482"/>
      <c r="T260" s="482"/>
      <c r="U260" s="482"/>
      <c r="V260" s="482"/>
      <c r="W260" s="482"/>
      <c r="X260" s="482"/>
      <c r="Y260" s="482"/>
      <c r="Z260" s="482"/>
      <c r="AA260" s="482"/>
      <c r="AB260" s="482"/>
      <c r="AC260" s="367"/>
      <c r="AD260" s="367"/>
      <c r="AE260" s="367"/>
      <c r="AF260" s="367"/>
      <c r="AG260" s="367"/>
      <c r="AH260" s="367"/>
      <c r="AI260" s="367"/>
      <c r="AJ260" s="367"/>
      <c r="AK260" s="367"/>
      <c r="AL260" s="367"/>
      <c r="AM260" s="367"/>
      <c r="AN260" s="367"/>
      <c r="AO260" s="367"/>
      <c r="AP260" s="367"/>
      <c r="AQ260" s="367"/>
      <c r="AR260" s="70"/>
      <c r="AS260" s="337" t="s">
        <v>487</v>
      </c>
      <c r="AT260" s="366"/>
      <c r="AU260" s="12"/>
      <c r="AV260" s="12"/>
      <c r="AW260" s="12"/>
      <c r="AX260" s="12"/>
      <c r="AY260" s="12"/>
      <c r="AZ260" s="12"/>
      <c r="BA260" s="12"/>
      <c r="BB260" s="12"/>
      <c r="BC260" s="12"/>
      <c r="BD260" s="12"/>
      <c r="BE260" s="12"/>
      <c r="BM260"/>
      <c r="BN260"/>
      <c r="BO260"/>
      <c r="BP260"/>
      <c r="BQ260"/>
      <c r="BR260"/>
    </row>
    <row r="261" spans="1:70" s="369" customFormat="1" x14ac:dyDescent="0.2">
      <c r="A261" s="411"/>
      <c r="B261" s="334" t="s">
        <v>489</v>
      </c>
      <c r="C261" s="321"/>
      <c r="D261" s="384">
        <f t="shared" ref="D261:X261" si="653">(D178/(D215*1000))*D1</f>
        <v>2.0519251740625785E-2</v>
      </c>
      <c r="E261" s="384">
        <f t="shared" si="653"/>
        <v>2.0966702470461868E-2</v>
      </c>
      <c r="F261" s="384">
        <f t="shared" si="653"/>
        <v>2.2669966555183947E-2</v>
      </c>
      <c r="G261" s="384">
        <f t="shared" si="653"/>
        <v>1.9997801515660968E-2</v>
      </c>
      <c r="H261" s="384">
        <f t="shared" si="653"/>
        <v>1.7922635178732736E-2</v>
      </c>
      <c r="I261" s="384">
        <f t="shared" si="653"/>
        <v>1.839331554521428E-2</v>
      </c>
      <c r="J261" s="384">
        <f t="shared" si="653"/>
        <v>8.944746376811594E-3</v>
      </c>
      <c r="K261" s="384">
        <f t="shared" si="653"/>
        <v>8.5654502230282821E-3</v>
      </c>
      <c r="L261" s="384">
        <f t="shared" si="653"/>
        <v>1.0427278924211438E-2</v>
      </c>
      <c r="M261" s="384">
        <f t="shared" si="653"/>
        <v>1.0033046442162618E-2</v>
      </c>
      <c r="N261" s="384">
        <f t="shared" si="653"/>
        <v>1.0532505637867066E-2</v>
      </c>
      <c r="O261" s="384">
        <f t="shared" si="653"/>
        <v>1.2384276089380059E-2</v>
      </c>
      <c r="P261" s="384">
        <f t="shared" si="653"/>
        <v>1.2791635870904164E-2</v>
      </c>
      <c r="Q261" s="384">
        <f t="shared" si="653"/>
        <v>1.0969464110097795E-2</v>
      </c>
      <c r="R261" s="384">
        <f t="shared" si="653"/>
        <v>9.4919946311298586E-3</v>
      </c>
      <c r="S261" s="384">
        <f t="shared" si="653"/>
        <v>8.8456185814377586E-3</v>
      </c>
      <c r="T261" s="483">
        <f t="shared" si="653"/>
        <v>8.3512832682267907E-3</v>
      </c>
      <c r="U261" s="483">
        <f t="shared" si="653"/>
        <v>8.9892644423122184E-3</v>
      </c>
      <c r="V261" s="483">
        <f t="shared" si="653"/>
        <v>9.6482020001418534E-3</v>
      </c>
      <c r="W261" s="483">
        <f t="shared" si="653"/>
        <v>7.9351332398316966E-3</v>
      </c>
      <c r="X261" s="483">
        <f t="shared" si="653"/>
        <v>7.2803234501347706E-3</v>
      </c>
      <c r="Y261" s="483">
        <f t="shared" ref="Y261" si="654">(Y178/(Y215*1000))*Y1</f>
        <v>7.4975807552792968E-3</v>
      </c>
      <c r="Z261" s="483">
        <f t="shared" ref="Z261:AA261" si="655">(Z178/(Z215*1000))*Z1</f>
        <v>8.1028741468483559E-3</v>
      </c>
      <c r="AA261" s="483">
        <f t="shared" si="655"/>
        <v>7.6437971490445249E-3</v>
      </c>
      <c r="AB261" s="483">
        <f>(AB178/(AB215*1000))*AB1</f>
        <v>7.3981942141146118E-3</v>
      </c>
      <c r="AC261" s="484">
        <f>Drivers!AC22</f>
        <v>8.3000000000000001E-3</v>
      </c>
      <c r="AD261" s="484">
        <f>Drivers!AD22</f>
        <v>8.5000000000000006E-3</v>
      </c>
      <c r="AE261" s="484">
        <f>Drivers!AE22</f>
        <v>8.5000000000000006E-3</v>
      </c>
      <c r="AF261" s="484">
        <f>Drivers!AF22</f>
        <v>8.2000000000000007E-3</v>
      </c>
      <c r="AG261" s="484">
        <f>Drivers!AG22</f>
        <v>8.3999999999999995E-3</v>
      </c>
      <c r="AH261" s="484">
        <f>Drivers!AH22</f>
        <v>8.5000000000000006E-3</v>
      </c>
      <c r="AI261" s="484">
        <f>Drivers!AI22</f>
        <v>8.5000000000000006E-3</v>
      </c>
      <c r="AJ261" s="484"/>
      <c r="AK261" s="484"/>
      <c r="AL261" s="484"/>
      <c r="AM261" s="484"/>
      <c r="AN261" s="484"/>
      <c r="AO261" s="484"/>
      <c r="AP261" s="484"/>
      <c r="AQ261" s="484"/>
      <c r="AR261" s="70"/>
      <c r="AS261" s="334" t="s">
        <v>489</v>
      </c>
      <c r="AT261" s="321"/>
      <c r="AU261" s="483">
        <f t="shared" ref="AU261:BA261" si="656">(AU178/(AU215*1000))*AU1</f>
        <v>2.1037998146431883E-2</v>
      </c>
      <c r="AV261" s="483">
        <f t="shared" si="656"/>
        <v>1.3375322072716862E-2</v>
      </c>
      <c r="AW261" s="483">
        <f t="shared" si="656"/>
        <v>1.0848307563727538E-2</v>
      </c>
      <c r="AX261" s="483">
        <f t="shared" si="656"/>
        <v>1.0507677410430211E-2</v>
      </c>
      <c r="AY261" s="483">
        <f t="shared" si="656"/>
        <v>8.7305487305487303E-3</v>
      </c>
      <c r="AZ261" s="483">
        <f t="shared" si="656"/>
        <v>7.6322213181448323E-3</v>
      </c>
      <c r="BA261" s="483">
        <f t="shared" si="656"/>
        <v>8.1799235573986606E-3</v>
      </c>
      <c r="BB261" s="483">
        <f t="shared" ref="BB261" si="657">(BB178/(BB215*1000))*BB1</f>
        <v>8.4021170878545871E-3</v>
      </c>
      <c r="BC261" s="484">
        <f>Drivers!BC22</f>
        <v>8.6999999999999994E-3</v>
      </c>
      <c r="BD261" s="484">
        <f>Drivers!BD22</f>
        <v>8.9999999999999993E-3</v>
      </c>
      <c r="BE261" s="484">
        <f>Drivers!BE22</f>
        <v>8.9999999999999993E-3</v>
      </c>
      <c r="BM261"/>
      <c r="BN261"/>
      <c r="BO261"/>
      <c r="BP261"/>
      <c r="BQ261"/>
      <c r="BR261"/>
    </row>
    <row r="262" spans="1:70" x14ac:dyDescent="0.2">
      <c r="B262" s="334" t="s">
        <v>674</v>
      </c>
      <c r="C262" s="16"/>
      <c r="D262" s="23">
        <f t="shared" ref="D262:X262" si="658">D179/(D243*1000)</f>
        <v>9.8952879581151836E-3</v>
      </c>
      <c r="E262" s="23">
        <f t="shared" si="658"/>
        <v>9.3382352941176472E-3</v>
      </c>
      <c r="F262" s="23">
        <f t="shared" si="658"/>
        <v>1.054590570719603E-2</v>
      </c>
      <c r="G262" s="23">
        <f t="shared" si="658"/>
        <v>1.0288461538461538E-2</v>
      </c>
      <c r="H262" s="23">
        <f t="shared" si="658"/>
        <v>9.9214659685863873E-3</v>
      </c>
      <c r="I262" s="23">
        <f t="shared" si="658"/>
        <v>7.995226730310263E-3</v>
      </c>
      <c r="J262" s="23">
        <f t="shared" si="658"/>
        <v>9.5683453237410069E-3</v>
      </c>
      <c r="K262" s="23">
        <f t="shared" si="658"/>
        <v>9.5622119815668202E-3</v>
      </c>
      <c r="L262" s="23">
        <f t="shared" si="658"/>
        <v>9.3939393939393937E-3</v>
      </c>
      <c r="M262" s="23">
        <f t="shared" si="658"/>
        <v>8.9749430523918001E-3</v>
      </c>
      <c r="N262" s="23">
        <f t="shared" si="658"/>
        <v>1.0092378752886835E-2</v>
      </c>
      <c r="O262" s="23">
        <f t="shared" si="658"/>
        <v>9.8226164079822618E-3</v>
      </c>
      <c r="P262" s="23">
        <f t="shared" si="658"/>
        <v>9.8288508557457209E-3</v>
      </c>
      <c r="Q262" s="23">
        <f t="shared" si="658"/>
        <v>7.6138828633405637E-3</v>
      </c>
      <c r="R262" s="23">
        <f t="shared" si="658"/>
        <v>6.6952789699570815E-3</v>
      </c>
      <c r="S262" s="23">
        <f t="shared" si="658"/>
        <v>6.2040816326530612E-3</v>
      </c>
      <c r="T262" s="310">
        <f t="shared" si="658"/>
        <v>5.8387799564270154E-3</v>
      </c>
      <c r="U262" s="310">
        <f t="shared" si="658"/>
        <v>5.5555555555555558E-3</v>
      </c>
      <c r="V262" s="310">
        <f t="shared" si="658"/>
        <v>4.4870041039671684E-3</v>
      </c>
      <c r="W262" s="310">
        <f t="shared" si="658"/>
        <v>4.4076433121019104E-3</v>
      </c>
      <c r="X262" s="310">
        <f t="shared" si="658"/>
        <v>4.2896551724137932E-3</v>
      </c>
      <c r="Y262" s="310">
        <f t="shared" ref="Y262" si="659">Y179/(Y243*1000)</f>
        <v>3.6149068322981369E-3</v>
      </c>
      <c r="Z262" s="310">
        <f t="shared" ref="Z262" si="660">Z179/(Z243*1000)</f>
        <v>4.0920398009950251E-3</v>
      </c>
      <c r="AA262" s="310">
        <f>AA179/(AA243*1000)</f>
        <v>4.2989571263035925E-3</v>
      </c>
      <c r="AB262" s="310">
        <f>AB179/(AB243*1000)</f>
        <v>5.4961832061068703E-3</v>
      </c>
      <c r="AC262" s="484">
        <f>Drivers!AC23</f>
        <v>3.0000000000000001E-3</v>
      </c>
      <c r="AD262" s="484">
        <f>Drivers!AD23</f>
        <v>3.0000000000000001E-3</v>
      </c>
      <c r="AE262" s="484">
        <f>Drivers!AE23</f>
        <v>3.0000000000000001E-3</v>
      </c>
      <c r="AF262" s="484">
        <f>Drivers!AF23</f>
        <v>3.3E-3</v>
      </c>
      <c r="AG262" s="484">
        <f>Drivers!AG23</f>
        <v>3.3E-3</v>
      </c>
      <c r="AH262" s="484">
        <f>Drivers!AH23</f>
        <v>3.3E-3</v>
      </c>
      <c r="AI262" s="484">
        <f>Drivers!AI23</f>
        <v>3.3E-3</v>
      </c>
      <c r="AJ262" s="484"/>
      <c r="AK262" s="484"/>
      <c r="AL262" s="484"/>
      <c r="AM262" s="484"/>
      <c r="AN262" s="484"/>
      <c r="AO262" s="484"/>
      <c r="AP262" s="484"/>
      <c r="AQ262" s="484"/>
      <c r="AS262" s="334" t="s">
        <v>490</v>
      </c>
      <c r="AT262" s="16"/>
      <c r="AU262" s="310">
        <f t="shared" ref="AU262:BA263" si="661">AU179/(AU243*1000)</f>
        <v>1.0018645121193288E-2</v>
      </c>
      <c r="AV262" s="310">
        <f t="shared" si="661"/>
        <v>9.2493946731234868E-3</v>
      </c>
      <c r="AW262" s="310">
        <f t="shared" si="661"/>
        <v>9.5753344968004649E-3</v>
      </c>
      <c r="AX262" s="310">
        <f t="shared" si="661"/>
        <v>7.4972617743702084E-3</v>
      </c>
      <c r="AY262" s="310">
        <f t="shared" si="661"/>
        <v>4.9361532322426179E-3</v>
      </c>
      <c r="AZ262" s="310">
        <f t="shared" si="661"/>
        <v>4.0725680325304978E-3</v>
      </c>
      <c r="BA262" s="310">
        <f t="shared" si="661"/>
        <v>3.5677477602611297E-3</v>
      </c>
      <c r="BB262" s="310">
        <f t="shared" ref="BB262" si="662">BB179/(BB243*1000)</f>
        <v>3.3E-3</v>
      </c>
      <c r="BC262" s="484">
        <f>Drivers!BC23</f>
        <v>3.5000000000000001E-3</v>
      </c>
      <c r="BD262" s="484">
        <f>Drivers!BD23</f>
        <v>3.5000000000000001E-3</v>
      </c>
      <c r="BE262" s="484">
        <f>Drivers!BE23</f>
        <v>3.5000000000000001E-3</v>
      </c>
    </row>
    <row r="263" spans="1:70" x14ac:dyDescent="0.2">
      <c r="B263" s="334" t="s">
        <v>488</v>
      </c>
      <c r="C263" s="16"/>
      <c r="D263" s="23">
        <f t="shared" ref="D263:X263" si="663">D180/(D244*1000)</f>
        <v>-4.8387096774193551E-3</v>
      </c>
      <c r="E263" s="23">
        <f t="shared" si="663"/>
        <v>-4.3646408839779008E-3</v>
      </c>
      <c r="F263" s="23">
        <f t="shared" si="663"/>
        <v>-5.3142857142857141E-3</v>
      </c>
      <c r="G263" s="23">
        <f t="shared" si="663"/>
        <v>-6.2254901960784315E-3</v>
      </c>
      <c r="H263" s="23">
        <f t="shared" si="663"/>
        <v>-9.2156862745098045E-3</v>
      </c>
      <c r="I263" s="23">
        <f t="shared" si="663"/>
        <v>-5.6830601092896175E-3</v>
      </c>
      <c r="J263" s="23">
        <f t="shared" si="663"/>
        <v>-8.5082872928176796E-3</v>
      </c>
      <c r="K263" s="23">
        <f t="shared" si="663"/>
        <v>-8.2832618025751072E-3</v>
      </c>
      <c r="L263" s="23">
        <f t="shared" si="663"/>
        <v>-1.1616766467065867E-2</v>
      </c>
      <c r="M263" s="23">
        <f t="shared" si="663"/>
        <v>-1.1225490196078431E-2</v>
      </c>
      <c r="N263" s="23">
        <f t="shared" si="663"/>
        <v>-1.2081218274111676E-2</v>
      </c>
      <c r="O263" s="23">
        <f t="shared" si="663"/>
        <v>-1.3319148936170212E-2</v>
      </c>
      <c r="P263" s="23">
        <f t="shared" si="663"/>
        <v>-1.5030303030303031E-2</v>
      </c>
      <c r="Q263" s="23">
        <f t="shared" si="663"/>
        <v>-1.292079207920792E-2</v>
      </c>
      <c r="R263" s="23">
        <f t="shared" si="663"/>
        <v>-1.5606060606060606E-2</v>
      </c>
      <c r="S263" s="23">
        <f t="shared" si="663"/>
        <v>-1.4638297872340425E-2</v>
      </c>
      <c r="T263" s="310">
        <f t="shared" si="663"/>
        <v>-1.2485207100591715E-2</v>
      </c>
      <c r="U263" s="310">
        <f t="shared" si="663"/>
        <v>-1.6119402985074627E-2</v>
      </c>
      <c r="V263" s="310">
        <f t="shared" si="663"/>
        <v>-1.5685279187817258E-2</v>
      </c>
      <c r="W263" s="310">
        <f t="shared" si="663"/>
        <v>-1.5689655172413792E-2</v>
      </c>
      <c r="X263" s="310">
        <f t="shared" si="663"/>
        <v>-1.8698224852071007E-2</v>
      </c>
      <c r="Y263" s="310">
        <f t="shared" ref="Y263" si="664">Y180/(Y244*1000)</f>
        <v>-1.5679611650485436E-2</v>
      </c>
      <c r="Z263" s="310">
        <f t="shared" ref="Z263:AA263" si="665">Z180/(Z244*1000)</f>
        <v>-1.6650000000000002E-2</v>
      </c>
      <c r="AA263" s="310">
        <f t="shared" si="665"/>
        <v>-1.4661016949152542E-2</v>
      </c>
      <c r="AB263" s="310">
        <f t="shared" ref="AB263" si="666">AB180/(AB244*1000)</f>
        <v>-2.0402298850574714E-2</v>
      </c>
      <c r="AC263" s="484">
        <f>Drivers!AC24</f>
        <v>-1.9E-2</v>
      </c>
      <c r="AD263" s="484">
        <f>Drivers!AD24</f>
        <v>-1.8499999999999999E-2</v>
      </c>
      <c r="AE263" s="484">
        <f>Drivers!AE24</f>
        <v>-1.8499999999999999E-2</v>
      </c>
      <c r="AF263" s="484">
        <f>Drivers!AF24</f>
        <v>-1.8499999999999999E-2</v>
      </c>
      <c r="AG263" s="484">
        <f>Drivers!AG24</f>
        <v>-1.9E-2</v>
      </c>
      <c r="AH263" s="484">
        <f>Drivers!AH24</f>
        <v>-1.95E-2</v>
      </c>
      <c r="AI263" s="484">
        <f>Drivers!AI24</f>
        <v>-2.0500000000000001E-2</v>
      </c>
      <c r="AJ263" s="484"/>
      <c r="AK263" s="484"/>
      <c r="AL263" s="484"/>
      <c r="AM263" s="484"/>
      <c r="AN263" s="484"/>
      <c r="AO263" s="484"/>
      <c r="AP263" s="484"/>
      <c r="AQ263" s="484"/>
      <c r="AS263" s="334" t="s">
        <v>488</v>
      </c>
      <c r="AT263" s="16"/>
      <c r="AU263" s="310">
        <f t="shared" si="661"/>
        <v>-5.2307692307692307E-3</v>
      </c>
      <c r="AV263" s="310">
        <f t="shared" si="661"/>
        <v>-7.8933333333333338E-3</v>
      </c>
      <c r="AW263" s="310">
        <f t="shared" si="661"/>
        <v>-1.2129514321295142E-2</v>
      </c>
      <c r="AX263" s="310">
        <f t="shared" si="661"/>
        <v>-1.4525E-2</v>
      </c>
      <c r="AY263" s="310">
        <f t="shared" si="661"/>
        <v>-1.5118898623279099E-2</v>
      </c>
      <c r="AZ263" s="310">
        <f t="shared" si="661"/>
        <v>-1.6251541307028359E-2</v>
      </c>
      <c r="BA263" s="310">
        <f t="shared" si="661"/>
        <v>-1.9023326900255325E-2</v>
      </c>
      <c r="BB263" s="310">
        <f t="shared" ref="BB263" si="667">BB180/(BB244*1000)</f>
        <v>-1.9456253071694858E-2</v>
      </c>
      <c r="BC263" s="485">
        <f>Drivers!BC24</f>
        <v>-2.1000000000000001E-2</v>
      </c>
      <c r="BD263" s="485">
        <f>Drivers!BD24</f>
        <v>-2.1000000000000001E-2</v>
      </c>
      <c r="BE263" s="485">
        <f>Drivers!BE24</f>
        <v>-2.1000000000000001E-2</v>
      </c>
    </row>
    <row r="264" spans="1:70" x14ac:dyDescent="0.2">
      <c r="B264" s="334"/>
      <c r="C264" s="16"/>
      <c r="D264" s="23"/>
      <c r="E264" s="23"/>
      <c r="F264" s="23"/>
      <c r="G264" s="23"/>
      <c r="H264" s="23"/>
      <c r="I264" s="23"/>
      <c r="J264" s="23"/>
      <c r="K264" s="23"/>
      <c r="L264" s="23"/>
      <c r="M264" s="23"/>
      <c r="N264" s="23"/>
      <c r="O264" s="23"/>
      <c r="P264" s="23"/>
      <c r="Q264" s="23"/>
      <c r="R264" s="23"/>
      <c r="S264" s="23"/>
      <c r="T264" s="23"/>
      <c r="U264" s="23"/>
      <c r="V264" s="23"/>
      <c r="W264" s="23"/>
      <c r="X264" s="23"/>
      <c r="Y264" s="23"/>
      <c r="Z264" s="23"/>
      <c r="AA264" s="23"/>
      <c r="AB264" s="23"/>
      <c r="AC264" s="15"/>
      <c r="AD264" s="15"/>
      <c r="AE264" s="15"/>
      <c r="AF264" s="15"/>
      <c r="AG264" s="15"/>
      <c r="AH264" s="15"/>
      <c r="AI264" s="15"/>
      <c r="AJ264" s="15"/>
      <c r="AK264" s="15"/>
      <c r="AL264" s="15"/>
      <c r="AM264" s="15"/>
      <c r="AN264" s="15"/>
      <c r="AO264" s="15"/>
      <c r="AP264" s="15"/>
      <c r="AQ264" s="15"/>
      <c r="AS264" s="334"/>
      <c r="AT264" s="16"/>
    </row>
    <row r="265" spans="1:70" x14ac:dyDescent="0.2">
      <c r="B265" s="11" t="s">
        <v>216</v>
      </c>
      <c r="C265" s="11"/>
      <c r="D265" s="12"/>
      <c r="E265" s="12"/>
      <c r="F265" s="12"/>
      <c r="G265" s="12"/>
      <c r="H265" s="12"/>
      <c r="I265" s="12"/>
      <c r="J265" s="12"/>
      <c r="K265" s="12"/>
      <c r="L265" s="12"/>
      <c r="M265" s="12"/>
      <c r="N265" s="12"/>
      <c r="O265" s="12"/>
      <c r="P265" s="12"/>
      <c r="Q265" s="12"/>
      <c r="R265" s="12"/>
      <c r="S265" s="12"/>
      <c r="T265" s="12"/>
      <c r="U265" s="12"/>
      <c r="V265" s="12"/>
      <c r="W265" s="12"/>
      <c r="X265" s="12"/>
      <c r="Y265" s="12"/>
      <c r="Z265" s="12"/>
      <c r="AA265" s="12"/>
      <c r="AB265" s="12"/>
      <c r="AC265" s="12"/>
      <c r="AD265" s="12"/>
      <c r="AE265" s="12"/>
      <c r="AF265" s="12"/>
      <c r="AG265" s="12"/>
      <c r="AH265" s="12"/>
      <c r="AI265" s="12"/>
      <c r="AJ265" s="12"/>
      <c r="AK265" s="12"/>
      <c r="AL265" s="12"/>
      <c r="AM265" s="12"/>
      <c r="AN265" s="12"/>
      <c r="AO265" s="12"/>
      <c r="AP265" s="12"/>
      <c r="AQ265" s="12"/>
      <c r="AS265" s="11" t="s">
        <v>216</v>
      </c>
      <c r="AT265" s="11"/>
      <c r="AU265" s="12"/>
      <c r="AV265" s="12"/>
      <c r="AW265" s="12"/>
      <c r="AX265" s="12"/>
      <c r="AY265" s="12"/>
      <c r="AZ265" s="12"/>
      <c r="BA265" s="12"/>
      <c r="BB265" s="12"/>
      <c r="BC265" s="12"/>
      <c r="BD265" s="12"/>
      <c r="BE265" s="12"/>
    </row>
    <row r="266" spans="1:70" s="351" customFormat="1" x14ac:dyDescent="0.2">
      <c r="A266" s="411"/>
      <c r="B266" s="334" t="s">
        <v>220</v>
      </c>
      <c r="C266" s="334"/>
      <c r="D266" s="486">
        <v>1142</v>
      </c>
      <c r="E266" s="486">
        <v>1144</v>
      </c>
      <c r="F266" s="486">
        <v>1337</v>
      </c>
      <c r="G266" s="486">
        <v>1407</v>
      </c>
      <c r="H266" s="486">
        <v>1331</v>
      </c>
      <c r="I266" s="486">
        <v>1312</v>
      </c>
      <c r="J266" s="486">
        <v>1472</v>
      </c>
      <c r="K266" s="486">
        <v>1529</v>
      </c>
      <c r="L266" s="486">
        <v>1429</v>
      </c>
      <c r="M266" s="486">
        <v>1454</v>
      </c>
      <c r="N266" s="486">
        <v>1588</v>
      </c>
      <c r="O266" s="486">
        <v>1605</v>
      </c>
      <c r="P266" s="486">
        <v>1506</v>
      </c>
      <c r="Q266" s="486">
        <v>1420</v>
      </c>
      <c r="R266" s="486">
        <v>1475</v>
      </c>
      <c r="S266" s="486">
        <v>1474</v>
      </c>
      <c r="T266" s="486">
        <v>1401</v>
      </c>
      <c r="U266" s="486">
        <v>1415</v>
      </c>
      <c r="V266" s="486">
        <v>1740</v>
      </c>
      <c r="W266" s="486">
        <v>1670</v>
      </c>
      <c r="X266" s="486">
        <v>1461</v>
      </c>
      <c r="Y266" s="486">
        <v>1466</v>
      </c>
      <c r="Z266" s="486">
        <v>1564</v>
      </c>
      <c r="AA266" s="486">
        <v>1610</v>
      </c>
      <c r="AB266" s="486">
        <v>1573</v>
      </c>
      <c r="AC266" s="321"/>
      <c r="AD266" s="321"/>
      <c r="AE266" s="321"/>
      <c r="AF266" s="321"/>
      <c r="AG266" s="321"/>
      <c r="AH266" s="321"/>
      <c r="AI266" s="321"/>
      <c r="AJ266" s="321"/>
      <c r="AK266" s="321"/>
      <c r="AL266" s="321"/>
      <c r="AM266" s="321"/>
      <c r="AN266" s="321"/>
      <c r="AO266" s="321"/>
      <c r="AP266" s="321"/>
      <c r="AQ266" s="321"/>
      <c r="AR266" s="70"/>
      <c r="AS266" s="334" t="s">
        <v>220</v>
      </c>
      <c r="AT266" s="334"/>
      <c r="AU266" s="232">
        <f>SUM(D266:G266)</f>
        <v>5030</v>
      </c>
      <c r="AV266" s="232">
        <f>SUM(H266:K266)</f>
        <v>5644</v>
      </c>
      <c r="AW266" s="232">
        <f>SUM(L266:O266)</f>
        <v>6076</v>
      </c>
      <c r="AX266" s="232">
        <f>SUM(P266:S266)</f>
        <v>5875</v>
      </c>
      <c r="AY266" s="232">
        <f>SUM(T266:W266)</f>
        <v>6226</v>
      </c>
      <c r="AZ266" s="252" t="s">
        <v>226</v>
      </c>
      <c r="BA266" s="252" t="s">
        <v>226</v>
      </c>
      <c r="BB266" s="252" t="s">
        <v>226</v>
      </c>
      <c r="BC266" s="252" t="s">
        <v>226</v>
      </c>
      <c r="BD266" s="252" t="s">
        <v>226</v>
      </c>
      <c r="BE266" s="252" t="s">
        <v>226</v>
      </c>
      <c r="BM266"/>
      <c r="BN266"/>
      <c r="BO266"/>
      <c r="BP266"/>
      <c r="BQ266"/>
      <c r="BR266"/>
    </row>
    <row r="267" spans="1:70" s="351" customFormat="1" x14ac:dyDescent="0.2">
      <c r="A267" s="411"/>
      <c r="B267" s="334"/>
      <c r="C267" s="334" t="s">
        <v>221</v>
      </c>
      <c r="D267" s="384">
        <v>6.25E-2</v>
      </c>
      <c r="E267" s="384">
        <v>6.4199999999999993E-2</v>
      </c>
      <c r="F267" s="384">
        <v>7.4399999999999994E-2</v>
      </c>
      <c r="G267" s="384">
        <v>7.8700000000000006E-2</v>
      </c>
      <c r="H267" s="384">
        <v>7.7399999999999997E-2</v>
      </c>
      <c r="I267" s="384">
        <v>7.6899999999999996E-2</v>
      </c>
      <c r="J267" s="384">
        <v>8.5400000000000004E-2</v>
      </c>
      <c r="K267" s="384">
        <v>8.8900000000000007E-2</v>
      </c>
      <c r="L267" s="384">
        <v>8.5900000000000004E-2</v>
      </c>
      <c r="M267" s="384">
        <v>8.7800000000000003E-2</v>
      </c>
      <c r="N267" s="384">
        <v>9.5299999999999996E-2</v>
      </c>
      <c r="O267" s="384">
        <v>9.69E-2</v>
      </c>
      <c r="P267" s="384">
        <v>9.5299999999999996E-2</v>
      </c>
      <c r="Q267" s="384">
        <v>9.01E-2</v>
      </c>
      <c r="R267" s="384">
        <v>9.1600000000000001E-2</v>
      </c>
      <c r="S267" s="384">
        <v>9.0499999999999997E-2</v>
      </c>
      <c r="T267" s="480">
        <v>8.7099999999999997E-2</v>
      </c>
      <c r="U267" s="480">
        <v>8.5300000000000001E-2</v>
      </c>
      <c r="V267" s="480">
        <v>8.7400000000000005E-2</v>
      </c>
      <c r="W267" s="480">
        <v>8.09E-2</v>
      </c>
      <c r="X267" s="480">
        <v>7.17E-2</v>
      </c>
      <c r="Y267" s="480">
        <v>7.0599999999999996E-2</v>
      </c>
      <c r="Z267" s="480">
        <v>7.2700000000000001E-2</v>
      </c>
      <c r="AA267" s="480">
        <v>7.3599999999999999E-2</v>
      </c>
      <c r="AB267" s="480">
        <v>7.3400000000000007E-2</v>
      </c>
      <c r="AC267" s="321"/>
      <c r="AD267" s="321"/>
      <c r="AE267" s="321"/>
      <c r="AF267" s="321"/>
      <c r="AG267" s="321"/>
      <c r="AH267" s="321"/>
      <c r="AI267" s="321"/>
      <c r="AJ267" s="321"/>
      <c r="AK267" s="321"/>
      <c r="AL267" s="321"/>
      <c r="AM267" s="321"/>
      <c r="AN267" s="321"/>
      <c r="AO267" s="321"/>
      <c r="AP267" s="321"/>
      <c r="AQ267" s="321"/>
      <c r="AR267" s="70"/>
      <c r="AS267" s="334"/>
      <c r="AT267" s="334" t="s">
        <v>221</v>
      </c>
      <c r="AU267" s="487">
        <f t="shared" ref="AU267:BD267" si="668">IFERROR(AU266/(AU217*1000)/AU1,"NA")</f>
        <v>6.9909659485754005E-2</v>
      </c>
      <c r="AV267" s="487">
        <f t="shared" si="668"/>
        <v>8.2184200946487054E-2</v>
      </c>
      <c r="AW267" s="487">
        <f t="shared" si="668"/>
        <v>9.147158449378999E-2</v>
      </c>
      <c r="AX267" s="487">
        <f t="shared" si="668"/>
        <v>9.1868647380766236E-2</v>
      </c>
      <c r="AY267" s="487">
        <f t="shared" si="668"/>
        <v>8.5083703450632028E-2</v>
      </c>
      <c r="AZ267" s="487" t="str">
        <f t="shared" si="668"/>
        <v>NA</v>
      </c>
      <c r="BA267" s="487" t="str">
        <f t="shared" si="668"/>
        <v>NA</v>
      </c>
      <c r="BB267" s="487" t="str">
        <f t="shared" ref="BB267" si="669">IFERROR(BB266/(BB217*1000)/BB1,"NA")</f>
        <v>NA</v>
      </c>
      <c r="BC267" s="487" t="str">
        <f t="shared" si="668"/>
        <v>NA</v>
      </c>
      <c r="BD267" s="487" t="str">
        <f t="shared" si="668"/>
        <v>NA</v>
      </c>
      <c r="BE267" s="487" t="str">
        <f t="shared" ref="BE267" si="670">IFERROR(BE266/(BE217*1000)/BE1,"NA")</f>
        <v>NA</v>
      </c>
      <c r="BM267"/>
      <c r="BN267"/>
      <c r="BO267"/>
      <c r="BP267"/>
      <c r="BQ267"/>
      <c r="BR267"/>
    </row>
    <row r="268" spans="1:70" s="255" customFormat="1" x14ac:dyDescent="0.2">
      <c r="A268" s="829"/>
      <c r="B268" s="16"/>
      <c r="C268" s="16"/>
      <c r="D268" s="19"/>
      <c r="E268" s="19"/>
      <c r="F268" s="19"/>
      <c r="G268" s="19"/>
      <c r="H268" s="19"/>
      <c r="I268" s="19"/>
      <c r="J268" s="19"/>
      <c r="K268" s="19"/>
      <c r="L268" s="19"/>
      <c r="M268" s="19"/>
      <c r="N268" s="19"/>
      <c r="O268" s="19"/>
      <c r="P268" s="19"/>
      <c r="Q268" s="19"/>
      <c r="R268" s="19"/>
      <c r="S268" s="19"/>
      <c r="T268" s="19"/>
      <c r="U268" s="19"/>
      <c r="V268" s="19"/>
      <c r="W268" s="19"/>
      <c r="X268" s="19"/>
      <c r="Y268" s="19"/>
      <c r="Z268" s="19"/>
      <c r="AA268" s="19"/>
      <c r="AB268" s="19"/>
      <c r="AC268" s="19"/>
      <c r="AD268" s="19"/>
      <c r="AE268" s="19"/>
      <c r="AF268" s="19"/>
      <c r="AG268" s="19"/>
      <c r="AH268" s="19"/>
      <c r="AI268" s="19"/>
      <c r="AJ268" s="19"/>
      <c r="AK268" s="19"/>
      <c r="AL268" s="19"/>
      <c r="AM268" s="19"/>
      <c r="AN268" s="19"/>
      <c r="AO268" s="19"/>
      <c r="AP268" s="19"/>
      <c r="AQ268" s="19"/>
      <c r="AR268" s="70"/>
      <c r="AS268" s="16"/>
      <c r="AT268" s="16"/>
      <c r="AU268" s="233"/>
      <c r="AV268" s="233"/>
      <c r="AW268" s="233"/>
      <c r="AX268" s="233"/>
      <c r="AY268" s="233"/>
      <c r="AZ268" s="252"/>
      <c r="BA268" s="252"/>
      <c r="BB268" s="252"/>
      <c r="BC268" s="252"/>
      <c r="BD268" s="252"/>
      <c r="BE268" s="252"/>
      <c r="BM268"/>
      <c r="BN268"/>
      <c r="BO268"/>
      <c r="BP268"/>
      <c r="BQ268"/>
      <c r="BR268"/>
    </row>
    <row r="269" spans="1:70" s="241" customFormat="1" x14ac:dyDescent="0.2">
      <c r="A269" s="411"/>
      <c r="B269" s="11" t="s">
        <v>222</v>
      </c>
      <c r="C269" s="11"/>
      <c r="D269" s="12"/>
      <c r="E269" s="12"/>
      <c r="F269" s="12"/>
      <c r="G269" s="12"/>
      <c r="H269" s="12"/>
      <c r="I269" s="12"/>
      <c r="J269" s="12"/>
      <c r="K269" s="12"/>
      <c r="L269" s="12"/>
      <c r="M269" s="12"/>
      <c r="N269" s="12"/>
      <c r="O269" s="12"/>
      <c r="P269" s="12"/>
      <c r="Q269" s="12"/>
      <c r="R269" s="12"/>
      <c r="S269" s="12"/>
      <c r="T269" s="12"/>
      <c r="U269" s="12"/>
      <c r="V269" s="12"/>
      <c r="W269" s="12"/>
      <c r="X269" s="12"/>
      <c r="Y269" s="12"/>
      <c r="Z269" s="12"/>
      <c r="AA269" s="12"/>
      <c r="AB269" s="12"/>
      <c r="AC269" s="12"/>
      <c r="AD269" s="12"/>
      <c r="AE269" s="12"/>
      <c r="AF269" s="12"/>
      <c r="AG269" s="12"/>
      <c r="AH269" s="12"/>
      <c r="AI269" s="12"/>
      <c r="AJ269" s="12"/>
      <c r="AK269" s="12"/>
      <c r="AL269" s="12"/>
      <c r="AM269" s="12"/>
      <c r="AN269" s="12"/>
      <c r="AO269" s="12"/>
      <c r="AP269" s="12"/>
      <c r="AQ269" s="12"/>
      <c r="AR269" s="70"/>
      <c r="AS269" s="11" t="s">
        <v>222</v>
      </c>
      <c r="AT269" s="11"/>
      <c r="AU269" s="232"/>
      <c r="AV269" s="232"/>
      <c r="AW269" s="232"/>
      <c r="AX269" s="232"/>
      <c r="AY269" s="232"/>
      <c r="AZ269" s="252"/>
      <c r="BA269" s="252"/>
      <c r="BB269" s="252"/>
      <c r="BC269" s="252"/>
      <c r="BD269" s="252"/>
      <c r="BE269" s="252"/>
      <c r="BM269"/>
      <c r="BN269"/>
      <c r="BO269"/>
      <c r="BP269"/>
      <c r="BQ269"/>
      <c r="BR269"/>
    </row>
    <row r="270" spans="1:70" s="351" customFormat="1" x14ac:dyDescent="0.2">
      <c r="A270" s="411"/>
      <c r="B270" s="334" t="s">
        <v>223</v>
      </c>
      <c r="C270" s="334"/>
      <c r="D270" s="486">
        <v>816</v>
      </c>
      <c r="E270" s="486">
        <v>842</v>
      </c>
      <c r="F270" s="486">
        <v>997</v>
      </c>
      <c r="G270" s="486">
        <v>1009</v>
      </c>
      <c r="H270" s="486">
        <v>994</v>
      </c>
      <c r="I270" s="486">
        <v>993</v>
      </c>
      <c r="J270" s="486">
        <v>1082</v>
      </c>
      <c r="K270" s="486">
        <v>1185</v>
      </c>
      <c r="L270" s="486">
        <v>1141</v>
      </c>
      <c r="M270" s="486">
        <v>1111</v>
      </c>
      <c r="N270" s="486">
        <v>1181</v>
      </c>
      <c r="O270" s="486">
        <v>1139</v>
      </c>
      <c r="P270" s="486">
        <v>1196</v>
      </c>
      <c r="Q270" s="486">
        <v>1119</v>
      </c>
      <c r="R270" s="486">
        <v>1206</v>
      </c>
      <c r="S270" s="486">
        <v>1168</v>
      </c>
      <c r="T270" s="486">
        <v>1222</v>
      </c>
      <c r="U270" s="486">
        <v>1063</v>
      </c>
      <c r="V270" s="486">
        <v>1182</v>
      </c>
      <c r="W270" s="486">
        <v>1096</v>
      </c>
      <c r="X270" s="486">
        <v>1067</v>
      </c>
      <c r="Y270" s="486">
        <v>1037</v>
      </c>
      <c r="Z270" s="486">
        <v>1108</v>
      </c>
      <c r="AA270" s="486">
        <v>1038</v>
      </c>
      <c r="AB270" s="486">
        <v>1012</v>
      </c>
      <c r="AC270" s="321"/>
      <c r="AD270" s="321"/>
      <c r="AE270" s="321"/>
      <c r="AF270" s="321"/>
      <c r="AG270" s="321"/>
      <c r="AH270" s="321"/>
      <c r="AI270" s="321"/>
      <c r="AJ270" s="321"/>
      <c r="AK270" s="321"/>
      <c r="AL270" s="321"/>
      <c r="AM270" s="321"/>
      <c r="AN270" s="321"/>
      <c r="AO270" s="321"/>
      <c r="AP270" s="321"/>
      <c r="AQ270" s="321"/>
      <c r="AR270" s="70"/>
      <c r="AS270" s="334" t="s">
        <v>223</v>
      </c>
      <c r="AT270" s="334"/>
      <c r="AU270" s="232">
        <f>SUM(D270:G270)</f>
        <v>3664</v>
      </c>
      <c r="AV270" s="232">
        <f>SUM(H270:K270)</f>
        <v>4254</v>
      </c>
      <c r="AW270" s="232">
        <f>SUM(L270:O270)</f>
        <v>4572</v>
      </c>
      <c r="AX270" s="232">
        <f>SUM(P270:S270)</f>
        <v>4689</v>
      </c>
      <c r="AY270" s="232">
        <f>SUM(T270:W270)</f>
        <v>4563</v>
      </c>
      <c r="AZ270" s="252" t="s">
        <v>226</v>
      </c>
      <c r="BA270" s="252" t="s">
        <v>226</v>
      </c>
      <c r="BB270" s="252" t="s">
        <v>226</v>
      </c>
      <c r="BC270" s="252" t="s">
        <v>226</v>
      </c>
      <c r="BD270" s="252" t="s">
        <v>226</v>
      </c>
      <c r="BE270" s="252" t="s">
        <v>226</v>
      </c>
      <c r="BM270"/>
      <c r="BN270"/>
      <c r="BO270"/>
      <c r="BP270"/>
      <c r="BQ270"/>
      <c r="BR270"/>
    </row>
    <row r="271" spans="1:70" s="369" customFormat="1" x14ac:dyDescent="0.2">
      <c r="A271" s="411"/>
      <c r="B271" s="334"/>
      <c r="C271" s="334" t="s">
        <v>221</v>
      </c>
      <c r="D271" s="384">
        <v>8.7300000000000003E-2</v>
      </c>
      <c r="E271" s="384">
        <v>9.2799999999999994E-2</v>
      </c>
      <c r="F271" s="384">
        <v>0.1087</v>
      </c>
      <c r="G271" s="384">
        <v>0.1085</v>
      </c>
      <c r="H271" s="384">
        <v>0.10979999999999999</v>
      </c>
      <c r="I271" s="384">
        <v>0.1113</v>
      </c>
      <c r="J271" s="384">
        <v>0.11360000000000001</v>
      </c>
      <c r="K271" s="384">
        <v>0.10780000000000001</v>
      </c>
      <c r="L271" s="384">
        <v>0.1061</v>
      </c>
      <c r="M271" s="384">
        <v>0.1051</v>
      </c>
      <c r="N271" s="384">
        <v>0.10920000000000001</v>
      </c>
      <c r="O271" s="384">
        <v>0.10290000000000001</v>
      </c>
      <c r="P271" s="384">
        <v>0.1105</v>
      </c>
      <c r="Q271" s="384">
        <v>0.10539999999999999</v>
      </c>
      <c r="R271" s="384">
        <v>0.111</v>
      </c>
      <c r="S271" s="384">
        <v>0.1051</v>
      </c>
      <c r="T271" s="480">
        <v>0.11169999999999999</v>
      </c>
      <c r="U271" s="480">
        <v>0.10009999999999999</v>
      </c>
      <c r="V271" s="480">
        <v>0.1079</v>
      </c>
      <c r="W271" s="480">
        <v>9.7100000000000006E-2</v>
      </c>
      <c r="X271" s="480">
        <v>9.5500000000000002E-2</v>
      </c>
      <c r="Y271" s="480">
        <v>9.35E-2</v>
      </c>
      <c r="Z271" s="480">
        <v>9.64E-2</v>
      </c>
      <c r="AA271" s="480">
        <v>8.7800000000000003E-2</v>
      </c>
      <c r="AB271" s="480">
        <v>8.7099999999999997E-2</v>
      </c>
      <c r="AC271" s="321"/>
      <c r="AD271" s="321"/>
      <c r="AE271" s="321"/>
      <c r="AF271" s="321"/>
      <c r="AG271" s="321"/>
      <c r="AH271" s="321"/>
      <c r="AI271" s="321"/>
      <c r="AJ271" s="321"/>
      <c r="AK271" s="321"/>
      <c r="AL271" s="321"/>
      <c r="AM271" s="321"/>
      <c r="AN271" s="321"/>
      <c r="AO271" s="321"/>
      <c r="AP271" s="321"/>
      <c r="AQ271" s="321"/>
      <c r="AR271" s="70"/>
      <c r="AS271" s="334"/>
      <c r="AT271" s="334" t="s">
        <v>221</v>
      </c>
      <c r="AU271" s="487">
        <f t="shared" ref="AU271:BD271" si="671">IFERROR(AU270/(AU218*1000)/AU1,"NA")</f>
        <v>9.9295392953929543E-2</v>
      </c>
      <c r="AV271" s="487">
        <f t="shared" si="671"/>
        <v>0.11056530214424952</v>
      </c>
      <c r="AW271" s="487">
        <f t="shared" si="671"/>
        <v>0.10583333333333333</v>
      </c>
      <c r="AX271" s="487">
        <f t="shared" si="671"/>
        <v>0.10797927461139896</v>
      </c>
      <c r="AY271" s="487">
        <f t="shared" si="671"/>
        <v>0.1041780821917808</v>
      </c>
      <c r="AZ271" s="487" t="str">
        <f t="shared" si="671"/>
        <v>NA</v>
      </c>
      <c r="BA271" s="487" t="str">
        <f t="shared" si="671"/>
        <v>NA</v>
      </c>
      <c r="BB271" s="487" t="str">
        <f t="shared" ref="BB271" si="672">IFERROR(BB270/(BB218*1000)/BB1,"NA")</f>
        <v>NA</v>
      </c>
      <c r="BC271" s="487" t="str">
        <f t="shared" si="671"/>
        <v>NA</v>
      </c>
      <c r="BD271" s="487" t="str">
        <f t="shared" si="671"/>
        <v>NA</v>
      </c>
      <c r="BE271" s="487" t="str">
        <f t="shared" ref="BE271" si="673">IFERROR(BE270/(BE218*1000)/BE1,"NA")</f>
        <v>NA</v>
      </c>
      <c r="BM271"/>
      <c r="BN271"/>
      <c r="BO271"/>
      <c r="BP271"/>
      <c r="BQ271"/>
      <c r="BR271"/>
    </row>
    <row r="272" spans="1:70" x14ac:dyDescent="0.2">
      <c r="B272" s="334"/>
      <c r="C272" s="16"/>
      <c r="D272" s="23"/>
      <c r="E272" s="23"/>
      <c r="F272" s="23"/>
      <c r="G272" s="23"/>
      <c r="H272" s="23"/>
      <c r="I272" s="23"/>
      <c r="J272" s="23"/>
      <c r="K272" s="23"/>
      <c r="L272" s="23"/>
      <c r="M272" s="23"/>
      <c r="N272" s="23"/>
      <c r="O272" s="23"/>
      <c r="P272" s="23"/>
      <c r="Q272" s="23"/>
      <c r="R272" s="23"/>
      <c r="S272" s="23"/>
      <c r="T272" s="23"/>
      <c r="U272" s="23"/>
      <c r="V272" s="23"/>
      <c r="W272" s="23"/>
      <c r="X272" s="15"/>
      <c r="Y272" s="15"/>
      <c r="Z272" s="15"/>
      <c r="AA272" s="15"/>
      <c r="AB272" s="15"/>
      <c r="AC272" s="15"/>
      <c r="AD272" s="15"/>
      <c r="AE272" s="15"/>
      <c r="AF272" s="15"/>
      <c r="AG272" s="15"/>
      <c r="AH272" s="15"/>
      <c r="AI272" s="15"/>
      <c r="AJ272" s="15"/>
      <c r="AK272" s="15"/>
      <c r="AL272" s="15"/>
      <c r="AM272" s="15"/>
      <c r="AN272" s="15"/>
      <c r="AO272" s="15"/>
      <c r="AP272" s="15"/>
      <c r="AQ272" s="15"/>
      <c r="AS272" s="334"/>
      <c r="AT272" s="16"/>
    </row>
    <row r="273" spans="1:70" x14ac:dyDescent="0.2">
      <c r="A273" s="411" t="s">
        <v>194</v>
      </c>
      <c r="B273" s="166" t="s">
        <v>179</v>
      </c>
      <c r="C273" s="166"/>
      <c r="D273" s="167"/>
      <c r="E273" s="167"/>
      <c r="F273" s="167"/>
      <c r="G273" s="167"/>
      <c r="H273" s="167"/>
      <c r="I273" s="167"/>
      <c r="J273" s="167"/>
      <c r="K273" s="167"/>
      <c r="L273" s="167"/>
      <c r="M273" s="167"/>
      <c r="N273" s="167"/>
      <c r="O273" s="167"/>
      <c r="P273" s="167"/>
      <c r="Q273" s="167"/>
      <c r="R273" s="167"/>
      <c r="S273" s="167"/>
      <c r="T273" s="167"/>
      <c r="U273" s="167"/>
      <c r="V273" s="167"/>
      <c r="W273" s="167"/>
      <c r="X273" s="167"/>
      <c r="Y273" s="167"/>
      <c r="Z273" s="167"/>
      <c r="AA273" s="167"/>
      <c r="AB273" s="167"/>
      <c r="AC273" s="167"/>
      <c r="AD273" s="167"/>
      <c r="AE273" s="167"/>
      <c r="AF273" s="167"/>
      <c r="AG273" s="167"/>
      <c r="AH273" s="167"/>
      <c r="AI273" s="167"/>
      <c r="AJ273" s="167"/>
      <c r="AK273" s="167"/>
      <c r="AL273" s="167"/>
      <c r="AM273" s="167"/>
      <c r="AN273" s="167"/>
      <c r="AO273" s="167"/>
      <c r="AP273" s="167"/>
      <c r="AQ273" s="167"/>
      <c r="AS273" s="166" t="s">
        <v>179</v>
      </c>
      <c r="AT273" s="166"/>
      <c r="AU273" s="167"/>
      <c r="AV273" s="167"/>
      <c r="AW273" s="167"/>
      <c r="AX273" s="167"/>
      <c r="AY273" s="167"/>
      <c r="AZ273" s="167"/>
      <c r="BA273" s="167"/>
      <c r="BB273" s="167"/>
      <c r="BC273" s="167"/>
      <c r="BD273" s="167"/>
      <c r="BE273" s="167"/>
      <c r="BF273" s="15"/>
      <c r="BG273" s="15"/>
      <c r="BH273" s="15"/>
      <c r="BI273" s="15"/>
      <c r="BJ273" s="15"/>
      <c r="BK273" s="15"/>
      <c r="BL273" s="15"/>
    </row>
    <row r="274" spans="1:70" x14ac:dyDescent="0.2">
      <c r="B274" s="16"/>
      <c r="C274" s="16"/>
      <c r="D274" s="15"/>
      <c r="E274" s="15"/>
      <c r="F274" s="15"/>
      <c r="G274" s="15"/>
      <c r="H274" s="15"/>
      <c r="I274" s="15"/>
      <c r="J274" s="15"/>
      <c r="K274" s="15"/>
      <c r="L274" s="15"/>
      <c r="M274" s="15"/>
      <c r="N274" s="15"/>
      <c r="O274" s="15"/>
      <c r="P274" s="15"/>
      <c r="Q274" s="15"/>
      <c r="R274" s="15"/>
      <c r="S274" s="15"/>
      <c r="T274" s="15"/>
      <c r="U274" s="15"/>
      <c r="V274" s="15"/>
      <c r="W274" s="15"/>
      <c r="X274" s="15"/>
      <c r="Y274" s="15"/>
      <c r="Z274" s="15"/>
      <c r="AA274" s="15"/>
      <c r="AB274" s="15"/>
      <c r="AC274" s="15"/>
      <c r="AD274" s="15"/>
      <c r="AE274" s="15"/>
      <c r="AF274" s="15"/>
      <c r="AG274" s="15"/>
      <c r="AH274" s="15"/>
      <c r="AI274" s="15"/>
      <c r="AJ274" s="15"/>
      <c r="AK274" s="15"/>
      <c r="AL274" s="15"/>
      <c r="AM274" s="15"/>
      <c r="AN274" s="15"/>
      <c r="AO274" s="15"/>
      <c r="AP274" s="15"/>
      <c r="AQ274" s="15"/>
      <c r="AS274" s="16"/>
      <c r="AT274" s="16"/>
    </row>
    <row r="275" spans="1:70" x14ac:dyDescent="0.2">
      <c r="B275" s="315" t="s">
        <v>642</v>
      </c>
      <c r="C275" s="321"/>
      <c r="D275" s="379">
        <v>981</v>
      </c>
      <c r="E275" s="379">
        <v>983</v>
      </c>
      <c r="F275" s="379">
        <v>1021</v>
      </c>
      <c r="G275" s="379">
        <v>1068</v>
      </c>
      <c r="H275" s="379">
        <v>1056</v>
      </c>
      <c r="I275" s="379">
        <v>1090</v>
      </c>
      <c r="J275" s="379">
        <v>1110</v>
      </c>
      <c r="K275" s="379">
        <v>1133</v>
      </c>
      <c r="L275" s="379">
        <v>1076</v>
      </c>
      <c r="M275" s="379">
        <v>1123</v>
      </c>
      <c r="N275" s="379">
        <v>1174</v>
      </c>
      <c r="O275" s="379">
        <v>1128</v>
      </c>
      <c r="P275" s="379">
        <v>981</v>
      </c>
      <c r="Q275" s="379">
        <v>982</v>
      </c>
      <c r="R275" s="379">
        <v>950</v>
      </c>
      <c r="S275" s="379">
        <v>936</v>
      </c>
      <c r="T275" s="440">
        <v>853</v>
      </c>
      <c r="U275" s="440">
        <v>861</v>
      </c>
      <c r="V275" s="440">
        <v>877</v>
      </c>
      <c r="W275" s="440">
        <v>840</v>
      </c>
      <c r="X275" s="440">
        <v>848</v>
      </c>
      <c r="Y275" s="440">
        <v>967</v>
      </c>
      <c r="Z275" s="440">
        <v>1038</v>
      </c>
      <c r="AA275" s="440">
        <v>991</v>
      </c>
      <c r="AB275" s="440">
        <v>997</v>
      </c>
      <c r="AC275" s="50">
        <f t="shared" ref="AC275:AE275" si="674">AC298</f>
        <v>1015.767305479452</v>
      </c>
      <c r="AD275" s="50">
        <f t="shared" si="674"/>
        <v>1052.2816776164384</v>
      </c>
      <c r="AE275" s="50">
        <f t="shared" si="674"/>
        <v>1082.4355401731509</v>
      </c>
      <c r="AF275" s="50">
        <f t="shared" ref="AF275:AI275" si="675">AF298</f>
        <v>1042.3428614135753</v>
      </c>
      <c r="AG275" s="50">
        <f t="shared" si="675"/>
        <v>1068.8430760176168</v>
      </c>
      <c r="AH275" s="50">
        <f t="shared" si="675"/>
        <v>1098.4585371511755</v>
      </c>
      <c r="AI275" s="50">
        <f t="shared" si="675"/>
        <v>1127.3034062140982</v>
      </c>
      <c r="AJ275" s="50"/>
      <c r="AK275" s="50"/>
      <c r="AL275" s="50"/>
      <c r="AM275" s="50"/>
      <c r="AN275" s="50"/>
      <c r="AO275" s="50"/>
      <c r="AP275" s="50"/>
      <c r="AQ275" s="50"/>
      <c r="AS275" s="315" t="s">
        <v>209</v>
      </c>
      <c r="AT275" s="321"/>
      <c r="AU275" s="232">
        <f>SUM(D275:G275)</f>
        <v>4053</v>
      </c>
      <c r="AV275" s="232">
        <f>SUM(H275:K275)</f>
        <v>4389</v>
      </c>
      <c r="AW275" s="232">
        <f>SUM(L275:O275)</f>
        <v>4501</v>
      </c>
      <c r="AX275" s="232">
        <f>SUM(P275:S275)</f>
        <v>3849</v>
      </c>
      <c r="AY275" s="232">
        <f>SUM(T275:W275)</f>
        <v>3431</v>
      </c>
      <c r="AZ275" s="232">
        <f>SUM(X275:AA275)</f>
        <v>3844</v>
      </c>
      <c r="BA275" s="232">
        <f>SUM(AB275:AE275)</f>
        <v>4147.4845232690413</v>
      </c>
      <c r="BB275" s="232">
        <f>SUM(AF275:AI275)</f>
        <v>4336.9478807964661</v>
      </c>
      <c r="BC275" s="50">
        <f>BC298</f>
        <v>4506.4025937910437</v>
      </c>
      <c r="BD275" s="50">
        <f>BD298</f>
        <v>4704.274227735119</v>
      </c>
      <c r="BE275" s="50">
        <f>BE298</f>
        <v>4715.4294487174948</v>
      </c>
    </row>
    <row r="276" spans="1:70" x14ac:dyDescent="0.2">
      <c r="B276" s="375" t="s">
        <v>206</v>
      </c>
      <c r="C276" s="376"/>
      <c r="D276" s="488">
        <v>470</v>
      </c>
      <c r="E276" s="488">
        <v>412</v>
      </c>
      <c r="F276" s="488">
        <v>459</v>
      </c>
      <c r="G276" s="488">
        <v>495</v>
      </c>
      <c r="H276" s="488">
        <v>533</v>
      </c>
      <c r="I276" s="488">
        <v>527</v>
      </c>
      <c r="J276" s="488">
        <v>476</v>
      </c>
      <c r="K276" s="488">
        <v>556</v>
      </c>
      <c r="L276" s="488">
        <v>488</v>
      </c>
      <c r="M276" s="488">
        <v>503</v>
      </c>
      <c r="N276" s="488">
        <v>513</v>
      </c>
      <c r="O276" s="488">
        <v>504</v>
      </c>
      <c r="P276" s="488">
        <v>439</v>
      </c>
      <c r="Q276" s="488">
        <v>438</v>
      </c>
      <c r="R276" s="488">
        <v>583</v>
      </c>
      <c r="S276" s="488">
        <v>413</v>
      </c>
      <c r="T276" s="489">
        <v>376</v>
      </c>
      <c r="U276" s="489">
        <v>375</v>
      </c>
      <c r="V276" s="489">
        <v>368</v>
      </c>
      <c r="W276" s="489">
        <v>372</v>
      </c>
      <c r="X276" s="489">
        <v>319</v>
      </c>
      <c r="Y276" s="489">
        <v>341</v>
      </c>
      <c r="Z276" s="489">
        <v>350</v>
      </c>
      <c r="AA276" s="489">
        <v>368</v>
      </c>
      <c r="AB276" s="489">
        <v>350</v>
      </c>
      <c r="AC276" s="172">
        <f t="shared" ref="AC276:AE276" si="676">AC303</f>
        <v>374.5248164383562</v>
      </c>
      <c r="AD276" s="172">
        <f t="shared" si="676"/>
        <v>382.31758619178083</v>
      </c>
      <c r="AE276" s="172">
        <f t="shared" si="676"/>
        <v>390.75152205369864</v>
      </c>
      <c r="AF276" s="172">
        <f t="shared" ref="AF276:AI276" si="677">AF303</f>
        <v>385.46133911075344</v>
      </c>
      <c r="AG276" s="172">
        <f t="shared" si="677"/>
        <v>397.99991330743723</v>
      </c>
      <c r="AH276" s="172">
        <f t="shared" si="677"/>
        <v>404.53869725414359</v>
      </c>
      <c r="AI276" s="172">
        <f t="shared" si="677"/>
        <v>412.50756822668507</v>
      </c>
      <c r="AJ276" s="1755"/>
      <c r="AK276" s="1755"/>
      <c r="AL276" s="1755"/>
      <c r="AM276" s="1755"/>
      <c r="AN276" s="1755"/>
      <c r="AO276" s="1755"/>
      <c r="AP276" s="1755"/>
      <c r="AQ276" s="1755"/>
      <c r="AS276" s="375" t="s">
        <v>206</v>
      </c>
      <c r="AT276" s="376"/>
      <c r="AU276" s="41">
        <f>SUM(D276:G276)</f>
        <v>1836</v>
      </c>
      <c r="AV276" s="41">
        <f>SUM(H276:K276)</f>
        <v>2092</v>
      </c>
      <c r="AW276" s="41">
        <f>SUM(L276:O276)</f>
        <v>2008</v>
      </c>
      <c r="AX276" s="41">
        <f>SUM(P276:S276)</f>
        <v>1873</v>
      </c>
      <c r="AY276" s="41">
        <f>SUM(T276:W276)</f>
        <v>1491</v>
      </c>
      <c r="AZ276" s="41">
        <f>SUM(X276:AA276)</f>
        <v>1378</v>
      </c>
      <c r="BA276" s="41">
        <f>SUM(AB276:AE276)</f>
        <v>1497.5939246838357</v>
      </c>
      <c r="BB276" s="41">
        <f>SUM(AF276:AI276)</f>
        <v>1600.5075178990196</v>
      </c>
      <c r="BC276" s="172">
        <f>BC303</f>
        <v>1676.6741116549242</v>
      </c>
      <c r="BD276" s="172">
        <f>BD303</f>
        <v>1771.1898590776893</v>
      </c>
      <c r="BE276" s="172">
        <f>BE303</f>
        <v>1888.0605081300114</v>
      </c>
    </row>
    <row r="277" spans="1:70" x14ac:dyDescent="0.2">
      <c r="B277" s="316" t="s">
        <v>643</v>
      </c>
      <c r="C277" s="387"/>
      <c r="D277" s="33">
        <f t="shared" ref="D277:AE277" si="678">SUM(D275:D276)</f>
        <v>1451</v>
      </c>
      <c r="E277" s="33">
        <f t="shared" si="678"/>
        <v>1395</v>
      </c>
      <c r="F277" s="33">
        <f t="shared" si="678"/>
        <v>1480</v>
      </c>
      <c r="G277" s="33">
        <f t="shared" si="678"/>
        <v>1563</v>
      </c>
      <c r="H277" s="33">
        <f t="shared" si="678"/>
        <v>1589</v>
      </c>
      <c r="I277" s="33">
        <f t="shared" si="678"/>
        <v>1617</v>
      </c>
      <c r="J277" s="33">
        <f t="shared" si="678"/>
        <v>1586</v>
      </c>
      <c r="K277" s="33">
        <f t="shared" si="678"/>
        <v>1689</v>
      </c>
      <c r="L277" s="33">
        <f t="shared" si="678"/>
        <v>1564</v>
      </c>
      <c r="M277" s="33">
        <f t="shared" si="678"/>
        <v>1626</v>
      </c>
      <c r="N277" s="33">
        <f t="shared" si="678"/>
        <v>1687</v>
      </c>
      <c r="O277" s="33">
        <f t="shared" si="678"/>
        <v>1632</v>
      </c>
      <c r="P277" s="33">
        <f t="shared" si="678"/>
        <v>1420</v>
      </c>
      <c r="Q277" s="33">
        <f t="shared" si="678"/>
        <v>1420</v>
      </c>
      <c r="R277" s="33">
        <f t="shared" si="678"/>
        <v>1533</v>
      </c>
      <c r="S277" s="33">
        <f t="shared" si="678"/>
        <v>1349</v>
      </c>
      <c r="T277" s="33">
        <f t="shared" si="678"/>
        <v>1229</v>
      </c>
      <c r="U277" s="33">
        <f t="shared" si="678"/>
        <v>1236</v>
      </c>
      <c r="V277" s="33">
        <f t="shared" si="678"/>
        <v>1245</v>
      </c>
      <c r="W277" s="33">
        <f t="shared" si="678"/>
        <v>1212</v>
      </c>
      <c r="X277" s="37">
        <f t="shared" si="678"/>
        <v>1167</v>
      </c>
      <c r="Y277" s="37">
        <f t="shared" ref="Y277:Z277" si="679">SUM(Y275:Y276)</f>
        <v>1308</v>
      </c>
      <c r="Z277" s="37">
        <f t="shared" si="679"/>
        <v>1388</v>
      </c>
      <c r="AA277" s="37">
        <f t="shared" ref="AA277:AB277" si="680">SUM(AA275:AA276)</f>
        <v>1359</v>
      </c>
      <c r="AB277" s="33">
        <f t="shared" si="680"/>
        <v>1347</v>
      </c>
      <c r="AC277" s="33">
        <f t="shared" si="678"/>
        <v>1390.2921219178083</v>
      </c>
      <c r="AD277" s="33">
        <f t="shared" si="678"/>
        <v>1434.5992638082193</v>
      </c>
      <c r="AE277" s="33">
        <f t="shared" si="678"/>
        <v>1473.1870622268495</v>
      </c>
      <c r="AF277" s="33">
        <f t="shared" ref="AF277:AI277" si="681">SUM(AF275:AF276)</f>
        <v>1427.8042005243287</v>
      </c>
      <c r="AG277" s="33">
        <f t="shared" si="681"/>
        <v>1466.8429893250541</v>
      </c>
      <c r="AH277" s="33">
        <f t="shared" si="681"/>
        <v>1502.997234405319</v>
      </c>
      <c r="AI277" s="33">
        <f t="shared" si="681"/>
        <v>1539.8109744407834</v>
      </c>
      <c r="AJ277" s="33"/>
      <c r="AK277" s="33"/>
      <c r="AL277" s="33"/>
      <c r="AM277" s="33"/>
      <c r="AN277" s="33"/>
      <c r="AO277" s="33"/>
      <c r="AP277" s="33"/>
      <c r="AQ277" s="33"/>
      <c r="AS277" s="316" t="s">
        <v>189</v>
      </c>
      <c r="AT277" s="387"/>
      <c r="AU277" s="232">
        <f t="shared" ref="AU277:BD277" si="682">SUM(AU275:AU276)</f>
        <v>5889</v>
      </c>
      <c r="AV277" s="232">
        <f t="shared" si="682"/>
        <v>6481</v>
      </c>
      <c r="AW277" s="232">
        <f t="shared" si="682"/>
        <v>6509</v>
      </c>
      <c r="AX277" s="232">
        <f t="shared" si="682"/>
        <v>5722</v>
      </c>
      <c r="AY277" s="232">
        <f t="shared" si="682"/>
        <v>4922</v>
      </c>
      <c r="AZ277" s="232">
        <f t="shared" si="682"/>
        <v>5222</v>
      </c>
      <c r="BA277" s="232">
        <f t="shared" si="682"/>
        <v>5645.0784479528775</v>
      </c>
      <c r="BB277" s="232">
        <f t="shared" ref="BB277" si="683">SUM(BB275:BB276)</f>
        <v>5937.4553986954852</v>
      </c>
      <c r="BC277" s="33">
        <f t="shared" si="682"/>
        <v>6183.0767054459684</v>
      </c>
      <c r="BD277" s="33">
        <f t="shared" si="682"/>
        <v>6475.4640868128081</v>
      </c>
      <c r="BE277" s="33">
        <f t="shared" ref="BE277" si="684">SUM(BE275:BE276)</f>
        <v>6603.4899568475066</v>
      </c>
    </row>
    <row r="278" spans="1:70" x14ac:dyDescent="0.2">
      <c r="B278" s="316"/>
      <c r="C278" s="387"/>
      <c r="X278" s="15"/>
      <c r="Y278" s="15"/>
      <c r="Z278" s="15"/>
      <c r="AA278" s="15"/>
      <c r="AB278" s="1785"/>
      <c r="AS278" s="316"/>
      <c r="AT278" s="387"/>
      <c r="BC278" s="9"/>
      <c r="BD278" s="1704"/>
      <c r="BE278" s="1702"/>
    </row>
    <row r="279" spans="1:70" x14ac:dyDescent="0.2">
      <c r="B279" s="322" t="s">
        <v>184</v>
      </c>
      <c r="C279" s="387"/>
      <c r="D279" s="440">
        <v>741</v>
      </c>
      <c r="E279" s="440">
        <v>742</v>
      </c>
      <c r="F279" s="440">
        <v>801</v>
      </c>
      <c r="G279" s="440">
        <v>880</v>
      </c>
      <c r="H279" s="440">
        <v>817</v>
      </c>
      <c r="I279" s="440">
        <v>870</v>
      </c>
      <c r="J279" s="440">
        <v>850</v>
      </c>
      <c r="K279" s="440">
        <v>872</v>
      </c>
      <c r="L279" s="440">
        <v>859</v>
      </c>
      <c r="M279" s="440">
        <v>912</v>
      </c>
      <c r="N279" s="440">
        <v>899</v>
      </c>
      <c r="O279" s="440">
        <v>901</v>
      </c>
      <c r="P279" s="440">
        <v>795</v>
      </c>
      <c r="Q279" s="440">
        <v>843</v>
      </c>
      <c r="R279" s="440">
        <v>792</v>
      </c>
      <c r="S279" s="440">
        <v>821</v>
      </c>
      <c r="T279" s="440">
        <v>718</v>
      </c>
      <c r="U279" s="440">
        <v>725</v>
      </c>
      <c r="V279" s="440">
        <v>707</v>
      </c>
      <c r="W279" s="440">
        <v>688</v>
      </c>
      <c r="X279" s="440">
        <v>667</v>
      </c>
      <c r="Y279" s="440">
        <v>745</v>
      </c>
      <c r="Z279" s="440">
        <v>779</v>
      </c>
      <c r="AA279" s="440">
        <v>768</v>
      </c>
      <c r="AB279" s="440">
        <v>759</v>
      </c>
      <c r="AC279" s="419">
        <f>AC277*Drivers!AC114</f>
        <v>771.61212766438371</v>
      </c>
      <c r="AD279" s="419">
        <f>AD277*Drivers!AD114</f>
        <v>789.02959509452069</v>
      </c>
      <c r="AE279" s="419">
        <f>AE277*Drivers!AE114</f>
        <v>810.25288422476729</v>
      </c>
      <c r="AF279" s="419">
        <f>AF277*Drivers!AF114</f>
        <v>771.01426828313754</v>
      </c>
      <c r="AG279" s="419">
        <f>AG277*Drivers!AG114</f>
        <v>792.09521423552928</v>
      </c>
      <c r="AH279" s="419">
        <f>AH277*Drivers!AH114</f>
        <v>796.58853423481912</v>
      </c>
      <c r="AI279" s="419">
        <f>AI277*Drivers!AI114</f>
        <v>816.09981645361529</v>
      </c>
      <c r="AJ279" s="419"/>
      <c r="AK279" s="419"/>
      <c r="AL279" s="419"/>
      <c r="AM279" s="419"/>
      <c r="AN279" s="419"/>
      <c r="AO279" s="419"/>
      <c r="AP279" s="419"/>
      <c r="AQ279" s="419"/>
      <c r="AS279" s="322" t="s">
        <v>184</v>
      </c>
      <c r="AT279" s="387"/>
      <c r="AU279" s="232">
        <f>SUM(D279:G279)</f>
        <v>3164</v>
      </c>
      <c r="AV279" s="232">
        <f>SUM(H279:K279)</f>
        <v>3409</v>
      </c>
      <c r="AW279" s="232">
        <f>SUM(L279:O279)</f>
        <v>3571</v>
      </c>
      <c r="AX279" s="232">
        <f>SUM(P279:S279)</f>
        <v>3251</v>
      </c>
      <c r="AY279" s="232">
        <f>SUM(T279:W279)</f>
        <v>2838</v>
      </c>
      <c r="AZ279" s="232">
        <f>SUM(X279:AA279)</f>
        <v>2959</v>
      </c>
      <c r="BA279" s="232">
        <f>SUM(AB279:AE279)</f>
        <v>3129.894606983672</v>
      </c>
      <c r="BB279" s="232">
        <f>SUM(AF279:AI279)</f>
        <v>3175.7978332071016</v>
      </c>
      <c r="BC279" s="419">
        <f>BC277*Drivers!BC114</f>
        <v>3215.1998868319038</v>
      </c>
      <c r="BD279" s="419">
        <f>BD277*Drivers!BD114</f>
        <v>3302.4866842745323</v>
      </c>
      <c r="BE279" s="419">
        <f>BE277*Drivers!BE114</f>
        <v>3367.7798779922286</v>
      </c>
    </row>
    <row r="280" spans="1:70" s="382" customFormat="1" x14ac:dyDescent="0.2">
      <c r="A280" s="833"/>
      <c r="B280" s="322"/>
      <c r="C280" s="387"/>
      <c r="D280" s="490"/>
      <c r="E280" s="490"/>
      <c r="F280" s="490"/>
      <c r="G280" s="490"/>
      <c r="H280" s="490"/>
      <c r="I280" s="490"/>
      <c r="J280" s="490"/>
      <c r="K280" s="490"/>
      <c r="L280" s="490"/>
      <c r="M280" s="490"/>
      <c r="N280" s="490"/>
      <c r="O280" s="490"/>
      <c r="P280" s="490"/>
      <c r="Q280" s="490"/>
      <c r="R280" s="490"/>
      <c r="S280" s="490"/>
      <c r="T280" s="490"/>
      <c r="U280" s="490"/>
      <c r="V280" s="490"/>
      <c r="W280" s="490"/>
      <c r="X280" s="490"/>
      <c r="Y280" s="490"/>
      <c r="Z280" s="490"/>
      <c r="AA280" s="490"/>
      <c r="AB280" s="490"/>
      <c r="AC280" s="491"/>
      <c r="AD280" s="492"/>
      <c r="AE280" s="492"/>
      <c r="AF280" s="492"/>
      <c r="AG280" s="492"/>
      <c r="AH280" s="492"/>
      <c r="AI280" s="490"/>
      <c r="AJ280" s="490"/>
      <c r="AK280" s="490"/>
      <c r="AL280" s="490"/>
      <c r="AM280" s="490"/>
      <c r="AN280" s="490"/>
      <c r="AO280" s="490"/>
      <c r="AP280" s="490"/>
      <c r="AQ280" s="490"/>
      <c r="AR280" s="70"/>
      <c r="AS280" s="322"/>
      <c r="AT280" s="387"/>
      <c r="AU280" s="490"/>
      <c r="AV280" s="492"/>
      <c r="AW280" s="490"/>
      <c r="AX280" s="491"/>
      <c r="AY280" s="492"/>
      <c r="AZ280" s="490"/>
      <c r="BA280" s="491"/>
      <c r="BB280" s="491"/>
      <c r="BC280" s="490"/>
      <c r="BD280" s="490"/>
      <c r="BE280" s="490"/>
      <c r="BM280"/>
      <c r="BN280"/>
      <c r="BO280"/>
      <c r="BP280"/>
      <c r="BQ280"/>
      <c r="BR280"/>
    </row>
    <row r="281" spans="1:70" x14ac:dyDescent="0.2">
      <c r="B281" s="322" t="s">
        <v>190</v>
      </c>
      <c r="C281" s="387"/>
      <c r="D281" s="440">
        <v>305</v>
      </c>
      <c r="E281" s="440">
        <v>290</v>
      </c>
      <c r="F281" s="440">
        <v>290</v>
      </c>
      <c r="G281" s="440">
        <v>322</v>
      </c>
      <c r="H281" s="440">
        <v>347</v>
      </c>
      <c r="I281" s="440">
        <v>407</v>
      </c>
      <c r="J281" s="440">
        <v>476</v>
      </c>
      <c r="K281" s="440">
        <v>397</v>
      </c>
      <c r="L281" s="440">
        <v>425</v>
      </c>
      <c r="M281" s="440">
        <v>488</v>
      </c>
      <c r="N281" s="440">
        <v>414</v>
      </c>
      <c r="O281" s="440">
        <v>420</v>
      </c>
      <c r="P281" s="440">
        <v>363</v>
      </c>
      <c r="Q281" s="440">
        <v>347</v>
      </c>
      <c r="R281" s="440">
        <v>338</v>
      </c>
      <c r="S281" s="440">
        <v>332</v>
      </c>
      <c r="T281" s="440">
        <v>315</v>
      </c>
      <c r="U281" s="440">
        <v>271</v>
      </c>
      <c r="V281" s="440">
        <v>304</v>
      </c>
      <c r="W281" s="440">
        <v>306</v>
      </c>
      <c r="X281" s="440">
        <v>288</v>
      </c>
      <c r="Y281" s="440">
        <v>341</v>
      </c>
      <c r="Z281" s="440">
        <v>357</v>
      </c>
      <c r="AA281" s="440">
        <v>338</v>
      </c>
      <c r="AB281" s="440">
        <v>341</v>
      </c>
      <c r="AC281" s="50">
        <f t="shared" ref="AC281:AE282" si="685">AC1200</f>
        <v>327.06106808219181</v>
      </c>
      <c r="AD281" s="50">
        <f t="shared" si="685"/>
        <v>349.58741660547935</v>
      </c>
      <c r="AE281" s="50">
        <f t="shared" si="685"/>
        <v>365.42135126958897</v>
      </c>
      <c r="AF281" s="50">
        <f t="shared" ref="AF281:AI281" si="686">AF1200</f>
        <v>347.12322166007255</v>
      </c>
      <c r="AG281" s="50">
        <f t="shared" si="686"/>
        <v>360.71237175553847</v>
      </c>
      <c r="AH281" s="50">
        <f t="shared" si="686"/>
        <v>374.82953467995884</v>
      </c>
      <c r="AI281" s="50">
        <f t="shared" si="686"/>
        <v>389.78072226233076</v>
      </c>
      <c r="AJ281" s="50"/>
      <c r="AK281" s="50"/>
      <c r="AL281" s="50"/>
      <c r="AM281" s="50"/>
      <c r="AN281" s="50"/>
      <c r="AO281" s="50"/>
      <c r="AP281" s="50"/>
      <c r="AQ281" s="50"/>
      <c r="AS281" s="322" t="s">
        <v>190</v>
      </c>
      <c r="AT281" s="387"/>
      <c r="AU281" s="232">
        <f>SUM(D281:G281)</f>
        <v>1207</v>
      </c>
      <c r="AV281" s="232">
        <f>SUM(H281:K281)</f>
        <v>1627</v>
      </c>
      <c r="AW281" s="232">
        <f>SUM(L281:O281)</f>
        <v>1747</v>
      </c>
      <c r="AX281" s="232">
        <f>SUM(P281:S281)</f>
        <v>1380</v>
      </c>
      <c r="AY281" s="232">
        <f>SUM(T281:W281)</f>
        <v>1196</v>
      </c>
      <c r="AZ281" s="232">
        <f>SUM(X281:AA281)</f>
        <v>1324</v>
      </c>
      <c r="BA281" s="232">
        <f>SUM(AB281:AE281)</f>
        <v>1383.0698359572602</v>
      </c>
      <c r="BB281" s="232">
        <f>SUM(AF281:AI281)</f>
        <v>1472.4458503579006</v>
      </c>
      <c r="BC281" s="50">
        <f t="shared" ref="BC281:BD282" si="687">BC1200</f>
        <v>1598.2099944828633</v>
      </c>
      <c r="BD281" s="50">
        <f t="shared" si="687"/>
        <v>1728.7759277114692</v>
      </c>
      <c r="BE281" s="50">
        <f t="shared" ref="BE281" si="688">BE1200</f>
        <v>1867.4475668572879</v>
      </c>
    </row>
    <row r="282" spans="1:70" x14ac:dyDescent="0.2">
      <c r="B282" s="322"/>
      <c r="C282" s="322" t="s">
        <v>193</v>
      </c>
      <c r="D282" s="440">
        <v>212</v>
      </c>
      <c r="E282" s="440">
        <v>195</v>
      </c>
      <c r="F282" s="440">
        <v>227</v>
      </c>
      <c r="G282" s="440">
        <v>276</v>
      </c>
      <c r="H282" s="440">
        <v>289</v>
      </c>
      <c r="I282" s="440">
        <v>299</v>
      </c>
      <c r="J282" s="440">
        <v>295</v>
      </c>
      <c r="K282" s="440">
        <v>319</v>
      </c>
      <c r="L282" s="440">
        <v>346</v>
      </c>
      <c r="M282" s="440">
        <v>366</v>
      </c>
      <c r="N282" s="440">
        <v>380</v>
      </c>
      <c r="O282" s="440">
        <v>423</v>
      </c>
      <c r="P282" s="440">
        <v>356</v>
      </c>
      <c r="Q282" s="440">
        <v>316</v>
      </c>
      <c r="R282" s="440">
        <v>301</v>
      </c>
      <c r="S282" s="440">
        <v>307</v>
      </c>
      <c r="T282" s="440">
        <v>278</v>
      </c>
      <c r="U282" s="440">
        <v>260</v>
      </c>
      <c r="V282" s="440">
        <v>254</v>
      </c>
      <c r="W282" s="440">
        <v>248</v>
      </c>
      <c r="X282" s="440">
        <v>253</v>
      </c>
      <c r="Y282" s="440">
        <v>277</v>
      </c>
      <c r="Z282" s="440">
        <v>295</v>
      </c>
      <c r="AA282" s="440">
        <v>292</v>
      </c>
      <c r="AB282" s="440">
        <v>278</v>
      </c>
      <c r="AC282" s="50">
        <f t="shared" si="685"/>
        <v>284.40092876712333</v>
      </c>
      <c r="AD282" s="50">
        <f t="shared" si="685"/>
        <v>303.98905791780817</v>
      </c>
      <c r="AE282" s="50">
        <f t="shared" si="685"/>
        <v>317.75769675616436</v>
      </c>
      <c r="AF282" s="50">
        <f t="shared" ref="AF282:AI282" si="689">AF1201</f>
        <v>315.56656514552049</v>
      </c>
      <c r="AG282" s="50">
        <f t="shared" si="689"/>
        <v>327.92033795958042</v>
      </c>
      <c r="AH282" s="50">
        <f t="shared" si="689"/>
        <v>340.75412243632621</v>
      </c>
      <c r="AI282" s="50">
        <f t="shared" si="689"/>
        <v>354.34611114757337</v>
      </c>
      <c r="AJ282" s="50"/>
      <c r="AK282" s="50"/>
      <c r="AL282" s="50"/>
      <c r="AM282" s="50"/>
      <c r="AN282" s="50"/>
      <c r="AO282" s="50"/>
      <c r="AP282" s="50"/>
      <c r="AQ282" s="50"/>
      <c r="AS282" s="322"/>
      <c r="AT282" s="322" t="s">
        <v>193</v>
      </c>
      <c r="AU282" s="232">
        <f>SUM(D282:G282)</f>
        <v>910</v>
      </c>
      <c r="AV282" s="232">
        <f>SUM(H282:K282)</f>
        <v>1202</v>
      </c>
      <c r="AW282" s="232">
        <f>SUM(L282:O282)</f>
        <v>1515</v>
      </c>
      <c r="AX282" s="232">
        <f>SUM(P282:S282)</f>
        <v>1280</v>
      </c>
      <c r="AY282" s="232">
        <f>SUM(T282:W282)</f>
        <v>1040</v>
      </c>
      <c r="AZ282" s="232">
        <f>SUM(X282:AA282)</f>
        <v>1117</v>
      </c>
      <c r="BA282" s="232">
        <f>SUM(AB282:AE282)</f>
        <v>1184.147683441096</v>
      </c>
      <c r="BB282" s="232">
        <f>SUM(AF282:AI282)</f>
        <v>1338.5871366890005</v>
      </c>
      <c r="BC282" s="50">
        <f t="shared" si="687"/>
        <v>1452.9181768026028</v>
      </c>
      <c r="BD282" s="50">
        <f t="shared" si="687"/>
        <v>1571.6144797376992</v>
      </c>
      <c r="BE282" s="50">
        <f t="shared" ref="BE282" si="690">BE1201</f>
        <v>1697.6796062338981</v>
      </c>
    </row>
    <row r="283" spans="1:70" x14ac:dyDescent="0.2">
      <c r="B283" s="322"/>
      <c r="C283" s="322" t="s">
        <v>192</v>
      </c>
      <c r="D283" s="493">
        <f t="shared" ref="D283:AE283" si="691">D281-D282</f>
        <v>93</v>
      </c>
      <c r="E283" s="493">
        <f t="shared" si="691"/>
        <v>95</v>
      </c>
      <c r="F283" s="493">
        <f t="shared" si="691"/>
        <v>63</v>
      </c>
      <c r="G283" s="493">
        <f t="shared" si="691"/>
        <v>46</v>
      </c>
      <c r="H283" s="493">
        <f t="shared" si="691"/>
        <v>58</v>
      </c>
      <c r="I283" s="493">
        <f t="shared" si="691"/>
        <v>108</v>
      </c>
      <c r="J283" s="493">
        <f t="shared" si="691"/>
        <v>181</v>
      </c>
      <c r="K283" s="493">
        <f t="shared" si="691"/>
        <v>78</v>
      </c>
      <c r="L283" s="493">
        <f t="shared" si="691"/>
        <v>79</v>
      </c>
      <c r="M283" s="493">
        <f t="shared" si="691"/>
        <v>122</v>
      </c>
      <c r="N283" s="493">
        <f t="shared" si="691"/>
        <v>34</v>
      </c>
      <c r="O283" s="493">
        <f t="shared" si="691"/>
        <v>-3</v>
      </c>
      <c r="P283" s="493">
        <f t="shared" si="691"/>
        <v>7</v>
      </c>
      <c r="Q283" s="493">
        <f t="shared" si="691"/>
        <v>31</v>
      </c>
      <c r="R283" s="493">
        <f t="shared" si="691"/>
        <v>37</v>
      </c>
      <c r="S283" s="493">
        <f t="shared" si="691"/>
        <v>25</v>
      </c>
      <c r="T283" s="493">
        <f t="shared" si="691"/>
        <v>37</v>
      </c>
      <c r="U283" s="493">
        <f t="shared" si="691"/>
        <v>11</v>
      </c>
      <c r="V283" s="493">
        <f t="shared" si="691"/>
        <v>50</v>
      </c>
      <c r="W283" s="493">
        <f t="shared" si="691"/>
        <v>58</v>
      </c>
      <c r="X283" s="493">
        <f t="shared" si="691"/>
        <v>35</v>
      </c>
      <c r="Y283" s="493">
        <f t="shared" ref="Y283:Z283" si="692">Y281-Y282</f>
        <v>64</v>
      </c>
      <c r="Z283" s="493">
        <f t="shared" si="692"/>
        <v>62</v>
      </c>
      <c r="AA283" s="493">
        <f t="shared" ref="AA283:AB283" si="693">AA281-AA282</f>
        <v>46</v>
      </c>
      <c r="AB283" s="493">
        <f t="shared" si="693"/>
        <v>63</v>
      </c>
      <c r="AC283" s="493">
        <f t="shared" si="691"/>
        <v>42.660139315068477</v>
      </c>
      <c r="AD283" s="493">
        <f t="shared" si="691"/>
        <v>45.59835868767118</v>
      </c>
      <c r="AE283" s="493">
        <f t="shared" si="691"/>
        <v>47.663654513424603</v>
      </c>
      <c r="AF283" s="493">
        <f t="shared" ref="AF283:AI283" si="694">AF281-AF282</f>
        <v>31.55665651455206</v>
      </c>
      <c r="AG283" s="493">
        <f t="shared" si="694"/>
        <v>32.792033795958048</v>
      </c>
      <c r="AH283" s="493">
        <f t="shared" si="694"/>
        <v>34.075412243632627</v>
      </c>
      <c r="AI283" s="493">
        <f t="shared" si="694"/>
        <v>35.434611114757388</v>
      </c>
      <c r="AJ283" s="493"/>
      <c r="AK283" s="493"/>
      <c r="AL283" s="493"/>
      <c r="AM283" s="493"/>
      <c r="AN283" s="493"/>
      <c r="AO283" s="493"/>
      <c r="AP283" s="493"/>
      <c r="AQ283" s="493"/>
      <c r="AS283" s="322"/>
      <c r="AT283" s="322" t="s">
        <v>192</v>
      </c>
      <c r="AU283" s="232">
        <f>SUM(D283:G283)</f>
        <v>297</v>
      </c>
      <c r="AV283" s="232">
        <f>SUM(H283:K283)</f>
        <v>425</v>
      </c>
      <c r="AW283" s="232">
        <f>SUM(L283:O283)</f>
        <v>232</v>
      </c>
      <c r="AX283" s="232">
        <f>SUM(P283:S283)</f>
        <v>100</v>
      </c>
      <c r="AY283" s="232">
        <f>SUM(T283:W283)</f>
        <v>156</v>
      </c>
      <c r="AZ283" s="232">
        <f>SUM(X283:AA283)</f>
        <v>207</v>
      </c>
      <c r="BA283" s="232">
        <f>SUM(AB283:AE283)</f>
        <v>198.92215251616426</v>
      </c>
      <c r="BB283" s="232">
        <f>SUM(AF283:AI283)</f>
        <v>133.85871366890012</v>
      </c>
      <c r="BC283" s="493">
        <f>BC281-BC282</f>
        <v>145.29181768026046</v>
      </c>
      <c r="BD283" s="493">
        <f>BD281-BD282</f>
        <v>157.16144797377001</v>
      </c>
      <c r="BE283" s="493">
        <f>BE281-BE282</f>
        <v>169.76796062338985</v>
      </c>
    </row>
    <row r="284" spans="1:70" x14ac:dyDescent="0.2">
      <c r="B284" s="322"/>
      <c r="C284" s="322"/>
      <c r="X284" s="15"/>
      <c r="Y284" s="15"/>
      <c r="Z284" s="15"/>
      <c r="AA284" s="15"/>
      <c r="AB284" s="1785"/>
      <c r="AS284" s="322"/>
      <c r="AT284" s="322"/>
      <c r="BC284" s="9"/>
      <c r="BD284" s="1704"/>
      <c r="BE284" s="1702"/>
    </row>
    <row r="285" spans="1:70" x14ac:dyDescent="0.2">
      <c r="B285" s="322" t="s">
        <v>89</v>
      </c>
      <c r="C285" s="387"/>
      <c r="D285" s="493">
        <f t="shared" ref="D285:AE285" si="695">D277-D279-D281</f>
        <v>405</v>
      </c>
      <c r="E285" s="493">
        <f t="shared" si="695"/>
        <v>363</v>
      </c>
      <c r="F285" s="493">
        <f t="shared" si="695"/>
        <v>389</v>
      </c>
      <c r="G285" s="493">
        <f t="shared" si="695"/>
        <v>361</v>
      </c>
      <c r="H285" s="493">
        <f t="shared" si="695"/>
        <v>425</v>
      </c>
      <c r="I285" s="493">
        <f t="shared" si="695"/>
        <v>340</v>
      </c>
      <c r="J285" s="493">
        <f t="shared" si="695"/>
        <v>260</v>
      </c>
      <c r="K285" s="493">
        <f t="shared" si="695"/>
        <v>420</v>
      </c>
      <c r="L285" s="493">
        <f t="shared" si="695"/>
        <v>280</v>
      </c>
      <c r="M285" s="493">
        <f t="shared" si="695"/>
        <v>226</v>
      </c>
      <c r="N285" s="493">
        <f t="shared" si="695"/>
        <v>374</v>
      </c>
      <c r="O285" s="493">
        <f t="shared" si="695"/>
        <v>311</v>
      </c>
      <c r="P285" s="493">
        <f t="shared" si="695"/>
        <v>262</v>
      </c>
      <c r="Q285" s="493">
        <f t="shared" si="695"/>
        <v>230</v>
      </c>
      <c r="R285" s="493">
        <f t="shared" si="695"/>
        <v>403</v>
      </c>
      <c r="S285" s="493">
        <f t="shared" si="695"/>
        <v>196</v>
      </c>
      <c r="T285" s="493">
        <f t="shared" si="695"/>
        <v>196</v>
      </c>
      <c r="U285" s="493">
        <f t="shared" si="695"/>
        <v>240</v>
      </c>
      <c r="V285" s="493">
        <f t="shared" si="695"/>
        <v>234</v>
      </c>
      <c r="W285" s="493">
        <f t="shared" si="695"/>
        <v>218</v>
      </c>
      <c r="X285" s="493">
        <f t="shared" si="695"/>
        <v>212</v>
      </c>
      <c r="Y285" s="493">
        <f t="shared" ref="Y285:Z285" si="696">Y277-Y279-Y281</f>
        <v>222</v>
      </c>
      <c r="Z285" s="493">
        <f t="shared" si="696"/>
        <v>252</v>
      </c>
      <c r="AA285" s="493">
        <f t="shared" ref="AA285:AB285" si="697">AA277-AA279-AA281</f>
        <v>253</v>
      </c>
      <c r="AB285" s="493">
        <f t="shared" si="697"/>
        <v>247</v>
      </c>
      <c r="AC285" s="493">
        <f t="shared" si="695"/>
        <v>291.61892617123283</v>
      </c>
      <c r="AD285" s="493">
        <f t="shared" si="695"/>
        <v>295.98225210821931</v>
      </c>
      <c r="AE285" s="493">
        <f t="shared" si="695"/>
        <v>297.51282673249329</v>
      </c>
      <c r="AF285" s="493">
        <f t="shared" ref="AF285:AI285" si="698">AF277-AF279-AF281</f>
        <v>309.66671058111865</v>
      </c>
      <c r="AG285" s="493">
        <f t="shared" si="698"/>
        <v>314.03540333398632</v>
      </c>
      <c r="AH285" s="493">
        <f t="shared" si="698"/>
        <v>331.57916549054102</v>
      </c>
      <c r="AI285" s="493">
        <f t="shared" si="698"/>
        <v>333.93043572483737</v>
      </c>
      <c r="AJ285" s="493"/>
      <c r="AK285" s="493"/>
      <c r="AL285" s="493"/>
      <c r="AM285" s="493"/>
      <c r="AN285" s="493"/>
      <c r="AO285" s="493"/>
      <c r="AP285" s="493"/>
      <c r="AQ285" s="493"/>
      <c r="AS285" s="322" t="s">
        <v>89</v>
      </c>
      <c r="AT285" s="387"/>
      <c r="AU285" s="232">
        <f>SUM(D285:G285)</f>
        <v>1518</v>
      </c>
      <c r="AV285" s="232">
        <f>SUM(H285:K285)</f>
        <v>1445</v>
      </c>
      <c r="AW285" s="232">
        <f>SUM(L285:O285)</f>
        <v>1191</v>
      </c>
      <c r="AX285" s="232">
        <f>SUM(P285:S285)</f>
        <v>1091</v>
      </c>
      <c r="AY285" s="232">
        <f>SUM(T285:W285)</f>
        <v>888</v>
      </c>
      <c r="AZ285" s="232">
        <f>SUM(X285:AA285)</f>
        <v>939</v>
      </c>
      <c r="BA285" s="232">
        <f>SUM(AB285:AE285)</f>
        <v>1132.1140050119454</v>
      </c>
      <c r="BB285" s="232">
        <f>SUM(AF285:AI285)</f>
        <v>1289.2117151304833</v>
      </c>
      <c r="BC285" s="493">
        <f>BC277-BC279-BC281</f>
        <v>1369.6668241312013</v>
      </c>
      <c r="BD285" s="493">
        <f>BD277-BD279-BD281</f>
        <v>1444.2014748268066</v>
      </c>
      <c r="BE285" s="493">
        <f>BE277-BE279-BE281</f>
        <v>1368.26251199799</v>
      </c>
    </row>
    <row r="286" spans="1:70" x14ac:dyDescent="0.2">
      <c r="B286" s="15"/>
      <c r="C286" s="322" t="s">
        <v>90</v>
      </c>
      <c r="D286" s="45">
        <f t="shared" ref="D286:X286" si="699">D285-D288</f>
        <v>100</v>
      </c>
      <c r="E286" s="45">
        <f t="shared" si="699"/>
        <v>81</v>
      </c>
      <c r="F286" s="45">
        <f t="shared" si="699"/>
        <v>93</v>
      </c>
      <c r="G286" s="45">
        <f t="shared" si="699"/>
        <v>-24</v>
      </c>
      <c r="H286" s="45">
        <f t="shared" si="699"/>
        <v>106</v>
      </c>
      <c r="I286" s="45">
        <f t="shared" si="699"/>
        <v>70</v>
      </c>
      <c r="J286" s="45">
        <f t="shared" si="699"/>
        <v>49</v>
      </c>
      <c r="K286" s="45">
        <f t="shared" si="699"/>
        <v>105</v>
      </c>
      <c r="L286" s="45">
        <f t="shared" si="699"/>
        <v>59</v>
      </c>
      <c r="M286" s="45">
        <f t="shared" si="699"/>
        <v>20</v>
      </c>
      <c r="N286" s="45">
        <f t="shared" si="699"/>
        <v>90</v>
      </c>
      <c r="O286" s="45">
        <f t="shared" si="699"/>
        <v>68</v>
      </c>
      <c r="P286" s="45">
        <f t="shared" si="699"/>
        <v>55</v>
      </c>
      <c r="Q286" s="45">
        <f t="shared" si="699"/>
        <v>49</v>
      </c>
      <c r="R286" s="45">
        <f t="shared" si="699"/>
        <v>106</v>
      </c>
      <c r="S286" s="45">
        <f t="shared" si="699"/>
        <v>55</v>
      </c>
      <c r="T286" s="45">
        <f t="shared" si="699"/>
        <v>50</v>
      </c>
      <c r="U286" s="45">
        <f t="shared" si="699"/>
        <v>67</v>
      </c>
      <c r="V286" s="45">
        <f t="shared" si="699"/>
        <v>74</v>
      </c>
      <c r="W286" s="45">
        <f t="shared" si="699"/>
        <v>64</v>
      </c>
      <c r="X286" s="45">
        <f t="shared" si="699"/>
        <v>77</v>
      </c>
      <c r="Y286" s="45">
        <f t="shared" ref="Y286:Z286" si="700">Y285-Y288</f>
        <v>81</v>
      </c>
      <c r="Z286" s="45">
        <f t="shared" si="700"/>
        <v>83</v>
      </c>
      <c r="AA286" s="45">
        <f t="shared" ref="AA286:AB286" si="701">AA285-AA288</f>
        <v>88</v>
      </c>
      <c r="AB286" s="45">
        <f t="shared" si="701"/>
        <v>64</v>
      </c>
      <c r="AC286" s="33">
        <f t="shared" ref="AC286:AE286" si="702">AC285*AC287</f>
        <v>72.904731542808207</v>
      </c>
      <c r="AD286" s="33">
        <f t="shared" si="702"/>
        <v>73.995563027054828</v>
      </c>
      <c r="AE286" s="33">
        <f t="shared" si="702"/>
        <v>74.378206683123324</v>
      </c>
      <c r="AF286" s="33">
        <f t="shared" ref="AF286:AI286" si="703">AF285*AF287</f>
        <v>74.32001053946847</v>
      </c>
      <c r="AG286" s="33">
        <f t="shared" si="703"/>
        <v>75.36849680015672</v>
      </c>
      <c r="AH286" s="33">
        <f t="shared" si="703"/>
        <v>79.578999717729843</v>
      </c>
      <c r="AI286" s="33">
        <f t="shared" si="703"/>
        <v>80.143304573960961</v>
      </c>
      <c r="AJ286" s="33"/>
      <c r="AK286" s="33"/>
      <c r="AL286" s="33"/>
      <c r="AM286" s="33"/>
      <c r="AN286" s="33"/>
      <c r="AO286" s="33"/>
      <c r="AP286" s="33"/>
      <c r="AQ286" s="33"/>
      <c r="AS286" s="15"/>
      <c r="AT286" s="322" t="s">
        <v>90</v>
      </c>
      <c r="AU286" s="232">
        <f t="shared" ref="AU286:BA286" si="704">AU285-AU288</f>
        <v>250</v>
      </c>
      <c r="AV286" s="232">
        <f t="shared" si="704"/>
        <v>330</v>
      </c>
      <c r="AW286" s="232">
        <f t="shared" si="704"/>
        <v>237</v>
      </c>
      <c r="AX286" s="232">
        <f t="shared" si="704"/>
        <v>265</v>
      </c>
      <c r="AY286" s="232">
        <f t="shared" si="704"/>
        <v>255</v>
      </c>
      <c r="AZ286" s="232">
        <f t="shared" si="704"/>
        <v>329</v>
      </c>
      <c r="BA286" s="232">
        <f t="shared" si="704"/>
        <v>285.27850125298642</v>
      </c>
      <c r="BB286" s="232">
        <f t="shared" ref="BB286" si="705">BB285-BB288</f>
        <v>309.41081163131594</v>
      </c>
      <c r="BC286" s="33">
        <f>BC285*BC287</f>
        <v>328.72003779148832</v>
      </c>
      <c r="BD286" s="33">
        <f>BD285*BD287</f>
        <v>346.60835395843355</v>
      </c>
      <c r="BE286" s="33">
        <f>BE285*BE287</f>
        <v>328.38300287951762</v>
      </c>
    </row>
    <row r="287" spans="1:70" x14ac:dyDescent="0.2">
      <c r="B287" s="322"/>
      <c r="C287" s="434" t="s">
        <v>191</v>
      </c>
      <c r="D287" s="27">
        <f t="shared" ref="D287:X287" si="706">D286/D285</f>
        <v>0.24691358024691357</v>
      </c>
      <c r="E287" s="27">
        <f t="shared" si="706"/>
        <v>0.2231404958677686</v>
      </c>
      <c r="F287" s="27">
        <f t="shared" si="706"/>
        <v>0.23907455012853471</v>
      </c>
      <c r="G287" s="27">
        <f t="shared" si="706"/>
        <v>-6.6481994459833799E-2</v>
      </c>
      <c r="H287" s="27">
        <f t="shared" si="706"/>
        <v>0.24941176470588236</v>
      </c>
      <c r="I287" s="27">
        <f t="shared" si="706"/>
        <v>0.20588235294117646</v>
      </c>
      <c r="J287" s="27">
        <f t="shared" si="706"/>
        <v>0.18846153846153846</v>
      </c>
      <c r="K287" s="27">
        <f t="shared" si="706"/>
        <v>0.25</v>
      </c>
      <c r="L287" s="27">
        <f t="shared" si="706"/>
        <v>0.21071428571428572</v>
      </c>
      <c r="M287" s="27">
        <f t="shared" si="706"/>
        <v>8.8495575221238937E-2</v>
      </c>
      <c r="N287" s="27">
        <f t="shared" si="706"/>
        <v>0.24064171122994651</v>
      </c>
      <c r="O287" s="27">
        <f t="shared" si="706"/>
        <v>0.21864951768488747</v>
      </c>
      <c r="P287" s="27">
        <f t="shared" si="706"/>
        <v>0.20992366412213739</v>
      </c>
      <c r="Q287" s="27">
        <f t="shared" si="706"/>
        <v>0.21304347826086956</v>
      </c>
      <c r="R287" s="27">
        <f t="shared" si="706"/>
        <v>0.26302729528535979</v>
      </c>
      <c r="S287" s="27">
        <f t="shared" si="706"/>
        <v>0.28061224489795916</v>
      </c>
      <c r="T287" s="27">
        <f t="shared" si="706"/>
        <v>0.25510204081632654</v>
      </c>
      <c r="U287" s="27">
        <f t="shared" si="706"/>
        <v>0.27916666666666667</v>
      </c>
      <c r="V287" s="27">
        <f t="shared" si="706"/>
        <v>0.31623931623931623</v>
      </c>
      <c r="W287" s="27">
        <f t="shared" si="706"/>
        <v>0.29357798165137616</v>
      </c>
      <c r="X287" s="129">
        <f t="shared" si="706"/>
        <v>0.3632075471698113</v>
      </c>
      <c r="Y287" s="129">
        <f t="shared" ref="Y287:Z287" si="707">Y286/Y285</f>
        <v>0.36486486486486486</v>
      </c>
      <c r="Z287" s="129">
        <f t="shared" si="707"/>
        <v>0.32936507936507936</v>
      </c>
      <c r="AA287" s="129">
        <f t="shared" ref="AA287:AB287" si="708">AA286/AA285</f>
        <v>0.34782608695652173</v>
      </c>
      <c r="AB287" s="27">
        <f t="shared" si="708"/>
        <v>0.25910931174089069</v>
      </c>
      <c r="AC287" s="408">
        <f>Drivers!AC120</f>
        <v>0.25</v>
      </c>
      <c r="AD287" s="408">
        <f>Drivers!AD120</f>
        <v>0.25</v>
      </c>
      <c r="AE287" s="408">
        <f>Drivers!AE120</f>
        <v>0.25</v>
      </c>
      <c r="AF287" s="408">
        <f>Drivers!AF120</f>
        <v>0.24</v>
      </c>
      <c r="AG287" s="408">
        <f>Drivers!AG120</f>
        <v>0.24</v>
      </c>
      <c r="AH287" s="408">
        <f>Drivers!AH120</f>
        <v>0.24</v>
      </c>
      <c r="AI287" s="408">
        <f>Drivers!AI120</f>
        <v>0.24</v>
      </c>
      <c r="AJ287" s="408"/>
      <c r="AK287" s="408"/>
      <c r="AL287" s="408"/>
      <c r="AM287" s="408"/>
      <c r="AN287" s="408"/>
      <c r="AO287" s="408"/>
      <c r="AP287" s="408"/>
      <c r="AQ287" s="408"/>
      <c r="AS287" s="322"/>
      <c r="AT287" s="434" t="s">
        <v>191</v>
      </c>
      <c r="AU287" s="258">
        <f t="shared" ref="AU287:BA287" si="709">AU286/AU285</f>
        <v>0.16469038208168643</v>
      </c>
      <c r="AV287" s="258">
        <f t="shared" si="709"/>
        <v>0.22837370242214533</v>
      </c>
      <c r="AW287" s="258">
        <f t="shared" si="709"/>
        <v>0.19899244332493704</v>
      </c>
      <c r="AX287" s="258">
        <f t="shared" si="709"/>
        <v>0.24289642529789185</v>
      </c>
      <c r="AY287" s="258">
        <f t="shared" si="709"/>
        <v>0.28716216216216217</v>
      </c>
      <c r="AZ287" s="258">
        <f t="shared" si="709"/>
        <v>0.35037273695420662</v>
      </c>
      <c r="BA287" s="258">
        <f t="shared" si="709"/>
        <v>0.25198743235225352</v>
      </c>
      <c r="BB287" s="258">
        <f t="shared" ref="BB287" si="710">BB286/BB285</f>
        <v>0.23999999999999996</v>
      </c>
      <c r="BC287" s="408">
        <f>Drivers!BC120</f>
        <v>0.24</v>
      </c>
      <c r="BD287" s="408">
        <f>Drivers!BD120</f>
        <v>0.24</v>
      </c>
      <c r="BE287" s="408">
        <f>Drivers!BE120</f>
        <v>0.24</v>
      </c>
    </row>
    <row r="288" spans="1:70" x14ac:dyDescent="0.2">
      <c r="B288" s="316" t="s">
        <v>80</v>
      </c>
      <c r="C288" s="427"/>
      <c r="D288" s="440">
        <v>305</v>
      </c>
      <c r="E288" s="440">
        <v>282</v>
      </c>
      <c r="F288" s="440">
        <v>296</v>
      </c>
      <c r="G288" s="440">
        <v>385</v>
      </c>
      <c r="H288" s="440">
        <v>319</v>
      </c>
      <c r="I288" s="440">
        <v>270</v>
      </c>
      <c r="J288" s="440">
        <v>211</v>
      </c>
      <c r="K288" s="440">
        <v>315</v>
      </c>
      <c r="L288" s="440">
        <v>221</v>
      </c>
      <c r="M288" s="440">
        <v>206</v>
      </c>
      <c r="N288" s="440">
        <v>284</v>
      </c>
      <c r="O288" s="440">
        <v>243</v>
      </c>
      <c r="P288" s="440">
        <v>207</v>
      </c>
      <c r="Q288" s="440">
        <v>181</v>
      </c>
      <c r="R288" s="440">
        <v>297</v>
      </c>
      <c r="S288" s="440">
        <v>141</v>
      </c>
      <c r="T288" s="440">
        <v>146</v>
      </c>
      <c r="U288" s="440">
        <v>173</v>
      </c>
      <c r="V288" s="440">
        <v>160</v>
      </c>
      <c r="W288" s="440">
        <v>154</v>
      </c>
      <c r="X288" s="440">
        <v>135</v>
      </c>
      <c r="Y288" s="440">
        <v>141</v>
      </c>
      <c r="Z288" s="440">
        <v>169</v>
      </c>
      <c r="AA288" s="440">
        <v>165</v>
      </c>
      <c r="AB288" s="440">
        <v>183</v>
      </c>
      <c r="AC288" s="494">
        <f t="shared" ref="AC288:AE288" si="711">AC285-AC286</f>
        <v>218.71419462842462</v>
      </c>
      <c r="AD288" s="494">
        <f t="shared" si="711"/>
        <v>221.98668908116449</v>
      </c>
      <c r="AE288" s="494">
        <f t="shared" si="711"/>
        <v>223.13462004936997</v>
      </c>
      <c r="AF288" s="494">
        <f t="shared" ref="AF288:AI288" si="712">AF285-AF286</f>
        <v>235.34670004165019</v>
      </c>
      <c r="AG288" s="494">
        <f t="shared" si="712"/>
        <v>238.6669065338296</v>
      </c>
      <c r="AH288" s="494">
        <f t="shared" si="712"/>
        <v>252.00016577281116</v>
      </c>
      <c r="AI288" s="494">
        <f t="shared" si="712"/>
        <v>253.78713115087641</v>
      </c>
      <c r="AJ288" s="494"/>
      <c r="AK288" s="494"/>
      <c r="AL288" s="494"/>
      <c r="AM288" s="494"/>
      <c r="AN288" s="494"/>
      <c r="AO288" s="494"/>
      <c r="AP288" s="494"/>
      <c r="AQ288" s="494"/>
      <c r="AS288" s="316" t="s">
        <v>80</v>
      </c>
      <c r="AT288" s="427"/>
      <c r="AU288" s="232">
        <f>SUM(D288:G288)</f>
        <v>1268</v>
      </c>
      <c r="AV288" s="232">
        <f>SUM(H288:K288)</f>
        <v>1115</v>
      </c>
      <c r="AW288" s="232">
        <f>SUM(L288:O288)</f>
        <v>954</v>
      </c>
      <c r="AX288" s="232">
        <f>SUM(P288:S288)</f>
        <v>826</v>
      </c>
      <c r="AY288" s="232">
        <f>SUM(T288:W288)</f>
        <v>633</v>
      </c>
      <c r="AZ288" s="232">
        <f>SUM(X288:AA288)</f>
        <v>610</v>
      </c>
      <c r="BA288" s="232">
        <f>SUM(AB288:AE288)</f>
        <v>846.83550375895902</v>
      </c>
      <c r="BB288" s="232">
        <f>SUM(AF288:AI288)</f>
        <v>979.80090349916736</v>
      </c>
      <c r="BC288" s="494">
        <f>BC285-BC286</f>
        <v>1040.9467863397131</v>
      </c>
      <c r="BD288" s="494">
        <f>BD285-BD286</f>
        <v>1097.593120868373</v>
      </c>
      <c r="BE288" s="494">
        <f>BE285-BE286</f>
        <v>1039.8795091184725</v>
      </c>
    </row>
    <row r="289" spans="1:64" x14ac:dyDescent="0.2">
      <c r="B289" s="9"/>
      <c r="Y289" s="1215"/>
      <c r="Z289" s="1688"/>
      <c r="AA289" s="1742"/>
      <c r="AB289" s="1785"/>
      <c r="AS289" s="9"/>
      <c r="AT289" s="9"/>
    </row>
    <row r="290" spans="1:64" x14ac:dyDescent="0.2">
      <c r="B290" s="340" t="s">
        <v>232</v>
      </c>
      <c r="C290" s="388"/>
      <c r="D290" s="12"/>
      <c r="E290" s="12"/>
      <c r="F290" s="12"/>
      <c r="G290" s="12"/>
      <c r="H290" s="12"/>
      <c r="I290" s="12"/>
      <c r="J290" s="12"/>
      <c r="K290" s="12"/>
      <c r="L290" s="12"/>
      <c r="M290" s="12"/>
      <c r="N290" s="12"/>
      <c r="O290" s="12"/>
      <c r="P290" s="12"/>
      <c r="Q290" s="12"/>
      <c r="R290" s="12"/>
      <c r="S290" s="12"/>
      <c r="T290" s="12"/>
      <c r="U290" s="12"/>
      <c r="V290" s="12"/>
      <c r="W290" s="12"/>
      <c r="X290" s="12"/>
      <c r="Y290" s="12"/>
      <c r="Z290" s="12"/>
      <c r="AA290" s="12"/>
      <c r="AB290" s="12"/>
      <c r="AC290" s="12"/>
      <c r="AD290" s="12"/>
      <c r="AE290" s="12"/>
      <c r="AF290" s="12"/>
      <c r="AG290" s="12"/>
      <c r="AH290" s="12"/>
      <c r="AI290" s="12"/>
      <c r="AJ290" s="12"/>
      <c r="AK290" s="12"/>
      <c r="AL290" s="12"/>
      <c r="AM290" s="12"/>
      <c r="AN290" s="12"/>
      <c r="AO290" s="12"/>
      <c r="AP290" s="12"/>
      <c r="AQ290" s="12"/>
      <c r="AS290" s="340" t="s">
        <v>232</v>
      </c>
      <c r="AT290" s="388"/>
      <c r="AU290" s="12"/>
      <c r="AV290" s="12"/>
      <c r="AW290" s="12"/>
      <c r="AX290" s="12"/>
      <c r="AY290" s="12"/>
      <c r="AZ290" s="12"/>
      <c r="BA290" s="12"/>
      <c r="BB290" s="12"/>
      <c r="BC290" s="12"/>
      <c r="BD290" s="12"/>
      <c r="BE290" s="12"/>
      <c r="BF290" s="15"/>
      <c r="BG290" s="15"/>
      <c r="BH290" s="15"/>
      <c r="BI290" s="15"/>
      <c r="BJ290" s="15"/>
      <c r="BK290" s="15"/>
      <c r="BL290" s="15"/>
    </row>
    <row r="291" spans="1:64" x14ac:dyDescent="0.2">
      <c r="B291" s="321" t="s">
        <v>74</v>
      </c>
      <c r="C291" s="15"/>
      <c r="D291" s="105">
        <v>1020</v>
      </c>
      <c r="E291" s="105">
        <v>975</v>
      </c>
      <c r="F291" s="105">
        <v>1038</v>
      </c>
      <c r="G291" s="105">
        <v>1070</v>
      </c>
      <c r="H291" s="105">
        <v>1105</v>
      </c>
      <c r="I291" s="105">
        <v>1106</v>
      </c>
      <c r="J291" s="105">
        <v>1068</v>
      </c>
      <c r="K291" s="105">
        <v>1136</v>
      </c>
      <c r="L291" s="105">
        <v>1056</v>
      </c>
      <c r="M291" s="105">
        <v>1086</v>
      </c>
      <c r="N291" s="105">
        <v>1116</v>
      </c>
      <c r="O291" s="105">
        <v>1070</v>
      </c>
      <c r="P291" s="105">
        <v>960</v>
      </c>
      <c r="Q291" s="105">
        <v>963</v>
      </c>
      <c r="R291" s="105">
        <v>1088</v>
      </c>
      <c r="S291" s="105">
        <v>922</v>
      </c>
      <c r="T291" s="105">
        <v>856</v>
      </c>
      <c r="U291" s="105">
        <v>853</v>
      </c>
      <c r="V291" s="105">
        <v>881</v>
      </c>
      <c r="W291" s="105">
        <v>857</v>
      </c>
      <c r="X291" s="105">
        <v>850</v>
      </c>
      <c r="Y291" s="105">
        <v>939</v>
      </c>
      <c r="Z291" s="105">
        <v>992</v>
      </c>
      <c r="AA291" s="105">
        <v>971</v>
      </c>
      <c r="AB291" s="105">
        <v>966</v>
      </c>
      <c r="AC291" s="37">
        <f t="shared" ref="AC291:AE292" si="713">AC296+AC301</f>
        <v>1006.7166698630137</v>
      </c>
      <c r="AD291" s="37">
        <f t="shared" si="713"/>
        <v>1036.8499202465755</v>
      </c>
      <c r="AE291" s="37">
        <f t="shared" si="713"/>
        <v>1057.1938479583564</v>
      </c>
      <c r="AF291" s="37">
        <f t="shared" ref="AF291:AI291" si="714">AF296+AF301</f>
        <v>1031.1023081495343</v>
      </c>
      <c r="AG291" s="37">
        <f t="shared" si="714"/>
        <v>1054.0637683225159</v>
      </c>
      <c r="AH291" s="37">
        <f t="shared" si="714"/>
        <v>1081.6658021457915</v>
      </c>
      <c r="AI291" s="37">
        <f t="shared" si="714"/>
        <v>1101.7071230521724</v>
      </c>
      <c r="AJ291" s="37"/>
      <c r="AK291" s="37"/>
      <c r="AL291" s="37"/>
      <c r="AM291" s="37"/>
      <c r="AN291" s="37"/>
      <c r="AO291" s="37"/>
      <c r="AP291" s="37"/>
      <c r="AQ291" s="37"/>
      <c r="AS291" s="321" t="s">
        <v>74</v>
      </c>
      <c r="AT291" s="15"/>
      <c r="AU291" s="232">
        <f>SUM(D291:G291)</f>
        <v>4103</v>
      </c>
      <c r="AV291" s="232">
        <f>SUM(H291:K291)</f>
        <v>4415</v>
      </c>
      <c r="AW291" s="232">
        <f>SUM(L291:O291)</f>
        <v>4328</v>
      </c>
      <c r="AX291" s="232">
        <f>SUM(P291:S291)</f>
        <v>3933</v>
      </c>
      <c r="AY291" s="232">
        <f>SUM(T291:W291)</f>
        <v>3447</v>
      </c>
      <c r="AZ291" s="232">
        <f>SUM(X291:AA291)</f>
        <v>3752</v>
      </c>
      <c r="BA291" s="232">
        <f>SUM(AB291:AE291)</f>
        <v>4066.7604380679454</v>
      </c>
      <c r="BB291" s="232">
        <f>SUM(AF291:AI291)</f>
        <v>4268.5390016700139</v>
      </c>
      <c r="BC291" s="37">
        <f t="shared" ref="BC291:BD292" si="715">BC296+BC301</f>
        <v>4418.6648918906194</v>
      </c>
      <c r="BD291" s="37">
        <f t="shared" si="715"/>
        <v>4611.920798823613</v>
      </c>
      <c r="BE291" s="37">
        <f t="shared" ref="BE291" si="716">BE296+BE301</f>
        <v>4843.0325716434309</v>
      </c>
    </row>
    <row r="292" spans="1:64" x14ac:dyDescent="0.2">
      <c r="B292" s="376" t="s">
        <v>75</v>
      </c>
      <c r="C292" s="28"/>
      <c r="D292" s="443">
        <v>431</v>
      </c>
      <c r="E292" s="443">
        <v>420</v>
      </c>
      <c r="F292" s="443">
        <v>442</v>
      </c>
      <c r="G292" s="443">
        <v>493</v>
      </c>
      <c r="H292" s="443">
        <v>484</v>
      </c>
      <c r="I292" s="443">
        <v>511</v>
      </c>
      <c r="J292" s="443">
        <v>518</v>
      </c>
      <c r="K292" s="443">
        <v>553</v>
      </c>
      <c r="L292" s="443">
        <v>508</v>
      </c>
      <c r="M292" s="443">
        <v>540</v>
      </c>
      <c r="N292" s="443">
        <v>571</v>
      </c>
      <c r="O292" s="443">
        <v>562</v>
      </c>
      <c r="P292" s="443">
        <v>460</v>
      </c>
      <c r="Q292" s="443">
        <v>457</v>
      </c>
      <c r="R292" s="443">
        <v>445</v>
      </c>
      <c r="S292" s="443">
        <v>427</v>
      </c>
      <c r="T292" s="443">
        <v>373</v>
      </c>
      <c r="U292" s="443">
        <v>383</v>
      </c>
      <c r="V292" s="443">
        <v>364</v>
      </c>
      <c r="W292" s="443">
        <v>355</v>
      </c>
      <c r="X292" s="443">
        <v>317</v>
      </c>
      <c r="Y292" s="443">
        <v>369</v>
      </c>
      <c r="Z292" s="443">
        <v>396</v>
      </c>
      <c r="AA292" s="443">
        <v>388</v>
      </c>
      <c r="AB292" s="443">
        <v>381</v>
      </c>
      <c r="AC292" s="42">
        <f t="shared" si="713"/>
        <v>383.57545205479454</v>
      </c>
      <c r="AD292" s="42">
        <f t="shared" si="713"/>
        <v>397.74934356164385</v>
      </c>
      <c r="AE292" s="42">
        <f t="shared" si="713"/>
        <v>415.99321426849315</v>
      </c>
      <c r="AF292" s="42">
        <f t="shared" ref="AF292:AI292" si="717">AF297+AF302</f>
        <v>396.70189237479445</v>
      </c>
      <c r="AG292" s="42">
        <f t="shared" si="717"/>
        <v>412.77922100253801</v>
      </c>
      <c r="AH292" s="42">
        <f t="shared" si="717"/>
        <v>421.3314322595275</v>
      </c>
      <c r="AI292" s="42">
        <f t="shared" si="717"/>
        <v>438.10385138861091</v>
      </c>
      <c r="AJ292" s="207"/>
      <c r="AK292" s="207"/>
      <c r="AL292" s="207"/>
      <c r="AM292" s="207"/>
      <c r="AN292" s="207"/>
      <c r="AO292" s="207"/>
      <c r="AP292" s="207"/>
      <c r="AQ292" s="207"/>
      <c r="AS292" s="376" t="s">
        <v>75</v>
      </c>
      <c r="AT292" s="28"/>
      <c r="AU292" s="41">
        <f>SUM(D292:G292)</f>
        <v>1786</v>
      </c>
      <c r="AV292" s="41">
        <f>SUM(H292:K292)</f>
        <v>2066</v>
      </c>
      <c r="AW292" s="41">
        <f>SUM(L292:O292)</f>
        <v>2181</v>
      </c>
      <c r="AX292" s="41">
        <f>SUM(P292:S292)</f>
        <v>1789</v>
      </c>
      <c r="AY292" s="41">
        <f>SUM(T292:W292)</f>
        <v>1475</v>
      </c>
      <c r="AZ292" s="41">
        <f>SUM(X292:AA292)</f>
        <v>1470</v>
      </c>
      <c r="BA292" s="41">
        <f>SUM(AB292:AE292)</f>
        <v>1578.3180098849316</v>
      </c>
      <c r="BB292" s="41">
        <f>SUM(AF292:AI292)</f>
        <v>1668.9163970254708</v>
      </c>
      <c r="BC292" s="42">
        <f t="shared" si="715"/>
        <v>1764.4118135553485</v>
      </c>
      <c r="BD292" s="42">
        <f t="shared" si="715"/>
        <v>1863.543287989196</v>
      </c>
      <c r="BE292" s="42">
        <f t="shared" ref="BE292" si="718">BE297+BE302</f>
        <v>1760.4573852040753</v>
      </c>
    </row>
    <row r="293" spans="1:64" x14ac:dyDescent="0.2">
      <c r="B293" s="18"/>
      <c r="C293" s="322" t="s">
        <v>55</v>
      </c>
      <c r="D293" s="379">
        <f t="shared" ref="D293:AE293" si="719">SUM(D291:D292)</f>
        <v>1451</v>
      </c>
      <c r="E293" s="379">
        <f t="shared" si="719"/>
        <v>1395</v>
      </c>
      <c r="F293" s="379">
        <f t="shared" si="719"/>
        <v>1480</v>
      </c>
      <c r="G293" s="379">
        <f t="shared" si="719"/>
        <v>1563</v>
      </c>
      <c r="H293" s="379">
        <f t="shared" si="719"/>
        <v>1589</v>
      </c>
      <c r="I293" s="379">
        <f t="shared" si="719"/>
        <v>1617</v>
      </c>
      <c r="J293" s="379">
        <f t="shared" si="719"/>
        <v>1586</v>
      </c>
      <c r="K293" s="379">
        <f t="shared" si="719"/>
        <v>1689</v>
      </c>
      <c r="L293" s="379">
        <f t="shared" si="719"/>
        <v>1564</v>
      </c>
      <c r="M293" s="379">
        <f t="shared" si="719"/>
        <v>1626</v>
      </c>
      <c r="N293" s="379">
        <f t="shared" si="719"/>
        <v>1687</v>
      </c>
      <c r="O293" s="379">
        <f t="shared" si="719"/>
        <v>1632</v>
      </c>
      <c r="P293" s="379">
        <f t="shared" si="719"/>
        <v>1420</v>
      </c>
      <c r="Q293" s="379">
        <f t="shared" si="719"/>
        <v>1420</v>
      </c>
      <c r="R293" s="379">
        <f t="shared" si="719"/>
        <v>1533</v>
      </c>
      <c r="S293" s="379">
        <f t="shared" si="719"/>
        <v>1349</v>
      </c>
      <c r="T293" s="379">
        <f t="shared" si="719"/>
        <v>1229</v>
      </c>
      <c r="U293" s="379">
        <f t="shared" si="719"/>
        <v>1236</v>
      </c>
      <c r="V293" s="379">
        <f t="shared" si="719"/>
        <v>1245</v>
      </c>
      <c r="W293" s="379">
        <f t="shared" si="719"/>
        <v>1212</v>
      </c>
      <c r="X293" s="379">
        <f t="shared" si="719"/>
        <v>1167</v>
      </c>
      <c r="Y293" s="379">
        <f t="shared" ref="Y293:Z293" si="720">SUM(Y291:Y292)</f>
        <v>1308</v>
      </c>
      <c r="Z293" s="379">
        <f t="shared" si="720"/>
        <v>1388</v>
      </c>
      <c r="AA293" s="379">
        <f t="shared" ref="AA293:AB293" si="721">SUM(AA291:AA292)</f>
        <v>1359</v>
      </c>
      <c r="AB293" s="379">
        <f t="shared" si="721"/>
        <v>1347</v>
      </c>
      <c r="AC293" s="379">
        <f t="shared" si="719"/>
        <v>1390.2921219178083</v>
      </c>
      <c r="AD293" s="379">
        <f t="shared" si="719"/>
        <v>1434.5992638082193</v>
      </c>
      <c r="AE293" s="379">
        <f t="shared" si="719"/>
        <v>1473.1870622268495</v>
      </c>
      <c r="AF293" s="379">
        <f t="shared" ref="AF293:AI293" si="722">SUM(AF291:AF292)</f>
        <v>1427.8042005243287</v>
      </c>
      <c r="AG293" s="379">
        <f t="shared" si="722"/>
        <v>1466.8429893250538</v>
      </c>
      <c r="AH293" s="379">
        <f t="shared" si="722"/>
        <v>1502.997234405319</v>
      </c>
      <c r="AI293" s="379">
        <f t="shared" si="722"/>
        <v>1539.8109744407834</v>
      </c>
      <c r="AJ293" s="379"/>
      <c r="AK293" s="379"/>
      <c r="AL293" s="379"/>
      <c r="AM293" s="379"/>
      <c r="AN293" s="379"/>
      <c r="AO293" s="379"/>
      <c r="AP293" s="379"/>
      <c r="AQ293" s="379"/>
      <c r="AS293" s="18"/>
      <c r="AT293" s="322" t="s">
        <v>55</v>
      </c>
      <c r="AU293" s="232">
        <f t="shared" ref="AU293:BD293" si="723">SUM(AU291:AU292)</f>
        <v>5889</v>
      </c>
      <c r="AV293" s="232">
        <f t="shared" si="723"/>
        <v>6481</v>
      </c>
      <c r="AW293" s="232">
        <f t="shared" si="723"/>
        <v>6509</v>
      </c>
      <c r="AX293" s="232">
        <f t="shared" si="723"/>
        <v>5722</v>
      </c>
      <c r="AY293" s="232">
        <f t="shared" si="723"/>
        <v>4922</v>
      </c>
      <c r="AZ293" s="232">
        <f t="shared" si="723"/>
        <v>5222</v>
      </c>
      <c r="BA293" s="232">
        <f t="shared" si="723"/>
        <v>5645.0784479528775</v>
      </c>
      <c r="BB293" s="232">
        <f t="shared" ref="BB293" si="724">SUM(BB291:BB292)</f>
        <v>5937.4553986954852</v>
      </c>
      <c r="BC293" s="379">
        <f t="shared" si="723"/>
        <v>6183.0767054459684</v>
      </c>
      <c r="BD293" s="379">
        <f t="shared" si="723"/>
        <v>6475.464086812809</v>
      </c>
      <c r="BE293" s="379">
        <f t="shared" ref="BE293" si="725">SUM(BE291:BE292)</f>
        <v>6603.4899568475066</v>
      </c>
    </row>
    <row r="294" spans="1:64" x14ac:dyDescent="0.2">
      <c r="B294" s="321"/>
      <c r="C294" s="319"/>
      <c r="D294" s="15"/>
      <c r="E294" s="15"/>
      <c r="F294" s="15"/>
      <c r="G294" s="15"/>
      <c r="H294" s="15"/>
      <c r="I294" s="15"/>
      <c r="J294" s="15"/>
      <c r="K294" s="15"/>
      <c r="L294" s="15"/>
      <c r="M294" s="15"/>
      <c r="N294" s="15"/>
      <c r="O294" s="15"/>
      <c r="P294" s="15"/>
      <c r="Q294" s="15"/>
      <c r="R294" s="15"/>
      <c r="S294" s="15"/>
      <c r="T294" s="15"/>
      <c r="U294" s="15"/>
      <c r="V294" s="15"/>
      <c r="W294" s="15"/>
      <c r="X294" s="15"/>
      <c r="Y294" s="15"/>
      <c r="Z294" s="15"/>
      <c r="AA294" s="15"/>
      <c r="AB294" s="15"/>
      <c r="AC294" s="15"/>
      <c r="AD294" s="15"/>
      <c r="AE294" s="15"/>
      <c r="AF294" s="15"/>
      <c r="AG294" s="15"/>
      <c r="AH294" s="15"/>
      <c r="AI294" s="15"/>
      <c r="AJ294" s="15"/>
      <c r="AK294" s="15"/>
      <c r="AL294" s="15"/>
      <c r="AM294" s="15"/>
      <c r="AN294" s="15"/>
      <c r="AO294" s="15"/>
      <c r="AP294" s="15"/>
      <c r="AQ294" s="15"/>
      <c r="AS294" s="321"/>
      <c r="AT294" s="319"/>
      <c r="BC294" s="15"/>
      <c r="BD294" s="15"/>
      <c r="BE294" s="15"/>
    </row>
    <row r="295" spans="1:64" x14ac:dyDescent="0.2">
      <c r="B295" s="340" t="s">
        <v>231</v>
      </c>
      <c r="C295" s="388"/>
      <c r="D295" s="12"/>
      <c r="E295" s="12"/>
      <c r="F295" s="12"/>
      <c r="G295" s="12"/>
      <c r="H295" s="12"/>
      <c r="I295" s="12"/>
      <c r="J295" s="12"/>
      <c r="K295" s="12"/>
      <c r="L295" s="12"/>
      <c r="M295" s="12"/>
      <c r="N295" s="12"/>
      <c r="O295" s="12"/>
      <c r="P295" s="12"/>
      <c r="Q295" s="12"/>
      <c r="R295" s="12"/>
      <c r="S295" s="12"/>
      <c r="T295" s="12"/>
      <c r="U295" s="12"/>
      <c r="V295" s="12"/>
      <c r="W295" s="12"/>
      <c r="X295" s="12"/>
      <c r="Y295" s="12"/>
      <c r="Z295" s="12"/>
      <c r="AA295" s="12"/>
      <c r="AB295" s="12"/>
      <c r="AC295" s="12"/>
      <c r="AD295" s="12"/>
      <c r="AE295" s="12"/>
      <c r="AF295" s="12"/>
      <c r="AG295" s="12"/>
      <c r="AH295" s="12"/>
      <c r="AI295" s="12"/>
      <c r="AJ295" s="12"/>
      <c r="AK295" s="12"/>
      <c r="AL295" s="12"/>
      <c r="AM295" s="12"/>
      <c r="AN295" s="12"/>
      <c r="AO295" s="12"/>
      <c r="AP295" s="12"/>
      <c r="AQ295" s="12"/>
      <c r="AS295" s="340" t="s">
        <v>231</v>
      </c>
      <c r="AT295" s="388"/>
      <c r="AU295" s="12"/>
      <c r="AV295" s="12"/>
      <c r="AW295" s="12"/>
      <c r="AX295" s="12"/>
      <c r="AY295" s="12"/>
      <c r="AZ295" s="12"/>
      <c r="BA295" s="12"/>
      <c r="BB295" s="12"/>
      <c r="BC295" s="12"/>
      <c r="BD295" s="12"/>
      <c r="BE295" s="12"/>
    </row>
    <row r="296" spans="1:64" x14ac:dyDescent="0.2">
      <c r="B296" s="321" t="s">
        <v>74</v>
      </c>
      <c r="C296" s="15"/>
      <c r="D296" s="437">
        <v>683</v>
      </c>
      <c r="E296" s="437">
        <v>674</v>
      </c>
      <c r="F296" s="437">
        <v>701</v>
      </c>
      <c r="G296" s="437">
        <v>729</v>
      </c>
      <c r="H296" s="437">
        <v>729</v>
      </c>
      <c r="I296" s="437">
        <v>720</v>
      </c>
      <c r="J296" s="437">
        <v>723</v>
      </c>
      <c r="K296" s="437">
        <v>729</v>
      </c>
      <c r="L296" s="437">
        <v>697</v>
      </c>
      <c r="M296" s="437">
        <v>714</v>
      </c>
      <c r="N296" s="437">
        <v>735</v>
      </c>
      <c r="O296" s="437">
        <v>711</v>
      </c>
      <c r="P296" s="437">
        <v>641</v>
      </c>
      <c r="Q296" s="437">
        <v>639</v>
      </c>
      <c r="R296" s="437">
        <v>620</v>
      </c>
      <c r="S296" s="437">
        <v>626</v>
      </c>
      <c r="T296" s="437">
        <v>587</v>
      </c>
      <c r="U296" s="437">
        <v>585</v>
      </c>
      <c r="V296" s="437">
        <v>612</v>
      </c>
      <c r="W296" s="437">
        <v>593</v>
      </c>
      <c r="X296" s="437">
        <v>587</v>
      </c>
      <c r="Y296" s="437">
        <v>669</v>
      </c>
      <c r="Z296" s="437">
        <v>703</v>
      </c>
      <c r="AA296" s="437">
        <v>672</v>
      </c>
      <c r="AB296" s="437">
        <v>680</v>
      </c>
      <c r="AC296" s="37">
        <f t="shared" ref="AC296:AE296" si="726">AC311*(AC325*1000)/AC1</f>
        <v>701.07185342465755</v>
      </c>
      <c r="AD296" s="37">
        <f t="shared" si="726"/>
        <v>724.75633405479459</v>
      </c>
      <c r="AE296" s="37">
        <f t="shared" si="726"/>
        <v>741.97932590465768</v>
      </c>
      <c r="AF296" s="37">
        <f t="shared" ref="AF296:AI296" si="727">AF311*(AF325*1000)/AF1</f>
        <v>715.94896903878089</v>
      </c>
      <c r="AG296" s="37">
        <f t="shared" si="727"/>
        <v>732.22217501507873</v>
      </c>
      <c r="AH296" s="37">
        <f t="shared" si="727"/>
        <v>753.03370489164809</v>
      </c>
      <c r="AI296" s="37">
        <f t="shared" si="727"/>
        <v>769.78870482548734</v>
      </c>
      <c r="AJ296" s="37"/>
      <c r="AK296" s="37"/>
      <c r="AL296" s="37"/>
      <c r="AM296" s="37"/>
      <c r="AN296" s="37"/>
      <c r="AO296" s="37"/>
      <c r="AP296" s="37"/>
      <c r="AQ296" s="37"/>
      <c r="AS296" s="321" t="s">
        <v>74</v>
      </c>
      <c r="AT296" s="15"/>
      <c r="AU296" s="232">
        <f>SUM(D296:G296)</f>
        <v>2787</v>
      </c>
      <c r="AV296" s="232">
        <f>SUM(H296:K296)</f>
        <v>2901</v>
      </c>
      <c r="AW296" s="232">
        <f>SUM(L296:O296)</f>
        <v>2857</v>
      </c>
      <c r="AX296" s="232">
        <f>SUM(P296:S296)</f>
        <v>2526</v>
      </c>
      <c r="AY296" s="232">
        <f>SUM(T296:W296)</f>
        <v>2377</v>
      </c>
      <c r="AZ296" s="232">
        <f>SUM(X296:AA296)</f>
        <v>2631</v>
      </c>
      <c r="BA296" s="232">
        <f>SUM(AB296:AE296)</f>
        <v>2847.8075133841098</v>
      </c>
      <c r="BB296" s="232">
        <f>SUM(AF296:AI296)</f>
        <v>2970.9935537709953</v>
      </c>
      <c r="BC296" s="37">
        <f>BC311*(BC325*1000)/BC1</f>
        <v>3069.3461833556953</v>
      </c>
      <c r="BD296" s="37">
        <f>BD311*(BD325*1000)/BD1</f>
        <v>3192.1200306899236</v>
      </c>
      <c r="BE296" s="37">
        <f>BE311*(BE325*1000)/BE1</f>
        <v>3332.1004053690676</v>
      </c>
    </row>
    <row r="297" spans="1:64" x14ac:dyDescent="0.2">
      <c r="B297" s="376" t="s">
        <v>75</v>
      </c>
      <c r="C297" s="28"/>
      <c r="D297" s="443">
        <v>298</v>
      </c>
      <c r="E297" s="443">
        <v>309</v>
      </c>
      <c r="F297" s="443">
        <v>320</v>
      </c>
      <c r="G297" s="443">
        <v>339</v>
      </c>
      <c r="H297" s="443">
        <v>327</v>
      </c>
      <c r="I297" s="443">
        <v>370</v>
      </c>
      <c r="J297" s="443">
        <v>387</v>
      </c>
      <c r="K297" s="443">
        <v>404</v>
      </c>
      <c r="L297" s="443">
        <v>379</v>
      </c>
      <c r="M297" s="443">
        <v>409</v>
      </c>
      <c r="N297" s="443">
        <v>439</v>
      </c>
      <c r="O297" s="443">
        <v>417</v>
      </c>
      <c r="P297" s="443">
        <v>340</v>
      </c>
      <c r="Q297" s="443">
        <v>343</v>
      </c>
      <c r="R297" s="443">
        <v>330</v>
      </c>
      <c r="S297" s="443">
        <v>310</v>
      </c>
      <c r="T297" s="443">
        <v>266</v>
      </c>
      <c r="U297" s="443">
        <v>276</v>
      </c>
      <c r="V297" s="443">
        <v>265</v>
      </c>
      <c r="W297" s="443">
        <v>247</v>
      </c>
      <c r="X297" s="443">
        <v>261</v>
      </c>
      <c r="Y297" s="443">
        <v>298</v>
      </c>
      <c r="Z297" s="443">
        <v>335</v>
      </c>
      <c r="AA297" s="443">
        <v>319</v>
      </c>
      <c r="AB297" s="443">
        <v>317</v>
      </c>
      <c r="AC297" s="37">
        <f t="shared" ref="AC297:AE297" si="728">AC316*(AC327*1000)/AC1</f>
        <v>314.69545205479454</v>
      </c>
      <c r="AD297" s="37">
        <f t="shared" si="728"/>
        <v>327.52534356164381</v>
      </c>
      <c r="AE297" s="37">
        <f t="shared" si="728"/>
        <v>340.45621426849311</v>
      </c>
      <c r="AF297" s="37">
        <f t="shared" ref="AF297:AI297" si="729">AF316*(AF327*1000)/AF1</f>
        <v>326.39389237479446</v>
      </c>
      <c r="AG297" s="37">
        <f t="shared" si="729"/>
        <v>336.62090100253801</v>
      </c>
      <c r="AH297" s="37">
        <f t="shared" si="729"/>
        <v>345.42483225952748</v>
      </c>
      <c r="AI297" s="37">
        <f t="shared" si="729"/>
        <v>357.51470138861089</v>
      </c>
      <c r="AJ297" s="37"/>
      <c r="AK297" s="37"/>
      <c r="AL297" s="37"/>
      <c r="AM297" s="37"/>
      <c r="AN297" s="37"/>
      <c r="AO297" s="37"/>
      <c r="AP297" s="37"/>
      <c r="AQ297" s="37"/>
      <c r="AS297" s="376" t="s">
        <v>75</v>
      </c>
      <c r="AT297" s="28"/>
      <c r="AU297" s="41">
        <f>SUM(D297:G297)</f>
        <v>1266</v>
      </c>
      <c r="AV297" s="41">
        <f>SUM(H297:K297)</f>
        <v>1488</v>
      </c>
      <c r="AW297" s="41">
        <f>SUM(L297:O297)</f>
        <v>1644</v>
      </c>
      <c r="AX297" s="41">
        <f>SUM(P297:S297)</f>
        <v>1323</v>
      </c>
      <c r="AY297" s="41">
        <f>SUM(T297:W297)</f>
        <v>1054</v>
      </c>
      <c r="AZ297" s="41">
        <f>SUM(X297:AA297)</f>
        <v>1213</v>
      </c>
      <c r="BA297" s="41">
        <f>SUM(AB297:AE297)</f>
        <v>1299.6770098849315</v>
      </c>
      <c r="BB297" s="41">
        <f>SUM(AF297:AI297)</f>
        <v>1365.9543270254708</v>
      </c>
      <c r="BC297" s="37">
        <f>BC316*(BC327*1000)/BC1</f>
        <v>1437.0564104353484</v>
      </c>
      <c r="BD297" s="37">
        <f>BD316*(BD327*1000)/BD1</f>
        <v>1512.1541970451958</v>
      </c>
      <c r="BE297" s="37">
        <f>BE316*(BE327*1000)/BE1</f>
        <v>1383.3290433484271</v>
      </c>
    </row>
    <row r="298" spans="1:64" x14ac:dyDescent="0.2">
      <c r="B298" s="18"/>
      <c r="C298" s="322" t="s">
        <v>55</v>
      </c>
      <c r="D298" s="37">
        <f t="shared" ref="D298:AE298" si="730">SUM(D296:D297)</f>
        <v>981</v>
      </c>
      <c r="E298" s="37">
        <f t="shared" si="730"/>
        <v>983</v>
      </c>
      <c r="F298" s="37">
        <f t="shared" si="730"/>
        <v>1021</v>
      </c>
      <c r="G298" s="37">
        <f t="shared" si="730"/>
        <v>1068</v>
      </c>
      <c r="H298" s="37">
        <f t="shared" si="730"/>
        <v>1056</v>
      </c>
      <c r="I298" s="37">
        <f t="shared" si="730"/>
        <v>1090</v>
      </c>
      <c r="J298" s="37">
        <f t="shared" si="730"/>
        <v>1110</v>
      </c>
      <c r="K298" s="37">
        <f t="shared" si="730"/>
        <v>1133</v>
      </c>
      <c r="L298" s="37">
        <f t="shared" si="730"/>
        <v>1076</v>
      </c>
      <c r="M298" s="37">
        <f t="shared" si="730"/>
        <v>1123</v>
      </c>
      <c r="N298" s="37">
        <f t="shared" si="730"/>
        <v>1174</v>
      </c>
      <c r="O298" s="37">
        <f t="shared" si="730"/>
        <v>1128</v>
      </c>
      <c r="P298" s="37">
        <f t="shared" si="730"/>
        <v>981</v>
      </c>
      <c r="Q298" s="37">
        <f t="shared" si="730"/>
        <v>982</v>
      </c>
      <c r="R298" s="37">
        <f t="shared" si="730"/>
        <v>950</v>
      </c>
      <c r="S298" s="37">
        <f t="shared" si="730"/>
        <v>936</v>
      </c>
      <c r="T298" s="37">
        <f t="shared" si="730"/>
        <v>853</v>
      </c>
      <c r="U298" s="37">
        <f t="shared" si="730"/>
        <v>861</v>
      </c>
      <c r="V298" s="37">
        <f t="shared" si="730"/>
        <v>877</v>
      </c>
      <c r="W298" s="37">
        <f t="shared" si="730"/>
        <v>840</v>
      </c>
      <c r="X298" s="37">
        <f t="shared" si="730"/>
        <v>848</v>
      </c>
      <c r="Y298" s="37">
        <f t="shared" ref="Y298:Z298" si="731">SUM(Y296:Y297)</f>
        <v>967</v>
      </c>
      <c r="Z298" s="37">
        <f t="shared" si="731"/>
        <v>1038</v>
      </c>
      <c r="AA298" s="37">
        <f t="shared" ref="AA298:AB298" si="732">SUM(AA296:AA297)</f>
        <v>991</v>
      </c>
      <c r="AB298" s="37">
        <f t="shared" si="732"/>
        <v>997</v>
      </c>
      <c r="AC298" s="189">
        <f t="shared" si="730"/>
        <v>1015.767305479452</v>
      </c>
      <c r="AD298" s="189">
        <f t="shared" si="730"/>
        <v>1052.2816776164384</v>
      </c>
      <c r="AE298" s="189">
        <f t="shared" si="730"/>
        <v>1082.4355401731509</v>
      </c>
      <c r="AF298" s="189">
        <f t="shared" ref="AF298:AI298" si="733">SUM(AF296:AF297)</f>
        <v>1042.3428614135753</v>
      </c>
      <c r="AG298" s="189">
        <f t="shared" si="733"/>
        <v>1068.8430760176168</v>
      </c>
      <c r="AH298" s="189">
        <f t="shared" si="733"/>
        <v>1098.4585371511755</v>
      </c>
      <c r="AI298" s="189">
        <f t="shared" si="733"/>
        <v>1127.3034062140982</v>
      </c>
      <c r="AJ298" s="207"/>
      <c r="AK298" s="207"/>
      <c r="AL298" s="207"/>
      <c r="AM298" s="207"/>
      <c r="AN298" s="207"/>
      <c r="AO298" s="207"/>
      <c r="AP298" s="207"/>
      <c r="AQ298" s="207"/>
      <c r="AS298" s="18"/>
      <c r="AT298" s="322" t="s">
        <v>55</v>
      </c>
      <c r="AU298" s="232">
        <f t="shared" ref="AU298:BD298" si="734">SUM(AU296:AU297)</f>
        <v>4053</v>
      </c>
      <c r="AV298" s="232">
        <f t="shared" si="734"/>
        <v>4389</v>
      </c>
      <c r="AW298" s="232">
        <f t="shared" si="734"/>
        <v>4501</v>
      </c>
      <c r="AX298" s="232">
        <f t="shared" si="734"/>
        <v>3849</v>
      </c>
      <c r="AY298" s="232">
        <f t="shared" si="734"/>
        <v>3431</v>
      </c>
      <c r="AZ298" s="232">
        <f t="shared" si="734"/>
        <v>3844</v>
      </c>
      <c r="BA298" s="232">
        <f t="shared" si="734"/>
        <v>4147.4845232690413</v>
      </c>
      <c r="BB298" s="232">
        <f t="shared" ref="BB298" si="735">SUM(BB296:BB297)</f>
        <v>4336.9478807964661</v>
      </c>
      <c r="BC298" s="189">
        <f t="shared" si="734"/>
        <v>4506.4025937910437</v>
      </c>
      <c r="BD298" s="189">
        <f t="shared" si="734"/>
        <v>4704.274227735119</v>
      </c>
      <c r="BE298" s="189">
        <f t="shared" ref="BE298" si="736">SUM(BE296:BE297)</f>
        <v>4715.4294487174948</v>
      </c>
    </row>
    <row r="299" spans="1:64" x14ac:dyDescent="0.2">
      <c r="B299" s="321"/>
      <c r="C299" s="319"/>
      <c r="D299" s="15"/>
      <c r="E299" s="15"/>
      <c r="F299" s="15"/>
      <c r="G299" s="15"/>
      <c r="H299" s="15"/>
      <c r="I299" s="15"/>
      <c r="J299" s="15"/>
      <c r="K299" s="15"/>
      <c r="L299" s="15"/>
      <c r="M299" s="15"/>
      <c r="N299" s="15"/>
      <c r="O299" s="15"/>
      <c r="P299" s="15"/>
      <c r="Q299" s="15"/>
      <c r="R299" s="15"/>
      <c r="S299" s="15"/>
      <c r="T299" s="15"/>
      <c r="U299" s="15"/>
      <c r="V299" s="15"/>
      <c r="W299" s="15"/>
      <c r="X299" s="15"/>
      <c r="Y299" s="15"/>
      <c r="Z299" s="15"/>
      <c r="AA299" s="15"/>
      <c r="AB299" s="15"/>
      <c r="AC299" s="15"/>
      <c r="AD299" s="15"/>
      <c r="AE299" s="15"/>
      <c r="AF299" s="15"/>
      <c r="AG299" s="15"/>
      <c r="AH299" s="15"/>
      <c r="AI299" s="15"/>
      <c r="AJ299" s="15"/>
      <c r="AK299" s="15"/>
      <c r="AL299" s="15"/>
      <c r="AM299" s="15"/>
      <c r="AN299" s="15"/>
      <c r="AO299" s="15"/>
      <c r="AP299" s="15"/>
      <c r="AQ299" s="15"/>
      <c r="AS299" s="321"/>
      <c r="AT299" s="319"/>
      <c r="BC299" s="15"/>
      <c r="BD299" s="15"/>
      <c r="BE299" s="15"/>
    </row>
    <row r="300" spans="1:64" x14ac:dyDescent="0.2">
      <c r="B300" s="340" t="s">
        <v>233</v>
      </c>
      <c r="C300" s="388"/>
      <c r="D300" s="12"/>
      <c r="E300" s="12"/>
      <c r="F300" s="12"/>
      <c r="G300" s="12"/>
      <c r="H300" s="12"/>
      <c r="I300" s="12"/>
      <c r="J300" s="12"/>
      <c r="K300" s="12"/>
      <c r="L300" s="12"/>
      <c r="M300" s="12"/>
      <c r="N300" s="12"/>
      <c r="O300" s="12"/>
      <c r="P300" s="12"/>
      <c r="Q300" s="12"/>
      <c r="R300" s="12"/>
      <c r="S300" s="12"/>
      <c r="T300" s="12"/>
      <c r="U300" s="12"/>
      <c r="V300" s="12"/>
      <c r="W300" s="12"/>
      <c r="X300" s="12"/>
      <c r="Y300" s="12"/>
      <c r="Z300" s="12"/>
      <c r="AA300" s="12"/>
      <c r="AB300" s="12"/>
      <c r="AC300" s="12"/>
      <c r="AD300" s="12"/>
      <c r="AE300" s="12"/>
      <c r="AF300" s="12"/>
      <c r="AG300" s="12"/>
      <c r="AH300" s="12"/>
      <c r="AI300" s="12"/>
      <c r="AJ300" s="12"/>
      <c r="AK300" s="12"/>
      <c r="AL300" s="12"/>
      <c r="AM300" s="12"/>
      <c r="AN300" s="12"/>
      <c r="AO300" s="12"/>
      <c r="AP300" s="12"/>
      <c r="AQ300" s="12"/>
      <c r="AS300" s="340" t="s">
        <v>233</v>
      </c>
      <c r="AT300" s="388"/>
      <c r="AU300" s="12"/>
      <c r="AV300" s="12"/>
      <c r="AW300" s="12"/>
      <c r="AX300" s="12"/>
      <c r="AY300" s="12"/>
      <c r="AZ300" s="12"/>
      <c r="BA300" s="12"/>
      <c r="BB300" s="12"/>
      <c r="BC300" s="12"/>
      <c r="BD300" s="12"/>
      <c r="BE300" s="12"/>
    </row>
    <row r="301" spans="1:64" x14ac:dyDescent="0.2">
      <c r="B301" s="321" t="s">
        <v>74</v>
      </c>
      <c r="C301" s="15"/>
      <c r="D301" s="37">
        <f t="shared" ref="D301:X301" si="737">D291-D296</f>
        <v>337</v>
      </c>
      <c r="E301" s="37">
        <f t="shared" si="737"/>
        <v>301</v>
      </c>
      <c r="F301" s="37">
        <f t="shared" si="737"/>
        <v>337</v>
      </c>
      <c r="G301" s="37">
        <f t="shared" si="737"/>
        <v>341</v>
      </c>
      <c r="H301" s="37">
        <f t="shared" si="737"/>
        <v>376</v>
      </c>
      <c r="I301" s="37">
        <f t="shared" si="737"/>
        <v>386</v>
      </c>
      <c r="J301" s="37">
        <f t="shared" si="737"/>
        <v>345</v>
      </c>
      <c r="K301" s="37">
        <f t="shared" si="737"/>
        <v>407</v>
      </c>
      <c r="L301" s="37">
        <f t="shared" si="737"/>
        <v>359</v>
      </c>
      <c r="M301" s="37">
        <f t="shared" si="737"/>
        <v>372</v>
      </c>
      <c r="N301" s="37">
        <f t="shared" si="737"/>
        <v>381</v>
      </c>
      <c r="O301" s="37">
        <f t="shared" si="737"/>
        <v>359</v>
      </c>
      <c r="P301" s="37">
        <f t="shared" si="737"/>
        <v>319</v>
      </c>
      <c r="Q301" s="37">
        <f t="shared" si="737"/>
        <v>324</v>
      </c>
      <c r="R301" s="37">
        <f t="shared" si="737"/>
        <v>468</v>
      </c>
      <c r="S301" s="37">
        <f t="shared" si="737"/>
        <v>296</v>
      </c>
      <c r="T301" s="37">
        <f t="shared" si="737"/>
        <v>269</v>
      </c>
      <c r="U301" s="37">
        <f t="shared" si="737"/>
        <v>268</v>
      </c>
      <c r="V301" s="37">
        <f t="shared" si="737"/>
        <v>269</v>
      </c>
      <c r="W301" s="37">
        <f t="shared" si="737"/>
        <v>264</v>
      </c>
      <c r="X301" s="37">
        <f t="shared" si="737"/>
        <v>263</v>
      </c>
      <c r="Y301" s="37">
        <f t="shared" ref="Y301:Z301" si="738">Y291-Y296</f>
        <v>270</v>
      </c>
      <c r="Z301" s="37">
        <f t="shared" si="738"/>
        <v>289</v>
      </c>
      <c r="AA301" s="37">
        <f t="shared" ref="AA301:AB301" si="739">AA291-AA296</f>
        <v>299</v>
      </c>
      <c r="AB301" s="37">
        <f t="shared" si="739"/>
        <v>286</v>
      </c>
      <c r="AC301" s="37">
        <f t="shared" ref="AC301:AE301" si="740">AC319*(AC324*1000)/AC1</f>
        <v>305.6448164383562</v>
      </c>
      <c r="AD301" s="37">
        <f t="shared" si="740"/>
        <v>312.09358619178084</v>
      </c>
      <c r="AE301" s="37">
        <f t="shared" si="740"/>
        <v>315.21452205369866</v>
      </c>
      <c r="AF301" s="37">
        <f t="shared" ref="AF301:AI301" si="741">AF319*(AF324*1000)/AF1</f>
        <v>315.15333911075345</v>
      </c>
      <c r="AG301" s="37">
        <f t="shared" si="741"/>
        <v>321.84159330743722</v>
      </c>
      <c r="AH301" s="37">
        <f t="shared" si="741"/>
        <v>328.63209725414356</v>
      </c>
      <c r="AI301" s="37">
        <f t="shared" si="741"/>
        <v>331.91841822668505</v>
      </c>
      <c r="AJ301" s="37"/>
      <c r="AK301" s="37"/>
      <c r="AL301" s="37"/>
      <c r="AM301" s="37"/>
      <c r="AN301" s="37"/>
      <c r="AO301" s="37"/>
      <c r="AP301" s="37"/>
      <c r="AQ301" s="37"/>
      <c r="AS301" s="321" t="s">
        <v>74</v>
      </c>
      <c r="AT301" s="15"/>
      <c r="AU301" s="232">
        <f>SUM(D301:G301)</f>
        <v>1316</v>
      </c>
      <c r="AV301" s="232">
        <f>SUM(H301:K301)</f>
        <v>1514</v>
      </c>
      <c r="AW301" s="232">
        <f>SUM(L301:O301)</f>
        <v>1471</v>
      </c>
      <c r="AX301" s="232">
        <f>SUM(P301:S301)</f>
        <v>1407</v>
      </c>
      <c r="AY301" s="232">
        <f>SUM(T301:W301)</f>
        <v>1070</v>
      </c>
      <c r="AZ301" s="232">
        <f>SUM(X301:AA301)</f>
        <v>1121</v>
      </c>
      <c r="BA301" s="232">
        <f>SUM(AB301:AE301)</f>
        <v>1218.9529246838356</v>
      </c>
      <c r="BB301" s="232">
        <f>SUM(AF301:AI301)</f>
        <v>1297.5454478990193</v>
      </c>
      <c r="BC301" s="37">
        <f>BC319*(BC324*1000)/BC1</f>
        <v>1349.3187085349241</v>
      </c>
      <c r="BD301" s="37">
        <f>BD319*(BD324*1000)/BD1</f>
        <v>1419.8007681336892</v>
      </c>
      <c r="BE301" s="37">
        <f>BE319*(BE324*1000)/BE1</f>
        <v>1510.9321662743635</v>
      </c>
    </row>
    <row r="302" spans="1:64" x14ac:dyDescent="0.2">
      <c r="B302" s="376" t="s">
        <v>75</v>
      </c>
      <c r="C302" s="28"/>
      <c r="D302" s="42">
        <f t="shared" ref="D302:X302" si="742">D292-D297</f>
        <v>133</v>
      </c>
      <c r="E302" s="42">
        <f t="shared" si="742"/>
        <v>111</v>
      </c>
      <c r="F302" s="42">
        <f t="shared" si="742"/>
        <v>122</v>
      </c>
      <c r="G302" s="42">
        <f t="shared" si="742"/>
        <v>154</v>
      </c>
      <c r="H302" s="42">
        <f t="shared" si="742"/>
        <v>157</v>
      </c>
      <c r="I302" s="42">
        <f t="shared" si="742"/>
        <v>141</v>
      </c>
      <c r="J302" s="42">
        <f t="shared" si="742"/>
        <v>131</v>
      </c>
      <c r="K302" s="42">
        <f t="shared" si="742"/>
        <v>149</v>
      </c>
      <c r="L302" s="42">
        <f t="shared" si="742"/>
        <v>129</v>
      </c>
      <c r="M302" s="42">
        <f t="shared" si="742"/>
        <v>131</v>
      </c>
      <c r="N302" s="42">
        <f t="shared" si="742"/>
        <v>132</v>
      </c>
      <c r="O302" s="42">
        <f t="shared" si="742"/>
        <v>145</v>
      </c>
      <c r="P302" s="42">
        <f t="shared" si="742"/>
        <v>120</v>
      </c>
      <c r="Q302" s="42">
        <f t="shared" si="742"/>
        <v>114</v>
      </c>
      <c r="R302" s="42">
        <f t="shared" si="742"/>
        <v>115</v>
      </c>
      <c r="S302" s="42">
        <f t="shared" si="742"/>
        <v>117</v>
      </c>
      <c r="T302" s="42">
        <f t="shared" si="742"/>
        <v>107</v>
      </c>
      <c r="U302" s="42">
        <f t="shared" si="742"/>
        <v>107</v>
      </c>
      <c r="V302" s="42">
        <f t="shared" si="742"/>
        <v>99</v>
      </c>
      <c r="W302" s="42">
        <f t="shared" si="742"/>
        <v>108</v>
      </c>
      <c r="X302" s="42">
        <f t="shared" si="742"/>
        <v>56</v>
      </c>
      <c r="Y302" s="42">
        <f t="shared" ref="Y302:Z302" si="743">Y292-Y297</f>
        <v>71</v>
      </c>
      <c r="Z302" s="42">
        <f t="shared" si="743"/>
        <v>61</v>
      </c>
      <c r="AA302" s="42">
        <f t="shared" ref="AA302:AB302" si="744">AA292-AA297</f>
        <v>69</v>
      </c>
      <c r="AB302" s="42">
        <f t="shared" si="744"/>
        <v>64</v>
      </c>
      <c r="AC302" s="42">
        <f t="shared" ref="AC302:AE302" si="745">AC320*(AC344*1000)</f>
        <v>68.88</v>
      </c>
      <c r="AD302" s="42">
        <f t="shared" si="745"/>
        <v>70.224000000000018</v>
      </c>
      <c r="AE302" s="42">
        <f t="shared" si="745"/>
        <v>75.537000000000006</v>
      </c>
      <c r="AF302" s="42">
        <f t="shared" ref="AF302:AI302" si="746">AF320*(AF344*1000)</f>
        <v>70.308000000000007</v>
      </c>
      <c r="AG302" s="42">
        <f t="shared" si="746"/>
        <v>76.158319999999989</v>
      </c>
      <c r="AH302" s="42">
        <f t="shared" si="746"/>
        <v>75.906600000000026</v>
      </c>
      <c r="AI302" s="42">
        <f t="shared" si="746"/>
        <v>80.589150000000018</v>
      </c>
      <c r="AJ302" s="207"/>
      <c r="AK302" s="207"/>
      <c r="AL302" s="207"/>
      <c r="AM302" s="207"/>
      <c r="AN302" s="207"/>
      <c r="AO302" s="207"/>
      <c r="AP302" s="207"/>
      <c r="AQ302" s="207"/>
      <c r="AS302" s="376" t="s">
        <v>75</v>
      </c>
      <c r="AT302" s="28"/>
      <c r="AU302" s="41">
        <f>SUM(D302:G302)</f>
        <v>520</v>
      </c>
      <c r="AV302" s="41">
        <f>SUM(H302:K302)</f>
        <v>578</v>
      </c>
      <c r="AW302" s="41">
        <f>SUM(L302:O302)</f>
        <v>537</v>
      </c>
      <c r="AX302" s="41">
        <f>SUM(P302:S302)</f>
        <v>466</v>
      </c>
      <c r="AY302" s="41">
        <f>SUM(T302:W302)</f>
        <v>421</v>
      </c>
      <c r="AZ302" s="41">
        <f>SUM(X302:AA302)</f>
        <v>257</v>
      </c>
      <c r="BA302" s="41">
        <f>SUM(AB302:AE302)</f>
        <v>278.64100000000002</v>
      </c>
      <c r="BB302" s="41">
        <f>SUM(AF302:AI302)</f>
        <v>302.96207000000004</v>
      </c>
      <c r="BC302" s="42">
        <f>BC320*(BC344*1000)</f>
        <v>327.35540312000006</v>
      </c>
      <c r="BD302" s="42">
        <f>BD320*(BD344*1000)</f>
        <v>351.38909094400009</v>
      </c>
      <c r="BE302" s="42">
        <f>BE320*(BE344*1000)</f>
        <v>377.12834185564805</v>
      </c>
    </row>
    <row r="303" spans="1:64" x14ac:dyDescent="0.2">
      <c r="B303" s="18"/>
      <c r="C303" s="322" t="s">
        <v>55</v>
      </c>
      <c r="D303" s="37">
        <f t="shared" ref="D303:X303" si="747">D293-D298</f>
        <v>470</v>
      </c>
      <c r="E303" s="37">
        <f t="shared" si="747"/>
        <v>412</v>
      </c>
      <c r="F303" s="37">
        <f t="shared" si="747"/>
        <v>459</v>
      </c>
      <c r="G303" s="37">
        <f t="shared" si="747"/>
        <v>495</v>
      </c>
      <c r="H303" s="37">
        <f t="shared" si="747"/>
        <v>533</v>
      </c>
      <c r="I303" s="37">
        <f t="shared" si="747"/>
        <v>527</v>
      </c>
      <c r="J303" s="37">
        <f t="shared" si="747"/>
        <v>476</v>
      </c>
      <c r="K303" s="37">
        <f t="shared" si="747"/>
        <v>556</v>
      </c>
      <c r="L303" s="37">
        <f t="shared" si="747"/>
        <v>488</v>
      </c>
      <c r="M303" s="37">
        <f t="shared" si="747"/>
        <v>503</v>
      </c>
      <c r="N303" s="37">
        <f t="shared" si="747"/>
        <v>513</v>
      </c>
      <c r="O303" s="37">
        <f t="shared" si="747"/>
        <v>504</v>
      </c>
      <c r="P303" s="37">
        <f t="shared" si="747"/>
        <v>439</v>
      </c>
      <c r="Q303" s="37">
        <f t="shared" si="747"/>
        <v>438</v>
      </c>
      <c r="R303" s="37">
        <f t="shared" si="747"/>
        <v>583</v>
      </c>
      <c r="S303" s="37">
        <f t="shared" si="747"/>
        <v>413</v>
      </c>
      <c r="T303" s="37">
        <f t="shared" si="747"/>
        <v>376</v>
      </c>
      <c r="U303" s="37">
        <f t="shared" si="747"/>
        <v>375</v>
      </c>
      <c r="V303" s="37">
        <f t="shared" si="747"/>
        <v>368</v>
      </c>
      <c r="W303" s="37">
        <f t="shared" si="747"/>
        <v>372</v>
      </c>
      <c r="X303" s="37">
        <f t="shared" si="747"/>
        <v>319</v>
      </c>
      <c r="Y303" s="37">
        <f t="shared" ref="Y303:Z303" si="748">Y293-Y298</f>
        <v>341</v>
      </c>
      <c r="Z303" s="37">
        <f t="shared" si="748"/>
        <v>350</v>
      </c>
      <c r="AA303" s="37">
        <f t="shared" ref="AA303:AB303" si="749">AA293-AA298</f>
        <v>368</v>
      </c>
      <c r="AB303" s="37">
        <f t="shared" si="749"/>
        <v>350</v>
      </c>
      <c r="AC303" s="37">
        <f t="shared" ref="AC303:AE303" si="750">SUM(AC301:AC302)</f>
        <v>374.5248164383562</v>
      </c>
      <c r="AD303" s="37">
        <f t="shared" si="750"/>
        <v>382.31758619178083</v>
      </c>
      <c r="AE303" s="37">
        <f t="shared" si="750"/>
        <v>390.75152205369864</v>
      </c>
      <c r="AF303" s="37">
        <f t="shared" ref="AF303:AI303" si="751">SUM(AF301:AF302)</f>
        <v>385.46133911075344</v>
      </c>
      <c r="AG303" s="37">
        <f t="shared" si="751"/>
        <v>397.99991330743723</v>
      </c>
      <c r="AH303" s="37">
        <f t="shared" si="751"/>
        <v>404.53869725414359</v>
      </c>
      <c r="AI303" s="37">
        <f t="shared" si="751"/>
        <v>412.50756822668507</v>
      </c>
      <c r="AJ303" s="37"/>
      <c r="AK303" s="37"/>
      <c r="AL303" s="37"/>
      <c r="AM303" s="37"/>
      <c r="AN303" s="37"/>
      <c r="AO303" s="37"/>
      <c r="AP303" s="37"/>
      <c r="AQ303" s="37"/>
      <c r="AS303" s="18"/>
      <c r="AT303" s="322" t="s">
        <v>55</v>
      </c>
      <c r="AU303" s="232">
        <f t="shared" ref="AU303:BD303" si="752">SUM(AU301:AU302)</f>
        <v>1836</v>
      </c>
      <c r="AV303" s="232">
        <f t="shared" si="752"/>
        <v>2092</v>
      </c>
      <c r="AW303" s="232">
        <f t="shared" si="752"/>
        <v>2008</v>
      </c>
      <c r="AX303" s="232">
        <f t="shared" si="752"/>
        <v>1873</v>
      </c>
      <c r="AY303" s="232">
        <f t="shared" si="752"/>
        <v>1491</v>
      </c>
      <c r="AZ303" s="232">
        <f t="shared" si="752"/>
        <v>1378</v>
      </c>
      <c r="BA303" s="232">
        <f t="shared" si="752"/>
        <v>1497.5939246838357</v>
      </c>
      <c r="BB303" s="232">
        <f t="shared" ref="BB303" si="753">SUM(BB301:BB302)</f>
        <v>1600.5075178990194</v>
      </c>
      <c r="BC303" s="37">
        <f t="shared" si="752"/>
        <v>1676.6741116549242</v>
      </c>
      <c r="BD303" s="37">
        <f t="shared" si="752"/>
        <v>1771.1898590776893</v>
      </c>
      <c r="BE303" s="37">
        <f t="shared" ref="BE303" si="754">SUM(BE301:BE302)</f>
        <v>1888.0605081300114</v>
      </c>
    </row>
    <row r="304" spans="1:64" x14ac:dyDescent="0.2">
      <c r="A304" s="830"/>
      <c r="B304" s="369"/>
      <c r="C304" s="382"/>
      <c r="D304" s="70"/>
      <c r="E304" s="70"/>
      <c r="F304" s="70"/>
      <c r="G304" s="70"/>
      <c r="H304" s="70"/>
      <c r="I304" s="70"/>
      <c r="J304" s="70"/>
      <c r="K304" s="70"/>
      <c r="L304" s="70"/>
      <c r="M304" s="70"/>
      <c r="N304" s="70"/>
      <c r="O304" s="70"/>
      <c r="P304" s="70"/>
      <c r="Q304" s="70"/>
      <c r="R304" s="70"/>
      <c r="S304" s="70"/>
      <c r="T304" s="70"/>
      <c r="U304" s="70"/>
      <c r="V304" s="70"/>
      <c r="W304" s="70"/>
      <c r="X304" s="70"/>
      <c r="Y304" s="70"/>
      <c r="Z304" s="70"/>
      <c r="AA304" s="70"/>
      <c r="AB304" s="70"/>
      <c r="AC304" s="70"/>
      <c r="AD304" s="70"/>
      <c r="AE304" s="70"/>
      <c r="AF304" s="70"/>
      <c r="AG304" s="70"/>
      <c r="AH304" s="70"/>
      <c r="AI304" s="70"/>
      <c r="AJ304" s="70"/>
      <c r="AK304" s="70"/>
      <c r="AL304" s="70"/>
      <c r="AM304" s="70"/>
      <c r="AN304" s="70"/>
      <c r="AO304" s="70"/>
      <c r="AP304" s="70"/>
      <c r="AQ304" s="70"/>
      <c r="AS304" s="369"/>
      <c r="AT304" s="382"/>
    </row>
    <row r="305" spans="1:70" x14ac:dyDescent="0.2">
      <c r="B305" s="340" t="s">
        <v>534</v>
      </c>
      <c r="C305" s="388"/>
      <c r="D305" s="12"/>
      <c r="E305" s="12"/>
      <c r="F305" s="12"/>
      <c r="G305" s="12"/>
      <c r="H305" s="12"/>
      <c r="I305" s="12"/>
      <c r="J305" s="12"/>
      <c r="K305" s="12"/>
      <c r="L305" s="12"/>
      <c r="M305" s="12"/>
      <c r="N305" s="12"/>
      <c r="O305" s="12"/>
      <c r="P305" s="12"/>
      <c r="Q305" s="12"/>
      <c r="R305" s="12"/>
      <c r="S305" s="12"/>
      <c r="T305" s="12"/>
      <c r="U305" s="12"/>
      <c r="V305" s="12"/>
      <c r="W305" s="12"/>
      <c r="X305" s="12"/>
      <c r="Y305" s="12"/>
      <c r="Z305" s="12"/>
      <c r="AA305" s="12"/>
      <c r="AB305" s="12"/>
      <c r="AC305" s="12"/>
      <c r="AD305" s="12"/>
      <c r="AE305" s="12"/>
      <c r="AF305" s="12"/>
      <c r="AG305" s="12"/>
      <c r="AH305" s="12"/>
      <c r="AI305" s="12"/>
      <c r="AJ305" s="12"/>
      <c r="AK305" s="12"/>
      <c r="AL305" s="12"/>
      <c r="AM305" s="12"/>
      <c r="AN305" s="12"/>
      <c r="AO305" s="12"/>
      <c r="AP305" s="12"/>
      <c r="AQ305" s="12"/>
      <c r="AS305" s="340" t="s">
        <v>534</v>
      </c>
      <c r="AT305" s="388"/>
      <c r="AU305" s="12"/>
      <c r="AV305" s="12"/>
      <c r="AW305" s="12"/>
      <c r="AX305" s="12"/>
      <c r="AY305" s="12"/>
      <c r="AZ305" s="12"/>
      <c r="BA305" s="12"/>
      <c r="BB305" s="12"/>
      <c r="BC305" s="12"/>
      <c r="BD305" s="12"/>
      <c r="BE305" s="12"/>
    </row>
    <row r="306" spans="1:70" x14ac:dyDescent="0.2">
      <c r="B306" s="321" t="s">
        <v>74</v>
      </c>
      <c r="C306" s="15"/>
      <c r="D306" s="495">
        <v>207</v>
      </c>
      <c r="E306" s="495">
        <v>195</v>
      </c>
      <c r="F306" s="495">
        <v>210</v>
      </c>
      <c r="G306" s="495">
        <v>256</v>
      </c>
      <c r="H306" s="495">
        <v>225</v>
      </c>
      <c r="I306" s="495">
        <v>165</v>
      </c>
      <c r="J306" s="495">
        <v>112</v>
      </c>
      <c r="K306" s="495">
        <v>204</v>
      </c>
      <c r="L306" s="495">
        <v>147</v>
      </c>
      <c r="M306" s="495">
        <v>160</v>
      </c>
      <c r="N306" s="495">
        <v>172</v>
      </c>
      <c r="O306" s="495">
        <v>129</v>
      </c>
      <c r="P306" s="495">
        <v>135</v>
      </c>
      <c r="Q306" s="495">
        <v>112</v>
      </c>
      <c r="R306" s="495">
        <v>219</v>
      </c>
      <c r="S306" s="495">
        <v>54</v>
      </c>
      <c r="T306" s="495">
        <v>90</v>
      </c>
      <c r="U306" s="495">
        <v>96</v>
      </c>
      <c r="V306" s="495">
        <v>84</v>
      </c>
      <c r="W306" s="495">
        <v>85</v>
      </c>
      <c r="X306" s="495">
        <v>90</v>
      </c>
      <c r="Y306" s="495">
        <v>91</v>
      </c>
      <c r="Z306" s="495">
        <v>129</v>
      </c>
      <c r="AA306" s="495">
        <v>116</v>
      </c>
      <c r="AB306" s="495">
        <v>138</v>
      </c>
      <c r="AC306" s="20" t="s">
        <v>226</v>
      </c>
      <c r="AD306" s="20" t="s">
        <v>226</v>
      </c>
      <c r="AE306" s="20" t="s">
        <v>226</v>
      </c>
      <c r="AF306" s="20" t="s">
        <v>226</v>
      </c>
      <c r="AG306" s="20" t="s">
        <v>226</v>
      </c>
      <c r="AH306" s="20" t="s">
        <v>226</v>
      </c>
      <c r="AI306" s="20" t="s">
        <v>226</v>
      </c>
      <c r="AJ306" s="20"/>
      <c r="AK306" s="20"/>
      <c r="AL306" s="20"/>
      <c r="AM306" s="20"/>
      <c r="AN306" s="20"/>
      <c r="AO306" s="20"/>
      <c r="AP306" s="20"/>
      <c r="AQ306" s="20"/>
      <c r="AS306" s="321" t="s">
        <v>74</v>
      </c>
      <c r="AT306" s="15"/>
      <c r="AU306" s="232">
        <f>SUM(D306:G306)</f>
        <v>868</v>
      </c>
      <c r="AV306" s="232">
        <f>SUM(H306:K306)</f>
        <v>706</v>
      </c>
      <c r="AW306" s="232">
        <f>SUM(L306:O306)</f>
        <v>608</v>
      </c>
      <c r="AX306" s="232">
        <f>SUM(P306:S306)</f>
        <v>520</v>
      </c>
      <c r="AY306" s="232">
        <f>SUM(T306:W306)</f>
        <v>355</v>
      </c>
      <c r="AZ306" s="252" t="s">
        <v>226</v>
      </c>
      <c r="BA306" s="252" t="s">
        <v>226</v>
      </c>
      <c r="BB306" s="252" t="s">
        <v>226</v>
      </c>
      <c r="BC306" s="252" t="s">
        <v>226</v>
      </c>
      <c r="BD306" s="252" t="s">
        <v>226</v>
      </c>
      <c r="BE306" s="252" t="s">
        <v>226</v>
      </c>
    </row>
    <row r="307" spans="1:70" x14ac:dyDescent="0.2">
      <c r="B307" s="376" t="s">
        <v>75</v>
      </c>
      <c r="C307" s="25"/>
      <c r="D307" s="497">
        <v>98</v>
      </c>
      <c r="E307" s="497">
        <v>87</v>
      </c>
      <c r="F307" s="497">
        <v>86</v>
      </c>
      <c r="G307" s="497">
        <v>129</v>
      </c>
      <c r="H307" s="497">
        <v>94</v>
      </c>
      <c r="I307" s="497">
        <v>105</v>
      </c>
      <c r="J307" s="497">
        <v>99</v>
      </c>
      <c r="K307" s="497">
        <v>111</v>
      </c>
      <c r="L307" s="497">
        <v>74</v>
      </c>
      <c r="M307" s="497">
        <v>46</v>
      </c>
      <c r="N307" s="497">
        <v>112</v>
      </c>
      <c r="O307" s="497">
        <v>114</v>
      </c>
      <c r="P307" s="497">
        <v>72</v>
      </c>
      <c r="Q307" s="497">
        <v>69</v>
      </c>
      <c r="R307" s="497">
        <v>78</v>
      </c>
      <c r="S307" s="497">
        <v>87</v>
      </c>
      <c r="T307" s="497">
        <v>56</v>
      </c>
      <c r="U307" s="497">
        <v>77</v>
      </c>
      <c r="V307" s="497">
        <v>76</v>
      </c>
      <c r="W307" s="497">
        <v>69</v>
      </c>
      <c r="X307" s="497">
        <v>45</v>
      </c>
      <c r="Y307" s="497">
        <v>50</v>
      </c>
      <c r="Z307" s="497">
        <v>40</v>
      </c>
      <c r="AA307" s="497">
        <v>49</v>
      </c>
      <c r="AB307" s="497">
        <v>45</v>
      </c>
      <c r="AC307" s="285" t="s">
        <v>226</v>
      </c>
      <c r="AD307" s="285" t="s">
        <v>226</v>
      </c>
      <c r="AE307" s="285" t="s">
        <v>226</v>
      </c>
      <c r="AF307" s="285" t="s">
        <v>226</v>
      </c>
      <c r="AG307" s="285" t="s">
        <v>226</v>
      </c>
      <c r="AH307" s="285" t="s">
        <v>226</v>
      </c>
      <c r="AI307" s="285" t="s">
        <v>226</v>
      </c>
      <c r="AJ307" s="241"/>
      <c r="AK307" s="241"/>
      <c r="AL307" s="241"/>
      <c r="AM307" s="241"/>
      <c r="AN307" s="241"/>
      <c r="AO307" s="241"/>
      <c r="AP307" s="241"/>
      <c r="AQ307" s="241"/>
      <c r="AS307" s="376" t="s">
        <v>75</v>
      </c>
      <c r="AT307" s="25"/>
      <c r="AU307" s="41">
        <f>SUM(D307:G307)</f>
        <v>400</v>
      </c>
      <c r="AV307" s="41">
        <f>SUM(H307:K307)</f>
        <v>409</v>
      </c>
      <c r="AW307" s="41">
        <f>SUM(L307:O307)</f>
        <v>346</v>
      </c>
      <c r="AX307" s="41">
        <f>SUM(P307:S307)</f>
        <v>306</v>
      </c>
      <c r="AY307" s="41">
        <f>SUM(T307:W307)</f>
        <v>278</v>
      </c>
      <c r="AZ307" s="259" t="s">
        <v>226</v>
      </c>
      <c r="BA307" s="259" t="s">
        <v>226</v>
      </c>
      <c r="BB307" s="259" t="s">
        <v>226</v>
      </c>
      <c r="BC307" s="259" t="s">
        <v>226</v>
      </c>
      <c r="BD307" s="259" t="s">
        <v>226</v>
      </c>
      <c r="BE307" s="259" t="s">
        <v>226</v>
      </c>
    </row>
    <row r="308" spans="1:70" x14ac:dyDescent="0.2">
      <c r="B308" s="321"/>
      <c r="C308" s="319" t="s">
        <v>21</v>
      </c>
      <c r="D308" s="378">
        <f t="shared" ref="D308:X308" si="755">SUM(D306:D307)</f>
        <v>305</v>
      </c>
      <c r="E308" s="378">
        <f t="shared" si="755"/>
        <v>282</v>
      </c>
      <c r="F308" s="378">
        <f t="shared" si="755"/>
        <v>296</v>
      </c>
      <c r="G308" s="378">
        <f t="shared" si="755"/>
        <v>385</v>
      </c>
      <c r="H308" s="378">
        <f t="shared" si="755"/>
        <v>319</v>
      </c>
      <c r="I308" s="378">
        <f t="shared" si="755"/>
        <v>270</v>
      </c>
      <c r="J308" s="378">
        <f t="shared" si="755"/>
        <v>211</v>
      </c>
      <c r="K308" s="378">
        <f t="shared" si="755"/>
        <v>315</v>
      </c>
      <c r="L308" s="378">
        <f t="shared" si="755"/>
        <v>221</v>
      </c>
      <c r="M308" s="378">
        <f t="shared" si="755"/>
        <v>206</v>
      </c>
      <c r="N308" s="378">
        <f t="shared" si="755"/>
        <v>284</v>
      </c>
      <c r="O308" s="378">
        <f t="shared" si="755"/>
        <v>243</v>
      </c>
      <c r="P308" s="378">
        <f t="shared" si="755"/>
        <v>207</v>
      </c>
      <c r="Q308" s="378">
        <f t="shared" si="755"/>
        <v>181</v>
      </c>
      <c r="R308" s="378">
        <f t="shared" si="755"/>
        <v>297</v>
      </c>
      <c r="S308" s="378">
        <f t="shared" si="755"/>
        <v>141</v>
      </c>
      <c r="T308" s="378">
        <f t="shared" si="755"/>
        <v>146</v>
      </c>
      <c r="U308" s="378">
        <f t="shared" si="755"/>
        <v>173</v>
      </c>
      <c r="V308" s="378">
        <f t="shared" si="755"/>
        <v>160</v>
      </c>
      <c r="W308" s="378">
        <f t="shared" si="755"/>
        <v>154</v>
      </c>
      <c r="X308" s="378">
        <f t="shared" si="755"/>
        <v>135</v>
      </c>
      <c r="Y308" s="378">
        <f t="shared" ref="Y308:Z308" si="756">SUM(Y306:Y307)</f>
        <v>141</v>
      </c>
      <c r="Z308" s="378">
        <f t="shared" si="756"/>
        <v>169</v>
      </c>
      <c r="AA308" s="378">
        <f t="shared" ref="AA308:AB308" si="757">SUM(AA306:AA307)</f>
        <v>165</v>
      </c>
      <c r="AB308" s="378">
        <f t="shared" si="757"/>
        <v>183</v>
      </c>
      <c r="AC308" s="116">
        <f t="shared" ref="AC308:AE308" si="758">AC288</f>
        <v>218.71419462842462</v>
      </c>
      <c r="AD308" s="116">
        <f t="shared" si="758"/>
        <v>221.98668908116449</v>
      </c>
      <c r="AE308" s="116">
        <f t="shared" si="758"/>
        <v>223.13462004936997</v>
      </c>
      <c r="AF308" s="116">
        <f t="shared" ref="AF308:AI308" si="759">AF288</f>
        <v>235.34670004165019</v>
      </c>
      <c r="AG308" s="116">
        <f t="shared" si="759"/>
        <v>238.6669065338296</v>
      </c>
      <c r="AH308" s="116">
        <f t="shared" si="759"/>
        <v>252.00016577281116</v>
      </c>
      <c r="AI308" s="116">
        <f t="shared" si="759"/>
        <v>253.78713115087641</v>
      </c>
      <c r="AJ308" s="116"/>
      <c r="AK308" s="116"/>
      <c r="AL308" s="116"/>
      <c r="AM308" s="116"/>
      <c r="AN308" s="116"/>
      <c r="AO308" s="116"/>
      <c r="AP308" s="116"/>
      <c r="AQ308" s="116"/>
      <c r="AS308" s="321"/>
      <c r="AT308" s="319" t="s">
        <v>21</v>
      </c>
      <c r="AU308" s="232">
        <f t="shared" ref="AU308:BD308" si="760">SUM(AU306:AU307)</f>
        <v>1268</v>
      </c>
      <c r="AV308" s="232">
        <f t="shared" si="760"/>
        <v>1115</v>
      </c>
      <c r="AW308" s="232">
        <f t="shared" si="760"/>
        <v>954</v>
      </c>
      <c r="AX308" s="232">
        <f t="shared" si="760"/>
        <v>826</v>
      </c>
      <c r="AY308" s="232">
        <f t="shared" si="760"/>
        <v>633</v>
      </c>
      <c r="AZ308" s="232">
        <f t="shared" si="760"/>
        <v>0</v>
      </c>
      <c r="BA308" s="232">
        <f t="shared" si="760"/>
        <v>0</v>
      </c>
      <c r="BB308" s="232">
        <f t="shared" ref="BB308" si="761">SUM(BB306:BB307)</f>
        <v>0</v>
      </c>
      <c r="BC308" s="232">
        <f t="shared" si="760"/>
        <v>0</v>
      </c>
      <c r="BD308" s="232">
        <f t="shared" si="760"/>
        <v>0</v>
      </c>
      <c r="BE308" s="232">
        <f t="shared" ref="BE308" si="762">SUM(BE306:BE307)</f>
        <v>0</v>
      </c>
    </row>
    <row r="309" spans="1:70" x14ac:dyDescent="0.2">
      <c r="A309" s="830"/>
      <c r="B309" s="369"/>
      <c r="C309" s="382"/>
      <c r="D309" s="71"/>
      <c r="E309" s="71"/>
      <c r="F309" s="71"/>
      <c r="G309" s="71"/>
      <c r="H309" s="71"/>
      <c r="I309" s="71"/>
      <c r="J309" s="71"/>
      <c r="K309" s="71"/>
      <c r="L309" s="71"/>
      <c r="M309" s="71"/>
      <c r="N309" s="71"/>
      <c r="O309" s="71"/>
      <c r="P309" s="71"/>
      <c r="Q309" s="71"/>
      <c r="R309" s="71"/>
      <c r="S309" s="71"/>
      <c r="T309" s="71"/>
      <c r="U309" s="71"/>
      <c r="V309" s="71"/>
      <c r="W309" s="71"/>
      <c r="X309" s="70"/>
      <c r="Y309" s="70"/>
      <c r="Z309" s="70"/>
      <c r="AA309" s="70"/>
      <c r="AB309" s="71"/>
      <c r="AC309" s="71"/>
      <c r="AD309" s="71"/>
      <c r="AE309" s="71"/>
      <c r="AF309" s="71"/>
      <c r="AG309" s="71"/>
      <c r="AH309" s="71"/>
      <c r="AI309" s="71"/>
      <c r="AJ309" s="71"/>
      <c r="AK309" s="71"/>
      <c r="AL309" s="71"/>
      <c r="AM309" s="71"/>
      <c r="AN309" s="71"/>
      <c r="AO309" s="71"/>
      <c r="AP309" s="71"/>
      <c r="AQ309" s="71"/>
      <c r="AS309" s="369"/>
      <c r="AT309" s="382"/>
    </row>
    <row r="310" spans="1:70" s="369" customFormat="1" x14ac:dyDescent="0.2">
      <c r="A310" s="411"/>
      <c r="B310" s="337" t="s">
        <v>302</v>
      </c>
      <c r="C310" s="367"/>
      <c r="D310" s="479"/>
      <c r="E310" s="479"/>
      <c r="F310" s="479"/>
      <c r="G310" s="479"/>
      <c r="H310" s="479"/>
      <c r="I310" s="499"/>
      <c r="J310" s="479"/>
      <c r="K310" s="479"/>
      <c r="L310" s="479"/>
      <c r="M310" s="479"/>
      <c r="N310" s="479"/>
      <c r="O310" s="479"/>
      <c r="P310" s="479"/>
      <c r="Q310" s="479"/>
      <c r="R310" s="479"/>
      <c r="S310" s="479"/>
      <c r="T310" s="479"/>
      <c r="U310" s="479"/>
      <c r="V310" s="479"/>
      <c r="W310" s="479"/>
      <c r="X310" s="479"/>
      <c r="Y310" s="479"/>
      <c r="Z310" s="479"/>
      <c r="AA310" s="479"/>
      <c r="AB310" s="479"/>
      <c r="AC310" s="367"/>
      <c r="AD310" s="367"/>
      <c r="AE310" s="367"/>
      <c r="AF310" s="367"/>
      <c r="AG310" s="367"/>
      <c r="AH310" s="367"/>
      <c r="AI310" s="367"/>
      <c r="AJ310" s="367"/>
      <c r="AK310" s="367"/>
      <c r="AL310" s="367"/>
      <c r="AM310" s="367"/>
      <c r="AN310" s="367"/>
      <c r="AO310" s="367"/>
      <c r="AP310" s="367"/>
      <c r="AQ310" s="367"/>
      <c r="AR310" s="70"/>
      <c r="AS310" s="337" t="s">
        <v>302</v>
      </c>
      <c r="AT310" s="367"/>
      <c r="AU310" s="12"/>
      <c r="AV310" s="12"/>
      <c r="AW310" s="12"/>
      <c r="AX310" s="12"/>
      <c r="AY310" s="12"/>
      <c r="AZ310" s="12"/>
      <c r="BA310" s="12"/>
      <c r="BB310" s="12"/>
      <c r="BC310" s="12"/>
      <c r="BD310" s="12"/>
      <c r="BE310" s="12"/>
      <c r="BM310"/>
      <c r="BN310"/>
      <c r="BO310"/>
      <c r="BP310"/>
      <c r="BQ310"/>
      <c r="BR310"/>
    </row>
    <row r="311" spans="1:70" s="369" customFormat="1" x14ac:dyDescent="0.2">
      <c r="A311" s="411"/>
      <c r="B311" s="334" t="s">
        <v>511</v>
      </c>
      <c r="C311" s="321"/>
      <c r="D311" s="480">
        <v>0.03</v>
      </c>
      <c r="E311" s="480">
        <v>0.14269999999999999</v>
      </c>
      <c r="F311" s="480">
        <v>0.13739999999999999</v>
      </c>
      <c r="G311" s="480">
        <v>0.13619999999999999</v>
      </c>
      <c r="H311" s="480">
        <v>0.1308</v>
      </c>
      <c r="I311" s="480">
        <v>0.12559999999999999</v>
      </c>
      <c r="J311" s="480">
        <v>0.12690000000000001</v>
      </c>
      <c r="K311" s="480">
        <v>0.12520000000000001</v>
      </c>
      <c r="L311" s="480">
        <v>0.1234</v>
      </c>
      <c r="M311" s="480">
        <v>0.12239999999999999</v>
      </c>
      <c r="N311" s="480">
        <v>0.1268</v>
      </c>
      <c r="O311" s="480">
        <v>0.12759999999999999</v>
      </c>
      <c r="P311" s="480">
        <v>0.125</v>
      </c>
      <c r="Q311" s="480">
        <v>0.1232</v>
      </c>
      <c r="R311" s="480">
        <v>0.1242</v>
      </c>
      <c r="S311" s="480">
        <v>0.1242</v>
      </c>
      <c r="T311" s="480">
        <v>0.123</v>
      </c>
      <c r="U311" s="480">
        <v>0.1225</v>
      </c>
      <c r="V311" s="480">
        <v>0.1275</v>
      </c>
      <c r="W311" s="480">
        <v>0.1275</v>
      </c>
      <c r="X311" s="480">
        <v>0.13009999999999999</v>
      </c>
      <c r="Y311" s="480">
        <v>0.1328</v>
      </c>
      <c r="Z311" s="480">
        <v>0.13159999999999999</v>
      </c>
      <c r="AA311" s="480">
        <v>0.1313</v>
      </c>
      <c r="AB311" s="480">
        <v>0.13320000000000001</v>
      </c>
      <c r="AC311" s="481">
        <f>Drivers!AC13</f>
        <v>0.13450000000000001</v>
      </c>
      <c r="AD311" s="481">
        <f>Drivers!AD13</f>
        <v>0.13550000000000001</v>
      </c>
      <c r="AE311" s="481">
        <f>Drivers!AE13</f>
        <v>0.13600000000000001</v>
      </c>
      <c r="AF311" s="481">
        <f>Drivers!AF13</f>
        <v>0.13550000000000001</v>
      </c>
      <c r="AG311" s="481">
        <f>Drivers!AG13</f>
        <v>0.13570000000000002</v>
      </c>
      <c r="AH311" s="481">
        <f>Drivers!AH13</f>
        <v>0.13600000000000001</v>
      </c>
      <c r="AI311" s="481">
        <f>Drivers!AI13</f>
        <v>0.1363</v>
      </c>
      <c r="AJ311" s="481"/>
      <c r="AK311" s="481"/>
      <c r="AL311" s="481"/>
      <c r="AM311" s="481"/>
      <c r="AN311" s="481"/>
      <c r="AO311" s="481"/>
      <c r="AP311" s="481"/>
      <c r="AQ311" s="481"/>
      <c r="AR311" s="70"/>
      <c r="AS311" s="334" t="s">
        <v>511</v>
      </c>
      <c r="AT311" s="321"/>
      <c r="AU311" s="500">
        <f t="shared" ref="AU311:BA311" si="763">AU296/(AU325*1000)/AU1</f>
        <v>0.13935</v>
      </c>
      <c r="AV311" s="500">
        <f t="shared" si="763"/>
        <v>0.12709748083242056</v>
      </c>
      <c r="AW311" s="500">
        <f t="shared" si="763"/>
        <v>0.12503282275711158</v>
      </c>
      <c r="AX311" s="500">
        <f t="shared" si="763"/>
        <v>0.12412776412776413</v>
      </c>
      <c r="AY311" s="500">
        <f t="shared" si="763"/>
        <v>0.12510526315789475</v>
      </c>
      <c r="AZ311" s="500">
        <f t="shared" si="763"/>
        <v>0.13155</v>
      </c>
      <c r="BA311" s="500">
        <f t="shared" si="763"/>
        <v>0.13485114786719093</v>
      </c>
      <c r="BB311" s="500">
        <f t="shared" ref="BB311" si="764">BB296/(BB325*1000)/BB1</f>
        <v>0.13590109099176459</v>
      </c>
      <c r="BC311" s="481">
        <f>Drivers!BC13</f>
        <v>0.13500000000000001</v>
      </c>
      <c r="BD311" s="481">
        <f>Drivers!BD13</f>
        <v>0.13500000000000001</v>
      </c>
      <c r="BE311" s="481">
        <f>Drivers!BE13</f>
        <v>0.13550000000000001</v>
      </c>
      <c r="BM311"/>
      <c r="BN311"/>
      <c r="BO311"/>
      <c r="BP311"/>
      <c r="BQ311"/>
      <c r="BR311"/>
    </row>
    <row r="312" spans="1:70" s="369" customFormat="1" x14ac:dyDescent="0.2">
      <c r="A312" s="411"/>
      <c r="B312" s="334"/>
      <c r="C312" s="321"/>
      <c r="D312" s="478"/>
      <c r="E312" s="478"/>
      <c r="F312" s="478"/>
      <c r="G312" s="478"/>
      <c r="H312" s="478"/>
      <c r="I312" s="501"/>
      <c r="J312" s="478"/>
      <c r="K312" s="478"/>
      <c r="L312" s="478"/>
      <c r="M312" s="478"/>
      <c r="N312" s="478"/>
      <c r="O312" s="478"/>
      <c r="P312" s="478"/>
      <c r="Q312" s="478"/>
      <c r="R312" s="478"/>
      <c r="S312" s="478"/>
      <c r="T312" s="478"/>
      <c r="U312" s="478"/>
      <c r="V312" s="478"/>
      <c r="W312" s="478"/>
      <c r="X312" s="478"/>
      <c r="Y312" s="478"/>
      <c r="Z312" s="478"/>
      <c r="AA312" s="478"/>
      <c r="AB312" s="478"/>
      <c r="AC312" s="321"/>
      <c r="AD312" s="321"/>
      <c r="AE312" s="321"/>
      <c r="AF312" s="321"/>
      <c r="AG312" s="321"/>
      <c r="AH312" s="321"/>
      <c r="AI312" s="321"/>
      <c r="AJ312" s="321"/>
      <c r="AK312" s="321"/>
      <c r="AL312" s="321"/>
      <c r="AM312" s="321"/>
      <c r="AN312" s="321"/>
      <c r="AO312" s="321"/>
      <c r="AP312" s="321"/>
      <c r="AQ312" s="321"/>
      <c r="AR312" s="70"/>
      <c r="AS312" s="334"/>
      <c r="AT312" s="321"/>
      <c r="BC312" s="321"/>
      <c r="BD312" s="321"/>
      <c r="BE312" s="321"/>
      <c r="BM312"/>
      <c r="BN312"/>
      <c r="BO312"/>
      <c r="BP312"/>
      <c r="BQ312"/>
      <c r="BR312"/>
    </row>
    <row r="313" spans="1:70" s="369" customFormat="1" x14ac:dyDescent="0.2">
      <c r="A313" s="411"/>
      <c r="B313" s="334" t="s">
        <v>195</v>
      </c>
      <c r="C313" s="321"/>
      <c r="D313" s="478"/>
      <c r="E313" s="478"/>
      <c r="F313" s="478"/>
      <c r="G313" s="478"/>
      <c r="H313" s="478"/>
      <c r="I313" s="501"/>
      <c r="J313" s="478"/>
      <c r="K313" s="478"/>
      <c r="L313" s="478"/>
      <c r="M313" s="478"/>
      <c r="N313" s="478"/>
      <c r="O313" s="478"/>
      <c r="P313" s="478"/>
      <c r="Q313" s="478"/>
      <c r="R313" s="478"/>
      <c r="S313" s="478"/>
      <c r="T313" s="478"/>
      <c r="U313" s="478"/>
      <c r="V313" s="478"/>
      <c r="W313" s="478"/>
      <c r="X313" s="478"/>
      <c r="Y313" s="478"/>
      <c r="Z313" s="478"/>
      <c r="AA313" s="478"/>
      <c r="AB313" s="478"/>
      <c r="AC313" s="321"/>
      <c r="AD313" s="321"/>
      <c r="AE313" s="321"/>
      <c r="AF313" s="321"/>
      <c r="AG313" s="321"/>
      <c r="AH313" s="321"/>
      <c r="AI313" s="321"/>
      <c r="AJ313" s="321"/>
      <c r="AK313" s="321"/>
      <c r="AL313" s="321"/>
      <c r="AM313" s="321"/>
      <c r="AN313" s="321"/>
      <c r="AO313" s="321"/>
      <c r="AP313" s="321"/>
      <c r="AQ313" s="321"/>
      <c r="AR313" s="70"/>
      <c r="AS313" s="334" t="s">
        <v>195</v>
      </c>
      <c r="AT313" s="321"/>
      <c r="BC313" s="321"/>
      <c r="BD313" s="321"/>
      <c r="BE313" s="321"/>
      <c r="BM313"/>
      <c r="BN313"/>
      <c r="BO313"/>
      <c r="BP313"/>
      <c r="BQ313"/>
      <c r="BR313"/>
    </row>
    <row r="314" spans="1:70" s="369" customFormat="1" x14ac:dyDescent="0.2">
      <c r="A314" s="411"/>
      <c r="B314" s="321"/>
      <c r="C314" s="334" t="s">
        <v>228</v>
      </c>
      <c r="D314" s="477">
        <v>0.2258</v>
      </c>
      <c r="E314" s="477">
        <v>0.22720000000000001</v>
      </c>
      <c r="F314" s="477">
        <v>0.2233</v>
      </c>
      <c r="G314" s="477">
        <v>0.21679999999999999</v>
      </c>
      <c r="H314" s="477">
        <v>0.20419999999999999</v>
      </c>
      <c r="I314" s="477">
        <v>0.20799999999999999</v>
      </c>
      <c r="J314" s="477">
        <v>0.21490000000000001</v>
      </c>
      <c r="K314" s="477">
        <v>0.2094</v>
      </c>
      <c r="L314" s="477">
        <v>0.2069</v>
      </c>
      <c r="M314" s="477">
        <v>0.2117</v>
      </c>
      <c r="N314" s="477">
        <v>0.21829999999999999</v>
      </c>
      <c r="O314" s="477">
        <v>0.21440000000000001</v>
      </c>
      <c r="P314" s="477">
        <v>0.2011</v>
      </c>
      <c r="Q314" s="477">
        <v>0.20630000000000001</v>
      </c>
      <c r="R314" s="477">
        <v>0.21190000000000001</v>
      </c>
      <c r="S314" s="477">
        <v>0.20730000000000001</v>
      </c>
      <c r="T314" s="477">
        <v>0.19769999999999999</v>
      </c>
      <c r="U314" s="477">
        <v>0.2024</v>
      </c>
      <c r="V314" s="477">
        <v>0.20319999999999999</v>
      </c>
      <c r="W314" s="477">
        <v>0.20130000000000001</v>
      </c>
      <c r="X314" s="477">
        <v>0.2336</v>
      </c>
      <c r="Y314" s="477">
        <v>0.23810000000000001</v>
      </c>
      <c r="Z314" s="477">
        <v>0.24010000000000001</v>
      </c>
      <c r="AA314" s="477">
        <v>0.24179999999999999</v>
      </c>
      <c r="AB314" s="477">
        <v>0.2412</v>
      </c>
      <c r="AC314" s="496" t="s">
        <v>226</v>
      </c>
      <c r="AD314" s="496" t="s">
        <v>226</v>
      </c>
      <c r="AE314" s="496" t="s">
        <v>226</v>
      </c>
      <c r="AF314" s="496" t="s">
        <v>226</v>
      </c>
      <c r="AG314" s="496" t="s">
        <v>226</v>
      </c>
      <c r="AH314" s="496" t="s">
        <v>226</v>
      </c>
      <c r="AI314" s="496" t="s">
        <v>226</v>
      </c>
      <c r="AJ314" s="496"/>
      <c r="AK314" s="496"/>
      <c r="AL314" s="496"/>
      <c r="AM314" s="496"/>
      <c r="AN314" s="496"/>
      <c r="AO314" s="496"/>
      <c r="AP314" s="496"/>
      <c r="AQ314" s="496"/>
      <c r="AR314" s="70"/>
      <c r="AS314" s="321"/>
      <c r="AT314" s="334" t="s">
        <v>228</v>
      </c>
      <c r="AU314" s="502">
        <f>G314</f>
        <v>0.21679999999999999</v>
      </c>
      <c r="AV314" s="502">
        <f>K314</f>
        <v>0.2094</v>
      </c>
      <c r="AW314" s="502">
        <f>O314</f>
        <v>0.21440000000000001</v>
      </c>
      <c r="AX314" s="502">
        <f>S314</f>
        <v>0.20730000000000001</v>
      </c>
      <c r="AY314" s="502">
        <f>W314</f>
        <v>0.20130000000000001</v>
      </c>
      <c r="AZ314" s="20" t="s">
        <v>226</v>
      </c>
      <c r="BA314" s="20" t="s">
        <v>226</v>
      </c>
      <c r="BB314" s="20" t="s">
        <v>226</v>
      </c>
      <c r="BC314" s="20" t="s">
        <v>226</v>
      </c>
      <c r="BD314" s="20" t="s">
        <v>226</v>
      </c>
      <c r="BE314" s="20" t="s">
        <v>226</v>
      </c>
      <c r="BM314"/>
      <c r="BN314"/>
      <c r="BO314"/>
      <c r="BP314"/>
      <c r="BQ314"/>
      <c r="BR314"/>
    </row>
    <row r="315" spans="1:70" x14ac:dyDescent="0.2">
      <c r="B315" s="28"/>
      <c r="C315" s="29" t="s">
        <v>219</v>
      </c>
      <c r="D315" s="30">
        <f t="shared" ref="D315:X315" si="765">D314-D316</f>
        <v>2.2699999999999998E-2</v>
      </c>
      <c r="E315" s="30">
        <f t="shared" si="765"/>
        <v>9.2000000000000137E-3</v>
      </c>
      <c r="F315" s="30">
        <f t="shared" si="765"/>
        <v>1.4600000000000002E-2</v>
      </c>
      <c r="G315" s="30">
        <f t="shared" si="765"/>
        <v>6.0999999999999943E-3</v>
      </c>
      <c r="H315" s="30">
        <f t="shared" si="765"/>
        <v>9.199999999999986E-3</v>
      </c>
      <c r="I315" s="30">
        <f t="shared" si="765"/>
        <v>-4.0000000000000036E-3</v>
      </c>
      <c r="J315" s="30">
        <f t="shared" si="765"/>
        <v>-4.3999999999999873E-3</v>
      </c>
      <c r="K315" s="30">
        <f t="shared" si="765"/>
        <v>-7.1999999999999842E-3</v>
      </c>
      <c r="L315" s="30">
        <f t="shared" si="765"/>
        <v>-6.5999999999999948E-3</v>
      </c>
      <c r="M315" s="30">
        <f t="shared" si="765"/>
        <v>-1.0000000000000009E-2</v>
      </c>
      <c r="N315" s="30">
        <f t="shared" si="765"/>
        <v>-2.0300000000000012E-2</v>
      </c>
      <c r="O315" s="30">
        <f t="shared" si="765"/>
        <v>-1.8600000000000005E-2</v>
      </c>
      <c r="P315" s="30">
        <f t="shared" si="765"/>
        <v>-1.4399999999999996E-2</v>
      </c>
      <c r="Q315" s="30">
        <f t="shared" si="765"/>
        <v>-1.9199999999999995E-2</v>
      </c>
      <c r="R315" s="30">
        <f t="shared" si="765"/>
        <v>-2.1900000000000003E-2</v>
      </c>
      <c r="S315" s="30">
        <f t="shared" si="765"/>
        <v>-1.6299999999999981E-2</v>
      </c>
      <c r="T315" s="30">
        <f t="shared" si="765"/>
        <v>-8.0000000000000071E-3</v>
      </c>
      <c r="U315" s="30">
        <f t="shared" si="765"/>
        <v>-1.5300000000000008E-2</v>
      </c>
      <c r="V315" s="30">
        <f t="shared" si="765"/>
        <v>-3.5000000000000031E-3</v>
      </c>
      <c r="W315" s="30">
        <f t="shared" si="765"/>
        <v>4.7999999999999987E-3</v>
      </c>
      <c r="X315" s="30">
        <f t="shared" si="765"/>
        <v>1.3100000000000001E-2</v>
      </c>
      <c r="Y315" s="30">
        <f t="shared" ref="Y315:Z315" si="766">Y314-Y316</f>
        <v>1.26E-2</v>
      </c>
      <c r="Z315" s="30">
        <f t="shared" si="766"/>
        <v>2.7999999999999969E-3</v>
      </c>
      <c r="AA315" s="30">
        <f t="shared" ref="AA315:AB315" si="767">AA314-AA316</f>
        <v>7.3999999999999899E-3</v>
      </c>
      <c r="AB315" s="30">
        <f t="shared" si="767"/>
        <v>1.1599999999999999E-2</v>
      </c>
      <c r="AC315" s="498" t="s">
        <v>226</v>
      </c>
      <c r="AD315" s="498" t="s">
        <v>226</v>
      </c>
      <c r="AE315" s="498" t="s">
        <v>226</v>
      </c>
      <c r="AF315" s="498" t="s">
        <v>226</v>
      </c>
      <c r="AG315" s="498" t="s">
        <v>226</v>
      </c>
      <c r="AH315" s="498" t="s">
        <v>226</v>
      </c>
      <c r="AI315" s="498" t="s">
        <v>226</v>
      </c>
      <c r="AJ315" s="1757"/>
      <c r="AK315" s="1757"/>
      <c r="AL315" s="1757"/>
      <c r="AM315" s="1757"/>
      <c r="AN315" s="1757"/>
      <c r="AO315" s="1757"/>
      <c r="AP315" s="1757"/>
      <c r="AQ315" s="1757"/>
      <c r="AS315" s="28"/>
      <c r="AT315" s="29" t="s">
        <v>219</v>
      </c>
      <c r="AU315" s="260">
        <f>AU314-AU316</f>
        <v>6.6755186721991766E-3</v>
      </c>
      <c r="AV315" s="260">
        <f>AV314-AV316</f>
        <v>-1.6638297872340058E-3</v>
      </c>
      <c r="AW315" s="260">
        <f>AW314-AW316</f>
        <v>-1.2358620689655153E-2</v>
      </c>
      <c r="AX315" s="260">
        <f>AX314-AX316</f>
        <v>-1.6937288135593198E-2</v>
      </c>
      <c r="AY315" s="260">
        <f>AY314-AY316</f>
        <v>-5.3666666666666585E-3</v>
      </c>
      <c r="AZ315" s="285" t="s">
        <v>226</v>
      </c>
      <c r="BA315" s="285" t="s">
        <v>226</v>
      </c>
      <c r="BB315" s="285" t="s">
        <v>226</v>
      </c>
      <c r="BC315" s="285" t="s">
        <v>226</v>
      </c>
      <c r="BD315" s="285" t="s">
        <v>226</v>
      </c>
      <c r="BE315" s="285" t="s">
        <v>226</v>
      </c>
    </row>
    <row r="316" spans="1:70" s="369" customFormat="1" x14ac:dyDescent="0.2">
      <c r="A316" s="411"/>
      <c r="B316" s="321"/>
      <c r="C316" s="334" t="s">
        <v>512</v>
      </c>
      <c r="D316" s="480">
        <v>0.2031</v>
      </c>
      <c r="E316" s="480">
        <v>0.218</v>
      </c>
      <c r="F316" s="480">
        <v>0.2087</v>
      </c>
      <c r="G316" s="480">
        <v>0.2107</v>
      </c>
      <c r="H316" s="480">
        <v>0.19500000000000001</v>
      </c>
      <c r="I316" s="480">
        <v>0.21199999999999999</v>
      </c>
      <c r="J316" s="480">
        <v>0.21929999999999999</v>
      </c>
      <c r="K316" s="480">
        <v>0.21659999999999999</v>
      </c>
      <c r="L316" s="480">
        <v>0.2135</v>
      </c>
      <c r="M316" s="480">
        <v>0.22170000000000001</v>
      </c>
      <c r="N316" s="480">
        <v>0.23860000000000001</v>
      </c>
      <c r="O316" s="480">
        <v>0.23300000000000001</v>
      </c>
      <c r="P316" s="480">
        <v>0.2155</v>
      </c>
      <c r="Q316" s="480">
        <v>0.22550000000000001</v>
      </c>
      <c r="R316" s="480">
        <v>0.23380000000000001</v>
      </c>
      <c r="S316" s="480">
        <v>0.22359999999999999</v>
      </c>
      <c r="T316" s="480">
        <v>0.20569999999999999</v>
      </c>
      <c r="U316" s="480">
        <v>0.2177</v>
      </c>
      <c r="V316" s="480">
        <v>0.20669999999999999</v>
      </c>
      <c r="W316" s="480">
        <v>0.19650000000000001</v>
      </c>
      <c r="X316" s="480">
        <v>0.2205</v>
      </c>
      <c r="Y316" s="480">
        <v>0.22550000000000001</v>
      </c>
      <c r="Z316" s="480">
        <v>0.23730000000000001</v>
      </c>
      <c r="AA316" s="480">
        <v>0.2344</v>
      </c>
      <c r="AB316" s="480">
        <v>0.2296</v>
      </c>
      <c r="AC316" s="481">
        <f>Drivers!AC14</f>
        <v>0.23</v>
      </c>
      <c r="AD316" s="481">
        <f>Drivers!AD14</f>
        <v>0.23100000000000001</v>
      </c>
      <c r="AE316" s="481">
        <f>Drivers!AE14</f>
        <v>0.23200000000000001</v>
      </c>
      <c r="AF316" s="481">
        <f>Drivers!AF14</f>
        <v>0.23200000000000001</v>
      </c>
      <c r="AG316" s="481">
        <f>Drivers!AG14</f>
        <v>0.23200000000000001</v>
      </c>
      <c r="AH316" s="481">
        <f>Drivers!AH14</f>
        <v>0.23200000000000001</v>
      </c>
      <c r="AI316" s="481">
        <f>Drivers!AI14</f>
        <v>0.23200000000000001</v>
      </c>
      <c r="AJ316" s="481"/>
      <c r="AK316" s="481"/>
      <c r="AL316" s="481"/>
      <c r="AM316" s="481"/>
      <c r="AN316" s="481"/>
      <c r="AO316" s="481"/>
      <c r="AP316" s="481"/>
      <c r="AQ316" s="481"/>
      <c r="AR316" s="70"/>
      <c r="AS316" s="321"/>
      <c r="AT316" s="334" t="s">
        <v>512</v>
      </c>
      <c r="AU316" s="377">
        <f t="shared" ref="AU316:BA316" si="768">AU297/(AU327*1000)/AU1</f>
        <v>0.21012448132780082</v>
      </c>
      <c r="AV316" s="377">
        <f t="shared" si="768"/>
        <v>0.21106382978723401</v>
      </c>
      <c r="AW316" s="377">
        <f t="shared" si="768"/>
        <v>0.22675862068965516</v>
      </c>
      <c r="AX316" s="377">
        <f t="shared" si="768"/>
        <v>0.22423728813559321</v>
      </c>
      <c r="AY316" s="377">
        <f t="shared" si="768"/>
        <v>0.20666666666666667</v>
      </c>
      <c r="AZ316" s="377">
        <f t="shared" si="768"/>
        <v>0.22995260663507108</v>
      </c>
      <c r="BA316" s="377">
        <f t="shared" si="768"/>
        <v>0.23069194517023248</v>
      </c>
      <c r="BB316" s="377">
        <f t="shared" ref="BB316" si="769">BB297/(BB327*1000)/BB1</f>
        <v>0.23204628410103406</v>
      </c>
      <c r="BC316" s="481">
        <f>Drivers!BC14</f>
        <v>0.23250000000000001</v>
      </c>
      <c r="BD316" s="481">
        <f>Drivers!BD14</f>
        <v>0.23300000000000001</v>
      </c>
      <c r="BE316" s="481">
        <f>Drivers!BE14</f>
        <v>0.20300000000000001</v>
      </c>
      <c r="BM316"/>
      <c r="BN316"/>
      <c r="BO316"/>
      <c r="BP316"/>
      <c r="BQ316"/>
      <c r="BR316"/>
    </row>
    <row r="317" spans="1:70" s="369" customFormat="1" x14ac:dyDescent="0.2">
      <c r="A317" s="411"/>
      <c r="B317" s="321"/>
      <c r="C317" s="334"/>
      <c r="D317" s="384"/>
      <c r="E317" s="384"/>
      <c r="F317" s="384"/>
      <c r="G317" s="384"/>
      <c r="H317" s="384"/>
      <c r="I317" s="384"/>
      <c r="J317" s="384"/>
      <c r="K317" s="384"/>
      <c r="L317" s="384"/>
      <c r="M317" s="384"/>
      <c r="N317" s="384"/>
      <c r="O317" s="384"/>
      <c r="P317" s="384"/>
      <c r="Q317" s="384"/>
      <c r="R317" s="384"/>
      <c r="S317" s="384"/>
      <c r="T317" s="384"/>
      <c r="U317" s="384"/>
      <c r="V317" s="384"/>
      <c r="W317" s="384"/>
      <c r="X317" s="321"/>
      <c r="Y317" s="321"/>
      <c r="Z317" s="321"/>
      <c r="AA317" s="321"/>
      <c r="AB317" s="321"/>
      <c r="AC317" s="321"/>
      <c r="AD317" s="321"/>
      <c r="AE317" s="321"/>
      <c r="AF317" s="321"/>
      <c r="AG317" s="321"/>
      <c r="AH317" s="321"/>
      <c r="AI317" s="321"/>
      <c r="AJ317" s="321"/>
      <c r="AK317" s="321"/>
      <c r="AL317" s="321"/>
      <c r="AM317" s="321"/>
      <c r="AN317" s="321"/>
      <c r="AO317" s="321"/>
      <c r="AP317" s="321"/>
      <c r="AQ317" s="321"/>
      <c r="AR317" s="70"/>
      <c r="AS317" s="321"/>
      <c r="AT317" s="334"/>
      <c r="BM317"/>
      <c r="BN317"/>
      <c r="BO317"/>
      <c r="BP317"/>
      <c r="BQ317"/>
      <c r="BR317"/>
    </row>
    <row r="318" spans="1:70" s="369" customFormat="1" x14ac:dyDescent="0.2">
      <c r="A318" s="411"/>
      <c r="B318" s="337" t="s">
        <v>487</v>
      </c>
      <c r="C318" s="367"/>
      <c r="D318" s="479"/>
      <c r="E318" s="479"/>
      <c r="F318" s="479"/>
      <c r="G318" s="479"/>
      <c r="H318" s="479"/>
      <c r="I318" s="499"/>
      <c r="J318" s="479"/>
      <c r="K318" s="479"/>
      <c r="L318" s="479"/>
      <c r="M318" s="479"/>
      <c r="N318" s="479"/>
      <c r="O318" s="479"/>
      <c r="P318" s="479"/>
      <c r="Q318" s="479"/>
      <c r="R318" s="479"/>
      <c r="S318" s="479"/>
      <c r="T318" s="479"/>
      <c r="U318" s="479"/>
      <c r="V318" s="479"/>
      <c r="W318" s="479"/>
      <c r="X318" s="367"/>
      <c r="Y318" s="367"/>
      <c r="Z318" s="367"/>
      <c r="AA318" s="367"/>
      <c r="AB318" s="367"/>
      <c r="AC318" s="367"/>
      <c r="AD318" s="367"/>
      <c r="AE318" s="367"/>
      <c r="AF318" s="367"/>
      <c r="AG318" s="367"/>
      <c r="AH318" s="367"/>
      <c r="AI318" s="367"/>
      <c r="AJ318" s="367"/>
      <c r="AK318" s="367"/>
      <c r="AL318" s="367"/>
      <c r="AM318" s="367"/>
      <c r="AN318" s="367"/>
      <c r="AO318" s="367"/>
      <c r="AP318" s="367"/>
      <c r="AQ318" s="367"/>
      <c r="AR318" s="70"/>
      <c r="AS318" s="337" t="s">
        <v>487</v>
      </c>
      <c r="AT318" s="367"/>
      <c r="AU318" s="12"/>
      <c r="AV318" s="12"/>
      <c r="AW318" s="12"/>
      <c r="AX318" s="12"/>
      <c r="AY318" s="12"/>
      <c r="AZ318" s="12"/>
      <c r="BA318" s="12"/>
      <c r="BB318" s="12"/>
      <c r="BC318" s="12"/>
      <c r="BD318" s="12"/>
      <c r="BE318" s="12"/>
      <c r="BM318"/>
      <c r="BN318"/>
      <c r="BO318"/>
      <c r="BP318"/>
      <c r="BQ318"/>
      <c r="BR318"/>
    </row>
    <row r="319" spans="1:70" s="369" customFormat="1" x14ac:dyDescent="0.2">
      <c r="A319" s="411"/>
      <c r="B319" s="334" t="s">
        <v>504</v>
      </c>
      <c r="C319" s="334"/>
      <c r="D319" s="384">
        <f>D301/(D324*1000)*D1</f>
        <v>4.7391838930300474E-2</v>
      </c>
      <c r="E319" s="384">
        <f t="shared" ref="E319:AA319" si="770">E301/(E324*1000)*E1</f>
        <v>4.5004289390906491E-2</v>
      </c>
      <c r="F319" s="384">
        <f t="shared" si="770"/>
        <v>4.7881211180124221E-2</v>
      </c>
      <c r="G319" s="384">
        <f t="shared" si="770"/>
        <v>4.6940725139160526E-2</v>
      </c>
      <c r="H319" s="384">
        <f t="shared" si="770"/>
        <v>5.1866969009826153E-2</v>
      </c>
      <c r="I319" s="384">
        <f t="shared" si="770"/>
        <v>5.3945705862082166E-2</v>
      </c>
      <c r="J319" s="384">
        <f t="shared" si="770"/>
        <v>4.8026315789473681E-2</v>
      </c>
      <c r="K319" s="384">
        <f t="shared" si="770"/>
        <v>5.311606121281464E-2</v>
      </c>
      <c r="L319" s="384">
        <f t="shared" si="770"/>
        <v>5.0032455135547917E-2</v>
      </c>
      <c r="M319" s="384">
        <f t="shared" si="770"/>
        <v>4.9736263736263733E-2</v>
      </c>
      <c r="N319" s="384">
        <f t="shared" si="770"/>
        <v>5.0385869565217387E-2</v>
      </c>
      <c r="O319" s="384">
        <f t="shared" si="770"/>
        <v>4.8445356403430929E-2</v>
      </c>
      <c r="P319" s="384">
        <f t="shared" si="770"/>
        <v>4.6204365079365074E-2</v>
      </c>
      <c r="Q319" s="384">
        <f t="shared" si="770"/>
        <v>4.760294650404541E-2</v>
      </c>
      <c r="R319" s="384">
        <f t="shared" si="770"/>
        <v>7.2246658771781408E-2</v>
      </c>
      <c r="S319" s="384">
        <f t="shared" si="770"/>
        <v>4.5341614906832292E-2</v>
      </c>
      <c r="T319" s="384">
        <f t="shared" si="770"/>
        <v>4.1452570418087656E-2</v>
      </c>
      <c r="U319" s="384">
        <f t="shared" si="770"/>
        <v>4.1617378760235905E-2</v>
      </c>
      <c r="V319" s="384">
        <f t="shared" si="770"/>
        <v>4.1640162409067837E-2</v>
      </c>
      <c r="W319" s="384">
        <f t="shared" si="770"/>
        <v>4.1677018633540369E-2</v>
      </c>
      <c r="X319" s="384">
        <f t="shared" si="770"/>
        <v>4.215854194115063E-2</v>
      </c>
      <c r="Y319" s="384">
        <f t="shared" si="770"/>
        <v>3.895564866787888E-2</v>
      </c>
      <c r="Z319" s="384">
        <f t="shared" si="770"/>
        <v>3.9811669685990335E-2</v>
      </c>
      <c r="AA319" s="384">
        <f t="shared" si="770"/>
        <v>4.2670863309352512E-2</v>
      </c>
      <c r="AB319" s="384">
        <f t="shared" ref="AB319" si="771">AB301/(AB324*1000)*AB1</f>
        <v>4.0134563629373315E-2</v>
      </c>
      <c r="AC319" s="481">
        <f>Drivers!AC27</f>
        <v>4.2000000000000003E-2</v>
      </c>
      <c r="AD319" s="481">
        <f>Drivers!AD27</f>
        <v>4.2000000000000003E-2</v>
      </c>
      <c r="AE319" s="481">
        <f>Drivers!AE27</f>
        <v>4.2000000000000003E-2</v>
      </c>
      <c r="AF319" s="481">
        <f>Drivers!AF27</f>
        <v>4.2500000000000003E-2</v>
      </c>
      <c r="AG319" s="481">
        <f>Drivers!AG27</f>
        <v>4.2500000000000003E-2</v>
      </c>
      <c r="AH319" s="481">
        <f>Drivers!AH27</f>
        <v>4.2500000000000003E-2</v>
      </c>
      <c r="AI319" s="481">
        <f>Drivers!AI27</f>
        <v>4.2500000000000003E-2</v>
      </c>
      <c r="AJ319" s="481"/>
      <c r="AK319" s="481"/>
      <c r="AL319" s="481"/>
      <c r="AM319" s="481"/>
      <c r="AN319" s="481"/>
      <c r="AO319" s="481"/>
      <c r="AP319" s="481"/>
      <c r="AQ319" s="481"/>
      <c r="AR319" s="70"/>
      <c r="AS319" s="334" t="s">
        <v>504</v>
      </c>
      <c r="AT319" s="334"/>
      <c r="AU319" s="377">
        <f t="shared" ref="AU319:AW319" si="772">AU301/(AU324*1000)/AU1</f>
        <v>4.6832740213523134E-2</v>
      </c>
      <c r="AV319" s="377">
        <f t="shared" si="772"/>
        <v>5.1760683760683761E-2</v>
      </c>
      <c r="AW319" s="377">
        <f t="shared" si="772"/>
        <v>4.9654008438818564E-2</v>
      </c>
      <c r="AX319" s="377">
        <f>AX301/(AX324*1000)</f>
        <v>5.2647333956969133E-2</v>
      </c>
      <c r="AY319" s="377">
        <f t="shared" ref="AY319:BB319" si="773">AY301/(AY324*1000)</f>
        <v>4.1593780369290574E-2</v>
      </c>
      <c r="AZ319" s="377">
        <f t="shared" si="773"/>
        <v>4.0875113947128533E-2</v>
      </c>
      <c r="BA319" s="377">
        <f t="shared" si="773"/>
        <v>4.1550873317363721E-2</v>
      </c>
      <c r="BB319" s="377">
        <f t="shared" si="773"/>
        <v>4.2504049217110706E-2</v>
      </c>
      <c r="BC319" s="481">
        <f>Drivers!BC27</f>
        <v>4.2500000000000003E-2</v>
      </c>
      <c r="BD319" s="481">
        <f>Drivers!BD27</f>
        <v>4.2999999999999997E-2</v>
      </c>
      <c r="BE319" s="481">
        <f>Drivers!BE27</f>
        <v>4.3999999999999997E-2</v>
      </c>
      <c r="BM319"/>
      <c r="BN319"/>
      <c r="BO319"/>
      <c r="BP319"/>
      <c r="BQ319"/>
      <c r="BR319"/>
    </row>
    <row r="320" spans="1:70" s="369" customFormat="1" x14ac:dyDescent="0.2">
      <c r="A320" s="411"/>
      <c r="B320" s="334" t="s">
        <v>677</v>
      </c>
      <c r="C320" s="321"/>
      <c r="D320" s="384">
        <f t="shared" ref="D320:X320" si="774">D302/(D344*1000)</f>
        <v>3.4102564102564105E-2</v>
      </c>
      <c r="E320" s="384">
        <f t="shared" si="774"/>
        <v>2.8461538461538462E-2</v>
      </c>
      <c r="F320" s="384">
        <f t="shared" si="774"/>
        <v>2.8372093023255815E-2</v>
      </c>
      <c r="G320" s="384">
        <f t="shared" si="774"/>
        <v>3.0800000000000001E-2</v>
      </c>
      <c r="H320" s="384">
        <f t="shared" si="774"/>
        <v>3.4888888888888886E-2</v>
      </c>
      <c r="I320" s="384">
        <f t="shared" si="774"/>
        <v>2.8775510204081634E-2</v>
      </c>
      <c r="J320" s="384">
        <f t="shared" si="774"/>
        <v>2.6200000000000001E-2</v>
      </c>
      <c r="K320" s="384">
        <f t="shared" si="774"/>
        <v>2.7090909090909093E-2</v>
      </c>
      <c r="L320" s="384">
        <f t="shared" si="774"/>
        <v>2.8666666666666667E-2</v>
      </c>
      <c r="M320" s="384">
        <f t="shared" si="774"/>
        <v>2.6734693877551022E-2</v>
      </c>
      <c r="N320" s="384">
        <f t="shared" si="774"/>
        <v>2.6938775510204082E-2</v>
      </c>
      <c r="O320" s="384">
        <f t="shared" si="774"/>
        <v>2.9000000000000001E-2</v>
      </c>
      <c r="P320" s="384">
        <f t="shared" si="774"/>
        <v>2.9268292682926831E-2</v>
      </c>
      <c r="Q320" s="384">
        <f t="shared" si="774"/>
        <v>2.7142857142857142E-2</v>
      </c>
      <c r="R320" s="384">
        <f t="shared" si="774"/>
        <v>2.8750000000000001E-2</v>
      </c>
      <c r="S320" s="384">
        <f t="shared" si="774"/>
        <v>2.6590909090909092E-2</v>
      </c>
      <c r="T320" s="384">
        <f t="shared" si="774"/>
        <v>2.8918918918918918E-2</v>
      </c>
      <c r="U320" s="384">
        <f t="shared" si="774"/>
        <v>2.8157894736842104E-2</v>
      </c>
      <c r="V320" s="384">
        <f t="shared" si="774"/>
        <v>2.6052631578947369E-2</v>
      </c>
      <c r="W320" s="384">
        <f t="shared" si="774"/>
        <v>2.7E-2</v>
      </c>
      <c r="X320" s="384">
        <f t="shared" si="774"/>
        <v>1.5555555555555555E-2</v>
      </c>
      <c r="Y320" s="384">
        <f t="shared" ref="Y320:Z320" si="775">Y302/(Y344*1000)</f>
        <v>1.7317073170731709E-2</v>
      </c>
      <c r="Z320" s="384">
        <f t="shared" si="775"/>
        <v>1.4523809523809524E-2</v>
      </c>
      <c r="AA320" s="384">
        <f t="shared" ref="AA320:AB320" si="776">AA302/(AA344*1000)</f>
        <v>1.5333333333333332E-2</v>
      </c>
      <c r="AB320" s="384">
        <f t="shared" si="776"/>
        <v>1.5238095238095238E-2</v>
      </c>
      <c r="AC320" s="481">
        <f>Drivers!AC28</f>
        <v>1.4999999999999999E-2</v>
      </c>
      <c r="AD320" s="481">
        <f>Drivers!AD28</f>
        <v>1.52E-2</v>
      </c>
      <c r="AE320" s="481">
        <f>Drivers!AE28</f>
        <v>1.54E-2</v>
      </c>
      <c r="AF320" s="481">
        <f>Drivers!AF28</f>
        <v>1.55E-2</v>
      </c>
      <c r="AG320" s="481">
        <f>Drivers!AG28</f>
        <v>1.55E-2</v>
      </c>
      <c r="AH320" s="481">
        <f>Drivers!AH28</f>
        <v>1.55E-2</v>
      </c>
      <c r="AI320" s="481">
        <f>Drivers!AI28</f>
        <v>1.55E-2</v>
      </c>
      <c r="AJ320" s="481"/>
      <c r="AK320" s="481"/>
      <c r="AL320" s="481"/>
      <c r="AM320" s="481"/>
      <c r="AN320" s="481"/>
      <c r="AO320" s="481"/>
      <c r="AP320" s="481"/>
      <c r="AQ320" s="481"/>
      <c r="AR320" s="70"/>
      <c r="AS320" s="334" t="s">
        <v>677</v>
      </c>
      <c r="AT320" s="321"/>
      <c r="AU320" s="384">
        <f t="shared" ref="AU320:BA320" si="777">AU302/(AU344*1000)</f>
        <v>3.0409356725146199E-2</v>
      </c>
      <c r="AV320" s="384">
        <f t="shared" si="777"/>
        <v>2.9045226130653266E-2</v>
      </c>
      <c r="AW320" s="384">
        <f t="shared" si="777"/>
        <v>2.7823834196891193E-2</v>
      </c>
      <c r="AX320" s="384">
        <f t="shared" si="777"/>
        <v>2.7904191616766463E-2</v>
      </c>
      <c r="AY320" s="384">
        <f t="shared" si="777"/>
        <v>2.7516339869281047E-2</v>
      </c>
      <c r="AZ320" s="384">
        <f t="shared" si="777"/>
        <v>1.5670731707317073E-2</v>
      </c>
      <c r="BA320" s="384">
        <f t="shared" si="777"/>
        <v>1.5212152645083804E-2</v>
      </c>
      <c r="BB320" s="384">
        <f t="shared" ref="BB320" si="778">BB302/(BB344*1000)</f>
        <v>1.55E-2</v>
      </c>
      <c r="BC320" s="481">
        <f>Drivers!BC28</f>
        <v>1.5800000000000002E-2</v>
      </c>
      <c r="BD320" s="481">
        <f>Drivers!BD28</f>
        <v>1.6E-2</v>
      </c>
      <c r="BE320" s="481">
        <f>Drivers!BE28</f>
        <v>1.6199999999999999E-2</v>
      </c>
      <c r="BM320"/>
      <c r="BN320"/>
      <c r="BO320"/>
      <c r="BP320"/>
      <c r="BQ320"/>
      <c r="BR320"/>
    </row>
    <row r="321" spans="1:70" s="369" customFormat="1" x14ac:dyDescent="0.2">
      <c r="A321" s="411"/>
      <c r="B321" s="334"/>
      <c r="C321" s="321"/>
      <c r="D321" s="384"/>
      <c r="E321" s="384"/>
      <c r="F321" s="384"/>
      <c r="G321" s="384"/>
      <c r="H321" s="384"/>
      <c r="I321" s="384"/>
      <c r="J321" s="384"/>
      <c r="K321" s="384"/>
      <c r="L321" s="384"/>
      <c r="M321" s="384"/>
      <c r="N321" s="384"/>
      <c r="O321" s="384"/>
      <c r="P321" s="384"/>
      <c r="Q321" s="384"/>
      <c r="R321" s="384"/>
      <c r="S321" s="384"/>
      <c r="T321" s="384"/>
      <c r="U321" s="384"/>
      <c r="V321" s="384"/>
      <c r="W321" s="384"/>
      <c r="X321" s="321"/>
      <c r="Y321" s="321"/>
      <c r="Z321" s="321"/>
      <c r="AA321" s="321"/>
      <c r="AB321" s="321"/>
      <c r="AC321" s="321"/>
      <c r="AD321" s="321"/>
      <c r="AE321" s="321"/>
      <c r="AF321" s="321"/>
      <c r="AG321" s="321"/>
      <c r="AH321" s="321"/>
      <c r="AI321" s="321"/>
      <c r="AJ321" s="321"/>
      <c r="AK321" s="321"/>
      <c r="AL321" s="321"/>
      <c r="AM321" s="321"/>
      <c r="AN321" s="321"/>
      <c r="AO321" s="321"/>
      <c r="AP321" s="321"/>
      <c r="AQ321" s="321"/>
      <c r="AR321" s="70"/>
      <c r="AS321" s="334"/>
      <c r="AT321" s="321"/>
      <c r="BM321"/>
      <c r="BN321"/>
      <c r="BO321"/>
      <c r="BP321"/>
      <c r="BQ321"/>
      <c r="BR321"/>
    </row>
    <row r="322" spans="1:70" s="369" customFormat="1" x14ac:dyDescent="0.2">
      <c r="A322" s="411"/>
      <c r="B322" s="337" t="s">
        <v>210</v>
      </c>
      <c r="C322" s="366"/>
      <c r="D322" s="457"/>
      <c r="E322" s="457"/>
      <c r="F322" s="457"/>
      <c r="G322" s="457"/>
      <c r="H322" s="457"/>
      <c r="I322" s="457"/>
      <c r="J322" s="457"/>
      <c r="K322" s="457"/>
      <c r="L322" s="457"/>
      <c r="M322" s="457"/>
      <c r="N322" s="457"/>
      <c r="O322" s="457"/>
      <c r="P322" s="457"/>
      <c r="Q322" s="457"/>
      <c r="R322" s="457"/>
      <c r="S322" s="457"/>
      <c r="T322" s="457"/>
      <c r="U322" s="457"/>
      <c r="V322" s="457"/>
      <c r="W322" s="457"/>
      <c r="X322" s="367"/>
      <c r="Y322" s="367"/>
      <c r="Z322" s="367"/>
      <c r="AA322" s="367"/>
      <c r="AB322" s="368"/>
      <c r="AC322" s="367"/>
      <c r="AD322" s="367"/>
      <c r="AE322" s="367"/>
      <c r="AF322" s="367"/>
      <c r="AG322" s="367"/>
      <c r="AH322" s="367"/>
      <c r="AI322" s="367"/>
      <c r="AJ322" s="367"/>
      <c r="AK322" s="367"/>
      <c r="AL322" s="367"/>
      <c r="AM322" s="367"/>
      <c r="AN322" s="367"/>
      <c r="AO322" s="367"/>
      <c r="AP322" s="367"/>
      <c r="AQ322" s="367"/>
      <c r="AR322" s="70"/>
      <c r="AS322" s="337" t="s">
        <v>210</v>
      </c>
      <c r="AT322" s="366"/>
      <c r="AU322" s="12"/>
      <c r="AV322" s="12"/>
      <c r="AW322" s="12"/>
      <c r="AX322" s="12"/>
      <c r="AY322" s="12"/>
      <c r="AZ322" s="12"/>
      <c r="BA322" s="12"/>
      <c r="BB322" s="12"/>
      <c r="BC322" s="12"/>
      <c r="BD322" s="12"/>
      <c r="BE322" s="12"/>
      <c r="BM322"/>
      <c r="BN322"/>
      <c r="BO322"/>
      <c r="BP322"/>
      <c r="BQ322"/>
      <c r="BR322"/>
    </row>
    <row r="323" spans="1:70" s="369" customFormat="1" x14ac:dyDescent="0.2">
      <c r="A323" s="411"/>
      <c r="B323" s="334" t="s">
        <v>74</v>
      </c>
      <c r="C323" s="321"/>
      <c r="D323" s="384"/>
      <c r="E323" s="384"/>
      <c r="F323" s="384"/>
      <c r="G323" s="384"/>
      <c r="H323" s="384"/>
      <c r="I323" s="384"/>
      <c r="J323" s="384"/>
      <c r="K323" s="384"/>
      <c r="L323" s="384"/>
      <c r="M323" s="384"/>
      <c r="N323" s="384"/>
      <c r="O323" s="384"/>
      <c r="P323" s="384"/>
      <c r="Q323" s="384"/>
      <c r="R323" s="384"/>
      <c r="S323" s="384"/>
      <c r="T323" s="384"/>
      <c r="U323" s="384"/>
      <c r="V323" s="384"/>
      <c r="W323" s="384"/>
      <c r="X323" s="321"/>
      <c r="Y323" s="321"/>
      <c r="Z323" s="321"/>
      <c r="AA323" s="321"/>
      <c r="AB323" s="321"/>
      <c r="AC323" s="321"/>
      <c r="AD323" s="321"/>
      <c r="AE323" s="321"/>
      <c r="AF323" s="321"/>
      <c r="AG323" s="321"/>
      <c r="AH323" s="321"/>
      <c r="AI323" s="321"/>
      <c r="AJ323" s="321"/>
      <c r="AK323" s="321"/>
      <c r="AL323" s="321"/>
      <c r="AM323" s="321"/>
      <c r="AN323" s="321"/>
      <c r="AO323" s="321"/>
      <c r="AP323" s="321"/>
      <c r="AQ323" s="321"/>
      <c r="AR323" s="70"/>
      <c r="AS323" s="334" t="s">
        <v>74</v>
      </c>
      <c r="AT323" s="321"/>
      <c r="BM323"/>
      <c r="BN323"/>
      <c r="BO323"/>
      <c r="BP323"/>
      <c r="BQ323"/>
      <c r="BR323"/>
    </row>
    <row r="324" spans="1:70" s="369" customFormat="1" x14ac:dyDescent="0.2">
      <c r="A324" s="411"/>
      <c r="B324" s="321"/>
      <c r="C324" s="334" t="s">
        <v>41</v>
      </c>
      <c r="D324" s="449">
        <v>28.6</v>
      </c>
      <c r="E324" s="449">
        <v>26.9</v>
      </c>
      <c r="F324" s="449">
        <v>28</v>
      </c>
      <c r="G324" s="449">
        <v>28.9</v>
      </c>
      <c r="H324" s="449">
        <v>29.4</v>
      </c>
      <c r="I324" s="449">
        <v>28.7</v>
      </c>
      <c r="J324" s="449">
        <v>28.5</v>
      </c>
      <c r="K324" s="449">
        <v>30.4</v>
      </c>
      <c r="L324" s="449">
        <v>29.1</v>
      </c>
      <c r="M324" s="449">
        <v>30</v>
      </c>
      <c r="N324" s="449">
        <v>30</v>
      </c>
      <c r="O324" s="449">
        <v>29.4</v>
      </c>
      <c r="P324" s="449">
        <v>28</v>
      </c>
      <c r="Q324" s="449">
        <v>27.3</v>
      </c>
      <c r="R324" s="449">
        <v>25.7</v>
      </c>
      <c r="S324" s="449">
        <v>25.9</v>
      </c>
      <c r="T324" s="449">
        <v>26.1</v>
      </c>
      <c r="U324" s="449">
        <v>25.9</v>
      </c>
      <c r="V324" s="449">
        <v>25.7</v>
      </c>
      <c r="W324" s="449">
        <v>25.2</v>
      </c>
      <c r="X324" s="449">
        <v>25.3</v>
      </c>
      <c r="Y324" s="449">
        <v>27.8</v>
      </c>
      <c r="Z324" s="449">
        <v>28.8</v>
      </c>
      <c r="AA324" s="449">
        <v>27.8</v>
      </c>
      <c r="AB324" s="449">
        <v>28.9</v>
      </c>
      <c r="AC324" s="458">
        <f>AB324*(1+Drivers!AC47)</f>
        <v>29.189</v>
      </c>
      <c r="AD324" s="458">
        <f>AC324*(1+Drivers!AD47)</f>
        <v>29.480889999999999</v>
      </c>
      <c r="AE324" s="458">
        <f>AD324*(1+Drivers!AE47)</f>
        <v>29.775698899999998</v>
      </c>
      <c r="AF324" s="458">
        <f>AE324*(1+Drivers!AF47)</f>
        <v>30.073455888999998</v>
      </c>
      <c r="AG324" s="458">
        <f>AF324*(1+Drivers!AG47)</f>
        <v>30.374190447889998</v>
      </c>
      <c r="AH324" s="458">
        <f>AG324*(1+Drivers!AH47)</f>
        <v>30.677932352368899</v>
      </c>
      <c r="AI324" s="458">
        <f>AH324*(1+Drivers!AI47)</f>
        <v>30.984711675892587</v>
      </c>
      <c r="AJ324" s="458"/>
      <c r="AK324" s="458"/>
      <c r="AL324" s="458"/>
      <c r="AM324" s="458"/>
      <c r="AN324" s="458"/>
      <c r="AO324" s="458"/>
      <c r="AP324" s="458"/>
      <c r="AQ324" s="458"/>
      <c r="AR324" s="70"/>
      <c r="AS324" s="321"/>
      <c r="AT324" s="334" t="s">
        <v>41</v>
      </c>
      <c r="AU324" s="235">
        <f>AVERAGE(D324:G324)</f>
        <v>28.1</v>
      </c>
      <c r="AV324" s="235">
        <f>AVERAGE(H324:K324)</f>
        <v>29.25</v>
      </c>
      <c r="AW324" s="235">
        <f>AVERAGE(L324:O324)</f>
        <v>29.625</v>
      </c>
      <c r="AX324" s="235">
        <f>AVERAGE(P324:S324)</f>
        <v>26.725000000000001</v>
      </c>
      <c r="AY324" s="235">
        <f>AVERAGE(T324:W324)</f>
        <v>25.725000000000001</v>
      </c>
      <c r="AZ324" s="235">
        <f>AVERAGE(X324:AA324)</f>
        <v>27.425000000000001</v>
      </c>
      <c r="BA324" s="235">
        <f>AVERAGE(AB324:AE324)</f>
        <v>29.336397224999999</v>
      </c>
      <c r="BB324" s="235">
        <f>AVERAGE(AF324:AI324)</f>
        <v>30.527572591287871</v>
      </c>
      <c r="BC324" s="458">
        <f>BB324*(1+Drivers!BC47)</f>
        <v>31.748675494939388</v>
      </c>
      <c r="BD324" s="458">
        <f>BC324*(1+Drivers!BD47)</f>
        <v>33.018622514736961</v>
      </c>
      <c r="BE324" s="458">
        <f>BD324*(1+Drivers!BE47)</f>
        <v>34.339367415326443</v>
      </c>
      <c r="BM324"/>
      <c r="BN324"/>
      <c r="BO324"/>
      <c r="BP324"/>
      <c r="BQ324"/>
      <c r="BR324"/>
    </row>
    <row r="325" spans="1:70" s="369" customFormat="1" x14ac:dyDescent="0.2">
      <c r="A325" s="411"/>
      <c r="B325" s="321"/>
      <c r="C325" s="334" t="s">
        <v>70</v>
      </c>
      <c r="D325" s="449">
        <v>19.399999999999999</v>
      </c>
      <c r="E325" s="449">
        <v>19</v>
      </c>
      <c r="F325" s="449">
        <v>20.3</v>
      </c>
      <c r="G325" s="449">
        <v>21.3</v>
      </c>
      <c r="H325" s="449">
        <v>22.6</v>
      </c>
      <c r="I325" s="449">
        <v>23</v>
      </c>
      <c r="J325" s="449">
        <v>22.6</v>
      </c>
      <c r="K325" s="449">
        <v>23.1</v>
      </c>
      <c r="L325" s="449">
        <v>22.9</v>
      </c>
      <c r="M325" s="449">
        <v>23.4</v>
      </c>
      <c r="N325" s="449">
        <v>23</v>
      </c>
      <c r="O325" s="449">
        <v>22.1</v>
      </c>
      <c r="P325" s="449">
        <v>20.8</v>
      </c>
      <c r="Q325" s="449">
        <v>20.8</v>
      </c>
      <c r="R325" s="449">
        <v>19.8</v>
      </c>
      <c r="S325" s="449">
        <v>20</v>
      </c>
      <c r="T325" s="449">
        <v>19.2</v>
      </c>
      <c r="U325" s="449">
        <v>19.2</v>
      </c>
      <c r="V325" s="449">
        <v>19.100000000000001</v>
      </c>
      <c r="W325" s="449">
        <v>18.5</v>
      </c>
      <c r="X325" s="449">
        <v>18.3</v>
      </c>
      <c r="Y325" s="449">
        <v>20.2</v>
      </c>
      <c r="Z325" s="449">
        <v>21.2</v>
      </c>
      <c r="AA325" s="449">
        <v>20.3</v>
      </c>
      <c r="AB325" s="449">
        <v>20.7</v>
      </c>
      <c r="AC325" s="458">
        <f>AB325*(1+Drivers!AC46)</f>
        <v>20.907</v>
      </c>
      <c r="AD325" s="458">
        <f>AC325*(1+Drivers!AD46)</f>
        <v>21.220604999999999</v>
      </c>
      <c r="AE325" s="458">
        <f>AD325*(1+Drivers!AE46)</f>
        <v>21.6450171</v>
      </c>
      <c r="AF325" s="458">
        <f>AE325*(1+Drivers!AF46)</f>
        <v>21.428566928999999</v>
      </c>
      <c r="AG325" s="458">
        <f>AF325*(1+Drivers!AG46)</f>
        <v>21.642852598289998</v>
      </c>
      <c r="AH325" s="458">
        <f>AG325*(1+Drivers!AH46)</f>
        <v>21.967495387264346</v>
      </c>
      <c r="AI325" s="458">
        <f>AH325*(1+Drivers!AI46)</f>
        <v>22.406845295009635</v>
      </c>
      <c r="AJ325" s="458"/>
      <c r="AK325" s="458"/>
      <c r="AL325" s="458"/>
      <c r="AM325" s="458"/>
      <c r="AN325" s="458"/>
      <c r="AO325" s="458"/>
      <c r="AP325" s="458"/>
      <c r="AQ325" s="458"/>
      <c r="AR325" s="70"/>
      <c r="AS325" s="321"/>
      <c r="AT325" s="334" t="s">
        <v>70</v>
      </c>
      <c r="AU325" s="235">
        <f>AVERAGE(D325:G325)</f>
        <v>20</v>
      </c>
      <c r="AV325" s="235">
        <f>AVERAGE(H325:K325)</f>
        <v>22.825000000000003</v>
      </c>
      <c r="AW325" s="235">
        <f>AVERAGE(L325:O325)</f>
        <v>22.85</v>
      </c>
      <c r="AX325" s="235">
        <f>AVERAGE(P325:S325)</f>
        <v>20.350000000000001</v>
      </c>
      <c r="AY325" s="235">
        <f>AVERAGE(T325:W325)</f>
        <v>19</v>
      </c>
      <c r="AZ325" s="235">
        <f>AVERAGE(X325:AA325)</f>
        <v>20</v>
      </c>
      <c r="BA325" s="235">
        <f>AVERAGE(AB325:AE325)</f>
        <v>21.118155524999999</v>
      </c>
      <c r="BB325" s="235">
        <f>AVERAGE(AF325:AI325)</f>
        <v>21.861440052390993</v>
      </c>
      <c r="BC325" s="458">
        <f>BB325*(1+Drivers!BC46)</f>
        <v>22.735897654486632</v>
      </c>
      <c r="BD325" s="458">
        <f>BC325*(1+Drivers!BD46)</f>
        <v>23.645333560666099</v>
      </c>
      <c r="BE325" s="458">
        <f>BD325*(1+Drivers!BE46)</f>
        <v>24.591146903092746</v>
      </c>
      <c r="BM325"/>
      <c r="BN325"/>
      <c r="BO325"/>
      <c r="BP325"/>
      <c r="BQ325"/>
      <c r="BR325"/>
    </row>
    <row r="326" spans="1:70" s="369" customFormat="1" x14ac:dyDescent="0.2">
      <c r="A326" s="411"/>
      <c r="B326" s="334"/>
      <c r="C326" s="321"/>
      <c r="D326" s="452"/>
      <c r="E326" s="452"/>
      <c r="F326" s="452"/>
      <c r="G326" s="452"/>
      <c r="H326" s="452"/>
      <c r="I326" s="452"/>
      <c r="J326" s="452"/>
      <c r="K326" s="452"/>
      <c r="L326" s="452"/>
      <c r="M326" s="452"/>
      <c r="N326" s="452"/>
      <c r="O326" s="452"/>
      <c r="P326" s="452"/>
      <c r="Q326" s="452"/>
      <c r="R326" s="452"/>
      <c r="S326" s="452"/>
      <c r="T326" s="452"/>
      <c r="U326" s="452"/>
      <c r="V326" s="452"/>
      <c r="W326" s="452"/>
      <c r="X326" s="452"/>
      <c r="Y326" s="452"/>
      <c r="Z326" s="452"/>
      <c r="AA326" s="452"/>
      <c r="AB326" s="452"/>
      <c r="AC326" s="503"/>
      <c r="AD326" s="503"/>
      <c r="AE326" s="503"/>
      <c r="AF326" s="503"/>
      <c r="AG326" s="503"/>
      <c r="AH326" s="503"/>
      <c r="AI326" s="503"/>
      <c r="AJ326" s="503"/>
      <c r="AK326" s="503"/>
      <c r="AL326" s="503"/>
      <c r="AM326" s="503"/>
      <c r="AN326" s="503"/>
      <c r="AO326" s="503"/>
      <c r="AP326" s="503"/>
      <c r="AQ326" s="503"/>
      <c r="AR326" s="70"/>
      <c r="AS326" s="334"/>
      <c r="AT326" s="321"/>
      <c r="AU326" s="235"/>
      <c r="AV326" s="235"/>
      <c r="AW326" s="235"/>
      <c r="AX326" s="235"/>
      <c r="AY326" s="235"/>
      <c r="AZ326" s="235"/>
      <c r="BA326" s="235"/>
      <c r="BB326" s="235"/>
      <c r="BC326" s="503"/>
      <c r="BD326" s="503"/>
      <c r="BE326" s="503"/>
      <c r="BM326"/>
      <c r="BN326"/>
      <c r="BO326"/>
      <c r="BP326"/>
      <c r="BQ326"/>
      <c r="BR326"/>
    </row>
    <row r="327" spans="1:70" s="369" customFormat="1" x14ac:dyDescent="0.2">
      <c r="A327" s="411"/>
      <c r="B327" s="334" t="s">
        <v>499</v>
      </c>
      <c r="C327" s="321"/>
      <c r="D327" s="449">
        <v>5.9</v>
      </c>
      <c r="E327" s="449">
        <v>5.7</v>
      </c>
      <c r="F327" s="449">
        <v>6.1</v>
      </c>
      <c r="G327" s="449">
        <v>6.4</v>
      </c>
      <c r="H327" s="449">
        <v>6.8</v>
      </c>
      <c r="I327" s="449">
        <v>7</v>
      </c>
      <c r="J327" s="449">
        <v>7</v>
      </c>
      <c r="K327" s="449">
        <v>7.4</v>
      </c>
      <c r="L327" s="449">
        <v>7.2</v>
      </c>
      <c r="M327" s="449">
        <v>7.4</v>
      </c>
      <c r="N327" s="449">
        <v>7.3</v>
      </c>
      <c r="O327" s="449">
        <v>7.1</v>
      </c>
      <c r="P327" s="449">
        <v>6.4</v>
      </c>
      <c r="Q327" s="449">
        <v>6.1</v>
      </c>
      <c r="R327" s="449">
        <v>5.6</v>
      </c>
      <c r="S327" s="449">
        <v>5.5</v>
      </c>
      <c r="T327" s="449">
        <v>5.2</v>
      </c>
      <c r="U327" s="449">
        <v>5.0999999999999996</v>
      </c>
      <c r="V327" s="449">
        <v>5.0999999999999996</v>
      </c>
      <c r="W327" s="449">
        <v>5</v>
      </c>
      <c r="X327" s="449">
        <v>4.8</v>
      </c>
      <c r="Y327" s="449">
        <v>5.3</v>
      </c>
      <c r="Z327" s="449">
        <v>5.6</v>
      </c>
      <c r="AA327" s="449">
        <v>5.4</v>
      </c>
      <c r="AB327" s="449">
        <v>5.6</v>
      </c>
      <c r="AC327" s="458">
        <f>AB327*(1+Drivers!AC49)</f>
        <v>5.4879999999999995</v>
      </c>
      <c r="AD327" s="458">
        <f>AC327*(1+Drivers!AD49)</f>
        <v>5.6251999999999986</v>
      </c>
      <c r="AE327" s="458">
        <f>AD327*(1+Drivers!AE49)</f>
        <v>5.8220819999999982</v>
      </c>
      <c r="AF327" s="458">
        <f>AE327*(1+Drivers!AF49)</f>
        <v>5.7056403599999985</v>
      </c>
      <c r="AG327" s="458">
        <f>AF327*(1+Drivers!AG49)</f>
        <v>5.8197531671999982</v>
      </c>
      <c r="AH327" s="458">
        <f>AG327*(1+Drivers!AH49)</f>
        <v>5.9070494647079981</v>
      </c>
      <c r="AI327" s="458">
        <f>AH327*(1+Drivers!AI49)</f>
        <v>6.1137961959727773</v>
      </c>
      <c r="AJ327" s="458"/>
      <c r="AK327" s="458"/>
      <c r="AL327" s="458"/>
      <c r="AM327" s="458"/>
      <c r="AN327" s="458"/>
      <c r="AO327" s="458"/>
      <c r="AP327" s="458"/>
      <c r="AQ327" s="458"/>
      <c r="AR327" s="70"/>
      <c r="AS327" s="334" t="s">
        <v>499</v>
      </c>
      <c r="AT327" s="321"/>
      <c r="AU327" s="235">
        <f>AVERAGE(D327:G327)</f>
        <v>6.0250000000000004</v>
      </c>
      <c r="AV327" s="235">
        <f>AVERAGE(H327:K327)</f>
        <v>7.0500000000000007</v>
      </c>
      <c r="AW327" s="235">
        <f>AVERAGE(L327:O327)</f>
        <v>7.25</v>
      </c>
      <c r="AX327" s="235">
        <f>AVERAGE(P327:S327)</f>
        <v>5.9</v>
      </c>
      <c r="AY327" s="235">
        <f>AVERAGE(T327:W327)</f>
        <v>5.0999999999999996</v>
      </c>
      <c r="AZ327" s="235">
        <f>AVERAGE(X327:AA327)</f>
        <v>5.2750000000000004</v>
      </c>
      <c r="BA327" s="235">
        <f>AVERAGE(AB327:AE327)</f>
        <v>5.6338204999999988</v>
      </c>
      <c r="BB327" s="235">
        <f>AVERAGE(AF327:AI327)</f>
        <v>5.886559796970193</v>
      </c>
      <c r="BC327" s="458">
        <f>BB327*(1+Drivers!BC49)</f>
        <v>6.1808877868187029</v>
      </c>
      <c r="BD327" s="458">
        <f>BC327*(1+Drivers!BD49)</f>
        <v>6.4899321761596385</v>
      </c>
      <c r="BE327" s="458">
        <f>BD327*(1+Drivers!BE49)</f>
        <v>6.8144287849676211</v>
      </c>
      <c r="BM327"/>
      <c r="BN327"/>
      <c r="BO327"/>
      <c r="BP327"/>
      <c r="BQ327"/>
      <c r="BR327"/>
    </row>
    <row r="328" spans="1:70" s="369" customFormat="1" x14ac:dyDescent="0.2">
      <c r="A328" s="411"/>
      <c r="B328" s="334"/>
      <c r="C328" s="321"/>
      <c r="D328" s="449"/>
      <c r="E328" s="449"/>
      <c r="F328" s="449"/>
      <c r="G328" s="449"/>
      <c r="H328" s="449"/>
      <c r="I328" s="449"/>
      <c r="J328" s="449"/>
      <c r="K328" s="449"/>
      <c r="L328" s="449"/>
      <c r="M328" s="449"/>
      <c r="N328" s="449"/>
      <c r="O328" s="449"/>
      <c r="P328" s="449"/>
      <c r="Q328" s="449"/>
      <c r="R328" s="449"/>
      <c r="S328" s="449"/>
      <c r="T328" s="449"/>
      <c r="U328" s="449"/>
      <c r="V328" s="449"/>
      <c r="W328" s="449"/>
      <c r="X328" s="449"/>
      <c r="Y328" s="449"/>
      <c r="Z328" s="449"/>
      <c r="AA328" s="449"/>
      <c r="AB328" s="449"/>
      <c r="AC328" s="504"/>
      <c r="AD328" s="504"/>
      <c r="AE328" s="504"/>
      <c r="AF328" s="504"/>
      <c r="AG328" s="504"/>
      <c r="AH328" s="504"/>
      <c r="AI328" s="504"/>
      <c r="AJ328" s="504"/>
      <c r="AK328" s="504"/>
      <c r="AL328" s="504"/>
      <c r="AM328" s="504"/>
      <c r="AN328" s="504"/>
      <c r="AO328" s="504"/>
      <c r="AP328" s="504"/>
      <c r="AQ328" s="504"/>
      <c r="AR328" s="70"/>
      <c r="AS328" s="334"/>
      <c r="AT328" s="321"/>
      <c r="AU328" s="235"/>
      <c r="AV328" s="235"/>
      <c r="AW328" s="235"/>
      <c r="AX328" s="235"/>
      <c r="AY328" s="235"/>
      <c r="AZ328" s="235"/>
      <c r="BA328" s="235"/>
      <c r="BB328" s="235"/>
      <c r="BC328" s="504"/>
      <c r="BD328" s="504"/>
      <c r="BE328" s="504"/>
      <c r="BM328"/>
      <c r="BN328"/>
      <c r="BO328"/>
      <c r="BP328"/>
      <c r="BQ328"/>
      <c r="BR328"/>
    </row>
    <row r="329" spans="1:70" s="369" customFormat="1" x14ac:dyDescent="0.2">
      <c r="A329" s="411"/>
      <c r="B329" s="334" t="s">
        <v>179</v>
      </c>
      <c r="C329" s="321"/>
      <c r="D329" s="505">
        <f t="shared" ref="D329:AE329" si="779">SUM(D325:D327)</f>
        <v>25.299999999999997</v>
      </c>
      <c r="E329" s="505">
        <f t="shared" si="779"/>
        <v>24.7</v>
      </c>
      <c r="F329" s="505">
        <f t="shared" si="779"/>
        <v>26.4</v>
      </c>
      <c r="G329" s="505">
        <f t="shared" si="779"/>
        <v>27.700000000000003</v>
      </c>
      <c r="H329" s="505">
        <f t="shared" si="779"/>
        <v>29.400000000000002</v>
      </c>
      <c r="I329" s="505">
        <f t="shared" si="779"/>
        <v>30</v>
      </c>
      <c r="J329" s="505">
        <f t="shared" si="779"/>
        <v>29.6</v>
      </c>
      <c r="K329" s="505">
        <f t="shared" si="779"/>
        <v>30.5</v>
      </c>
      <c r="L329" s="505">
        <f t="shared" si="779"/>
        <v>30.099999999999998</v>
      </c>
      <c r="M329" s="505">
        <f t="shared" si="779"/>
        <v>30.799999999999997</v>
      </c>
      <c r="N329" s="505">
        <f t="shared" si="779"/>
        <v>30.3</v>
      </c>
      <c r="O329" s="505">
        <f t="shared" si="779"/>
        <v>29.200000000000003</v>
      </c>
      <c r="P329" s="505">
        <f t="shared" si="779"/>
        <v>27.200000000000003</v>
      </c>
      <c r="Q329" s="505">
        <f t="shared" si="779"/>
        <v>26.9</v>
      </c>
      <c r="R329" s="505">
        <f t="shared" si="779"/>
        <v>25.4</v>
      </c>
      <c r="S329" s="505">
        <f t="shared" si="779"/>
        <v>25.5</v>
      </c>
      <c r="T329" s="505">
        <f t="shared" si="779"/>
        <v>24.4</v>
      </c>
      <c r="U329" s="505">
        <f t="shared" si="779"/>
        <v>24.299999999999997</v>
      </c>
      <c r="V329" s="505">
        <f t="shared" si="779"/>
        <v>24.200000000000003</v>
      </c>
      <c r="W329" s="505">
        <f t="shared" si="779"/>
        <v>23.5</v>
      </c>
      <c r="X329" s="505">
        <f t="shared" si="779"/>
        <v>23.1</v>
      </c>
      <c r="Y329" s="505">
        <f t="shared" ref="Y329:Z329" si="780">SUM(Y325:Y327)</f>
        <v>25.5</v>
      </c>
      <c r="Z329" s="505">
        <f t="shared" si="780"/>
        <v>26.799999999999997</v>
      </c>
      <c r="AA329" s="505">
        <f t="shared" ref="AA329:AB329" si="781">SUM(AA325:AA327)</f>
        <v>25.700000000000003</v>
      </c>
      <c r="AB329" s="505">
        <f t="shared" si="781"/>
        <v>26.299999999999997</v>
      </c>
      <c r="AC329" s="505">
        <f t="shared" si="779"/>
        <v>26.395</v>
      </c>
      <c r="AD329" s="505">
        <f t="shared" si="779"/>
        <v>26.845804999999999</v>
      </c>
      <c r="AE329" s="505">
        <f t="shared" si="779"/>
        <v>27.467099099999999</v>
      </c>
      <c r="AF329" s="505">
        <f t="shared" ref="AF329:AI329" si="782">SUM(AF325:AF327)</f>
        <v>27.134207288999995</v>
      </c>
      <c r="AG329" s="505">
        <f t="shared" si="782"/>
        <v>27.462605765489997</v>
      </c>
      <c r="AH329" s="505">
        <f t="shared" si="782"/>
        <v>27.874544851972345</v>
      </c>
      <c r="AI329" s="505">
        <f t="shared" si="782"/>
        <v>28.520641490982413</v>
      </c>
      <c r="AJ329" s="505"/>
      <c r="AK329" s="505"/>
      <c r="AL329" s="505"/>
      <c r="AM329" s="505"/>
      <c r="AN329" s="505"/>
      <c r="AO329" s="505"/>
      <c r="AP329" s="505"/>
      <c r="AQ329" s="505"/>
      <c r="AR329" s="70"/>
      <c r="AS329" s="334" t="s">
        <v>179</v>
      </c>
      <c r="AT329" s="321"/>
      <c r="AU329" s="235">
        <f>AVERAGE(D329:G329)</f>
        <v>26.025000000000002</v>
      </c>
      <c r="AV329" s="235">
        <f>AVERAGE(H329:K329)</f>
        <v>29.875</v>
      </c>
      <c r="AW329" s="235">
        <f>AVERAGE(L329:O329)</f>
        <v>30.099999999999998</v>
      </c>
      <c r="AX329" s="235">
        <f>AVERAGE(P329:S329)</f>
        <v>26.25</v>
      </c>
      <c r="AY329" s="235">
        <f>AVERAGE(T329:W329)</f>
        <v>24.1</v>
      </c>
      <c r="AZ329" s="235">
        <f>AVERAGE(X329:AA329)</f>
        <v>25.275000000000002</v>
      </c>
      <c r="BA329" s="235">
        <f>AVERAGE(AB329:AE329)</f>
        <v>26.751976024999998</v>
      </c>
      <c r="BB329" s="235">
        <f>AVERAGE(AF329:AI329)</f>
        <v>27.747999849361189</v>
      </c>
      <c r="BC329" s="505">
        <f>SUM(BC325:BC327)</f>
        <v>28.916785441305336</v>
      </c>
      <c r="BD329" s="505">
        <f>SUM(BD325:BD327)</f>
        <v>30.135265736825737</v>
      </c>
      <c r="BE329" s="505">
        <f>SUM(BE325:BE327)</f>
        <v>31.405575688060367</v>
      </c>
      <c r="BM329"/>
      <c r="BN329"/>
      <c r="BO329"/>
      <c r="BP329"/>
      <c r="BQ329"/>
      <c r="BR329"/>
    </row>
    <row r="330" spans="1:70" s="369" customFormat="1" x14ac:dyDescent="0.2">
      <c r="A330" s="411"/>
      <c r="B330" s="321"/>
      <c r="C330" s="334"/>
      <c r="D330" s="465"/>
      <c r="E330" s="465"/>
      <c r="F330" s="465"/>
      <c r="G330" s="465"/>
      <c r="H330" s="465"/>
      <c r="I330" s="465"/>
      <c r="J330" s="465"/>
      <c r="K330" s="465"/>
      <c r="L330" s="465"/>
      <c r="M330" s="465"/>
      <c r="N330" s="465"/>
      <c r="O330" s="465"/>
      <c r="P330" s="465"/>
      <c r="Q330" s="465"/>
      <c r="R330" s="465"/>
      <c r="S330" s="465"/>
      <c r="T330" s="465"/>
      <c r="U330" s="465"/>
      <c r="V330" s="465"/>
      <c r="W330" s="465"/>
      <c r="X330" s="321"/>
      <c r="Y330" s="321"/>
      <c r="Z330" s="321"/>
      <c r="AA330" s="321"/>
      <c r="AB330" s="321"/>
      <c r="AC330" s="321"/>
      <c r="AD330" s="321"/>
      <c r="AE330" s="321"/>
      <c r="AF330" s="321"/>
      <c r="AG330" s="321"/>
      <c r="AH330" s="321"/>
      <c r="AI330" s="321"/>
      <c r="AJ330" s="321"/>
      <c r="AK330" s="321"/>
      <c r="AL330" s="321"/>
      <c r="AM330" s="321"/>
      <c r="AN330" s="321"/>
      <c r="AO330" s="321"/>
      <c r="AP330" s="321"/>
      <c r="AQ330" s="321"/>
      <c r="AR330" s="70"/>
      <c r="AS330" s="321"/>
      <c r="AT330" s="334"/>
      <c r="BM330"/>
      <c r="BN330"/>
      <c r="BO330"/>
      <c r="BP330"/>
      <c r="BQ330"/>
      <c r="BR330"/>
    </row>
    <row r="331" spans="1:70" s="369" customFormat="1" x14ac:dyDescent="0.2">
      <c r="A331" s="411"/>
      <c r="B331" s="337" t="s">
        <v>212</v>
      </c>
      <c r="C331" s="366"/>
      <c r="D331" s="457"/>
      <c r="E331" s="457"/>
      <c r="F331" s="457"/>
      <c r="G331" s="457"/>
      <c r="H331" s="457"/>
      <c r="I331" s="457"/>
      <c r="J331" s="457"/>
      <c r="K331" s="457"/>
      <c r="L331" s="457"/>
      <c r="M331" s="457"/>
      <c r="N331" s="457"/>
      <c r="O331" s="457"/>
      <c r="P331" s="457"/>
      <c r="Q331" s="457"/>
      <c r="R331" s="457"/>
      <c r="S331" s="457"/>
      <c r="T331" s="457"/>
      <c r="U331" s="457"/>
      <c r="V331" s="457"/>
      <c r="W331" s="457"/>
      <c r="X331" s="367"/>
      <c r="Y331" s="367"/>
      <c r="Z331" s="367"/>
      <c r="AA331" s="367"/>
      <c r="AB331" s="367"/>
      <c r="AC331" s="367"/>
      <c r="AD331" s="367"/>
      <c r="AE331" s="367"/>
      <c r="AF331" s="367"/>
      <c r="AG331" s="367"/>
      <c r="AH331" s="367"/>
      <c r="AI331" s="367"/>
      <c r="AJ331" s="367"/>
      <c r="AK331" s="367"/>
      <c r="AL331" s="367"/>
      <c r="AM331" s="367"/>
      <c r="AN331" s="367"/>
      <c r="AO331" s="367"/>
      <c r="AP331" s="367"/>
      <c r="AQ331" s="367"/>
      <c r="AR331" s="70"/>
      <c r="AS331" s="337" t="s">
        <v>212</v>
      </c>
      <c r="AT331" s="366"/>
      <c r="AU331" s="12"/>
      <c r="AV331" s="12"/>
      <c r="AW331" s="12"/>
      <c r="AX331" s="12"/>
      <c r="AY331" s="12"/>
      <c r="AZ331" s="12"/>
      <c r="BA331" s="12"/>
      <c r="BB331" s="12"/>
      <c r="BC331" s="12"/>
      <c r="BD331" s="12"/>
      <c r="BE331" s="12"/>
      <c r="BM331"/>
      <c r="BN331"/>
      <c r="BO331"/>
      <c r="BP331"/>
      <c r="BQ331"/>
      <c r="BR331"/>
    </row>
    <row r="332" spans="1:70" s="369" customFormat="1" x14ac:dyDescent="0.2">
      <c r="A332" s="411"/>
      <c r="B332" s="450" t="s">
        <v>501</v>
      </c>
      <c r="C332" s="321"/>
      <c r="D332" s="465"/>
      <c r="E332" s="465"/>
      <c r="F332" s="465"/>
      <c r="G332" s="465"/>
      <c r="H332" s="465"/>
      <c r="I332" s="465"/>
      <c r="J332" s="465"/>
      <c r="K332" s="465"/>
      <c r="L332" s="465"/>
      <c r="M332" s="465"/>
      <c r="N332" s="465"/>
      <c r="O332" s="465"/>
      <c r="P332" s="465"/>
      <c r="Q332" s="465"/>
      <c r="R332" s="465"/>
      <c r="S332" s="465"/>
      <c r="T332" s="465"/>
      <c r="U332" s="465"/>
      <c r="V332" s="465"/>
      <c r="W332" s="465"/>
      <c r="X332" s="321"/>
      <c r="Y332" s="321"/>
      <c r="Z332" s="321"/>
      <c r="AA332" s="321"/>
      <c r="AB332" s="321"/>
      <c r="AC332" s="321"/>
      <c r="AD332" s="321"/>
      <c r="AE332" s="321"/>
      <c r="AF332" s="321"/>
      <c r="AG332" s="321"/>
      <c r="AH332" s="321"/>
      <c r="AI332" s="321"/>
      <c r="AJ332" s="321"/>
      <c r="AK332" s="321"/>
      <c r="AL332" s="321"/>
      <c r="AM332" s="321"/>
      <c r="AN332" s="321"/>
      <c r="AO332" s="321"/>
      <c r="AP332" s="321"/>
      <c r="AQ332" s="321"/>
      <c r="AR332" s="70"/>
      <c r="AS332" s="450" t="s">
        <v>501</v>
      </c>
      <c r="AT332" s="321"/>
      <c r="BM332"/>
      <c r="BN332"/>
      <c r="BO332"/>
      <c r="BP332"/>
      <c r="BQ332"/>
      <c r="BR332"/>
    </row>
    <row r="333" spans="1:70" s="369" customFormat="1" x14ac:dyDescent="0.2">
      <c r="A333" s="411"/>
      <c r="B333" s="321" t="s">
        <v>1298</v>
      </c>
      <c r="C333" s="321"/>
      <c r="D333" s="449">
        <v>4.8</v>
      </c>
      <c r="E333" s="449">
        <v>4.7</v>
      </c>
      <c r="F333" s="449">
        <v>5</v>
      </c>
      <c r="G333" s="449">
        <v>5.0999999999999996</v>
      </c>
      <c r="H333" s="449">
        <v>5.6</v>
      </c>
      <c r="I333" s="449">
        <v>5.5</v>
      </c>
      <c r="J333" s="449">
        <v>5.2</v>
      </c>
      <c r="K333" s="449">
        <v>5.5</v>
      </c>
      <c r="L333" s="449">
        <v>5.6</v>
      </c>
      <c r="M333" s="449">
        <v>5.6</v>
      </c>
      <c r="N333" s="449">
        <v>5.3</v>
      </c>
      <c r="O333" s="449">
        <v>4.7</v>
      </c>
      <c r="P333" s="449">
        <v>4.7</v>
      </c>
      <c r="Q333" s="449">
        <v>4.5</v>
      </c>
      <c r="R333" s="449">
        <v>4.0999999999999996</v>
      </c>
      <c r="S333" s="449">
        <v>3.9</v>
      </c>
      <c r="T333" s="449">
        <v>4.5999999999999996</v>
      </c>
      <c r="U333" s="449">
        <v>4.2</v>
      </c>
      <c r="V333" s="449">
        <v>4.0999999999999996</v>
      </c>
      <c r="W333" s="449">
        <v>3.9</v>
      </c>
      <c r="X333" s="449">
        <v>4.4000000000000004</v>
      </c>
      <c r="Y333" s="449">
        <v>4.5999999999999996</v>
      </c>
      <c r="Z333" s="449">
        <v>4.5999999999999996</v>
      </c>
      <c r="AA333" s="449">
        <v>4.0999999999999996</v>
      </c>
      <c r="AB333" s="449">
        <v>4.5</v>
      </c>
      <c r="AC333" s="506">
        <f t="shared" ref="AC333:AE335" si="783">AB333/AB$336*AC$336</f>
        <v>4.5449999999999999</v>
      </c>
      <c r="AD333" s="506">
        <f t="shared" si="783"/>
        <v>4.613175</v>
      </c>
      <c r="AE333" s="506">
        <f t="shared" si="783"/>
        <v>4.7054385000000005</v>
      </c>
      <c r="AF333" s="506">
        <f t="shared" ref="AF333:AF335" si="784">AE333/AE$336*AF$336</f>
        <v>4.6583841149999996</v>
      </c>
      <c r="AG333" s="506">
        <f t="shared" ref="AG333:AG335" si="785">AF333/AF$336*AG$336</f>
        <v>4.7049679561499991</v>
      </c>
      <c r="AH333" s="506">
        <f t="shared" ref="AH333:AH335" si="786">AG333/AG$336*AH$336</f>
        <v>4.7755424754922489</v>
      </c>
      <c r="AI333" s="506">
        <f t="shared" ref="AI333:AI335" si="787">AH333/AH$336*AI$336</f>
        <v>4.8710533250020944</v>
      </c>
      <c r="AJ333" s="506"/>
      <c r="AK333" s="506"/>
      <c r="AL333" s="506"/>
      <c r="AM333" s="506"/>
      <c r="AN333" s="506"/>
      <c r="AO333" s="506"/>
      <c r="AP333" s="506"/>
      <c r="AQ333" s="506"/>
      <c r="AR333" s="70"/>
      <c r="AS333" s="321" t="s">
        <v>1298</v>
      </c>
      <c r="AT333" s="321"/>
      <c r="AU333" s="235">
        <f>G333</f>
        <v>5.0999999999999996</v>
      </c>
      <c r="AV333" s="235">
        <f>K333</f>
        <v>5.5</v>
      </c>
      <c r="AW333" s="235">
        <f>O333</f>
        <v>4.7</v>
      </c>
      <c r="AX333" s="235">
        <f>S333</f>
        <v>3.9</v>
      </c>
      <c r="AY333" s="235">
        <f>W333</f>
        <v>3.9</v>
      </c>
      <c r="AZ333" s="235">
        <f>AA333</f>
        <v>4.0999999999999996</v>
      </c>
      <c r="BA333" s="235">
        <f>AE333</f>
        <v>4.7054385000000005</v>
      </c>
      <c r="BB333" s="235">
        <f>AI333</f>
        <v>4.8710533250020944</v>
      </c>
      <c r="BC333" s="506">
        <f t="shared" ref="BC333:BE335" si="788">BB333/BB$336*BC$336</f>
        <v>5.0658954580021769</v>
      </c>
      <c r="BD333" s="506">
        <f t="shared" si="788"/>
        <v>5.2685312763222649</v>
      </c>
      <c r="BE333" s="506">
        <f t="shared" si="788"/>
        <v>5.4792725273751568</v>
      </c>
      <c r="BM333"/>
      <c r="BN333"/>
      <c r="BO333"/>
      <c r="BP333"/>
      <c r="BQ333"/>
      <c r="BR333"/>
    </row>
    <row r="334" spans="1:70" s="369" customFormat="1" x14ac:dyDescent="0.2">
      <c r="A334" s="411"/>
      <c r="B334" s="321" t="s">
        <v>1290</v>
      </c>
      <c r="C334" s="321"/>
      <c r="D334" s="449">
        <v>8.5</v>
      </c>
      <c r="E334" s="449">
        <v>8.4</v>
      </c>
      <c r="F334" s="449">
        <v>8.9</v>
      </c>
      <c r="G334" s="449">
        <v>9.5</v>
      </c>
      <c r="H334" s="449">
        <v>10.1</v>
      </c>
      <c r="I334" s="449">
        <v>9.8000000000000007</v>
      </c>
      <c r="J334" s="449">
        <v>9.4</v>
      </c>
      <c r="K334" s="449">
        <v>10.3</v>
      </c>
      <c r="L334" s="449">
        <v>9.6</v>
      </c>
      <c r="M334" s="449">
        <v>9.9</v>
      </c>
      <c r="N334" s="449">
        <v>9.5</v>
      </c>
      <c r="O334" s="449">
        <v>8.6999999999999993</v>
      </c>
      <c r="P334" s="449">
        <v>8.5</v>
      </c>
      <c r="Q334" s="449">
        <v>8.8000000000000007</v>
      </c>
      <c r="R334" s="449">
        <v>8.3000000000000007</v>
      </c>
      <c r="S334" s="449">
        <v>8.8000000000000007</v>
      </c>
      <c r="T334" s="449">
        <v>8.8000000000000007</v>
      </c>
      <c r="U334" s="449">
        <v>8.6</v>
      </c>
      <c r="V334" s="449">
        <v>8.6</v>
      </c>
      <c r="W334" s="449">
        <v>8.5</v>
      </c>
      <c r="X334" s="449">
        <v>9.1999999999999993</v>
      </c>
      <c r="Y334" s="449">
        <v>9.9</v>
      </c>
      <c r="Z334" s="449">
        <v>10.3</v>
      </c>
      <c r="AA334" s="449">
        <v>10</v>
      </c>
      <c r="AB334" s="449">
        <v>10.5</v>
      </c>
      <c r="AC334" s="506">
        <f t="shared" si="783"/>
        <v>10.605</v>
      </c>
      <c r="AD334" s="506">
        <f t="shared" si="783"/>
        <v>10.764075</v>
      </c>
      <c r="AE334" s="506">
        <f t="shared" si="783"/>
        <v>10.9793565</v>
      </c>
      <c r="AF334" s="506">
        <f t="shared" si="784"/>
        <v>10.869562934999999</v>
      </c>
      <c r="AG334" s="506">
        <f t="shared" si="785"/>
        <v>10.97825856435</v>
      </c>
      <c r="AH334" s="506">
        <f t="shared" si="786"/>
        <v>11.142932442815249</v>
      </c>
      <c r="AI334" s="506">
        <f t="shared" si="787"/>
        <v>11.365791091671557</v>
      </c>
      <c r="AJ334" s="506"/>
      <c r="AK334" s="506"/>
      <c r="AL334" s="506"/>
      <c r="AM334" s="506"/>
      <c r="AN334" s="506"/>
      <c r="AO334" s="506"/>
      <c r="AP334" s="506"/>
      <c r="AQ334" s="506"/>
      <c r="AR334" s="70"/>
      <c r="AS334" s="321" t="s">
        <v>1290</v>
      </c>
      <c r="AT334" s="321"/>
      <c r="AU334" s="235">
        <f>G334</f>
        <v>9.5</v>
      </c>
      <c r="AV334" s="235">
        <f>K334</f>
        <v>10.3</v>
      </c>
      <c r="AW334" s="235">
        <f>O334</f>
        <v>8.6999999999999993</v>
      </c>
      <c r="AX334" s="235">
        <f>S334</f>
        <v>8.8000000000000007</v>
      </c>
      <c r="AY334" s="235">
        <f>W334</f>
        <v>8.5</v>
      </c>
      <c r="AZ334" s="235">
        <f>AA334</f>
        <v>10</v>
      </c>
      <c r="BA334" s="235">
        <f>AE334</f>
        <v>10.9793565</v>
      </c>
      <c r="BB334" s="235">
        <f>AI334</f>
        <v>11.365791091671557</v>
      </c>
      <c r="BC334" s="506">
        <f t="shared" si="788"/>
        <v>11.820422735338417</v>
      </c>
      <c r="BD334" s="506">
        <f t="shared" si="788"/>
        <v>12.293239644751955</v>
      </c>
      <c r="BE334" s="506">
        <f t="shared" si="788"/>
        <v>12.784969230542035</v>
      </c>
      <c r="BM334"/>
      <c r="BN334"/>
      <c r="BO334"/>
      <c r="BP334"/>
      <c r="BQ334"/>
      <c r="BR334"/>
    </row>
    <row r="335" spans="1:70" s="369" customFormat="1" x14ac:dyDescent="0.2">
      <c r="A335" s="411"/>
      <c r="B335" s="376" t="s">
        <v>1291</v>
      </c>
      <c r="C335" s="376"/>
      <c r="D335" s="469">
        <v>6.5</v>
      </c>
      <c r="E335" s="469">
        <v>6.5</v>
      </c>
      <c r="F335" s="469">
        <v>7.1</v>
      </c>
      <c r="G335" s="469">
        <v>7.1</v>
      </c>
      <c r="H335" s="469">
        <v>7.7</v>
      </c>
      <c r="I335" s="469">
        <v>7.5</v>
      </c>
      <c r="J335" s="469">
        <v>7.6</v>
      </c>
      <c r="K335" s="469">
        <v>7.7</v>
      </c>
      <c r="L335" s="469">
        <v>7.9</v>
      </c>
      <c r="M335" s="469">
        <v>8</v>
      </c>
      <c r="N335" s="469">
        <v>8</v>
      </c>
      <c r="O335" s="469">
        <v>7.6</v>
      </c>
      <c r="P335" s="469">
        <v>7.6</v>
      </c>
      <c r="Q335" s="469">
        <v>7.5</v>
      </c>
      <c r="R335" s="469">
        <v>7.1</v>
      </c>
      <c r="S335" s="469">
        <v>7</v>
      </c>
      <c r="T335" s="469">
        <v>6.4</v>
      </c>
      <c r="U335" s="469">
        <v>6.3</v>
      </c>
      <c r="V335" s="469">
        <v>6</v>
      </c>
      <c r="W335" s="469">
        <v>5.6</v>
      </c>
      <c r="X335" s="469">
        <v>6.1</v>
      </c>
      <c r="Y335" s="469">
        <v>6.5</v>
      </c>
      <c r="Z335" s="469">
        <v>6.1</v>
      </c>
      <c r="AA335" s="469">
        <v>5.8</v>
      </c>
      <c r="AB335" s="469">
        <v>6.2</v>
      </c>
      <c r="AC335" s="507">
        <f t="shared" si="783"/>
        <v>6.2619999999999996</v>
      </c>
      <c r="AD335" s="507">
        <f t="shared" si="783"/>
        <v>6.355929999999999</v>
      </c>
      <c r="AE335" s="507">
        <f t="shared" si="783"/>
        <v>6.4830485999999992</v>
      </c>
      <c r="AF335" s="507">
        <f t="shared" si="784"/>
        <v>6.4182181139999983</v>
      </c>
      <c r="AG335" s="507">
        <f t="shared" si="785"/>
        <v>6.4824002951399988</v>
      </c>
      <c r="AH335" s="507">
        <f t="shared" si="786"/>
        <v>6.5796362995670981</v>
      </c>
      <c r="AI335" s="507">
        <f t="shared" si="787"/>
        <v>6.711229025558441</v>
      </c>
      <c r="AJ335" s="1758"/>
      <c r="AK335" s="1758"/>
      <c r="AL335" s="1758"/>
      <c r="AM335" s="1758"/>
      <c r="AN335" s="1758"/>
      <c r="AO335" s="1758"/>
      <c r="AP335" s="1758"/>
      <c r="AQ335" s="1758"/>
      <c r="AR335" s="70"/>
      <c r="AS335" s="376" t="s">
        <v>1291</v>
      </c>
      <c r="AT335" s="376"/>
      <c r="AU335" s="236">
        <f>G335</f>
        <v>7.1</v>
      </c>
      <c r="AV335" s="236">
        <f>K335</f>
        <v>7.7</v>
      </c>
      <c r="AW335" s="236">
        <f>O335</f>
        <v>7.6</v>
      </c>
      <c r="AX335" s="236">
        <f>S335</f>
        <v>7</v>
      </c>
      <c r="AY335" s="236">
        <f>W335</f>
        <v>5.6</v>
      </c>
      <c r="AZ335" s="236">
        <f>AA335</f>
        <v>5.8</v>
      </c>
      <c r="BA335" s="236">
        <f>AE335</f>
        <v>6.4830485999999992</v>
      </c>
      <c r="BB335" s="236">
        <f>AI335</f>
        <v>6.711229025558441</v>
      </c>
      <c r="BC335" s="507">
        <f t="shared" si="788"/>
        <v>6.9796781865807773</v>
      </c>
      <c r="BD335" s="507">
        <f t="shared" si="788"/>
        <v>7.2588653140440096</v>
      </c>
      <c r="BE335" s="507">
        <f t="shared" si="788"/>
        <v>7.5492199266057716</v>
      </c>
      <c r="BM335"/>
      <c r="BN335"/>
      <c r="BO335"/>
      <c r="BP335"/>
      <c r="BQ335"/>
      <c r="BR335"/>
    </row>
    <row r="336" spans="1:70" s="369" customFormat="1" x14ac:dyDescent="0.2">
      <c r="A336" s="411"/>
      <c r="B336" s="321"/>
      <c r="C336" s="334" t="s">
        <v>87</v>
      </c>
      <c r="D336" s="468">
        <f t="shared" ref="D336:X336" si="789">SUM(D333:D335)</f>
        <v>19.8</v>
      </c>
      <c r="E336" s="468">
        <f t="shared" si="789"/>
        <v>19.600000000000001</v>
      </c>
      <c r="F336" s="468">
        <f t="shared" si="789"/>
        <v>21</v>
      </c>
      <c r="G336" s="468">
        <f t="shared" si="789"/>
        <v>21.7</v>
      </c>
      <c r="H336" s="468">
        <f t="shared" si="789"/>
        <v>23.4</v>
      </c>
      <c r="I336" s="468">
        <f t="shared" si="789"/>
        <v>22.8</v>
      </c>
      <c r="J336" s="468">
        <f t="shared" si="789"/>
        <v>22.200000000000003</v>
      </c>
      <c r="K336" s="468">
        <f t="shared" si="789"/>
        <v>23.5</v>
      </c>
      <c r="L336" s="468">
        <f t="shared" si="789"/>
        <v>23.1</v>
      </c>
      <c r="M336" s="468">
        <f t="shared" si="789"/>
        <v>23.5</v>
      </c>
      <c r="N336" s="468">
        <f t="shared" si="789"/>
        <v>22.8</v>
      </c>
      <c r="O336" s="468">
        <f t="shared" si="789"/>
        <v>21</v>
      </c>
      <c r="P336" s="468">
        <f t="shared" si="789"/>
        <v>20.799999999999997</v>
      </c>
      <c r="Q336" s="468">
        <f t="shared" si="789"/>
        <v>20.8</v>
      </c>
      <c r="R336" s="468">
        <f t="shared" si="789"/>
        <v>19.5</v>
      </c>
      <c r="S336" s="468">
        <f t="shared" si="789"/>
        <v>19.700000000000003</v>
      </c>
      <c r="T336" s="468">
        <f t="shared" si="789"/>
        <v>19.8</v>
      </c>
      <c r="U336" s="468">
        <f t="shared" si="789"/>
        <v>19.100000000000001</v>
      </c>
      <c r="V336" s="468">
        <f t="shared" si="789"/>
        <v>18.7</v>
      </c>
      <c r="W336" s="468">
        <f t="shared" si="789"/>
        <v>18</v>
      </c>
      <c r="X336" s="468">
        <f t="shared" si="789"/>
        <v>19.7</v>
      </c>
      <c r="Y336" s="468">
        <f t="shared" ref="Y336:Z336" si="790">SUM(Y333:Y335)</f>
        <v>21</v>
      </c>
      <c r="Z336" s="468">
        <f t="shared" si="790"/>
        <v>21</v>
      </c>
      <c r="AA336" s="468">
        <f t="shared" ref="AA336:AB336" si="791">SUM(AA333:AA335)</f>
        <v>19.899999999999999</v>
      </c>
      <c r="AB336" s="468">
        <f t="shared" si="791"/>
        <v>21.2</v>
      </c>
      <c r="AC336" s="506">
        <f t="shared" ref="AC336:AE336" si="792">AB336*AC325/AB325</f>
        <v>21.411999999999999</v>
      </c>
      <c r="AD336" s="506">
        <f t="shared" si="792"/>
        <v>21.733179999999997</v>
      </c>
      <c r="AE336" s="506">
        <f t="shared" si="792"/>
        <v>22.167843599999998</v>
      </c>
      <c r="AF336" s="506">
        <f t="shared" ref="AF336" si="793">AE336*AF325/AE325</f>
        <v>21.946165163999996</v>
      </c>
      <c r="AG336" s="506">
        <f t="shared" ref="AG336" si="794">AF336*AG325/AF325</f>
        <v>22.165626815639996</v>
      </c>
      <c r="AH336" s="506">
        <f t="shared" ref="AH336" si="795">AG336*AH325/AG325</f>
        <v>22.498111217874595</v>
      </c>
      <c r="AI336" s="506">
        <f t="shared" ref="AI336" si="796">AH336*AI325/AH325</f>
        <v>22.94807344223209</v>
      </c>
      <c r="AJ336" s="506"/>
      <c r="AK336" s="506"/>
      <c r="AL336" s="506"/>
      <c r="AM336" s="506"/>
      <c r="AN336" s="506"/>
      <c r="AO336" s="506"/>
      <c r="AP336" s="506"/>
      <c r="AQ336" s="506"/>
      <c r="AR336" s="70"/>
      <c r="AS336" s="321"/>
      <c r="AT336" s="334" t="s">
        <v>87</v>
      </c>
      <c r="AU336" s="467">
        <f t="shared" ref="AU336:BA336" si="797">SUM(AU333:AU335)</f>
        <v>21.7</v>
      </c>
      <c r="AV336" s="467">
        <f t="shared" si="797"/>
        <v>23.5</v>
      </c>
      <c r="AW336" s="467">
        <f t="shared" si="797"/>
        <v>21</v>
      </c>
      <c r="AX336" s="467">
        <f t="shared" si="797"/>
        <v>19.700000000000003</v>
      </c>
      <c r="AY336" s="467">
        <f t="shared" si="797"/>
        <v>18</v>
      </c>
      <c r="AZ336" s="467">
        <f t="shared" si="797"/>
        <v>19.899999999999999</v>
      </c>
      <c r="BA336" s="467">
        <f t="shared" si="797"/>
        <v>22.167843600000001</v>
      </c>
      <c r="BB336" s="467">
        <f t="shared" ref="BB336" si="798">SUM(BB333:BB335)</f>
        <v>22.948073442232094</v>
      </c>
      <c r="BC336" s="506">
        <f>BB336*BC325/BB325</f>
        <v>23.865996379921373</v>
      </c>
      <c r="BD336" s="506">
        <f>BC336*BD325/BC325</f>
        <v>24.820636235118233</v>
      </c>
      <c r="BE336" s="506">
        <f>BD336*BE325/BD325</f>
        <v>25.813461684522967</v>
      </c>
      <c r="BM336"/>
      <c r="BN336"/>
      <c r="BO336"/>
      <c r="BP336"/>
      <c r="BQ336"/>
      <c r="BR336"/>
    </row>
    <row r="337" spans="1:74" s="369" customFormat="1" x14ac:dyDescent="0.2">
      <c r="A337" s="830"/>
      <c r="C337" s="334"/>
      <c r="D337" s="468"/>
      <c r="E337" s="468"/>
      <c r="F337" s="468"/>
      <c r="G337" s="468"/>
      <c r="H337" s="468"/>
      <c r="I337" s="468"/>
      <c r="J337" s="468"/>
      <c r="K337" s="468"/>
      <c r="L337" s="468"/>
      <c r="M337" s="468"/>
      <c r="N337" s="468"/>
      <c r="O337" s="468"/>
      <c r="P337" s="468"/>
      <c r="Q337" s="468"/>
      <c r="R337" s="468"/>
      <c r="S337" s="468"/>
      <c r="T337" s="468"/>
      <c r="U337" s="468"/>
      <c r="V337" s="468"/>
      <c r="W337" s="468"/>
      <c r="X337" s="468"/>
      <c r="Y337" s="468"/>
      <c r="Z337" s="468"/>
      <c r="AA337" s="468"/>
      <c r="AB337" s="468"/>
      <c r="AR337" s="70"/>
      <c r="AT337" s="334"/>
      <c r="BM337"/>
      <c r="BN337"/>
      <c r="BO337"/>
      <c r="BP337"/>
      <c r="BQ337"/>
      <c r="BR337"/>
    </row>
    <row r="338" spans="1:74" s="369" customFormat="1" x14ac:dyDescent="0.2">
      <c r="A338" s="411"/>
      <c r="B338" s="334" t="s">
        <v>507</v>
      </c>
      <c r="C338" s="321"/>
      <c r="D338" s="449">
        <v>6</v>
      </c>
      <c r="E338" s="449">
        <v>5.9</v>
      </c>
      <c r="F338" s="449">
        <v>6.3</v>
      </c>
      <c r="G338" s="449">
        <v>6.6</v>
      </c>
      <c r="H338" s="449">
        <v>7.1</v>
      </c>
      <c r="I338" s="449">
        <v>7</v>
      </c>
      <c r="J338" s="449">
        <v>7.1</v>
      </c>
      <c r="K338" s="449">
        <v>7.4</v>
      </c>
      <c r="L338" s="449">
        <v>7.2</v>
      </c>
      <c r="M338" s="449">
        <v>7.4</v>
      </c>
      <c r="N338" s="449">
        <v>7.3</v>
      </c>
      <c r="O338" s="449">
        <v>6.7</v>
      </c>
      <c r="P338" s="449">
        <v>6.1</v>
      </c>
      <c r="Q338" s="449">
        <v>5.9</v>
      </c>
      <c r="R338" s="449">
        <v>5.4</v>
      </c>
      <c r="S338" s="449">
        <v>5.4</v>
      </c>
      <c r="T338" s="449">
        <v>5.3</v>
      </c>
      <c r="U338" s="449">
        <v>5</v>
      </c>
      <c r="V338" s="449">
        <v>4.9000000000000004</v>
      </c>
      <c r="W338" s="449">
        <v>4.8</v>
      </c>
      <c r="X338" s="449">
        <v>5.2</v>
      </c>
      <c r="Y338" s="449">
        <v>5.5</v>
      </c>
      <c r="Z338" s="449">
        <v>5.6</v>
      </c>
      <c r="AA338" s="449">
        <v>5.4</v>
      </c>
      <c r="AB338" s="449">
        <v>5.7</v>
      </c>
      <c r="AC338" s="506">
        <f t="shared" ref="AC338:AE338" si="799">AB338*AC327/AB327</f>
        <v>5.5860000000000003</v>
      </c>
      <c r="AD338" s="506">
        <f t="shared" si="799"/>
        <v>5.725649999999999</v>
      </c>
      <c r="AE338" s="506">
        <f t="shared" si="799"/>
        <v>5.9260477499999986</v>
      </c>
      <c r="AF338" s="506">
        <f t="shared" ref="AF338" si="800">AE338*AF327/AE327</f>
        <v>5.8075267949999994</v>
      </c>
      <c r="AG338" s="506">
        <f t="shared" ref="AG338" si="801">AF338*AG327/AF327</f>
        <v>5.9236773308999995</v>
      </c>
      <c r="AH338" s="506">
        <f t="shared" ref="AH338" si="802">AG338*AH327/AG327</f>
        <v>6.0125324908634994</v>
      </c>
      <c r="AI338" s="506">
        <f t="shared" ref="AI338" si="803">AH338*AI327/AH327</f>
        <v>6.2229711280437217</v>
      </c>
      <c r="AJ338" s="506"/>
      <c r="AK338" s="506"/>
      <c r="AL338" s="506"/>
      <c r="AM338" s="506"/>
      <c r="AN338" s="506"/>
      <c r="AO338" s="506"/>
      <c r="AP338" s="506"/>
      <c r="AQ338" s="506"/>
      <c r="AR338" s="70"/>
      <c r="AS338" s="334" t="s">
        <v>507</v>
      </c>
      <c r="AT338" s="321"/>
      <c r="AU338" s="235">
        <f>G338</f>
        <v>6.6</v>
      </c>
      <c r="AV338" s="235">
        <f>K338</f>
        <v>7.4</v>
      </c>
      <c r="AW338" s="235">
        <f>O338</f>
        <v>6.7</v>
      </c>
      <c r="AX338" s="235">
        <f>S338</f>
        <v>5.4</v>
      </c>
      <c r="AY338" s="235">
        <f>W338</f>
        <v>4.8</v>
      </c>
      <c r="AZ338" s="235">
        <f>AA338</f>
        <v>5.4</v>
      </c>
      <c r="BA338" s="235">
        <f>AE338</f>
        <v>5.9260477499999986</v>
      </c>
      <c r="BB338" s="235">
        <f>AI338</f>
        <v>6.2229711280437217</v>
      </c>
      <c r="BC338" s="506">
        <f>BB338*BC327/BB327</f>
        <v>6.5341196844459075</v>
      </c>
      <c r="BD338" s="506">
        <f>BC338*BD327/BC327</f>
        <v>6.8608256686682036</v>
      </c>
      <c r="BE338" s="506">
        <f>BD338*BE327/BD327</f>
        <v>7.2038669521016141</v>
      </c>
      <c r="BM338"/>
      <c r="BN338"/>
      <c r="BO338"/>
      <c r="BP338"/>
      <c r="BQ338"/>
      <c r="BR338"/>
    </row>
    <row r="339" spans="1:74" s="369" customFormat="1" x14ac:dyDescent="0.2">
      <c r="A339" s="411"/>
      <c r="B339" s="334"/>
      <c r="C339" s="321"/>
      <c r="D339" s="468"/>
      <c r="E339" s="468"/>
      <c r="F339" s="468"/>
      <c r="G339" s="468"/>
      <c r="H339" s="468"/>
      <c r="I339" s="468"/>
      <c r="J339" s="468"/>
      <c r="K339" s="468"/>
      <c r="L339" s="468"/>
      <c r="M339" s="468"/>
      <c r="N339" s="468"/>
      <c r="O339" s="468"/>
      <c r="P339" s="468"/>
      <c r="Q339" s="468"/>
      <c r="R339" s="468"/>
      <c r="S339" s="468"/>
      <c r="T339" s="468"/>
      <c r="U339" s="468"/>
      <c r="V339" s="468"/>
      <c r="W339" s="468"/>
      <c r="X339" s="468"/>
      <c r="Y339" s="468"/>
      <c r="Z339" s="468"/>
      <c r="AA339" s="468"/>
      <c r="AB339" s="468"/>
      <c r="AC339" s="321"/>
      <c r="AD339" s="321"/>
      <c r="AE339" s="321"/>
      <c r="AF339" s="321"/>
      <c r="AG339" s="321"/>
      <c r="AH339" s="321"/>
      <c r="AI339" s="321"/>
      <c r="AJ339" s="321"/>
      <c r="AK339" s="321"/>
      <c r="AL339" s="321"/>
      <c r="AM339" s="321"/>
      <c r="AN339" s="321"/>
      <c r="AO339" s="321"/>
      <c r="AP339" s="321"/>
      <c r="AQ339" s="321"/>
      <c r="AR339" s="70"/>
      <c r="AS339" s="334"/>
      <c r="AT339" s="321"/>
      <c r="BC339" s="321"/>
      <c r="BD339" s="321"/>
      <c r="BE339" s="321"/>
      <c r="BM339"/>
      <c r="BN339"/>
      <c r="BO339"/>
      <c r="BP339"/>
      <c r="BQ339"/>
      <c r="BR339"/>
    </row>
    <row r="340" spans="1:74" s="369" customFormat="1" x14ac:dyDescent="0.2">
      <c r="A340" s="411"/>
      <c r="B340" s="334" t="s">
        <v>179</v>
      </c>
      <c r="C340" s="321"/>
      <c r="D340" s="468">
        <f t="shared" ref="D340:AE340" si="804">SUM(D336:D338)</f>
        <v>25.8</v>
      </c>
      <c r="E340" s="468">
        <f t="shared" si="804"/>
        <v>25.5</v>
      </c>
      <c r="F340" s="468">
        <f t="shared" si="804"/>
        <v>27.3</v>
      </c>
      <c r="G340" s="468">
        <f t="shared" si="804"/>
        <v>28.299999999999997</v>
      </c>
      <c r="H340" s="468">
        <f t="shared" si="804"/>
        <v>30.5</v>
      </c>
      <c r="I340" s="468">
        <f t="shared" si="804"/>
        <v>29.8</v>
      </c>
      <c r="J340" s="468">
        <f t="shared" si="804"/>
        <v>29.300000000000004</v>
      </c>
      <c r="K340" s="468">
        <f t="shared" si="804"/>
        <v>30.9</v>
      </c>
      <c r="L340" s="468">
        <f t="shared" si="804"/>
        <v>30.3</v>
      </c>
      <c r="M340" s="468">
        <f t="shared" si="804"/>
        <v>30.9</v>
      </c>
      <c r="N340" s="468">
        <f t="shared" si="804"/>
        <v>30.1</v>
      </c>
      <c r="O340" s="468">
        <f t="shared" si="804"/>
        <v>27.7</v>
      </c>
      <c r="P340" s="468">
        <f t="shared" si="804"/>
        <v>26.9</v>
      </c>
      <c r="Q340" s="468">
        <f t="shared" si="804"/>
        <v>26.700000000000003</v>
      </c>
      <c r="R340" s="468">
        <f t="shared" si="804"/>
        <v>24.9</v>
      </c>
      <c r="S340" s="468">
        <f t="shared" si="804"/>
        <v>25.1</v>
      </c>
      <c r="T340" s="468">
        <f t="shared" si="804"/>
        <v>25.1</v>
      </c>
      <c r="U340" s="468">
        <f t="shared" si="804"/>
        <v>24.1</v>
      </c>
      <c r="V340" s="468">
        <f t="shared" si="804"/>
        <v>23.6</v>
      </c>
      <c r="W340" s="468">
        <f t="shared" si="804"/>
        <v>22.8</v>
      </c>
      <c r="X340" s="468">
        <f t="shared" si="804"/>
        <v>24.9</v>
      </c>
      <c r="Y340" s="468">
        <f t="shared" ref="Y340:Z340" si="805">SUM(Y336:Y338)</f>
        <v>26.5</v>
      </c>
      <c r="Z340" s="468">
        <f t="shared" si="805"/>
        <v>26.6</v>
      </c>
      <c r="AA340" s="468">
        <f t="shared" ref="AA340:AB340" si="806">SUM(AA336:AA338)</f>
        <v>25.299999999999997</v>
      </c>
      <c r="AB340" s="468">
        <f t="shared" si="806"/>
        <v>26.9</v>
      </c>
      <c r="AC340" s="468">
        <f t="shared" si="804"/>
        <v>26.997999999999998</v>
      </c>
      <c r="AD340" s="468">
        <f t="shared" si="804"/>
        <v>27.458829999999995</v>
      </c>
      <c r="AE340" s="468">
        <f t="shared" si="804"/>
        <v>28.093891349999996</v>
      </c>
      <c r="AF340" s="468">
        <f t="shared" ref="AF340:AI340" si="807">SUM(AF336:AF338)</f>
        <v>27.753691958999994</v>
      </c>
      <c r="AG340" s="468">
        <f t="shared" si="807"/>
        <v>28.089304146539995</v>
      </c>
      <c r="AH340" s="468">
        <f t="shared" si="807"/>
        <v>28.510643708738094</v>
      </c>
      <c r="AI340" s="468">
        <f t="shared" si="807"/>
        <v>29.171044570275811</v>
      </c>
      <c r="AJ340" s="468"/>
      <c r="AK340" s="468"/>
      <c r="AL340" s="468"/>
      <c r="AM340" s="468"/>
      <c r="AN340" s="468"/>
      <c r="AO340" s="468"/>
      <c r="AP340" s="468"/>
      <c r="AQ340" s="468"/>
      <c r="AR340" s="70"/>
      <c r="AS340" s="334" t="s">
        <v>179</v>
      </c>
      <c r="AT340" s="321"/>
      <c r="AU340" s="235">
        <f>G340</f>
        <v>28.299999999999997</v>
      </c>
      <c r="AV340" s="235">
        <f>K340</f>
        <v>30.9</v>
      </c>
      <c r="AW340" s="235">
        <f>O340</f>
        <v>27.7</v>
      </c>
      <c r="AX340" s="235">
        <f>S340</f>
        <v>25.1</v>
      </c>
      <c r="AY340" s="235">
        <f>W340</f>
        <v>22.8</v>
      </c>
      <c r="AZ340" s="235">
        <f>AA340</f>
        <v>25.299999999999997</v>
      </c>
      <c r="BA340" s="235">
        <f>AE340</f>
        <v>28.093891349999996</v>
      </c>
      <c r="BB340" s="235">
        <f>AI340</f>
        <v>29.171044570275811</v>
      </c>
      <c r="BC340" s="468">
        <f>SUM(BC336:BC338)</f>
        <v>30.400116064367282</v>
      </c>
      <c r="BD340" s="468">
        <f>SUM(BD336:BD338)</f>
        <v>31.681461903786435</v>
      </c>
      <c r="BE340" s="468">
        <f>SUM(BE336:BE338)</f>
        <v>33.017328636624583</v>
      </c>
      <c r="BM340"/>
      <c r="BN340"/>
      <c r="BO340"/>
      <c r="BP340"/>
      <c r="BQ340"/>
      <c r="BR340"/>
    </row>
    <row r="341" spans="1:74" s="369" customFormat="1" x14ac:dyDescent="0.2">
      <c r="A341" s="411"/>
      <c r="B341" s="334"/>
      <c r="C341" s="321"/>
      <c r="D341" s="465"/>
      <c r="E341" s="465"/>
      <c r="F341" s="465"/>
      <c r="G341" s="465"/>
      <c r="H341" s="465"/>
      <c r="I341" s="465"/>
      <c r="J341" s="465"/>
      <c r="K341" s="465"/>
      <c r="L341" s="465"/>
      <c r="M341" s="465"/>
      <c r="N341" s="465"/>
      <c r="O341" s="465"/>
      <c r="P341" s="465"/>
      <c r="Q341" s="465"/>
      <c r="R341" s="465"/>
      <c r="S341" s="465"/>
      <c r="T341" s="465"/>
      <c r="U341" s="465"/>
      <c r="V341" s="465"/>
      <c r="W341" s="465"/>
      <c r="X341" s="321"/>
      <c r="Y341" s="321"/>
      <c r="Z341" s="321"/>
      <c r="AA341" s="321"/>
      <c r="AB341" s="321"/>
      <c r="AC341" s="321"/>
      <c r="AD341" s="321"/>
      <c r="AE341" s="321"/>
      <c r="AF341" s="321"/>
      <c r="AG341" s="321"/>
      <c r="AH341" s="321"/>
      <c r="AI341" s="321"/>
      <c r="AJ341" s="321"/>
      <c r="AK341" s="321"/>
      <c r="AL341" s="321"/>
      <c r="AM341" s="321"/>
      <c r="AN341" s="321"/>
      <c r="AO341" s="321"/>
      <c r="AP341" s="321"/>
      <c r="AQ341" s="321"/>
      <c r="AR341" s="70"/>
      <c r="AS341" s="334"/>
      <c r="AT341" s="321"/>
      <c r="BM341"/>
      <c r="BN341"/>
      <c r="BO341"/>
      <c r="BP341"/>
      <c r="BQ341"/>
      <c r="BR341"/>
    </row>
    <row r="342" spans="1:74" x14ac:dyDescent="0.2">
      <c r="B342" s="337" t="s">
        <v>506</v>
      </c>
      <c r="C342" s="11"/>
      <c r="D342" s="12"/>
      <c r="E342" s="12"/>
      <c r="F342" s="12"/>
      <c r="G342" s="12"/>
      <c r="H342" s="12"/>
      <c r="I342" s="12"/>
      <c r="J342" s="12"/>
      <c r="K342" s="12"/>
      <c r="L342" s="12"/>
      <c r="M342" s="12"/>
      <c r="N342" s="12"/>
      <c r="O342" s="12"/>
      <c r="P342" s="12"/>
      <c r="Q342" s="12"/>
      <c r="R342" s="12"/>
      <c r="S342" s="12"/>
      <c r="T342" s="12"/>
      <c r="U342" s="12"/>
      <c r="V342" s="12"/>
      <c r="W342" s="12"/>
      <c r="X342" s="12"/>
      <c r="Y342" s="12"/>
      <c r="Z342" s="12"/>
      <c r="AA342" s="12"/>
      <c r="AB342" s="12"/>
      <c r="AC342" s="12"/>
      <c r="AD342" s="12"/>
      <c r="AE342" s="12"/>
      <c r="AF342" s="12"/>
      <c r="AG342" s="12"/>
      <c r="AH342" s="12"/>
      <c r="AI342" s="12"/>
      <c r="AJ342" s="12"/>
      <c r="AK342" s="12"/>
      <c r="AL342" s="12"/>
      <c r="AM342" s="12"/>
      <c r="AN342" s="12"/>
      <c r="AO342" s="12"/>
      <c r="AP342" s="12"/>
      <c r="AQ342" s="12"/>
      <c r="AS342" s="337" t="s">
        <v>506</v>
      </c>
      <c r="AT342" s="11"/>
      <c r="AU342" s="12"/>
      <c r="AV342" s="12"/>
      <c r="AW342" s="12"/>
      <c r="AX342" s="12"/>
      <c r="AY342" s="12"/>
      <c r="AZ342" s="12"/>
      <c r="BA342" s="12"/>
      <c r="BB342" s="12"/>
      <c r="BC342" s="12"/>
      <c r="BD342" s="12"/>
      <c r="BE342" s="12"/>
    </row>
    <row r="343" spans="1:74" s="369" customFormat="1" x14ac:dyDescent="0.2">
      <c r="A343" s="411"/>
      <c r="B343" s="334" t="s">
        <v>50</v>
      </c>
      <c r="C343" s="321"/>
      <c r="D343" s="471">
        <v>5.7</v>
      </c>
      <c r="E343" s="471">
        <v>5.7</v>
      </c>
      <c r="F343" s="471">
        <v>5.9</v>
      </c>
      <c r="G343" s="471">
        <v>6</v>
      </c>
      <c r="H343" s="471">
        <v>6.1</v>
      </c>
      <c r="I343" s="471">
        <v>6.2</v>
      </c>
      <c r="J343" s="471">
        <v>6.3</v>
      </c>
      <c r="K343" s="471">
        <v>6.2</v>
      </c>
      <c r="L343" s="471">
        <v>6.2</v>
      </c>
      <c r="M343" s="471">
        <v>6.1</v>
      </c>
      <c r="N343" s="471">
        <v>6.1</v>
      </c>
      <c r="O343" s="471">
        <v>5.9</v>
      </c>
      <c r="P343" s="471">
        <v>5.9</v>
      </c>
      <c r="Q343" s="471">
        <v>5.9</v>
      </c>
      <c r="R343" s="471">
        <v>5.7</v>
      </c>
      <c r="S343" s="471">
        <v>5.6</v>
      </c>
      <c r="T343" s="471">
        <v>5.6</v>
      </c>
      <c r="U343" s="471">
        <v>5.7</v>
      </c>
      <c r="V343" s="471">
        <v>5.8</v>
      </c>
      <c r="W343" s="471">
        <v>5.8</v>
      </c>
      <c r="X343" s="471">
        <v>5.7</v>
      </c>
      <c r="Y343" s="471">
        <v>5.7</v>
      </c>
      <c r="Z343" s="471">
        <v>5.7</v>
      </c>
      <c r="AA343" s="471">
        <v>5.6</v>
      </c>
      <c r="AB343" s="471">
        <v>5.7</v>
      </c>
      <c r="AC343" s="338" t="s">
        <v>226</v>
      </c>
      <c r="AD343" s="338" t="s">
        <v>226</v>
      </c>
      <c r="AE343" s="338" t="s">
        <v>226</v>
      </c>
      <c r="AF343" s="338" t="s">
        <v>226</v>
      </c>
      <c r="AG343" s="338" t="s">
        <v>226</v>
      </c>
      <c r="AH343" s="338" t="s">
        <v>226</v>
      </c>
      <c r="AI343" s="338" t="s">
        <v>226</v>
      </c>
      <c r="AJ343" s="338"/>
      <c r="AK343" s="338"/>
      <c r="AL343" s="338"/>
      <c r="AM343" s="338"/>
      <c r="AN343" s="338"/>
      <c r="AO343" s="338"/>
      <c r="AP343" s="338"/>
      <c r="AQ343" s="338"/>
      <c r="AR343" s="70"/>
      <c r="AS343" s="334" t="s">
        <v>50</v>
      </c>
      <c r="AT343" s="321"/>
      <c r="AU343" s="235">
        <f>G343</f>
        <v>6</v>
      </c>
      <c r="AV343" s="235">
        <f>K343</f>
        <v>6.2</v>
      </c>
      <c r="AW343" s="235">
        <f>O343</f>
        <v>5.9</v>
      </c>
      <c r="AX343" s="235">
        <f>S343</f>
        <v>5.6</v>
      </c>
      <c r="AY343" s="235">
        <f>W343</f>
        <v>5.8</v>
      </c>
      <c r="AZ343" s="351" t="s">
        <v>226</v>
      </c>
      <c r="BA343" s="351" t="s">
        <v>226</v>
      </c>
      <c r="BB343" s="351" t="s">
        <v>226</v>
      </c>
      <c r="BC343" s="351" t="s">
        <v>226</v>
      </c>
      <c r="BD343" s="351" t="s">
        <v>226</v>
      </c>
      <c r="BE343" s="351" t="s">
        <v>226</v>
      </c>
      <c r="BM343"/>
      <c r="BN343"/>
      <c r="BO343"/>
      <c r="BP343"/>
      <c r="BQ343"/>
      <c r="BR343"/>
    </row>
    <row r="344" spans="1:74" s="369" customFormat="1" x14ac:dyDescent="0.2">
      <c r="A344" s="411"/>
      <c r="B344" s="334" t="s">
        <v>98</v>
      </c>
      <c r="C344" s="321"/>
      <c r="D344" s="449">
        <v>3.9</v>
      </c>
      <c r="E344" s="449">
        <v>3.9</v>
      </c>
      <c r="F344" s="449">
        <v>4.3</v>
      </c>
      <c r="G344" s="449">
        <v>5</v>
      </c>
      <c r="H344" s="449">
        <v>4.5</v>
      </c>
      <c r="I344" s="449">
        <v>4.9000000000000004</v>
      </c>
      <c r="J344" s="449">
        <v>5</v>
      </c>
      <c r="K344" s="449">
        <v>5.5</v>
      </c>
      <c r="L344" s="449">
        <v>4.5</v>
      </c>
      <c r="M344" s="449">
        <v>4.9000000000000004</v>
      </c>
      <c r="N344" s="449">
        <v>4.9000000000000004</v>
      </c>
      <c r="O344" s="449">
        <v>5</v>
      </c>
      <c r="P344" s="449">
        <v>4.0999999999999996</v>
      </c>
      <c r="Q344" s="449">
        <v>4.2</v>
      </c>
      <c r="R344" s="449">
        <v>4</v>
      </c>
      <c r="S344" s="449">
        <v>4.4000000000000004</v>
      </c>
      <c r="T344" s="449">
        <v>3.7</v>
      </c>
      <c r="U344" s="449">
        <v>3.8</v>
      </c>
      <c r="V344" s="449">
        <v>3.8</v>
      </c>
      <c r="W344" s="449">
        <v>4</v>
      </c>
      <c r="X344" s="449">
        <v>3.6</v>
      </c>
      <c r="Y344" s="449">
        <v>4.0999999999999996</v>
      </c>
      <c r="Z344" s="449">
        <v>4.2</v>
      </c>
      <c r="AA344" s="449">
        <v>4.5</v>
      </c>
      <c r="AB344" s="449">
        <v>4.2</v>
      </c>
      <c r="AC344" s="458">
        <f>Y344*(1+Drivers!AC95)</f>
        <v>4.5919999999999996</v>
      </c>
      <c r="AD344" s="458">
        <f>Z344*(1+Drivers!AD95)</f>
        <v>4.620000000000001</v>
      </c>
      <c r="AE344" s="458">
        <f>AA344*(1+Drivers!AE95)</f>
        <v>4.9050000000000002</v>
      </c>
      <c r="AF344" s="458">
        <f>AB344*(1+Drivers!AF95)</f>
        <v>4.5360000000000005</v>
      </c>
      <c r="AG344" s="458">
        <f>AC344*(1+Drivers!AG95)</f>
        <v>4.9134399999999996</v>
      </c>
      <c r="AH344" s="458">
        <f>AD344*(1+Drivers!AH95)</f>
        <v>4.8972000000000016</v>
      </c>
      <c r="AI344" s="458">
        <f>AE344*(1+Drivers!AI95)</f>
        <v>5.1993000000000009</v>
      </c>
      <c r="AJ344" s="458"/>
      <c r="AK344" s="458"/>
      <c r="AL344" s="458"/>
      <c r="AM344" s="458"/>
      <c r="AN344" s="458"/>
      <c r="AO344" s="458"/>
      <c r="AP344" s="458"/>
      <c r="AQ344" s="458"/>
      <c r="AR344" s="70"/>
      <c r="AS344" s="334" t="s">
        <v>98</v>
      </c>
      <c r="AT344" s="321"/>
      <c r="AU344" s="232">
        <f>SUM(D344:G344)</f>
        <v>17.100000000000001</v>
      </c>
      <c r="AV344" s="232">
        <f>SUM(H344:K344)</f>
        <v>19.899999999999999</v>
      </c>
      <c r="AW344" s="232">
        <f>SUM(L344:O344)</f>
        <v>19.3</v>
      </c>
      <c r="AX344" s="232">
        <f>SUM(P344:S344)</f>
        <v>16.700000000000003</v>
      </c>
      <c r="AY344" s="232">
        <f>SUM(T344:W344)</f>
        <v>15.3</v>
      </c>
      <c r="AZ344" s="508">
        <f>SUM(X344:AA344)</f>
        <v>16.399999999999999</v>
      </c>
      <c r="BA344" s="508">
        <f>SUM(AB344:AE344)</f>
        <v>18.317</v>
      </c>
      <c r="BB344" s="508">
        <f>SUM(AF344:AI344)</f>
        <v>19.545940000000002</v>
      </c>
      <c r="BC344" s="348">
        <f>BB344*(1+Drivers!BC95)</f>
        <v>20.718696400000002</v>
      </c>
      <c r="BD344" s="348">
        <f>BC344*(1+Drivers!BD95)</f>
        <v>21.961818184000002</v>
      </c>
      <c r="BE344" s="348">
        <f>BD344*(1+Drivers!BE95)</f>
        <v>23.279527275040003</v>
      </c>
      <c r="BM344"/>
      <c r="BN344"/>
      <c r="BO344"/>
      <c r="BP344"/>
      <c r="BQ344"/>
      <c r="BR344"/>
    </row>
    <row r="345" spans="1:74" s="369" customFormat="1" x14ac:dyDescent="0.2">
      <c r="A345" s="411"/>
      <c r="B345" s="334"/>
      <c r="C345" s="321"/>
      <c r="D345" s="465"/>
      <c r="E345" s="465"/>
      <c r="F345" s="465"/>
      <c r="G345" s="465"/>
      <c r="H345" s="465"/>
      <c r="I345" s="465"/>
      <c r="J345" s="465"/>
      <c r="K345" s="465"/>
      <c r="L345" s="465"/>
      <c r="M345" s="465"/>
      <c r="N345" s="465"/>
      <c r="O345" s="465"/>
      <c r="P345" s="465"/>
      <c r="Q345" s="465"/>
      <c r="R345" s="465"/>
      <c r="S345" s="465"/>
      <c r="T345" s="465"/>
      <c r="U345" s="465"/>
      <c r="V345" s="465"/>
      <c r="W345" s="465"/>
      <c r="X345" s="465"/>
      <c r="Y345" s="465"/>
      <c r="Z345" s="465"/>
      <c r="AA345" s="465"/>
      <c r="AB345" s="465"/>
      <c r="AC345" s="321"/>
      <c r="AD345" s="321"/>
      <c r="AE345" s="321"/>
      <c r="AF345" s="321"/>
      <c r="AG345" s="321"/>
      <c r="AH345" s="321"/>
      <c r="AI345" s="321"/>
      <c r="AJ345" s="321"/>
      <c r="AK345" s="321"/>
      <c r="AL345" s="321"/>
      <c r="AM345" s="321"/>
      <c r="AN345" s="321"/>
      <c r="AO345" s="321"/>
      <c r="AP345" s="321"/>
      <c r="AQ345" s="321"/>
      <c r="AR345" s="70"/>
      <c r="AS345" s="334"/>
      <c r="AT345" s="321"/>
      <c r="BM345"/>
      <c r="BN345"/>
      <c r="BO345"/>
      <c r="BP345"/>
      <c r="BQ345"/>
      <c r="BR345"/>
    </row>
    <row r="346" spans="1:74" s="369" customFormat="1" x14ac:dyDescent="0.2">
      <c r="A346" s="411"/>
      <c r="B346" s="337" t="s">
        <v>508</v>
      </c>
      <c r="C346" s="367"/>
      <c r="D346" s="509"/>
      <c r="E346" s="509"/>
      <c r="F346" s="509"/>
      <c r="G346" s="509"/>
      <c r="H346" s="509"/>
      <c r="I346" s="509"/>
      <c r="J346" s="509"/>
      <c r="K346" s="509"/>
      <c r="L346" s="509"/>
      <c r="M346" s="509"/>
      <c r="N346" s="509"/>
      <c r="O346" s="509"/>
      <c r="P346" s="509"/>
      <c r="Q346" s="509"/>
      <c r="R346" s="509"/>
      <c r="S346" s="509"/>
      <c r="T346" s="509"/>
      <c r="U346" s="509"/>
      <c r="V346" s="509"/>
      <c r="W346" s="509"/>
      <c r="X346" s="509"/>
      <c r="Y346" s="509"/>
      <c r="Z346" s="509"/>
      <c r="AA346" s="509"/>
      <c r="AB346" s="509"/>
      <c r="AC346" s="367"/>
      <c r="AD346" s="367"/>
      <c r="AE346" s="367"/>
      <c r="AF346" s="367"/>
      <c r="AG346" s="367"/>
      <c r="AH346" s="367"/>
      <c r="AI346" s="367"/>
      <c r="AJ346" s="367"/>
      <c r="AK346" s="367"/>
      <c r="AL346" s="367"/>
      <c r="AM346" s="367"/>
      <c r="AN346" s="367"/>
      <c r="AO346" s="367"/>
      <c r="AP346" s="367"/>
      <c r="AQ346" s="367"/>
      <c r="AR346" s="70"/>
      <c r="AS346" s="337" t="s">
        <v>508</v>
      </c>
      <c r="AT346" s="367"/>
      <c r="AU346" s="12"/>
      <c r="AV346" s="12"/>
      <c r="AW346" s="12"/>
      <c r="AX346" s="12"/>
      <c r="AY346" s="12"/>
      <c r="AZ346" s="12"/>
      <c r="BA346" s="12"/>
      <c r="BB346" s="12"/>
      <c r="BC346" s="12"/>
      <c r="BD346" s="12"/>
      <c r="BE346" s="12"/>
      <c r="BM346"/>
      <c r="BN346"/>
      <c r="BO346"/>
      <c r="BP346"/>
      <c r="BQ346"/>
      <c r="BR346"/>
    </row>
    <row r="347" spans="1:74" s="369" customFormat="1" x14ac:dyDescent="0.2">
      <c r="A347" s="411"/>
      <c r="B347" s="334" t="s">
        <v>223</v>
      </c>
      <c r="C347" s="321"/>
      <c r="D347" s="510">
        <v>313</v>
      </c>
      <c r="E347" s="510">
        <v>307</v>
      </c>
      <c r="F347" s="510">
        <v>315</v>
      </c>
      <c r="G347" s="510">
        <v>356</v>
      </c>
      <c r="H347" s="510">
        <v>332</v>
      </c>
      <c r="I347" s="510">
        <v>356</v>
      </c>
      <c r="J347" s="510">
        <v>363</v>
      </c>
      <c r="K347" s="510">
        <v>385</v>
      </c>
      <c r="L347" s="510">
        <v>317</v>
      </c>
      <c r="M347" s="510">
        <v>334</v>
      </c>
      <c r="N347" s="510">
        <v>355</v>
      </c>
      <c r="O347" s="510">
        <v>359</v>
      </c>
      <c r="P347" s="510">
        <v>254</v>
      </c>
      <c r="Q347" s="510">
        <v>283</v>
      </c>
      <c r="R347" s="510">
        <v>282</v>
      </c>
      <c r="S347" s="510">
        <v>279</v>
      </c>
      <c r="T347" s="495">
        <v>229</v>
      </c>
      <c r="U347" s="495">
        <v>260</v>
      </c>
      <c r="V347" s="495">
        <v>242</v>
      </c>
      <c r="W347" s="495">
        <v>245</v>
      </c>
      <c r="X347" s="495">
        <v>201</v>
      </c>
      <c r="Y347" s="495">
        <v>245</v>
      </c>
      <c r="Z347" s="495">
        <v>249</v>
      </c>
      <c r="AA347" s="495">
        <v>253</v>
      </c>
      <c r="AB347" s="495">
        <v>240</v>
      </c>
      <c r="AC347" s="321"/>
      <c r="AD347" s="321"/>
      <c r="AE347" s="321"/>
      <c r="AF347" s="321"/>
      <c r="AG347" s="321"/>
      <c r="AH347" s="321"/>
      <c r="AI347" s="321"/>
      <c r="AJ347" s="321"/>
      <c r="AK347" s="321"/>
      <c r="AL347" s="321"/>
      <c r="AM347" s="321"/>
      <c r="AN347" s="321"/>
      <c r="AO347" s="321"/>
      <c r="AP347" s="321"/>
      <c r="AQ347" s="321"/>
      <c r="AR347" s="70"/>
      <c r="AS347" s="334" t="s">
        <v>223</v>
      </c>
      <c r="AT347" s="321"/>
      <c r="AU347" s="232">
        <f>SUM(D347:G347)</f>
        <v>1291</v>
      </c>
      <c r="AV347" s="232">
        <f>SUM(H347:K347)</f>
        <v>1436</v>
      </c>
      <c r="AW347" s="232">
        <f>SUM(L347:O347)</f>
        <v>1365</v>
      </c>
      <c r="AX347" s="232">
        <f>SUM(P347:S347)</f>
        <v>1098</v>
      </c>
      <c r="AY347" s="232">
        <f>SUM(T347:W347)</f>
        <v>976</v>
      </c>
      <c r="AZ347" s="351" t="s">
        <v>226</v>
      </c>
      <c r="BA347" s="351" t="s">
        <v>226</v>
      </c>
      <c r="BB347" s="351" t="s">
        <v>226</v>
      </c>
      <c r="BC347" s="351" t="s">
        <v>226</v>
      </c>
      <c r="BD347" s="351" t="s">
        <v>226</v>
      </c>
      <c r="BE347" s="351" t="s">
        <v>226</v>
      </c>
      <c r="BM347"/>
      <c r="BN347"/>
      <c r="BO347"/>
      <c r="BP347"/>
      <c r="BQ347"/>
      <c r="BR347"/>
    </row>
    <row r="348" spans="1:74" s="369" customFormat="1" x14ac:dyDescent="0.2">
      <c r="A348" s="411"/>
      <c r="B348" s="334"/>
      <c r="C348" s="334" t="s">
        <v>105</v>
      </c>
      <c r="D348" s="384">
        <v>0.21340000000000001</v>
      </c>
      <c r="E348" s="384">
        <v>0.21659999999999999</v>
      </c>
      <c r="F348" s="384">
        <v>0.2054</v>
      </c>
      <c r="G348" s="384">
        <v>0.2213</v>
      </c>
      <c r="H348" s="384">
        <v>0.19800000000000001</v>
      </c>
      <c r="I348" s="384">
        <v>0.20399999999999999</v>
      </c>
      <c r="J348" s="384">
        <v>0.20569999999999999</v>
      </c>
      <c r="K348" s="384">
        <v>0.2064</v>
      </c>
      <c r="L348" s="384">
        <v>0.17860000000000001</v>
      </c>
      <c r="M348" s="384">
        <v>0.18099999999999999</v>
      </c>
      <c r="N348" s="384">
        <v>0.19289999999999999</v>
      </c>
      <c r="O348" s="384">
        <v>0.2006</v>
      </c>
      <c r="P348" s="384">
        <v>0.161</v>
      </c>
      <c r="Q348" s="384">
        <v>0.18609999999999999</v>
      </c>
      <c r="R348" s="384">
        <v>0.19980000000000001</v>
      </c>
      <c r="S348" s="384">
        <v>0.20130000000000001</v>
      </c>
      <c r="T348" s="480">
        <v>0.17710000000000001</v>
      </c>
      <c r="U348" s="480">
        <v>0.20499999999999999</v>
      </c>
      <c r="V348" s="480">
        <v>0.1888</v>
      </c>
      <c r="W348" s="480">
        <v>0.19489999999999999</v>
      </c>
      <c r="X348" s="480">
        <v>0.16980000000000001</v>
      </c>
      <c r="Y348" s="480">
        <v>0.18540000000000001</v>
      </c>
      <c r="Z348" s="480">
        <v>0.1764</v>
      </c>
      <c r="AA348" s="480">
        <v>0.18590000000000001</v>
      </c>
      <c r="AB348" s="480">
        <v>0.17380000000000001</v>
      </c>
      <c r="AC348" s="321"/>
      <c r="AD348" s="321"/>
      <c r="AE348" s="321"/>
      <c r="AF348" s="321"/>
      <c r="AG348" s="321"/>
      <c r="AH348" s="321"/>
      <c r="AI348" s="321"/>
      <c r="AJ348" s="321"/>
      <c r="AK348" s="321"/>
      <c r="AL348" s="321"/>
      <c r="AM348" s="321"/>
      <c r="AN348" s="321"/>
      <c r="AO348" s="321"/>
      <c r="AP348" s="321"/>
      <c r="AQ348" s="321"/>
      <c r="AR348" s="70"/>
      <c r="AS348" s="334"/>
      <c r="AT348" s="334" t="s">
        <v>105</v>
      </c>
      <c r="AU348" s="380">
        <f>AU347/(AU327*1000)/AU1</f>
        <v>0.21427385892116182</v>
      </c>
      <c r="AV348" s="380">
        <f>AV347/(AV327*1000)/AV1</f>
        <v>0.20368794326241133</v>
      </c>
      <c r="AW348" s="380">
        <f>AW347/(AW327*1000)/AW1</f>
        <v>0.18827586206896552</v>
      </c>
      <c r="AX348" s="380">
        <f>AX347/(AX327*1000)/AX1</f>
        <v>0.18610169491525425</v>
      </c>
      <c r="AY348" s="380">
        <f>AY347/(AY327*1000)/AY1</f>
        <v>0.19137254901960785</v>
      </c>
      <c r="BM348"/>
      <c r="BN348"/>
      <c r="BO348"/>
      <c r="BP348"/>
      <c r="BQ348"/>
      <c r="BR348"/>
    </row>
    <row r="349" spans="1:74" x14ac:dyDescent="0.2">
      <c r="B349" s="321"/>
      <c r="C349" s="319"/>
      <c r="AB349" s="1785"/>
      <c r="AS349" s="321"/>
      <c r="AT349" s="319"/>
    </row>
    <row r="350" spans="1:74" x14ac:dyDescent="0.2">
      <c r="A350" s="829"/>
      <c r="B350" s="16"/>
      <c r="C350" s="16"/>
      <c r="AB350" s="1785"/>
      <c r="AS350" s="16"/>
      <c r="AT350" s="16"/>
    </row>
    <row r="351" spans="1:74" x14ac:dyDescent="0.2">
      <c r="A351" s="411" t="s">
        <v>194</v>
      </c>
      <c r="B351" s="166" t="s">
        <v>230</v>
      </c>
      <c r="C351" s="166"/>
      <c r="D351" s="167"/>
      <c r="E351" s="167"/>
      <c r="F351" s="167"/>
      <c r="G351" s="167"/>
      <c r="H351" s="167"/>
      <c r="I351" s="167"/>
      <c r="J351" s="167"/>
      <c r="K351" s="167"/>
      <c r="L351" s="167"/>
      <c r="M351" s="167"/>
      <c r="N351" s="167"/>
      <c r="O351" s="167"/>
      <c r="P351" s="167"/>
      <c r="Q351" s="167"/>
      <c r="R351" s="167"/>
      <c r="S351" s="167"/>
      <c r="T351" s="167"/>
      <c r="U351" s="167"/>
      <c r="V351" s="167"/>
      <c r="W351" s="167"/>
      <c r="X351" s="167"/>
      <c r="Y351" s="167"/>
      <c r="Z351" s="167"/>
      <c r="AA351" s="167"/>
      <c r="AB351" s="167"/>
      <c r="AC351" s="167"/>
      <c r="AD351" s="167"/>
      <c r="AE351" s="167"/>
      <c r="AF351" s="167"/>
      <c r="AG351" s="167"/>
      <c r="AH351" s="167"/>
      <c r="AI351" s="167"/>
      <c r="AJ351" s="167"/>
      <c r="AK351" s="167"/>
      <c r="AL351" s="167"/>
      <c r="AM351" s="167"/>
      <c r="AN351" s="167"/>
      <c r="AO351" s="167"/>
      <c r="AP351" s="167"/>
      <c r="AQ351" s="167"/>
      <c r="AS351" s="166" t="s">
        <v>230</v>
      </c>
      <c r="AT351" s="166"/>
      <c r="AU351" s="167"/>
      <c r="AV351" s="167"/>
      <c r="AW351" s="167"/>
      <c r="AX351" s="167"/>
      <c r="AY351" s="167"/>
      <c r="AZ351" s="167"/>
      <c r="BA351" s="167"/>
      <c r="BB351" s="167"/>
      <c r="BC351" s="167"/>
      <c r="BD351" s="167"/>
      <c r="BE351" s="167"/>
      <c r="BF351" s="15"/>
      <c r="BG351" s="15"/>
      <c r="BH351" s="15"/>
      <c r="BI351" s="15"/>
      <c r="BJ351" s="15"/>
      <c r="BK351" s="15"/>
      <c r="BL351" s="15"/>
      <c r="BS351" s="15"/>
      <c r="BT351" s="15"/>
      <c r="BU351" s="15"/>
      <c r="BV351" s="15"/>
    </row>
    <row r="352" spans="1:74" x14ac:dyDescent="0.2">
      <c r="B352" s="16"/>
      <c r="C352" s="16"/>
      <c r="D352" s="15"/>
      <c r="E352" s="15"/>
      <c r="F352" s="15"/>
      <c r="G352" s="15"/>
      <c r="H352" s="15"/>
      <c r="I352" s="15"/>
      <c r="J352" s="15"/>
      <c r="K352" s="15"/>
      <c r="L352" s="15"/>
      <c r="M352" s="15"/>
      <c r="N352" s="15"/>
      <c r="O352" s="15"/>
      <c r="P352" s="15"/>
      <c r="Q352" s="15"/>
      <c r="R352" s="15"/>
      <c r="S352" s="15"/>
      <c r="T352" s="15"/>
      <c r="U352" s="15"/>
      <c r="V352" s="15"/>
      <c r="W352" s="15"/>
      <c r="X352" s="15"/>
      <c r="Y352" s="15"/>
      <c r="Z352" s="15"/>
      <c r="AA352" s="15"/>
      <c r="AB352" s="15"/>
      <c r="AC352" s="15"/>
      <c r="AD352" s="15"/>
      <c r="AE352" s="15"/>
      <c r="AF352" s="15"/>
      <c r="AG352" s="15"/>
      <c r="AH352" s="15"/>
      <c r="AI352" s="15"/>
      <c r="AJ352" s="15"/>
      <c r="AK352" s="15"/>
      <c r="AL352" s="15"/>
      <c r="AM352" s="15"/>
      <c r="AN352" s="15"/>
      <c r="AO352" s="15"/>
      <c r="AP352" s="15"/>
      <c r="AQ352" s="15"/>
      <c r="AS352" s="16"/>
      <c r="AT352" s="16"/>
    </row>
    <row r="353" spans="1:70" x14ac:dyDescent="0.2">
      <c r="B353" s="315" t="s">
        <v>642</v>
      </c>
      <c r="C353" s="321"/>
      <c r="D353" s="379">
        <v>1383</v>
      </c>
      <c r="E353" s="379">
        <v>1343</v>
      </c>
      <c r="F353" s="379">
        <v>1333</v>
      </c>
      <c r="G353" s="379">
        <v>1346</v>
      </c>
      <c r="H353" s="379">
        <v>1307</v>
      </c>
      <c r="I353" s="379">
        <v>1273</v>
      </c>
      <c r="J353" s="379">
        <v>1240</v>
      </c>
      <c r="K353" s="379">
        <v>1271</v>
      </c>
      <c r="L353" s="379">
        <v>1230</v>
      </c>
      <c r="M353" s="379">
        <v>1271</v>
      </c>
      <c r="N353" s="379">
        <v>1264</v>
      </c>
      <c r="O353" s="379">
        <v>1204</v>
      </c>
      <c r="P353" s="379">
        <v>1134</v>
      </c>
      <c r="Q353" s="379">
        <v>1156</v>
      </c>
      <c r="R353" s="379">
        <v>1107</v>
      </c>
      <c r="S353" s="379">
        <v>1097</v>
      </c>
      <c r="T353" s="440">
        <v>1101</v>
      </c>
      <c r="U353" s="440">
        <v>1116</v>
      </c>
      <c r="V353" s="440">
        <v>1136</v>
      </c>
      <c r="W353" s="440">
        <v>1110</v>
      </c>
      <c r="X353" s="440">
        <v>1114</v>
      </c>
      <c r="Y353" s="440">
        <v>1161</v>
      </c>
      <c r="Z353" s="440">
        <v>1208</v>
      </c>
      <c r="AA353" s="440">
        <v>1219</v>
      </c>
      <c r="AB353" s="440">
        <v>1233</v>
      </c>
      <c r="AC353" s="34">
        <f t="shared" ref="AC353:AE353" si="808">AC376</f>
        <v>1271.4401326027396</v>
      </c>
      <c r="AD353" s="34">
        <f t="shared" si="808"/>
        <v>1309.9741313150685</v>
      </c>
      <c r="AE353" s="34">
        <f t="shared" si="808"/>
        <v>1336.1736139413701</v>
      </c>
      <c r="AF353" s="34">
        <f t="shared" ref="AF353:AI353" si="809">AF376</f>
        <v>1324.4505786552081</v>
      </c>
      <c r="AG353" s="34">
        <f t="shared" si="809"/>
        <v>1353.8867230852493</v>
      </c>
      <c r="AH353" s="34">
        <f t="shared" si="809"/>
        <v>1393.9952607156185</v>
      </c>
      <c r="AI353" s="34">
        <f t="shared" si="809"/>
        <v>1426.227981565168</v>
      </c>
      <c r="AJ353" s="34"/>
      <c r="AK353" s="34"/>
      <c r="AL353" s="34"/>
      <c r="AM353" s="34"/>
      <c r="AN353" s="34"/>
      <c r="AO353" s="34"/>
      <c r="AP353" s="34"/>
      <c r="AQ353" s="34"/>
      <c r="AS353" s="315" t="s">
        <v>209</v>
      </c>
      <c r="AT353" s="321"/>
      <c r="AU353" s="232">
        <f>SUM(D353:G353)</f>
        <v>5405</v>
      </c>
      <c r="AV353" s="232">
        <f>SUM(H353:K353)</f>
        <v>5091</v>
      </c>
      <c r="AW353" s="232">
        <f>SUM(L353:O353)</f>
        <v>4969</v>
      </c>
      <c r="AX353" s="232">
        <f>SUM(P353:S353)</f>
        <v>4494</v>
      </c>
      <c r="AY353" s="232">
        <f>SUM(T353:W353)</f>
        <v>4463</v>
      </c>
      <c r="AZ353" s="232">
        <f>SUM(X353:AA353)</f>
        <v>4702</v>
      </c>
      <c r="BA353" s="232">
        <f>SUM(AB353:AE353)</f>
        <v>5150.5878778591778</v>
      </c>
      <c r="BB353" s="232">
        <f>SUM(AF353:AI353)</f>
        <v>5498.5605440212439</v>
      </c>
      <c r="BC353" s="34">
        <f>BC376</f>
        <v>5798.1694573758086</v>
      </c>
      <c r="BD353" s="34">
        <f>BD376</f>
        <v>6140.5966179493462</v>
      </c>
      <c r="BE353" s="34">
        <f>BE376</f>
        <v>6502.7710709367975</v>
      </c>
    </row>
    <row r="354" spans="1:70" x14ac:dyDescent="0.2">
      <c r="B354" s="375" t="s">
        <v>206</v>
      </c>
      <c r="C354" s="376"/>
      <c r="D354" s="511">
        <v>632</v>
      </c>
      <c r="E354" s="511">
        <v>620</v>
      </c>
      <c r="F354" s="511">
        <v>673</v>
      </c>
      <c r="G354" s="511">
        <v>680</v>
      </c>
      <c r="H354" s="511">
        <v>701</v>
      </c>
      <c r="I354" s="511">
        <v>743</v>
      </c>
      <c r="J354" s="511">
        <v>673</v>
      </c>
      <c r="K354" s="511">
        <v>631</v>
      </c>
      <c r="L354" s="511">
        <v>716</v>
      </c>
      <c r="M354" s="511">
        <v>727</v>
      </c>
      <c r="N354" s="511">
        <v>744</v>
      </c>
      <c r="O354" s="511">
        <v>635</v>
      </c>
      <c r="P354" s="511">
        <v>676</v>
      </c>
      <c r="Q354" s="511">
        <v>704</v>
      </c>
      <c r="R354" s="511">
        <v>591</v>
      </c>
      <c r="S354" s="511">
        <v>549</v>
      </c>
      <c r="T354" s="489">
        <v>554</v>
      </c>
      <c r="U354" s="489">
        <v>613</v>
      </c>
      <c r="V354" s="489">
        <v>622</v>
      </c>
      <c r="W354" s="489">
        <v>586</v>
      </c>
      <c r="X354" s="489">
        <v>620</v>
      </c>
      <c r="Y354" s="489">
        <v>658</v>
      </c>
      <c r="Z354" s="489">
        <v>677</v>
      </c>
      <c r="AA354" s="489">
        <v>689</v>
      </c>
      <c r="AB354" s="489">
        <v>696</v>
      </c>
      <c r="AC354" s="41">
        <f t="shared" ref="AC354:AE354" si="810">AC381</f>
        <v>720.18389041095884</v>
      </c>
      <c r="AD354" s="41">
        <f t="shared" si="810"/>
        <v>735.30941205479462</v>
      </c>
      <c r="AE354" s="41">
        <f t="shared" si="810"/>
        <v>743.09279837095892</v>
      </c>
      <c r="AF354" s="41">
        <f t="shared" ref="AF354:AI354" si="811">AF381</f>
        <v>717.29464850841646</v>
      </c>
      <c r="AG354" s="41">
        <f t="shared" si="811"/>
        <v>739.46556280364223</v>
      </c>
      <c r="AH354" s="41">
        <f t="shared" si="811"/>
        <v>789.8375541088177</v>
      </c>
      <c r="AI354" s="41">
        <f t="shared" si="811"/>
        <v>797.79559557237894</v>
      </c>
      <c r="AJ354" s="232"/>
      <c r="AK354" s="232"/>
      <c r="AL354" s="232"/>
      <c r="AM354" s="232"/>
      <c r="AN354" s="232"/>
      <c r="AO354" s="232"/>
      <c r="AP354" s="232"/>
      <c r="AQ354" s="232"/>
      <c r="AS354" s="375" t="s">
        <v>206</v>
      </c>
      <c r="AT354" s="376"/>
      <c r="AU354" s="41">
        <f>SUM(D354:G354)</f>
        <v>2605</v>
      </c>
      <c r="AV354" s="41">
        <f>SUM(H354:K354)</f>
        <v>2748</v>
      </c>
      <c r="AW354" s="41">
        <f>SUM(L354:O354)</f>
        <v>2822</v>
      </c>
      <c r="AX354" s="41">
        <f>SUM(P354:S354)</f>
        <v>2520</v>
      </c>
      <c r="AY354" s="41">
        <f>SUM(T354:W354)</f>
        <v>2375</v>
      </c>
      <c r="AZ354" s="41">
        <f>SUM(X354:AA354)</f>
        <v>2644</v>
      </c>
      <c r="BA354" s="41">
        <f>SUM(AB354:AE354)</f>
        <v>2894.5861008367124</v>
      </c>
      <c r="BB354" s="41">
        <f>SUM(AF354:AI354)</f>
        <v>3044.3933609932556</v>
      </c>
      <c r="BC354" s="41">
        <f>BC381</f>
        <v>3254.18405119723</v>
      </c>
      <c r="BD354" s="41">
        <f>BD381</f>
        <v>3427.4631186990919</v>
      </c>
      <c r="BE354" s="41">
        <f>BE381</f>
        <v>3610.0403314725663</v>
      </c>
    </row>
    <row r="355" spans="1:70" x14ac:dyDescent="0.2">
      <c r="B355" s="316" t="s">
        <v>643</v>
      </c>
      <c r="C355" s="387"/>
      <c r="D355" s="37">
        <f t="shared" ref="D355:AE355" si="812">SUM(D353:D354)</f>
        <v>2015</v>
      </c>
      <c r="E355" s="37">
        <f t="shared" si="812"/>
        <v>1963</v>
      </c>
      <c r="F355" s="37">
        <f t="shared" si="812"/>
        <v>2006</v>
      </c>
      <c r="G355" s="37">
        <f t="shared" si="812"/>
        <v>2026</v>
      </c>
      <c r="H355" s="37">
        <f t="shared" si="812"/>
        <v>2008</v>
      </c>
      <c r="I355" s="37">
        <f t="shared" si="812"/>
        <v>2016</v>
      </c>
      <c r="J355" s="37">
        <f t="shared" si="812"/>
        <v>1913</v>
      </c>
      <c r="K355" s="37">
        <f t="shared" si="812"/>
        <v>1902</v>
      </c>
      <c r="L355" s="37">
        <f t="shared" si="812"/>
        <v>1946</v>
      </c>
      <c r="M355" s="37">
        <f t="shared" si="812"/>
        <v>1998</v>
      </c>
      <c r="N355" s="37">
        <f t="shared" si="812"/>
        <v>2008</v>
      </c>
      <c r="O355" s="37">
        <f t="shared" si="812"/>
        <v>1839</v>
      </c>
      <c r="P355" s="37">
        <f t="shared" si="812"/>
        <v>1810</v>
      </c>
      <c r="Q355" s="37">
        <f t="shared" si="812"/>
        <v>1860</v>
      </c>
      <c r="R355" s="37">
        <f t="shared" si="812"/>
        <v>1698</v>
      </c>
      <c r="S355" s="37">
        <f t="shared" si="812"/>
        <v>1646</v>
      </c>
      <c r="T355" s="37">
        <f t="shared" si="812"/>
        <v>1655</v>
      </c>
      <c r="U355" s="37">
        <f t="shared" si="812"/>
        <v>1729</v>
      </c>
      <c r="V355" s="37">
        <f t="shared" si="812"/>
        <v>1758</v>
      </c>
      <c r="W355" s="37">
        <f t="shared" si="812"/>
        <v>1696</v>
      </c>
      <c r="X355" s="37">
        <f t="shared" si="812"/>
        <v>1734</v>
      </c>
      <c r="Y355" s="37">
        <f t="shared" ref="Y355:Z355" si="813">SUM(Y353:Y354)</f>
        <v>1819</v>
      </c>
      <c r="Z355" s="37">
        <f t="shared" si="813"/>
        <v>1885</v>
      </c>
      <c r="AA355" s="37">
        <f t="shared" ref="AA355:AB355" si="814">SUM(AA353:AA354)</f>
        <v>1908</v>
      </c>
      <c r="AB355" s="37">
        <f t="shared" si="814"/>
        <v>1929</v>
      </c>
      <c r="AC355" s="37">
        <f t="shared" si="812"/>
        <v>1991.6240230136984</v>
      </c>
      <c r="AD355" s="37">
        <f t="shared" si="812"/>
        <v>2045.2835433698631</v>
      </c>
      <c r="AE355" s="37">
        <f t="shared" si="812"/>
        <v>2079.2664123123291</v>
      </c>
      <c r="AF355" s="37">
        <f t="shared" ref="AF355:AI355" si="815">SUM(AF353:AF354)</f>
        <v>2041.7452271636246</v>
      </c>
      <c r="AG355" s="37">
        <f t="shared" si="815"/>
        <v>2093.3522858888914</v>
      </c>
      <c r="AH355" s="37">
        <f t="shared" si="815"/>
        <v>2183.8328148244364</v>
      </c>
      <c r="AI355" s="37">
        <f t="shared" si="815"/>
        <v>2224.0235771375469</v>
      </c>
      <c r="AJ355" s="37"/>
      <c r="AK355" s="37"/>
      <c r="AL355" s="37"/>
      <c r="AM355" s="37"/>
      <c r="AN355" s="37"/>
      <c r="AO355" s="37"/>
      <c r="AP355" s="37"/>
      <c r="AQ355" s="37"/>
      <c r="AS355" s="322" t="s">
        <v>189</v>
      </c>
      <c r="AT355" s="387"/>
      <c r="AU355" s="232">
        <f t="shared" ref="AU355:BD355" si="816">SUM(AU353:AU354)</f>
        <v>8010</v>
      </c>
      <c r="AV355" s="232">
        <f t="shared" si="816"/>
        <v>7839</v>
      </c>
      <c r="AW355" s="232">
        <f t="shared" si="816"/>
        <v>7791</v>
      </c>
      <c r="AX355" s="232">
        <f t="shared" si="816"/>
        <v>7014</v>
      </c>
      <c r="AY355" s="232">
        <f t="shared" si="816"/>
        <v>6838</v>
      </c>
      <c r="AZ355" s="232">
        <f t="shared" si="816"/>
        <v>7346</v>
      </c>
      <c r="BA355" s="232">
        <f t="shared" si="816"/>
        <v>8045.1739786958897</v>
      </c>
      <c r="BB355" s="232">
        <f t="shared" ref="BB355" si="817">SUM(BB353:BB354)</f>
        <v>8542.9539050144995</v>
      </c>
      <c r="BC355" s="37">
        <f t="shared" si="816"/>
        <v>9052.3535085730382</v>
      </c>
      <c r="BD355" s="37">
        <f t="shared" si="816"/>
        <v>9568.059736648438</v>
      </c>
      <c r="BE355" s="37">
        <f t="shared" ref="BE355" si="818">SUM(BE353:BE354)</f>
        <v>10112.811402409363</v>
      </c>
    </row>
    <row r="356" spans="1:70" x14ac:dyDescent="0.2">
      <c r="B356" s="316"/>
      <c r="C356" s="387"/>
      <c r="D356" s="15"/>
      <c r="E356" s="15"/>
      <c r="F356" s="15"/>
      <c r="G356" s="15"/>
      <c r="H356" s="15"/>
      <c r="I356" s="15"/>
      <c r="J356" s="15"/>
      <c r="K356" s="15"/>
      <c r="L356" s="15"/>
      <c r="M356" s="15"/>
      <c r="N356" s="15"/>
      <c r="O356" s="15"/>
      <c r="P356" s="15"/>
      <c r="Q356" s="15"/>
      <c r="R356" s="15"/>
      <c r="S356" s="15"/>
      <c r="T356" s="15"/>
      <c r="U356" s="15"/>
      <c r="V356" s="15"/>
      <c r="W356" s="15"/>
      <c r="X356" s="15"/>
      <c r="Y356" s="15"/>
      <c r="Z356" s="15"/>
      <c r="AA356" s="15"/>
      <c r="AB356" s="15"/>
      <c r="AC356" s="15"/>
      <c r="AD356" s="15"/>
      <c r="AE356" s="15"/>
      <c r="AF356" s="15"/>
      <c r="AG356" s="15"/>
      <c r="AH356" s="15"/>
      <c r="AI356" s="15"/>
      <c r="AJ356" s="15"/>
      <c r="AK356" s="15"/>
      <c r="AL356" s="15"/>
      <c r="AM356" s="15"/>
      <c r="AN356" s="15"/>
      <c r="AO356" s="15"/>
      <c r="AP356" s="15"/>
      <c r="AQ356" s="15"/>
      <c r="AS356" s="316"/>
      <c r="AT356" s="387"/>
      <c r="BC356" s="15"/>
      <c r="BD356" s="15"/>
      <c r="BE356" s="15"/>
    </row>
    <row r="357" spans="1:70" x14ac:dyDescent="0.2">
      <c r="B357" s="322" t="s">
        <v>184</v>
      </c>
      <c r="C357" s="387"/>
      <c r="D357" s="440">
        <v>1275</v>
      </c>
      <c r="E357" s="440">
        <v>1252</v>
      </c>
      <c r="F357" s="440">
        <v>1276</v>
      </c>
      <c r="G357" s="440">
        <v>1399</v>
      </c>
      <c r="H357" s="440">
        <v>1262</v>
      </c>
      <c r="I357" s="440">
        <v>1226</v>
      </c>
      <c r="J357" s="440">
        <v>1203</v>
      </c>
      <c r="K357" s="440">
        <v>1249</v>
      </c>
      <c r="L357" s="440">
        <v>1211</v>
      </c>
      <c r="M357" s="440">
        <v>1499</v>
      </c>
      <c r="N357" s="440">
        <v>1276</v>
      </c>
      <c r="O357" s="440">
        <v>1215</v>
      </c>
      <c r="P357" s="440">
        <v>1167</v>
      </c>
      <c r="Q357" s="440">
        <v>1176</v>
      </c>
      <c r="R357" s="440">
        <v>1118</v>
      </c>
      <c r="S357" s="440">
        <v>1118</v>
      </c>
      <c r="T357" s="440">
        <v>1183</v>
      </c>
      <c r="U357" s="440">
        <v>1146</v>
      </c>
      <c r="V357" s="440">
        <v>1127</v>
      </c>
      <c r="W357" s="440">
        <v>1131</v>
      </c>
      <c r="X357" s="440">
        <v>1187</v>
      </c>
      <c r="Y357" s="440">
        <v>1194</v>
      </c>
      <c r="Z357" s="440">
        <v>1191</v>
      </c>
      <c r="AA357" s="440">
        <v>1227</v>
      </c>
      <c r="AB357" s="440">
        <v>1277</v>
      </c>
      <c r="AC357" s="419">
        <f>AC355*Drivers!AC115</f>
        <v>1294.555614958904</v>
      </c>
      <c r="AD357" s="419">
        <f>AD355*Drivers!AD115</f>
        <v>1298.7550500398631</v>
      </c>
      <c r="AE357" s="419">
        <f>AE355*Drivers!AE115</f>
        <v>1320.334171818329</v>
      </c>
      <c r="AF357" s="419">
        <f>AF355*Drivers!AF115</f>
        <v>1276.0907669772653</v>
      </c>
      <c r="AG357" s="419">
        <f>AG355*Drivers!AG115</f>
        <v>1287.4116558216681</v>
      </c>
      <c r="AH357" s="419">
        <f>AH355*Drivers!AH115</f>
        <v>1332.1380170429061</v>
      </c>
      <c r="AI357" s="419">
        <f>AI355*Drivers!AI115</f>
        <v>1356.6543820539036</v>
      </c>
      <c r="AJ357" s="419"/>
      <c r="AK357" s="419"/>
      <c r="AL357" s="419"/>
      <c r="AM357" s="419"/>
      <c r="AN357" s="419"/>
      <c r="AO357" s="419"/>
      <c r="AP357" s="419"/>
      <c r="AQ357" s="419"/>
      <c r="AS357" s="322" t="s">
        <v>184</v>
      </c>
      <c r="AT357" s="387"/>
      <c r="AU357" s="232">
        <f>SUM(D357:G357)</f>
        <v>5202</v>
      </c>
      <c r="AV357" s="232">
        <f>SUM(H357:K357)</f>
        <v>4940</v>
      </c>
      <c r="AW357" s="232">
        <f>SUM(L357:O357)</f>
        <v>5201</v>
      </c>
      <c r="AX357" s="232">
        <f>SUM(P357:S357)</f>
        <v>4579</v>
      </c>
      <c r="AY357" s="232">
        <f>SUM(T357:W357)</f>
        <v>4587</v>
      </c>
      <c r="AZ357" s="232">
        <f>SUM(X357:AA357)</f>
        <v>4799</v>
      </c>
      <c r="BA357" s="232">
        <f>SUM(AB357:AE357)</f>
        <v>5190.6448368170959</v>
      </c>
      <c r="BB357" s="232">
        <f>SUM(AF357:AI357)</f>
        <v>5252.2948218957426</v>
      </c>
      <c r="BC357" s="419">
        <f>BC355*Drivers!BC115</f>
        <v>5431.4121051438224</v>
      </c>
      <c r="BD357" s="419">
        <f>BD355*Drivers!BD115</f>
        <v>5645.1552446225778</v>
      </c>
      <c r="BE357" s="419">
        <f>BE355*Drivers!BE115</f>
        <v>5865.4306133974305</v>
      </c>
    </row>
    <row r="358" spans="1:70" x14ac:dyDescent="0.2">
      <c r="B358" s="322"/>
      <c r="C358" s="387"/>
      <c r="D358" s="15"/>
      <c r="E358" s="15"/>
      <c r="F358" s="15"/>
      <c r="G358" s="15"/>
      <c r="H358" s="15"/>
      <c r="I358" s="15"/>
      <c r="J358" s="15"/>
      <c r="K358" s="15"/>
      <c r="L358" s="15"/>
      <c r="M358" s="15"/>
      <c r="N358" s="15"/>
      <c r="O358" s="15"/>
      <c r="P358" s="15"/>
      <c r="Q358" s="15"/>
      <c r="R358" s="15"/>
      <c r="S358" s="15"/>
      <c r="T358" s="15"/>
      <c r="U358" s="15"/>
      <c r="V358" s="15"/>
      <c r="W358" s="15"/>
      <c r="X358" s="15"/>
      <c r="Y358" s="15"/>
      <c r="Z358" s="15"/>
      <c r="AA358" s="15"/>
      <c r="AB358" s="15"/>
      <c r="AC358" s="15"/>
      <c r="AD358" s="15"/>
      <c r="AE358" s="15"/>
      <c r="AF358" s="15"/>
      <c r="AG358" s="15"/>
      <c r="AH358" s="15"/>
      <c r="AI358" s="15"/>
      <c r="AJ358" s="15"/>
      <c r="AK358" s="15"/>
      <c r="AL358" s="15"/>
      <c r="AM358" s="15"/>
      <c r="AN358" s="15"/>
      <c r="AO358" s="15"/>
      <c r="AP358" s="15"/>
      <c r="AQ358" s="15"/>
      <c r="AS358" s="322"/>
      <c r="AT358" s="387"/>
      <c r="BC358" s="15"/>
      <c r="BD358" s="15"/>
      <c r="BE358" s="15"/>
    </row>
    <row r="359" spans="1:70" x14ac:dyDescent="0.2">
      <c r="B359" s="322" t="s">
        <v>190</v>
      </c>
      <c r="C359" s="387"/>
      <c r="D359" s="440">
        <v>172</v>
      </c>
      <c r="E359" s="440">
        <v>147</v>
      </c>
      <c r="F359" s="440">
        <v>186</v>
      </c>
      <c r="G359" s="440">
        <v>251</v>
      </c>
      <c r="H359" s="440">
        <v>217</v>
      </c>
      <c r="I359" s="440">
        <v>203</v>
      </c>
      <c r="J359" s="440">
        <v>183</v>
      </c>
      <c r="K359" s="440">
        <v>212</v>
      </c>
      <c r="L359" s="440">
        <v>198</v>
      </c>
      <c r="M359" s="440">
        <v>194</v>
      </c>
      <c r="N359" s="440">
        <v>177</v>
      </c>
      <c r="O359" s="440">
        <v>200</v>
      </c>
      <c r="P359" s="440">
        <v>133</v>
      </c>
      <c r="Q359" s="440">
        <v>177</v>
      </c>
      <c r="R359" s="440">
        <v>114</v>
      </c>
      <c r="S359" s="440">
        <v>206</v>
      </c>
      <c r="T359" s="440">
        <v>149</v>
      </c>
      <c r="U359" s="440">
        <v>136</v>
      </c>
      <c r="V359" s="440">
        <v>161</v>
      </c>
      <c r="W359" s="440">
        <v>173</v>
      </c>
      <c r="X359" s="440">
        <v>172</v>
      </c>
      <c r="Y359" s="440">
        <v>129</v>
      </c>
      <c r="Z359" s="440">
        <v>148</v>
      </c>
      <c r="AA359" s="440">
        <v>166</v>
      </c>
      <c r="AB359" s="440">
        <v>143</v>
      </c>
      <c r="AC359" s="34">
        <f t="shared" ref="AC359:AE360" si="819">AC1213</f>
        <v>174.45021616438356</v>
      </c>
      <c r="AD359" s="34">
        <f t="shared" si="819"/>
        <v>183.94443200000003</v>
      </c>
      <c r="AE359" s="34">
        <f t="shared" si="819"/>
        <v>200.91758948945755</v>
      </c>
      <c r="AF359" s="34">
        <f t="shared" ref="AF359:AI359" si="820">AF1213</f>
        <v>201.96054579136685</v>
      </c>
      <c r="AG359" s="34">
        <f t="shared" si="820"/>
        <v>216.42461137723419</v>
      </c>
      <c r="AH359" s="34">
        <f t="shared" si="820"/>
        <v>234.92377411884024</v>
      </c>
      <c r="AI359" s="34">
        <f t="shared" si="820"/>
        <v>252.22643045847317</v>
      </c>
      <c r="AJ359" s="34"/>
      <c r="AK359" s="34"/>
      <c r="AL359" s="34"/>
      <c r="AM359" s="34"/>
      <c r="AN359" s="34"/>
      <c r="AO359" s="34"/>
      <c r="AP359" s="34"/>
      <c r="AQ359" s="34"/>
      <c r="AS359" s="322" t="s">
        <v>190</v>
      </c>
      <c r="AT359" s="387"/>
      <c r="AU359" s="232">
        <f>SUM(D359:G359)</f>
        <v>756</v>
      </c>
      <c r="AV359" s="232">
        <f>SUM(H359:K359)</f>
        <v>815</v>
      </c>
      <c r="AW359" s="232">
        <f>SUM(L359:O359)</f>
        <v>769</v>
      </c>
      <c r="AX359" s="232">
        <f>SUM(P359:S359)</f>
        <v>630</v>
      </c>
      <c r="AY359" s="232">
        <f>SUM(T359:W359)</f>
        <v>619</v>
      </c>
      <c r="AZ359" s="232">
        <f>SUM(X359:AA359)</f>
        <v>615</v>
      </c>
      <c r="BA359" s="232">
        <f>SUM(AB359:AE359)</f>
        <v>702.31223765384118</v>
      </c>
      <c r="BB359" s="232">
        <f>SUM(AF359:AI359)</f>
        <v>905.53536174591443</v>
      </c>
      <c r="BC359" s="34">
        <f t="shared" ref="BC359:BD360" si="821">BC1213</f>
        <v>1053.1065374210971</v>
      </c>
      <c r="BD359" s="34">
        <f t="shared" si="821"/>
        <v>1176.2428462556086</v>
      </c>
      <c r="BE359" s="34">
        <f t="shared" ref="BE359" si="822">BE1213</f>
        <v>1356.3731571663534</v>
      </c>
    </row>
    <row r="360" spans="1:70" x14ac:dyDescent="0.2">
      <c r="B360" s="322"/>
      <c r="C360" s="322" t="s">
        <v>193</v>
      </c>
      <c r="D360" s="440">
        <v>196</v>
      </c>
      <c r="E360" s="440">
        <v>178</v>
      </c>
      <c r="F360" s="440">
        <v>208</v>
      </c>
      <c r="G360" s="440">
        <v>225</v>
      </c>
      <c r="H360" s="440">
        <v>203</v>
      </c>
      <c r="I360" s="440">
        <v>172</v>
      </c>
      <c r="J360" s="440">
        <v>191</v>
      </c>
      <c r="K360" s="440">
        <v>196</v>
      </c>
      <c r="L360" s="440">
        <v>196</v>
      </c>
      <c r="M360" s="440">
        <v>212</v>
      </c>
      <c r="N360" s="440">
        <v>198</v>
      </c>
      <c r="O360" s="440">
        <v>189</v>
      </c>
      <c r="P360" s="440">
        <v>173</v>
      </c>
      <c r="Q360" s="440">
        <v>189</v>
      </c>
      <c r="R360" s="440">
        <v>175</v>
      </c>
      <c r="S360" s="440">
        <v>184</v>
      </c>
      <c r="T360" s="440">
        <v>160</v>
      </c>
      <c r="U360" s="440">
        <v>160</v>
      </c>
      <c r="V360" s="440">
        <v>168</v>
      </c>
      <c r="W360" s="440">
        <v>163</v>
      </c>
      <c r="X360" s="440">
        <v>160</v>
      </c>
      <c r="Y360" s="440">
        <v>157</v>
      </c>
      <c r="Z360" s="440">
        <v>170</v>
      </c>
      <c r="AA360" s="440">
        <v>162</v>
      </c>
      <c r="AB360" s="440">
        <v>162</v>
      </c>
      <c r="AC360" s="34">
        <f t="shared" si="819"/>
        <v>174.45021616438356</v>
      </c>
      <c r="AD360" s="34">
        <f t="shared" si="819"/>
        <v>183.94443200000003</v>
      </c>
      <c r="AE360" s="34">
        <f t="shared" si="819"/>
        <v>191.35008522805481</v>
      </c>
      <c r="AF360" s="34">
        <f t="shared" ref="AF360:AI360" si="823">AF1214</f>
        <v>192.3433769441589</v>
      </c>
      <c r="AG360" s="34">
        <f t="shared" si="823"/>
        <v>196.74964670657653</v>
      </c>
      <c r="AH360" s="34">
        <f t="shared" si="823"/>
        <v>213.56706738076383</v>
      </c>
      <c r="AI360" s="34">
        <f t="shared" si="823"/>
        <v>229.29675496224831</v>
      </c>
      <c r="AJ360" s="34"/>
      <c r="AK360" s="34"/>
      <c r="AL360" s="34"/>
      <c r="AM360" s="34"/>
      <c r="AN360" s="34"/>
      <c r="AO360" s="34"/>
      <c r="AP360" s="34"/>
      <c r="AQ360" s="34"/>
      <c r="AS360" s="322"/>
      <c r="AT360" s="322" t="s">
        <v>193</v>
      </c>
      <c r="AU360" s="232">
        <f>SUM(D360:G360)</f>
        <v>807</v>
      </c>
      <c r="AV360" s="232">
        <f>SUM(H360:K360)</f>
        <v>762</v>
      </c>
      <c r="AW360" s="232">
        <f>SUM(L360:O360)</f>
        <v>795</v>
      </c>
      <c r="AX360" s="232">
        <f>SUM(P360:S360)</f>
        <v>721</v>
      </c>
      <c r="AY360" s="232">
        <f>SUM(T360:W360)</f>
        <v>651</v>
      </c>
      <c r="AZ360" s="232">
        <f>SUM(X360:AA360)</f>
        <v>649</v>
      </c>
      <c r="BA360" s="232">
        <f>SUM(AB360:AE360)</f>
        <v>711.74473339243843</v>
      </c>
      <c r="BB360" s="232">
        <f>SUM(AF360:AI360)</f>
        <v>831.95684599374749</v>
      </c>
      <c r="BC360" s="34">
        <f t="shared" si="821"/>
        <v>957.36957947372457</v>
      </c>
      <c r="BD360" s="34">
        <f t="shared" si="821"/>
        <v>1069.3116784141896</v>
      </c>
      <c r="BE360" s="34">
        <f t="shared" ref="BE360" si="824">BE1214</f>
        <v>1233.0665065148667</v>
      </c>
    </row>
    <row r="361" spans="1:70" x14ac:dyDescent="0.2">
      <c r="B361" s="322"/>
      <c r="C361" s="322" t="s">
        <v>192</v>
      </c>
      <c r="D361" s="493">
        <f t="shared" ref="D361:AE361" si="825">D359-D360</f>
        <v>-24</v>
      </c>
      <c r="E361" s="493">
        <f t="shared" si="825"/>
        <v>-31</v>
      </c>
      <c r="F361" s="493">
        <f t="shared" si="825"/>
        <v>-22</v>
      </c>
      <c r="G361" s="493">
        <f t="shared" si="825"/>
        <v>26</v>
      </c>
      <c r="H361" s="493">
        <f t="shared" si="825"/>
        <v>14</v>
      </c>
      <c r="I361" s="493">
        <f t="shared" si="825"/>
        <v>31</v>
      </c>
      <c r="J361" s="493">
        <f t="shared" si="825"/>
        <v>-8</v>
      </c>
      <c r="K361" s="493">
        <f t="shared" si="825"/>
        <v>16</v>
      </c>
      <c r="L361" s="493">
        <f t="shared" si="825"/>
        <v>2</v>
      </c>
      <c r="M361" s="493">
        <f t="shared" si="825"/>
        <v>-18</v>
      </c>
      <c r="N361" s="493">
        <f t="shared" si="825"/>
        <v>-21</v>
      </c>
      <c r="O361" s="493">
        <f t="shared" si="825"/>
        <v>11</v>
      </c>
      <c r="P361" s="493">
        <f t="shared" si="825"/>
        <v>-40</v>
      </c>
      <c r="Q361" s="493">
        <f t="shared" si="825"/>
        <v>-12</v>
      </c>
      <c r="R361" s="493">
        <f t="shared" si="825"/>
        <v>-61</v>
      </c>
      <c r="S361" s="493">
        <f t="shared" si="825"/>
        <v>22</v>
      </c>
      <c r="T361" s="493">
        <f t="shared" si="825"/>
        <v>-11</v>
      </c>
      <c r="U361" s="493">
        <f t="shared" si="825"/>
        <v>-24</v>
      </c>
      <c r="V361" s="493">
        <f t="shared" si="825"/>
        <v>-7</v>
      </c>
      <c r="W361" s="493">
        <f t="shared" si="825"/>
        <v>10</v>
      </c>
      <c r="X361" s="493">
        <f t="shared" si="825"/>
        <v>12</v>
      </c>
      <c r="Y361" s="493">
        <f t="shared" ref="Y361:Z361" si="826">Y359-Y360</f>
        <v>-28</v>
      </c>
      <c r="Z361" s="493">
        <f t="shared" si="826"/>
        <v>-22</v>
      </c>
      <c r="AA361" s="493">
        <f t="shared" ref="AA361:AB361" si="827">AA359-AA360</f>
        <v>4</v>
      </c>
      <c r="AB361" s="493">
        <f t="shared" si="827"/>
        <v>-19</v>
      </c>
      <c r="AC361" s="493">
        <f t="shared" si="825"/>
        <v>0</v>
      </c>
      <c r="AD361" s="493">
        <f t="shared" si="825"/>
        <v>0</v>
      </c>
      <c r="AE361" s="493">
        <f t="shared" si="825"/>
        <v>9.5675042614027461</v>
      </c>
      <c r="AF361" s="493">
        <f t="shared" ref="AF361:AI361" si="828">AF359-AF360</f>
        <v>9.6171688472079495</v>
      </c>
      <c r="AG361" s="493">
        <f t="shared" si="828"/>
        <v>19.674964670657658</v>
      </c>
      <c r="AH361" s="493">
        <f t="shared" si="828"/>
        <v>21.356706738076412</v>
      </c>
      <c r="AI361" s="493">
        <f t="shared" si="828"/>
        <v>22.92967549622486</v>
      </c>
      <c r="AJ361" s="493"/>
      <c r="AK361" s="493"/>
      <c r="AL361" s="493"/>
      <c r="AM361" s="493"/>
      <c r="AN361" s="493"/>
      <c r="AO361" s="493"/>
      <c r="AP361" s="493"/>
      <c r="AQ361" s="493"/>
      <c r="AS361" s="322"/>
      <c r="AT361" s="322" t="s">
        <v>192</v>
      </c>
      <c r="AU361" s="232">
        <f>SUM(D361:G361)</f>
        <v>-51</v>
      </c>
      <c r="AV361" s="232">
        <f>SUM(H361:K361)</f>
        <v>53</v>
      </c>
      <c r="AW361" s="232">
        <f>SUM(L361:O361)</f>
        <v>-26</v>
      </c>
      <c r="AX361" s="232">
        <f>SUM(P361:S361)</f>
        <v>-91</v>
      </c>
      <c r="AY361" s="232">
        <f>SUM(T361:W361)</f>
        <v>-32</v>
      </c>
      <c r="AZ361" s="232">
        <f>SUM(X361:AA361)</f>
        <v>-34</v>
      </c>
      <c r="BA361" s="232">
        <f>SUM(AB361:AE361)</f>
        <v>-9.4324957385972539</v>
      </c>
      <c r="BB361" s="232">
        <f>SUM(AF361:AI361)</f>
        <v>73.578515752166879</v>
      </c>
      <c r="BC361" s="493">
        <f>BC359-BC360</f>
        <v>95.736957947372503</v>
      </c>
      <c r="BD361" s="493">
        <f>BD359-BD360</f>
        <v>106.93116784141898</v>
      </c>
      <c r="BE361" s="493">
        <f>BE359-BE360</f>
        <v>123.30665065148673</v>
      </c>
    </row>
    <row r="362" spans="1:70" x14ac:dyDescent="0.2">
      <c r="B362" s="322"/>
      <c r="C362" s="322"/>
      <c r="D362" s="15"/>
      <c r="E362" s="15"/>
      <c r="F362" s="15"/>
      <c r="G362" s="15"/>
      <c r="H362" s="15"/>
      <c r="I362" s="15"/>
      <c r="J362" s="15"/>
      <c r="K362" s="15"/>
      <c r="L362" s="15"/>
      <c r="M362" s="15"/>
      <c r="N362" s="15"/>
      <c r="O362" s="15"/>
      <c r="P362" s="15"/>
      <c r="Q362" s="15"/>
      <c r="R362" s="15"/>
      <c r="S362" s="15"/>
      <c r="T362" s="15"/>
      <c r="U362" s="15"/>
      <c r="V362" s="15"/>
      <c r="W362" s="15"/>
      <c r="X362" s="15"/>
      <c r="Y362" s="15"/>
      <c r="Z362" s="15"/>
      <c r="AA362" s="15"/>
      <c r="AB362" s="15"/>
      <c r="AC362" s="15"/>
      <c r="AD362" s="15"/>
      <c r="AE362" s="15"/>
      <c r="AF362" s="15"/>
      <c r="AG362" s="15"/>
      <c r="AH362" s="15"/>
      <c r="AI362" s="15"/>
      <c r="AJ362" s="15"/>
      <c r="AK362" s="15"/>
      <c r="AL362" s="15"/>
      <c r="AM362" s="15"/>
      <c r="AN362" s="15"/>
      <c r="AO362" s="15"/>
      <c r="AP362" s="15"/>
      <c r="AQ362" s="15"/>
      <c r="AS362" s="322"/>
      <c r="AT362" s="322"/>
      <c r="BC362" s="15"/>
      <c r="BD362" s="15"/>
      <c r="BE362" s="15"/>
    </row>
    <row r="363" spans="1:70" x14ac:dyDescent="0.2">
      <c r="B363" s="322" t="s">
        <v>89</v>
      </c>
      <c r="C363" s="387"/>
      <c r="D363" s="37">
        <f t="shared" ref="D363:AE363" si="829">D355-D357-D359</f>
        <v>568</v>
      </c>
      <c r="E363" s="37">
        <f t="shared" si="829"/>
        <v>564</v>
      </c>
      <c r="F363" s="37">
        <f t="shared" si="829"/>
        <v>544</v>
      </c>
      <c r="G363" s="37">
        <f t="shared" si="829"/>
        <v>376</v>
      </c>
      <c r="H363" s="37">
        <f t="shared" si="829"/>
        <v>529</v>
      </c>
      <c r="I363" s="37">
        <f t="shared" si="829"/>
        <v>587</v>
      </c>
      <c r="J363" s="37">
        <f t="shared" si="829"/>
        <v>527</v>
      </c>
      <c r="K363" s="37">
        <f t="shared" si="829"/>
        <v>441</v>
      </c>
      <c r="L363" s="37">
        <f t="shared" si="829"/>
        <v>537</v>
      </c>
      <c r="M363" s="37">
        <f t="shared" si="829"/>
        <v>305</v>
      </c>
      <c r="N363" s="37">
        <f t="shared" si="829"/>
        <v>555</v>
      </c>
      <c r="O363" s="37">
        <f t="shared" si="829"/>
        <v>424</v>
      </c>
      <c r="P363" s="37">
        <f t="shared" si="829"/>
        <v>510</v>
      </c>
      <c r="Q363" s="37">
        <f t="shared" si="829"/>
        <v>507</v>
      </c>
      <c r="R363" s="37">
        <f t="shared" si="829"/>
        <v>466</v>
      </c>
      <c r="S363" s="37">
        <f t="shared" si="829"/>
        <v>322</v>
      </c>
      <c r="T363" s="37">
        <f t="shared" si="829"/>
        <v>323</v>
      </c>
      <c r="U363" s="37">
        <f t="shared" si="829"/>
        <v>447</v>
      </c>
      <c r="V363" s="37">
        <f t="shared" si="829"/>
        <v>470</v>
      </c>
      <c r="W363" s="37">
        <f t="shared" si="829"/>
        <v>392</v>
      </c>
      <c r="X363" s="37">
        <f t="shared" si="829"/>
        <v>375</v>
      </c>
      <c r="Y363" s="37">
        <f t="shared" ref="Y363:Z363" si="830">Y355-Y357-Y359</f>
        <v>496</v>
      </c>
      <c r="Z363" s="37">
        <f t="shared" si="830"/>
        <v>546</v>
      </c>
      <c r="AA363" s="37">
        <f t="shared" ref="AA363:AB363" si="831">AA355-AA357-AA359</f>
        <v>515</v>
      </c>
      <c r="AB363" s="37">
        <f t="shared" si="831"/>
        <v>509</v>
      </c>
      <c r="AC363" s="37">
        <f t="shared" si="829"/>
        <v>522.6181918904108</v>
      </c>
      <c r="AD363" s="37">
        <f t="shared" si="829"/>
        <v>562.58406132999994</v>
      </c>
      <c r="AE363" s="37">
        <f t="shared" si="829"/>
        <v>558.01465100454254</v>
      </c>
      <c r="AF363" s="37">
        <f t="shared" ref="AF363:AI363" si="832">AF355-AF357-AF359</f>
        <v>563.69391439499248</v>
      </c>
      <c r="AG363" s="37">
        <f t="shared" si="832"/>
        <v>589.5160186899891</v>
      </c>
      <c r="AH363" s="37">
        <f t="shared" si="832"/>
        <v>616.77102366269003</v>
      </c>
      <c r="AI363" s="37">
        <f t="shared" si="832"/>
        <v>615.14276462517012</v>
      </c>
      <c r="AJ363" s="37"/>
      <c r="AK363" s="37"/>
      <c r="AL363" s="37"/>
      <c r="AM363" s="37"/>
      <c r="AN363" s="37"/>
      <c r="AO363" s="37"/>
      <c r="AP363" s="37"/>
      <c r="AQ363" s="37"/>
      <c r="AS363" s="322" t="s">
        <v>89</v>
      </c>
      <c r="AT363" s="387"/>
      <c r="AU363" s="232">
        <f>SUM(D363:G363)</f>
        <v>2052</v>
      </c>
      <c r="AV363" s="232">
        <f>SUM(H363:K363)</f>
        <v>2084</v>
      </c>
      <c r="AW363" s="232">
        <f>SUM(L363:O363)</f>
        <v>1821</v>
      </c>
      <c r="AX363" s="232">
        <f>SUM(P363:S363)</f>
        <v>1805</v>
      </c>
      <c r="AY363" s="232">
        <f>SUM(T363:W363)</f>
        <v>1632</v>
      </c>
      <c r="AZ363" s="232">
        <f>SUM(X363:AA363)</f>
        <v>1932</v>
      </c>
      <c r="BA363" s="232">
        <f>SUM(AB363:AE363)</f>
        <v>2152.2169042249534</v>
      </c>
      <c r="BB363" s="232">
        <f>SUM(AF363:AI363)</f>
        <v>2385.1237213728414</v>
      </c>
      <c r="BC363" s="37">
        <f>BC355-BC357-BC359</f>
        <v>2567.8348660081188</v>
      </c>
      <c r="BD363" s="37">
        <f>BD355-BD357-BD359</f>
        <v>2746.6616457702517</v>
      </c>
      <c r="BE363" s="37">
        <f>BE355-BE357-BE359</f>
        <v>2891.007631845579</v>
      </c>
    </row>
    <row r="364" spans="1:70" x14ac:dyDescent="0.2">
      <c r="B364" s="15"/>
      <c r="C364" s="322" t="s">
        <v>90</v>
      </c>
      <c r="D364" s="37">
        <f t="shared" ref="D364:X364" si="833">D363-D366</f>
        <v>123</v>
      </c>
      <c r="E364" s="37">
        <f t="shared" si="833"/>
        <v>145</v>
      </c>
      <c r="F364" s="37">
        <f t="shared" si="833"/>
        <v>126</v>
      </c>
      <c r="G364" s="37">
        <f t="shared" si="833"/>
        <v>56</v>
      </c>
      <c r="H364" s="37">
        <f t="shared" si="833"/>
        <v>162</v>
      </c>
      <c r="I364" s="37">
        <f t="shared" si="833"/>
        <v>197</v>
      </c>
      <c r="J364" s="37">
        <f t="shared" si="833"/>
        <v>180</v>
      </c>
      <c r="K364" s="37">
        <f t="shared" si="833"/>
        <v>143</v>
      </c>
      <c r="L364" s="37">
        <f t="shared" si="833"/>
        <v>178</v>
      </c>
      <c r="M364" s="37">
        <f t="shared" si="833"/>
        <v>95</v>
      </c>
      <c r="N364" s="37">
        <f t="shared" si="833"/>
        <v>185</v>
      </c>
      <c r="O364" s="37">
        <f t="shared" si="833"/>
        <v>142</v>
      </c>
      <c r="P364" s="37">
        <f t="shared" si="833"/>
        <v>171</v>
      </c>
      <c r="Q364" s="37">
        <f t="shared" si="833"/>
        <v>169</v>
      </c>
      <c r="R364" s="37">
        <f t="shared" si="833"/>
        <v>160</v>
      </c>
      <c r="S364" s="37">
        <f t="shared" si="833"/>
        <v>105</v>
      </c>
      <c r="T364" s="37">
        <f t="shared" si="833"/>
        <v>108</v>
      </c>
      <c r="U364" s="37">
        <f t="shared" si="833"/>
        <v>150</v>
      </c>
      <c r="V364" s="37">
        <f t="shared" si="833"/>
        <v>160</v>
      </c>
      <c r="W364" s="37">
        <f t="shared" si="833"/>
        <v>131</v>
      </c>
      <c r="X364" s="37">
        <f t="shared" si="833"/>
        <v>126</v>
      </c>
      <c r="Y364" s="37">
        <f t="shared" ref="Y364:Z364" si="834">Y363-Y366</f>
        <v>166</v>
      </c>
      <c r="Z364" s="37">
        <f t="shared" si="834"/>
        <v>187</v>
      </c>
      <c r="AA364" s="37">
        <f t="shared" ref="AA364:AB364" si="835">AA363-AA366</f>
        <v>175</v>
      </c>
      <c r="AB364" s="37">
        <f t="shared" si="835"/>
        <v>136</v>
      </c>
      <c r="AC364" s="37">
        <f t="shared" ref="AC364:AE364" si="836">AC363*AC365</f>
        <v>130.6545479726027</v>
      </c>
      <c r="AD364" s="37">
        <f t="shared" si="836"/>
        <v>140.64601533249999</v>
      </c>
      <c r="AE364" s="37">
        <f t="shared" si="836"/>
        <v>139.50366275113564</v>
      </c>
      <c r="AF364" s="37">
        <f t="shared" ref="AF364:AI364" si="837">AF363*AF365</f>
        <v>135.2865394547982</v>
      </c>
      <c r="AG364" s="37">
        <f t="shared" si="837"/>
        <v>141.48384448559739</v>
      </c>
      <c r="AH364" s="37">
        <f t="shared" si="837"/>
        <v>148.0250456790456</v>
      </c>
      <c r="AI364" s="37">
        <f t="shared" si="837"/>
        <v>147.63426351004082</v>
      </c>
      <c r="AJ364" s="37"/>
      <c r="AK364" s="37"/>
      <c r="AL364" s="37"/>
      <c r="AM364" s="37"/>
      <c r="AN364" s="37"/>
      <c r="AO364" s="37"/>
      <c r="AP364" s="37"/>
      <c r="AQ364" s="37"/>
      <c r="AS364" s="15"/>
      <c r="AT364" s="322" t="s">
        <v>90</v>
      </c>
      <c r="AU364" s="232">
        <f t="shared" ref="AU364:BA364" si="838">AU363-AU366</f>
        <v>450</v>
      </c>
      <c r="AV364" s="232">
        <f t="shared" si="838"/>
        <v>682</v>
      </c>
      <c r="AW364" s="232">
        <f t="shared" si="838"/>
        <v>600</v>
      </c>
      <c r="AX364" s="232">
        <f t="shared" si="838"/>
        <v>605</v>
      </c>
      <c r="AY364" s="232">
        <f t="shared" si="838"/>
        <v>549</v>
      </c>
      <c r="AZ364" s="232">
        <f t="shared" si="838"/>
        <v>654</v>
      </c>
      <c r="BA364" s="232">
        <f t="shared" si="838"/>
        <v>546.80422605623835</v>
      </c>
      <c r="BB364" s="232">
        <f t="shared" ref="BB364" si="839">BB363-BB366</f>
        <v>572.42969312948162</v>
      </c>
      <c r="BC364" s="37">
        <f>BC363*BC365</f>
        <v>616.28036784194853</v>
      </c>
      <c r="BD364" s="37">
        <f>BD363*BD365</f>
        <v>659.19879498486034</v>
      </c>
      <c r="BE364" s="37">
        <f>BE363*BE365</f>
        <v>693.84183164293893</v>
      </c>
    </row>
    <row r="365" spans="1:70" x14ac:dyDescent="0.2">
      <c r="B365" s="322"/>
      <c r="C365" s="434" t="s">
        <v>191</v>
      </c>
      <c r="D365" s="23">
        <f t="shared" ref="D365:X365" si="840">D364/D363</f>
        <v>0.21654929577464788</v>
      </c>
      <c r="E365" s="23">
        <f t="shared" si="840"/>
        <v>0.25709219858156029</v>
      </c>
      <c r="F365" s="23">
        <f t="shared" si="840"/>
        <v>0.23161764705882354</v>
      </c>
      <c r="G365" s="23">
        <f t="shared" si="840"/>
        <v>0.14893617021276595</v>
      </c>
      <c r="H365" s="23">
        <f t="shared" si="840"/>
        <v>0.30623818525519847</v>
      </c>
      <c r="I365" s="23">
        <f t="shared" si="840"/>
        <v>0.33560477001703576</v>
      </c>
      <c r="J365" s="23">
        <f t="shared" si="840"/>
        <v>0.34155597722960152</v>
      </c>
      <c r="K365" s="23">
        <f t="shared" si="840"/>
        <v>0.32426303854875282</v>
      </c>
      <c r="L365" s="23">
        <f t="shared" si="840"/>
        <v>0.33147113594040967</v>
      </c>
      <c r="M365" s="23">
        <f t="shared" si="840"/>
        <v>0.31147540983606559</v>
      </c>
      <c r="N365" s="23">
        <f t="shared" si="840"/>
        <v>0.33333333333333331</v>
      </c>
      <c r="O365" s="23">
        <f t="shared" si="840"/>
        <v>0.33490566037735847</v>
      </c>
      <c r="P365" s="23">
        <f t="shared" si="840"/>
        <v>0.3352941176470588</v>
      </c>
      <c r="Q365" s="23">
        <f t="shared" si="840"/>
        <v>0.33333333333333331</v>
      </c>
      <c r="R365" s="23">
        <f t="shared" si="840"/>
        <v>0.34334763948497854</v>
      </c>
      <c r="S365" s="23">
        <f t="shared" si="840"/>
        <v>0.32608695652173914</v>
      </c>
      <c r="T365" s="23">
        <f t="shared" si="840"/>
        <v>0.33436532507739936</v>
      </c>
      <c r="U365" s="23">
        <f t="shared" si="840"/>
        <v>0.33557046979865773</v>
      </c>
      <c r="V365" s="23">
        <f t="shared" si="840"/>
        <v>0.34042553191489361</v>
      </c>
      <c r="W365" s="23">
        <f t="shared" si="840"/>
        <v>0.33418367346938777</v>
      </c>
      <c r="X365" s="23">
        <f t="shared" si="840"/>
        <v>0.33600000000000002</v>
      </c>
      <c r="Y365" s="23">
        <f t="shared" ref="Y365:Z365" si="841">Y364/Y363</f>
        <v>0.33467741935483869</v>
      </c>
      <c r="Z365" s="23">
        <f t="shared" si="841"/>
        <v>0.3424908424908425</v>
      </c>
      <c r="AA365" s="23">
        <f t="shared" ref="AA365:AB365" si="842">AA364/AA363</f>
        <v>0.33980582524271846</v>
      </c>
      <c r="AB365" s="23">
        <f t="shared" si="842"/>
        <v>0.26719056974459726</v>
      </c>
      <c r="AC365" s="512">
        <f>Drivers!AC121</f>
        <v>0.25</v>
      </c>
      <c r="AD365" s="512">
        <f>Drivers!AD121</f>
        <v>0.25</v>
      </c>
      <c r="AE365" s="512">
        <f>Drivers!AE121</f>
        <v>0.25</v>
      </c>
      <c r="AF365" s="512">
        <f>Drivers!AF121</f>
        <v>0.24</v>
      </c>
      <c r="AG365" s="512">
        <f>Drivers!AG121</f>
        <v>0.24</v>
      </c>
      <c r="AH365" s="512">
        <f>Drivers!AH121</f>
        <v>0.24</v>
      </c>
      <c r="AI365" s="512">
        <f>Drivers!AI121</f>
        <v>0.24</v>
      </c>
      <c r="AJ365" s="512"/>
      <c r="AK365" s="512"/>
      <c r="AL365" s="512"/>
      <c r="AM365" s="512"/>
      <c r="AN365" s="512"/>
      <c r="AO365" s="512"/>
      <c r="AP365" s="512"/>
      <c r="AQ365" s="512"/>
      <c r="AS365" s="322"/>
      <c r="AT365" s="434" t="s">
        <v>191</v>
      </c>
      <c r="AU365" s="209">
        <f t="shared" ref="AU365:BA365" si="843">AU364/AU363</f>
        <v>0.21929824561403508</v>
      </c>
      <c r="AV365" s="209">
        <f t="shared" si="843"/>
        <v>0.32725527831094048</v>
      </c>
      <c r="AW365" s="209">
        <f t="shared" si="843"/>
        <v>0.32948929159802304</v>
      </c>
      <c r="AX365" s="209">
        <f t="shared" si="843"/>
        <v>0.33518005540166207</v>
      </c>
      <c r="AY365" s="209">
        <f t="shared" si="843"/>
        <v>0.33639705882352944</v>
      </c>
      <c r="AZ365" s="209">
        <f t="shared" si="843"/>
        <v>0.33850931677018631</v>
      </c>
      <c r="BA365" s="209">
        <f t="shared" si="843"/>
        <v>0.254065575352941</v>
      </c>
      <c r="BB365" s="209">
        <f t="shared" ref="BB365" si="844">BB364/BB363</f>
        <v>0.23999999999999988</v>
      </c>
      <c r="BC365" s="512">
        <f>Drivers!BC121</f>
        <v>0.24</v>
      </c>
      <c r="BD365" s="512">
        <f>Drivers!BD121</f>
        <v>0.24</v>
      </c>
      <c r="BE365" s="512">
        <f>Drivers!BE121</f>
        <v>0.24</v>
      </c>
    </row>
    <row r="366" spans="1:70" s="160" customFormat="1" x14ac:dyDescent="0.2">
      <c r="A366" s="829"/>
      <c r="B366" s="316" t="s">
        <v>80</v>
      </c>
      <c r="C366" s="427"/>
      <c r="D366" s="440">
        <v>445</v>
      </c>
      <c r="E366" s="440">
        <v>419</v>
      </c>
      <c r="F366" s="440">
        <v>418</v>
      </c>
      <c r="G366" s="440">
        <v>320</v>
      </c>
      <c r="H366" s="440">
        <v>367</v>
      </c>
      <c r="I366" s="440">
        <v>390</v>
      </c>
      <c r="J366" s="440">
        <v>347</v>
      </c>
      <c r="K366" s="440">
        <v>298</v>
      </c>
      <c r="L366" s="440">
        <v>359</v>
      </c>
      <c r="M366" s="440">
        <v>210</v>
      </c>
      <c r="N366" s="440">
        <v>370</v>
      </c>
      <c r="O366" s="440">
        <v>282</v>
      </c>
      <c r="P366" s="440">
        <v>339</v>
      </c>
      <c r="Q366" s="440">
        <v>338</v>
      </c>
      <c r="R366" s="440">
        <v>306</v>
      </c>
      <c r="S366" s="440">
        <v>217</v>
      </c>
      <c r="T366" s="440">
        <v>215</v>
      </c>
      <c r="U366" s="440">
        <v>297</v>
      </c>
      <c r="V366" s="440">
        <v>310</v>
      </c>
      <c r="W366" s="440">
        <v>261</v>
      </c>
      <c r="X366" s="1787">
        <v>249</v>
      </c>
      <c r="Y366" s="1787">
        <v>330</v>
      </c>
      <c r="Z366" s="1787">
        <v>359</v>
      </c>
      <c r="AA366" s="1787">
        <v>340</v>
      </c>
      <c r="AB366" s="1787">
        <v>373</v>
      </c>
      <c r="AC366" s="195">
        <f t="shared" ref="AC366:AE366" si="845">AC363-AC364</f>
        <v>391.9636439178081</v>
      </c>
      <c r="AD366" s="195">
        <f t="shared" si="845"/>
        <v>421.93804599749996</v>
      </c>
      <c r="AE366" s="195">
        <f t="shared" si="845"/>
        <v>418.51098825340694</v>
      </c>
      <c r="AF366" s="195">
        <f t="shared" ref="AF366:AI366" si="846">AF363-AF364</f>
        <v>428.40737494019425</v>
      </c>
      <c r="AG366" s="195">
        <f t="shared" si="846"/>
        <v>448.03217420439171</v>
      </c>
      <c r="AH366" s="195">
        <f t="shared" si="846"/>
        <v>468.74597798364442</v>
      </c>
      <c r="AI366" s="195">
        <f t="shared" si="846"/>
        <v>467.50850111512932</v>
      </c>
      <c r="AJ366" s="195"/>
      <c r="AK366" s="195"/>
      <c r="AL366" s="195"/>
      <c r="AM366" s="195"/>
      <c r="AN366" s="195"/>
      <c r="AO366" s="195"/>
      <c r="AP366" s="195"/>
      <c r="AQ366" s="195"/>
      <c r="AR366" s="70"/>
      <c r="AS366" s="316" t="s">
        <v>80</v>
      </c>
      <c r="AT366" s="427"/>
      <c r="AU366" s="233">
        <f>SUM(D366:G366)</f>
        <v>1602</v>
      </c>
      <c r="AV366" s="233">
        <f>SUM(H366:K366)</f>
        <v>1402</v>
      </c>
      <c r="AW366" s="233">
        <f>SUM(L366:O366)</f>
        <v>1221</v>
      </c>
      <c r="AX366" s="233">
        <f>SUM(P366:S366)</f>
        <v>1200</v>
      </c>
      <c r="AY366" s="233">
        <f>SUM(T366:W366)</f>
        <v>1083</v>
      </c>
      <c r="AZ366" s="233">
        <f>SUM(X366:AA366)</f>
        <v>1278</v>
      </c>
      <c r="BA366" s="233">
        <f>SUM(AB366:AE366)</f>
        <v>1605.412678168715</v>
      </c>
      <c r="BB366" s="233">
        <f>SUM(AF366:AI366)</f>
        <v>1812.6940282433598</v>
      </c>
      <c r="BC366" s="195">
        <f>BC363-BC364</f>
        <v>1951.5544981661701</v>
      </c>
      <c r="BD366" s="195">
        <f>BD363-BD364</f>
        <v>2087.4628507853913</v>
      </c>
      <c r="BE366" s="195">
        <f>BE363-BE364</f>
        <v>2197.1658002026402</v>
      </c>
      <c r="BM366"/>
      <c r="BN366"/>
      <c r="BO366"/>
      <c r="BP366"/>
      <c r="BQ366"/>
      <c r="BR366"/>
    </row>
    <row r="367" spans="1:70" x14ac:dyDescent="0.2">
      <c r="B367" s="16"/>
      <c r="C367" s="16"/>
      <c r="D367" s="15"/>
      <c r="E367" s="15"/>
      <c r="F367" s="15"/>
      <c r="G367" s="15"/>
      <c r="H367" s="15"/>
      <c r="I367" s="15"/>
      <c r="J367" s="15"/>
      <c r="K367" s="15"/>
      <c r="L367" s="15"/>
      <c r="M367" s="15"/>
      <c r="N367" s="15"/>
      <c r="O367" s="15"/>
      <c r="P367" s="15"/>
      <c r="Q367" s="15"/>
      <c r="R367" s="15"/>
      <c r="S367" s="15"/>
      <c r="T367" s="15"/>
      <c r="U367" s="15"/>
      <c r="V367" s="15"/>
      <c r="W367" s="15"/>
      <c r="X367" s="15"/>
      <c r="Y367" s="15"/>
      <c r="Z367" s="15"/>
      <c r="AA367" s="15"/>
      <c r="AB367" s="15"/>
      <c r="AC367" s="15"/>
      <c r="AD367" s="15"/>
      <c r="AE367" s="15"/>
      <c r="AF367" s="15"/>
      <c r="AG367" s="15"/>
      <c r="AH367" s="15"/>
      <c r="AI367" s="15"/>
      <c r="AJ367" s="15"/>
      <c r="AK367" s="15"/>
      <c r="AL367" s="15"/>
      <c r="AM367" s="15"/>
      <c r="AN367" s="15"/>
      <c r="AO367" s="15"/>
      <c r="AP367" s="15"/>
      <c r="AQ367" s="15"/>
      <c r="AS367" s="16"/>
      <c r="AT367" s="16"/>
    </row>
    <row r="368" spans="1:70" s="382" customFormat="1" x14ac:dyDescent="0.2">
      <c r="A368" s="833"/>
      <c r="B368" s="340" t="s">
        <v>73</v>
      </c>
      <c r="C368" s="388"/>
      <c r="D368" s="513"/>
      <c r="E368" s="513"/>
      <c r="F368" s="513"/>
      <c r="G368" s="513"/>
      <c r="H368" s="513"/>
      <c r="I368" s="513"/>
      <c r="J368" s="513"/>
      <c r="K368" s="513"/>
      <c r="L368" s="513"/>
      <c r="M368" s="513"/>
      <c r="N368" s="513"/>
      <c r="O368" s="513"/>
      <c r="P368" s="513"/>
      <c r="Q368" s="513"/>
      <c r="R368" s="513"/>
      <c r="S368" s="513"/>
      <c r="T368" s="513"/>
      <c r="U368" s="513"/>
      <c r="V368" s="513"/>
      <c r="W368" s="513"/>
      <c r="X368" s="513"/>
      <c r="Y368" s="513"/>
      <c r="Z368" s="513"/>
      <c r="AA368" s="513"/>
      <c r="AB368" s="513"/>
      <c r="AC368" s="388"/>
      <c r="AD368" s="388"/>
      <c r="AE368" s="388"/>
      <c r="AF368" s="388"/>
      <c r="AG368" s="388"/>
      <c r="AH368" s="388"/>
      <c r="AI368" s="388"/>
      <c r="AJ368" s="388"/>
      <c r="AK368" s="388"/>
      <c r="AL368" s="388"/>
      <c r="AM368" s="388"/>
      <c r="AN368" s="388"/>
      <c r="AO368" s="388"/>
      <c r="AP368" s="388"/>
      <c r="AQ368" s="388"/>
      <c r="AR368" s="70"/>
      <c r="AS368" s="340" t="s">
        <v>73</v>
      </c>
      <c r="AT368" s="388"/>
      <c r="AU368" s="12"/>
      <c r="AV368" s="12"/>
      <c r="AW368" s="12"/>
      <c r="AX368" s="12"/>
      <c r="AY368" s="12"/>
      <c r="AZ368" s="12"/>
      <c r="BA368" s="12"/>
      <c r="BB368" s="12"/>
      <c r="BC368" s="12"/>
      <c r="BD368" s="12"/>
      <c r="BE368" s="12"/>
      <c r="BM368"/>
      <c r="BN368"/>
      <c r="BO368"/>
      <c r="BP368"/>
      <c r="BQ368"/>
      <c r="BR368"/>
    </row>
    <row r="369" spans="1:70" s="369" customFormat="1" x14ac:dyDescent="0.2">
      <c r="A369" s="411"/>
      <c r="B369" s="321" t="s">
        <v>74</v>
      </c>
      <c r="C369" s="321"/>
      <c r="D369" s="514">
        <v>1234</v>
      </c>
      <c r="E369" s="514">
        <v>1171</v>
      </c>
      <c r="F369" s="514">
        <v>1212</v>
      </c>
      <c r="G369" s="514">
        <v>1201</v>
      </c>
      <c r="H369" s="514">
        <v>1217</v>
      </c>
      <c r="I369" s="514">
        <v>1211</v>
      </c>
      <c r="J369" s="514">
        <v>1136</v>
      </c>
      <c r="K369" s="514">
        <v>1114</v>
      </c>
      <c r="L369" s="514">
        <v>1200</v>
      </c>
      <c r="M369" s="514">
        <v>1214</v>
      </c>
      <c r="N369" s="514">
        <v>1227</v>
      </c>
      <c r="O369" s="514">
        <v>1127</v>
      </c>
      <c r="P369" s="514">
        <v>1152</v>
      </c>
      <c r="Q369" s="514">
        <v>1180</v>
      </c>
      <c r="R369" s="514">
        <v>1068</v>
      </c>
      <c r="S369" s="514">
        <v>1009</v>
      </c>
      <c r="T369" s="514">
        <v>1041</v>
      </c>
      <c r="U369" s="514">
        <v>1076</v>
      </c>
      <c r="V369" s="514">
        <v>1093</v>
      </c>
      <c r="W369" s="514">
        <v>1037</v>
      </c>
      <c r="X369" s="514">
        <v>1068</v>
      </c>
      <c r="Y369" s="514">
        <v>1096</v>
      </c>
      <c r="Z369" s="514">
        <v>1163</v>
      </c>
      <c r="AA369" s="514">
        <v>1138</v>
      </c>
      <c r="AB369" s="514">
        <v>1198</v>
      </c>
      <c r="AC369" s="515">
        <f t="shared" ref="AC369:AE370" si="847">AC374+AC379</f>
        <v>1232.5609435616439</v>
      </c>
      <c r="AD369" s="515">
        <f t="shared" si="847"/>
        <v>1267.754847369863</v>
      </c>
      <c r="AE369" s="515">
        <f t="shared" si="847"/>
        <v>1275.1460503923286</v>
      </c>
      <c r="AF369" s="515">
        <f t="shared" ref="AF369:AI369" si="848">AF374+AF379</f>
        <v>1243.813780147734</v>
      </c>
      <c r="AG369" s="515">
        <f t="shared" si="848"/>
        <v>1280.8403885623663</v>
      </c>
      <c r="AH369" s="515">
        <f t="shared" si="848"/>
        <v>1351.3359452898494</v>
      </c>
      <c r="AI369" s="515">
        <f t="shared" si="848"/>
        <v>1355.330415190037</v>
      </c>
      <c r="AJ369" s="515"/>
      <c r="AK369" s="515"/>
      <c r="AL369" s="515"/>
      <c r="AM369" s="515"/>
      <c r="AN369" s="515"/>
      <c r="AO369" s="515"/>
      <c r="AP369" s="515"/>
      <c r="AQ369" s="515"/>
      <c r="AR369" s="70"/>
      <c r="AS369" s="321" t="s">
        <v>74</v>
      </c>
      <c r="AT369" s="321"/>
      <c r="AU369" s="232">
        <f>SUM(D369:G369)</f>
        <v>4818</v>
      </c>
      <c r="AV369" s="232">
        <f>SUM(H369:K369)</f>
        <v>4678</v>
      </c>
      <c r="AW369" s="232">
        <f>SUM(L369:O369)</f>
        <v>4768</v>
      </c>
      <c r="AX369" s="232">
        <f>SUM(P369:S369)</f>
        <v>4409</v>
      </c>
      <c r="AY369" s="232">
        <f>SUM(T369:W369)</f>
        <v>4247</v>
      </c>
      <c r="AZ369" s="232">
        <f>SUM(X369:AA369)</f>
        <v>4465</v>
      </c>
      <c r="BA369" s="232">
        <f>SUM(AB369:AE369)</f>
        <v>4973.461841323835</v>
      </c>
      <c r="BB369" s="232">
        <f>SUM(AF369:AI369)</f>
        <v>5231.3205291899867</v>
      </c>
      <c r="BC369" s="515">
        <f t="shared" ref="BC369:BD370" si="849">BC374+BC379</f>
        <v>5552.324193257602</v>
      </c>
      <c r="BD369" s="515">
        <f t="shared" si="849"/>
        <v>5870.904158363197</v>
      </c>
      <c r="BE369" s="515">
        <f t="shared" ref="BE369" si="850">BE374+BE379</f>
        <v>6207.461309496206</v>
      </c>
      <c r="BM369"/>
      <c r="BN369"/>
      <c r="BO369"/>
      <c r="BP369"/>
      <c r="BQ369"/>
      <c r="BR369"/>
    </row>
    <row r="370" spans="1:70" s="369" customFormat="1" x14ac:dyDescent="0.2">
      <c r="A370" s="411"/>
      <c r="B370" s="321" t="s">
        <v>195</v>
      </c>
      <c r="C370" s="321"/>
      <c r="D370" s="443">
        <v>781</v>
      </c>
      <c r="E370" s="443">
        <v>792</v>
      </c>
      <c r="F370" s="443">
        <v>794</v>
      </c>
      <c r="G370" s="443">
        <v>825</v>
      </c>
      <c r="H370" s="443">
        <v>791</v>
      </c>
      <c r="I370" s="443">
        <v>805</v>
      </c>
      <c r="J370" s="443">
        <v>777</v>
      </c>
      <c r="K370" s="443">
        <v>788</v>
      </c>
      <c r="L370" s="443">
        <v>746</v>
      </c>
      <c r="M370" s="443">
        <v>784</v>
      </c>
      <c r="N370" s="443">
        <v>781</v>
      </c>
      <c r="O370" s="443">
        <v>712</v>
      </c>
      <c r="P370" s="443">
        <v>658</v>
      </c>
      <c r="Q370" s="443">
        <v>680</v>
      </c>
      <c r="R370" s="443">
        <v>630</v>
      </c>
      <c r="S370" s="443">
        <v>637</v>
      </c>
      <c r="T370" s="443">
        <v>614</v>
      </c>
      <c r="U370" s="443">
        <v>653</v>
      </c>
      <c r="V370" s="443">
        <v>665</v>
      </c>
      <c r="W370" s="443">
        <v>659</v>
      </c>
      <c r="X370" s="443">
        <v>666</v>
      </c>
      <c r="Y370" s="443">
        <v>723</v>
      </c>
      <c r="Z370" s="443">
        <v>722</v>
      </c>
      <c r="AA370" s="443">
        <v>770</v>
      </c>
      <c r="AB370" s="443">
        <v>731</v>
      </c>
      <c r="AC370" s="515">
        <f t="shared" si="847"/>
        <v>759.06307945205481</v>
      </c>
      <c r="AD370" s="515">
        <f t="shared" si="847"/>
        <v>777.5286960000002</v>
      </c>
      <c r="AE370" s="515">
        <f t="shared" si="847"/>
        <v>804.12036192000028</v>
      </c>
      <c r="AF370" s="515">
        <f t="shared" ref="AF370:AI370" si="851">AF375+AF380</f>
        <v>797.93144701589063</v>
      </c>
      <c r="AG370" s="515">
        <f t="shared" si="851"/>
        <v>812.51189732652529</v>
      </c>
      <c r="AH370" s="515">
        <f t="shared" si="851"/>
        <v>832.49686953458695</v>
      </c>
      <c r="AI370" s="515">
        <f t="shared" si="851"/>
        <v>868.69316194750968</v>
      </c>
      <c r="AJ370" s="515"/>
      <c r="AK370" s="515"/>
      <c r="AL370" s="515"/>
      <c r="AM370" s="515"/>
      <c r="AN370" s="515"/>
      <c r="AO370" s="515"/>
      <c r="AP370" s="515"/>
      <c r="AQ370" s="515"/>
      <c r="AR370" s="70"/>
      <c r="AS370" s="321" t="s">
        <v>195</v>
      </c>
      <c r="AT370" s="321"/>
      <c r="AU370" s="41">
        <f>SUM(D370:G370)</f>
        <v>3192</v>
      </c>
      <c r="AV370" s="41">
        <f>SUM(H370:K370)</f>
        <v>3161</v>
      </c>
      <c r="AW370" s="41">
        <f>SUM(L370:O370)</f>
        <v>3023</v>
      </c>
      <c r="AX370" s="41">
        <f>SUM(P370:S370)</f>
        <v>2605</v>
      </c>
      <c r="AY370" s="41">
        <f>SUM(T370:W370)</f>
        <v>2591</v>
      </c>
      <c r="AZ370" s="41">
        <f>SUM(X370:AA370)</f>
        <v>2881</v>
      </c>
      <c r="BA370" s="41">
        <f>SUM(AB370:AE370)</f>
        <v>3071.7121373720556</v>
      </c>
      <c r="BB370" s="41">
        <f>SUM(AF370:AI370)</f>
        <v>3311.6333758245128</v>
      </c>
      <c r="BC370" s="515">
        <f t="shared" si="849"/>
        <v>3500.0293153154366</v>
      </c>
      <c r="BD370" s="515">
        <f t="shared" si="849"/>
        <v>3697.1555782852411</v>
      </c>
      <c r="BE370" s="515">
        <f t="shared" ref="BE370" si="852">BE375+BE380</f>
        <v>3905.3500929131578</v>
      </c>
      <c r="BM370"/>
      <c r="BN370"/>
      <c r="BO370"/>
      <c r="BP370"/>
      <c r="BQ370"/>
      <c r="BR370"/>
    </row>
    <row r="371" spans="1:70" s="382" customFormat="1" x14ac:dyDescent="0.2">
      <c r="A371" s="833"/>
      <c r="B371" s="325"/>
      <c r="C371" s="322"/>
      <c r="D371" s="518">
        <f t="shared" ref="D371:AE371" si="853">SUM(D369:D370)</f>
        <v>2015</v>
      </c>
      <c r="E371" s="518">
        <f t="shared" si="853"/>
        <v>1963</v>
      </c>
      <c r="F371" s="518">
        <f t="shared" si="853"/>
        <v>2006</v>
      </c>
      <c r="G371" s="518">
        <f t="shared" si="853"/>
        <v>2026</v>
      </c>
      <c r="H371" s="518">
        <f t="shared" si="853"/>
        <v>2008</v>
      </c>
      <c r="I371" s="518">
        <f t="shared" si="853"/>
        <v>2016</v>
      </c>
      <c r="J371" s="518">
        <f t="shared" si="853"/>
        <v>1913</v>
      </c>
      <c r="K371" s="518">
        <f t="shared" si="853"/>
        <v>1902</v>
      </c>
      <c r="L371" s="518">
        <f t="shared" si="853"/>
        <v>1946</v>
      </c>
      <c r="M371" s="518">
        <f t="shared" si="853"/>
        <v>1998</v>
      </c>
      <c r="N371" s="518">
        <f t="shared" si="853"/>
        <v>2008</v>
      </c>
      <c r="O371" s="518">
        <f t="shared" si="853"/>
        <v>1839</v>
      </c>
      <c r="P371" s="518">
        <f t="shared" si="853"/>
        <v>1810</v>
      </c>
      <c r="Q371" s="518">
        <f t="shared" si="853"/>
        <v>1860</v>
      </c>
      <c r="R371" s="518">
        <f t="shared" si="853"/>
        <v>1698</v>
      </c>
      <c r="S371" s="518">
        <f t="shared" si="853"/>
        <v>1646</v>
      </c>
      <c r="T371" s="518">
        <f t="shared" si="853"/>
        <v>1655</v>
      </c>
      <c r="U371" s="518">
        <f t="shared" si="853"/>
        <v>1729</v>
      </c>
      <c r="V371" s="518">
        <f t="shared" si="853"/>
        <v>1758</v>
      </c>
      <c r="W371" s="518">
        <f t="shared" si="853"/>
        <v>1696</v>
      </c>
      <c r="X371" s="518">
        <f t="shared" si="853"/>
        <v>1734</v>
      </c>
      <c r="Y371" s="518">
        <f t="shared" ref="Y371:Z371" si="854">SUM(Y369:Y370)</f>
        <v>1819</v>
      </c>
      <c r="Z371" s="518">
        <f t="shared" si="854"/>
        <v>1885</v>
      </c>
      <c r="AA371" s="518">
        <f t="shared" ref="AA371:AB371" si="855">SUM(AA369:AA370)</f>
        <v>1908</v>
      </c>
      <c r="AB371" s="518">
        <f t="shared" si="855"/>
        <v>1929</v>
      </c>
      <c r="AC371" s="518">
        <f t="shared" si="853"/>
        <v>1991.6240230136987</v>
      </c>
      <c r="AD371" s="518">
        <f t="shared" si="853"/>
        <v>2045.2835433698633</v>
      </c>
      <c r="AE371" s="518">
        <f t="shared" si="853"/>
        <v>2079.2664123123286</v>
      </c>
      <c r="AF371" s="518">
        <f t="shared" ref="AF371:AI371" si="856">SUM(AF369:AF370)</f>
        <v>2041.7452271636246</v>
      </c>
      <c r="AG371" s="518">
        <f t="shared" si="856"/>
        <v>2093.3522858888919</v>
      </c>
      <c r="AH371" s="518">
        <f t="shared" si="856"/>
        <v>2183.8328148244364</v>
      </c>
      <c r="AI371" s="518">
        <f t="shared" si="856"/>
        <v>2224.0235771375465</v>
      </c>
      <c r="AJ371" s="379"/>
      <c r="AK371" s="379"/>
      <c r="AL371" s="379"/>
      <c r="AM371" s="379"/>
      <c r="AN371" s="379"/>
      <c r="AO371" s="379"/>
      <c r="AP371" s="379"/>
      <c r="AQ371" s="379"/>
      <c r="AR371" s="70"/>
      <c r="AS371" s="325"/>
      <c r="AT371" s="322"/>
      <c r="AU371" s="416">
        <f t="shared" ref="AU371:BD371" si="857">SUM(AU369:AU370)</f>
        <v>8010</v>
      </c>
      <c r="AV371" s="416">
        <f t="shared" si="857"/>
        <v>7839</v>
      </c>
      <c r="AW371" s="416">
        <f t="shared" si="857"/>
        <v>7791</v>
      </c>
      <c r="AX371" s="416">
        <f t="shared" si="857"/>
        <v>7014</v>
      </c>
      <c r="AY371" s="416">
        <f t="shared" si="857"/>
        <v>6838</v>
      </c>
      <c r="AZ371" s="416">
        <f t="shared" si="857"/>
        <v>7346</v>
      </c>
      <c r="BA371" s="416">
        <f t="shared" si="857"/>
        <v>8045.1739786958906</v>
      </c>
      <c r="BB371" s="416">
        <f t="shared" ref="BB371" si="858">SUM(BB369:BB370)</f>
        <v>8542.9539050144995</v>
      </c>
      <c r="BC371" s="518">
        <f t="shared" si="857"/>
        <v>9052.3535085730382</v>
      </c>
      <c r="BD371" s="518">
        <f t="shared" si="857"/>
        <v>9568.059736648438</v>
      </c>
      <c r="BE371" s="518">
        <f t="shared" ref="BE371" si="859">SUM(BE369:BE370)</f>
        <v>10112.811402409363</v>
      </c>
      <c r="BM371"/>
      <c r="BN371"/>
      <c r="BO371"/>
      <c r="BP371"/>
      <c r="BQ371"/>
      <c r="BR371"/>
    </row>
    <row r="372" spans="1:70" s="369" customFormat="1" x14ac:dyDescent="0.2">
      <c r="A372" s="830"/>
      <c r="C372" s="382"/>
      <c r="D372" s="465"/>
      <c r="E372" s="465"/>
      <c r="F372" s="465"/>
      <c r="G372" s="465"/>
      <c r="H372" s="465"/>
      <c r="I372" s="465"/>
      <c r="J372" s="465"/>
      <c r="K372" s="465"/>
      <c r="L372" s="465"/>
      <c r="M372" s="465"/>
      <c r="N372" s="465"/>
      <c r="O372" s="465"/>
      <c r="P372" s="465"/>
      <c r="Q372" s="465"/>
      <c r="R372" s="465"/>
      <c r="S372" s="465"/>
      <c r="T372" s="465"/>
      <c r="U372" s="465"/>
      <c r="V372" s="465"/>
      <c r="W372" s="465"/>
      <c r="X372" s="465"/>
      <c r="Y372" s="465"/>
      <c r="Z372" s="465"/>
      <c r="AA372" s="465"/>
      <c r="AB372" s="465"/>
      <c r="AR372" s="70"/>
      <c r="AT372" s="382"/>
      <c r="AU372" s="519"/>
      <c r="AV372" s="351"/>
      <c r="AW372" s="465"/>
      <c r="AX372" s="519"/>
      <c r="AY372" s="465"/>
      <c r="BA372" s="382"/>
      <c r="BB372" s="382"/>
      <c r="BM372"/>
      <c r="BN372"/>
      <c r="BO372"/>
      <c r="BP372"/>
      <c r="BQ372"/>
      <c r="BR372"/>
    </row>
    <row r="373" spans="1:70" s="369" customFormat="1" x14ac:dyDescent="0.2">
      <c r="A373" s="411"/>
      <c r="B373" s="340" t="s">
        <v>231</v>
      </c>
      <c r="C373" s="388"/>
      <c r="D373" s="509"/>
      <c r="E373" s="509"/>
      <c r="F373" s="509"/>
      <c r="G373" s="509"/>
      <c r="H373" s="509"/>
      <c r="I373" s="509"/>
      <c r="J373" s="509"/>
      <c r="K373" s="509"/>
      <c r="L373" s="509"/>
      <c r="M373" s="509"/>
      <c r="N373" s="509"/>
      <c r="O373" s="509"/>
      <c r="P373" s="509"/>
      <c r="Q373" s="509"/>
      <c r="R373" s="509"/>
      <c r="S373" s="509"/>
      <c r="T373" s="509"/>
      <c r="U373" s="509"/>
      <c r="V373" s="509"/>
      <c r="W373" s="509"/>
      <c r="X373" s="509"/>
      <c r="Y373" s="509"/>
      <c r="Z373" s="509"/>
      <c r="AA373" s="509"/>
      <c r="AB373" s="509"/>
      <c r="AC373" s="367"/>
      <c r="AD373" s="367"/>
      <c r="AE373" s="367"/>
      <c r="AF373" s="367"/>
      <c r="AG373" s="367"/>
      <c r="AH373" s="367"/>
      <c r="AI373" s="367"/>
      <c r="AJ373" s="367"/>
      <c r="AK373" s="367"/>
      <c r="AL373" s="367"/>
      <c r="AM373" s="367"/>
      <c r="AN373" s="367"/>
      <c r="AO373" s="367"/>
      <c r="AP373" s="367"/>
      <c r="AQ373" s="367"/>
      <c r="AR373" s="70"/>
      <c r="AS373" s="340" t="s">
        <v>231</v>
      </c>
      <c r="AT373" s="388"/>
      <c r="AU373" s="12"/>
      <c r="AV373" s="12"/>
      <c r="AW373" s="12"/>
      <c r="AX373" s="12"/>
      <c r="AY373" s="12"/>
      <c r="AZ373" s="12"/>
      <c r="BA373" s="12"/>
      <c r="BB373" s="12"/>
      <c r="BC373" s="367"/>
      <c r="BD373" s="367"/>
      <c r="BE373" s="367"/>
      <c r="BM373"/>
      <c r="BN373"/>
      <c r="BO373"/>
      <c r="BP373"/>
      <c r="BQ373"/>
      <c r="BR373"/>
    </row>
    <row r="374" spans="1:70" s="369" customFormat="1" x14ac:dyDescent="0.2">
      <c r="A374" s="411"/>
      <c r="B374" s="321" t="s">
        <v>74</v>
      </c>
      <c r="C374" s="321"/>
      <c r="D374" s="437">
        <v>811</v>
      </c>
      <c r="E374" s="437">
        <v>784</v>
      </c>
      <c r="F374" s="437">
        <v>774</v>
      </c>
      <c r="G374" s="437">
        <v>769</v>
      </c>
      <c r="H374" s="437">
        <v>745</v>
      </c>
      <c r="I374" s="437">
        <v>729</v>
      </c>
      <c r="J374" s="437">
        <v>712</v>
      </c>
      <c r="K374" s="437">
        <v>730</v>
      </c>
      <c r="L374" s="437">
        <v>709</v>
      </c>
      <c r="M374" s="437">
        <v>737</v>
      </c>
      <c r="N374" s="437">
        <v>735</v>
      </c>
      <c r="O374" s="437">
        <v>706</v>
      </c>
      <c r="P374" s="437">
        <v>667</v>
      </c>
      <c r="Q374" s="437">
        <v>680</v>
      </c>
      <c r="R374" s="437">
        <v>659</v>
      </c>
      <c r="S374" s="437">
        <v>646</v>
      </c>
      <c r="T374" s="437">
        <v>663</v>
      </c>
      <c r="U374" s="437">
        <v>664</v>
      </c>
      <c r="V374" s="437">
        <v>669</v>
      </c>
      <c r="W374" s="437">
        <v>644</v>
      </c>
      <c r="X374" s="437">
        <v>641</v>
      </c>
      <c r="Y374" s="437">
        <v>669</v>
      </c>
      <c r="Z374" s="437">
        <v>690</v>
      </c>
      <c r="AA374" s="437">
        <v>695</v>
      </c>
      <c r="AB374" s="437">
        <v>708</v>
      </c>
      <c r="AC374" s="431">
        <f t="shared" ref="AC374:AE374" si="860">AC389*AC403*1000/AC1</f>
        <v>733.47705315068492</v>
      </c>
      <c r="AD374" s="431">
        <f t="shared" si="860"/>
        <v>758.14083531506844</v>
      </c>
      <c r="AE374" s="431">
        <f t="shared" si="860"/>
        <v>773.30365202136977</v>
      </c>
      <c r="AF374" s="431">
        <f t="shared" ref="AF374:AI374" si="861">AF389*AF403*1000/AF1</f>
        <v>765.77113163931745</v>
      </c>
      <c r="AG374" s="431">
        <f t="shared" si="861"/>
        <v>787.45912575872421</v>
      </c>
      <c r="AH374" s="431">
        <f t="shared" si="861"/>
        <v>807.77190118103158</v>
      </c>
      <c r="AI374" s="431">
        <f t="shared" si="861"/>
        <v>820.78157961765828</v>
      </c>
      <c r="AJ374" s="431"/>
      <c r="AK374" s="431"/>
      <c r="AL374" s="431"/>
      <c r="AM374" s="431"/>
      <c r="AN374" s="431"/>
      <c r="AO374" s="431"/>
      <c r="AP374" s="431"/>
      <c r="AQ374" s="431"/>
      <c r="AR374" s="70"/>
      <c r="AS374" s="321" t="s">
        <v>74</v>
      </c>
      <c r="AT374" s="321"/>
      <c r="AU374" s="232">
        <f>SUM(D374:G374)</f>
        <v>3138</v>
      </c>
      <c r="AV374" s="232">
        <f>SUM(H374:K374)</f>
        <v>2916</v>
      </c>
      <c r="AW374" s="232">
        <f>SUM(L374:O374)</f>
        <v>2887</v>
      </c>
      <c r="AX374" s="232">
        <f>SUM(P374:S374)</f>
        <v>2652</v>
      </c>
      <c r="AY374" s="232">
        <f>SUM(T374:W374)</f>
        <v>2640</v>
      </c>
      <c r="AZ374" s="232">
        <f>SUM(X374:AA374)</f>
        <v>2695</v>
      </c>
      <c r="BA374" s="232">
        <f>SUM(AB374:AE374)</f>
        <v>2972.9215404871229</v>
      </c>
      <c r="BB374" s="232">
        <f>SUM(AF374:AI374)</f>
        <v>3181.7837381967315</v>
      </c>
      <c r="BC374" s="431">
        <f>BC389*BC403*1000/BC1</f>
        <v>3355.1266362603724</v>
      </c>
      <c r="BD374" s="431">
        <f>BD389*BD403*1000/BD1</f>
        <v>3563.8467235161052</v>
      </c>
      <c r="BE374" s="431">
        <f>BE389*BE403*1000/BE1</f>
        <v>3785.0510029067605</v>
      </c>
      <c r="BM374"/>
      <c r="BN374"/>
      <c r="BO374"/>
      <c r="BP374"/>
      <c r="BQ374"/>
      <c r="BR374"/>
    </row>
    <row r="375" spans="1:70" s="369" customFormat="1" x14ac:dyDescent="0.2">
      <c r="A375" s="411"/>
      <c r="B375" s="376" t="s">
        <v>195</v>
      </c>
      <c r="C375" s="376"/>
      <c r="D375" s="443">
        <v>571</v>
      </c>
      <c r="E375" s="443">
        <v>559</v>
      </c>
      <c r="F375" s="443">
        <v>559</v>
      </c>
      <c r="G375" s="443">
        <v>577</v>
      </c>
      <c r="H375" s="443">
        <v>562</v>
      </c>
      <c r="I375" s="443">
        <v>544</v>
      </c>
      <c r="J375" s="443">
        <v>528</v>
      </c>
      <c r="K375" s="443">
        <v>541</v>
      </c>
      <c r="L375" s="443">
        <v>521</v>
      </c>
      <c r="M375" s="443">
        <v>534</v>
      </c>
      <c r="N375" s="443">
        <v>529</v>
      </c>
      <c r="O375" s="443">
        <v>498</v>
      </c>
      <c r="P375" s="443">
        <v>467</v>
      </c>
      <c r="Q375" s="443">
        <v>475</v>
      </c>
      <c r="R375" s="443">
        <v>446</v>
      </c>
      <c r="S375" s="443">
        <v>450</v>
      </c>
      <c r="T375" s="443">
        <v>438</v>
      </c>
      <c r="U375" s="443">
        <v>453</v>
      </c>
      <c r="V375" s="443">
        <v>467</v>
      </c>
      <c r="W375" s="443">
        <v>466</v>
      </c>
      <c r="X375" s="443">
        <v>473</v>
      </c>
      <c r="Y375" s="443">
        <v>492</v>
      </c>
      <c r="Z375" s="443">
        <v>518</v>
      </c>
      <c r="AA375" s="443">
        <v>524</v>
      </c>
      <c r="AB375" s="443">
        <v>525</v>
      </c>
      <c r="AC375" s="431">
        <f t="shared" ref="AC375:AE375" si="862">AC394*AC405*1000/AC1</f>
        <v>537.96307945205479</v>
      </c>
      <c r="AD375" s="431">
        <f t="shared" si="862"/>
        <v>551.83329600000013</v>
      </c>
      <c r="AE375" s="431">
        <f t="shared" si="862"/>
        <v>562.86996192000026</v>
      </c>
      <c r="AF375" s="431">
        <f t="shared" ref="AF375:AI375" si="863">AF394*AF405*1000/AF1</f>
        <v>558.67944701589067</v>
      </c>
      <c r="AG375" s="431">
        <f t="shared" si="863"/>
        <v>566.42759732652519</v>
      </c>
      <c r="AH375" s="431">
        <f t="shared" si="863"/>
        <v>586.22335953458696</v>
      </c>
      <c r="AI375" s="431">
        <f t="shared" si="863"/>
        <v>605.44640194750968</v>
      </c>
      <c r="AJ375" s="431"/>
      <c r="AK375" s="431"/>
      <c r="AL375" s="431"/>
      <c r="AM375" s="431"/>
      <c r="AN375" s="431"/>
      <c r="AO375" s="431"/>
      <c r="AP375" s="431"/>
      <c r="AQ375" s="431"/>
      <c r="AR375" s="70"/>
      <c r="AS375" s="376" t="s">
        <v>195</v>
      </c>
      <c r="AT375" s="376"/>
      <c r="AU375" s="41">
        <f>SUM(D375:G375)</f>
        <v>2266</v>
      </c>
      <c r="AV375" s="41">
        <f>SUM(H375:K375)</f>
        <v>2175</v>
      </c>
      <c r="AW375" s="41">
        <f>SUM(L375:O375)</f>
        <v>2082</v>
      </c>
      <c r="AX375" s="41">
        <f>SUM(P375:S375)</f>
        <v>1838</v>
      </c>
      <c r="AY375" s="41">
        <f>SUM(T375:W375)</f>
        <v>1824</v>
      </c>
      <c r="AZ375" s="41">
        <f>SUM(X375:AA375)</f>
        <v>2007</v>
      </c>
      <c r="BA375" s="41">
        <f>SUM(AB375:AE375)</f>
        <v>2177.6663373720553</v>
      </c>
      <c r="BB375" s="41">
        <f>SUM(AF375:AI375)</f>
        <v>2316.7768058245128</v>
      </c>
      <c r="BC375" s="431">
        <f>BC394*BC405*1000/BC1</f>
        <v>2443.0428211154363</v>
      </c>
      <c r="BD375" s="431">
        <f>BD394*BD405*1000/BD1</f>
        <v>2576.7498944332406</v>
      </c>
      <c r="BE375" s="431">
        <f>BE394*BE405*1000/BE1</f>
        <v>2717.7200680300371</v>
      </c>
      <c r="BM375"/>
      <c r="BN375"/>
      <c r="BO375"/>
      <c r="BP375"/>
      <c r="BQ375"/>
      <c r="BR375"/>
    </row>
    <row r="376" spans="1:70" s="369" customFormat="1" x14ac:dyDescent="0.2">
      <c r="A376" s="411"/>
      <c r="B376" s="321"/>
      <c r="C376" s="321" t="s">
        <v>21</v>
      </c>
      <c r="D376" s="520">
        <f t="shared" ref="D376:AE376" si="864">SUM(D374:D375)</f>
        <v>1382</v>
      </c>
      <c r="E376" s="520">
        <f t="shared" si="864"/>
        <v>1343</v>
      </c>
      <c r="F376" s="520">
        <f t="shared" si="864"/>
        <v>1333</v>
      </c>
      <c r="G376" s="520">
        <f t="shared" si="864"/>
        <v>1346</v>
      </c>
      <c r="H376" s="520">
        <f t="shared" si="864"/>
        <v>1307</v>
      </c>
      <c r="I376" s="520">
        <f t="shared" si="864"/>
        <v>1273</v>
      </c>
      <c r="J376" s="520">
        <f t="shared" si="864"/>
        <v>1240</v>
      </c>
      <c r="K376" s="520">
        <f t="shared" si="864"/>
        <v>1271</v>
      </c>
      <c r="L376" s="520">
        <f t="shared" si="864"/>
        <v>1230</v>
      </c>
      <c r="M376" s="520">
        <f t="shared" si="864"/>
        <v>1271</v>
      </c>
      <c r="N376" s="520">
        <f t="shared" si="864"/>
        <v>1264</v>
      </c>
      <c r="O376" s="520">
        <f t="shared" si="864"/>
        <v>1204</v>
      </c>
      <c r="P376" s="520">
        <f t="shared" si="864"/>
        <v>1134</v>
      </c>
      <c r="Q376" s="520">
        <f t="shared" si="864"/>
        <v>1155</v>
      </c>
      <c r="R376" s="520">
        <f t="shared" si="864"/>
        <v>1105</v>
      </c>
      <c r="S376" s="520">
        <f t="shared" si="864"/>
        <v>1096</v>
      </c>
      <c r="T376" s="520">
        <f t="shared" si="864"/>
        <v>1101</v>
      </c>
      <c r="U376" s="520">
        <f t="shared" si="864"/>
        <v>1117</v>
      </c>
      <c r="V376" s="520">
        <f t="shared" si="864"/>
        <v>1136</v>
      </c>
      <c r="W376" s="520">
        <f t="shared" si="864"/>
        <v>1110</v>
      </c>
      <c r="X376" s="520">
        <f t="shared" si="864"/>
        <v>1114</v>
      </c>
      <c r="Y376" s="520">
        <f t="shared" ref="Y376:Z376" si="865">SUM(Y374:Y375)</f>
        <v>1161</v>
      </c>
      <c r="Z376" s="520">
        <f t="shared" si="865"/>
        <v>1208</v>
      </c>
      <c r="AA376" s="520">
        <f t="shared" ref="AA376:AB376" si="866">SUM(AA374:AA375)</f>
        <v>1219</v>
      </c>
      <c r="AB376" s="520">
        <f t="shared" si="866"/>
        <v>1233</v>
      </c>
      <c r="AC376" s="520">
        <f t="shared" si="864"/>
        <v>1271.4401326027396</v>
      </c>
      <c r="AD376" s="520">
        <f t="shared" si="864"/>
        <v>1309.9741313150685</v>
      </c>
      <c r="AE376" s="520">
        <f t="shared" si="864"/>
        <v>1336.1736139413701</v>
      </c>
      <c r="AF376" s="520">
        <f t="shared" ref="AF376:AI376" si="867">SUM(AF374:AF375)</f>
        <v>1324.4505786552081</v>
      </c>
      <c r="AG376" s="520">
        <f t="shared" si="867"/>
        <v>1353.8867230852493</v>
      </c>
      <c r="AH376" s="520">
        <f t="shared" si="867"/>
        <v>1393.9952607156185</v>
      </c>
      <c r="AI376" s="520">
        <f t="shared" si="867"/>
        <v>1426.227981565168</v>
      </c>
      <c r="AJ376" s="522"/>
      <c r="AK376" s="522"/>
      <c r="AL376" s="522"/>
      <c r="AM376" s="522"/>
      <c r="AN376" s="522"/>
      <c r="AO376" s="522"/>
      <c r="AP376" s="522"/>
      <c r="AQ376" s="522"/>
      <c r="AR376" s="70"/>
      <c r="AS376" s="321"/>
      <c r="AT376" s="321" t="s">
        <v>21</v>
      </c>
      <c r="AU376" s="521">
        <f t="shared" ref="AU376:BD376" si="868">SUM(AU374:AU375)</f>
        <v>5404</v>
      </c>
      <c r="AV376" s="521">
        <f t="shared" si="868"/>
        <v>5091</v>
      </c>
      <c r="AW376" s="521">
        <f t="shared" si="868"/>
        <v>4969</v>
      </c>
      <c r="AX376" s="521">
        <f t="shared" si="868"/>
        <v>4490</v>
      </c>
      <c r="AY376" s="521">
        <f t="shared" si="868"/>
        <v>4464</v>
      </c>
      <c r="AZ376" s="521">
        <f t="shared" si="868"/>
        <v>4702</v>
      </c>
      <c r="BA376" s="521">
        <f t="shared" si="868"/>
        <v>5150.5878778591778</v>
      </c>
      <c r="BB376" s="521">
        <f t="shared" ref="BB376" si="869">SUM(BB374:BB375)</f>
        <v>5498.5605440212439</v>
      </c>
      <c r="BC376" s="520">
        <f t="shared" si="868"/>
        <v>5798.1694573758086</v>
      </c>
      <c r="BD376" s="520">
        <f t="shared" si="868"/>
        <v>6140.5966179493462</v>
      </c>
      <c r="BE376" s="520">
        <f t="shared" ref="BE376" si="870">SUM(BE374:BE375)</f>
        <v>6502.7710709367975</v>
      </c>
      <c r="BM376"/>
      <c r="BN376"/>
      <c r="BO376"/>
      <c r="BP376"/>
      <c r="BQ376"/>
      <c r="BR376"/>
    </row>
    <row r="377" spans="1:70" s="369" customFormat="1" x14ac:dyDescent="0.2">
      <c r="A377" s="830"/>
      <c r="C377" s="382"/>
      <c r="D377" s="465"/>
      <c r="E377" s="465"/>
      <c r="F377" s="465"/>
      <c r="G377" s="465"/>
      <c r="H377" s="465"/>
      <c r="I377" s="465"/>
      <c r="J377" s="465"/>
      <c r="K377" s="465"/>
      <c r="L377" s="465"/>
      <c r="M377" s="465"/>
      <c r="N377" s="465"/>
      <c r="O377" s="465"/>
      <c r="P377" s="465"/>
      <c r="Q377" s="465"/>
      <c r="R377" s="465"/>
      <c r="S377" s="465"/>
      <c r="T377" s="465"/>
      <c r="U377" s="465"/>
      <c r="V377" s="465"/>
      <c r="W377" s="465"/>
      <c r="X377" s="465"/>
      <c r="Y377" s="465"/>
      <c r="Z377" s="465"/>
      <c r="AA377" s="465"/>
      <c r="AB377" s="465"/>
      <c r="AR377" s="70"/>
      <c r="AT377" s="382"/>
      <c r="AU377" s="519"/>
      <c r="AV377" s="351"/>
      <c r="AW377" s="465"/>
      <c r="AX377" s="519"/>
      <c r="AY377" s="465"/>
      <c r="BA377" s="382"/>
      <c r="BB377" s="382"/>
      <c r="BM377"/>
      <c r="BN377"/>
      <c r="BO377"/>
      <c r="BP377"/>
      <c r="BQ377"/>
      <c r="BR377"/>
    </row>
    <row r="378" spans="1:70" s="369" customFormat="1" x14ac:dyDescent="0.2">
      <c r="A378" s="411"/>
      <c r="B378" s="340" t="s">
        <v>233</v>
      </c>
      <c r="C378" s="388"/>
      <c r="D378" s="509"/>
      <c r="E378" s="509"/>
      <c r="F378" s="509"/>
      <c r="G378" s="509"/>
      <c r="H378" s="509"/>
      <c r="I378" s="509"/>
      <c r="J378" s="509"/>
      <c r="K378" s="509"/>
      <c r="L378" s="509"/>
      <c r="M378" s="509"/>
      <c r="N378" s="509"/>
      <c r="O378" s="509"/>
      <c r="P378" s="509"/>
      <c r="Q378" s="509"/>
      <c r="R378" s="509"/>
      <c r="S378" s="509"/>
      <c r="T378" s="509"/>
      <c r="U378" s="509"/>
      <c r="V378" s="509"/>
      <c r="W378" s="509"/>
      <c r="X378" s="509"/>
      <c r="Y378" s="509"/>
      <c r="Z378" s="509"/>
      <c r="AA378" s="509"/>
      <c r="AB378" s="509"/>
      <c r="AC378" s="367"/>
      <c r="AD378" s="367"/>
      <c r="AE378" s="367"/>
      <c r="AF378" s="367"/>
      <c r="AG378" s="367"/>
      <c r="AH378" s="367"/>
      <c r="AI378" s="367"/>
      <c r="AJ378" s="367"/>
      <c r="AK378" s="367"/>
      <c r="AL378" s="367"/>
      <c r="AM378" s="367"/>
      <c r="AN378" s="367"/>
      <c r="AO378" s="367"/>
      <c r="AP378" s="367"/>
      <c r="AQ378" s="367"/>
      <c r="AR378" s="70"/>
      <c r="AS378" s="340" t="s">
        <v>233</v>
      </c>
      <c r="AT378" s="388"/>
      <c r="AU378" s="12"/>
      <c r="AV378" s="12"/>
      <c r="AW378" s="12"/>
      <c r="AX378" s="12"/>
      <c r="AY378" s="12"/>
      <c r="AZ378" s="12"/>
      <c r="BA378" s="12"/>
      <c r="BB378" s="12"/>
      <c r="BC378" s="367"/>
      <c r="BD378" s="367"/>
      <c r="BE378" s="367"/>
      <c r="BM378"/>
      <c r="BN378"/>
      <c r="BO378"/>
      <c r="BP378"/>
      <c r="BQ378"/>
      <c r="BR378"/>
    </row>
    <row r="379" spans="1:70" s="369" customFormat="1" x14ac:dyDescent="0.2">
      <c r="A379" s="411"/>
      <c r="B379" s="321" t="s">
        <v>74</v>
      </c>
      <c r="C379" s="319"/>
      <c r="D379" s="379">
        <f t="shared" ref="D379:X379" si="871">D369-D374</f>
        <v>423</v>
      </c>
      <c r="E379" s="379">
        <f t="shared" si="871"/>
        <v>387</v>
      </c>
      <c r="F379" s="379">
        <f t="shared" si="871"/>
        <v>438</v>
      </c>
      <c r="G379" s="379">
        <f t="shared" si="871"/>
        <v>432</v>
      </c>
      <c r="H379" s="379">
        <f t="shared" si="871"/>
        <v>472</v>
      </c>
      <c r="I379" s="379">
        <f t="shared" si="871"/>
        <v>482</v>
      </c>
      <c r="J379" s="379">
        <f t="shared" si="871"/>
        <v>424</v>
      </c>
      <c r="K379" s="379">
        <f t="shared" si="871"/>
        <v>384</v>
      </c>
      <c r="L379" s="379">
        <f t="shared" si="871"/>
        <v>491</v>
      </c>
      <c r="M379" s="379">
        <f t="shared" si="871"/>
        <v>477</v>
      </c>
      <c r="N379" s="379">
        <f t="shared" si="871"/>
        <v>492</v>
      </c>
      <c r="O379" s="379">
        <f t="shared" si="871"/>
        <v>421</v>
      </c>
      <c r="P379" s="379">
        <f t="shared" si="871"/>
        <v>485</v>
      </c>
      <c r="Q379" s="379">
        <f t="shared" si="871"/>
        <v>500</v>
      </c>
      <c r="R379" s="379">
        <f t="shared" si="871"/>
        <v>409</v>
      </c>
      <c r="S379" s="379">
        <f t="shared" si="871"/>
        <v>363</v>
      </c>
      <c r="T379" s="379">
        <f t="shared" si="871"/>
        <v>378</v>
      </c>
      <c r="U379" s="379">
        <f t="shared" si="871"/>
        <v>412</v>
      </c>
      <c r="V379" s="379">
        <f t="shared" si="871"/>
        <v>424</v>
      </c>
      <c r="W379" s="379">
        <f t="shared" si="871"/>
        <v>393</v>
      </c>
      <c r="X379" s="379">
        <f t="shared" si="871"/>
        <v>427</v>
      </c>
      <c r="Y379" s="379">
        <f t="shared" ref="Y379:Z379" si="872">Y369-Y374</f>
        <v>427</v>
      </c>
      <c r="Z379" s="379">
        <f t="shared" si="872"/>
        <v>473</v>
      </c>
      <c r="AA379" s="379">
        <f t="shared" ref="AA379:AB379" si="873">AA369-AA374</f>
        <v>443</v>
      </c>
      <c r="AB379" s="379">
        <f t="shared" si="873"/>
        <v>490</v>
      </c>
      <c r="AC379" s="431">
        <f t="shared" ref="AC379:AE379" si="874">AC397*AC402*1000/AC1</f>
        <v>499.08389041095887</v>
      </c>
      <c r="AD379" s="431">
        <f t="shared" si="874"/>
        <v>509.61401205479456</v>
      </c>
      <c r="AE379" s="431">
        <f t="shared" si="874"/>
        <v>501.8423983709589</v>
      </c>
      <c r="AF379" s="431">
        <f t="shared" ref="AF379:AI379" si="875">AF397*AF402*1000/AF1</f>
        <v>478.04264850841651</v>
      </c>
      <c r="AG379" s="431">
        <f t="shared" si="875"/>
        <v>493.38126280364219</v>
      </c>
      <c r="AH379" s="431">
        <f t="shared" si="875"/>
        <v>543.56404410881771</v>
      </c>
      <c r="AI379" s="431">
        <f t="shared" si="875"/>
        <v>534.54883557237883</v>
      </c>
      <c r="AJ379" s="431"/>
      <c r="AK379" s="431"/>
      <c r="AL379" s="431"/>
      <c r="AM379" s="431"/>
      <c r="AN379" s="431"/>
      <c r="AO379" s="431"/>
      <c r="AP379" s="431"/>
      <c r="AQ379" s="431"/>
      <c r="AR379" s="70"/>
      <c r="AS379" s="321" t="s">
        <v>74</v>
      </c>
      <c r="AT379" s="319"/>
      <c r="AU379" s="232">
        <f>SUM(D379:G379)</f>
        <v>1680</v>
      </c>
      <c r="AV379" s="232">
        <f>SUM(H379:K379)</f>
        <v>1762</v>
      </c>
      <c r="AW379" s="232">
        <f>SUM(L379:O379)</f>
        <v>1881</v>
      </c>
      <c r="AX379" s="232">
        <f>SUM(P379:S379)</f>
        <v>1757</v>
      </c>
      <c r="AY379" s="232">
        <f>SUM(T379:W379)</f>
        <v>1607</v>
      </c>
      <c r="AZ379" s="232">
        <f>SUM(X379:AA379)</f>
        <v>1770</v>
      </c>
      <c r="BA379" s="232">
        <f>SUM(AB379:AE379)</f>
        <v>2000.5403008367125</v>
      </c>
      <c r="BB379" s="232">
        <f>SUM(AF379:AI379)</f>
        <v>2049.5367909932552</v>
      </c>
      <c r="BC379" s="431">
        <f>BC397*BC402*1000/BC1</f>
        <v>2197.1975569972296</v>
      </c>
      <c r="BD379" s="431">
        <f>BD397*BD402*1000/BD1</f>
        <v>2307.0574348470914</v>
      </c>
      <c r="BE379" s="431">
        <f>BE397*BE402*1000/BE1</f>
        <v>2422.410306589446</v>
      </c>
      <c r="BM379"/>
      <c r="BN379"/>
      <c r="BO379"/>
      <c r="BP379"/>
      <c r="BQ379"/>
      <c r="BR379"/>
    </row>
    <row r="380" spans="1:70" s="369" customFormat="1" x14ac:dyDescent="0.2">
      <c r="A380" s="411"/>
      <c r="B380" s="321" t="s">
        <v>195</v>
      </c>
      <c r="C380" s="319"/>
      <c r="D380" s="379">
        <f t="shared" ref="D380:X380" si="876">D370-D375</f>
        <v>210</v>
      </c>
      <c r="E380" s="379">
        <f t="shared" si="876"/>
        <v>233</v>
      </c>
      <c r="F380" s="379">
        <f t="shared" si="876"/>
        <v>235</v>
      </c>
      <c r="G380" s="379">
        <f t="shared" si="876"/>
        <v>248</v>
      </c>
      <c r="H380" s="379">
        <f t="shared" si="876"/>
        <v>229</v>
      </c>
      <c r="I380" s="379">
        <f t="shared" si="876"/>
        <v>261</v>
      </c>
      <c r="J380" s="379">
        <f t="shared" si="876"/>
        <v>249</v>
      </c>
      <c r="K380" s="379">
        <f t="shared" si="876"/>
        <v>247</v>
      </c>
      <c r="L380" s="379">
        <f t="shared" si="876"/>
        <v>225</v>
      </c>
      <c r="M380" s="379">
        <f t="shared" si="876"/>
        <v>250</v>
      </c>
      <c r="N380" s="379">
        <f t="shared" si="876"/>
        <v>252</v>
      </c>
      <c r="O380" s="379">
        <f t="shared" si="876"/>
        <v>214</v>
      </c>
      <c r="P380" s="379">
        <f t="shared" si="876"/>
        <v>191</v>
      </c>
      <c r="Q380" s="379">
        <f t="shared" si="876"/>
        <v>205</v>
      </c>
      <c r="R380" s="379">
        <f t="shared" si="876"/>
        <v>184</v>
      </c>
      <c r="S380" s="379">
        <f t="shared" si="876"/>
        <v>187</v>
      </c>
      <c r="T380" s="379">
        <f t="shared" si="876"/>
        <v>176</v>
      </c>
      <c r="U380" s="379">
        <f t="shared" si="876"/>
        <v>200</v>
      </c>
      <c r="V380" s="379">
        <f t="shared" si="876"/>
        <v>198</v>
      </c>
      <c r="W380" s="379">
        <f t="shared" si="876"/>
        <v>193</v>
      </c>
      <c r="X380" s="379">
        <f t="shared" si="876"/>
        <v>193</v>
      </c>
      <c r="Y380" s="379">
        <f t="shared" ref="Y380:Z380" si="877">Y370-Y375</f>
        <v>231</v>
      </c>
      <c r="Z380" s="379">
        <f t="shared" si="877"/>
        <v>204</v>
      </c>
      <c r="AA380" s="379">
        <f t="shared" ref="AA380:AB380" si="878">AA370-AA375</f>
        <v>246</v>
      </c>
      <c r="AB380" s="379">
        <f t="shared" si="878"/>
        <v>206</v>
      </c>
      <c r="AC380" s="431">
        <f t="shared" ref="AC380:AE380" si="879">AC398*AC422*1000</f>
        <v>221.1</v>
      </c>
      <c r="AD380" s="431">
        <f t="shared" si="879"/>
        <v>225.69540000000003</v>
      </c>
      <c r="AE380" s="431">
        <f t="shared" si="879"/>
        <v>241.25040000000004</v>
      </c>
      <c r="AF380" s="431">
        <f t="shared" ref="AF380:AI380" si="880">AF398*AF422*1000</f>
        <v>239.25200000000001</v>
      </c>
      <c r="AG380" s="431">
        <f t="shared" si="880"/>
        <v>246.08430000000004</v>
      </c>
      <c r="AH380" s="431">
        <f t="shared" si="880"/>
        <v>246.27350999999999</v>
      </c>
      <c r="AI380" s="431">
        <f t="shared" si="880"/>
        <v>263.24676000000005</v>
      </c>
      <c r="AJ380" s="431"/>
      <c r="AK380" s="431"/>
      <c r="AL380" s="431"/>
      <c r="AM380" s="431"/>
      <c r="AN380" s="431"/>
      <c r="AO380" s="431"/>
      <c r="AP380" s="431"/>
      <c r="AQ380" s="431"/>
      <c r="AR380" s="70"/>
      <c r="AS380" s="321" t="s">
        <v>195</v>
      </c>
      <c r="AT380" s="319"/>
      <c r="AU380" s="41">
        <f>SUM(D380:G380)</f>
        <v>926</v>
      </c>
      <c r="AV380" s="41">
        <f>SUM(H380:K380)</f>
        <v>986</v>
      </c>
      <c r="AW380" s="41">
        <f>SUM(L380:O380)</f>
        <v>941</v>
      </c>
      <c r="AX380" s="41">
        <f>SUM(P380:S380)</f>
        <v>767</v>
      </c>
      <c r="AY380" s="41">
        <f>SUM(T380:W380)</f>
        <v>767</v>
      </c>
      <c r="AZ380" s="41">
        <f>SUM(X380:AA380)</f>
        <v>874</v>
      </c>
      <c r="BA380" s="41">
        <f>SUM(AB380:AE380)</f>
        <v>894.0458000000001</v>
      </c>
      <c r="BB380" s="41">
        <f>SUM(AF380:AI380)</f>
        <v>994.85657000000015</v>
      </c>
      <c r="BC380" s="431">
        <f>BC398*BC422*1000</f>
        <v>1056.9864942000004</v>
      </c>
      <c r="BD380" s="431">
        <f>BD398*BD422*1000</f>
        <v>1120.4056838520005</v>
      </c>
      <c r="BE380" s="431">
        <f>BE398*BE422*1000</f>
        <v>1187.6300248831205</v>
      </c>
      <c r="BM380"/>
      <c r="BN380"/>
      <c r="BO380"/>
      <c r="BP380"/>
      <c r="BQ380"/>
      <c r="BR380"/>
    </row>
    <row r="381" spans="1:70" s="369" customFormat="1" x14ac:dyDescent="0.2">
      <c r="A381" s="411"/>
      <c r="B381" s="321"/>
      <c r="C381" s="319" t="s">
        <v>21</v>
      </c>
      <c r="D381" s="520">
        <f t="shared" ref="D381:AE381" si="881">SUM(D379:D380)</f>
        <v>633</v>
      </c>
      <c r="E381" s="520">
        <f t="shared" si="881"/>
        <v>620</v>
      </c>
      <c r="F381" s="520">
        <f t="shared" si="881"/>
        <v>673</v>
      </c>
      <c r="G381" s="520">
        <f t="shared" si="881"/>
        <v>680</v>
      </c>
      <c r="H381" s="520">
        <f t="shared" si="881"/>
        <v>701</v>
      </c>
      <c r="I381" s="520">
        <f t="shared" si="881"/>
        <v>743</v>
      </c>
      <c r="J381" s="520">
        <f t="shared" si="881"/>
        <v>673</v>
      </c>
      <c r="K381" s="520">
        <f t="shared" si="881"/>
        <v>631</v>
      </c>
      <c r="L381" s="520">
        <f t="shared" si="881"/>
        <v>716</v>
      </c>
      <c r="M381" s="520">
        <f t="shared" si="881"/>
        <v>727</v>
      </c>
      <c r="N381" s="520">
        <f t="shared" si="881"/>
        <v>744</v>
      </c>
      <c r="O381" s="520">
        <f t="shared" si="881"/>
        <v>635</v>
      </c>
      <c r="P381" s="520">
        <f t="shared" si="881"/>
        <v>676</v>
      </c>
      <c r="Q381" s="520">
        <f t="shared" si="881"/>
        <v>705</v>
      </c>
      <c r="R381" s="520">
        <f t="shared" si="881"/>
        <v>593</v>
      </c>
      <c r="S381" s="520">
        <f t="shared" si="881"/>
        <v>550</v>
      </c>
      <c r="T381" s="520">
        <f t="shared" si="881"/>
        <v>554</v>
      </c>
      <c r="U381" s="520">
        <f t="shared" si="881"/>
        <v>612</v>
      </c>
      <c r="V381" s="520">
        <f t="shared" si="881"/>
        <v>622</v>
      </c>
      <c r="W381" s="520">
        <f t="shared" si="881"/>
        <v>586</v>
      </c>
      <c r="X381" s="520">
        <f t="shared" si="881"/>
        <v>620</v>
      </c>
      <c r="Y381" s="520">
        <f t="shared" ref="Y381:Z381" si="882">SUM(Y379:Y380)</f>
        <v>658</v>
      </c>
      <c r="Z381" s="520">
        <f t="shared" si="882"/>
        <v>677</v>
      </c>
      <c r="AA381" s="520">
        <f t="shared" ref="AA381:AB381" si="883">SUM(AA379:AA380)</f>
        <v>689</v>
      </c>
      <c r="AB381" s="520">
        <f t="shared" si="883"/>
        <v>696</v>
      </c>
      <c r="AC381" s="520">
        <f t="shared" si="881"/>
        <v>720.18389041095884</v>
      </c>
      <c r="AD381" s="520">
        <f t="shared" si="881"/>
        <v>735.30941205479462</v>
      </c>
      <c r="AE381" s="520">
        <f t="shared" si="881"/>
        <v>743.09279837095892</v>
      </c>
      <c r="AF381" s="520">
        <f t="shared" ref="AF381:AI381" si="884">SUM(AF379:AF380)</f>
        <v>717.29464850841646</v>
      </c>
      <c r="AG381" s="520">
        <f t="shared" si="884"/>
        <v>739.46556280364223</v>
      </c>
      <c r="AH381" s="520">
        <f t="shared" si="884"/>
        <v>789.8375541088177</v>
      </c>
      <c r="AI381" s="520">
        <f t="shared" si="884"/>
        <v>797.79559557237894</v>
      </c>
      <c r="AJ381" s="522"/>
      <c r="AK381" s="522"/>
      <c r="AL381" s="522"/>
      <c r="AM381" s="522"/>
      <c r="AN381" s="522"/>
      <c r="AO381" s="522"/>
      <c r="AP381" s="522"/>
      <c r="AQ381" s="522"/>
      <c r="AR381" s="70"/>
      <c r="AS381" s="321"/>
      <c r="AT381" s="319" t="s">
        <v>21</v>
      </c>
      <c r="AU381" s="521">
        <f t="shared" ref="AU381:BD381" si="885">SUM(AU379:AU380)</f>
        <v>2606</v>
      </c>
      <c r="AV381" s="521">
        <f t="shared" si="885"/>
        <v>2748</v>
      </c>
      <c r="AW381" s="521">
        <f t="shared" si="885"/>
        <v>2822</v>
      </c>
      <c r="AX381" s="521">
        <f t="shared" si="885"/>
        <v>2524</v>
      </c>
      <c r="AY381" s="521">
        <f t="shared" si="885"/>
        <v>2374</v>
      </c>
      <c r="AZ381" s="521">
        <f t="shared" si="885"/>
        <v>2644</v>
      </c>
      <c r="BA381" s="521">
        <f t="shared" si="885"/>
        <v>2894.5861008367128</v>
      </c>
      <c r="BB381" s="521">
        <f t="shared" ref="BB381" si="886">SUM(BB379:BB380)</f>
        <v>3044.3933609932556</v>
      </c>
      <c r="BC381" s="520">
        <f t="shared" si="885"/>
        <v>3254.18405119723</v>
      </c>
      <c r="BD381" s="520">
        <f t="shared" si="885"/>
        <v>3427.4631186990919</v>
      </c>
      <c r="BE381" s="520">
        <f t="shared" ref="BE381" si="887">SUM(BE379:BE380)</f>
        <v>3610.0403314725663</v>
      </c>
      <c r="BM381"/>
      <c r="BN381"/>
      <c r="BO381"/>
      <c r="BP381"/>
      <c r="BQ381"/>
      <c r="BR381"/>
    </row>
    <row r="382" spans="1:70" s="369" customFormat="1" x14ac:dyDescent="0.2">
      <c r="A382" s="830"/>
      <c r="C382" s="382"/>
      <c r="D382" s="522"/>
      <c r="E382" s="522"/>
      <c r="F382" s="522"/>
      <c r="G382" s="522"/>
      <c r="H382" s="522"/>
      <c r="I382" s="522"/>
      <c r="J382" s="522"/>
      <c r="K382" s="522"/>
      <c r="L382" s="522"/>
      <c r="M382" s="522"/>
      <c r="N382" s="522"/>
      <c r="O382" s="522"/>
      <c r="P382" s="522"/>
      <c r="Q382" s="522"/>
      <c r="R382" s="522"/>
      <c r="S382" s="522"/>
      <c r="T382" s="522"/>
      <c r="U382" s="522"/>
      <c r="V382" s="522"/>
      <c r="W382" s="522"/>
      <c r="X382" s="522"/>
      <c r="Y382" s="522"/>
      <c r="Z382" s="522"/>
      <c r="AA382" s="522"/>
      <c r="AB382" s="522"/>
      <c r="AC382" s="351"/>
      <c r="AD382" s="465"/>
      <c r="AE382" s="465"/>
      <c r="AF382" s="465"/>
      <c r="AG382" s="465"/>
      <c r="AH382" s="465"/>
      <c r="AI382" s="351"/>
      <c r="AJ382" s="351"/>
      <c r="AK382" s="351"/>
      <c r="AL382" s="351"/>
      <c r="AM382" s="351"/>
      <c r="AN382" s="351"/>
      <c r="AO382" s="351"/>
      <c r="AP382" s="351"/>
      <c r="AQ382" s="351"/>
      <c r="AR382" s="70"/>
      <c r="AT382" s="382"/>
      <c r="AU382" s="519"/>
      <c r="AV382" s="351"/>
      <c r="AW382" s="465"/>
      <c r="AX382" s="519"/>
      <c r="AY382" s="465"/>
      <c r="BA382" s="382"/>
      <c r="BB382" s="382"/>
      <c r="BM382"/>
      <c r="BN382"/>
      <c r="BO382"/>
      <c r="BP382"/>
      <c r="BQ382"/>
      <c r="BR382"/>
    </row>
    <row r="383" spans="1:70" s="382" customFormat="1" x14ac:dyDescent="0.2">
      <c r="A383" s="833"/>
      <c r="B383" s="340" t="s">
        <v>96</v>
      </c>
      <c r="C383" s="388"/>
      <c r="D383" s="524"/>
      <c r="E383" s="524"/>
      <c r="F383" s="524"/>
      <c r="G383" s="524"/>
      <c r="H383" s="524"/>
      <c r="I383" s="524"/>
      <c r="J383" s="524"/>
      <c r="K383" s="524"/>
      <c r="L383" s="524"/>
      <c r="M383" s="524"/>
      <c r="N383" s="524"/>
      <c r="O383" s="524"/>
      <c r="P383" s="524"/>
      <c r="Q383" s="524"/>
      <c r="R383" s="524"/>
      <c r="S383" s="524"/>
      <c r="T383" s="524"/>
      <c r="U383" s="524"/>
      <c r="V383" s="524"/>
      <c r="W383" s="524"/>
      <c r="X383" s="524"/>
      <c r="Y383" s="524"/>
      <c r="Z383" s="524"/>
      <c r="AA383" s="524"/>
      <c r="AB383" s="524"/>
      <c r="AC383" s="525"/>
      <c r="AD383" s="525"/>
      <c r="AE383" s="525"/>
      <c r="AF383" s="525"/>
      <c r="AG383" s="525"/>
      <c r="AH383" s="525"/>
      <c r="AI383" s="525"/>
      <c r="AJ383" s="525"/>
      <c r="AK383" s="525"/>
      <c r="AL383" s="525"/>
      <c r="AM383" s="525"/>
      <c r="AN383" s="525"/>
      <c r="AO383" s="525"/>
      <c r="AP383" s="525"/>
      <c r="AQ383" s="525"/>
      <c r="AR383" s="70"/>
      <c r="AS383" s="340" t="s">
        <v>96</v>
      </c>
      <c r="AT383" s="388"/>
      <c r="AU383" s="12"/>
      <c r="AV383" s="12"/>
      <c r="AW383" s="12"/>
      <c r="AX383" s="12"/>
      <c r="AY383" s="12"/>
      <c r="AZ383" s="12"/>
      <c r="BA383" s="12"/>
      <c r="BB383" s="12"/>
      <c r="BC383" s="12"/>
      <c r="BD383" s="12"/>
      <c r="BE383" s="12"/>
      <c r="BM383"/>
      <c r="BN383"/>
      <c r="BO383"/>
      <c r="BP383"/>
      <c r="BQ383"/>
      <c r="BR383"/>
    </row>
    <row r="384" spans="1:70" s="369" customFormat="1" x14ac:dyDescent="0.2">
      <c r="A384" s="411"/>
      <c r="B384" s="321" t="s">
        <v>74</v>
      </c>
      <c r="C384" s="321"/>
      <c r="D384" s="514">
        <v>276</v>
      </c>
      <c r="E384" s="514">
        <v>230</v>
      </c>
      <c r="F384" s="514">
        <v>238</v>
      </c>
      <c r="G384" s="514">
        <v>148</v>
      </c>
      <c r="H384" s="514">
        <v>218</v>
      </c>
      <c r="I384" s="514">
        <v>198</v>
      </c>
      <c r="J384" s="514">
        <v>167</v>
      </c>
      <c r="K384" s="514">
        <v>130</v>
      </c>
      <c r="L384" s="514">
        <v>198</v>
      </c>
      <c r="M384" s="514">
        <v>57</v>
      </c>
      <c r="N384" s="514">
        <v>227</v>
      </c>
      <c r="O384" s="514">
        <v>181</v>
      </c>
      <c r="P384" s="514">
        <v>221</v>
      </c>
      <c r="Q384" s="514">
        <v>222</v>
      </c>
      <c r="R384" s="514">
        <v>185</v>
      </c>
      <c r="S384" s="514">
        <v>111</v>
      </c>
      <c r="T384" s="514">
        <v>119</v>
      </c>
      <c r="U384" s="514">
        <v>204</v>
      </c>
      <c r="V384" s="514">
        <v>190</v>
      </c>
      <c r="W384" s="514">
        <v>165</v>
      </c>
      <c r="X384" s="514">
        <v>171</v>
      </c>
      <c r="Y384" s="514">
        <v>198</v>
      </c>
      <c r="Z384" s="514">
        <v>248</v>
      </c>
      <c r="AA384" s="514">
        <v>201</v>
      </c>
      <c r="AB384" s="514">
        <v>246</v>
      </c>
      <c r="AC384" s="20" t="s">
        <v>226</v>
      </c>
      <c r="AD384" s="20" t="s">
        <v>226</v>
      </c>
      <c r="AE384" s="20" t="s">
        <v>226</v>
      </c>
      <c r="AF384" s="20" t="s">
        <v>226</v>
      </c>
      <c r="AG384" s="20" t="s">
        <v>226</v>
      </c>
      <c r="AH384" s="20" t="s">
        <v>226</v>
      </c>
      <c r="AI384" s="20" t="s">
        <v>226</v>
      </c>
      <c r="AJ384" s="20"/>
      <c r="AK384" s="20"/>
      <c r="AL384" s="20"/>
      <c r="AM384" s="20"/>
      <c r="AN384" s="20"/>
      <c r="AO384" s="20"/>
      <c r="AP384" s="20"/>
      <c r="AQ384" s="20"/>
      <c r="AR384" s="70"/>
      <c r="AS384" s="321" t="s">
        <v>74</v>
      </c>
      <c r="AT384" s="321"/>
      <c r="AU384" s="232">
        <f>SUM(D384:G384)</f>
        <v>892</v>
      </c>
      <c r="AV384" s="232">
        <f>SUM(H384:K384)</f>
        <v>713</v>
      </c>
      <c r="AW384" s="232">
        <f>SUM(L384:O384)</f>
        <v>663</v>
      </c>
      <c r="AX384" s="232">
        <f>SUM(P384:S384)</f>
        <v>739</v>
      </c>
      <c r="AY384" s="232">
        <f>SUM(T384:W384)</f>
        <v>678</v>
      </c>
      <c r="AZ384" s="252" t="s">
        <v>226</v>
      </c>
      <c r="BA384" s="252" t="s">
        <v>226</v>
      </c>
      <c r="BB384" s="252" t="s">
        <v>226</v>
      </c>
      <c r="BC384" s="252" t="s">
        <v>226</v>
      </c>
      <c r="BD384" s="252" t="s">
        <v>226</v>
      </c>
      <c r="BE384" s="252" t="s">
        <v>226</v>
      </c>
      <c r="BM384"/>
      <c r="BN384"/>
      <c r="BO384"/>
      <c r="BP384"/>
      <c r="BQ384"/>
      <c r="BR384"/>
    </row>
    <row r="385" spans="1:70" s="369" customFormat="1" x14ac:dyDescent="0.2">
      <c r="A385" s="411"/>
      <c r="B385" s="321" t="s">
        <v>75</v>
      </c>
      <c r="C385" s="321"/>
      <c r="D385" s="526">
        <v>169</v>
      </c>
      <c r="E385" s="526">
        <v>189</v>
      </c>
      <c r="F385" s="526">
        <v>180</v>
      </c>
      <c r="G385" s="526">
        <v>172</v>
      </c>
      <c r="H385" s="526">
        <v>149</v>
      </c>
      <c r="I385" s="526">
        <v>192</v>
      </c>
      <c r="J385" s="526">
        <v>180</v>
      </c>
      <c r="K385" s="526">
        <v>168</v>
      </c>
      <c r="L385" s="526">
        <v>161</v>
      </c>
      <c r="M385" s="526">
        <v>153</v>
      </c>
      <c r="N385" s="526">
        <v>143</v>
      </c>
      <c r="O385" s="526">
        <v>101</v>
      </c>
      <c r="P385" s="526">
        <v>118</v>
      </c>
      <c r="Q385" s="526">
        <v>116</v>
      </c>
      <c r="R385" s="526">
        <v>121</v>
      </c>
      <c r="S385" s="526">
        <v>106</v>
      </c>
      <c r="T385" s="526">
        <v>96</v>
      </c>
      <c r="U385" s="526">
        <v>93</v>
      </c>
      <c r="V385" s="526">
        <v>120</v>
      </c>
      <c r="W385" s="526">
        <v>96</v>
      </c>
      <c r="X385" s="526">
        <v>78</v>
      </c>
      <c r="Y385" s="526">
        <v>132</v>
      </c>
      <c r="Z385" s="526">
        <v>111</v>
      </c>
      <c r="AA385" s="526">
        <v>139</v>
      </c>
      <c r="AB385" s="526">
        <v>127</v>
      </c>
      <c r="AC385" s="20" t="s">
        <v>226</v>
      </c>
      <c r="AD385" s="20" t="s">
        <v>226</v>
      </c>
      <c r="AE385" s="20" t="s">
        <v>226</v>
      </c>
      <c r="AF385" s="20" t="s">
        <v>226</v>
      </c>
      <c r="AG385" s="20" t="s">
        <v>226</v>
      </c>
      <c r="AH385" s="20" t="s">
        <v>226</v>
      </c>
      <c r="AI385" s="20" t="s">
        <v>226</v>
      </c>
      <c r="AJ385" s="20"/>
      <c r="AK385" s="20"/>
      <c r="AL385" s="20"/>
      <c r="AM385" s="20"/>
      <c r="AN385" s="20"/>
      <c r="AO385" s="20"/>
      <c r="AP385" s="20"/>
      <c r="AQ385" s="20"/>
      <c r="AR385" s="70"/>
      <c r="AS385" s="321" t="s">
        <v>75</v>
      </c>
      <c r="AT385" s="321"/>
      <c r="AU385" s="41">
        <f>SUM(D385:G385)</f>
        <v>710</v>
      </c>
      <c r="AV385" s="41">
        <f>SUM(H385:K385)</f>
        <v>689</v>
      </c>
      <c r="AW385" s="41">
        <f>SUM(L385:O385)</f>
        <v>558</v>
      </c>
      <c r="AX385" s="41">
        <f>SUM(P385:S385)</f>
        <v>461</v>
      </c>
      <c r="AY385" s="41">
        <f>SUM(T385:W385)</f>
        <v>405</v>
      </c>
      <c r="AZ385" s="259" t="s">
        <v>226</v>
      </c>
      <c r="BA385" s="259" t="s">
        <v>226</v>
      </c>
      <c r="BB385" s="259" t="s">
        <v>226</v>
      </c>
      <c r="BC385" s="259" t="s">
        <v>226</v>
      </c>
      <c r="BD385" s="259" t="s">
        <v>226</v>
      </c>
      <c r="BE385" s="259" t="s">
        <v>226</v>
      </c>
      <c r="BM385"/>
      <c r="BN385"/>
      <c r="BO385"/>
      <c r="BP385"/>
      <c r="BQ385"/>
      <c r="BR385"/>
    </row>
    <row r="386" spans="1:70" s="369" customFormat="1" ht="13.5" thickBot="1" x14ac:dyDescent="0.25">
      <c r="A386" s="411"/>
      <c r="B386" s="321"/>
      <c r="C386" s="319" t="s">
        <v>21</v>
      </c>
      <c r="D386" s="528">
        <f t="shared" ref="D386:X386" si="888">SUM(D384:D385)</f>
        <v>445</v>
      </c>
      <c r="E386" s="528">
        <f t="shared" si="888"/>
        <v>419</v>
      </c>
      <c r="F386" s="528">
        <f t="shared" si="888"/>
        <v>418</v>
      </c>
      <c r="G386" s="528">
        <f t="shared" si="888"/>
        <v>320</v>
      </c>
      <c r="H386" s="528">
        <f t="shared" si="888"/>
        <v>367</v>
      </c>
      <c r="I386" s="528">
        <f t="shared" si="888"/>
        <v>390</v>
      </c>
      <c r="J386" s="528">
        <f t="shared" si="888"/>
        <v>347</v>
      </c>
      <c r="K386" s="528">
        <f t="shared" si="888"/>
        <v>298</v>
      </c>
      <c r="L386" s="528">
        <f t="shared" si="888"/>
        <v>359</v>
      </c>
      <c r="M386" s="528">
        <f t="shared" si="888"/>
        <v>210</v>
      </c>
      <c r="N386" s="528">
        <f t="shared" si="888"/>
        <v>370</v>
      </c>
      <c r="O386" s="528">
        <f t="shared" si="888"/>
        <v>282</v>
      </c>
      <c r="P386" s="528">
        <f t="shared" si="888"/>
        <v>339</v>
      </c>
      <c r="Q386" s="528">
        <f t="shared" si="888"/>
        <v>338</v>
      </c>
      <c r="R386" s="528">
        <f t="shared" si="888"/>
        <v>306</v>
      </c>
      <c r="S386" s="528">
        <f t="shared" si="888"/>
        <v>217</v>
      </c>
      <c r="T386" s="528">
        <f t="shared" si="888"/>
        <v>215</v>
      </c>
      <c r="U386" s="528">
        <f t="shared" si="888"/>
        <v>297</v>
      </c>
      <c r="V386" s="528">
        <f t="shared" si="888"/>
        <v>310</v>
      </c>
      <c r="W386" s="528">
        <f t="shared" si="888"/>
        <v>261</v>
      </c>
      <c r="X386" s="528">
        <f t="shared" si="888"/>
        <v>249</v>
      </c>
      <c r="Y386" s="528">
        <f t="shared" ref="Y386:Z386" si="889">SUM(Y384:Y385)</f>
        <v>330</v>
      </c>
      <c r="Z386" s="528">
        <f t="shared" si="889"/>
        <v>359</v>
      </c>
      <c r="AA386" s="528">
        <f t="shared" ref="AA386:AB386" si="890">SUM(AA384:AA385)</f>
        <v>340</v>
      </c>
      <c r="AB386" s="528">
        <f t="shared" si="890"/>
        <v>373</v>
      </c>
      <c r="AC386" s="528">
        <f t="shared" ref="AC386:AE386" si="891">AC366</f>
        <v>391.9636439178081</v>
      </c>
      <c r="AD386" s="528">
        <f t="shared" si="891"/>
        <v>421.93804599749996</v>
      </c>
      <c r="AE386" s="528">
        <f t="shared" si="891"/>
        <v>418.51098825340694</v>
      </c>
      <c r="AF386" s="528">
        <f t="shared" ref="AF386:AI386" si="892">AF366</f>
        <v>428.40737494019425</v>
      </c>
      <c r="AG386" s="528">
        <f t="shared" si="892"/>
        <v>448.03217420439171</v>
      </c>
      <c r="AH386" s="528">
        <f t="shared" si="892"/>
        <v>468.74597798364442</v>
      </c>
      <c r="AI386" s="528">
        <f t="shared" si="892"/>
        <v>467.50850111512932</v>
      </c>
      <c r="AJ386" s="522"/>
      <c r="AK386" s="522"/>
      <c r="AL386" s="522"/>
      <c r="AM386" s="522"/>
      <c r="AN386" s="522"/>
      <c r="AO386" s="522"/>
      <c r="AP386" s="522"/>
      <c r="AQ386" s="522"/>
      <c r="AR386" s="70"/>
      <c r="AS386" s="321"/>
      <c r="AT386" s="319" t="s">
        <v>21</v>
      </c>
      <c r="AU386" s="521">
        <f>SUM(AU384:AU385)</f>
        <v>1602</v>
      </c>
      <c r="AV386" s="521">
        <f>SUM(AV384:AV385)</f>
        <v>1402</v>
      </c>
      <c r="AW386" s="521">
        <f>SUM(AW384:AW385)</f>
        <v>1221</v>
      </c>
      <c r="AX386" s="521">
        <f>SUM(AX384:AX385)</f>
        <v>1200</v>
      </c>
      <c r="AY386" s="521">
        <f>SUM(AY384:AY385)</f>
        <v>1083</v>
      </c>
      <c r="AZ386" s="252" t="s">
        <v>226</v>
      </c>
      <c r="BA386" s="252" t="s">
        <v>226</v>
      </c>
      <c r="BB386" s="252" t="s">
        <v>226</v>
      </c>
      <c r="BC386" s="252" t="s">
        <v>226</v>
      </c>
      <c r="BD386" s="252" t="s">
        <v>226</v>
      </c>
      <c r="BE386" s="252" t="s">
        <v>226</v>
      </c>
      <c r="BM386"/>
      <c r="BN386"/>
      <c r="BO386"/>
      <c r="BP386"/>
      <c r="BQ386"/>
      <c r="BR386"/>
    </row>
    <row r="387" spans="1:70" ht="13.5" thickTop="1" x14ac:dyDescent="0.2">
      <c r="B387" s="16"/>
      <c r="C387" s="16"/>
      <c r="D387" s="15"/>
      <c r="E387" s="15"/>
      <c r="F387" s="15"/>
      <c r="G387" s="15"/>
      <c r="H387" s="15"/>
      <c r="I387" s="15"/>
      <c r="J387" s="15"/>
      <c r="K387" s="15"/>
      <c r="L387" s="15"/>
      <c r="M387" s="15"/>
      <c r="N387" s="15"/>
      <c r="O387" s="15"/>
      <c r="P387" s="15"/>
      <c r="Q387" s="15"/>
      <c r="R387" s="15"/>
      <c r="S387" s="15"/>
      <c r="T387" s="15"/>
      <c r="U387" s="15"/>
      <c r="V387" s="15"/>
      <c r="W387" s="15"/>
      <c r="X387" s="15"/>
      <c r="Y387" s="15"/>
      <c r="Z387" s="15"/>
      <c r="AA387" s="15"/>
      <c r="AB387" s="70"/>
      <c r="AC387" s="70"/>
      <c r="AD387" s="70"/>
      <c r="AE387" s="70"/>
      <c r="AF387" s="70"/>
      <c r="AG387" s="70"/>
      <c r="AH387" s="70"/>
      <c r="AI387" s="70"/>
      <c r="AJ387" s="70"/>
      <c r="AK387" s="70"/>
      <c r="AL387" s="70"/>
      <c r="AM387" s="70"/>
      <c r="AN387" s="70"/>
      <c r="AO387" s="70"/>
      <c r="AP387" s="70"/>
      <c r="AQ387" s="70"/>
      <c r="AS387" s="16"/>
      <c r="AT387" s="16"/>
    </row>
    <row r="388" spans="1:70" x14ac:dyDescent="0.2">
      <c r="B388" s="11" t="s">
        <v>302</v>
      </c>
      <c r="C388" s="11"/>
      <c r="D388" s="12"/>
      <c r="E388" s="12"/>
      <c r="F388" s="12"/>
      <c r="G388" s="12"/>
      <c r="H388" s="12"/>
      <c r="I388" s="12"/>
      <c r="J388" s="12"/>
      <c r="K388" s="12"/>
      <c r="L388" s="12"/>
      <c r="M388" s="12"/>
      <c r="N388" s="12"/>
      <c r="O388" s="12"/>
      <c r="P388" s="12"/>
      <c r="Q388" s="12"/>
      <c r="R388" s="12"/>
      <c r="S388" s="12"/>
      <c r="T388" s="12"/>
      <c r="U388" s="12"/>
      <c r="V388" s="12"/>
      <c r="W388" s="12"/>
      <c r="X388" s="12"/>
      <c r="Y388" s="12"/>
      <c r="Z388" s="12"/>
      <c r="AA388" s="12"/>
      <c r="AB388" s="12"/>
      <c r="AC388" s="12"/>
      <c r="AD388" s="12"/>
      <c r="AE388" s="12"/>
      <c r="AF388" s="12"/>
      <c r="AG388" s="12"/>
      <c r="AH388" s="12"/>
      <c r="AI388" s="12"/>
      <c r="AJ388" s="12"/>
      <c r="AK388" s="12"/>
      <c r="AL388" s="12"/>
      <c r="AM388" s="12"/>
      <c r="AN388" s="12"/>
      <c r="AO388" s="12"/>
      <c r="AP388" s="12"/>
      <c r="AQ388" s="12"/>
      <c r="AS388" s="11" t="s">
        <v>302</v>
      </c>
      <c r="AT388" s="11"/>
      <c r="AU388" s="12"/>
      <c r="AV388" s="12"/>
      <c r="AW388" s="12"/>
      <c r="AX388" s="12"/>
      <c r="AY388" s="12"/>
      <c r="AZ388" s="12"/>
      <c r="BA388" s="12"/>
      <c r="BB388" s="12"/>
      <c r="BC388" s="12"/>
      <c r="BD388" s="12"/>
      <c r="BE388" s="12"/>
    </row>
    <row r="389" spans="1:70" s="369" customFormat="1" x14ac:dyDescent="0.2">
      <c r="A389" s="411"/>
      <c r="B389" s="334" t="s">
        <v>511</v>
      </c>
      <c r="C389" s="321"/>
      <c r="D389" s="480">
        <v>4.7800000000000002E-2</v>
      </c>
      <c r="E389" s="480">
        <v>4.6899999999999997E-2</v>
      </c>
      <c r="F389" s="480">
        <v>4.4999999999999998E-2</v>
      </c>
      <c r="G389" s="480">
        <v>4.3799999999999999E-2</v>
      </c>
      <c r="H389" s="480">
        <v>4.3299999999999998E-2</v>
      </c>
      <c r="I389" s="480">
        <v>4.2099999999999999E-2</v>
      </c>
      <c r="J389" s="480">
        <v>4.0500000000000001E-2</v>
      </c>
      <c r="K389" s="480">
        <v>4.02E-2</v>
      </c>
      <c r="L389" s="480">
        <v>3.95E-2</v>
      </c>
      <c r="M389" s="480">
        <v>3.9E-2</v>
      </c>
      <c r="N389" s="480">
        <v>3.8399999999999997E-2</v>
      </c>
      <c r="O389" s="480">
        <v>3.7699999999999997E-2</v>
      </c>
      <c r="P389" s="480">
        <v>3.7400000000000003E-2</v>
      </c>
      <c r="Q389" s="480">
        <v>3.7699999999999997E-2</v>
      </c>
      <c r="R389" s="480">
        <v>3.7499999999999999E-2</v>
      </c>
      <c r="S389" s="480">
        <v>3.7100000000000001E-2</v>
      </c>
      <c r="T389" s="480">
        <v>3.95E-2</v>
      </c>
      <c r="U389" s="480">
        <v>3.9600000000000003E-2</v>
      </c>
      <c r="V389" s="480">
        <v>3.9199999999999999E-2</v>
      </c>
      <c r="W389" s="480">
        <v>3.9699999999999999E-2</v>
      </c>
      <c r="X389" s="480">
        <v>3.9899999999999998E-2</v>
      </c>
      <c r="Y389" s="480">
        <v>4.0399999999999998E-2</v>
      </c>
      <c r="Z389" s="480">
        <v>4.0599999999999997E-2</v>
      </c>
      <c r="AA389" s="480">
        <v>4.0099999999999997E-2</v>
      </c>
      <c r="AB389" s="480">
        <v>4.0599999999999997E-2</v>
      </c>
      <c r="AC389" s="481">
        <f>Drivers!AC17</f>
        <v>4.1200000000000001E-2</v>
      </c>
      <c r="AD389" s="481">
        <f>Drivers!AD17</f>
        <v>4.1500000000000002E-2</v>
      </c>
      <c r="AE389" s="481">
        <f>Drivers!AE17</f>
        <v>4.1500000000000002E-2</v>
      </c>
      <c r="AF389" s="481">
        <f>Drivers!AF17</f>
        <v>4.1799999999999997E-2</v>
      </c>
      <c r="AG389" s="481">
        <f>Drivers!AG17</f>
        <v>4.2299999999999997E-2</v>
      </c>
      <c r="AH389" s="481">
        <f>Drivers!AH17</f>
        <v>4.2599999999999999E-2</v>
      </c>
      <c r="AI389" s="481">
        <f>Drivers!AI17</f>
        <v>4.2900000000000001E-2</v>
      </c>
      <c r="AJ389" s="481"/>
      <c r="AK389" s="481"/>
      <c r="AL389" s="481"/>
      <c r="AM389" s="481"/>
      <c r="AN389" s="481"/>
      <c r="AO389" s="481"/>
      <c r="AP389" s="481"/>
      <c r="AQ389" s="481"/>
      <c r="AR389" s="70"/>
      <c r="AS389" s="334" t="s">
        <v>511</v>
      </c>
      <c r="AT389" s="321"/>
      <c r="AU389" s="500">
        <f t="shared" ref="AU389:BA389" si="893">AU374/(AU403*1000)/AU1</f>
        <v>4.5860431128973325E-2</v>
      </c>
      <c r="AV389" s="500">
        <f t="shared" si="893"/>
        <v>4.1523673905304377E-2</v>
      </c>
      <c r="AW389" s="500">
        <f t="shared" si="893"/>
        <v>3.8647925033467201E-2</v>
      </c>
      <c r="AX389" s="500">
        <f t="shared" si="893"/>
        <v>3.7431192660550457E-2</v>
      </c>
      <c r="AY389" s="500">
        <f t="shared" si="893"/>
        <v>3.9476635514018692E-2</v>
      </c>
      <c r="AZ389" s="500">
        <f t="shared" si="893"/>
        <v>4.0253920836445106E-2</v>
      </c>
      <c r="BA389" s="500">
        <f t="shared" si="893"/>
        <v>4.1217191444913821E-2</v>
      </c>
      <c r="BB389" s="500">
        <f t="shared" ref="BB389" si="894">BB374/(BB403*1000)/BB1</f>
        <v>4.2409537462572117E-2</v>
      </c>
      <c r="BC389" s="481">
        <f>Drivers!BC17</f>
        <v>4.2999999999999997E-2</v>
      </c>
      <c r="BD389" s="481">
        <f>Drivers!BD17</f>
        <v>4.3499999999999997E-2</v>
      </c>
      <c r="BE389" s="481">
        <f>Drivers!BE17</f>
        <v>4.3999999999999997E-2</v>
      </c>
      <c r="BM389"/>
      <c r="BN389"/>
      <c r="BO389"/>
      <c r="BP389"/>
      <c r="BQ389"/>
      <c r="BR389"/>
    </row>
    <row r="390" spans="1:70" s="369" customFormat="1" x14ac:dyDescent="0.2">
      <c r="A390" s="411"/>
      <c r="B390" s="334"/>
      <c r="C390" s="321"/>
      <c r="D390" s="384"/>
      <c r="E390" s="384"/>
      <c r="F390" s="384"/>
      <c r="G390" s="384"/>
      <c r="H390" s="384"/>
      <c r="I390" s="384"/>
      <c r="J390" s="384"/>
      <c r="K390" s="384"/>
      <c r="L390" s="384"/>
      <c r="M390" s="384"/>
      <c r="N390" s="384"/>
      <c r="O390" s="384"/>
      <c r="P390" s="384"/>
      <c r="Q390" s="384"/>
      <c r="R390" s="384"/>
      <c r="S390" s="384"/>
      <c r="T390" s="384"/>
      <c r="U390" s="384"/>
      <c r="V390" s="384"/>
      <c r="W390" s="384"/>
      <c r="X390" s="384"/>
      <c r="Y390" s="384"/>
      <c r="Z390" s="384"/>
      <c r="AA390" s="384"/>
      <c r="AB390" s="321"/>
      <c r="AC390" s="321"/>
      <c r="AD390" s="321"/>
      <c r="AE390" s="321"/>
      <c r="AF390" s="321"/>
      <c r="AG390" s="321"/>
      <c r="AH390" s="321"/>
      <c r="AI390" s="321"/>
      <c r="AJ390" s="321"/>
      <c r="AK390" s="321"/>
      <c r="AL390" s="321"/>
      <c r="AM390" s="321"/>
      <c r="AN390" s="321"/>
      <c r="AO390" s="321"/>
      <c r="AP390" s="321"/>
      <c r="AQ390" s="321"/>
      <c r="AR390" s="70"/>
      <c r="AS390" s="334"/>
      <c r="AT390" s="321"/>
      <c r="BC390" s="321"/>
      <c r="BD390" s="321"/>
      <c r="BE390" s="321"/>
      <c r="BM390"/>
      <c r="BN390"/>
      <c r="BO390"/>
      <c r="BP390"/>
      <c r="BQ390"/>
      <c r="BR390"/>
    </row>
    <row r="391" spans="1:70" s="369" customFormat="1" x14ac:dyDescent="0.2">
      <c r="A391" s="411"/>
      <c r="B391" s="334" t="s">
        <v>195</v>
      </c>
      <c r="C391" s="321"/>
      <c r="D391" s="384"/>
      <c r="E391" s="384"/>
      <c r="F391" s="384"/>
      <c r="G391" s="384"/>
      <c r="H391" s="384"/>
      <c r="I391" s="384"/>
      <c r="J391" s="384"/>
      <c r="K391" s="384"/>
      <c r="L391" s="384"/>
      <c r="M391" s="384"/>
      <c r="N391" s="384"/>
      <c r="O391" s="384"/>
      <c r="P391" s="384"/>
      <c r="Q391" s="384"/>
      <c r="R391" s="384"/>
      <c r="S391" s="384"/>
      <c r="T391" s="384"/>
      <c r="U391" s="384"/>
      <c r="V391" s="384"/>
      <c r="W391" s="384"/>
      <c r="X391" s="384"/>
      <c r="Y391" s="384"/>
      <c r="Z391" s="384"/>
      <c r="AA391" s="384"/>
      <c r="AB391" s="384"/>
      <c r="AC391" s="321"/>
      <c r="AD391" s="321"/>
      <c r="AE391" s="321"/>
      <c r="AF391" s="321"/>
      <c r="AG391" s="321"/>
      <c r="AH391" s="321"/>
      <c r="AI391" s="321"/>
      <c r="AJ391" s="321"/>
      <c r="AK391" s="321"/>
      <c r="AL391" s="321"/>
      <c r="AM391" s="321"/>
      <c r="AN391" s="321"/>
      <c r="AO391" s="321"/>
      <c r="AP391" s="321"/>
      <c r="AQ391" s="321"/>
      <c r="AR391" s="70"/>
      <c r="AS391" s="334" t="s">
        <v>195</v>
      </c>
      <c r="AT391" s="321"/>
      <c r="BC391" s="321"/>
      <c r="BD391" s="321"/>
      <c r="BE391" s="321"/>
      <c r="BM391"/>
      <c r="BN391"/>
      <c r="BO391"/>
      <c r="BP391"/>
      <c r="BQ391"/>
      <c r="BR391"/>
    </row>
    <row r="392" spans="1:70" s="369" customFormat="1" x14ac:dyDescent="0.2">
      <c r="A392" s="411"/>
      <c r="B392" s="321"/>
      <c r="C392" s="334" t="s">
        <v>228</v>
      </c>
      <c r="D392" s="477">
        <v>0.14729999999999999</v>
      </c>
      <c r="E392" s="477">
        <v>0.1459</v>
      </c>
      <c r="F392" s="477">
        <v>0.14369999999999999</v>
      </c>
      <c r="G392" s="477">
        <v>0.14219999999999999</v>
      </c>
      <c r="H392" s="477">
        <v>0.1391</v>
      </c>
      <c r="I392" s="477">
        <v>0.13669999999999999</v>
      </c>
      <c r="J392" s="477">
        <v>0.1348</v>
      </c>
      <c r="K392" s="477">
        <v>0.13389999999999999</v>
      </c>
      <c r="L392" s="477">
        <v>0.13339999999999999</v>
      </c>
      <c r="M392" s="477">
        <v>0.13150000000000001</v>
      </c>
      <c r="N392" s="477">
        <v>0.13059999999999999</v>
      </c>
      <c r="O392" s="477">
        <v>0.12790000000000001</v>
      </c>
      <c r="P392" s="477">
        <v>0.12620000000000001</v>
      </c>
      <c r="Q392" s="477">
        <v>0.12509999999999999</v>
      </c>
      <c r="R392" s="477">
        <v>0.1242</v>
      </c>
      <c r="S392" s="477">
        <v>0.1239</v>
      </c>
      <c r="T392" s="477">
        <v>0.12509999999999999</v>
      </c>
      <c r="U392" s="477">
        <v>0.127</v>
      </c>
      <c r="V392" s="477">
        <v>0.12820000000000001</v>
      </c>
      <c r="W392" s="477">
        <v>0.12920000000000001</v>
      </c>
      <c r="X392" s="477">
        <v>0.12870000000000001</v>
      </c>
      <c r="Y392" s="477">
        <v>0.12839999999999999</v>
      </c>
      <c r="Z392" s="477">
        <v>0.12709999999999999</v>
      </c>
      <c r="AA392" s="477">
        <v>0.12670000000000001</v>
      </c>
      <c r="AB392" s="477">
        <v>0.1265</v>
      </c>
      <c r="AC392" s="20" t="s">
        <v>226</v>
      </c>
      <c r="AD392" s="20" t="s">
        <v>226</v>
      </c>
      <c r="AE392" s="20" t="s">
        <v>226</v>
      </c>
      <c r="AF392" s="20" t="s">
        <v>226</v>
      </c>
      <c r="AG392" s="20" t="s">
        <v>226</v>
      </c>
      <c r="AH392" s="20" t="s">
        <v>226</v>
      </c>
      <c r="AI392" s="20" t="s">
        <v>226</v>
      </c>
      <c r="AJ392" s="20"/>
      <c r="AK392" s="20"/>
      <c r="AL392" s="20"/>
      <c r="AM392" s="20"/>
      <c r="AN392" s="20"/>
      <c r="AO392" s="20"/>
      <c r="AP392" s="20"/>
      <c r="AQ392" s="20"/>
      <c r="AR392" s="70"/>
      <c r="AS392" s="321"/>
      <c r="AT392" s="334" t="s">
        <v>228</v>
      </c>
      <c r="AU392" s="500">
        <f>G392</f>
        <v>0.14219999999999999</v>
      </c>
      <c r="AV392" s="500">
        <f>K392</f>
        <v>0.13389999999999999</v>
      </c>
      <c r="AW392" s="500">
        <f>O392</f>
        <v>0.12790000000000001</v>
      </c>
      <c r="AX392" s="500">
        <f>S392</f>
        <v>0.1239</v>
      </c>
      <c r="AY392" s="500">
        <f>W392</f>
        <v>0.12920000000000001</v>
      </c>
      <c r="AZ392" s="252" t="s">
        <v>226</v>
      </c>
      <c r="BA392" s="252" t="s">
        <v>226</v>
      </c>
      <c r="BB392" s="252" t="s">
        <v>226</v>
      </c>
      <c r="BC392" s="20" t="s">
        <v>226</v>
      </c>
      <c r="BD392" s="20" t="s">
        <v>226</v>
      </c>
      <c r="BE392" s="20" t="s">
        <v>226</v>
      </c>
      <c r="BM392"/>
      <c r="BN392"/>
      <c r="BO392"/>
      <c r="BP392"/>
      <c r="BQ392"/>
      <c r="BR392"/>
    </row>
    <row r="393" spans="1:70" s="369" customFormat="1" x14ac:dyDescent="0.2">
      <c r="A393" s="411"/>
      <c r="B393" s="28"/>
      <c r="C393" s="29" t="s">
        <v>219</v>
      </c>
      <c r="D393" s="30">
        <f t="shared" ref="D393:X393" si="895">D392-D394</f>
        <v>3.3599999999999991E-2</v>
      </c>
      <c r="E393" s="30">
        <f t="shared" si="895"/>
        <v>3.1200000000000006E-2</v>
      </c>
      <c r="F393" s="30">
        <f t="shared" si="895"/>
        <v>3.1899999999999998E-2</v>
      </c>
      <c r="G393" s="30">
        <f t="shared" si="895"/>
        <v>2.9099999999999987E-2</v>
      </c>
      <c r="H393" s="30">
        <f t="shared" si="895"/>
        <v>2.7400000000000008E-2</v>
      </c>
      <c r="I393" s="30">
        <f t="shared" si="895"/>
        <v>2.5899999999999992E-2</v>
      </c>
      <c r="J393" s="30">
        <f t="shared" si="895"/>
        <v>2.1600000000000008E-2</v>
      </c>
      <c r="K393" s="30">
        <f t="shared" si="895"/>
        <v>2.0899999999999988E-2</v>
      </c>
      <c r="L393" s="30">
        <f t="shared" si="895"/>
        <v>2.1599999999999994E-2</v>
      </c>
      <c r="M393" s="30">
        <f t="shared" si="895"/>
        <v>1.9900000000000001E-2</v>
      </c>
      <c r="N393" s="30">
        <f t="shared" si="895"/>
        <v>2.1299999999999999E-2</v>
      </c>
      <c r="O393" s="30">
        <f t="shared" si="895"/>
        <v>2.1700000000000011E-2</v>
      </c>
      <c r="P393" s="30">
        <f t="shared" si="895"/>
        <v>2.1000000000000005E-2</v>
      </c>
      <c r="Q393" s="30">
        <f t="shared" si="895"/>
        <v>1.9299999999999984E-2</v>
      </c>
      <c r="R393" s="30">
        <f t="shared" si="895"/>
        <v>2.070000000000001E-2</v>
      </c>
      <c r="S393" s="30">
        <f t="shared" si="895"/>
        <v>2.0699999999999996E-2</v>
      </c>
      <c r="T393" s="30">
        <f t="shared" si="895"/>
        <v>2.3899999999999991E-2</v>
      </c>
      <c r="U393" s="30">
        <f t="shared" si="895"/>
        <v>2.23E-2</v>
      </c>
      <c r="V393" s="30">
        <f t="shared" si="895"/>
        <v>2.2600000000000009E-2</v>
      </c>
      <c r="W393" s="30">
        <f t="shared" si="895"/>
        <v>2.2000000000000006E-2</v>
      </c>
      <c r="X393" s="30">
        <f t="shared" si="895"/>
        <v>2.2700000000000012E-2</v>
      </c>
      <c r="Y393" s="30">
        <f t="shared" ref="Y393:Z393" si="896">Y392-Y394</f>
        <v>2.109999999999998E-2</v>
      </c>
      <c r="Z393" s="30">
        <f t="shared" si="896"/>
        <v>1.7799999999999996E-2</v>
      </c>
      <c r="AA393" s="30">
        <f t="shared" ref="AA393:AB393" si="897">AA392-AA394</f>
        <v>1.7900000000000013E-2</v>
      </c>
      <c r="AB393" s="30">
        <f t="shared" si="897"/>
        <v>1.7899999999999999E-2</v>
      </c>
      <c r="AC393" s="20" t="s">
        <v>226</v>
      </c>
      <c r="AD393" s="20" t="s">
        <v>226</v>
      </c>
      <c r="AE393" s="20" t="s">
        <v>226</v>
      </c>
      <c r="AF393" s="20" t="s">
        <v>226</v>
      </c>
      <c r="AG393" s="20" t="s">
        <v>226</v>
      </c>
      <c r="AH393" s="20" t="s">
        <v>226</v>
      </c>
      <c r="AI393" s="20" t="s">
        <v>226</v>
      </c>
      <c r="AJ393" s="20"/>
      <c r="AK393" s="20"/>
      <c r="AL393" s="20"/>
      <c r="AM393" s="20"/>
      <c r="AN393" s="20"/>
      <c r="AO393" s="20"/>
      <c r="AP393" s="20"/>
      <c r="AQ393" s="20"/>
      <c r="AR393" s="70"/>
      <c r="AS393" s="28"/>
      <c r="AT393" s="29" t="s">
        <v>219</v>
      </c>
      <c r="AU393" s="529">
        <f>AU392-AU394</f>
        <v>2.8899999999999995E-2</v>
      </c>
      <c r="AV393" s="529">
        <f>AV392-AV394</f>
        <v>2.1786597938144317E-2</v>
      </c>
      <c r="AW393" s="529">
        <f>AW392-AW394</f>
        <v>1.8176679841897248E-2</v>
      </c>
      <c r="AX393" s="529">
        <f>AX392-AX394</f>
        <v>1.9468181818181815E-2</v>
      </c>
      <c r="AY393" s="529">
        <f>AY392-AY394</f>
        <v>2.4522812051649939E-2</v>
      </c>
      <c r="AZ393" s="259" t="s">
        <v>226</v>
      </c>
      <c r="BA393" s="259" t="s">
        <v>226</v>
      </c>
      <c r="BB393" s="259" t="s">
        <v>226</v>
      </c>
      <c r="BC393" s="20" t="s">
        <v>226</v>
      </c>
      <c r="BD393" s="20" t="s">
        <v>226</v>
      </c>
      <c r="BE393" s="20" t="s">
        <v>226</v>
      </c>
      <c r="BM393"/>
      <c r="BN393"/>
      <c r="BO393"/>
      <c r="BP393"/>
      <c r="BQ393"/>
      <c r="BR393"/>
    </row>
    <row r="394" spans="1:70" s="369" customFormat="1" x14ac:dyDescent="0.2">
      <c r="A394" s="411"/>
      <c r="B394" s="321"/>
      <c r="C394" s="334" t="s">
        <v>512</v>
      </c>
      <c r="D394" s="480">
        <v>0.1137</v>
      </c>
      <c r="E394" s="480">
        <v>0.1147</v>
      </c>
      <c r="F394" s="480">
        <v>0.1118</v>
      </c>
      <c r="G394" s="480">
        <v>0.11310000000000001</v>
      </c>
      <c r="H394" s="480">
        <v>0.11169999999999999</v>
      </c>
      <c r="I394" s="480">
        <v>0.1108</v>
      </c>
      <c r="J394" s="480">
        <v>0.1132</v>
      </c>
      <c r="K394" s="480">
        <v>0.113</v>
      </c>
      <c r="L394" s="480">
        <v>0.1118</v>
      </c>
      <c r="M394" s="480">
        <v>0.1116</v>
      </c>
      <c r="N394" s="480">
        <v>0.10929999999999999</v>
      </c>
      <c r="O394" s="480">
        <v>0.1062</v>
      </c>
      <c r="P394" s="480">
        <v>0.1052</v>
      </c>
      <c r="Q394" s="480">
        <v>0.10580000000000001</v>
      </c>
      <c r="R394" s="480">
        <v>0.10349999999999999</v>
      </c>
      <c r="S394" s="480">
        <v>0.1032</v>
      </c>
      <c r="T394" s="480">
        <v>0.1012</v>
      </c>
      <c r="U394" s="480">
        <v>0.1047</v>
      </c>
      <c r="V394" s="480">
        <v>0.1056</v>
      </c>
      <c r="W394" s="480">
        <v>0.1072</v>
      </c>
      <c r="X394" s="480">
        <v>0.106</v>
      </c>
      <c r="Y394" s="480">
        <v>0.10730000000000001</v>
      </c>
      <c r="Z394" s="480">
        <v>0.10929999999999999</v>
      </c>
      <c r="AA394" s="480">
        <v>0.10879999999999999</v>
      </c>
      <c r="AB394" s="480">
        <v>0.1086</v>
      </c>
      <c r="AC394" s="530">
        <f>Drivers!AC18</f>
        <v>0.109</v>
      </c>
      <c r="AD394" s="530">
        <f>Drivers!AD18</f>
        <v>0.1095</v>
      </c>
      <c r="AE394" s="530">
        <f>Drivers!AE18</f>
        <v>0.1095</v>
      </c>
      <c r="AF394" s="530">
        <f>Drivers!AF18</f>
        <v>0.11</v>
      </c>
      <c r="AG394" s="530">
        <f>Drivers!AG18</f>
        <v>0.1103</v>
      </c>
      <c r="AH394" s="530">
        <f>Drivers!AH18</f>
        <v>0.11070000000000001</v>
      </c>
      <c r="AI394" s="530">
        <f>Drivers!AI18</f>
        <v>0.111</v>
      </c>
      <c r="AJ394" s="1759"/>
      <c r="AK394" s="1759"/>
      <c r="AL394" s="1759"/>
      <c r="AM394" s="1759"/>
      <c r="AN394" s="1759"/>
      <c r="AO394" s="1759"/>
      <c r="AP394" s="1759"/>
      <c r="AQ394" s="1759"/>
      <c r="AR394" s="70"/>
      <c r="AS394" s="321"/>
      <c r="AT394" s="334" t="s">
        <v>512</v>
      </c>
      <c r="AU394" s="500">
        <f t="shared" ref="AU394:BA394" si="898">AU375/(AU405*1000)/AU1</f>
        <v>0.1133</v>
      </c>
      <c r="AV394" s="500">
        <f t="shared" si="898"/>
        <v>0.11211340206185567</v>
      </c>
      <c r="AW394" s="500">
        <f t="shared" si="898"/>
        <v>0.10972332015810277</v>
      </c>
      <c r="AX394" s="500">
        <f t="shared" si="898"/>
        <v>0.10443181818181818</v>
      </c>
      <c r="AY394" s="500">
        <f t="shared" si="898"/>
        <v>0.10467718794835007</v>
      </c>
      <c r="AZ394" s="500">
        <f t="shared" si="898"/>
        <v>0.10790322580645162</v>
      </c>
      <c r="BA394" s="500">
        <f t="shared" si="898"/>
        <v>0.10917837251210043</v>
      </c>
      <c r="BB394" s="500">
        <f t="shared" ref="BB394" si="899">BB375/(BB405*1000)/BB1</f>
        <v>0.11052623981251462</v>
      </c>
      <c r="BC394" s="530">
        <f>Drivers!BC18</f>
        <v>0.111</v>
      </c>
      <c r="BD394" s="530">
        <f>Drivers!BD18</f>
        <v>0.1115</v>
      </c>
      <c r="BE394" s="530">
        <f>Drivers!BE18</f>
        <v>0.112</v>
      </c>
      <c r="BM394"/>
      <c r="BN394"/>
      <c r="BO394"/>
      <c r="BP394"/>
      <c r="BQ394"/>
      <c r="BR394"/>
    </row>
    <row r="395" spans="1:70" s="369" customFormat="1" x14ac:dyDescent="0.2">
      <c r="A395" s="411"/>
      <c r="B395" s="321"/>
      <c r="C395" s="334"/>
      <c r="D395" s="384"/>
      <c r="E395" s="384"/>
      <c r="F395" s="384"/>
      <c r="G395" s="384"/>
      <c r="H395" s="384"/>
      <c r="I395" s="384"/>
      <c r="J395" s="384"/>
      <c r="K395" s="384"/>
      <c r="L395" s="384"/>
      <c r="M395" s="384"/>
      <c r="N395" s="384"/>
      <c r="O395" s="384"/>
      <c r="P395" s="384"/>
      <c r="Q395" s="384"/>
      <c r="R395" s="384"/>
      <c r="S395" s="384"/>
      <c r="T395" s="384"/>
      <c r="U395" s="384"/>
      <c r="V395" s="384"/>
      <c r="W395" s="384"/>
      <c r="X395" s="321"/>
      <c r="Y395" s="321"/>
      <c r="Z395" s="321"/>
      <c r="AA395" s="351"/>
      <c r="AB395" s="351"/>
      <c r="AC395" s="321"/>
      <c r="AD395" s="321"/>
      <c r="AE395" s="321"/>
      <c r="AF395" s="321"/>
      <c r="AG395" s="321"/>
      <c r="AH395" s="321"/>
      <c r="AI395" s="321"/>
      <c r="AJ395" s="321"/>
      <c r="AK395" s="321"/>
      <c r="AL395" s="321"/>
      <c r="AM395" s="321"/>
      <c r="AN395" s="321"/>
      <c r="AO395" s="321"/>
      <c r="AP395" s="321"/>
      <c r="AQ395" s="321"/>
      <c r="AR395" s="70"/>
      <c r="AS395" s="321"/>
      <c r="AT395" s="334"/>
      <c r="BM395"/>
      <c r="BN395"/>
      <c r="BO395"/>
      <c r="BP395"/>
      <c r="BQ395"/>
      <c r="BR395"/>
    </row>
    <row r="396" spans="1:70" s="369" customFormat="1" x14ac:dyDescent="0.2">
      <c r="A396" s="411"/>
      <c r="B396" s="337" t="s">
        <v>487</v>
      </c>
      <c r="C396" s="366"/>
      <c r="D396" s="457"/>
      <c r="E396" s="457"/>
      <c r="F396" s="457"/>
      <c r="G396" s="457"/>
      <c r="H396" s="457"/>
      <c r="I396" s="457"/>
      <c r="J396" s="457"/>
      <c r="K396" s="457"/>
      <c r="L396" s="457"/>
      <c r="M396" s="457"/>
      <c r="N396" s="457"/>
      <c r="O396" s="457"/>
      <c r="P396" s="457"/>
      <c r="Q396" s="457"/>
      <c r="R396" s="457"/>
      <c r="S396" s="457"/>
      <c r="T396" s="457"/>
      <c r="U396" s="457"/>
      <c r="V396" s="457"/>
      <c r="W396" s="457"/>
      <c r="X396" s="367"/>
      <c r="Y396" s="367"/>
      <c r="Z396" s="367"/>
      <c r="AA396" s="367"/>
      <c r="AB396" s="367"/>
      <c r="AC396" s="367"/>
      <c r="AD396" s="367"/>
      <c r="AE396" s="367"/>
      <c r="AF396" s="367"/>
      <c r="AG396" s="367"/>
      <c r="AH396" s="367"/>
      <c r="AI396" s="367"/>
      <c r="AJ396" s="367"/>
      <c r="AK396" s="367"/>
      <c r="AL396" s="367"/>
      <c r="AM396" s="367"/>
      <c r="AN396" s="367"/>
      <c r="AO396" s="367"/>
      <c r="AP396" s="367"/>
      <c r="AQ396" s="367"/>
      <c r="AR396" s="70"/>
      <c r="AS396" s="337" t="s">
        <v>487</v>
      </c>
      <c r="AT396" s="366"/>
      <c r="AU396" s="12"/>
      <c r="AV396" s="12"/>
      <c r="AW396" s="12"/>
      <c r="AX396" s="12"/>
      <c r="AY396" s="12"/>
      <c r="AZ396" s="12"/>
      <c r="BA396" s="12"/>
      <c r="BB396" s="12"/>
      <c r="BC396" s="12"/>
      <c r="BD396" s="12"/>
      <c r="BE396" s="12"/>
      <c r="BM396"/>
      <c r="BN396"/>
      <c r="BO396"/>
      <c r="BP396"/>
      <c r="BQ396"/>
      <c r="BR396"/>
    </row>
    <row r="397" spans="1:70" s="369" customFormat="1" x14ac:dyDescent="0.2">
      <c r="A397" s="411"/>
      <c r="B397" s="334" t="s">
        <v>504</v>
      </c>
      <c r="C397" s="321"/>
      <c r="D397" s="384">
        <f t="shared" ref="D397:X397" si="900">D379/(D402*1000)*D1</f>
        <v>1.7984108914341473E-2</v>
      </c>
      <c r="E397" s="384">
        <f t="shared" si="900"/>
        <v>1.6700702730745649E-2</v>
      </c>
      <c r="F397" s="384">
        <f t="shared" si="900"/>
        <v>1.8207714324655854E-2</v>
      </c>
      <c r="G397" s="384">
        <f t="shared" si="900"/>
        <v>1.818633540372671E-2</v>
      </c>
      <c r="H397" s="384">
        <f t="shared" si="900"/>
        <v>2.0583034647550773E-2</v>
      </c>
      <c r="I397" s="384">
        <f t="shared" si="900"/>
        <v>2.1649459163456924E-2</v>
      </c>
      <c r="J397" s="384">
        <f t="shared" si="900"/>
        <v>1.9605756562278299E-2</v>
      </c>
      <c r="K397" s="384">
        <f t="shared" si="900"/>
        <v>1.7312252964426875E-2</v>
      </c>
      <c r="L397" s="384">
        <f t="shared" si="900"/>
        <v>2.2602471938453775E-2</v>
      </c>
      <c r="M397" s="384">
        <f t="shared" si="900"/>
        <v>2.1001556072906238E-2</v>
      </c>
      <c r="N397" s="384">
        <f t="shared" si="900"/>
        <v>2.1473669106041038E-2</v>
      </c>
      <c r="O397" s="384">
        <f t="shared" si="900"/>
        <v>1.8980360671936754E-2</v>
      </c>
      <c r="P397" s="384">
        <f t="shared" si="900"/>
        <v>2.2300957420005037E-2</v>
      </c>
      <c r="Q397" s="384">
        <f t="shared" si="900"/>
        <v>2.2457945190308012E-2</v>
      </c>
      <c r="R397" s="384">
        <f t="shared" si="900"/>
        <v>1.878082226247987E-2</v>
      </c>
      <c r="S397" s="384">
        <f t="shared" si="900"/>
        <v>1.6610877087407851E-2</v>
      </c>
      <c r="T397" s="384">
        <f t="shared" si="900"/>
        <v>1.7434721242060691E-2</v>
      </c>
      <c r="U397" s="384">
        <f t="shared" si="900"/>
        <v>1.8535290213142562E-2</v>
      </c>
      <c r="V397" s="384">
        <f t="shared" si="900"/>
        <v>1.8414657300170875E-2</v>
      </c>
      <c r="W397" s="384">
        <f t="shared" si="900"/>
        <v>1.7391062533249502E-2</v>
      </c>
      <c r="X397" s="384">
        <f t="shared" si="900"/>
        <v>1.868093012105957E-2</v>
      </c>
      <c r="Y397" s="384">
        <f t="shared" ref="Y397:Z397" si="901">Y379/(Y402*1000)*Y1</f>
        <v>1.8162166571498491E-2</v>
      </c>
      <c r="Z397" s="384">
        <f t="shared" si="901"/>
        <v>1.9711933686518086E-2</v>
      </c>
      <c r="AA397" s="384">
        <f t="shared" ref="AA397:AB397" si="902">AA379/(AA402*1000)*AA1</f>
        <v>1.8307857789855071E-2</v>
      </c>
      <c r="AB397" s="384">
        <f t="shared" si="902"/>
        <v>2.0052696490637963E-2</v>
      </c>
      <c r="AC397" s="481">
        <f>Drivers!AC31</f>
        <v>0.02</v>
      </c>
      <c r="AD397" s="481">
        <f>Drivers!AD31</f>
        <v>0.02</v>
      </c>
      <c r="AE397" s="481">
        <f>Drivers!AE31</f>
        <v>1.95E-2</v>
      </c>
      <c r="AF397" s="481">
        <f>Drivers!AF31</f>
        <v>1.8800000000000001E-2</v>
      </c>
      <c r="AG397" s="481">
        <f>Drivers!AG31</f>
        <v>1.9E-2</v>
      </c>
      <c r="AH397" s="481">
        <f>Drivers!AH31</f>
        <v>2.0500000000000001E-2</v>
      </c>
      <c r="AI397" s="481">
        <f>Drivers!AI31</f>
        <v>0.02</v>
      </c>
      <c r="AJ397" s="481"/>
      <c r="AK397" s="481"/>
      <c r="AL397" s="481"/>
      <c r="AM397" s="481"/>
      <c r="AN397" s="481"/>
      <c r="AO397" s="481"/>
      <c r="AP397" s="481"/>
      <c r="AQ397" s="481"/>
      <c r="AR397" s="70"/>
      <c r="AS397" s="334" t="s">
        <v>504</v>
      </c>
      <c r="AT397" s="321"/>
      <c r="AU397" s="377">
        <f t="shared" ref="AU397:BA397" si="903">AU379/(AU402*1000)/AU1</f>
        <v>1.7777777777777778E-2</v>
      </c>
      <c r="AV397" s="377">
        <f t="shared" si="903"/>
        <v>1.9792193204156136E-2</v>
      </c>
      <c r="AW397" s="377">
        <f t="shared" si="903"/>
        <v>2.1010890812622172E-2</v>
      </c>
      <c r="AX397" s="377">
        <f t="shared" si="903"/>
        <v>2.0045636052481462E-2</v>
      </c>
      <c r="AY397" s="377">
        <f t="shared" si="903"/>
        <v>1.7950293214185981E-2</v>
      </c>
      <c r="AZ397" s="377">
        <f t="shared" si="903"/>
        <v>1.872025383395029E-2</v>
      </c>
      <c r="BA397" s="377">
        <f t="shared" si="903"/>
        <v>1.9886791269603549E-2</v>
      </c>
      <c r="BB397" s="377">
        <f t="shared" ref="BB397" si="904">BB379/(BB402*1000)/BB1</f>
        <v>1.9588713119487882E-2</v>
      </c>
      <c r="BC397" s="481">
        <f>Drivers!BC31</f>
        <v>0.02</v>
      </c>
      <c r="BD397" s="481">
        <f>Drivers!BD31</f>
        <v>0.02</v>
      </c>
      <c r="BE397" s="481">
        <f>Drivers!BE31</f>
        <v>0.02</v>
      </c>
      <c r="BM397"/>
      <c r="BN397"/>
      <c r="BO397"/>
      <c r="BP397"/>
      <c r="BQ397"/>
      <c r="BR397"/>
    </row>
    <row r="398" spans="1:70" s="369" customFormat="1" x14ac:dyDescent="0.2">
      <c r="A398" s="411"/>
      <c r="B398" s="334" t="s">
        <v>677</v>
      </c>
      <c r="C398" s="334"/>
      <c r="D398" s="384">
        <f t="shared" ref="D398:X398" si="905">D380/(D422*1000)</f>
        <v>1.1290322580645161E-2</v>
      </c>
      <c r="E398" s="384">
        <f t="shared" si="905"/>
        <v>1.2594594594594595E-2</v>
      </c>
      <c r="F398" s="384">
        <f t="shared" si="905"/>
        <v>1.2500000000000001E-2</v>
      </c>
      <c r="G398" s="384">
        <f t="shared" si="905"/>
        <v>1.2038834951456311E-2</v>
      </c>
      <c r="H398" s="384">
        <f t="shared" si="905"/>
        <v>1.1743589743589744E-2</v>
      </c>
      <c r="I398" s="384">
        <f t="shared" si="905"/>
        <v>1.3115577889447236E-2</v>
      </c>
      <c r="J398" s="384">
        <f t="shared" si="905"/>
        <v>1.3105263157894736E-2</v>
      </c>
      <c r="K398" s="384">
        <f t="shared" si="905"/>
        <v>1.2107843137254902E-2</v>
      </c>
      <c r="L398" s="384">
        <f t="shared" si="905"/>
        <v>1.1968085106382979E-2</v>
      </c>
      <c r="M398" s="384">
        <f t="shared" si="905"/>
        <v>1.2500000000000001E-2</v>
      </c>
      <c r="N398" s="384">
        <f t="shared" si="905"/>
        <v>1.2475247524752476E-2</v>
      </c>
      <c r="O398" s="384">
        <f t="shared" si="905"/>
        <v>1.0490196078431373E-2</v>
      </c>
      <c r="P398" s="384">
        <f t="shared" si="905"/>
        <v>1.0268817204301076E-2</v>
      </c>
      <c r="Q398" s="384">
        <f t="shared" si="905"/>
        <v>1.0677083333333334E-2</v>
      </c>
      <c r="R398" s="384">
        <f t="shared" si="905"/>
        <v>1.0109890109890111E-2</v>
      </c>
      <c r="S398" s="384">
        <f t="shared" si="905"/>
        <v>9.6891191709844553E-3</v>
      </c>
      <c r="T398" s="384">
        <f t="shared" si="905"/>
        <v>9.7237569060773486E-3</v>
      </c>
      <c r="U398" s="384">
        <f t="shared" si="905"/>
        <v>1.06951871657754E-2</v>
      </c>
      <c r="V398" s="384">
        <f t="shared" si="905"/>
        <v>1.0588235294117647E-2</v>
      </c>
      <c r="W398" s="384">
        <f t="shared" si="905"/>
        <v>9.9484536082474224E-3</v>
      </c>
      <c r="X398" s="384">
        <f t="shared" si="905"/>
        <v>1.0052083333333333E-2</v>
      </c>
      <c r="Y398" s="384">
        <f t="shared" ref="Y398:Z398" si="906">Y380/(Y422*1000)</f>
        <v>1.1492537313432836E-2</v>
      </c>
      <c r="Z398" s="384">
        <f t="shared" si="906"/>
        <v>1.0049261083743842E-2</v>
      </c>
      <c r="AA398" s="384">
        <f t="shared" ref="AA398:AB398" si="907">AA380/(AA422*1000)</f>
        <v>1.1232876712328766E-2</v>
      </c>
      <c r="AB398" s="384">
        <f t="shared" si="907"/>
        <v>9.5813953488372086E-3</v>
      </c>
      <c r="AC398" s="481">
        <f>Drivers!AC32</f>
        <v>9.9999999999999985E-3</v>
      </c>
      <c r="AD398" s="481">
        <f>Drivers!AD32</f>
        <v>1.0200000000000001E-2</v>
      </c>
      <c r="AE398" s="481">
        <f>Drivers!AE32</f>
        <v>1.0200000000000001E-2</v>
      </c>
      <c r="AF398" s="481">
        <f>Drivers!AF32</f>
        <v>1.04E-2</v>
      </c>
      <c r="AG398" s="481">
        <f>Drivers!AG32</f>
        <v>1.0499999999999999E-2</v>
      </c>
      <c r="AH398" s="481">
        <f>Drivers!AH32</f>
        <v>1.0499999999999999E-2</v>
      </c>
      <c r="AI398" s="481">
        <f>Drivers!AI32</f>
        <v>1.0499999999999999E-2</v>
      </c>
      <c r="AJ398" s="481"/>
      <c r="AK398" s="481"/>
      <c r="AL398" s="481"/>
      <c r="AM398" s="481"/>
      <c r="AN398" s="481"/>
      <c r="AO398" s="481"/>
      <c r="AP398" s="481"/>
      <c r="AQ398" s="481"/>
      <c r="AR398" s="70"/>
      <c r="AS398" s="334" t="s">
        <v>677</v>
      </c>
      <c r="AT398" s="334"/>
      <c r="AU398" s="384">
        <f t="shared" ref="AU398:BA398" si="908">AU380/(AU422*1000)</f>
        <v>1.2104575163398693E-2</v>
      </c>
      <c r="AV398" s="384">
        <f t="shared" si="908"/>
        <v>1.2512690355329949E-2</v>
      </c>
      <c r="AW398" s="384">
        <f t="shared" si="908"/>
        <v>1.1851385390428211E-2</v>
      </c>
      <c r="AX398" s="384">
        <f t="shared" si="908"/>
        <v>1.0185922974767597E-2</v>
      </c>
      <c r="AY398" s="384">
        <f t="shared" si="908"/>
        <v>1.0240320427236315E-2</v>
      </c>
      <c r="AZ398" s="384">
        <f t="shared" si="908"/>
        <v>1.0723926380368098E-2</v>
      </c>
      <c r="BA398" s="384">
        <f t="shared" si="908"/>
        <v>1.0001742943762656E-2</v>
      </c>
      <c r="BB398" s="384">
        <f t="shared" ref="BB398" si="909">BB380/(BB422*1000)</f>
        <v>1.0475775882529719E-2</v>
      </c>
      <c r="BC398" s="481">
        <f>Drivers!BC32</f>
        <v>1.0500000000000001E-2</v>
      </c>
      <c r="BD398" s="481">
        <f>Drivers!BD32</f>
        <v>1.0500000000000001E-2</v>
      </c>
      <c r="BE398" s="481">
        <f>Drivers!BE32</f>
        <v>1.0500000000000001E-2</v>
      </c>
      <c r="BM398"/>
      <c r="BN398"/>
      <c r="BO398"/>
      <c r="BP398"/>
      <c r="BQ398"/>
      <c r="BR398"/>
    </row>
    <row r="399" spans="1:70" s="369" customFormat="1" x14ac:dyDescent="0.2">
      <c r="A399" s="411"/>
      <c r="B399" s="334"/>
      <c r="C399" s="334"/>
      <c r="D399" s="384"/>
      <c r="E399" s="384"/>
      <c r="F399" s="384"/>
      <c r="G399" s="384"/>
      <c r="H399" s="384"/>
      <c r="I399" s="384"/>
      <c r="J399" s="384"/>
      <c r="K399" s="384"/>
      <c r="L399" s="384"/>
      <c r="M399" s="384"/>
      <c r="N399" s="384"/>
      <c r="O399" s="384"/>
      <c r="P399" s="384"/>
      <c r="Q399" s="384"/>
      <c r="R399" s="384"/>
      <c r="S399" s="384"/>
      <c r="T399" s="384"/>
      <c r="U399" s="384"/>
      <c r="V399" s="384"/>
      <c r="W399" s="384"/>
      <c r="X399" s="504"/>
      <c r="Y399" s="504"/>
      <c r="Z399" s="504"/>
      <c r="AA399" s="504"/>
      <c r="AB399" s="504"/>
      <c r="AC399" s="504"/>
      <c r="AD399" s="504"/>
      <c r="AE399" s="504"/>
      <c r="AF399" s="504"/>
      <c r="AG399" s="504"/>
      <c r="AH399" s="504"/>
      <c r="AI399" s="504"/>
      <c r="AJ399" s="504"/>
      <c r="AK399" s="504"/>
      <c r="AL399" s="504"/>
      <c r="AM399" s="504"/>
      <c r="AN399" s="504"/>
      <c r="AO399" s="504"/>
      <c r="AP399" s="504"/>
      <c r="AQ399" s="504"/>
      <c r="AR399" s="70"/>
      <c r="AS399" s="334"/>
      <c r="AT399" s="334"/>
      <c r="BC399" s="504"/>
      <c r="BD399" s="504"/>
      <c r="BE399" s="504"/>
      <c r="BM399"/>
      <c r="BN399"/>
      <c r="BO399"/>
      <c r="BP399"/>
      <c r="BQ399"/>
      <c r="BR399"/>
    </row>
    <row r="400" spans="1:70" s="369" customFormat="1" x14ac:dyDescent="0.2">
      <c r="A400" s="411"/>
      <c r="B400" s="337" t="s">
        <v>210</v>
      </c>
      <c r="C400" s="366"/>
      <c r="D400" s="457"/>
      <c r="E400" s="457"/>
      <c r="F400" s="457"/>
      <c r="G400" s="457"/>
      <c r="H400" s="457"/>
      <c r="I400" s="457"/>
      <c r="J400" s="457"/>
      <c r="K400" s="457"/>
      <c r="L400" s="457"/>
      <c r="M400" s="457"/>
      <c r="N400" s="457"/>
      <c r="O400" s="457"/>
      <c r="P400" s="457"/>
      <c r="Q400" s="457"/>
      <c r="R400" s="457"/>
      <c r="S400" s="457"/>
      <c r="T400" s="457"/>
      <c r="U400" s="457"/>
      <c r="V400" s="457"/>
      <c r="W400" s="457"/>
      <c r="X400" s="531"/>
      <c r="Y400" s="531"/>
      <c r="Z400" s="531"/>
      <c r="AA400" s="531"/>
      <c r="AB400" s="531"/>
      <c r="AC400" s="531"/>
      <c r="AD400" s="531"/>
      <c r="AE400" s="531"/>
      <c r="AF400" s="531"/>
      <c r="AG400" s="531"/>
      <c r="AH400" s="531"/>
      <c r="AI400" s="531"/>
      <c r="AJ400" s="531"/>
      <c r="AK400" s="531"/>
      <c r="AL400" s="531"/>
      <c r="AM400" s="531"/>
      <c r="AN400" s="531"/>
      <c r="AO400" s="531"/>
      <c r="AP400" s="531"/>
      <c r="AQ400" s="531"/>
      <c r="AR400" s="70"/>
      <c r="AS400" s="337" t="s">
        <v>210</v>
      </c>
      <c r="AT400" s="366"/>
      <c r="AU400" s="12"/>
      <c r="AV400" s="12"/>
      <c r="AW400" s="12"/>
      <c r="AX400" s="12"/>
      <c r="AY400" s="12"/>
      <c r="AZ400" s="12"/>
      <c r="BA400" s="12"/>
      <c r="BB400" s="12"/>
      <c r="BC400" s="531"/>
      <c r="BD400" s="531"/>
      <c r="BE400" s="531"/>
      <c r="BM400"/>
      <c r="BN400"/>
      <c r="BO400"/>
      <c r="BP400"/>
      <c r="BQ400"/>
      <c r="BR400"/>
    </row>
    <row r="401" spans="1:70" s="369" customFormat="1" x14ac:dyDescent="0.2">
      <c r="A401" s="411"/>
      <c r="B401" s="334" t="s">
        <v>74</v>
      </c>
      <c r="C401" s="321"/>
      <c r="D401" s="384"/>
      <c r="E401" s="384"/>
      <c r="F401" s="384"/>
      <c r="G401" s="384"/>
      <c r="H401" s="384"/>
      <c r="I401" s="384"/>
      <c r="J401" s="384"/>
      <c r="K401" s="384"/>
      <c r="L401" s="384"/>
      <c r="M401" s="384"/>
      <c r="N401" s="384"/>
      <c r="O401" s="384"/>
      <c r="P401" s="384"/>
      <c r="Q401" s="384"/>
      <c r="R401" s="384"/>
      <c r="S401" s="384"/>
      <c r="T401" s="384"/>
      <c r="U401" s="384"/>
      <c r="V401" s="384"/>
      <c r="W401" s="384"/>
      <c r="X401" s="504"/>
      <c r="Y401" s="504"/>
      <c r="Z401" s="504"/>
      <c r="AA401" s="504"/>
      <c r="AB401" s="504"/>
      <c r="AC401" s="504"/>
      <c r="AD401" s="504"/>
      <c r="AE401" s="504"/>
      <c r="AF401" s="504"/>
      <c r="AG401" s="504"/>
      <c r="AH401" s="504"/>
      <c r="AI401" s="504"/>
      <c r="AJ401" s="504"/>
      <c r="AK401" s="504"/>
      <c r="AL401" s="504"/>
      <c r="AM401" s="504"/>
      <c r="AN401" s="504"/>
      <c r="AO401" s="504"/>
      <c r="AP401" s="504"/>
      <c r="AQ401" s="504"/>
      <c r="AR401" s="70"/>
      <c r="AS401" s="334" t="s">
        <v>74</v>
      </c>
      <c r="AT401" s="321"/>
      <c r="BC401" s="504"/>
      <c r="BD401" s="504"/>
      <c r="BE401" s="504"/>
      <c r="BM401"/>
      <c r="BN401"/>
      <c r="BO401"/>
      <c r="BP401"/>
      <c r="BQ401"/>
      <c r="BR401"/>
    </row>
    <row r="402" spans="1:70" s="369" customFormat="1" x14ac:dyDescent="0.2">
      <c r="A402" s="411"/>
      <c r="B402" s="321"/>
      <c r="C402" s="334" t="s">
        <v>41</v>
      </c>
      <c r="D402" s="449">
        <v>94.6</v>
      </c>
      <c r="E402" s="449">
        <v>93.2</v>
      </c>
      <c r="F402" s="449">
        <v>95.7</v>
      </c>
      <c r="G402" s="449">
        <v>94.5</v>
      </c>
      <c r="H402" s="449">
        <v>93</v>
      </c>
      <c r="I402" s="449">
        <v>89.3</v>
      </c>
      <c r="J402" s="449">
        <v>85.8</v>
      </c>
      <c r="K402" s="449">
        <v>88</v>
      </c>
      <c r="L402" s="449">
        <v>88.1</v>
      </c>
      <c r="M402" s="449">
        <v>91.1</v>
      </c>
      <c r="N402" s="449">
        <v>90.9</v>
      </c>
      <c r="O402" s="449">
        <v>88</v>
      </c>
      <c r="P402" s="449">
        <v>88.2</v>
      </c>
      <c r="Q402" s="449">
        <v>89.3</v>
      </c>
      <c r="R402" s="449">
        <v>86.4</v>
      </c>
      <c r="S402" s="449">
        <v>86.7</v>
      </c>
      <c r="T402" s="449">
        <v>87.2</v>
      </c>
      <c r="U402" s="449">
        <v>89.4</v>
      </c>
      <c r="V402" s="449">
        <v>91.6</v>
      </c>
      <c r="W402" s="449">
        <v>89.9</v>
      </c>
      <c r="X402" s="449">
        <v>92.7</v>
      </c>
      <c r="Y402" s="449">
        <v>94.3</v>
      </c>
      <c r="Z402" s="449">
        <v>95.2</v>
      </c>
      <c r="AA402" s="449">
        <v>96</v>
      </c>
      <c r="AB402" s="449">
        <v>99.1</v>
      </c>
      <c r="AC402" s="458">
        <f>AB402*(1+Drivers!AC55)</f>
        <v>100.09099999999999</v>
      </c>
      <c r="AD402" s="458">
        <f>AC402*(1+Drivers!AD55)</f>
        <v>101.09191</v>
      </c>
      <c r="AE402" s="458">
        <f>AD402*(1+Drivers!AE55)</f>
        <v>102.10282909999999</v>
      </c>
      <c r="AF402" s="458">
        <f>AE402*(1+Drivers!AF55)</f>
        <v>103.123857391</v>
      </c>
      <c r="AG402" s="458">
        <f>AF402*(1+Drivers!AG55)</f>
        <v>104.15509596491</v>
      </c>
      <c r="AH402" s="458">
        <f>AG402*(1+Drivers!AH55)</f>
        <v>105.1966469245591</v>
      </c>
      <c r="AI402" s="458">
        <f>AH402*(1+Drivers!AI55)</f>
        <v>106.03822009995558</v>
      </c>
      <c r="AJ402" s="458"/>
      <c r="AK402" s="458"/>
      <c r="AL402" s="458"/>
      <c r="AM402" s="458"/>
      <c r="AN402" s="458"/>
      <c r="AO402" s="458"/>
      <c r="AP402" s="458"/>
      <c r="AQ402" s="458"/>
      <c r="AR402" s="70"/>
      <c r="AS402" s="321"/>
      <c r="AT402" s="334" t="s">
        <v>41</v>
      </c>
      <c r="AU402" s="235">
        <f>AVERAGE(D402:G402)</f>
        <v>94.5</v>
      </c>
      <c r="AV402" s="235">
        <f>AVERAGE(H402:K402)</f>
        <v>89.025000000000006</v>
      </c>
      <c r="AW402" s="235">
        <f>AVERAGE(L402:O402)</f>
        <v>89.525000000000006</v>
      </c>
      <c r="AX402" s="235">
        <f>AVERAGE(P402:S402)</f>
        <v>87.649999999999991</v>
      </c>
      <c r="AY402" s="235">
        <f>AVERAGE(T402:W402)</f>
        <v>89.525000000000006</v>
      </c>
      <c r="AZ402" s="235">
        <f>AVERAGE(X402:AA402)</f>
        <v>94.55</v>
      </c>
      <c r="BA402" s="235">
        <f>AVERAGE(AB402:AE402)</f>
        <v>100.59643477499999</v>
      </c>
      <c r="BB402" s="235">
        <f>AVERAGE(AF402:AI402)</f>
        <v>104.62845509510618</v>
      </c>
      <c r="BC402" s="458">
        <f>BB402*(1+Drivers!BC55)</f>
        <v>109.85987784986149</v>
      </c>
      <c r="BD402" s="458">
        <f>BC402*(1+Drivers!BD55)</f>
        <v>115.35287174235457</v>
      </c>
      <c r="BE402" s="458">
        <f>BD402*(1+Drivers!BE55)</f>
        <v>121.1205153294723</v>
      </c>
      <c r="BM402"/>
      <c r="BN402"/>
      <c r="BO402"/>
      <c r="BP402"/>
      <c r="BQ402"/>
      <c r="BR402"/>
    </row>
    <row r="403" spans="1:70" s="369" customFormat="1" x14ac:dyDescent="0.2">
      <c r="A403" s="411"/>
      <c r="B403" s="321"/>
      <c r="C403" s="334" t="s">
        <v>70</v>
      </c>
      <c r="D403" s="449">
        <v>68.3</v>
      </c>
      <c r="E403" s="449">
        <v>67.2</v>
      </c>
      <c r="F403" s="449">
        <v>68.400000000000006</v>
      </c>
      <c r="G403" s="449">
        <v>69.8</v>
      </c>
      <c r="H403" s="449">
        <v>69.7</v>
      </c>
      <c r="I403" s="449">
        <v>69.400000000000006</v>
      </c>
      <c r="J403" s="449">
        <v>69.7</v>
      </c>
      <c r="K403" s="449">
        <v>72.099999999999994</v>
      </c>
      <c r="L403" s="449">
        <v>72.8</v>
      </c>
      <c r="M403" s="449">
        <v>75.8</v>
      </c>
      <c r="N403" s="449">
        <v>75.900000000000006</v>
      </c>
      <c r="O403" s="449">
        <v>74.3</v>
      </c>
      <c r="P403" s="449">
        <v>72.400000000000006</v>
      </c>
      <c r="Q403" s="449">
        <v>72.3</v>
      </c>
      <c r="R403" s="449">
        <v>69.7</v>
      </c>
      <c r="S403" s="449">
        <v>69</v>
      </c>
      <c r="T403" s="449">
        <v>67.5</v>
      </c>
      <c r="U403" s="449">
        <v>67.5</v>
      </c>
      <c r="V403" s="449">
        <v>67.900000000000006</v>
      </c>
      <c r="W403" s="449">
        <v>64.599999999999994</v>
      </c>
      <c r="X403" s="449">
        <v>65.099999999999994</v>
      </c>
      <c r="Y403" s="449">
        <v>66.5</v>
      </c>
      <c r="Z403" s="449">
        <v>67.400000000000006</v>
      </c>
      <c r="AA403" s="449">
        <v>68.8</v>
      </c>
      <c r="AB403" s="449">
        <v>70.7</v>
      </c>
      <c r="AC403" s="458">
        <f>AB403*(1+Drivers!AC54)</f>
        <v>71.406999999999996</v>
      </c>
      <c r="AD403" s="458">
        <f>AC403*(1+Drivers!AD54)</f>
        <v>72.478104999999985</v>
      </c>
      <c r="AE403" s="458">
        <f>AD403*(1+Drivers!AE54)</f>
        <v>73.927667099999979</v>
      </c>
      <c r="AF403" s="458">
        <f>AE403*(1+Drivers!AF54)</f>
        <v>74.297305435499965</v>
      </c>
      <c r="AG403" s="458">
        <f>AF403*(1+Drivers!AG54)</f>
        <v>74.66879196267746</v>
      </c>
      <c r="AH403" s="458">
        <f>AG403*(1+Drivers!AH54)</f>
        <v>75.228807902397548</v>
      </c>
      <c r="AI403" s="458">
        <f>AH403*(1+Drivers!AI54)</f>
        <v>75.905867173519113</v>
      </c>
      <c r="AJ403" s="458"/>
      <c r="AK403" s="458"/>
      <c r="AL403" s="458"/>
      <c r="AM403" s="458"/>
      <c r="AN403" s="458"/>
      <c r="AO403" s="458"/>
      <c r="AP403" s="458"/>
      <c r="AQ403" s="458"/>
      <c r="AR403" s="70"/>
      <c r="AS403" s="321"/>
      <c r="AT403" s="334" t="s">
        <v>70</v>
      </c>
      <c r="AU403" s="235">
        <f>AVERAGE(D403:G403)</f>
        <v>68.424999999999997</v>
      </c>
      <c r="AV403" s="235">
        <f>AVERAGE(H403:K403)</f>
        <v>70.224999999999994</v>
      </c>
      <c r="AW403" s="235">
        <f>AVERAGE(L403:O403)</f>
        <v>74.7</v>
      </c>
      <c r="AX403" s="235">
        <f>AVERAGE(P403:S403)</f>
        <v>70.849999999999994</v>
      </c>
      <c r="AY403" s="235">
        <f>AVERAGE(T403:W403)</f>
        <v>66.875</v>
      </c>
      <c r="AZ403" s="235">
        <f>AVERAGE(X403:AA403)</f>
        <v>66.95</v>
      </c>
      <c r="BA403" s="235">
        <f>AVERAGE(AB403:AE403)</f>
        <v>72.128193025000002</v>
      </c>
      <c r="BB403" s="235">
        <f>AVERAGE(AF403:AI403)</f>
        <v>75.025193118523532</v>
      </c>
      <c r="BC403" s="458">
        <f>BB403*(1+Drivers!BC54)</f>
        <v>78.026200843264476</v>
      </c>
      <c r="BD403" s="458">
        <f>BC403*(1+Drivers!BD54)</f>
        <v>81.927510885427708</v>
      </c>
      <c r="BE403" s="458">
        <f>BD403*(1+Drivers!BE54)</f>
        <v>86.023886429699104</v>
      </c>
      <c r="BM403"/>
      <c r="BN403"/>
      <c r="BO403"/>
      <c r="BP403"/>
      <c r="BQ403"/>
      <c r="BR403"/>
    </row>
    <row r="404" spans="1:70" s="369" customFormat="1" x14ac:dyDescent="0.2">
      <c r="A404" s="411"/>
      <c r="B404" s="334"/>
      <c r="C404" s="321"/>
      <c r="D404" s="452"/>
      <c r="E404" s="452"/>
      <c r="F404" s="452"/>
      <c r="G404" s="452"/>
      <c r="H404" s="452"/>
      <c r="I404" s="452"/>
      <c r="J404" s="452"/>
      <c r="K404" s="452"/>
      <c r="L404" s="452"/>
      <c r="M404" s="452"/>
      <c r="N404" s="452"/>
      <c r="O404" s="452"/>
      <c r="P404" s="452"/>
      <c r="Q404" s="452"/>
      <c r="R404" s="452"/>
      <c r="S404" s="452"/>
      <c r="T404" s="452"/>
      <c r="U404" s="452"/>
      <c r="V404" s="452"/>
      <c r="W404" s="452"/>
      <c r="X404" s="452"/>
      <c r="Y404" s="452"/>
      <c r="Z404" s="452"/>
      <c r="AA404" s="452"/>
      <c r="AB404" s="452"/>
      <c r="AC404" s="504"/>
      <c r="AD404" s="504"/>
      <c r="AE404" s="504"/>
      <c r="AF404" s="504"/>
      <c r="AG404" s="504"/>
      <c r="AH404" s="504"/>
      <c r="AI404" s="504"/>
      <c r="AJ404" s="504"/>
      <c r="AK404" s="504"/>
      <c r="AL404" s="504"/>
      <c r="AM404" s="504"/>
      <c r="AN404" s="504"/>
      <c r="AO404" s="504"/>
      <c r="AP404" s="504"/>
      <c r="AQ404" s="504"/>
      <c r="AR404" s="70"/>
      <c r="AS404" s="334"/>
      <c r="AT404" s="321"/>
      <c r="AU404" s="235"/>
      <c r="AV404" s="235"/>
      <c r="AW404" s="235"/>
      <c r="AX404" s="235"/>
      <c r="AY404" s="235"/>
      <c r="AZ404" s="235"/>
      <c r="BA404" s="235"/>
      <c r="BB404" s="235"/>
      <c r="BC404" s="504"/>
      <c r="BD404" s="504"/>
      <c r="BE404" s="504"/>
      <c r="BM404"/>
      <c r="BN404"/>
      <c r="BO404"/>
      <c r="BP404"/>
      <c r="BQ404"/>
      <c r="BR404"/>
    </row>
    <row r="405" spans="1:70" s="369" customFormat="1" x14ac:dyDescent="0.2">
      <c r="A405" s="411"/>
      <c r="B405" s="334" t="s">
        <v>499</v>
      </c>
      <c r="C405" s="321"/>
      <c r="D405" s="449">
        <v>20.2</v>
      </c>
      <c r="E405" s="449">
        <v>19.600000000000001</v>
      </c>
      <c r="F405" s="449">
        <v>19.899999999999999</v>
      </c>
      <c r="G405" s="449">
        <v>20.3</v>
      </c>
      <c r="H405" s="449">
        <v>20.399999999999999</v>
      </c>
      <c r="I405" s="449">
        <v>19.7</v>
      </c>
      <c r="J405" s="449">
        <v>18.5</v>
      </c>
      <c r="K405" s="449">
        <v>19</v>
      </c>
      <c r="L405" s="449">
        <v>18.899999999999999</v>
      </c>
      <c r="M405" s="449">
        <v>19.2</v>
      </c>
      <c r="N405" s="449">
        <v>19.2</v>
      </c>
      <c r="O405" s="449">
        <v>18.600000000000001</v>
      </c>
      <c r="P405" s="449">
        <v>18</v>
      </c>
      <c r="Q405" s="449">
        <v>18</v>
      </c>
      <c r="R405" s="449">
        <v>17.100000000000001</v>
      </c>
      <c r="S405" s="449">
        <v>17.3</v>
      </c>
      <c r="T405" s="449">
        <v>17.399999999999999</v>
      </c>
      <c r="U405" s="449">
        <v>17.399999999999999</v>
      </c>
      <c r="V405" s="449">
        <v>17.600000000000001</v>
      </c>
      <c r="W405" s="449">
        <v>17.3</v>
      </c>
      <c r="X405" s="449">
        <v>18.100000000000001</v>
      </c>
      <c r="Y405" s="449">
        <v>18.399999999999999</v>
      </c>
      <c r="Z405" s="449">
        <v>18.8</v>
      </c>
      <c r="AA405" s="449">
        <v>19.100000000000001</v>
      </c>
      <c r="AB405" s="449">
        <v>19.600000000000001</v>
      </c>
      <c r="AC405" s="458">
        <f>AB405*(1+Drivers!AC57)</f>
        <v>19.796000000000003</v>
      </c>
      <c r="AD405" s="458">
        <f>AC405*(1+Drivers!AD57)</f>
        <v>19.993960000000005</v>
      </c>
      <c r="AE405" s="458">
        <f>AD405*(1+Drivers!AE57)</f>
        <v>20.393839200000006</v>
      </c>
      <c r="AF405" s="458">
        <f>AE405*(1+Drivers!AF57)</f>
        <v>20.597777592000007</v>
      </c>
      <c r="AG405" s="458">
        <f>AF405*(1+Drivers!AG57)</f>
        <v>20.597777592000007</v>
      </c>
      <c r="AH405" s="458">
        <f>AG405*(1+Drivers!AH57)</f>
        <v>21.009733143840009</v>
      </c>
      <c r="AI405" s="458">
        <f>AH405*(1+Drivers!AI57)</f>
        <v>21.64002513815521</v>
      </c>
      <c r="AJ405" s="458"/>
      <c r="AK405" s="458"/>
      <c r="AL405" s="458"/>
      <c r="AM405" s="458"/>
      <c r="AN405" s="458"/>
      <c r="AO405" s="458"/>
      <c r="AP405" s="458"/>
      <c r="AQ405" s="458"/>
      <c r="AR405" s="70"/>
      <c r="AS405" s="334" t="s">
        <v>499</v>
      </c>
      <c r="AT405" s="321"/>
      <c r="AU405" s="235">
        <f>AVERAGE(D405:G405)</f>
        <v>20</v>
      </c>
      <c r="AV405" s="235">
        <f>AVERAGE(H405:K405)</f>
        <v>19.399999999999999</v>
      </c>
      <c r="AW405" s="235">
        <f>AVERAGE(L405:O405)</f>
        <v>18.975000000000001</v>
      </c>
      <c r="AX405" s="235">
        <f>AVERAGE(P405:S405)</f>
        <v>17.600000000000001</v>
      </c>
      <c r="AY405" s="235">
        <f>AVERAGE(T405:W405)</f>
        <v>17.425000000000001</v>
      </c>
      <c r="AZ405" s="235">
        <f>AVERAGE(X405:AA405)</f>
        <v>18.600000000000001</v>
      </c>
      <c r="BA405" s="235">
        <f>AVERAGE(AB405:AE405)</f>
        <v>19.945949800000001</v>
      </c>
      <c r="BB405" s="235">
        <f>AVERAGE(AF405:AI405)</f>
        <v>20.961328366498808</v>
      </c>
      <c r="BC405" s="458">
        <f>BB405*(1+Drivers!BC57)</f>
        <v>22.009394784823751</v>
      </c>
      <c r="BD405" s="458">
        <f>BC405*(1+Drivers!BD57)</f>
        <v>23.109864524064939</v>
      </c>
      <c r="BE405" s="458">
        <f>BD405*(1+Drivers!BE57)</f>
        <v>24.265357750268187</v>
      </c>
      <c r="BM405"/>
      <c r="BN405"/>
      <c r="BO405"/>
      <c r="BP405"/>
      <c r="BQ405"/>
      <c r="BR405"/>
    </row>
    <row r="406" spans="1:70" s="369" customFormat="1" x14ac:dyDescent="0.2">
      <c r="A406" s="411"/>
      <c r="B406" s="334"/>
      <c r="C406" s="321"/>
      <c r="D406" s="446"/>
      <c r="E406" s="446"/>
      <c r="F406" s="446"/>
      <c r="G406" s="446"/>
      <c r="H406" s="446"/>
      <c r="I406" s="446"/>
      <c r="J406" s="446"/>
      <c r="K406" s="446"/>
      <c r="L406" s="446"/>
      <c r="M406" s="446"/>
      <c r="N406" s="446"/>
      <c r="O406" s="446"/>
      <c r="P406" s="446"/>
      <c r="Q406" s="446"/>
      <c r="R406" s="446"/>
      <c r="S406" s="446"/>
      <c r="T406" s="446"/>
      <c r="U406" s="446"/>
      <c r="V406" s="446"/>
      <c r="W406" s="446"/>
      <c r="X406" s="446"/>
      <c r="Y406" s="446"/>
      <c r="Z406" s="446"/>
      <c r="AA406" s="446"/>
      <c r="AB406" s="446"/>
      <c r="AC406" s="321"/>
      <c r="AD406" s="321"/>
      <c r="AE406" s="321"/>
      <c r="AF406" s="321"/>
      <c r="AG406" s="321"/>
      <c r="AH406" s="321"/>
      <c r="AI406" s="321"/>
      <c r="AJ406" s="321"/>
      <c r="AK406" s="321"/>
      <c r="AL406" s="321"/>
      <c r="AM406" s="321"/>
      <c r="AN406" s="321"/>
      <c r="AO406" s="321"/>
      <c r="AP406" s="321"/>
      <c r="AQ406" s="321"/>
      <c r="AR406" s="70"/>
      <c r="AS406" s="334"/>
      <c r="AT406" s="321"/>
      <c r="AU406" s="235"/>
      <c r="AV406" s="235"/>
      <c r="AW406" s="235"/>
      <c r="AX406" s="235"/>
      <c r="AY406" s="235"/>
      <c r="AZ406" s="235"/>
      <c r="BA406" s="235"/>
      <c r="BB406" s="235"/>
      <c r="BC406" s="321"/>
      <c r="BD406" s="321"/>
      <c r="BE406" s="321"/>
      <c r="BM406"/>
      <c r="BN406"/>
      <c r="BO406"/>
      <c r="BP406"/>
      <c r="BQ406"/>
      <c r="BR406"/>
    </row>
    <row r="407" spans="1:70" s="369" customFormat="1" x14ac:dyDescent="0.2">
      <c r="A407" s="411"/>
      <c r="B407" s="321" t="s">
        <v>230</v>
      </c>
      <c r="C407" s="321"/>
      <c r="D407" s="446">
        <f t="shared" ref="D407:AE407" si="910">D405+D403</f>
        <v>88.5</v>
      </c>
      <c r="E407" s="446">
        <f t="shared" si="910"/>
        <v>86.800000000000011</v>
      </c>
      <c r="F407" s="446">
        <f t="shared" si="910"/>
        <v>88.300000000000011</v>
      </c>
      <c r="G407" s="446">
        <f t="shared" si="910"/>
        <v>90.1</v>
      </c>
      <c r="H407" s="446">
        <f t="shared" si="910"/>
        <v>90.1</v>
      </c>
      <c r="I407" s="446">
        <f t="shared" si="910"/>
        <v>89.100000000000009</v>
      </c>
      <c r="J407" s="446">
        <f t="shared" si="910"/>
        <v>88.2</v>
      </c>
      <c r="K407" s="446">
        <f t="shared" si="910"/>
        <v>91.1</v>
      </c>
      <c r="L407" s="446">
        <f t="shared" si="910"/>
        <v>91.699999999999989</v>
      </c>
      <c r="M407" s="446">
        <f t="shared" si="910"/>
        <v>95</v>
      </c>
      <c r="N407" s="446">
        <f t="shared" si="910"/>
        <v>95.100000000000009</v>
      </c>
      <c r="O407" s="446">
        <f t="shared" si="910"/>
        <v>92.9</v>
      </c>
      <c r="P407" s="446">
        <f t="shared" si="910"/>
        <v>90.4</v>
      </c>
      <c r="Q407" s="446">
        <f t="shared" si="910"/>
        <v>90.3</v>
      </c>
      <c r="R407" s="446">
        <f t="shared" si="910"/>
        <v>86.800000000000011</v>
      </c>
      <c r="S407" s="446">
        <f t="shared" si="910"/>
        <v>86.3</v>
      </c>
      <c r="T407" s="446">
        <f t="shared" si="910"/>
        <v>84.9</v>
      </c>
      <c r="U407" s="446">
        <f t="shared" si="910"/>
        <v>84.9</v>
      </c>
      <c r="V407" s="446">
        <f t="shared" si="910"/>
        <v>85.5</v>
      </c>
      <c r="W407" s="446">
        <f t="shared" si="910"/>
        <v>81.899999999999991</v>
      </c>
      <c r="X407" s="446">
        <f t="shared" si="910"/>
        <v>83.199999999999989</v>
      </c>
      <c r="Y407" s="446">
        <f t="shared" ref="Y407:Z407" si="911">Y405+Y403</f>
        <v>84.9</v>
      </c>
      <c r="Z407" s="446">
        <f t="shared" si="911"/>
        <v>86.2</v>
      </c>
      <c r="AA407" s="446">
        <f t="shared" ref="AA407:AB407" si="912">AA405+AA403</f>
        <v>87.9</v>
      </c>
      <c r="AB407" s="446">
        <f t="shared" si="912"/>
        <v>90.300000000000011</v>
      </c>
      <c r="AC407" s="446">
        <f t="shared" si="910"/>
        <v>91.203000000000003</v>
      </c>
      <c r="AD407" s="446">
        <f t="shared" si="910"/>
        <v>92.472064999999986</v>
      </c>
      <c r="AE407" s="446">
        <f t="shared" si="910"/>
        <v>94.321506299999982</v>
      </c>
      <c r="AF407" s="446">
        <f t="shared" ref="AF407:AI407" si="913">AF405+AF403</f>
        <v>94.895083027499965</v>
      </c>
      <c r="AG407" s="446">
        <f t="shared" si="913"/>
        <v>95.26656955467746</v>
      </c>
      <c r="AH407" s="446">
        <f t="shared" si="913"/>
        <v>96.238541046237557</v>
      </c>
      <c r="AI407" s="446">
        <f t="shared" si="913"/>
        <v>97.545892311674322</v>
      </c>
      <c r="AJ407" s="446"/>
      <c r="AK407" s="446"/>
      <c r="AL407" s="446"/>
      <c r="AM407" s="446"/>
      <c r="AN407" s="446"/>
      <c r="AO407" s="446"/>
      <c r="AP407" s="446"/>
      <c r="AQ407" s="446"/>
      <c r="AR407" s="70"/>
      <c r="AS407" s="321" t="s">
        <v>230</v>
      </c>
      <c r="AT407" s="321"/>
      <c r="AU407" s="235">
        <f>AVERAGE(D407:G407)</f>
        <v>88.425000000000011</v>
      </c>
      <c r="AV407" s="235">
        <f>AVERAGE(H407:K407)</f>
        <v>89.625</v>
      </c>
      <c r="AW407" s="235">
        <f>AVERAGE(L407:O407)</f>
        <v>93.675000000000011</v>
      </c>
      <c r="AX407" s="235">
        <f>AVERAGE(P407:S407)</f>
        <v>88.45</v>
      </c>
      <c r="AY407" s="235">
        <f>AVERAGE(T407:W407)</f>
        <v>84.3</v>
      </c>
      <c r="AZ407" s="235">
        <f>AVERAGE(X407:AA407)</f>
        <v>85.550000000000011</v>
      </c>
      <c r="BA407" s="235">
        <f>AVERAGE(AB407:AE407)</f>
        <v>92.074142824999996</v>
      </c>
      <c r="BB407" s="235">
        <f>AVERAGE(AF407:AI407)</f>
        <v>95.986521485022323</v>
      </c>
      <c r="BC407" s="446">
        <f>BC405+BC403</f>
        <v>100.03559562808823</v>
      </c>
      <c r="BD407" s="446">
        <f>BD405+BD403</f>
        <v>105.03737540949265</v>
      </c>
      <c r="BE407" s="446">
        <f>BE405+BE403</f>
        <v>110.28924417996728</v>
      </c>
      <c r="BM407"/>
      <c r="BN407"/>
      <c r="BO407"/>
      <c r="BP407"/>
      <c r="BQ407"/>
      <c r="BR407"/>
    </row>
    <row r="408" spans="1:70" s="369" customFormat="1" x14ac:dyDescent="0.2">
      <c r="A408" s="411"/>
      <c r="B408" s="334"/>
      <c r="C408" s="334"/>
      <c r="D408" s="384"/>
      <c r="E408" s="384"/>
      <c r="F408" s="384"/>
      <c r="G408" s="384"/>
      <c r="H408" s="384"/>
      <c r="I408" s="384"/>
      <c r="J408" s="384"/>
      <c r="K408" s="384"/>
      <c r="L408" s="384"/>
      <c r="M408" s="384"/>
      <c r="N408" s="384"/>
      <c r="O408" s="384"/>
      <c r="P408" s="384"/>
      <c r="Q408" s="384"/>
      <c r="R408" s="384"/>
      <c r="S408" s="384"/>
      <c r="T408" s="384"/>
      <c r="U408" s="384"/>
      <c r="V408" s="384"/>
      <c r="W408" s="384"/>
      <c r="X408" s="321"/>
      <c r="Y408" s="321"/>
      <c r="Z408" s="321"/>
      <c r="AA408" s="321"/>
      <c r="AB408" s="321"/>
      <c r="AC408" s="321"/>
      <c r="AD408" s="321"/>
      <c r="AE408" s="321"/>
      <c r="AF408" s="321"/>
      <c r="AG408" s="321"/>
      <c r="AH408" s="321"/>
      <c r="AI408" s="321"/>
      <c r="AJ408" s="321"/>
      <c r="AK408" s="321"/>
      <c r="AL408" s="321"/>
      <c r="AM408" s="321"/>
      <c r="AN408" s="321"/>
      <c r="AO408" s="321"/>
      <c r="AP408" s="321"/>
      <c r="AQ408" s="321"/>
      <c r="AR408" s="70"/>
      <c r="AS408" s="334"/>
      <c r="AT408" s="334"/>
      <c r="BC408" s="321"/>
      <c r="BD408" s="321"/>
      <c r="BE408" s="321"/>
      <c r="BM408"/>
      <c r="BN408"/>
      <c r="BO408"/>
      <c r="BP408"/>
      <c r="BQ408"/>
      <c r="BR408"/>
    </row>
    <row r="409" spans="1:70" s="369" customFormat="1" x14ac:dyDescent="0.2">
      <c r="A409" s="411"/>
      <c r="B409" s="337" t="s">
        <v>212</v>
      </c>
      <c r="C409" s="366"/>
      <c r="D409" s="457"/>
      <c r="E409" s="457"/>
      <c r="F409" s="457"/>
      <c r="G409" s="457"/>
      <c r="H409" s="457"/>
      <c r="I409" s="457"/>
      <c r="J409" s="457"/>
      <c r="K409" s="457"/>
      <c r="L409" s="457"/>
      <c r="M409" s="457"/>
      <c r="N409" s="457"/>
      <c r="O409" s="457"/>
      <c r="P409" s="457"/>
      <c r="Q409" s="457"/>
      <c r="R409" s="457"/>
      <c r="S409" s="457"/>
      <c r="T409" s="457"/>
      <c r="U409" s="457"/>
      <c r="V409" s="457"/>
      <c r="W409" s="457"/>
      <c r="X409" s="367"/>
      <c r="Y409" s="367"/>
      <c r="Z409" s="367"/>
      <c r="AA409" s="367"/>
      <c r="AB409" s="367"/>
      <c r="AC409" s="367"/>
      <c r="AD409" s="367"/>
      <c r="AE409" s="367"/>
      <c r="AF409" s="367"/>
      <c r="AG409" s="367"/>
      <c r="AH409" s="367"/>
      <c r="AI409" s="367"/>
      <c r="AJ409" s="367"/>
      <c r="AK409" s="367"/>
      <c r="AL409" s="367"/>
      <c r="AM409" s="367"/>
      <c r="AN409" s="367"/>
      <c r="AO409" s="367"/>
      <c r="AP409" s="367"/>
      <c r="AQ409" s="367"/>
      <c r="AR409" s="70"/>
      <c r="AS409" s="337" t="s">
        <v>212</v>
      </c>
      <c r="AT409" s="366"/>
      <c r="AU409" s="12"/>
      <c r="AV409" s="12"/>
      <c r="AW409" s="12"/>
      <c r="AX409" s="12"/>
      <c r="AY409" s="12"/>
      <c r="AZ409" s="12"/>
      <c r="BA409" s="12"/>
      <c r="BB409" s="12"/>
      <c r="BC409" s="367"/>
      <c r="BD409" s="367"/>
      <c r="BE409" s="367"/>
      <c r="BM409"/>
      <c r="BN409"/>
      <c r="BO409"/>
      <c r="BP409"/>
      <c r="BQ409"/>
      <c r="BR409"/>
    </row>
    <row r="410" spans="1:70" s="369" customFormat="1" x14ac:dyDescent="0.2">
      <c r="A410" s="411"/>
      <c r="B410" s="450" t="s">
        <v>501</v>
      </c>
      <c r="C410" s="321"/>
      <c r="D410" s="465"/>
      <c r="E410" s="465"/>
      <c r="F410" s="465"/>
      <c r="G410" s="465"/>
      <c r="H410" s="465"/>
      <c r="I410" s="465"/>
      <c r="J410" s="465"/>
      <c r="K410" s="465"/>
      <c r="L410" s="465"/>
      <c r="M410" s="465"/>
      <c r="N410" s="465"/>
      <c r="O410" s="465"/>
      <c r="P410" s="465"/>
      <c r="Q410" s="465"/>
      <c r="R410" s="465"/>
      <c r="S410" s="465"/>
      <c r="T410" s="465"/>
      <c r="U410" s="465"/>
      <c r="V410" s="465"/>
      <c r="W410" s="465"/>
      <c r="X410" s="321"/>
      <c r="Y410" s="321"/>
      <c r="Z410" s="321"/>
      <c r="AA410" s="321"/>
      <c r="AB410" s="321"/>
      <c r="AC410" s="321"/>
      <c r="AD410" s="321"/>
      <c r="AE410" s="321"/>
      <c r="AF410" s="321"/>
      <c r="AG410" s="321"/>
      <c r="AH410" s="321"/>
      <c r="AI410" s="321"/>
      <c r="AJ410" s="321"/>
      <c r="AK410" s="321"/>
      <c r="AL410" s="321"/>
      <c r="AM410" s="321"/>
      <c r="AN410" s="321"/>
      <c r="AO410" s="321"/>
      <c r="AP410" s="321"/>
      <c r="AQ410" s="321"/>
      <c r="AR410" s="70"/>
      <c r="AS410" s="450" t="s">
        <v>501</v>
      </c>
      <c r="AT410" s="321"/>
      <c r="AU410" s="235"/>
      <c r="AV410" s="235"/>
      <c r="AW410" s="235"/>
      <c r="AX410" s="235"/>
      <c r="AY410" s="235"/>
      <c r="AZ410" s="235"/>
      <c r="BA410" s="235"/>
      <c r="BB410" s="235"/>
      <c r="BC410" s="321"/>
      <c r="BD410" s="321"/>
      <c r="BE410" s="321"/>
      <c r="BM410"/>
      <c r="BN410"/>
      <c r="BO410"/>
      <c r="BP410"/>
      <c r="BQ410"/>
      <c r="BR410"/>
    </row>
    <row r="411" spans="1:70" s="369" customFormat="1" x14ac:dyDescent="0.2">
      <c r="A411" s="411"/>
      <c r="B411" s="321" t="s">
        <v>1298</v>
      </c>
      <c r="C411" s="321"/>
      <c r="D411" s="449">
        <v>35.1</v>
      </c>
      <c r="E411" s="449">
        <v>34.6</v>
      </c>
      <c r="F411" s="449">
        <v>35.5</v>
      </c>
      <c r="G411" s="449">
        <v>35.9</v>
      </c>
      <c r="H411" s="449">
        <v>35.799999999999997</v>
      </c>
      <c r="I411" s="449">
        <v>35</v>
      </c>
      <c r="J411" s="449">
        <v>36.4</v>
      </c>
      <c r="K411" s="449">
        <v>37.1</v>
      </c>
      <c r="L411" s="449">
        <v>37.799999999999997</v>
      </c>
      <c r="M411" s="449">
        <v>38.9</v>
      </c>
      <c r="N411" s="449">
        <v>38.4</v>
      </c>
      <c r="O411" s="449">
        <v>38</v>
      </c>
      <c r="P411" s="449">
        <v>36.799999999999997</v>
      </c>
      <c r="Q411" s="449">
        <v>36.700000000000003</v>
      </c>
      <c r="R411" s="449">
        <v>34.299999999999997</v>
      </c>
      <c r="S411" s="449">
        <v>34.4</v>
      </c>
      <c r="T411" s="449">
        <v>34.700000000000003</v>
      </c>
      <c r="U411" s="449">
        <v>33.5</v>
      </c>
      <c r="V411" s="449">
        <v>33.299999999999997</v>
      </c>
      <c r="W411" s="449">
        <v>31.3</v>
      </c>
      <c r="X411" s="449">
        <v>32.5</v>
      </c>
      <c r="Y411" s="449">
        <v>32.5</v>
      </c>
      <c r="Z411" s="449">
        <v>32.6</v>
      </c>
      <c r="AA411" s="449">
        <v>33.299999999999997</v>
      </c>
      <c r="AB411" s="449">
        <v>33.4</v>
      </c>
      <c r="AC411" s="505">
        <f t="shared" ref="AC411:AE413" si="914">AB411/AB$414*AC$414</f>
        <v>33.733999999999988</v>
      </c>
      <c r="AD411" s="505">
        <f t="shared" si="914"/>
        <v>34.240009999999984</v>
      </c>
      <c r="AE411" s="505">
        <f t="shared" si="914"/>
        <v>34.924810199999975</v>
      </c>
      <c r="AF411" s="505">
        <f t="shared" ref="AF411:AF413" si="915">AE411/AE$414*AF$414</f>
        <v>35.09943425099997</v>
      </c>
      <c r="AG411" s="505">
        <f t="shared" ref="AG411:AG413" si="916">AF411/AF$414*AG$414</f>
        <v>35.274931422254966</v>
      </c>
      <c r="AH411" s="505">
        <f t="shared" ref="AH411:AH413" si="917">AG411/AG$414*AH$414</f>
        <v>35.539493407921888</v>
      </c>
      <c r="AI411" s="505">
        <f t="shared" ref="AI411:AI413" si="918">AH411/AH$414*AI$414</f>
        <v>35.859348848593179</v>
      </c>
      <c r="AJ411" s="505"/>
      <c r="AK411" s="505"/>
      <c r="AL411" s="505"/>
      <c r="AM411" s="505"/>
      <c r="AN411" s="505"/>
      <c r="AO411" s="505"/>
      <c r="AP411" s="505"/>
      <c r="AQ411" s="505"/>
      <c r="AR411" s="70"/>
      <c r="AS411" s="321" t="s">
        <v>1298</v>
      </c>
      <c r="AT411" s="321"/>
      <c r="AU411" s="235">
        <f>G411</f>
        <v>35.9</v>
      </c>
      <c r="AV411" s="235">
        <f>K411</f>
        <v>37.1</v>
      </c>
      <c r="AW411" s="235">
        <f>O411</f>
        <v>38</v>
      </c>
      <c r="AX411" s="235">
        <f>S411</f>
        <v>34.4</v>
      </c>
      <c r="AY411" s="235">
        <f>W411</f>
        <v>31.3</v>
      </c>
      <c r="AZ411" s="235">
        <f>AA411</f>
        <v>33.299999999999997</v>
      </c>
      <c r="BA411" s="235">
        <f>AE411</f>
        <v>34.924810199999975</v>
      </c>
      <c r="BB411" s="235">
        <f>AI411</f>
        <v>35.859348848593179</v>
      </c>
      <c r="BC411" s="506">
        <f t="shared" ref="BC411:BE413" si="919">BB411/BB$414*BC$414</f>
        <v>37.293722802536905</v>
      </c>
      <c r="BD411" s="506">
        <f t="shared" si="919"/>
        <v>39.158408942663755</v>
      </c>
      <c r="BE411" s="506">
        <f t="shared" si="919"/>
        <v>41.116329389796945</v>
      </c>
      <c r="BM411"/>
      <c r="BN411"/>
      <c r="BO411"/>
      <c r="BP411"/>
      <c r="BQ411"/>
      <c r="BR411"/>
    </row>
    <row r="412" spans="1:70" s="369" customFormat="1" x14ac:dyDescent="0.2">
      <c r="A412" s="411"/>
      <c r="B412" s="321" t="s">
        <v>1290</v>
      </c>
      <c r="C412" s="321"/>
      <c r="D412" s="449">
        <v>17</v>
      </c>
      <c r="E412" s="449">
        <v>16.2</v>
      </c>
      <c r="F412" s="449">
        <v>16.3</v>
      </c>
      <c r="G412" s="449">
        <v>15.9</v>
      </c>
      <c r="H412" s="449">
        <v>16.100000000000001</v>
      </c>
      <c r="I412" s="449">
        <v>16.600000000000001</v>
      </c>
      <c r="J412" s="449">
        <v>16.8</v>
      </c>
      <c r="K412" s="449">
        <v>16.7</v>
      </c>
      <c r="L412" s="449">
        <v>17.399999999999999</v>
      </c>
      <c r="M412" s="449">
        <v>18</v>
      </c>
      <c r="N412" s="449">
        <v>17.5</v>
      </c>
      <c r="O412" s="449">
        <v>16.399999999999999</v>
      </c>
      <c r="P412" s="449">
        <v>16</v>
      </c>
      <c r="Q412" s="449">
        <v>16.100000000000001</v>
      </c>
      <c r="R412" s="449">
        <v>15.3</v>
      </c>
      <c r="S412" s="449">
        <v>14.8</v>
      </c>
      <c r="T412" s="449">
        <v>14.8</v>
      </c>
      <c r="U412" s="449">
        <v>15.2</v>
      </c>
      <c r="V412" s="449">
        <v>15.8</v>
      </c>
      <c r="W412" s="449">
        <v>14.5</v>
      </c>
      <c r="X412" s="449">
        <v>15.5</v>
      </c>
      <c r="Y412" s="449">
        <v>15.7</v>
      </c>
      <c r="Z412" s="449">
        <v>15.8</v>
      </c>
      <c r="AA412" s="449">
        <v>16.8</v>
      </c>
      <c r="AB412" s="449">
        <v>17.2</v>
      </c>
      <c r="AC412" s="505">
        <f t="shared" si="914"/>
        <v>17.371999999999996</v>
      </c>
      <c r="AD412" s="505">
        <f t="shared" si="914"/>
        <v>17.632579999999997</v>
      </c>
      <c r="AE412" s="505">
        <f t="shared" si="914"/>
        <v>17.985231599999992</v>
      </c>
      <c r="AF412" s="505">
        <f t="shared" si="915"/>
        <v>18.075157757999989</v>
      </c>
      <c r="AG412" s="505">
        <f t="shared" si="916"/>
        <v>18.165533546789987</v>
      </c>
      <c r="AH412" s="505">
        <f t="shared" si="917"/>
        <v>18.301775048390915</v>
      </c>
      <c r="AI412" s="505">
        <f t="shared" si="918"/>
        <v>18.466491023826428</v>
      </c>
      <c r="AJ412" s="505"/>
      <c r="AK412" s="505"/>
      <c r="AL412" s="505"/>
      <c r="AM412" s="505"/>
      <c r="AN412" s="505"/>
      <c r="AO412" s="505"/>
      <c r="AP412" s="505"/>
      <c r="AQ412" s="505"/>
      <c r="AR412" s="70"/>
      <c r="AS412" s="321" t="s">
        <v>1290</v>
      </c>
      <c r="AT412" s="321"/>
      <c r="AU412" s="235">
        <f>G412</f>
        <v>15.9</v>
      </c>
      <c r="AV412" s="235">
        <f>K412</f>
        <v>16.7</v>
      </c>
      <c r="AW412" s="235">
        <f>O412</f>
        <v>16.399999999999999</v>
      </c>
      <c r="AX412" s="235">
        <f>S412</f>
        <v>14.8</v>
      </c>
      <c r="AY412" s="235">
        <f>W412</f>
        <v>14.5</v>
      </c>
      <c r="AZ412" s="235">
        <f>AA412</f>
        <v>16.8</v>
      </c>
      <c r="BA412" s="235">
        <f>AE412</f>
        <v>17.985231599999992</v>
      </c>
      <c r="BB412" s="235">
        <f>AI412</f>
        <v>18.466491023826428</v>
      </c>
      <c r="BC412" s="506">
        <f t="shared" si="919"/>
        <v>19.205150664779488</v>
      </c>
      <c r="BD412" s="506">
        <f t="shared" si="919"/>
        <v>20.165408198018465</v>
      </c>
      <c r="BE412" s="506">
        <f t="shared" si="919"/>
        <v>21.173678607919388</v>
      </c>
      <c r="BM412"/>
      <c r="BN412"/>
      <c r="BO412"/>
      <c r="BP412"/>
      <c r="BQ412"/>
      <c r="BR412"/>
    </row>
    <row r="413" spans="1:70" s="369" customFormat="1" x14ac:dyDescent="0.2">
      <c r="A413" s="411"/>
      <c r="B413" s="376" t="s">
        <v>1291</v>
      </c>
      <c r="C413" s="376"/>
      <c r="D413" s="469">
        <v>16.399999999999999</v>
      </c>
      <c r="E413" s="469">
        <v>16.600000000000001</v>
      </c>
      <c r="F413" s="469">
        <v>17.5</v>
      </c>
      <c r="G413" s="469">
        <v>18.100000000000001</v>
      </c>
      <c r="H413" s="469">
        <v>17.899999999999999</v>
      </c>
      <c r="I413" s="469">
        <v>17.5</v>
      </c>
      <c r="J413" s="469">
        <v>17.600000000000001</v>
      </c>
      <c r="K413" s="469">
        <v>18.5</v>
      </c>
      <c r="L413" s="469">
        <v>19.100000000000001</v>
      </c>
      <c r="M413" s="469">
        <v>19.7</v>
      </c>
      <c r="N413" s="469">
        <v>19.399999999999999</v>
      </c>
      <c r="O413" s="469">
        <v>18.899999999999999</v>
      </c>
      <c r="P413" s="469">
        <v>19</v>
      </c>
      <c r="Q413" s="469">
        <v>19.600000000000001</v>
      </c>
      <c r="R413" s="469">
        <v>19</v>
      </c>
      <c r="S413" s="469">
        <v>19.2</v>
      </c>
      <c r="T413" s="469">
        <v>19.2</v>
      </c>
      <c r="U413" s="469">
        <v>18.8</v>
      </c>
      <c r="V413" s="469">
        <v>19</v>
      </c>
      <c r="W413" s="469">
        <v>17.2</v>
      </c>
      <c r="X413" s="469">
        <v>18.2</v>
      </c>
      <c r="Y413" s="469">
        <v>18.600000000000001</v>
      </c>
      <c r="Z413" s="469">
        <v>19.100000000000001</v>
      </c>
      <c r="AA413" s="469">
        <v>19.899999999999999</v>
      </c>
      <c r="AB413" s="469">
        <v>20.2</v>
      </c>
      <c r="AC413" s="532">
        <f t="shared" si="914"/>
        <v>20.401999999999994</v>
      </c>
      <c r="AD413" s="532">
        <f t="shared" si="914"/>
        <v>20.708029999999994</v>
      </c>
      <c r="AE413" s="532">
        <f t="shared" si="914"/>
        <v>21.122190599999989</v>
      </c>
      <c r="AF413" s="532">
        <f t="shared" si="915"/>
        <v>21.227801552999985</v>
      </c>
      <c r="AG413" s="532">
        <f t="shared" si="916"/>
        <v>21.333940560764987</v>
      </c>
      <c r="AH413" s="532">
        <f t="shared" si="917"/>
        <v>21.493945114970728</v>
      </c>
      <c r="AI413" s="532">
        <f t="shared" si="918"/>
        <v>21.687390621005459</v>
      </c>
      <c r="AJ413" s="467"/>
      <c r="AK413" s="467"/>
      <c r="AL413" s="467"/>
      <c r="AM413" s="467"/>
      <c r="AN413" s="467"/>
      <c r="AO413" s="467"/>
      <c r="AP413" s="467"/>
      <c r="AQ413" s="467"/>
      <c r="AR413" s="70"/>
      <c r="AS413" s="376" t="s">
        <v>1291</v>
      </c>
      <c r="AT413" s="376"/>
      <c r="AU413" s="236">
        <f>G413</f>
        <v>18.100000000000001</v>
      </c>
      <c r="AV413" s="236">
        <f>K413</f>
        <v>18.5</v>
      </c>
      <c r="AW413" s="236">
        <f>O413</f>
        <v>18.899999999999999</v>
      </c>
      <c r="AX413" s="236">
        <f>S413</f>
        <v>19.2</v>
      </c>
      <c r="AY413" s="236">
        <f>W413</f>
        <v>17.2</v>
      </c>
      <c r="AZ413" s="236">
        <f>AA413</f>
        <v>19.899999999999999</v>
      </c>
      <c r="BA413" s="236">
        <f>AE413</f>
        <v>21.122190599999989</v>
      </c>
      <c r="BB413" s="236">
        <f>AI413</f>
        <v>21.687390621005459</v>
      </c>
      <c r="BC413" s="507">
        <f t="shared" si="919"/>
        <v>22.55488624584568</v>
      </c>
      <c r="BD413" s="507">
        <f t="shared" si="919"/>
        <v>23.682630558137969</v>
      </c>
      <c r="BE413" s="507">
        <f t="shared" si="919"/>
        <v>24.866762086044869</v>
      </c>
      <c r="BM413"/>
      <c r="BN413"/>
      <c r="BO413"/>
      <c r="BP413"/>
      <c r="BQ413"/>
      <c r="BR413"/>
    </row>
    <row r="414" spans="1:70" s="369" customFormat="1" x14ac:dyDescent="0.2">
      <c r="A414" s="411"/>
      <c r="B414" s="321"/>
      <c r="C414" s="334" t="s">
        <v>87</v>
      </c>
      <c r="D414" s="468">
        <f t="shared" ref="D414:X414" si="920">SUM(D411:D413)</f>
        <v>68.5</v>
      </c>
      <c r="E414" s="468">
        <f t="shared" si="920"/>
        <v>67.400000000000006</v>
      </c>
      <c r="F414" s="468">
        <f t="shared" si="920"/>
        <v>69.3</v>
      </c>
      <c r="G414" s="468">
        <f t="shared" si="920"/>
        <v>69.900000000000006</v>
      </c>
      <c r="H414" s="468">
        <f t="shared" si="920"/>
        <v>69.8</v>
      </c>
      <c r="I414" s="468">
        <f t="shared" si="920"/>
        <v>69.099999999999994</v>
      </c>
      <c r="J414" s="468">
        <f t="shared" si="920"/>
        <v>70.800000000000011</v>
      </c>
      <c r="K414" s="468">
        <f t="shared" si="920"/>
        <v>72.3</v>
      </c>
      <c r="L414" s="468">
        <f t="shared" si="920"/>
        <v>74.3</v>
      </c>
      <c r="M414" s="468">
        <f t="shared" si="920"/>
        <v>76.599999999999994</v>
      </c>
      <c r="N414" s="468">
        <f t="shared" si="920"/>
        <v>75.3</v>
      </c>
      <c r="O414" s="468">
        <f t="shared" si="920"/>
        <v>73.3</v>
      </c>
      <c r="P414" s="468">
        <f t="shared" si="920"/>
        <v>71.8</v>
      </c>
      <c r="Q414" s="468">
        <f t="shared" si="920"/>
        <v>72.400000000000006</v>
      </c>
      <c r="R414" s="468">
        <f t="shared" si="920"/>
        <v>68.599999999999994</v>
      </c>
      <c r="S414" s="468">
        <f t="shared" si="920"/>
        <v>68.400000000000006</v>
      </c>
      <c r="T414" s="468">
        <f t="shared" si="920"/>
        <v>68.7</v>
      </c>
      <c r="U414" s="468">
        <f t="shared" si="920"/>
        <v>67.5</v>
      </c>
      <c r="V414" s="468">
        <f t="shared" si="920"/>
        <v>68.099999999999994</v>
      </c>
      <c r="W414" s="468">
        <f t="shared" si="920"/>
        <v>63</v>
      </c>
      <c r="X414" s="468">
        <f t="shared" si="920"/>
        <v>66.2</v>
      </c>
      <c r="Y414" s="468">
        <f t="shared" ref="Y414:Z414" si="921">SUM(Y411:Y413)</f>
        <v>66.800000000000011</v>
      </c>
      <c r="Z414" s="468">
        <f t="shared" si="921"/>
        <v>67.5</v>
      </c>
      <c r="AA414" s="468">
        <f t="shared" ref="AA414:AB414" si="922">SUM(AA411:AA413)</f>
        <v>70</v>
      </c>
      <c r="AB414" s="468">
        <f t="shared" si="922"/>
        <v>70.8</v>
      </c>
      <c r="AC414" s="505">
        <f t="shared" ref="AC414:AE414" si="923">AB414*AC403/AB403</f>
        <v>71.507999999999981</v>
      </c>
      <c r="AD414" s="505">
        <f t="shared" si="923"/>
        <v>72.580619999999982</v>
      </c>
      <c r="AE414" s="505">
        <f t="shared" si="923"/>
        <v>74.03223239999997</v>
      </c>
      <c r="AF414" s="505">
        <f t="shared" ref="AF414" si="924">AE414*AF403/AE403</f>
        <v>74.402393561999958</v>
      </c>
      <c r="AG414" s="505">
        <f t="shared" ref="AG414" si="925">AF414*AG403/AF403</f>
        <v>74.774405529809954</v>
      </c>
      <c r="AH414" s="505">
        <f t="shared" ref="AH414" si="926">AG414*AH403/AG403</f>
        <v>75.335213571283546</v>
      </c>
      <c r="AI414" s="505">
        <f t="shared" ref="AI414" si="927">AH414*AI403/AH403</f>
        <v>76.013230493425084</v>
      </c>
      <c r="AJ414" s="505"/>
      <c r="AK414" s="505"/>
      <c r="AL414" s="505"/>
      <c r="AM414" s="505"/>
      <c r="AN414" s="505"/>
      <c r="AO414" s="505"/>
      <c r="AP414" s="505"/>
      <c r="AQ414" s="505"/>
      <c r="AR414" s="70"/>
      <c r="AS414" s="321"/>
      <c r="AT414" s="334" t="s">
        <v>87</v>
      </c>
      <c r="AU414" s="467">
        <f t="shared" ref="AU414:BA414" si="928">SUM(AU411:AU413)</f>
        <v>69.900000000000006</v>
      </c>
      <c r="AV414" s="467">
        <f t="shared" si="928"/>
        <v>72.3</v>
      </c>
      <c r="AW414" s="467">
        <f t="shared" si="928"/>
        <v>73.3</v>
      </c>
      <c r="AX414" s="467">
        <f t="shared" si="928"/>
        <v>68.400000000000006</v>
      </c>
      <c r="AY414" s="467">
        <f t="shared" si="928"/>
        <v>63</v>
      </c>
      <c r="AZ414" s="467">
        <f t="shared" si="928"/>
        <v>70</v>
      </c>
      <c r="BA414" s="467">
        <f t="shared" si="928"/>
        <v>74.032232399999955</v>
      </c>
      <c r="BB414" s="467">
        <f t="shared" ref="BB414" si="929">SUM(BB411:BB413)</f>
        <v>76.01323049342507</v>
      </c>
      <c r="BC414" s="506">
        <f>BB414*BC403/BB403</f>
        <v>79.05375971316208</v>
      </c>
      <c r="BD414" s="506">
        <f>BC414*BD403/BC403</f>
        <v>83.006447698820196</v>
      </c>
      <c r="BE414" s="506">
        <f>BD414*BE403/BD403</f>
        <v>87.156770083761216</v>
      </c>
      <c r="BM414"/>
      <c r="BN414"/>
      <c r="BO414"/>
      <c r="BP414"/>
      <c r="BQ414"/>
      <c r="BR414"/>
    </row>
    <row r="415" spans="1:70" s="369" customFormat="1" x14ac:dyDescent="0.2">
      <c r="A415" s="830"/>
      <c r="C415" s="334"/>
      <c r="D415" s="468"/>
      <c r="E415" s="468"/>
      <c r="F415" s="468"/>
      <c r="G415" s="468"/>
      <c r="H415" s="468"/>
      <c r="I415" s="468"/>
      <c r="J415" s="468"/>
      <c r="K415" s="468"/>
      <c r="L415" s="468"/>
      <c r="M415" s="468"/>
      <c r="N415" s="468"/>
      <c r="O415" s="468"/>
      <c r="P415" s="468"/>
      <c r="Q415" s="468"/>
      <c r="R415" s="468"/>
      <c r="S415" s="468"/>
      <c r="T415" s="468"/>
      <c r="U415" s="468"/>
      <c r="V415" s="468"/>
      <c r="W415" s="468"/>
      <c r="X415" s="468"/>
      <c r="Y415" s="468"/>
      <c r="Z415" s="468"/>
      <c r="AA415" s="468"/>
      <c r="AB415" s="468"/>
      <c r="AR415" s="70"/>
      <c r="AT415" s="334"/>
      <c r="BM415"/>
      <c r="BN415"/>
      <c r="BO415"/>
      <c r="BP415"/>
      <c r="BQ415"/>
      <c r="BR415"/>
    </row>
    <row r="416" spans="1:70" s="369" customFormat="1" x14ac:dyDescent="0.2">
      <c r="A416" s="411"/>
      <c r="B416" s="334" t="s">
        <v>499</v>
      </c>
      <c r="C416" s="321"/>
      <c r="D416" s="449">
        <v>19.899999999999999</v>
      </c>
      <c r="E416" s="449">
        <v>19.7</v>
      </c>
      <c r="F416" s="449">
        <v>20.100000000000001</v>
      </c>
      <c r="G416" s="449">
        <v>20.8</v>
      </c>
      <c r="H416" s="449">
        <v>20</v>
      </c>
      <c r="I416" s="449">
        <v>19.5</v>
      </c>
      <c r="J416" s="449">
        <v>18.8</v>
      </c>
      <c r="K416" s="449">
        <v>19.3</v>
      </c>
      <c r="L416" s="449">
        <v>18.8</v>
      </c>
      <c r="M416" s="449">
        <v>19.600000000000001</v>
      </c>
      <c r="N416" s="449">
        <v>18.899999999999999</v>
      </c>
      <c r="O416" s="449">
        <v>18.600000000000001</v>
      </c>
      <c r="P416" s="449">
        <v>17.8</v>
      </c>
      <c r="Q416" s="449">
        <v>18.100000000000001</v>
      </c>
      <c r="R416" s="449">
        <v>17</v>
      </c>
      <c r="S416" s="449">
        <v>17.600000000000001</v>
      </c>
      <c r="T416" s="449">
        <v>17.600000000000001</v>
      </c>
      <c r="U416" s="449">
        <v>17.600000000000001</v>
      </c>
      <c r="V416" s="449">
        <v>17.7</v>
      </c>
      <c r="W416" s="449">
        <v>17.5</v>
      </c>
      <c r="X416" s="449">
        <v>18.3</v>
      </c>
      <c r="Y416" s="449">
        <v>18.8</v>
      </c>
      <c r="Z416" s="449">
        <v>18.8</v>
      </c>
      <c r="AA416" s="449">
        <v>19.8</v>
      </c>
      <c r="AB416" s="449">
        <v>19.2</v>
      </c>
      <c r="AC416" s="506">
        <f t="shared" ref="AC416:AE416" si="930">AB416*AC405/AB405</f>
        <v>19.391999999999999</v>
      </c>
      <c r="AD416" s="506">
        <f t="shared" si="930"/>
        <v>19.585920000000002</v>
      </c>
      <c r="AE416" s="506">
        <f t="shared" si="930"/>
        <v>19.977638400000004</v>
      </c>
      <c r="AF416" s="506">
        <f t="shared" ref="AF416" si="931">AE416*AF405/AE405</f>
        <v>20.177414784000007</v>
      </c>
      <c r="AG416" s="506">
        <f t="shared" ref="AG416" si="932">AF416*AG405/AF405</f>
        <v>20.177414784000007</v>
      </c>
      <c r="AH416" s="506">
        <f t="shared" ref="AH416" si="933">AG416*AH405/AG405</f>
        <v>20.580963079680011</v>
      </c>
      <c r="AI416" s="506">
        <f t="shared" ref="AI416" si="934">AH416*AI405/AH405</f>
        <v>21.198391972070411</v>
      </c>
      <c r="AJ416" s="506"/>
      <c r="AK416" s="506"/>
      <c r="AL416" s="506"/>
      <c r="AM416" s="506"/>
      <c r="AN416" s="506"/>
      <c r="AO416" s="506"/>
      <c r="AP416" s="506"/>
      <c r="AQ416" s="506"/>
      <c r="AR416" s="70"/>
      <c r="AS416" s="334" t="s">
        <v>499</v>
      </c>
      <c r="AT416" s="321"/>
      <c r="AU416" s="235">
        <f>G416</f>
        <v>20.8</v>
      </c>
      <c r="AV416" s="235">
        <f>K416</f>
        <v>19.3</v>
      </c>
      <c r="AW416" s="235">
        <f>O416</f>
        <v>18.600000000000001</v>
      </c>
      <c r="AX416" s="235">
        <f>S416</f>
        <v>17.600000000000001</v>
      </c>
      <c r="AY416" s="235">
        <f>W416</f>
        <v>17.5</v>
      </c>
      <c r="AZ416" s="235">
        <f>AA416</f>
        <v>19.8</v>
      </c>
      <c r="BA416" s="235">
        <f>AE416</f>
        <v>19.977638400000004</v>
      </c>
      <c r="BB416" s="235">
        <f>AI416</f>
        <v>21.198391972070411</v>
      </c>
      <c r="BC416" s="506">
        <f>BB416*BC405/BB405</f>
        <v>22.258311570673936</v>
      </c>
      <c r="BD416" s="506">
        <f>BC416*BD405/BC405</f>
        <v>23.371227149207634</v>
      </c>
      <c r="BE416" s="506">
        <f>BD416*BE405/BD405</f>
        <v>24.539788506668017</v>
      </c>
      <c r="BM416"/>
      <c r="BN416"/>
      <c r="BO416"/>
      <c r="BP416"/>
      <c r="BQ416"/>
      <c r="BR416"/>
    </row>
    <row r="417" spans="1:74" s="369" customFormat="1" x14ac:dyDescent="0.2">
      <c r="A417" s="411"/>
      <c r="B417" s="321"/>
      <c r="C417" s="334"/>
      <c r="D417" s="468"/>
      <c r="E417" s="468"/>
      <c r="F417" s="468"/>
      <c r="G417" s="468"/>
      <c r="H417" s="468"/>
      <c r="I417" s="468"/>
      <c r="J417" s="468"/>
      <c r="K417" s="468"/>
      <c r="L417" s="468"/>
      <c r="M417" s="468"/>
      <c r="N417" s="468"/>
      <c r="O417" s="468"/>
      <c r="P417" s="468"/>
      <c r="Q417" s="468"/>
      <c r="R417" s="468"/>
      <c r="S417" s="468"/>
      <c r="T417" s="468"/>
      <c r="U417" s="468"/>
      <c r="V417" s="468"/>
      <c r="W417" s="468"/>
      <c r="X417" s="468"/>
      <c r="Y417" s="468"/>
      <c r="Z417" s="468"/>
      <c r="AA417" s="468"/>
      <c r="AB417" s="468"/>
      <c r="AC417" s="321"/>
      <c r="AD417" s="321"/>
      <c r="AE417" s="321"/>
      <c r="AF417" s="321"/>
      <c r="AG417" s="321"/>
      <c r="AH417" s="321"/>
      <c r="AI417" s="321"/>
      <c r="AJ417" s="321"/>
      <c r="AK417" s="321"/>
      <c r="AL417" s="321"/>
      <c r="AM417" s="321"/>
      <c r="AN417" s="321"/>
      <c r="AO417" s="321"/>
      <c r="AP417" s="321"/>
      <c r="AQ417" s="321"/>
      <c r="AR417" s="70"/>
      <c r="AS417" s="321"/>
      <c r="AT417" s="334"/>
      <c r="BC417" s="321"/>
      <c r="BD417" s="321"/>
      <c r="BE417" s="321"/>
      <c r="BM417"/>
      <c r="BN417"/>
      <c r="BO417"/>
      <c r="BP417"/>
      <c r="BQ417"/>
      <c r="BR417"/>
    </row>
    <row r="418" spans="1:74" s="369" customFormat="1" x14ac:dyDescent="0.2">
      <c r="A418" s="411"/>
      <c r="B418" s="321" t="s">
        <v>230</v>
      </c>
      <c r="C418" s="334"/>
      <c r="D418" s="468">
        <f t="shared" ref="D418:AE418" si="935">SUM(D414:D416)</f>
        <v>88.4</v>
      </c>
      <c r="E418" s="468">
        <f t="shared" si="935"/>
        <v>87.100000000000009</v>
      </c>
      <c r="F418" s="468">
        <f t="shared" si="935"/>
        <v>89.4</v>
      </c>
      <c r="G418" s="468">
        <f t="shared" si="935"/>
        <v>90.7</v>
      </c>
      <c r="H418" s="468">
        <f t="shared" si="935"/>
        <v>89.8</v>
      </c>
      <c r="I418" s="468">
        <f t="shared" si="935"/>
        <v>88.6</v>
      </c>
      <c r="J418" s="468">
        <f t="shared" si="935"/>
        <v>89.600000000000009</v>
      </c>
      <c r="K418" s="468">
        <f t="shared" si="935"/>
        <v>91.6</v>
      </c>
      <c r="L418" s="468">
        <f t="shared" si="935"/>
        <v>93.1</v>
      </c>
      <c r="M418" s="468">
        <f t="shared" si="935"/>
        <v>96.199999999999989</v>
      </c>
      <c r="N418" s="468">
        <f t="shared" si="935"/>
        <v>94.199999999999989</v>
      </c>
      <c r="O418" s="468">
        <f t="shared" si="935"/>
        <v>91.9</v>
      </c>
      <c r="P418" s="468">
        <f t="shared" si="935"/>
        <v>89.6</v>
      </c>
      <c r="Q418" s="468">
        <f t="shared" si="935"/>
        <v>90.5</v>
      </c>
      <c r="R418" s="468">
        <f t="shared" si="935"/>
        <v>85.6</v>
      </c>
      <c r="S418" s="468">
        <f t="shared" si="935"/>
        <v>86</v>
      </c>
      <c r="T418" s="468">
        <f t="shared" si="935"/>
        <v>86.300000000000011</v>
      </c>
      <c r="U418" s="468">
        <f t="shared" si="935"/>
        <v>85.1</v>
      </c>
      <c r="V418" s="468">
        <f t="shared" si="935"/>
        <v>85.8</v>
      </c>
      <c r="W418" s="468">
        <f t="shared" si="935"/>
        <v>80.5</v>
      </c>
      <c r="X418" s="468">
        <f t="shared" si="935"/>
        <v>84.5</v>
      </c>
      <c r="Y418" s="468">
        <f t="shared" ref="Y418:Z418" si="936">SUM(Y414:Y416)</f>
        <v>85.600000000000009</v>
      </c>
      <c r="Z418" s="468">
        <f t="shared" si="936"/>
        <v>86.3</v>
      </c>
      <c r="AA418" s="468">
        <f t="shared" ref="AA418:AB418" si="937">SUM(AA414:AA416)</f>
        <v>89.8</v>
      </c>
      <c r="AB418" s="468">
        <f t="shared" si="937"/>
        <v>90</v>
      </c>
      <c r="AC418" s="468">
        <f t="shared" si="935"/>
        <v>90.899999999999977</v>
      </c>
      <c r="AD418" s="468">
        <f t="shared" si="935"/>
        <v>92.166539999999983</v>
      </c>
      <c r="AE418" s="468">
        <f t="shared" si="935"/>
        <v>94.009870799999973</v>
      </c>
      <c r="AF418" s="468">
        <f t="shared" ref="AF418:AI418" si="938">SUM(AF414:AF416)</f>
        <v>94.579808345999965</v>
      </c>
      <c r="AG418" s="468">
        <f t="shared" si="938"/>
        <v>94.951820313809961</v>
      </c>
      <c r="AH418" s="468">
        <f t="shared" si="938"/>
        <v>95.916176650963564</v>
      </c>
      <c r="AI418" s="468">
        <f t="shared" si="938"/>
        <v>97.211622465495495</v>
      </c>
      <c r="AJ418" s="468"/>
      <c r="AK418" s="468"/>
      <c r="AL418" s="468"/>
      <c r="AM418" s="468"/>
      <c r="AN418" s="468"/>
      <c r="AO418" s="468"/>
      <c r="AP418" s="468"/>
      <c r="AQ418" s="468"/>
      <c r="AR418" s="70"/>
      <c r="AS418" s="321" t="s">
        <v>230</v>
      </c>
      <c r="AT418" s="334"/>
      <c r="AU418" s="235">
        <f>G418</f>
        <v>90.7</v>
      </c>
      <c r="AV418" s="235">
        <f>K418</f>
        <v>91.6</v>
      </c>
      <c r="AW418" s="235">
        <f>O418</f>
        <v>91.9</v>
      </c>
      <c r="AX418" s="235">
        <f>S418</f>
        <v>86</v>
      </c>
      <c r="AY418" s="235">
        <f>W418</f>
        <v>80.5</v>
      </c>
      <c r="AZ418" s="235">
        <f>AA418</f>
        <v>89.8</v>
      </c>
      <c r="BA418" s="235">
        <f>AE418</f>
        <v>94.009870799999973</v>
      </c>
      <c r="BB418" s="235">
        <f>AI418</f>
        <v>97.211622465495495</v>
      </c>
      <c r="BC418" s="468">
        <f>SUM(BC414:BC416)</f>
        <v>101.31207128383602</v>
      </c>
      <c r="BD418" s="468">
        <f>SUM(BD414:BD416)</f>
        <v>106.37767484802782</v>
      </c>
      <c r="BE418" s="468">
        <f>SUM(BE414:BE416)</f>
        <v>111.69655859042923</v>
      </c>
      <c r="BM418"/>
      <c r="BN418"/>
      <c r="BO418"/>
      <c r="BP418"/>
      <c r="BQ418"/>
      <c r="BR418"/>
    </row>
    <row r="419" spans="1:74" s="369" customFormat="1" x14ac:dyDescent="0.2">
      <c r="A419" s="411"/>
      <c r="B419" s="321"/>
      <c r="C419" s="334"/>
      <c r="D419" s="465"/>
      <c r="E419" s="465"/>
      <c r="F419" s="465"/>
      <c r="G419" s="465"/>
      <c r="H419" s="465"/>
      <c r="I419" s="465"/>
      <c r="J419" s="465"/>
      <c r="K419" s="465"/>
      <c r="L419" s="465"/>
      <c r="M419" s="465"/>
      <c r="N419" s="465"/>
      <c r="O419" s="465"/>
      <c r="P419" s="465"/>
      <c r="Q419" s="465"/>
      <c r="R419" s="465"/>
      <c r="S419" s="465"/>
      <c r="T419" s="465"/>
      <c r="U419" s="465"/>
      <c r="V419" s="465"/>
      <c r="W419" s="465"/>
      <c r="X419" s="465"/>
      <c r="Y419" s="465"/>
      <c r="Z419" s="465"/>
      <c r="AA419" s="465"/>
      <c r="AB419" s="465"/>
      <c r="AC419" s="321"/>
      <c r="AD419" s="321"/>
      <c r="AE419" s="321"/>
      <c r="AF419" s="321"/>
      <c r="AG419" s="321"/>
      <c r="AH419" s="321"/>
      <c r="AI419" s="321"/>
      <c r="AJ419" s="321"/>
      <c r="AK419" s="321"/>
      <c r="AL419" s="321"/>
      <c r="AM419" s="321"/>
      <c r="AN419" s="321"/>
      <c r="AO419" s="321"/>
      <c r="AP419" s="321"/>
      <c r="AQ419" s="321"/>
      <c r="AR419" s="70"/>
      <c r="AS419" s="321"/>
      <c r="AT419" s="334"/>
      <c r="BM419"/>
      <c r="BN419"/>
      <c r="BO419"/>
      <c r="BP419"/>
      <c r="BQ419"/>
      <c r="BR419"/>
    </row>
    <row r="420" spans="1:74" x14ac:dyDescent="0.2">
      <c r="B420" s="337" t="s">
        <v>509</v>
      </c>
      <c r="C420" s="11"/>
      <c r="D420" s="12"/>
      <c r="E420" s="12"/>
      <c r="F420" s="12"/>
      <c r="G420" s="12"/>
      <c r="H420" s="12"/>
      <c r="I420" s="12"/>
      <c r="J420" s="12"/>
      <c r="K420" s="12"/>
      <c r="L420" s="12"/>
      <c r="M420" s="12"/>
      <c r="N420" s="12"/>
      <c r="O420" s="12"/>
      <c r="P420" s="12"/>
      <c r="Q420" s="12"/>
      <c r="R420" s="12"/>
      <c r="S420" s="12"/>
      <c r="T420" s="12"/>
      <c r="U420" s="12"/>
      <c r="V420" s="12"/>
      <c r="W420" s="12"/>
      <c r="X420" s="12"/>
      <c r="Y420" s="12"/>
      <c r="Z420" s="12"/>
      <c r="AA420" s="12"/>
      <c r="AB420" s="12"/>
      <c r="AC420" s="12"/>
      <c r="AD420" s="12"/>
      <c r="AE420" s="12"/>
      <c r="AF420" s="12"/>
      <c r="AG420" s="12"/>
      <c r="AH420" s="12"/>
      <c r="AI420" s="12"/>
      <c r="AJ420" s="12"/>
      <c r="AK420" s="12"/>
      <c r="AL420" s="12"/>
      <c r="AM420" s="12"/>
      <c r="AN420" s="12"/>
      <c r="AO420" s="12"/>
      <c r="AP420" s="12"/>
      <c r="AQ420" s="12"/>
      <c r="AS420" s="337" t="s">
        <v>509</v>
      </c>
      <c r="AT420" s="11"/>
      <c r="AU420" s="12"/>
      <c r="AV420" s="12"/>
      <c r="AW420" s="12"/>
      <c r="AX420" s="12"/>
      <c r="AY420" s="12"/>
      <c r="AZ420" s="12"/>
      <c r="BA420" s="12"/>
      <c r="BB420" s="12"/>
      <c r="BC420" s="12"/>
      <c r="BD420" s="12"/>
      <c r="BE420" s="12"/>
    </row>
    <row r="421" spans="1:74" s="369" customFormat="1" x14ac:dyDescent="0.2">
      <c r="A421" s="411"/>
      <c r="B421" s="334" t="s">
        <v>50</v>
      </c>
      <c r="C421" s="321"/>
      <c r="D421" s="471">
        <v>17</v>
      </c>
      <c r="E421" s="471">
        <v>17.100000000000001</v>
      </c>
      <c r="F421" s="471">
        <v>17.2</v>
      </c>
      <c r="G421" s="471">
        <v>17.7</v>
      </c>
      <c r="H421" s="471">
        <v>17.8</v>
      </c>
      <c r="I421" s="471">
        <v>18.100000000000001</v>
      </c>
      <c r="J421" s="471">
        <v>17.399999999999999</v>
      </c>
      <c r="K421" s="471">
        <v>17.399999999999999</v>
      </c>
      <c r="L421" s="471">
        <v>17.2</v>
      </c>
      <c r="M421" s="471">
        <v>17.100000000000001</v>
      </c>
      <c r="N421" s="471">
        <v>17.2</v>
      </c>
      <c r="O421" s="471">
        <v>17.3</v>
      </c>
      <c r="P421" s="471">
        <v>17.3</v>
      </c>
      <c r="Q421" s="471">
        <v>17.3</v>
      </c>
      <c r="R421" s="471">
        <v>17.100000000000001</v>
      </c>
      <c r="S421" s="471">
        <v>16.899999999999999</v>
      </c>
      <c r="T421" s="471">
        <v>16.600000000000001</v>
      </c>
      <c r="U421" s="471">
        <v>16.600000000000001</v>
      </c>
      <c r="V421" s="471">
        <v>16.399999999999999</v>
      </c>
      <c r="W421" s="471">
        <v>16.3</v>
      </c>
      <c r="X421" s="471">
        <v>16.7</v>
      </c>
      <c r="Y421" s="471">
        <v>16.7</v>
      </c>
      <c r="Z421" s="471">
        <v>16.600000000000001</v>
      </c>
      <c r="AA421" s="471">
        <v>16.399999999999999</v>
      </c>
      <c r="AB421" s="471">
        <v>16.2</v>
      </c>
      <c r="AC421" s="338" t="s">
        <v>226</v>
      </c>
      <c r="AD421" s="338" t="s">
        <v>226</v>
      </c>
      <c r="AE421" s="338" t="s">
        <v>226</v>
      </c>
      <c r="AF421" s="338" t="s">
        <v>226</v>
      </c>
      <c r="AG421" s="338" t="s">
        <v>226</v>
      </c>
      <c r="AH421" s="338" t="s">
        <v>226</v>
      </c>
      <c r="AI421" s="338" t="s">
        <v>226</v>
      </c>
      <c r="AJ421" s="338"/>
      <c r="AK421" s="338"/>
      <c r="AL421" s="338"/>
      <c r="AM421" s="338"/>
      <c r="AN421" s="338"/>
      <c r="AO421" s="338"/>
      <c r="AP421" s="338"/>
      <c r="AQ421" s="338"/>
      <c r="AR421" s="70"/>
      <c r="AS421" s="334" t="s">
        <v>50</v>
      </c>
      <c r="AT421" s="321"/>
      <c r="AU421" s="235">
        <f>G421</f>
        <v>17.7</v>
      </c>
      <c r="AV421" s="235">
        <f>K421</f>
        <v>17.399999999999999</v>
      </c>
      <c r="AW421" s="235">
        <f>O421</f>
        <v>17.3</v>
      </c>
      <c r="AX421" s="235">
        <f>S421</f>
        <v>16.899999999999999</v>
      </c>
      <c r="AY421" s="235">
        <f>W421</f>
        <v>16.3</v>
      </c>
      <c r="AZ421" s="351" t="s">
        <v>226</v>
      </c>
      <c r="BA421" s="351" t="s">
        <v>226</v>
      </c>
      <c r="BB421" s="351" t="s">
        <v>226</v>
      </c>
      <c r="BC421" s="351" t="s">
        <v>226</v>
      </c>
      <c r="BD421" s="351" t="s">
        <v>226</v>
      </c>
      <c r="BE421" s="351" t="s">
        <v>226</v>
      </c>
      <c r="BM421"/>
      <c r="BN421"/>
      <c r="BO421"/>
      <c r="BP421"/>
      <c r="BQ421"/>
      <c r="BR421"/>
    </row>
    <row r="422" spans="1:74" s="369" customFormat="1" x14ac:dyDescent="0.2">
      <c r="A422" s="411"/>
      <c r="B422" s="334" t="s">
        <v>217</v>
      </c>
      <c r="C422" s="321"/>
      <c r="D422" s="449">
        <v>18.600000000000001</v>
      </c>
      <c r="E422" s="449">
        <v>18.5</v>
      </c>
      <c r="F422" s="449">
        <v>18.8</v>
      </c>
      <c r="G422" s="449">
        <v>20.6</v>
      </c>
      <c r="H422" s="449">
        <v>19.5</v>
      </c>
      <c r="I422" s="449">
        <v>19.899999999999999</v>
      </c>
      <c r="J422" s="449">
        <v>19</v>
      </c>
      <c r="K422" s="449">
        <v>20.399999999999999</v>
      </c>
      <c r="L422" s="449">
        <v>18.8</v>
      </c>
      <c r="M422" s="449">
        <v>20</v>
      </c>
      <c r="N422" s="449">
        <v>20.2</v>
      </c>
      <c r="O422" s="449">
        <v>20.399999999999999</v>
      </c>
      <c r="P422" s="449">
        <v>18.600000000000001</v>
      </c>
      <c r="Q422" s="449">
        <v>19.2</v>
      </c>
      <c r="R422" s="449">
        <v>18.2</v>
      </c>
      <c r="S422" s="449">
        <v>19.3</v>
      </c>
      <c r="T422" s="449">
        <v>18.100000000000001</v>
      </c>
      <c r="U422" s="449">
        <v>18.7</v>
      </c>
      <c r="V422" s="449">
        <v>18.7</v>
      </c>
      <c r="W422" s="449">
        <v>19.399999999999999</v>
      </c>
      <c r="X422" s="449">
        <v>19.2</v>
      </c>
      <c r="Y422" s="449">
        <v>20.100000000000001</v>
      </c>
      <c r="Z422" s="449">
        <v>20.3</v>
      </c>
      <c r="AA422" s="449">
        <v>21.9</v>
      </c>
      <c r="AB422" s="449">
        <v>21.5</v>
      </c>
      <c r="AC422" s="458">
        <f>Y422*(1+Drivers!AC98)</f>
        <v>22.110000000000003</v>
      </c>
      <c r="AD422" s="458">
        <f>Z422*(1+Drivers!AD98)</f>
        <v>22.127000000000002</v>
      </c>
      <c r="AE422" s="458">
        <f>AA422*(1+Drivers!AE98)</f>
        <v>23.652000000000001</v>
      </c>
      <c r="AF422" s="458">
        <f>AB422*(1+Drivers!AF98)</f>
        <v>23.005000000000003</v>
      </c>
      <c r="AG422" s="458">
        <f>AC422*(1+Drivers!AG98)</f>
        <v>23.436600000000006</v>
      </c>
      <c r="AH422" s="458">
        <f>AD422*(1+Drivers!AH98)</f>
        <v>23.454620000000002</v>
      </c>
      <c r="AI422" s="458">
        <f>AE422*(1+Drivers!AI98)</f>
        <v>25.071120000000004</v>
      </c>
      <c r="AJ422" s="458"/>
      <c r="AK422" s="458"/>
      <c r="AL422" s="458"/>
      <c r="AM422" s="458"/>
      <c r="AN422" s="458"/>
      <c r="AO422" s="458"/>
      <c r="AP422" s="458"/>
      <c r="AQ422" s="458"/>
      <c r="AR422" s="70"/>
      <c r="AS422" s="334" t="s">
        <v>217</v>
      </c>
      <c r="AT422" s="321"/>
      <c r="AU422" s="232">
        <f>SUM(D422:G422)</f>
        <v>76.5</v>
      </c>
      <c r="AV422" s="232">
        <f>SUM(H422:K422)</f>
        <v>78.8</v>
      </c>
      <c r="AW422" s="232">
        <f>SUM(L422:O422)</f>
        <v>79.400000000000006</v>
      </c>
      <c r="AX422" s="232">
        <f>SUM(P422:S422)</f>
        <v>75.3</v>
      </c>
      <c r="AY422" s="232">
        <f>SUM(T422:W422)</f>
        <v>74.900000000000006</v>
      </c>
      <c r="AZ422" s="508">
        <f>SUM(X422:AA422)</f>
        <v>81.5</v>
      </c>
      <c r="BA422" s="508">
        <f>SUM(AB422:AE422)</f>
        <v>89.388999999999996</v>
      </c>
      <c r="BB422" s="508">
        <f>SUM(AF422:AI422)</f>
        <v>94.967340000000021</v>
      </c>
      <c r="BC422" s="348">
        <f>BB422*(1+Drivers!BC98)</f>
        <v>100.66538040000003</v>
      </c>
      <c r="BD422" s="348">
        <f>BC422*(1+Drivers!BD98)</f>
        <v>106.70530322400003</v>
      </c>
      <c r="BE422" s="348">
        <f>BD422*(1+Drivers!BE98)</f>
        <v>113.10762141744004</v>
      </c>
      <c r="BM422"/>
      <c r="BN422"/>
      <c r="BO422"/>
      <c r="BP422"/>
      <c r="BQ422"/>
      <c r="BR422"/>
    </row>
    <row r="423" spans="1:74" s="369" customFormat="1" x14ac:dyDescent="0.2">
      <c r="A423" s="411"/>
      <c r="B423" s="321"/>
      <c r="C423" s="334"/>
      <c r="D423" s="465"/>
      <c r="E423" s="465"/>
      <c r="F423" s="465"/>
      <c r="G423" s="465"/>
      <c r="H423" s="465"/>
      <c r="I423" s="465"/>
      <c r="J423" s="465"/>
      <c r="K423" s="465"/>
      <c r="L423" s="465"/>
      <c r="M423" s="465"/>
      <c r="N423" s="465"/>
      <c r="O423" s="465"/>
      <c r="P423" s="465"/>
      <c r="Q423" s="465"/>
      <c r="R423" s="465"/>
      <c r="S423" s="465"/>
      <c r="T423" s="465"/>
      <c r="U423" s="465"/>
      <c r="V423" s="465"/>
      <c r="W423" s="465"/>
      <c r="X423" s="465"/>
      <c r="Y423" s="465"/>
      <c r="Z423" s="465"/>
      <c r="AA423" s="351"/>
      <c r="AB423" s="351"/>
      <c r="AC423" s="321"/>
      <c r="AD423" s="321"/>
      <c r="AE423" s="321"/>
      <c r="AF423" s="321"/>
      <c r="AG423" s="321"/>
      <c r="AH423" s="321"/>
      <c r="AI423" s="321"/>
      <c r="AJ423" s="321"/>
      <c r="AK423" s="321"/>
      <c r="AL423" s="321"/>
      <c r="AM423" s="321"/>
      <c r="AN423" s="321"/>
      <c r="AO423" s="321"/>
      <c r="AP423" s="321"/>
      <c r="AQ423" s="321"/>
      <c r="AR423" s="70"/>
      <c r="AS423" s="321"/>
      <c r="AT423" s="334"/>
      <c r="BM423"/>
      <c r="BN423"/>
      <c r="BO423"/>
      <c r="BP423"/>
      <c r="BQ423"/>
      <c r="BR423"/>
    </row>
    <row r="424" spans="1:74" x14ac:dyDescent="0.2">
      <c r="B424" s="337" t="s">
        <v>510</v>
      </c>
      <c r="C424" s="12"/>
      <c r="D424" s="12"/>
      <c r="E424" s="12"/>
      <c r="F424" s="12"/>
      <c r="G424" s="12"/>
      <c r="H424" s="12"/>
      <c r="I424" s="12"/>
      <c r="J424" s="12"/>
      <c r="K424" s="12"/>
      <c r="L424" s="12"/>
      <c r="M424" s="12"/>
      <c r="N424" s="12"/>
      <c r="O424" s="12"/>
      <c r="P424" s="12"/>
      <c r="Q424" s="12"/>
      <c r="R424" s="12"/>
      <c r="S424" s="12"/>
      <c r="T424" s="12"/>
      <c r="U424" s="12"/>
      <c r="V424" s="12"/>
      <c r="W424" s="12"/>
      <c r="X424" s="12"/>
      <c r="Y424" s="12"/>
      <c r="Z424" s="12"/>
      <c r="AA424" s="12"/>
      <c r="AB424" s="12"/>
      <c r="AC424" s="12"/>
      <c r="AD424" s="12"/>
      <c r="AE424" s="12"/>
      <c r="AF424" s="12"/>
      <c r="AG424" s="12"/>
      <c r="AH424" s="12"/>
      <c r="AI424" s="12"/>
      <c r="AJ424" s="12"/>
      <c r="AK424" s="12"/>
      <c r="AL424" s="12"/>
      <c r="AM424" s="12"/>
      <c r="AN424" s="12"/>
      <c r="AO424" s="12"/>
      <c r="AP424" s="12"/>
      <c r="AQ424" s="12"/>
      <c r="AS424" s="337" t="s">
        <v>510</v>
      </c>
      <c r="AT424" s="12"/>
      <c r="AU424" s="12"/>
      <c r="AV424" s="12"/>
      <c r="AW424" s="12"/>
      <c r="AX424" s="12"/>
      <c r="AY424" s="12"/>
      <c r="AZ424" s="12"/>
      <c r="BA424" s="12"/>
      <c r="BB424" s="12"/>
      <c r="BC424" s="12"/>
      <c r="BD424" s="12"/>
      <c r="BE424" s="12"/>
    </row>
    <row r="425" spans="1:74" s="369" customFormat="1" x14ac:dyDescent="0.2">
      <c r="A425" s="411"/>
      <c r="B425" s="334" t="s">
        <v>223</v>
      </c>
      <c r="C425" s="321"/>
      <c r="D425" s="378">
        <v>647</v>
      </c>
      <c r="E425" s="378">
        <v>669</v>
      </c>
      <c r="F425" s="378">
        <v>654</v>
      </c>
      <c r="G425" s="378">
        <v>685</v>
      </c>
      <c r="H425" s="378">
        <v>645</v>
      </c>
      <c r="I425" s="378">
        <v>688</v>
      </c>
      <c r="J425" s="378">
        <v>656</v>
      </c>
      <c r="K425" s="378">
        <v>671</v>
      </c>
      <c r="L425" s="378">
        <v>632</v>
      </c>
      <c r="M425" s="378">
        <v>655</v>
      </c>
      <c r="N425" s="378">
        <v>660</v>
      </c>
      <c r="O425" s="378">
        <v>599</v>
      </c>
      <c r="P425" s="378">
        <v>555</v>
      </c>
      <c r="Q425" s="378">
        <v>571</v>
      </c>
      <c r="R425" s="378">
        <v>530</v>
      </c>
      <c r="S425" s="378">
        <v>547</v>
      </c>
      <c r="T425" s="437">
        <v>516</v>
      </c>
      <c r="U425" s="437">
        <v>554</v>
      </c>
      <c r="V425" s="437">
        <v>570</v>
      </c>
      <c r="W425" s="437">
        <v>561</v>
      </c>
      <c r="X425" s="437">
        <v>568</v>
      </c>
      <c r="Y425" s="437">
        <v>620</v>
      </c>
      <c r="Z425" s="437">
        <v>621</v>
      </c>
      <c r="AA425" s="437">
        <v>668</v>
      </c>
      <c r="AB425" s="437">
        <v>626</v>
      </c>
      <c r="AC425" s="321"/>
      <c r="AD425" s="321"/>
      <c r="AE425" s="321"/>
      <c r="AF425" s="321"/>
      <c r="AG425" s="321"/>
      <c r="AH425" s="321"/>
      <c r="AI425" s="321"/>
      <c r="AJ425" s="321"/>
      <c r="AK425" s="321"/>
      <c r="AL425" s="321"/>
      <c r="AM425" s="321"/>
      <c r="AN425" s="321"/>
      <c r="AO425" s="321"/>
      <c r="AP425" s="321"/>
      <c r="AQ425" s="321"/>
      <c r="AR425" s="70"/>
      <c r="AS425" s="334" t="s">
        <v>223</v>
      </c>
      <c r="AT425" s="321"/>
      <c r="AU425" s="232">
        <f>SUM(D425:G425)</f>
        <v>2655</v>
      </c>
      <c r="AV425" s="232">
        <f>SUM(H425:K425)</f>
        <v>2660</v>
      </c>
      <c r="AW425" s="232">
        <f>SUM(L425:O425)</f>
        <v>2546</v>
      </c>
      <c r="AX425" s="232">
        <f>SUM(P425:S425)</f>
        <v>2203</v>
      </c>
      <c r="AY425" s="232">
        <f>SUM(T425:W425)</f>
        <v>2201</v>
      </c>
      <c r="AZ425" s="351" t="s">
        <v>226</v>
      </c>
      <c r="BA425" s="351" t="s">
        <v>226</v>
      </c>
      <c r="BB425" s="351" t="s">
        <v>226</v>
      </c>
      <c r="BC425" s="351" t="s">
        <v>226</v>
      </c>
      <c r="BD425" s="351" t="s">
        <v>226</v>
      </c>
      <c r="BE425" s="351" t="s">
        <v>226</v>
      </c>
      <c r="BM425"/>
      <c r="BN425"/>
      <c r="BO425"/>
      <c r="BP425"/>
      <c r="BQ425"/>
      <c r="BR425"/>
    </row>
    <row r="426" spans="1:74" s="369" customFormat="1" x14ac:dyDescent="0.2">
      <c r="A426" s="411"/>
      <c r="B426" s="334"/>
      <c r="C426" s="334" t="s">
        <v>53</v>
      </c>
      <c r="D426" s="384">
        <v>0.1288</v>
      </c>
      <c r="E426" s="384">
        <v>0.13730000000000001</v>
      </c>
      <c r="F426" s="384">
        <v>0.13070000000000001</v>
      </c>
      <c r="G426" s="384">
        <v>0.13420000000000001</v>
      </c>
      <c r="H426" s="384">
        <v>0.12820000000000001</v>
      </c>
      <c r="I426" s="384">
        <v>0.1401</v>
      </c>
      <c r="J426" s="384">
        <v>0.14069999999999999</v>
      </c>
      <c r="K426" s="384">
        <v>0.1401</v>
      </c>
      <c r="L426" s="384">
        <v>0.1356</v>
      </c>
      <c r="M426" s="384">
        <v>0.1368</v>
      </c>
      <c r="N426" s="384">
        <v>0.13639999999999999</v>
      </c>
      <c r="O426" s="384">
        <v>0.1278</v>
      </c>
      <c r="P426" s="384">
        <v>0.125</v>
      </c>
      <c r="Q426" s="384">
        <v>0.12720000000000001</v>
      </c>
      <c r="R426" s="384">
        <v>0.123</v>
      </c>
      <c r="S426" s="384">
        <v>0.12540000000000001</v>
      </c>
      <c r="T426" s="477">
        <v>0.1193</v>
      </c>
      <c r="U426" s="477">
        <v>0.12809999999999999</v>
      </c>
      <c r="V426" s="477">
        <v>0.1288</v>
      </c>
      <c r="W426" s="477">
        <v>0.129</v>
      </c>
      <c r="X426" s="477">
        <v>0.1273</v>
      </c>
      <c r="Y426" s="477">
        <v>0.13519999999999999</v>
      </c>
      <c r="Z426" s="477">
        <v>0.13109999999999999</v>
      </c>
      <c r="AA426" s="477">
        <v>0.13880000000000001</v>
      </c>
      <c r="AB426" s="477">
        <v>0.1295</v>
      </c>
      <c r="AC426" s="321"/>
      <c r="AD426" s="321"/>
      <c r="AE426" s="321"/>
      <c r="AF426" s="321"/>
      <c r="AG426" s="321"/>
      <c r="AH426" s="321"/>
      <c r="AI426" s="321"/>
      <c r="AJ426" s="321"/>
      <c r="AK426" s="321"/>
      <c r="AL426" s="321"/>
      <c r="AM426" s="321"/>
      <c r="AN426" s="321"/>
      <c r="AO426" s="321"/>
      <c r="AP426" s="321"/>
      <c r="AQ426" s="321"/>
      <c r="AR426" s="70"/>
      <c r="AS426" s="334"/>
      <c r="AT426" s="334" t="s">
        <v>53</v>
      </c>
      <c r="AU426" s="380">
        <f>AU425/(AU405*1000)/AU1</f>
        <v>0.13275000000000001</v>
      </c>
      <c r="AV426" s="380">
        <f>AV425/(AV405*1000)/AV1</f>
        <v>0.13711340206185568</v>
      </c>
      <c r="AW426" s="380">
        <f>AW425/(AW405*1000)/AW1</f>
        <v>0.13417654808959156</v>
      </c>
      <c r="AX426" s="380">
        <f>AX425/(AX405*1000)/AX1</f>
        <v>0.12517045454545456</v>
      </c>
      <c r="AY426" s="380">
        <f>AY425/(AY405*1000)/AY1</f>
        <v>0.12631276901004304</v>
      </c>
      <c r="BM426"/>
      <c r="BN426"/>
      <c r="BO426"/>
      <c r="BP426"/>
      <c r="BQ426"/>
      <c r="BR426"/>
    </row>
    <row r="427" spans="1:74" s="369" customFormat="1" x14ac:dyDescent="0.2">
      <c r="A427" s="411"/>
      <c r="B427" s="321"/>
      <c r="C427" s="334"/>
      <c r="D427" s="465"/>
      <c r="E427" s="465"/>
      <c r="F427" s="465"/>
      <c r="G427" s="465"/>
      <c r="H427" s="465"/>
      <c r="I427" s="465"/>
      <c r="J427" s="465"/>
      <c r="K427" s="465"/>
      <c r="L427" s="465"/>
      <c r="M427" s="465"/>
      <c r="N427" s="465"/>
      <c r="O427" s="465"/>
      <c r="P427" s="465"/>
      <c r="Q427" s="465"/>
      <c r="R427" s="465"/>
      <c r="S427" s="465"/>
      <c r="T427" s="465"/>
      <c r="U427" s="465"/>
      <c r="V427" s="465"/>
      <c r="W427" s="465"/>
      <c r="X427" s="321"/>
      <c r="Y427" s="321"/>
      <c r="Z427" s="321"/>
      <c r="AA427" s="351"/>
      <c r="AB427" s="321"/>
      <c r="AC427" s="321"/>
      <c r="AD427" s="321"/>
      <c r="AE427" s="321"/>
      <c r="AF427" s="321"/>
      <c r="AG427" s="321"/>
      <c r="AH427" s="321"/>
      <c r="AI427" s="321"/>
      <c r="AJ427" s="321"/>
      <c r="AK427" s="321"/>
      <c r="AL427" s="321"/>
      <c r="AM427" s="321"/>
      <c r="AN427" s="321"/>
      <c r="AO427" s="321"/>
      <c r="AP427" s="321"/>
      <c r="AQ427" s="321"/>
      <c r="AR427" s="70"/>
      <c r="AS427" s="321"/>
      <c r="AT427" s="334"/>
      <c r="BM427"/>
      <c r="BN427"/>
      <c r="BO427"/>
      <c r="BP427"/>
      <c r="BQ427"/>
      <c r="BR427"/>
    </row>
    <row r="428" spans="1:74" s="369" customFormat="1" x14ac:dyDescent="0.2">
      <c r="A428" s="411"/>
      <c r="B428" s="321"/>
      <c r="C428" s="334"/>
      <c r="D428" s="465"/>
      <c r="E428" s="465"/>
      <c r="F428" s="465"/>
      <c r="G428" s="465"/>
      <c r="H428" s="465"/>
      <c r="I428" s="465"/>
      <c r="J428" s="465"/>
      <c r="K428" s="465"/>
      <c r="L428" s="465"/>
      <c r="M428" s="465"/>
      <c r="N428" s="465"/>
      <c r="O428" s="465"/>
      <c r="P428" s="465"/>
      <c r="Q428" s="465"/>
      <c r="R428" s="465"/>
      <c r="S428" s="465"/>
      <c r="T428" s="465"/>
      <c r="U428" s="465"/>
      <c r="V428" s="465"/>
      <c r="W428" s="465"/>
      <c r="X428" s="321"/>
      <c r="Y428" s="321"/>
      <c r="Z428" s="321"/>
      <c r="AA428" s="351"/>
      <c r="AB428" s="321"/>
      <c r="AC428" s="321"/>
      <c r="AD428" s="321"/>
      <c r="AE428" s="321"/>
      <c r="AF428" s="321"/>
      <c r="AG428" s="321"/>
      <c r="AH428" s="321"/>
      <c r="AI428" s="321"/>
      <c r="AJ428" s="321"/>
      <c r="AK428" s="321"/>
      <c r="AL428" s="321"/>
      <c r="AM428" s="321"/>
      <c r="AN428" s="321"/>
      <c r="AO428" s="321"/>
      <c r="AP428" s="321"/>
      <c r="AQ428" s="321"/>
      <c r="AR428" s="70"/>
      <c r="AS428" s="321"/>
      <c r="AT428" s="334"/>
      <c r="BM428"/>
      <c r="BN428"/>
      <c r="BO428"/>
      <c r="BP428"/>
      <c r="BQ428"/>
      <c r="BR428"/>
    </row>
    <row r="429" spans="1:74" x14ac:dyDescent="0.2">
      <c r="A429" s="411" t="s">
        <v>194</v>
      </c>
      <c r="B429" s="1155" t="s">
        <v>180</v>
      </c>
      <c r="C429" s="1155"/>
      <c r="D429" s="1156"/>
      <c r="E429" s="1156"/>
      <c r="F429" s="1156"/>
      <c r="G429" s="1156"/>
      <c r="H429" s="1156"/>
      <c r="I429" s="1156"/>
      <c r="J429" s="1156"/>
      <c r="K429" s="1156"/>
      <c r="L429" s="1156"/>
      <c r="M429" s="1156"/>
      <c r="N429" s="1156"/>
      <c r="O429" s="1156"/>
      <c r="P429" s="1156"/>
      <c r="Q429" s="1156"/>
      <c r="R429" s="1156"/>
      <c r="S429" s="1156"/>
      <c r="T429" s="1156"/>
      <c r="U429" s="1156"/>
      <c r="V429" s="1156"/>
      <c r="W429" s="1156"/>
      <c r="X429" s="1156"/>
      <c r="Y429" s="1156"/>
      <c r="Z429" s="1156"/>
      <c r="AA429" s="1156"/>
      <c r="AB429" s="1156"/>
      <c r="AC429" s="1156"/>
      <c r="AD429" s="1156"/>
      <c r="AE429" s="1156"/>
      <c r="AF429" s="1156"/>
      <c r="AG429" s="1156"/>
      <c r="AH429" s="1156"/>
      <c r="AI429" s="1156"/>
      <c r="AJ429" s="1156"/>
      <c r="AK429" s="1156"/>
      <c r="AL429" s="1156"/>
      <c r="AM429" s="1156"/>
      <c r="AN429" s="1156"/>
      <c r="AO429" s="1156"/>
      <c r="AP429" s="1156"/>
      <c r="AQ429" s="1156"/>
      <c r="AS429" s="1155" t="s">
        <v>180</v>
      </c>
      <c r="AT429" s="1155"/>
      <c r="AU429" s="1156"/>
      <c r="AV429" s="1156"/>
      <c r="AW429" s="1156"/>
      <c r="AX429" s="1156"/>
      <c r="AY429" s="1156"/>
      <c r="AZ429" s="1156"/>
      <c r="BA429" s="1156"/>
      <c r="BB429" s="1156"/>
      <c r="BC429" s="1156"/>
      <c r="BD429" s="1156"/>
      <c r="BE429" s="1156"/>
      <c r="BF429" s="15"/>
      <c r="BG429" s="15"/>
      <c r="BH429" s="15"/>
      <c r="BI429" s="15"/>
      <c r="BJ429" s="15"/>
      <c r="BK429" s="15"/>
      <c r="BL429" s="15"/>
      <c r="BS429" s="15"/>
      <c r="BT429" s="15"/>
      <c r="BU429" s="15"/>
      <c r="BV429" s="15"/>
    </row>
    <row r="430" spans="1:74" x14ac:dyDescent="0.2">
      <c r="B430" s="315" t="s">
        <v>642</v>
      </c>
      <c r="C430" s="16"/>
      <c r="D430" s="34">
        <f t="shared" ref="D430:AE430" si="939">D171+D174+D296+D374</f>
        <v>2406</v>
      </c>
      <c r="E430" s="34">
        <f t="shared" si="939"/>
        <v>2358</v>
      </c>
      <c r="F430" s="34">
        <f t="shared" si="939"/>
        <v>2373</v>
      </c>
      <c r="G430" s="34">
        <f t="shared" si="939"/>
        <v>2404</v>
      </c>
      <c r="H430" s="34">
        <f t="shared" si="939"/>
        <v>2361</v>
      </c>
      <c r="I430" s="34">
        <f t="shared" si="939"/>
        <v>2319</v>
      </c>
      <c r="J430" s="34">
        <f t="shared" si="939"/>
        <v>2236</v>
      </c>
      <c r="K430" s="34">
        <f t="shared" si="939"/>
        <v>2231</v>
      </c>
      <c r="L430" s="34">
        <f t="shared" si="939"/>
        <v>2155</v>
      </c>
      <c r="M430" s="34">
        <f t="shared" si="939"/>
        <v>2247</v>
      </c>
      <c r="N430" s="34">
        <f t="shared" si="939"/>
        <v>2300</v>
      </c>
      <c r="O430" s="34">
        <f t="shared" si="939"/>
        <v>2290</v>
      </c>
      <c r="P430" s="34">
        <f t="shared" si="939"/>
        <v>2110</v>
      </c>
      <c r="Q430" s="34">
        <f t="shared" si="939"/>
        <v>2167</v>
      </c>
      <c r="R430" s="34">
        <f t="shared" si="939"/>
        <v>2150</v>
      </c>
      <c r="S430" s="34">
        <f t="shared" si="939"/>
        <v>2164</v>
      </c>
      <c r="T430" s="34">
        <f t="shared" si="939"/>
        <v>2165</v>
      </c>
      <c r="U430" s="34">
        <f t="shared" si="939"/>
        <v>2155</v>
      </c>
      <c r="V430" s="34">
        <f t="shared" si="939"/>
        <v>2191</v>
      </c>
      <c r="W430" s="34">
        <f t="shared" si="939"/>
        <v>2129</v>
      </c>
      <c r="X430" s="34">
        <f t="shared" si="939"/>
        <v>2152</v>
      </c>
      <c r="Y430" s="34">
        <f t="shared" ref="Y430:Z430" si="940">Y171+Y174+Y296+Y374</f>
        <v>2285</v>
      </c>
      <c r="Z430" s="34">
        <f t="shared" si="940"/>
        <v>2383</v>
      </c>
      <c r="AA430" s="34">
        <f t="shared" ref="AA430:AB430" si="941">AA171+AA174+AA296+AA374</f>
        <v>2364</v>
      </c>
      <c r="AB430" s="34">
        <f t="shared" si="941"/>
        <v>2365</v>
      </c>
      <c r="AC430" s="34">
        <f t="shared" si="939"/>
        <v>2370.0457353424654</v>
      </c>
      <c r="AD430" s="34">
        <f t="shared" si="939"/>
        <v>2438.9402982246575</v>
      </c>
      <c r="AE430" s="34">
        <f t="shared" si="939"/>
        <v>2485.7734328278357</v>
      </c>
      <c r="AF430" s="34">
        <f t="shared" ref="AF430:AI430" si="942">AF171+AF174+AF296+AF374</f>
        <v>2441.4903625225434</v>
      </c>
      <c r="AG430" s="34">
        <f t="shared" si="942"/>
        <v>2503.4833234839898</v>
      </c>
      <c r="AH430" s="34">
        <f t="shared" si="942"/>
        <v>2566.3662542238017</v>
      </c>
      <c r="AI430" s="34">
        <f t="shared" si="942"/>
        <v>2611.7149513165973</v>
      </c>
      <c r="AJ430" s="34"/>
      <c r="AK430" s="34"/>
      <c r="AL430" s="34"/>
      <c r="AM430" s="34"/>
      <c r="AN430" s="34"/>
      <c r="AO430" s="34"/>
      <c r="AP430" s="34"/>
      <c r="AQ430" s="34"/>
      <c r="AS430" s="17" t="s">
        <v>209</v>
      </c>
      <c r="AT430" s="16"/>
      <c r="AU430" s="232">
        <f>SUM(D430:G430)</f>
        <v>9541</v>
      </c>
      <c r="AV430" s="232">
        <f>SUM(H430:K430)</f>
        <v>9147</v>
      </c>
      <c r="AW430" s="232">
        <f>SUM(L430:O430)</f>
        <v>8992</v>
      </c>
      <c r="AX430" s="232">
        <f>SUM(P430:S430)</f>
        <v>8591</v>
      </c>
      <c r="AY430" s="232">
        <f>SUM(T430:W430)</f>
        <v>8640</v>
      </c>
      <c r="AZ430" s="508">
        <f>SUM(X430:AA430)</f>
        <v>9184</v>
      </c>
      <c r="BA430" s="508">
        <f>SUM(AB430:AE430)</f>
        <v>9659.7594663949585</v>
      </c>
      <c r="BB430" s="508">
        <f>SUM(AF430:AI430)</f>
        <v>10123.054891546932</v>
      </c>
      <c r="BC430" s="34">
        <f>BC171+BC174+BC296+BC374</f>
        <v>10543.050716423424</v>
      </c>
      <c r="BD430" s="34">
        <f>BD171+BD174+BD296+BD374</f>
        <v>11026.302451427771</v>
      </c>
      <c r="BE430" s="34">
        <f>BE171+BE174+BE296+BE374</f>
        <v>11564.380393268646</v>
      </c>
    </row>
    <row r="431" spans="1:74" x14ac:dyDescent="0.2">
      <c r="B431" s="375" t="s">
        <v>206</v>
      </c>
      <c r="C431" s="25"/>
      <c r="D431" s="172">
        <f t="shared" ref="D431:AE431" si="943">D379+D301+D178</f>
        <v>1562</v>
      </c>
      <c r="E431" s="172">
        <f t="shared" si="943"/>
        <v>1520</v>
      </c>
      <c r="F431" s="172">
        <f t="shared" si="943"/>
        <v>1701</v>
      </c>
      <c r="G431" s="172">
        <f t="shared" si="943"/>
        <v>1618</v>
      </c>
      <c r="H431" s="172">
        <f t="shared" si="943"/>
        <v>1609</v>
      </c>
      <c r="I431" s="172">
        <f t="shared" si="943"/>
        <v>1665</v>
      </c>
      <c r="J431" s="172">
        <f t="shared" si="943"/>
        <v>1164</v>
      </c>
      <c r="K431" s="172">
        <f t="shared" si="943"/>
        <v>1174</v>
      </c>
      <c r="L431" s="172">
        <f t="shared" si="943"/>
        <v>1311</v>
      </c>
      <c r="M431" s="172">
        <f t="shared" si="943"/>
        <v>1299</v>
      </c>
      <c r="N431" s="172">
        <f t="shared" si="943"/>
        <v>1349</v>
      </c>
      <c r="O431" s="172">
        <f t="shared" si="943"/>
        <v>1340</v>
      </c>
      <c r="P431" s="172">
        <f t="shared" si="943"/>
        <v>1373</v>
      </c>
      <c r="Q431" s="172">
        <f t="shared" si="943"/>
        <v>1316</v>
      </c>
      <c r="R431" s="172">
        <f t="shared" si="943"/>
        <v>1311</v>
      </c>
      <c r="S431" s="172">
        <f t="shared" si="943"/>
        <v>1063</v>
      </c>
      <c r="T431" s="172">
        <f t="shared" si="943"/>
        <v>1022</v>
      </c>
      <c r="U431" s="172">
        <f t="shared" si="943"/>
        <v>1087</v>
      </c>
      <c r="V431" s="172">
        <f t="shared" si="943"/>
        <v>1139</v>
      </c>
      <c r="W431" s="172">
        <f t="shared" si="943"/>
        <v>1028</v>
      </c>
      <c r="X431" s="172">
        <f t="shared" si="943"/>
        <v>1023</v>
      </c>
      <c r="Y431" s="172">
        <f t="shared" ref="Y431:Z431" si="944">Y379+Y301+Y178</f>
        <v>1043</v>
      </c>
      <c r="Z431" s="172">
        <f t="shared" si="944"/>
        <v>1138</v>
      </c>
      <c r="AA431" s="172">
        <f t="shared" ref="AA431:AB431" si="945">AA379+AA301+AA178</f>
        <v>1094</v>
      </c>
      <c r="AB431" s="172">
        <f t="shared" si="945"/>
        <v>1106</v>
      </c>
      <c r="AC431" s="172">
        <f t="shared" si="943"/>
        <v>1179.0678027397262</v>
      </c>
      <c r="AD431" s="172">
        <f t="shared" si="943"/>
        <v>1211.2175133150686</v>
      </c>
      <c r="AE431" s="172">
        <f t="shared" si="943"/>
        <v>1208.5143850684933</v>
      </c>
      <c r="AF431" s="172">
        <f t="shared" ref="AF431:AI431" si="946">AF379+AF301+AF178</f>
        <v>1164.4748711891016</v>
      </c>
      <c r="AG431" s="172">
        <f t="shared" si="946"/>
        <v>1201.7060627423257</v>
      </c>
      <c r="AH431" s="172">
        <f t="shared" si="946"/>
        <v>1269.5548762184856</v>
      </c>
      <c r="AI431" s="172">
        <f t="shared" si="946"/>
        <v>1265.812782328866</v>
      </c>
      <c r="AJ431" s="1755"/>
      <c r="AK431" s="1755"/>
      <c r="AL431" s="1755"/>
      <c r="AM431" s="1755"/>
      <c r="AN431" s="1755"/>
      <c r="AO431" s="1755"/>
      <c r="AP431" s="1755"/>
      <c r="AQ431" s="1755"/>
      <c r="AS431" s="43" t="s">
        <v>206</v>
      </c>
      <c r="AT431" s="25"/>
      <c r="AU431" s="41">
        <f>SUM(D431:G431)</f>
        <v>6401</v>
      </c>
      <c r="AV431" s="41">
        <f>SUM(H431:K431)</f>
        <v>5612</v>
      </c>
      <c r="AW431" s="41">
        <f>SUM(L431:O431)</f>
        <v>5299</v>
      </c>
      <c r="AX431" s="41">
        <f>SUM(P431:S431)</f>
        <v>5063</v>
      </c>
      <c r="AY431" s="41">
        <f>SUM(T431:W431)</f>
        <v>4276</v>
      </c>
      <c r="AZ431" s="533">
        <f>SUM(X431:AA431)</f>
        <v>4298</v>
      </c>
      <c r="BA431" s="533">
        <f>SUM(AB431:AE431)</f>
        <v>4704.7997011232883</v>
      </c>
      <c r="BB431" s="533">
        <f>SUM(AF431:AI431)</f>
        <v>4901.548592478779</v>
      </c>
      <c r="BC431" s="172">
        <f>BC379+BC301+BC178</f>
        <v>5196.3330394670656</v>
      </c>
      <c r="BD431" s="172">
        <f>BD379+BD301+BD178</f>
        <v>5484.766420725221</v>
      </c>
      <c r="BE431" s="172">
        <f>BE379+BE301+BE178</f>
        <v>5743.9879371405832</v>
      </c>
    </row>
    <row r="432" spans="1:74" x14ac:dyDescent="0.2">
      <c r="B432" s="316" t="s">
        <v>643</v>
      </c>
      <c r="D432" s="34">
        <f t="shared" ref="D432:AE432" si="947">SUM(D430:D431)</f>
        <v>3968</v>
      </c>
      <c r="E432" s="34">
        <f t="shared" si="947"/>
        <v>3878</v>
      </c>
      <c r="F432" s="34">
        <f t="shared" si="947"/>
        <v>4074</v>
      </c>
      <c r="G432" s="34">
        <f t="shared" si="947"/>
        <v>4022</v>
      </c>
      <c r="H432" s="34">
        <f t="shared" si="947"/>
        <v>3970</v>
      </c>
      <c r="I432" s="34">
        <f t="shared" si="947"/>
        <v>3984</v>
      </c>
      <c r="J432" s="34">
        <f t="shared" si="947"/>
        <v>3400</v>
      </c>
      <c r="K432" s="34">
        <f t="shared" si="947"/>
        <v>3405</v>
      </c>
      <c r="L432" s="34">
        <f t="shared" si="947"/>
        <v>3466</v>
      </c>
      <c r="M432" s="34">
        <f t="shared" si="947"/>
        <v>3546</v>
      </c>
      <c r="N432" s="34">
        <f t="shared" si="947"/>
        <v>3649</v>
      </c>
      <c r="O432" s="34">
        <f t="shared" si="947"/>
        <v>3630</v>
      </c>
      <c r="P432" s="34">
        <f t="shared" si="947"/>
        <v>3483</v>
      </c>
      <c r="Q432" s="34">
        <f t="shared" si="947"/>
        <v>3483</v>
      </c>
      <c r="R432" s="34">
        <f t="shared" si="947"/>
        <v>3461</v>
      </c>
      <c r="S432" s="34">
        <f t="shared" si="947"/>
        <v>3227</v>
      </c>
      <c r="T432" s="34">
        <f t="shared" si="947"/>
        <v>3187</v>
      </c>
      <c r="U432" s="34">
        <f t="shared" si="947"/>
        <v>3242</v>
      </c>
      <c r="V432" s="34">
        <f t="shared" si="947"/>
        <v>3330</v>
      </c>
      <c r="W432" s="34">
        <f t="shared" si="947"/>
        <v>3157</v>
      </c>
      <c r="X432" s="34">
        <f t="shared" si="947"/>
        <v>3175</v>
      </c>
      <c r="Y432" s="34">
        <f t="shared" ref="Y432:Z432" si="948">SUM(Y430:Y431)</f>
        <v>3328</v>
      </c>
      <c r="Z432" s="34">
        <f t="shared" si="948"/>
        <v>3521</v>
      </c>
      <c r="AA432" s="34">
        <f t="shared" ref="AA432:AB432" si="949">SUM(AA430:AA431)</f>
        <v>3458</v>
      </c>
      <c r="AB432" s="34">
        <f t="shared" si="949"/>
        <v>3471</v>
      </c>
      <c r="AC432" s="34">
        <f t="shared" si="947"/>
        <v>3549.1135380821916</v>
      </c>
      <c r="AD432" s="34">
        <f t="shared" si="947"/>
        <v>3650.157811539726</v>
      </c>
      <c r="AE432" s="34">
        <f t="shared" si="947"/>
        <v>3694.2878178963292</v>
      </c>
      <c r="AF432" s="34">
        <f t="shared" ref="AF432:AI432" si="950">SUM(AF430:AF431)</f>
        <v>3605.9652337116449</v>
      </c>
      <c r="AG432" s="34">
        <f t="shared" si="950"/>
        <v>3705.1893862263155</v>
      </c>
      <c r="AH432" s="34">
        <f t="shared" si="950"/>
        <v>3835.921130442287</v>
      </c>
      <c r="AI432" s="34">
        <f t="shared" si="950"/>
        <v>3877.5277336454633</v>
      </c>
      <c r="AJ432" s="34"/>
      <c r="AK432" s="34"/>
      <c r="AL432" s="34"/>
      <c r="AM432" s="34"/>
      <c r="AN432" s="34"/>
      <c r="AO432" s="34"/>
      <c r="AP432" s="34"/>
      <c r="AQ432" s="34"/>
      <c r="AS432" s="35" t="s">
        <v>189</v>
      </c>
      <c r="AT432" s="9"/>
      <c r="AU432" s="232">
        <f t="shared" ref="AU432:BD432" si="951">SUM(AU430:AU431)</f>
        <v>15942</v>
      </c>
      <c r="AV432" s="232">
        <f t="shared" si="951"/>
        <v>14759</v>
      </c>
      <c r="AW432" s="232">
        <f t="shared" si="951"/>
        <v>14291</v>
      </c>
      <c r="AX432" s="232">
        <f t="shared" si="951"/>
        <v>13654</v>
      </c>
      <c r="AY432" s="232">
        <f t="shared" si="951"/>
        <v>12916</v>
      </c>
      <c r="AZ432" s="232">
        <f t="shared" si="951"/>
        <v>13482</v>
      </c>
      <c r="BA432" s="232">
        <f t="shared" si="951"/>
        <v>14364.559167518248</v>
      </c>
      <c r="BB432" s="232">
        <f t="shared" ref="BB432" si="952">SUM(BB430:BB431)</f>
        <v>15024.603484025711</v>
      </c>
      <c r="BC432" s="34">
        <f t="shared" si="951"/>
        <v>15739.383755890489</v>
      </c>
      <c r="BD432" s="34">
        <f t="shared" si="951"/>
        <v>16511.068872152991</v>
      </c>
      <c r="BE432" s="34">
        <f t="shared" ref="BE432" si="953">SUM(BE430:BE431)</f>
        <v>17308.36833040923</v>
      </c>
    </row>
    <row r="433" spans="1:70" x14ac:dyDescent="0.2">
      <c r="A433" s="833"/>
      <c r="B433" s="334"/>
      <c r="C433" s="387"/>
      <c r="D433" s="433"/>
      <c r="E433" s="356"/>
      <c r="F433" s="33"/>
      <c r="G433" s="33"/>
      <c r="H433" s="33"/>
      <c r="I433" s="33"/>
      <c r="J433" s="33"/>
      <c r="K433" s="33"/>
      <c r="L433" s="33"/>
      <c r="M433" s="33"/>
      <c r="N433" s="33"/>
      <c r="O433" s="33"/>
      <c r="P433" s="33"/>
      <c r="Q433" s="33"/>
      <c r="R433" s="33"/>
      <c r="S433" s="33"/>
      <c r="T433" s="33"/>
      <c r="U433" s="33"/>
      <c r="V433" s="33"/>
      <c r="W433" s="33"/>
      <c r="X433" s="33"/>
      <c r="Y433" s="33"/>
      <c r="Z433" s="33"/>
      <c r="AA433" s="33"/>
      <c r="AB433" s="33"/>
      <c r="AS433" s="334"/>
      <c r="AT433" s="387"/>
    </row>
    <row r="434" spans="1:70" x14ac:dyDescent="0.2">
      <c r="A434" s="833"/>
      <c r="B434" s="450" t="s">
        <v>210</v>
      </c>
      <c r="C434" s="387"/>
      <c r="D434" s="433"/>
      <c r="E434" s="356"/>
      <c r="F434" s="33"/>
      <c r="G434" s="33"/>
      <c r="H434" s="33"/>
      <c r="I434" s="33"/>
      <c r="J434" s="33"/>
      <c r="K434" s="33"/>
      <c r="L434" s="33"/>
      <c r="M434" s="33"/>
      <c r="N434" s="33"/>
      <c r="O434" s="33"/>
      <c r="P434" s="33"/>
      <c r="Q434" s="33"/>
      <c r="R434" s="33"/>
      <c r="S434" s="33"/>
      <c r="T434" s="33"/>
      <c r="U434" s="33"/>
      <c r="V434" s="33"/>
      <c r="W434" s="33"/>
      <c r="X434" s="33"/>
      <c r="Y434" s="33"/>
      <c r="Z434" s="33"/>
      <c r="AA434" s="33"/>
      <c r="AB434" s="33"/>
      <c r="AS434" s="450" t="s">
        <v>210</v>
      </c>
      <c r="AT434" s="387"/>
    </row>
    <row r="435" spans="1:70" x14ac:dyDescent="0.2">
      <c r="A435" s="833"/>
      <c r="B435" s="334" t="s">
        <v>70</v>
      </c>
      <c r="C435" s="321"/>
      <c r="D435" s="449">
        <v>128.19999999999999</v>
      </c>
      <c r="E435" s="449">
        <v>127.3</v>
      </c>
      <c r="F435" s="449">
        <v>130</v>
      </c>
      <c r="G435" s="449">
        <v>133.30000000000001</v>
      </c>
      <c r="H435" s="449">
        <v>135.6</v>
      </c>
      <c r="I435" s="449">
        <v>133.5</v>
      </c>
      <c r="J435" s="449">
        <v>135.30000000000001</v>
      </c>
      <c r="K435" s="449">
        <v>139.19999999999999</v>
      </c>
      <c r="L435" s="449">
        <v>140.69999999999999</v>
      </c>
      <c r="M435" s="449">
        <v>144.9</v>
      </c>
      <c r="N435" s="449">
        <v>146.19999999999999</v>
      </c>
      <c r="O435" s="449">
        <v>145</v>
      </c>
      <c r="P435" s="449">
        <v>141</v>
      </c>
      <c r="Q435" s="449">
        <v>142.4</v>
      </c>
      <c r="R435" s="449">
        <v>139.80000000000001</v>
      </c>
      <c r="S435" s="449">
        <v>140.80000000000001</v>
      </c>
      <c r="T435" s="449">
        <v>139.6</v>
      </c>
      <c r="U435" s="449">
        <v>141.1</v>
      </c>
      <c r="V435" s="449">
        <v>142</v>
      </c>
      <c r="W435" s="449">
        <v>138.1</v>
      </c>
      <c r="X435" s="449">
        <v>138.80000000000001</v>
      </c>
      <c r="Y435" s="449">
        <v>142.30000000000001</v>
      </c>
      <c r="Z435" s="449">
        <v>144.30000000000001</v>
      </c>
      <c r="AA435" s="449">
        <v>145.1</v>
      </c>
      <c r="AB435" s="449">
        <v>147.1</v>
      </c>
      <c r="AC435" s="249">
        <f t="shared" ref="AC435:AE435" si="954">AC403+AC325+AC214</f>
        <v>148.571</v>
      </c>
      <c r="AD435" s="249">
        <f t="shared" si="954"/>
        <v>150.51827999999998</v>
      </c>
      <c r="AE435" s="249">
        <f t="shared" si="954"/>
        <v>153.5286456</v>
      </c>
      <c r="AF435" s="249">
        <f t="shared" ref="AF435:AI435" si="955">AF403+AF325+AF214</f>
        <v>154.26139337849997</v>
      </c>
      <c r="AG435" s="249">
        <f t="shared" si="955"/>
        <v>156.01787599524746</v>
      </c>
      <c r="AH435" s="249">
        <f t="shared" si="955"/>
        <v>157.49959703828472</v>
      </c>
      <c r="AI435" s="249">
        <f t="shared" si="955"/>
        <v>159.82207209212402</v>
      </c>
      <c r="AJ435" s="249"/>
      <c r="AK435" s="249"/>
      <c r="AL435" s="249"/>
      <c r="AM435" s="249"/>
      <c r="AN435" s="249"/>
      <c r="AO435" s="249"/>
      <c r="AP435" s="249"/>
      <c r="AQ435" s="249"/>
      <c r="AS435" s="334" t="s">
        <v>70</v>
      </c>
      <c r="AT435" s="321"/>
      <c r="AU435" s="235">
        <f>AVERAGE(D435:G435)</f>
        <v>129.69999999999999</v>
      </c>
      <c r="AV435" s="235">
        <f>AVERAGE(H435:K435)</f>
        <v>135.9</v>
      </c>
      <c r="AW435" s="235">
        <f>AVERAGE(L435:O435)</f>
        <v>144.19999999999999</v>
      </c>
      <c r="AX435" s="235">
        <f>AVERAGE(P435:S435)</f>
        <v>141</v>
      </c>
      <c r="AY435" s="235">
        <f>AVERAGE(T435:W435)</f>
        <v>140.19999999999999</v>
      </c>
      <c r="AZ435" s="235">
        <f>AVERAGE(X435:AA435)</f>
        <v>142.625</v>
      </c>
      <c r="BA435" s="235">
        <f>AVERAGE(AB435:AE435)</f>
        <v>149.92948139999999</v>
      </c>
      <c r="BB435" s="235">
        <f>AVERAGE(AF435:AI435)</f>
        <v>156.90023462603904</v>
      </c>
      <c r="BC435" s="249">
        <f>BC403+BC325+BC214</f>
        <v>164.37651604018311</v>
      </c>
      <c r="BD435" s="249">
        <f>BD403+BD325+BD214</f>
        <v>172.36798286564741</v>
      </c>
      <c r="BE435" s="249">
        <f>BE403+BE325+BE214</f>
        <v>180.74992867332313</v>
      </c>
    </row>
    <row r="436" spans="1:70" s="369" customFormat="1" x14ac:dyDescent="0.2">
      <c r="A436" s="411"/>
      <c r="B436" s="334" t="s">
        <v>41</v>
      </c>
      <c r="C436" s="321"/>
      <c r="D436" s="449">
        <v>280.39999999999998</v>
      </c>
      <c r="E436" s="449">
        <v>279.7</v>
      </c>
      <c r="F436" s="449">
        <v>286.2</v>
      </c>
      <c r="G436" s="449">
        <v>291.5</v>
      </c>
      <c r="H436" s="449">
        <v>294.60000000000002</v>
      </c>
      <c r="I436" s="449">
        <v>291.8</v>
      </c>
      <c r="J436" s="449">
        <v>289.5</v>
      </c>
      <c r="K436" s="449">
        <v>295.8</v>
      </c>
      <c r="L436" s="449">
        <v>296.5</v>
      </c>
      <c r="M436" s="449">
        <v>301</v>
      </c>
      <c r="N436" s="449">
        <v>300.2</v>
      </c>
      <c r="O436" s="449">
        <v>296.8</v>
      </c>
      <c r="P436" s="449">
        <v>296.60000000000002</v>
      </c>
      <c r="Q436" s="449">
        <v>296.5</v>
      </c>
      <c r="R436" s="449">
        <v>293.5</v>
      </c>
      <c r="S436" s="449">
        <v>293.8</v>
      </c>
      <c r="T436" s="449">
        <v>293.89999999999998</v>
      </c>
      <c r="U436" s="449">
        <v>297.39999999999998</v>
      </c>
      <c r="V436" s="449">
        <v>301.2</v>
      </c>
      <c r="W436" s="449">
        <v>301.10000000000002</v>
      </c>
      <c r="X436" s="449">
        <v>303.5</v>
      </c>
      <c r="Y436" s="449">
        <v>307.2</v>
      </c>
      <c r="Z436" s="449">
        <v>308.10000000000002</v>
      </c>
      <c r="AA436" s="449">
        <v>306.5</v>
      </c>
      <c r="AB436" s="449">
        <v>308.89999999999998</v>
      </c>
      <c r="AC436" s="249">
        <f t="shared" ref="AC436:AE436" si="956">AC402+AC324+AC215</f>
        <v>310.18</v>
      </c>
      <c r="AD436" s="249">
        <f t="shared" si="956"/>
        <v>312.37729999999999</v>
      </c>
      <c r="AE436" s="249">
        <f t="shared" si="956"/>
        <v>314.59205049999997</v>
      </c>
      <c r="AF436" s="249">
        <f t="shared" ref="AF436:AI436" si="957">AF402+AF324+AF215</f>
        <v>316.82440339249996</v>
      </c>
      <c r="AG436" s="249">
        <f t="shared" si="957"/>
        <v>319.07451197586244</v>
      </c>
      <c r="AH436" s="249">
        <f t="shared" si="957"/>
        <v>321.34253096780571</v>
      </c>
      <c r="AI436" s="249">
        <f t="shared" si="957"/>
        <v>323.41822322518027</v>
      </c>
      <c r="AJ436" s="249"/>
      <c r="AK436" s="249"/>
      <c r="AL436" s="249"/>
      <c r="AM436" s="249"/>
      <c r="AN436" s="249"/>
      <c r="AO436" s="249"/>
      <c r="AP436" s="249"/>
      <c r="AQ436" s="249"/>
      <c r="AR436" s="70"/>
      <c r="AS436" s="334" t="s">
        <v>41</v>
      </c>
      <c r="AT436" s="321"/>
      <c r="AU436" s="235">
        <f>AVERAGE(D436:G436)</f>
        <v>284.45</v>
      </c>
      <c r="AV436" s="235">
        <f>AVERAGE(H436:K436)</f>
        <v>292.92500000000001</v>
      </c>
      <c r="AW436" s="235">
        <f>AVERAGE(L436:O436)</f>
        <v>298.625</v>
      </c>
      <c r="AX436" s="235">
        <f>AVERAGE(P436:S436)</f>
        <v>295.10000000000002</v>
      </c>
      <c r="AY436" s="235">
        <f>AVERAGE(T436:W436)</f>
        <v>298.39999999999998</v>
      </c>
      <c r="AZ436" s="235">
        <f>AVERAGE(X436:AA436)</f>
        <v>306.32500000000005</v>
      </c>
      <c r="BA436" s="235">
        <f>AVERAGE(AB436:AE436)</f>
        <v>311.51233762499999</v>
      </c>
      <c r="BB436" s="235">
        <f>AVERAGE(AF436:AI436)</f>
        <v>320.16491739033711</v>
      </c>
      <c r="BC436" s="249">
        <f>BC402+BC324+BC215</f>
        <v>331.24266529134252</v>
      </c>
      <c r="BD436" s="249">
        <f>BD402+BD324+BD215</f>
        <v>343.69462956202938</v>
      </c>
      <c r="BE436" s="249">
        <f>BE402+BE324+BE215</f>
        <v>356.64271210888478</v>
      </c>
      <c r="BM436"/>
      <c r="BN436"/>
      <c r="BO436"/>
      <c r="BP436"/>
      <c r="BQ436"/>
      <c r="BR436"/>
    </row>
    <row r="437" spans="1:70" s="369" customFormat="1" x14ac:dyDescent="0.2">
      <c r="A437" s="411"/>
      <c r="B437" s="334"/>
      <c r="C437" s="321"/>
      <c r="D437" s="449"/>
      <c r="E437" s="449"/>
      <c r="F437" s="449"/>
      <c r="G437" s="449"/>
      <c r="H437" s="449"/>
      <c r="I437" s="449"/>
      <c r="J437" s="449"/>
      <c r="K437" s="449"/>
      <c r="L437" s="449"/>
      <c r="M437" s="449"/>
      <c r="N437" s="449"/>
      <c r="O437" s="449"/>
      <c r="P437" s="449"/>
      <c r="Q437" s="449"/>
      <c r="R437" s="449"/>
      <c r="S437" s="449"/>
      <c r="T437" s="449"/>
      <c r="U437" s="449"/>
      <c r="V437" s="449"/>
      <c r="W437" s="449"/>
      <c r="X437" s="449"/>
      <c r="Y437" s="449"/>
      <c r="Z437" s="449"/>
      <c r="AA437" s="449"/>
      <c r="AB437" s="449"/>
      <c r="AC437" s="321"/>
      <c r="AD437" s="321"/>
      <c r="AE437" s="321"/>
      <c r="AF437" s="321"/>
      <c r="AG437" s="321"/>
      <c r="AH437" s="321"/>
      <c r="AI437" s="321"/>
      <c r="AJ437" s="321"/>
      <c r="AK437" s="321"/>
      <c r="AL437" s="321"/>
      <c r="AM437" s="321"/>
      <c r="AN437" s="321"/>
      <c r="AO437" s="321"/>
      <c r="AP437" s="321"/>
      <c r="AQ437" s="321"/>
      <c r="AR437" s="70"/>
      <c r="AS437" s="334"/>
      <c r="AT437" s="321"/>
      <c r="BM437"/>
      <c r="BN437"/>
      <c r="BO437"/>
      <c r="BP437"/>
      <c r="BQ437"/>
      <c r="BR437"/>
    </row>
    <row r="438" spans="1:70" s="369" customFormat="1" x14ac:dyDescent="0.2">
      <c r="A438" s="411"/>
      <c r="B438" s="334" t="s">
        <v>109</v>
      </c>
      <c r="C438" s="321"/>
      <c r="D438" s="449">
        <v>20</v>
      </c>
      <c r="E438" s="449">
        <v>18.100000000000001</v>
      </c>
      <c r="F438" s="449">
        <v>22.1</v>
      </c>
      <c r="G438" s="449">
        <v>21.6</v>
      </c>
      <c r="H438" s="449">
        <v>25.9</v>
      </c>
      <c r="I438" s="449">
        <v>26</v>
      </c>
      <c r="J438" s="449">
        <v>21.7</v>
      </c>
      <c r="K438" s="449">
        <v>21.5</v>
      </c>
      <c r="L438" s="449">
        <v>25.2</v>
      </c>
      <c r="M438" s="449">
        <v>24.9</v>
      </c>
      <c r="N438" s="449">
        <v>28.1</v>
      </c>
      <c r="O438" s="449">
        <v>22.7</v>
      </c>
      <c r="P438" s="449">
        <v>25.5</v>
      </c>
      <c r="Q438" s="449">
        <v>25.5</v>
      </c>
      <c r="R438" s="449">
        <v>19.7</v>
      </c>
      <c r="S438" s="449">
        <v>17.3</v>
      </c>
      <c r="T438" s="449">
        <v>16.399999999999999</v>
      </c>
      <c r="U438" s="449">
        <v>18.8</v>
      </c>
      <c r="V438" s="449">
        <v>19.7</v>
      </c>
      <c r="W438" s="449">
        <v>18.5</v>
      </c>
      <c r="X438" s="449">
        <v>20.9</v>
      </c>
      <c r="Y438" s="449">
        <v>21.8</v>
      </c>
      <c r="Z438" s="449">
        <v>25.3</v>
      </c>
      <c r="AA438" s="449">
        <v>23.7</v>
      </c>
      <c r="AB438" s="449">
        <v>27.1</v>
      </c>
      <c r="AC438" s="338" t="s">
        <v>226</v>
      </c>
      <c r="AD438" s="338" t="s">
        <v>226</v>
      </c>
      <c r="AE438" s="338" t="s">
        <v>226</v>
      </c>
      <c r="AF438" s="338" t="s">
        <v>226</v>
      </c>
      <c r="AG438" s="338" t="s">
        <v>226</v>
      </c>
      <c r="AH438" s="338" t="s">
        <v>226</v>
      </c>
      <c r="AI438" s="338" t="s">
        <v>226</v>
      </c>
      <c r="AJ438" s="338"/>
      <c r="AK438" s="338"/>
      <c r="AL438" s="338"/>
      <c r="AM438" s="338"/>
      <c r="AN438" s="338"/>
      <c r="AO438" s="338"/>
      <c r="AP438" s="338"/>
      <c r="AQ438" s="338"/>
      <c r="AR438" s="70"/>
      <c r="AS438" s="334" t="s">
        <v>109</v>
      </c>
      <c r="AT438" s="321"/>
      <c r="AU438" s="232">
        <f>SUM(AU436:AU437)</f>
        <v>284.45</v>
      </c>
      <c r="AV438" s="232">
        <f>SUM(AV436:AV437)</f>
        <v>292.92500000000001</v>
      </c>
      <c r="AW438" s="232">
        <f>SUM(AW436:AW437)</f>
        <v>298.625</v>
      </c>
      <c r="AX438" s="232">
        <f>SUM(AX436:AX437)</f>
        <v>295.10000000000002</v>
      </c>
      <c r="AY438" s="232">
        <f>SUM(AY436:AY437)</f>
        <v>298.39999999999998</v>
      </c>
      <c r="AZ438" s="338" t="s">
        <v>226</v>
      </c>
      <c r="BA438" s="338" t="s">
        <v>226</v>
      </c>
      <c r="BB438" s="338" t="s">
        <v>226</v>
      </c>
      <c r="BC438" s="338" t="s">
        <v>226</v>
      </c>
      <c r="BD438" s="338" t="s">
        <v>226</v>
      </c>
      <c r="BE438" s="338" t="s">
        <v>226</v>
      </c>
      <c r="BM438"/>
      <c r="BN438"/>
      <c r="BO438"/>
      <c r="BP438"/>
      <c r="BQ438"/>
      <c r="BR438"/>
    </row>
    <row r="439" spans="1:70" s="369" customFormat="1" x14ac:dyDescent="0.2">
      <c r="A439" s="411"/>
      <c r="B439" s="334" t="s">
        <v>241</v>
      </c>
      <c r="C439" s="321"/>
      <c r="D439" s="449">
        <v>117.9</v>
      </c>
      <c r="E439" s="449">
        <v>116.1</v>
      </c>
      <c r="F439" s="449">
        <v>126.3</v>
      </c>
      <c r="G439" s="449">
        <v>128.69999999999999</v>
      </c>
      <c r="H439" s="449">
        <v>137.6</v>
      </c>
      <c r="I439" s="449">
        <v>131.6</v>
      </c>
      <c r="J439" s="449">
        <v>136.30000000000001</v>
      </c>
      <c r="K439" s="449">
        <v>141.6</v>
      </c>
      <c r="L439" s="449">
        <v>145.1</v>
      </c>
      <c r="M439" s="449">
        <v>151.69999999999999</v>
      </c>
      <c r="N439" s="449">
        <v>150.6</v>
      </c>
      <c r="O439" s="449">
        <v>147.30000000000001</v>
      </c>
      <c r="P439" s="449">
        <v>147.80000000000001</v>
      </c>
      <c r="Q439" s="449">
        <v>148.5</v>
      </c>
      <c r="R439" s="449">
        <v>138.9</v>
      </c>
      <c r="S439" s="449">
        <v>140.30000000000001</v>
      </c>
      <c r="T439" s="449">
        <v>139.80000000000001</v>
      </c>
      <c r="U439" s="449">
        <v>139.9</v>
      </c>
      <c r="V439" s="449">
        <v>140.9</v>
      </c>
      <c r="W439" s="449">
        <v>137.5</v>
      </c>
      <c r="X439" s="449">
        <v>146.69999999999999</v>
      </c>
      <c r="Y439" s="449">
        <v>152.80000000000001</v>
      </c>
      <c r="Z439" s="449">
        <v>158.19999999999999</v>
      </c>
      <c r="AA439" s="449">
        <v>160.9</v>
      </c>
      <c r="AB439" s="449">
        <v>163.5</v>
      </c>
      <c r="AC439" s="338" t="s">
        <v>226</v>
      </c>
      <c r="AD439" s="338" t="s">
        <v>226</v>
      </c>
      <c r="AE439" s="338" t="s">
        <v>226</v>
      </c>
      <c r="AF439" s="338" t="s">
        <v>226</v>
      </c>
      <c r="AG439" s="338" t="s">
        <v>226</v>
      </c>
      <c r="AH439" s="338" t="s">
        <v>226</v>
      </c>
      <c r="AI439" s="338" t="s">
        <v>226</v>
      </c>
      <c r="AJ439" s="338"/>
      <c r="AK439" s="338"/>
      <c r="AL439" s="338"/>
      <c r="AM439" s="338"/>
      <c r="AN439" s="338"/>
      <c r="AO439" s="338"/>
      <c r="AP439" s="338"/>
      <c r="AQ439" s="338"/>
      <c r="AR439" s="70"/>
      <c r="AS439" s="334" t="s">
        <v>241</v>
      </c>
      <c r="AT439" s="321"/>
      <c r="AU439" s="235">
        <f>G439</f>
        <v>128.69999999999999</v>
      </c>
      <c r="AV439" s="235">
        <f>K439</f>
        <v>141.6</v>
      </c>
      <c r="AW439" s="235">
        <f>O439</f>
        <v>147.30000000000001</v>
      </c>
      <c r="AX439" s="235">
        <f>S439</f>
        <v>140.30000000000001</v>
      </c>
      <c r="AY439" s="235">
        <f>W439</f>
        <v>137.5</v>
      </c>
      <c r="AZ439" s="338" t="s">
        <v>226</v>
      </c>
      <c r="BA439" s="338" t="s">
        <v>226</v>
      </c>
      <c r="BB439" s="338" t="s">
        <v>226</v>
      </c>
      <c r="BC439" s="338" t="s">
        <v>226</v>
      </c>
      <c r="BD439" s="338" t="s">
        <v>226</v>
      </c>
      <c r="BE439" s="338" t="s">
        <v>226</v>
      </c>
      <c r="BM439"/>
      <c r="BN439"/>
      <c r="BO439"/>
      <c r="BP439"/>
      <c r="BQ439"/>
      <c r="BR439"/>
    </row>
    <row r="440" spans="1:70" s="369" customFormat="1" x14ac:dyDescent="0.2">
      <c r="A440" s="411"/>
      <c r="B440" s="334"/>
      <c r="C440" s="321"/>
      <c r="D440" s="465"/>
      <c r="E440" s="465"/>
      <c r="F440" s="465"/>
      <c r="G440" s="465"/>
      <c r="H440" s="465"/>
      <c r="I440" s="465"/>
      <c r="J440" s="465"/>
      <c r="K440" s="465"/>
      <c r="L440" s="465"/>
      <c r="M440" s="465"/>
      <c r="N440" s="465"/>
      <c r="O440" s="465"/>
      <c r="P440" s="465"/>
      <c r="Q440" s="465"/>
      <c r="R440" s="465"/>
      <c r="S440" s="465"/>
      <c r="T440" s="465"/>
      <c r="U440" s="465"/>
      <c r="V440" s="465"/>
      <c r="W440" s="465"/>
      <c r="X440" s="465"/>
      <c r="Y440" s="465"/>
      <c r="Z440" s="465"/>
      <c r="AA440" s="465"/>
      <c r="AB440" s="465"/>
      <c r="AC440" s="321"/>
      <c r="AD440" s="321"/>
      <c r="AE440" s="321"/>
      <c r="AF440" s="321"/>
      <c r="AG440" s="321"/>
      <c r="AH440" s="321"/>
      <c r="AI440" s="321"/>
      <c r="AJ440" s="321"/>
      <c r="AK440" s="321"/>
      <c r="AL440" s="321"/>
      <c r="AM440" s="321"/>
      <c r="AN440" s="321"/>
      <c r="AO440" s="321"/>
      <c r="AP440" s="321"/>
      <c r="AQ440" s="321"/>
      <c r="AR440" s="70"/>
      <c r="AS440" s="334"/>
      <c r="AT440" s="321"/>
      <c r="BM440"/>
      <c r="BN440"/>
      <c r="BO440"/>
      <c r="BP440"/>
      <c r="BQ440"/>
      <c r="BR440"/>
    </row>
    <row r="441" spans="1:70" s="369" customFormat="1" x14ac:dyDescent="0.2">
      <c r="A441" s="411"/>
      <c r="B441" s="450" t="s">
        <v>211</v>
      </c>
      <c r="C441" s="321"/>
      <c r="D441" s="378"/>
      <c r="E441" s="378"/>
      <c r="F441" s="378"/>
      <c r="G441" s="378"/>
      <c r="H441" s="378"/>
      <c r="I441" s="378"/>
      <c r="J441" s="378"/>
      <c r="K441" s="378"/>
      <c r="L441" s="378"/>
      <c r="M441" s="378"/>
      <c r="N441" s="378"/>
      <c r="O441" s="378"/>
      <c r="P441" s="378"/>
      <c r="Q441" s="378"/>
      <c r="R441" s="378"/>
      <c r="S441" s="378"/>
      <c r="T441" s="378"/>
      <c r="U441" s="378"/>
      <c r="V441" s="378"/>
      <c r="W441" s="378"/>
      <c r="X441" s="378"/>
      <c r="Y441" s="378"/>
      <c r="Z441" s="378"/>
      <c r="AA441" s="378"/>
      <c r="AB441" s="378"/>
      <c r="AC441" s="321"/>
      <c r="AD441" s="321"/>
      <c r="AE441" s="321"/>
      <c r="AF441" s="321"/>
      <c r="AG441" s="321"/>
      <c r="AH441" s="321"/>
      <c r="AI441" s="321"/>
      <c r="AJ441" s="321"/>
      <c r="AK441" s="321"/>
      <c r="AL441" s="321"/>
      <c r="AM441" s="321"/>
      <c r="AN441" s="321"/>
      <c r="AO441" s="321"/>
      <c r="AP441" s="321"/>
      <c r="AQ441" s="321"/>
      <c r="AR441" s="70"/>
      <c r="AS441" s="450" t="s">
        <v>211</v>
      </c>
      <c r="AT441" s="321"/>
      <c r="BM441"/>
      <c r="BN441"/>
      <c r="BO441"/>
      <c r="BP441"/>
      <c r="BQ441"/>
      <c r="BR441"/>
    </row>
    <row r="442" spans="1:70" s="369" customFormat="1" x14ac:dyDescent="0.2">
      <c r="A442" s="411"/>
      <c r="B442" s="321" t="s">
        <v>134</v>
      </c>
      <c r="C442" s="321"/>
      <c r="D442" s="468">
        <f t="shared" ref="D442:X442" si="958">D225+D333+D411</f>
        <v>72.5</v>
      </c>
      <c r="E442" s="468">
        <f t="shared" si="958"/>
        <v>71.900000000000006</v>
      </c>
      <c r="F442" s="468">
        <f t="shared" si="958"/>
        <v>73.5</v>
      </c>
      <c r="G442" s="468">
        <f t="shared" si="958"/>
        <v>74.7</v>
      </c>
      <c r="H442" s="468">
        <f t="shared" si="958"/>
        <v>75.3</v>
      </c>
      <c r="I442" s="468">
        <f t="shared" si="958"/>
        <v>72.7</v>
      </c>
      <c r="J442" s="468">
        <f t="shared" si="958"/>
        <v>75.2</v>
      </c>
      <c r="K442" s="468">
        <f t="shared" si="958"/>
        <v>76.900000000000006</v>
      </c>
      <c r="L442" s="468">
        <f t="shared" si="958"/>
        <v>78.5</v>
      </c>
      <c r="M442" s="468">
        <f t="shared" si="958"/>
        <v>80.900000000000006</v>
      </c>
      <c r="N442" s="468">
        <f t="shared" si="958"/>
        <v>81.3</v>
      </c>
      <c r="O442" s="468">
        <f t="shared" si="958"/>
        <v>79.400000000000006</v>
      </c>
      <c r="P442" s="468">
        <f t="shared" si="958"/>
        <v>79.3</v>
      </c>
      <c r="Q442" s="468">
        <f t="shared" si="958"/>
        <v>80.099999999999994</v>
      </c>
      <c r="R442" s="468">
        <f t="shared" si="958"/>
        <v>79</v>
      </c>
      <c r="S442" s="468">
        <f t="shared" si="958"/>
        <v>80.199999999999989</v>
      </c>
      <c r="T442" s="468">
        <f t="shared" si="958"/>
        <v>82.2</v>
      </c>
      <c r="U442" s="468">
        <f t="shared" si="958"/>
        <v>81.599999999999994</v>
      </c>
      <c r="V442" s="468">
        <f t="shared" si="958"/>
        <v>81.400000000000006</v>
      </c>
      <c r="W442" s="468">
        <f t="shared" si="958"/>
        <v>79.400000000000006</v>
      </c>
      <c r="X442" s="468">
        <f t="shared" si="958"/>
        <v>81.199999999999989</v>
      </c>
      <c r="Y442" s="468">
        <f t="shared" ref="Y442:Z442" si="959">Y225+Y333+Y411</f>
        <v>81.400000000000006</v>
      </c>
      <c r="Z442" s="468">
        <f t="shared" si="959"/>
        <v>81.400000000000006</v>
      </c>
      <c r="AA442" s="468">
        <f t="shared" ref="AA442:AB442" si="960">AA225+AA333+AA411</f>
        <v>81.699999999999989</v>
      </c>
      <c r="AB442" s="468">
        <f t="shared" si="960"/>
        <v>82.1</v>
      </c>
      <c r="AC442" s="505">
        <f t="shared" ref="AC442:AE444" si="961">AC411+AC333+AC225</f>
        <v>82.920999999999992</v>
      </c>
      <c r="AD442" s="505">
        <f t="shared" si="961"/>
        <v>83.941604999999996</v>
      </c>
      <c r="AE442" s="505">
        <f t="shared" si="961"/>
        <v>85.620437099999975</v>
      </c>
      <c r="AF442" s="505">
        <f t="shared" ref="AF442:AI442" si="962">AF411+AF333+AF225</f>
        <v>86.207908649999979</v>
      </c>
      <c r="AG442" s="505">
        <f t="shared" si="962"/>
        <v>87.35899146808498</v>
      </c>
      <c r="AH442" s="505">
        <f t="shared" si="962"/>
        <v>88.167918893990958</v>
      </c>
      <c r="AI442" s="505">
        <f t="shared" si="962"/>
        <v>89.54034284438363</v>
      </c>
      <c r="AJ442" s="505"/>
      <c r="AK442" s="505"/>
      <c r="AL442" s="505"/>
      <c r="AM442" s="505"/>
      <c r="AN442" s="505"/>
      <c r="AO442" s="505"/>
      <c r="AP442" s="505"/>
      <c r="AQ442" s="505"/>
      <c r="AR442" s="70"/>
      <c r="AS442" s="321" t="s">
        <v>134</v>
      </c>
      <c r="AT442" s="321"/>
      <c r="AU442" s="235">
        <f>G442</f>
        <v>74.7</v>
      </c>
      <c r="AV442" s="235">
        <f>K442</f>
        <v>76.900000000000006</v>
      </c>
      <c r="AW442" s="235">
        <f>O442</f>
        <v>79.400000000000006</v>
      </c>
      <c r="AX442" s="235">
        <f>S442</f>
        <v>80.199999999999989</v>
      </c>
      <c r="AY442" s="235">
        <f>W442</f>
        <v>79.400000000000006</v>
      </c>
      <c r="AZ442" s="235">
        <f>AA442</f>
        <v>81.699999999999989</v>
      </c>
      <c r="BA442" s="235">
        <f>AE442</f>
        <v>85.620437099999975</v>
      </c>
      <c r="BB442" s="235">
        <f>AI442</f>
        <v>89.54034284438363</v>
      </c>
      <c r="BC442" s="505">
        <f t="shared" ref="BC442:BD444" si="963">BC411+BC333+BC225</f>
        <v>94.098155371574748</v>
      </c>
      <c r="BD442" s="505">
        <f t="shared" si="963"/>
        <v>98.752404185573468</v>
      </c>
      <c r="BE442" s="505">
        <f t="shared" ref="BE442" si="964">BE411+BE333+BE225</f>
        <v>103.63733908208893</v>
      </c>
      <c r="BM442"/>
      <c r="BN442"/>
      <c r="BO442"/>
      <c r="BP442"/>
      <c r="BQ442"/>
      <c r="BR442"/>
    </row>
    <row r="443" spans="1:70" s="369" customFormat="1" x14ac:dyDescent="0.2">
      <c r="A443" s="411"/>
      <c r="B443" s="321" t="s">
        <v>133</v>
      </c>
      <c r="C443" s="321"/>
      <c r="D443" s="468">
        <f t="shared" ref="D443:X443" si="965">D226+D334+D412</f>
        <v>32.4</v>
      </c>
      <c r="E443" s="468">
        <f t="shared" si="965"/>
        <v>31.8</v>
      </c>
      <c r="F443" s="468">
        <f t="shared" si="965"/>
        <v>32.6</v>
      </c>
      <c r="G443" s="468">
        <f t="shared" si="965"/>
        <v>33.299999999999997</v>
      </c>
      <c r="H443" s="468">
        <f t="shared" si="965"/>
        <v>34.4</v>
      </c>
      <c r="I443" s="468">
        <f t="shared" si="965"/>
        <v>34.800000000000004</v>
      </c>
      <c r="J443" s="468">
        <f t="shared" si="965"/>
        <v>34.700000000000003</v>
      </c>
      <c r="K443" s="468">
        <f t="shared" si="965"/>
        <v>35.700000000000003</v>
      </c>
      <c r="L443" s="468">
        <f t="shared" si="965"/>
        <v>35.699999999999996</v>
      </c>
      <c r="M443" s="468">
        <f t="shared" si="965"/>
        <v>36.4</v>
      </c>
      <c r="N443" s="468">
        <f t="shared" si="965"/>
        <v>35.6</v>
      </c>
      <c r="O443" s="468">
        <f t="shared" si="965"/>
        <v>33.699999999999996</v>
      </c>
      <c r="P443" s="468">
        <f t="shared" si="965"/>
        <v>33</v>
      </c>
      <c r="Q443" s="468">
        <f t="shared" si="965"/>
        <v>33.400000000000006</v>
      </c>
      <c r="R443" s="468">
        <f t="shared" si="965"/>
        <v>32</v>
      </c>
      <c r="S443" s="468">
        <f t="shared" si="965"/>
        <v>31.900000000000002</v>
      </c>
      <c r="T443" s="468">
        <f t="shared" si="965"/>
        <v>32.200000000000003</v>
      </c>
      <c r="U443" s="468">
        <f t="shared" si="965"/>
        <v>32.599999999999994</v>
      </c>
      <c r="V443" s="468">
        <f t="shared" si="965"/>
        <v>33.200000000000003</v>
      </c>
      <c r="W443" s="468">
        <f t="shared" si="965"/>
        <v>32</v>
      </c>
      <c r="X443" s="468">
        <f t="shared" si="965"/>
        <v>33.9</v>
      </c>
      <c r="Y443" s="468">
        <f t="shared" ref="Y443:Z443" si="966">Y226+Y334+Y412</f>
        <v>34.799999999999997</v>
      </c>
      <c r="Z443" s="468">
        <f t="shared" si="966"/>
        <v>35.5</v>
      </c>
      <c r="AA443" s="468">
        <f t="shared" ref="AA443:AB443" si="967">AA226+AA334+AA412</f>
        <v>36.299999999999997</v>
      </c>
      <c r="AB443" s="468">
        <f t="shared" si="967"/>
        <v>36.799999999999997</v>
      </c>
      <c r="AC443" s="505">
        <f t="shared" si="961"/>
        <v>37.167999999999999</v>
      </c>
      <c r="AD443" s="505">
        <f t="shared" si="961"/>
        <v>37.679564999999997</v>
      </c>
      <c r="AE443" s="505">
        <f t="shared" si="961"/>
        <v>38.433156299999993</v>
      </c>
      <c r="AF443" s="505">
        <f t="shared" ref="AF443:AI443" si="968">AF412+AF334+AF226</f>
        <v>38.507974574999984</v>
      </c>
      <c r="AG443" s="505">
        <f t="shared" si="968"/>
        <v>38.89831107077999</v>
      </c>
      <c r="AH443" s="505">
        <f t="shared" si="968"/>
        <v>39.296771640442564</v>
      </c>
      <c r="AI443" s="505">
        <f t="shared" si="968"/>
        <v>39.881387547719115</v>
      </c>
      <c r="AJ443" s="505"/>
      <c r="AK443" s="505"/>
      <c r="AL443" s="505"/>
      <c r="AM443" s="505"/>
      <c r="AN443" s="505"/>
      <c r="AO443" s="505"/>
      <c r="AP443" s="505"/>
      <c r="AQ443" s="505"/>
      <c r="AR443" s="70"/>
      <c r="AS443" s="321" t="s">
        <v>133</v>
      </c>
      <c r="AT443" s="321"/>
      <c r="AU443" s="235">
        <f>G443</f>
        <v>33.299999999999997</v>
      </c>
      <c r="AV443" s="235">
        <f>K443</f>
        <v>35.700000000000003</v>
      </c>
      <c r="AW443" s="235">
        <f>O443</f>
        <v>33.699999999999996</v>
      </c>
      <c r="AX443" s="235">
        <f>S443</f>
        <v>31.900000000000002</v>
      </c>
      <c r="AY443" s="235">
        <f>W443</f>
        <v>32</v>
      </c>
      <c r="AZ443" s="235">
        <f>AA443</f>
        <v>36.299999999999997</v>
      </c>
      <c r="BA443" s="235">
        <f>AE443</f>
        <v>38.433156299999993</v>
      </c>
      <c r="BB443" s="235">
        <f>AI443</f>
        <v>39.881387547719115</v>
      </c>
      <c r="BC443" s="505">
        <f t="shared" si="963"/>
        <v>41.677625158272306</v>
      </c>
      <c r="BD443" s="505">
        <f t="shared" si="963"/>
        <v>43.643302188832536</v>
      </c>
      <c r="BE443" s="505">
        <f t="shared" ref="BE443" si="969">BE412+BE334+BE226</f>
        <v>45.702534901826645</v>
      </c>
      <c r="BM443"/>
      <c r="BN443"/>
      <c r="BO443"/>
      <c r="BP443"/>
      <c r="BQ443"/>
      <c r="BR443"/>
    </row>
    <row r="444" spans="1:70" s="369" customFormat="1" x14ac:dyDescent="0.2">
      <c r="A444" s="411"/>
      <c r="B444" s="376" t="s">
        <v>86</v>
      </c>
      <c r="C444" s="376"/>
      <c r="D444" s="464">
        <f t="shared" ref="D444:X444" si="970">D227+D335+D413</f>
        <v>24</v>
      </c>
      <c r="E444" s="464">
        <f t="shared" si="970"/>
        <v>24.200000000000003</v>
      </c>
      <c r="F444" s="464">
        <f t="shared" si="970"/>
        <v>25.7</v>
      </c>
      <c r="G444" s="464">
        <f t="shared" si="970"/>
        <v>26.3</v>
      </c>
      <c r="H444" s="464">
        <f t="shared" si="970"/>
        <v>26.7</v>
      </c>
      <c r="I444" s="464">
        <f t="shared" si="970"/>
        <v>26.2</v>
      </c>
      <c r="J444" s="464">
        <f t="shared" si="970"/>
        <v>26.4</v>
      </c>
      <c r="K444" s="464">
        <f t="shared" si="970"/>
        <v>27.5</v>
      </c>
      <c r="L444" s="464">
        <f t="shared" si="970"/>
        <v>28.400000000000002</v>
      </c>
      <c r="M444" s="464">
        <f t="shared" si="970"/>
        <v>29.2</v>
      </c>
      <c r="N444" s="464">
        <f t="shared" si="970"/>
        <v>29</v>
      </c>
      <c r="O444" s="464">
        <f t="shared" si="970"/>
        <v>28.299999999999997</v>
      </c>
      <c r="P444" s="464">
        <f t="shared" si="970"/>
        <v>28.4</v>
      </c>
      <c r="Q444" s="464">
        <f t="shared" si="970"/>
        <v>28.900000000000002</v>
      </c>
      <c r="R444" s="464">
        <f t="shared" si="970"/>
        <v>28.1</v>
      </c>
      <c r="S444" s="464">
        <f t="shared" si="970"/>
        <v>28.2</v>
      </c>
      <c r="T444" s="464">
        <f t="shared" si="970"/>
        <v>27.6</v>
      </c>
      <c r="U444" s="464">
        <f t="shared" si="970"/>
        <v>27.200000000000003</v>
      </c>
      <c r="V444" s="464">
        <f t="shared" si="970"/>
        <v>27</v>
      </c>
      <c r="W444" s="464">
        <f t="shared" si="970"/>
        <v>24.9</v>
      </c>
      <c r="X444" s="464">
        <f t="shared" si="970"/>
        <v>26.299999999999997</v>
      </c>
      <c r="Y444" s="464">
        <f t="shared" ref="Y444:Z444" si="971">Y227+Y335+Y413</f>
        <v>27.200000000000003</v>
      </c>
      <c r="Z444" s="464">
        <f t="shared" si="971"/>
        <v>27.3</v>
      </c>
      <c r="AA444" s="464">
        <f t="shared" ref="AA444:AB444" si="972">AA227+AA335+AA413</f>
        <v>27.9</v>
      </c>
      <c r="AB444" s="464">
        <f t="shared" si="972"/>
        <v>28.5</v>
      </c>
      <c r="AC444" s="532">
        <f t="shared" si="961"/>
        <v>28.784999999999993</v>
      </c>
      <c r="AD444" s="532">
        <f t="shared" si="961"/>
        <v>29.206169999999993</v>
      </c>
      <c r="AE444" s="532">
        <f t="shared" si="961"/>
        <v>29.790293399999989</v>
      </c>
      <c r="AF444" s="532">
        <f t="shared" ref="AF444:AI444" si="973">AF413+AF335+AF227</f>
        <v>29.852924408999982</v>
      </c>
      <c r="AG444" s="532">
        <f t="shared" si="973"/>
        <v>30.067383692744986</v>
      </c>
      <c r="AH444" s="532">
        <f t="shared" si="973"/>
        <v>30.347134679746226</v>
      </c>
      <c r="AI444" s="532">
        <f t="shared" si="973"/>
        <v>30.71764397707647</v>
      </c>
      <c r="AJ444" s="467"/>
      <c r="AK444" s="467"/>
      <c r="AL444" s="467"/>
      <c r="AM444" s="467"/>
      <c r="AN444" s="467"/>
      <c r="AO444" s="467"/>
      <c r="AP444" s="467"/>
      <c r="AQ444" s="467"/>
      <c r="AR444" s="70"/>
      <c r="AS444" s="376" t="s">
        <v>86</v>
      </c>
      <c r="AT444" s="376"/>
      <c r="AU444" s="236">
        <f>G444</f>
        <v>26.3</v>
      </c>
      <c r="AV444" s="236">
        <f>K444</f>
        <v>27.5</v>
      </c>
      <c r="AW444" s="236">
        <f>O444</f>
        <v>28.299999999999997</v>
      </c>
      <c r="AX444" s="236">
        <f>S444</f>
        <v>28.2</v>
      </c>
      <c r="AY444" s="236">
        <f>W444</f>
        <v>24.9</v>
      </c>
      <c r="AZ444" s="236">
        <f>AA444</f>
        <v>27.9</v>
      </c>
      <c r="BA444" s="236">
        <f>AE444</f>
        <v>29.790293399999989</v>
      </c>
      <c r="BB444" s="236">
        <f>AI444</f>
        <v>30.71764397707647</v>
      </c>
      <c r="BC444" s="532">
        <f t="shared" si="963"/>
        <v>31.992730222769779</v>
      </c>
      <c r="BD444" s="532">
        <f t="shared" si="963"/>
        <v>33.522569952042467</v>
      </c>
      <c r="BE444" s="532">
        <f t="shared" ref="BE444" si="974">BE413+BE335+BE227</f>
        <v>35.126109796504153</v>
      </c>
      <c r="BM444"/>
      <c r="BN444"/>
      <c r="BO444"/>
      <c r="BP444"/>
      <c r="BQ444"/>
      <c r="BR444"/>
    </row>
    <row r="445" spans="1:70" s="369" customFormat="1" x14ac:dyDescent="0.2">
      <c r="A445" s="411"/>
      <c r="B445" s="321"/>
      <c r="C445" s="334" t="s">
        <v>88</v>
      </c>
      <c r="D445" s="468">
        <f t="shared" ref="D445:AE445" si="975">SUM(D442:D444)</f>
        <v>128.9</v>
      </c>
      <c r="E445" s="468">
        <f t="shared" si="975"/>
        <v>127.9</v>
      </c>
      <c r="F445" s="468">
        <f t="shared" si="975"/>
        <v>131.79999999999998</v>
      </c>
      <c r="G445" s="468">
        <f t="shared" si="975"/>
        <v>134.30000000000001</v>
      </c>
      <c r="H445" s="468">
        <f t="shared" si="975"/>
        <v>136.39999999999998</v>
      </c>
      <c r="I445" s="468">
        <f t="shared" si="975"/>
        <v>133.69999999999999</v>
      </c>
      <c r="J445" s="468">
        <f t="shared" si="975"/>
        <v>136.30000000000001</v>
      </c>
      <c r="K445" s="468">
        <f t="shared" si="975"/>
        <v>140.10000000000002</v>
      </c>
      <c r="L445" s="468">
        <f t="shared" si="975"/>
        <v>142.6</v>
      </c>
      <c r="M445" s="468">
        <f t="shared" si="975"/>
        <v>146.5</v>
      </c>
      <c r="N445" s="468">
        <f t="shared" si="975"/>
        <v>145.9</v>
      </c>
      <c r="O445" s="468">
        <f t="shared" si="975"/>
        <v>141.39999999999998</v>
      </c>
      <c r="P445" s="468">
        <f t="shared" si="975"/>
        <v>140.69999999999999</v>
      </c>
      <c r="Q445" s="468">
        <f t="shared" si="975"/>
        <v>142.4</v>
      </c>
      <c r="R445" s="468">
        <f t="shared" si="975"/>
        <v>139.1</v>
      </c>
      <c r="S445" s="468">
        <f t="shared" si="975"/>
        <v>140.29999999999998</v>
      </c>
      <c r="T445" s="468">
        <f t="shared" si="975"/>
        <v>142</v>
      </c>
      <c r="U445" s="468">
        <f t="shared" si="975"/>
        <v>141.39999999999998</v>
      </c>
      <c r="V445" s="468">
        <f t="shared" si="975"/>
        <v>141.60000000000002</v>
      </c>
      <c r="W445" s="468">
        <f t="shared" si="975"/>
        <v>136.30000000000001</v>
      </c>
      <c r="X445" s="468">
        <f t="shared" si="975"/>
        <v>141.39999999999998</v>
      </c>
      <c r="Y445" s="468">
        <f t="shared" ref="Y445:Z445" si="976">SUM(Y442:Y444)</f>
        <v>143.4</v>
      </c>
      <c r="Z445" s="468">
        <f t="shared" si="976"/>
        <v>144.20000000000002</v>
      </c>
      <c r="AA445" s="468">
        <f t="shared" ref="AA445:AB445" si="977">SUM(AA442:AA444)</f>
        <v>145.89999999999998</v>
      </c>
      <c r="AB445" s="468">
        <f t="shared" si="977"/>
        <v>147.39999999999998</v>
      </c>
      <c r="AC445" s="468">
        <f t="shared" si="975"/>
        <v>148.874</v>
      </c>
      <c r="AD445" s="468">
        <f t="shared" si="975"/>
        <v>150.82733999999999</v>
      </c>
      <c r="AE445" s="468">
        <f t="shared" si="975"/>
        <v>153.84388679999995</v>
      </c>
      <c r="AF445" s="468">
        <f t="shared" ref="AF445:AI445" si="978">SUM(AF442:AF444)</f>
        <v>154.56880763399994</v>
      </c>
      <c r="AG445" s="468">
        <f t="shared" si="978"/>
        <v>156.32468623160995</v>
      </c>
      <c r="AH445" s="468">
        <f t="shared" si="978"/>
        <v>157.81182521417975</v>
      </c>
      <c r="AI445" s="468">
        <f t="shared" si="978"/>
        <v>160.13937436917922</v>
      </c>
      <c r="AJ445" s="468"/>
      <c r="AK445" s="468"/>
      <c r="AL445" s="468"/>
      <c r="AM445" s="468"/>
      <c r="AN445" s="468"/>
      <c r="AO445" s="468"/>
      <c r="AP445" s="468"/>
      <c r="AQ445" s="468"/>
      <c r="AR445" s="70"/>
      <c r="AS445" s="321"/>
      <c r="AT445" s="334" t="s">
        <v>88</v>
      </c>
      <c r="AU445" s="235">
        <f>G445</f>
        <v>134.30000000000001</v>
      </c>
      <c r="AV445" s="235">
        <f>K445</f>
        <v>140.10000000000002</v>
      </c>
      <c r="AW445" s="235">
        <f>O445</f>
        <v>141.39999999999998</v>
      </c>
      <c r="AX445" s="235">
        <f>S445</f>
        <v>140.29999999999998</v>
      </c>
      <c r="AY445" s="235">
        <f>W445</f>
        <v>136.30000000000001</v>
      </c>
      <c r="AZ445" s="235">
        <f>AA445</f>
        <v>145.89999999999998</v>
      </c>
      <c r="BA445" s="235">
        <f>AE445</f>
        <v>153.84388679999995</v>
      </c>
      <c r="BB445" s="235">
        <f>AI445</f>
        <v>160.13937436917922</v>
      </c>
      <c r="BC445" s="468">
        <f>SUM(BC442:BC444)</f>
        <v>167.76851075261683</v>
      </c>
      <c r="BD445" s="468">
        <f>SUM(BD442:BD444)</f>
        <v>175.91827632644848</v>
      </c>
      <c r="BE445" s="468">
        <f>SUM(BE442:BE444)</f>
        <v>184.46598378041972</v>
      </c>
      <c r="BM445"/>
      <c r="BN445"/>
      <c r="BO445"/>
      <c r="BP445"/>
      <c r="BQ445"/>
      <c r="BR445"/>
    </row>
    <row r="446" spans="1:70" s="369" customFormat="1" x14ac:dyDescent="0.2">
      <c r="A446" s="411"/>
      <c r="B446" s="450"/>
      <c r="C446" s="321"/>
      <c r="D446" s="465"/>
      <c r="E446" s="465"/>
      <c r="F446" s="465"/>
      <c r="G446" s="465"/>
      <c r="H446" s="465"/>
      <c r="I446" s="465"/>
      <c r="J446" s="465"/>
      <c r="K446" s="465"/>
      <c r="L446" s="465"/>
      <c r="M446" s="465"/>
      <c r="N446" s="465"/>
      <c r="O446" s="465"/>
      <c r="P446" s="465"/>
      <c r="Q446" s="465"/>
      <c r="R446" s="465"/>
      <c r="S446" s="465"/>
      <c r="T446" s="465"/>
      <c r="U446" s="465"/>
      <c r="V446" s="465"/>
      <c r="W446" s="465"/>
      <c r="X446" s="465"/>
      <c r="Y446" s="465"/>
      <c r="Z446" s="465"/>
      <c r="AA446" s="465"/>
      <c r="AB446" s="465"/>
      <c r="AC446" s="321"/>
      <c r="AD446" s="321"/>
      <c r="AE446" s="321"/>
      <c r="AF446" s="321"/>
      <c r="AG446" s="321"/>
      <c r="AH446" s="321"/>
      <c r="AI446" s="321"/>
      <c r="AJ446" s="321"/>
      <c r="AK446" s="321"/>
      <c r="AL446" s="321"/>
      <c r="AM446" s="321"/>
      <c r="AN446" s="321"/>
      <c r="AO446" s="321"/>
      <c r="AP446" s="321"/>
      <c r="AQ446" s="321"/>
      <c r="AR446" s="70"/>
      <c r="AS446" s="450"/>
      <c r="AT446" s="321"/>
      <c r="BM446"/>
      <c r="BN446"/>
      <c r="BO446"/>
      <c r="BP446"/>
      <c r="BQ446"/>
      <c r="BR446"/>
    </row>
    <row r="447" spans="1:70" s="369" customFormat="1" x14ac:dyDescent="0.2">
      <c r="A447" s="411"/>
      <c r="B447" s="450" t="s">
        <v>208</v>
      </c>
      <c r="C447" s="321"/>
      <c r="D447" s="478">
        <f t="shared" ref="D447:AE447" si="979">D430/(D435*1000)*D1</f>
        <v>7.5482676449915145E-2</v>
      </c>
      <c r="E447" s="478">
        <f t="shared" si="979"/>
        <v>7.4499797139231549E-2</v>
      </c>
      <c r="F447" s="478">
        <f t="shared" si="979"/>
        <v>7.2618561872909701E-2</v>
      </c>
      <c r="G447" s="478">
        <f t="shared" si="979"/>
        <v>7.1745979973254187E-2</v>
      </c>
      <c r="H447" s="478">
        <f t="shared" si="979"/>
        <v>7.061332350049164E-2</v>
      </c>
      <c r="I447" s="478">
        <f t="shared" si="979"/>
        <v>6.9674033831337204E-2</v>
      </c>
      <c r="J447" s="478">
        <f t="shared" si="979"/>
        <v>6.5566052893730506E-2</v>
      </c>
      <c r="K447" s="478">
        <f t="shared" si="979"/>
        <v>6.3586566091954025E-2</v>
      </c>
      <c r="L447" s="478">
        <f t="shared" si="979"/>
        <v>6.2116007265260995E-2</v>
      </c>
      <c r="M447" s="478">
        <f t="shared" si="979"/>
        <v>6.2199394808090461E-2</v>
      </c>
      <c r="N447" s="478">
        <f t="shared" si="979"/>
        <v>6.2414500683994519E-2</v>
      </c>
      <c r="O447" s="478">
        <f t="shared" si="979"/>
        <v>6.2657421289355322E-2</v>
      </c>
      <c r="P447" s="478">
        <f t="shared" si="979"/>
        <v>6.0689519306540582E-2</v>
      </c>
      <c r="Q447" s="478">
        <f t="shared" si="979"/>
        <v>6.1038013952339792E-2</v>
      </c>
      <c r="R447" s="478">
        <f t="shared" si="979"/>
        <v>6.101495925856814E-2</v>
      </c>
      <c r="S447" s="478">
        <f t="shared" si="979"/>
        <v>6.0976099308300391E-2</v>
      </c>
      <c r="T447" s="478">
        <f t="shared" si="979"/>
        <v>6.237523221763909E-2</v>
      </c>
      <c r="U447" s="478">
        <f t="shared" si="979"/>
        <v>6.1427091689317058E-2</v>
      </c>
      <c r="V447" s="478">
        <f t="shared" si="979"/>
        <v>6.1382884262094303E-2</v>
      </c>
      <c r="W447" s="478">
        <f t="shared" si="979"/>
        <v>6.1330321443188618E-2</v>
      </c>
      <c r="X447" s="478">
        <f t="shared" si="979"/>
        <v>6.2878642331091888E-2</v>
      </c>
      <c r="Y447" s="478">
        <f t="shared" ref="Y447:Z447" si="980">Y430/(Y435*1000)*Y1</f>
        <v>6.4406956360575474E-2</v>
      </c>
      <c r="Z447" s="478">
        <f t="shared" si="980"/>
        <v>6.5518319322667148E-2</v>
      </c>
      <c r="AA447" s="478">
        <f t="shared" ref="AA447:AB447" si="981">AA430/(AA435*1000)*AA1</f>
        <v>6.4637581278278844E-2</v>
      </c>
      <c r="AB447" s="478">
        <f t="shared" si="981"/>
        <v>6.52031875519299E-2</v>
      </c>
      <c r="AC447" s="478">
        <f t="shared" si="979"/>
        <v>6.39844074550215E-2</v>
      </c>
      <c r="AD447" s="478">
        <f t="shared" si="979"/>
        <v>6.4286082268545736E-2</v>
      </c>
      <c r="AE447" s="478">
        <f t="shared" si="979"/>
        <v>6.4235803445269218E-2</v>
      </c>
      <c r="AF447" s="478">
        <f t="shared" ref="AF447:AI447" si="982">AF430/(AF435*1000)*AF1</f>
        <v>6.4187153938567193E-2</v>
      </c>
      <c r="AG447" s="478">
        <f t="shared" si="982"/>
        <v>6.4360856316198076E-2</v>
      </c>
      <c r="AH447" s="478">
        <f t="shared" si="982"/>
        <v>6.4646382290770202E-2</v>
      </c>
      <c r="AI447" s="478">
        <f t="shared" si="982"/>
        <v>6.4832692078450993E-2</v>
      </c>
      <c r="AJ447" s="478"/>
      <c r="AK447" s="478"/>
      <c r="AL447" s="478"/>
      <c r="AM447" s="478"/>
      <c r="AN447" s="478"/>
      <c r="AO447" s="478"/>
      <c r="AP447" s="478"/>
      <c r="AQ447" s="478"/>
      <c r="AR447" s="70"/>
      <c r="AS447" s="334" t="s">
        <v>208</v>
      </c>
      <c r="AT447" s="321"/>
      <c r="AU447" s="478">
        <f t="shared" ref="AU447:BD447" si="983">AU430/(AU435*1000)*AU1</f>
        <v>7.3562066306862003E-2</v>
      </c>
      <c r="AV447" s="478">
        <f t="shared" si="983"/>
        <v>6.7306843267108174E-2</v>
      </c>
      <c r="AW447" s="478">
        <f t="shared" si="983"/>
        <v>6.2357836338418862E-2</v>
      </c>
      <c r="AX447" s="478">
        <f t="shared" si="983"/>
        <v>6.0929078014184394E-2</v>
      </c>
      <c r="AY447" s="478">
        <f t="shared" si="983"/>
        <v>6.1626248216833095E-2</v>
      </c>
      <c r="AZ447" s="478">
        <f t="shared" si="983"/>
        <v>6.4392638036809821E-2</v>
      </c>
      <c r="BA447" s="478">
        <f t="shared" si="983"/>
        <v>6.4428685914169781E-2</v>
      </c>
      <c r="BB447" s="478">
        <f t="shared" ref="BB447" si="984">BB430/(BB435*1000)*BB1</f>
        <v>6.4519055154216562E-2</v>
      </c>
      <c r="BC447" s="478">
        <f t="shared" si="983"/>
        <v>6.4139640931713718E-2</v>
      </c>
      <c r="BD447" s="478">
        <f t="shared" si="983"/>
        <v>6.396955088824266E-2</v>
      </c>
      <c r="BE447" s="478">
        <f t="shared" ref="BE447" si="985">BE430/(BE435*1000)*BE1</f>
        <v>6.3979999760715986E-2</v>
      </c>
      <c r="BM447"/>
      <c r="BN447"/>
      <c r="BO447"/>
      <c r="BP447"/>
      <c r="BQ447"/>
      <c r="BR447"/>
    </row>
    <row r="448" spans="1:70" s="369" customFormat="1" x14ac:dyDescent="0.2">
      <c r="A448" s="411"/>
      <c r="B448" s="450"/>
      <c r="C448" s="321"/>
      <c r="D448" s="384"/>
      <c r="E448" s="384"/>
      <c r="F448" s="384"/>
      <c r="G448" s="384"/>
      <c r="H448" s="384"/>
      <c r="I448" s="384"/>
      <c r="J448" s="384"/>
      <c r="K448" s="384"/>
      <c r="L448" s="384"/>
      <c r="M448" s="384"/>
      <c r="N448" s="384"/>
      <c r="O448" s="384"/>
      <c r="P448" s="384"/>
      <c r="Q448" s="384"/>
      <c r="R448" s="384"/>
      <c r="S448" s="384"/>
      <c r="T448" s="384"/>
      <c r="U448" s="384"/>
      <c r="V448" s="384"/>
      <c r="W448" s="384"/>
      <c r="X448" s="321"/>
      <c r="Y448" s="321"/>
      <c r="Z448" s="321"/>
      <c r="AA448" s="321"/>
      <c r="AB448" s="321"/>
      <c r="AC448" s="321"/>
      <c r="AD448" s="321"/>
      <c r="AE448" s="321"/>
      <c r="AF448" s="321"/>
      <c r="AG448" s="321"/>
      <c r="AH448" s="321"/>
      <c r="AI448" s="321"/>
      <c r="AJ448" s="321"/>
      <c r="AK448" s="321"/>
      <c r="AL448" s="321"/>
      <c r="AM448" s="321"/>
      <c r="AN448" s="321"/>
      <c r="AO448" s="321"/>
      <c r="AP448" s="321"/>
      <c r="AQ448" s="321"/>
      <c r="AR448" s="70"/>
      <c r="AS448" s="450"/>
      <c r="AT448" s="321"/>
      <c r="BM448"/>
      <c r="BN448"/>
      <c r="BO448"/>
      <c r="BP448"/>
      <c r="BQ448"/>
      <c r="BR448"/>
    </row>
    <row r="449" spans="1:74" x14ac:dyDescent="0.2">
      <c r="Y449" s="1215"/>
      <c r="Z449" s="1688"/>
      <c r="AA449" s="1742"/>
      <c r="AB449" s="1785"/>
      <c r="AS449" s="10"/>
      <c r="AT449" s="9"/>
    </row>
    <row r="450" spans="1:74" x14ac:dyDescent="0.2">
      <c r="A450" s="411" t="s">
        <v>194</v>
      </c>
      <c r="B450" s="1155" t="s">
        <v>242</v>
      </c>
      <c r="C450" s="1155"/>
      <c r="D450" s="1156"/>
      <c r="E450" s="1156"/>
      <c r="F450" s="1156"/>
      <c r="G450" s="1156"/>
      <c r="H450" s="1156"/>
      <c r="I450" s="1156"/>
      <c r="J450" s="1156"/>
      <c r="K450" s="1156"/>
      <c r="L450" s="1156"/>
      <c r="M450" s="1156"/>
      <c r="N450" s="1156"/>
      <c r="O450" s="1156"/>
      <c r="P450" s="1156"/>
      <c r="Q450" s="1156"/>
      <c r="R450" s="1156"/>
      <c r="S450" s="1156"/>
      <c r="T450" s="1156"/>
      <c r="U450" s="1156"/>
      <c r="V450" s="1156"/>
      <c r="W450" s="1156"/>
      <c r="X450" s="1156"/>
      <c r="Y450" s="1156"/>
      <c r="Z450" s="1156"/>
      <c r="AA450" s="1156"/>
      <c r="AB450" s="1156"/>
      <c r="AC450" s="1156"/>
      <c r="AD450" s="1156"/>
      <c r="AE450" s="1156"/>
      <c r="AF450" s="1156"/>
      <c r="AG450" s="1156"/>
      <c r="AH450" s="1156"/>
      <c r="AI450" s="1156"/>
      <c r="AJ450" s="1156"/>
      <c r="AK450" s="1156"/>
      <c r="AL450" s="1156"/>
      <c r="AM450" s="1156"/>
      <c r="AN450" s="1156"/>
      <c r="AO450" s="1156"/>
      <c r="AP450" s="1156"/>
      <c r="AQ450" s="1156"/>
      <c r="AS450" s="1155" t="s">
        <v>242</v>
      </c>
      <c r="AT450" s="1155"/>
      <c r="AU450" s="1156"/>
      <c r="AV450" s="1156"/>
      <c r="AW450" s="1156"/>
      <c r="AX450" s="1156"/>
      <c r="AY450" s="1156"/>
      <c r="AZ450" s="1156"/>
      <c r="BA450" s="1156"/>
      <c r="BB450" s="1156"/>
      <c r="BC450" s="1156"/>
      <c r="BD450" s="1156"/>
      <c r="BE450" s="1156"/>
      <c r="BF450" s="15"/>
      <c r="BG450" s="15"/>
      <c r="BH450" s="15"/>
      <c r="BI450" s="15"/>
      <c r="BJ450" s="15"/>
      <c r="BK450" s="15"/>
      <c r="BL450" s="15"/>
      <c r="BS450" s="15"/>
      <c r="BT450" s="15"/>
      <c r="BU450" s="15"/>
      <c r="BV450" s="15"/>
    </row>
    <row r="451" spans="1:74" x14ac:dyDescent="0.2">
      <c r="B451" s="315" t="s">
        <v>642</v>
      </c>
      <c r="C451" s="16"/>
      <c r="D451" s="37">
        <f t="shared" ref="D451:AE451" si="986">D375+D297+D173+D172</f>
        <v>4105</v>
      </c>
      <c r="E451" s="37">
        <f t="shared" si="986"/>
        <v>4020</v>
      </c>
      <c r="F451" s="37">
        <f t="shared" si="986"/>
        <v>4177</v>
      </c>
      <c r="G451" s="37">
        <f t="shared" si="986"/>
        <v>4263</v>
      </c>
      <c r="H451" s="37">
        <f t="shared" si="986"/>
        <v>4190</v>
      </c>
      <c r="I451" s="37">
        <f t="shared" si="986"/>
        <v>4146</v>
      </c>
      <c r="J451" s="37">
        <f t="shared" si="986"/>
        <v>4287</v>
      </c>
      <c r="K451" s="37">
        <f t="shared" si="986"/>
        <v>4513</v>
      </c>
      <c r="L451" s="37">
        <f t="shared" si="986"/>
        <v>4368</v>
      </c>
      <c r="M451" s="37">
        <f t="shared" si="986"/>
        <v>4388</v>
      </c>
      <c r="N451" s="37">
        <f t="shared" si="986"/>
        <v>4533</v>
      </c>
      <c r="O451" s="37">
        <f t="shared" si="986"/>
        <v>4517</v>
      </c>
      <c r="P451" s="37">
        <f t="shared" si="986"/>
        <v>4290</v>
      </c>
      <c r="Q451" s="37">
        <f t="shared" si="986"/>
        <v>4236</v>
      </c>
      <c r="R451" s="37">
        <f t="shared" si="986"/>
        <v>4308</v>
      </c>
      <c r="S451" s="37">
        <f t="shared" si="986"/>
        <v>4323</v>
      </c>
      <c r="T451" s="37">
        <f t="shared" si="986"/>
        <v>4187</v>
      </c>
      <c r="U451" s="37">
        <f t="shared" si="986"/>
        <v>4154</v>
      </c>
      <c r="V451" s="37">
        <f t="shared" si="986"/>
        <v>4518</v>
      </c>
      <c r="W451" s="37">
        <f t="shared" si="986"/>
        <v>4527</v>
      </c>
      <c r="X451" s="37">
        <f t="shared" si="986"/>
        <v>4427</v>
      </c>
      <c r="Y451" s="37">
        <f t="shared" ref="Y451:Z451" si="987">Y375+Y297+Y173+Y172</f>
        <v>4475</v>
      </c>
      <c r="Z451" s="37">
        <f t="shared" si="987"/>
        <v>4688</v>
      </c>
      <c r="AA451" s="37">
        <f t="shared" ref="AA451:AB451" si="988">AA375+AA297+AA173+AA172</f>
        <v>4651</v>
      </c>
      <c r="AB451" s="37">
        <f t="shared" si="988"/>
        <v>4615</v>
      </c>
      <c r="AC451" s="37">
        <f t="shared" si="986"/>
        <v>4675.8113020547935</v>
      </c>
      <c r="AD451" s="37">
        <f t="shared" si="986"/>
        <v>4861.9317484794528</v>
      </c>
      <c r="AE451" s="37">
        <f t="shared" si="986"/>
        <v>4940.8461293679447</v>
      </c>
      <c r="AF451" s="37">
        <f t="shared" ref="AF451:AI451" si="989">AF375+AF297+AF173+AF172</f>
        <v>4804.1049736777804</v>
      </c>
      <c r="AG451" s="37">
        <f t="shared" si="989"/>
        <v>4907.0500139041105</v>
      </c>
      <c r="AH451" s="37">
        <f t="shared" si="989"/>
        <v>5081.7881878844664</v>
      </c>
      <c r="AI451" s="37">
        <f t="shared" si="989"/>
        <v>5195.0119497392488</v>
      </c>
      <c r="AJ451" s="37"/>
      <c r="AK451" s="37"/>
      <c r="AL451" s="37"/>
      <c r="AM451" s="37"/>
      <c r="AN451" s="37"/>
      <c r="AO451" s="37"/>
      <c r="AP451" s="37"/>
      <c r="AQ451" s="37"/>
      <c r="AS451" s="17" t="s">
        <v>209</v>
      </c>
      <c r="AT451" s="16"/>
      <c r="AU451" s="232">
        <f>SUM(D451:G451)</f>
        <v>16565</v>
      </c>
      <c r="AV451" s="232">
        <f>SUM(H451:K451)</f>
        <v>17136</v>
      </c>
      <c r="AW451" s="232">
        <f>SUM(L451:O451)</f>
        <v>17806</v>
      </c>
      <c r="AX451" s="232">
        <f>SUM(P451:S451)</f>
        <v>17157</v>
      </c>
      <c r="AY451" s="232">
        <f>SUM(T451:W451)</f>
        <v>17386</v>
      </c>
      <c r="AZ451" s="232">
        <f>SUM(X451:AA451)</f>
        <v>18241</v>
      </c>
      <c r="BA451" s="232">
        <f>SUM(AB451:AE451)</f>
        <v>19093.589179902192</v>
      </c>
      <c r="BB451" s="232">
        <f>SUM(AF451:AI451)</f>
        <v>19987.955125205604</v>
      </c>
      <c r="BC451" s="37">
        <f>BC375+BC297+BC173+BC172</f>
        <v>20985.107498310583</v>
      </c>
      <c r="BD451" s="37">
        <f>BD375+BD297+BD173+BD172</f>
        <v>21926.889301506111</v>
      </c>
      <c r="BE451" s="37">
        <f>BE375+BE297+BE173+BE172</f>
        <v>22703.281406908631</v>
      </c>
    </row>
    <row r="452" spans="1:74" x14ac:dyDescent="0.2">
      <c r="B452" s="375" t="s">
        <v>206</v>
      </c>
      <c r="C452" s="44"/>
      <c r="D452" s="42">
        <f t="shared" ref="D452:AE452" si="990">D380+D302+D179+D180</f>
        <v>646</v>
      </c>
      <c r="E452" s="42">
        <f t="shared" si="990"/>
        <v>646</v>
      </c>
      <c r="F452" s="42">
        <f t="shared" si="990"/>
        <v>689</v>
      </c>
      <c r="G452" s="42">
        <f t="shared" si="990"/>
        <v>703</v>
      </c>
      <c r="H452" s="42">
        <f t="shared" si="990"/>
        <v>624</v>
      </c>
      <c r="I452" s="42">
        <f t="shared" si="990"/>
        <v>633</v>
      </c>
      <c r="J452" s="42">
        <f t="shared" si="990"/>
        <v>625</v>
      </c>
      <c r="K452" s="42">
        <f t="shared" si="990"/>
        <v>618</v>
      </c>
      <c r="L452" s="42">
        <f t="shared" si="990"/>
        <v>532</v>
      </c>
      <c r="M452" s="42">
        <f t="shared" si="990"/>
        <v>546</v>
      </c>
      <c r="N452" s="42">
        <f t="shared" si="990"/>
        <v>583</v>
      </c>
      <c r="O452" s="42">
        <f t="shared" si="990"/>
        <v>489</v>
      </c>
      <c r="P452" s="42">
        <f t="shared" si="990"/>
        <v>465</v>
      </c>
      <c r="Q452" s="42">
        <f t="shared" si="990"/>
        <v>409</v>
      </c>
      <c r="R452" s="42">
        <f t="shared" si="990"/>
        <v>302</v>
      </c>
      <c r="S452" s="42">
        <f t="shared" si="990"/>
        <v>264</v>
      </c>
      <c r="T452" s="42">
        <f t="shared" si="990"/>
        <v>340</v>
      </c>
      <c r="U452" s="42">
        <f t="shared" si="990"/>
        <v>278</v>
      </c>
      <c r="V452" s="42">
        <f t="shared" si="990"/>
        <v>316</v>
      </c>
      <c r="W452" s="42">
        <f t="shared" si="990"/>
        <v>283</v>
      </c>
      <c r="X452" s="42">
        <f t="shared" si="990"/>
        <v>244</v>
      </c>
      <c r="Y452" s="42">
        <f t="shared" ref="Y452:Z452" si="991">Y380+Y302+Y179+Y180</f>
        <v>270</v>
      </c>
      <c r="Z452" s="42">
        <f t="shared" si="991"/>
        <v>261</v>
      </c>
      <c r="AA452" s="42">
        <f t="shared" ref="AA452:AB452" si="992">AA380+AA302+AA179+AA180</f>
        <v>340</v>
      </c>
      <c r="AB452" s="42">
        <f t="shared" si="992"/>
        <v>347</v>
      </c>
      <c r="AC452" s="42">
        <f t="shared" si="990"/>
        <v>149.61500000000012</v>
      </c>
      <c r="AD452" s="42">
        <f t="shared" si="990"/>
        <v>175.31540000000007</v>
      </c>
      <c r="AE452" s="42">
        <f t="shared" si="990"/>
        <v>146.70139999999998</v>
      </c>
      <c r="AF452" s="42">
        <f t="shared" ref="AF452:AI452" si="993">AF380+AF302+AF179+AF180</f>
        <v>255.53960000000006</v>
      </c>
      <c r="AG452" s="42">
        <f t="shared" si="993"/>
        <v>216.00721000000016</v>
      </c>
      <c r="AH452" s="42">
        <f t="shared" si="993"/>
        <v>215.03290200000004</v>
      </c>
      <c r="AI452" s="42">
        <f t="shared" si="993"/>
        <v>159.67581400000006</v>
      </c>
      <c r="AJ452" s="207"/>
      <c r="AK452" s="207"/>
      <c r="AL452" s="207"/>
      <c r="AM452" s="207"/>
      <c r="AN452" s="207"/>
      <c r="AO452" s="207"/>
      <c r="AP452" s="207"/>
      <c r="AQ452" s="207"/>
      <c r="AS452" s="43" t="s">
        <v>206</v>
      </c>
      <c r="AT452" s="44"/>
      <c r="AU452" s="41">
        <f>SUM(D452:G452)</f>
        <v>2684</v>
      </c>
      <c r="AV452" s="41">
        <f>SUM(H452:K452)</f>
        <v>2500</v>
      </c>
      <c r="AW452" s="41">
        <f>SUM(L452:O452)</f>
        <v>2150</v>
      </c>
      <c r="AX452" s="41">
        <f>SUM(P452:S452)</f>
        <v>1440</v>
      </c>
      <c r="AY452" s="41">
        <f>SUM(T452:W452)</f>
        <v>1217</v>
      </c>
      <c r="AZ452" s="41">
        <f>SUM(X452:AA452)</f>
        <v>1115</v>
      </c>
      <c r="BA452" s="41">
        <f>SUM(AB452:AE452)</f>
        <v>818.63180000000011</v>
      </c>
      <c r="BB452" s="41">
        <f>SUM(AF452:AI452)</f>
        <v>846.25552600000026</v>
      </c>
      <c r="BC452" s="42">
        <f>BC380+BC302+BC179+BC180</f>
        <v>879.55787492000081</v>
      </c>
      <c r="BD452" s="42">
        <f>BD380+BD302+BD179+BD180</f>
        <v>974.25605244400026</v>
      </c>
      <c r="BE452" s="42">
        <f>BE380+BE302+BE179+BE180</f>
        <v>1076.4009560933284</v>
      </c>
    </row>
    <row r="453" spans="1:74" x14ac:dyDescent="0.2">
      <c r="B453" s="316" t="s">
        <v>643</v>
      </c>
      <c r="C453" s="16"/>
      <c r="D453" s="34">
        <f t="shared" ref="D453:AE453" si="994">SUM(D451:D452)</f>
        <v>4751</v>
      </c>
      <c r="E453" s="34">
        <f t="shared" si="994"/>
        <v>4666</v>
      </c>
      <c r="F453" s="34">
        <f t="shared" si="994"/>
        <v>4866</v>
      </c>
      <c r="G453" s="34">
        <f t="shared" si="994"/>
        <v>4966</v>
      </c>
      <c r="H453" s="34">
        <f t="shared" si="994"/>
        <v>4814</v>
      </c>
      <c r="I453" s="34">
        <f t="shared" si="994"/>
        <v>4779</v>
      </c>
      <c r="J453" s="34">
        <f t="shared" si="994"/>
        <v>4912</v>
      </c>
      <c r="K453" s="34">
        <f t="shared" si="994"/>
        <v>5131</v>
      </c>
      <c r="L453" s="34">
        <f t="shared" si="994"/>
        <v>4900</v>
      </c>
      <c r="M453" s="34">
        <f t="shared" si="994"/>
        <v>4934</v>
      </c>
      <c r="N453" s="34">
        <f t="shared" si="994"/>
        <v>5116</v>
      </c>
      <c r="O453" s="34">
        <f t="shared" si="994"/>
        <v>5006</v>
      </c>
      <c r="P453" s="34">
        <f t="shared" si="994"/>
        <v>4755</v>
      </c>
      <c r="Q453" s="34">
        <f t="shared" si="994"/>
        <v>4645</v>
      </c>
      <c r="R453" s="34">
        <f t="shared" si="994"/>
        <v>4610</v>
      </c>
      <c r="S453" s="34">
        <f t="shared" si="994"/>
        <v>4587</v>
      </c>
      <c r="T453" s="34">
        <f t="shared" si="994"/>
        <v>4527</v>
      </c>
      <c r="U453" s="34">
        <f t="shared" si="994"/>
        <v>4432</v>
      </c>
      <c r="V453" s="34">
        <f t="shared" si="994"/>
        <v>4834</v>
      </c>
      <c r="W453" s="34">
        <f t="shared" si="994"/>
        <v>4810</v>
      </c>
      <c r="X453" s="34">
        <f t="shared" si="994"/>
        <v>4671</v>
      </c>
      <c r="Y453" s="34">
        <f t="shared" ref="Y453:Z453" si="995">SUM(Y451:Y452)</f>
        <v>4745</v>
      </c>
      <c r="Z453" s="34">
        <f t="shared" si="995"/>
        <v>4949</v>
      </c>
      <c r="AA453" s="34">
        <f t="shared" ref="AA453:AB453" si="996">SUM(AA451:AA452)</f>
        <v>4991</v>
      </c>
      <c r="AB453" s="34">
        <f t="shared" si="996"/>
        <v>4962</v>
      </c>
      <c r="AC453" s="34">
        <f t="shared" si="994"/>
        <v>4825.4263020547933</v>
      </c>
      <c r="AD453" s="34">
        <f t="shared" si="994"/>
        <v>5037.2471484794532</v>
      </c>
      <c r="AE453" s="34">
        <f t="shared" si="994"/>
        <v>5087.5475293679447</v>
      </c>
      <c r="AF453" s="34">
        <f t="shared" ref="AF453:AI453" si="997">SUM(AF451:AF452)</f>
        <v>5059.6445736777805</v>
      </c>
      <c r="AG453" s="34">
        <f t="shared" si="997"/>
        <v>5123.0572239041103</v>
      </c>
      <c r="AH453" s="34">
        <f t="shared" si="997"/>
        <v>5296.8210898844663</v>
      </c>
      <c r="AI453" s="34">
        <f t="shared" si="997"/>
        <v>5354.687763739249</v>
      </c>
      <c r="AJ453" s="34"/>
      <c r="AK453" s="34"/>
      <c r="AL453" s="34"/>
      <c r="AM453" s="34"/>
      <c r="AN453" s="34"/>
      <c r="AO453" s="34"/>
      <c r="AP453" s="34"/>
      <c r="AQ453" s="34"/>
      <c r="AS453" s="35" t="s">
        <v>189</v>
      </c>
      <c r="AT453" s="16"/>
      <c r="AU453" s="155">
        <f t="shared" ref="AU453:BD453" si="998">SUM(AU451:AU452)</f>
        <v>19249</v>
      </c>
      <c r="AV453" s="155">
        <f t="shared" si="998"/>
        <v>19636</v>
      </c>
      <c r="AW453" s="155">
        <f t="shared" si="998"/>
        <v>19956</v>
      </c>
      <c r="AX453" s="155">
        <f t="shared" si="998"/>
        <v>18597</v>
      </c>
      <c r="AY453" s="155">
        <f t="shared" si="998"/>
        <v>18603</v>
      </c>
      <c r="AZ453" s="155">
        <f t="shared" si="998"/>
        <v>19356</v>
      </c>
      <c r="BA453" s="155">
        <f t="shared" si="998"/>
        <v>19912.220979902191</v>
      </c>
      <c r="BB453" s="155">
        <f t="shared" ref="BB453" si="999">SUM(BB451:BB452)</f>
        <v>20834.210651205605</v>
      </c>
      <c r="BC453" s="34">
        <f t="shared" si="998"/>
        <v>21864.665373230582</v>
      </c>
      <c r="BD453" s="34">
        <f t="shared" si="998"/>
        <v>22901.145353950113</v>
      </c>
      <c r="BE453" s="34">
        <f t="shared" ref="BE453" si="1000">SUM(BE451:BE452)</f>
        <v>23779.682363001961</v>
      </c>
    </row>
    <row r="454" spans="1:74" x14ac:dyDescent="0.2">
      <c r="B454" s="35"/>
      <c r="C454" s="16"/>
      <c r="D454" s="15"/>
      <c r="E454" s="15"/>
      <c r="F454" s="15"/>
      <c r="G454" s="15"/>
      <c r="H454" s="15"/>
      <c r="I454" s="15"/>
      <c r="J454" s="15"/>
      <c r="K454" s="15"/>
      <c r="L454" s="15"/>
      <c r="M454" s="15"/>
      <c r="N454" s="15"/>
      <c r="O454" s="15"/>
      <c r="P454" s="15"/>
      <c r="Q454" s="15"/>
      <c r="R454" s="15"/>
      <c r="S454" s="15"/>
      <c r="T454" s="15"/>
      <c r="U454" s="15"/>
      <c r="V454" s="15"/>
      <c r="W454" s="15"/>
      <c r="X454" s="15"/>
      <c r="Y454" s="15"/>
      <c r="Z454" s="15"/>
      <c r="AA454" s="15"/>
      <c r="AB454" s="15"/>
      <c r="AC454" s="34"/>
      <c r="AD454" s="34"/>
      <c r="AE454" s="34"/>
      <c r="AF454" s="34"/>
      <c r="AG454" s="34"/>
      <c r="AH454" s="34"/>
      <c r="AI454" s="34"/>
      <c r="AJ454" s="34"/>
      <c r="AK454" s="34"/>
      <c r="AL454" s="34"/>
      <c r="AM454" s="34"/>
      <c r="AN454" s="34"/>
      <c r="AO454" s="34"/>
      <c r="AP454" s="34"/>
      <c r="AQ454" s="34"/>
      <c r="AS454" s="35"/>
      <c r="AT454" s="16"/>
      <c r="AU454" s="155"/>
      <c r="AV454" s="155"/>
      <c r="AW454" s="155"/>
      <c r="AX454" s="155"/>
      <c r="AY454" s="155"/>
      <c r="AZ454" s="155"/>
      <c r="BA454" s="155"/>
      <c r="BB454" s="155"/>
      <c r="BC454" s="155"/>
      <c r="BD454" s="155"/>
      <c r="BE454" s="155"/>
    </row>
    <row r="455" spans="1:74" x14ac:dyDescent="0.2">
      <c r="B455" s="17" t="s">
        <v>50</v>
      </c>
      <c r="C455" s="17"/>
      <c r="D455" s="36">
        <f t="shared" ref="D455:X455" si="1001">D421+D343+D239+D238</f>
        <v>128.1</v>
      </c>
      <c r="E455" s="36">
        <f t="shared" si="1001"/>
        <v>127.29999999999998</v>
      </c>
      <c r="F455" s="36">
        <f t="shared" si="1001"/>
        <v>127.1</v>
      </c>
      <c r="G455" s="36">
        <f t="shared" si="1001"/>
        <v>127.5</v>
      </c>
      <c r="H455" s="36">
        <f t="shared" si="1001"/>
        <v>126.70000000000002</v>
      </c>
      <c r="I455" s="36">
        <f t="shared" si="1001"/>
        <v>125.6</v>
      </c>
      <c r="J455" s="36">
        <f t="shared" si="1001"/>
        <v>138.70000000000002</v>
      </c>
      <c r="K455" s="36">
        <f t="shared" si="1001"/>
        <v>139.1</v>
      </c>
      <c r="L455" s="36">
        <f t="shared" si="1001"/>
        <v>137.1</v>
      </c>
      <c r="M455" s="36">
        <f t="shared" si="1001"/>
        <v>137.6</v>
      </c>
      <c r="N455" s="36">
        <f t="shared" si="1001"/>
        <v>135.39999999999998</v>
      </c>
      <c r="O455" s="36">
        <f t="shared" si="1001"/>
        <v>136.30000000000001</v>
      </c>
      <c r="P455" s="36">
        <f t="shared" si="1001"/>
        <v>135.6</v>
      </c>
      <c r="Q455" s="36">
        <f t="shared" si="1001"/>
        <v>135.9</v>
      </c>
      <c r="R455" s="36">
        <f t="shared" si="1001"/>
        <v>135.6</v>
      </c>
      <c r="S455" s="36">
        <f t="shared" si="1001"/>
        <v>135.9</v>
      </c>
      <c r="T455" s="36">
        <f t="shared" si="1001"/>
        <v>134.1</v>
      </c>
      <c r="U455" s="36">
        <f t="shared" si="1001"/>
        <v>143</v>
      </c>
      <c r="V455" s="36">
        <f t="shared" si="1001"/>
        <v>143</v>
      </c>
      <c r="W455" s="36">
        <f t="shared" si="1001"/>
        <v>142.70000000000002</v>
      </c>
      <c r="X455" s="36">
        <f t="shared" si="1001"/>
        <v>142.39999999999998</v>
      </c>
      <c r="Y455" s="36">
        <f t="shared" ref="Y455:Z455" si="1002">Y421+Y343+Y239+Y238</f>
        <v>142.5</v>
      </c>
      <c r="Z455" s="36">
        <f t="shared" si="1002"/>
        <v>142.19999999999999</v>
      </c>
      <c r="AA455" s="36">
        <f t="shared" ref="AA455:AB455" si="1003">AA421+AA343+AA239+AA238</f>
        <v>142.60000000000002</v>
      </c>
      <c r="AB455" s="36">
        <f t="shared" si="1003"/>
        <v>141.20000000000002</v>
      </c>
      <c r="AC455" s="298" t="s">
        <v>226</v>
      </c>
      <c r="AD455" s="298" t="s">
        <v>226</v>
      </c>
      <c r="AE455" s="298" t="s">
        <v>226</v>
      </c>
      <c r="AF455" s="298" t="s">
        <v>226</v>
      </c>
      <c r="AG455" s="298" t="s">
        <v>226</v>
      </c>
      <c r="AH455" s="298" t="s">
        <v>226</v>
      </c>
      <c r="AI455" s="298" t="s">
        <v>226</v>
      </c>
      <c r="AJ455" s="298"/>
      <c r="AK455" s="298"/>
      <c r="AL455" s="298"/>
      <c r="AM455" s="298"/>
      <c r="AN455" s="298"/>
      <c r="AO455" s="298"/>
      <c r="AP455" s="298"/>
      <c r="AQ455" s="298"/>
      <c r="AS455" s="17" t="s">
        <v>50</v>
      </c>
      <c r="AT455" s="17"/>
      <c r="AU455" s="235">
        <f>G455</f>
        <v>127.5</v>
      </c>
      <c r="AV455" s="235">
        <f>K455</f>
        <v>139.1</v>
      </c>
      <c r="AW455" s="235">
        <f>O455</f>
        <v>136.30000000000001</v>
      </c>
      <c r="AX455" s="235">
        <f>S455</f>
        <v>135.9</v>
      </c>
      <c r="AY455" s="235">
        <f>W455</f>
        <v>142.70000000000002</v>
      </c>
      <c r="AZ455" s="235">
        <f>AA455</f>
        <v>142.60000000000002</v>
      </c>
      <c r="BA455" s="298" t="s">
        <v>226</v>
      </c>
      <c r="BB455" s="298" t="s">
        <v>226</v>
      </c>
      <c r="BC455" s="298" t="s">
        <v>226</v>
      </c>
      <c r="BD455" s="298" t="s">
        <v>226</v>
      </c>
      <c r="BE455" s="298" t="s">
        <v>226</v>
      </c>
    </row>
    <row r="456" spans="1:74" x14ac:dyDescent="0.2">
      <c r="B456" s="17" t="s">
        <v>217</v>
      </c>
      <c r="C456" s="17"/>
      <c r="D456" s="36">
        <f t="shared" ref="D456:X456" si="1004">D422+D344+D244+D243</f>
        <v>76.2</v>
      </c>
      <c r="E456" s="36">
        <f t="shared" si="1004"/>
        <v>81.3</v>
      </c>
      <c r="F456" s="36">
        <f t="shared" si="1004"/>
        <v>80.900000000000006</v>
      </c>
      <c r="G456" s="36">
        <f t="shared" si="1004"/>
        <v>87.6</v>
      </c>
      <c r="H456" s="36">
        <f t="shared" si="1004"/>
        <v>77.5</v>
      </c>
      <c r="I456" s="36">
        <f t="shared" si="1004"/>
        <v>85</v>
      </c>
      <c r="J456" s="36">
        <f t="shared" si="1004"/>
        <v>83.800000000000011</v>
      </c>
      <c r="K456" s="36">
        <f t="shared" si="1004"/>
        <v>92.6</v>
      </c>
      <c r="L456" s="36">
        <f t="shared" si="1004"/>
        <v>79.599999999999994</v>
      </c>
      <c r="M456" s="36">
        <f t="shared" si="1004"/>
        <v>89.199999999999989</v>
      </c>
      <c r="N456" s="36">
        <f t="shared" si="1004"/>
        <v>88.1</v>
      </c>
      <c r="O456" s="36">
        <f t="shared" si="1004"/>
        <v>94</v>
      </c>
      <c r="P456" s="36">
        <f t="shared" si="1004"/>
        <v>80.099999999999994</v>
      </c>
      <c r="Q456" s="36">
        <f t="shared" si="1004"/>
        <v>89.699999999999989</v>
      </c>
      <c r="R456" s="36">
        <f t="shared" si="1004"/>
        <v>88.6</v>
      </c>
      <c r="S456" s="36">
        <f t="shared" si="1004"/>
        <v>96.2</v>
      </c>
      <c r="T456" s="36">
        <f t="shared" si="1004"/>
        <v>84.6</v>
      </c>
      <c r="U456" s="36">
        <f t="shared" si="1004"/>
        <v>95.7</v>
      </c>
      <c r="V456" s="36">
        <f t="shared" si="1004"/>
        <v>115.3</v>
      </c>
      <c r="W456" s="36">
        <f t="shared" si="1004"/>
        <v>125.1</v>
      </c>
      <c r="X456" s="36">
        <f t="shared" si="1004"/>
        <v>112.2</v>
      </c>
      <c r="Y456" s="36">
        <f t="shared" ref="Y456:Z456" si="1005">Y422+Y344+Y244+Y243</f>
        <v>125.30000000000001</v>
      </c>
      <c r="Z456" s="36">
        <f t="shared" si="1005"/>
        <v>124.9</v>
      </c>
      <c r="AA456" s="36">
        <f t="shared" ref="AA456:AI456" si="1006">AA422+AA344+AA244+AA243</f>
        <v>136.30000000000001</v>
      </c>
      <c r="AB456" s="36">
        <f t="shared" ref="AB456" si="1007">AB422+AB344+AB244+AB243</f>
        <v>121.69999999999999</v>
      </c>
      <c r="AC456" s="36">
        <f t="shared" si="1006"/>
        <v>134.75700000000001</v>
      </c>
      <c r="AD456" s="36">
        <f t="shared" si="1006"/>
        <v>134.17900000000003</v>
      </c>
      <c r="AE456" s="36">
        <f t="shared" si="1006"/>
        <v>146.06900000000002</v>
      </c>
      <c r="AF456" s="36">
        <f t="shared" si="1006"/>
        <v>129.565</v>
      </c>
      <c r="AG456" s="36">
        <f t="shared" si="1006"/>
        <v>143.12429000000003</v>
      </c>
      <c r="AH456" s="36">
        <f t="shared" si="1006"/>
        <v>142.48006000000004</v>
      </c>
      <c r="AI456" s="36">
        <f t="shared" si="1006"/>
        <v>155.03594000000004</v>
      </c>
      <c r="AJ456" s="298"/>
      <c r="AK456" s="298"/>
      <c r="AL456" s="298"/>
      <c r="AM456" s="298"/>
      <c r="AN456" s="298"/>
      <c r="AO456" s="298"/>
      <c r="AP456" s="298"/>
      <c r="AQ456" s="298"/>
      <c r="AS456" s="17" t="s">
        <v>217</v>
      </c>
      <c r="AT456" s="17"/>
      <c r="AU456" s="36">
        <f t="shared" ref="AU456:BE456" si="1008">AU422+AU344+AU244+AU243</f>
        <v>326</v>
      </c>
      <c r="AV456" s="36">
        <f t="shared" si="1008"/>
        <v>338.9</v>
      </c>
      <c r="AW456" s="36">
        <f t="shared" si="1008"/>
        <v>350.9</v>
      </c>
      <c r="AX456" s="36">
        <f t="shared" si="1008"/>
        <v>354.6</v>
      </c>
      <c r="AY456" s="36">
        <f t="shared" si="1008"/>
        <v>420.70000000000005</v>
      </c>
      <c r="AZ456" s="36">
        <f t="shared" si="1008"/>
        <v>498.7</v>
      </c>
      <c r="BA456" s="36">
        <f t="shared" si="1008"/>
        <v>536.70500000000004</v>
      </c>
      <c r="BB456" s="36">
        <f t="shared" si="1008"/>
        <v>570.2052900000001</v>
      </c>
      <c r="BC456" s="36">
        <f t="shared" si="1008"/>
        <v>602.6990936000002</v>
      </c>
      <c r="BD456" s="36">
        <f t="shared" si="1008"/>
        <v>637.07378486400012</v>
      </c>
      <c r="BE456" s="36">
        <f t="shared" si="1008"/>
        <v>673.43946742976027</v>
      </c>
    </row>
    <row r="457" spans="1:74" x14ac:dyDescent="0.2">
      <c r="B457" s="17" t="s">
        <v>121</v>
      </c>
      <c r="C457" s="17"/>
      <c r="D457" s="101">
        <v>137.19999999999999</v>
      </c>
      <c r="E457" s="101">
        <v>133.5</v>
      </c>
      <c r="F457" s="101">
        <v>134</v>
      </c>
      <c r="G457" s="101">
        <v>134.80000000000001</v>
      </c>
      <c r="H457" s="101">
        <v>133.6</v>
      </c>
      <c r="I457" s="101">
        <v>130.9</v>
      </c>
      <c r="J457" s="101">
        <v>131.69999999999999</v>
      </c>
      <c r="K457" s="101">
        <v>138.19999999999999</v>
      </c>
      <c r="L457" s="101">
        <v>137.19999999999999</v>
      </c>
      <c r="M457" s="101">
        <v>135.4</v>
      </c>
      <c r="N457" s="101">
        <v>135.5</v>
      </c>
      <c r="O457" s="101">
        <v>135.30000000000001</v>
      </c>
      <c r="P457" s="101">
        <v>132.4</v>
      </c>
      <c r="Q457" s="101">
        <v>129.9</v>
      </c>
      <c r="R457" s="101">
        <v>129.69999999999999</v>
      </c>
      <c r="S457" s="101">
        <v>131.5</v>
      </c>
      <c r="T457" s="101">
        <v>131.30000000000001</v>
      </c>
      <c r="U457" s="101">
        <v>131.9</v>
      </c>
      <c r="V457" s="101">
        <v>145.5</v>
      </c>
      <c r="W457" s="101">
        <v>149.30000000000001</v>
      </c>
      <c r="X457" s="101">
        <v>150.80000000000001</v>
      </c>
      <c r="Y457" s="101">
        <v>151.5</v>
      </c>
      <c r="Z457" s="101">
        <v>155.4</v>
      </c>
      <c r="AA457" s="101">
        <v>158.19999999999999</v>
      </c>
      <c r="AB457" s="101">
        <v>159.19999999999999</v>
      </c>
      <c r="AC457" s="297">
        <f t="shared" ref="AC457:AE457" si="1009">AC217+AC218+AC327+AC405</f>
        <v>159.51949999999999</v>
      </c>
      <c r="AD457" s="297">
        <f t="shared" si="1009"/>
        <v>161.43369250000001</v>
      </c>
      <c r="AE457" s="297">
        <f t="shared" si="1009"/>
        <v>164.74674435</v>
      </c>
      <c r="AF457" s="297">
        <f t="shared" ref="AF457:AI457" si="1010">AF217+AF218+AF327+AF405</f>
        <v>163.69396508624999</v>
      </c>
      <c r="AG457" s="297">
        <f t="shared" si="1010"/>
        <v>164.1006463590555</v>
      </c>
      <c r="AH457" s="297">
        <f t="shared" si="1010"/>
        <v>167.10829062340133</v>
      </c>
      <c r="AI457" s="297">
        <f t="shared" si="1010"/>
        <v>171.90212564397265</v>
      </c>
      <c r="AJ457" s="297"/>
      <c r="AK457" s="297"/>
      <c r="AL457" s="297"/>
      <c r="AM457" s="297"/>
      <c r="AN457" s="297"/>
      <c r="AO457" s="297"/>
      <c r="AP457" s="297"/>
      <c r="AQ457" s="297"/>
      <c r="AS457" s="17" t="s">
        <v>121</v>
      </c>
      <c r="AT457" s="17"/>
      <c r="AU457" s="235">
        <f>AVERAGE(D457:G457)</f>
        <v>134.875</v>
      </c>
      <c r="AV457" s="235">
        <f>AVERAGE(H457:K457)</f>
        <v>133.6</v>
      </c>
      <c r="AW457" s="235">
        <f>AVERAGE(L457:O457)</f>
        <v>135.85000000000002</v>
      </c>
      <c r="AX457" s="235">
        <f>AVERAGE(P457:S457)</f>
        <v>130.875</v>
      </c>
      <c r="AY457" s="235">
        <f>AVERAGE(T457:W457)</f>
        <v>139.5</v>
      </c>
      <c r="AZ457" s="235">
        <f>AVERAGE(X457:AA457)</f>
        <v>153.97500000000002</v>
      </c>
      <c r="BA457" s="235">
        <f>AVERAGE(AB457:AE457)</f>
        <v>161.2249842125</v>
      </c>
      <c r="BB457" s="235">
        <f>AVERAGE(AF457:AI457)</f>
        <v>166.70125692816987</v>
      </c>
      <c r="BC457" s="297">
        <f>BC217+BC218+BC327+BC405</f>
        <v>173.63778608693138</v>
      </c>
      <c r="BD457" s="297">
        <f>BD217+BD218+BD327+BD405</f>
        <v>180.86520035612506</v>
      </c>
      <c r="BE457" s="297">
        <f>BE217+BE218+BE327+BE405</f>
        <v>188.39580633737231</v>
      </c>
    </row>
    <row r="458" spans="1:74" x14ac:dyDescent="0.2">
      <c r="B458" s="17" t="s">
        <v>131</v>
      </c>
      <c r="C458" s="17"/>
      <c r="D458" s="36">
        <f t="shared" ref="D458:X458" si="1011">D416+D338+D231+D230</f>
        <v>135.30000000000001</v>
      </c>
      <c r="E458" s="36">
        <f t="shared" si="1011"/>
        <v>134.9</v>
      </c>
      <c r="F458" s="36">
        <f t="shared" si="1011"/>
        <v>135.19999999999999</v>
      </c>
      <c r="G458" s="36">
        <f t="shared" si="1011"/>
        <v>138.9</v>
      </c>
      <c r="H458" s="36">
        <f t="shared" si="1011"/>
        <v>131.69999999999999</v>
      </c>
      <c r="I458" s="36">
        <f t="shared" si="1011"/>
        <v>131.80000000000001</v>
      </c>
      <c r="J458" s="36">
        <f t="shared" si="1011"/>
        <v>137.69999999999999</v>
      </c>
      <c r="K458" s="36">
        <f t="shared" si="1011"/>
        <v>143.5</v>
      </c>
      <c r="L458" s="36">
        <f t="shared" si="1011"/>
        <v>135.1</v>
      </c>
      <c r="M458" s="36">
        <f t="shared" si="1011"/>
        <v>137.39999999999998</v>
      </c>
      <c r="N458" s="36">
        <f t="shared" si="1011"/>
        <v>135.69999999999999</v>
      </c>
      <c r="O458" s="36">
        <f t="shared" si="1011"/>
        <v>139.30000000000001</v>
      </c>
      <c r="P458" s="36">
        <f t="shared" si="1011"/>
        <v>129.80000000000001</v>
      </c>
      <c r="Q458" s="36">
        <f t="shared" si="1011"/>
        <v>131.69999999999999</v>
      </c>
      <c r="R458" s="36">
        <f t="shared" si="1011"/>
        <v>130.30000000000001</v>
      </c>
      <c r="S458" s="36">
        <f t="shared" si="1011"/>
        <v>136.30000000000001</v>
      </c>
      <c r="T458" s="36">
        <f t="shared" si="1011"/>
        <v>130.30000000000001</v>
      </c>
      <c r="U458" s="36">
        <f t="shared" si="1011"/>
        <v>143.4</v>
      </c>
      <c r="V458" s="36">
        <f t="shared" si="1011"/>
        <v>147.80000000000001</v>
      </c>
      <c r="W458" s="36">
        <f t="shared" si="1011"/>
        <v>155.6</v>
      </c>
      <c r="X458" s="36">
        <f t="shared" si="1011"/>
        <v>149.9</v>
      </c>
      <c r="Y458" s="36">
        <f t="shared" ref="Y458:Z458" si="1012">Y416+Y338+Y231+Y230</f>
        <v>155.1</v>
      </c>
      <c r="Z458" s="36">
        <f t="shared" si="1012"/>
        <v>156.6</v>
      </c>
      <c r="AA458" s="36">
        <f t="shared" ref="AA458:AB458" si="1013">AA416+AA338+AA231+AA230</f>
        <v>164.9</v>
      </c>
      <c r="AB458" s="36">
        <f t="shared" si="1013"/>
        <v>156.60000000000002</v>
      </c>
      <c r="AC458" s="297">
        <f t="shared" ref="AC458:AE458" si="1014">AC416+AC338+AC230+AC231</f>
        <v>156.90799999999999</v>
      </c>
      <c r="AD458" s="297">
        <f t="shared" si="1014"/>
        <v>158.79202000000001</v>
      </c>
      <c r="AE458" s="297">
        <f t="shared" si="1014"/>
        <v>162.05374515</v>
      </c>
      <c r="AF458" s="297">
        <f t="shared" ref="AF458:AI458" si="1015">AF416+AF338+AF230+AF231</f>
        <v>161.012809584</v>
      </c>
      <c r="AG458" s="297">
        <f t="shared" si="1015"/>
        <v>161.41469577633001</v>
      </c>
      <c r="AH458" s="297">
        <f t="shared" si="1015"/>
        <v>164.37382957989493</v>
      </c>
      <c r="AI458" s="297">
        <f t="shared" si="1015"/>
        <v>169.09197227855935</v>
      </c>
      <c r="AJ458" s="297"/>
      <c r="AK458" s="297"/>
      <c r="AL458" s="297"/>
      <c r="AM458" s="297"/>
      <c r="AN458" s="297"/>
      <c r="AO458" s="297"/>
      <c r="AP458" s="297"/>
      <c r="AQ458" s="297"/>
      <c r="AS458" s="17" t="s">
        <v>131</v>
      </c>
      <c r="AT458" s="17"/>
      <c r="AU458" s="235">
        <f>G458</f>
        <v>138.9</v>
      </c>
      <c r="AV458" s="235">
        <f>K458</f>
        <v>143.5</v>
      </c>
      <c r="AW458" s="235">
        <f>O458</f>
        <v>139.30000000000001</v>
      </c>
      <c r="AX458" s="235">
        <f>S458</f>
        <v>136.30000000000001</v>
      </c>
      <c r="AY458" s="235">
        <f>W458</f>
        <v>155.6</v>
      </c>
      <c r="AZ458" s="235">
        <f>AA458</f>
        <v>164.9</v>
      </c>
      <c r="BA458" s="235">
        <f>AE458</f>
        <v>162.05374515</v>
      </c>
      <c r="BB458" s="235">
        <f>AI458</f>
        <v>169.09197227855935</v>
      </c>
      <c r="BC458" s="297">
        <f>BC416+BC338+BC230+BC231</f>
        <v>176.12986480070288</v>
      </c>
      <c r="BD458" s="297">
        <f>BD416+BD338+BD230+BD231</f>
        <v>183.46298370528223</v>
      </c>
      <c r="BE458" s="297">
        <f>BE416+BE338+BE230+BE231</f>
        <v>191.10382358167226</v>
      </c>
    </row>
    <row r="459" spans="1:74" x14ac:dyDescent="0.2">
      <c r="B459" s="17"/>
      <c r="C459" s="17"/>
      <c r="D459" s="15"/>
      <c r="E459" s="15"/>
      <c r="F459" s="15"/>
      <c r="G459" s="15"/>
      <c r="H459" s="15"/>
      <c r="I459" s="15"/>
      <c r="J459" s="15"/>
      <c r="K459" s="15"/>
      <c r="L459" s="15"/>
      <c r="M459" s="15"/>
      <c r="N459" s="15"/>
      <c r="O459" s="15"/>
      <c r="P459" s="15"/>
      <c r="Q459" s="15"/>
      <c r="R459" s="15"/>
      <c r="S459" s="15"/>
      <c r="T459" s="15"/>
      <c r="U459" s="15"/>
      <c r="V459" s="15"/>
      <c r="W459" s="15"/>
      <c r="X459" s="15"/>
      <c r="Y459" s="15"/>
      <c r="Z459" s="15"/>
      <c r="AA459" s="15"/>
      <c r="AB459" s="15"/>
      <c r="AC459" s="15"/>
      <c r="AD459" s="15"/>
      <c r="AE459" s="15"/>
      <c r="AF459" s="15"/>
      <c r="AG459" s="15"/>
      <c r="AH459" s="15"/>
      <c r="AI459" s="15"/>
      <c r="AJ459" s="15"/>
      <c r="AK459" s="15"/>
      <c r="AL459" s="15"/>
      <c r="AM459" s="15"/>
      <c r="AN459" s="15"/>
      <c r="AO459" s="15"/>
      <c r="AP459" s="15"/>
      <c r="AQ459" s="15"/>
      <c r="AS459" s="17"/>
      <c r="AT459" s="17"/>
      <c r="AU459" s="155"/>
      <c r="AV459" s="155"/>
      <c r="AW459" s="155"/>
      <c r="AX459" s="155"/>
      <c r="AY459" s="155"/>
      <c r="AZ459" s="155"/>
      <c r="BA459" s="155"/>
      <c r="BB459" s="155"/>
      <c r="BC459" s="15"/>
      <c r="BD459" s="15"/>
      <c r="BE459" s="15"/>
    </row>
    <row r="460" spans="1:74" x14ac:dyDescent="0.2">
      <c r="B460" s="17" t="s">
        <v>218</v>
      </c>
      <c r="C460" s="17"/>
      <c r="D460" s="534">
        <v>0.13600000000000001</v>
      </c>
      <c r="E460" s="534">
        <v>0.13400000000000001</v>
      </c>
      <c r="F460" s="534">
        <v>0.13400000000000001</v>
      </c>
      <c r="G460" s="534">
        <v>0.13400000000000001</v>
      </c>
      <c r="H460" s="534">
        <v>0.13500000000000001</v>
      </c>
      <c r="I460" s="534">
        <v>0.13300000000000001</v>
      </c>
      <c r="J460" s="534">
        <v>0.13300000000000001</v>
      </c>
      <c r="K460" s="534">
        <v>0.13200000000000001</v>
      </c>
      <c r="L460" s="534">
        <v>0.13300000000000001</v>
      </c>
      <c r="M460" s="534">
        <v>0.13400000000000001</v>
      </c>
      <c r="N460" s="534">
        <v>0.13400000000000001</v>
      </c>
      <c r="O460" s="534">
        <v>0.13400000000000001</v>
      </c>
      <c r="P460" s="534">
        <v>0.13400000000000001</v>
      </c>
      <c r="Q460" s="534">
        <v>0.13300000000000001</v>
      </c>
      <c r="R460" s="534">
        <v>0.13300000000000001</v>
      </c>
      <c r="S460" s="534">
        <v>0.13100000000000001</v>
      </c>
      <c r="T460" s="534">
        <v>0.13200000000000001</v>
      </c>
      <c r="U460" s="534">
        <v>0.13100000000000001</v>
      </c>
      <c r="V460" s="534">
        <v>0.128</v>
      </c>
      <c r="W460" s="534">
        <v>0.125</v>
      </c>
      <c r="X460" s="534">
        <v>0.12690000000000001</v>
      </c>
      <c r="Y460" s="534">
        <v>0.1278</v>
      </c>
      <c r="Z460" s="534">
        <v>0.12870000000000001</v>
      </c>
      <c r="AA460" s="534">
        <v>0.127</v>
      </c>
      <c r="AB460" s="534">
        <v>0.1298</v>
      </c>
      <c r="AC460" s="298" t="s">
        <v>226</v>
      </c>
      <c r="AD460" s="298" t="s">
        <v>226</v>
      </c>
      <c r="AE460" s="298" t="s">
        <v>226</v>
      </c>
      <c r="AF460" s="298" t="s">
        <v>226</v>
      </c>
      <c r="AG460" s="298" t="s">
        <v>226</v>
      </c>
      <c r="AH460" s="298" t="s">
        <v>226</v>
      </c>
      <c r="AI460" s="298" t="s">
        <v>226</v>
      </c>
      <c r="AJ460" s="298"/>
      <c r="AK460" s="298"/>
      <c r="AL460" s="298"/>
      <c r="AM460" s="298"/>
      <c r="AN460" s="298"/>
      <c r="AO460" s="298"/>
      <c r="AP460" s="298"/>
      <c r="AQ460" s="298"/>
      <c r="AS460" s="17" t="s">
        <v>218</v>
      </c>
      <c r="AT460" s="17"/>
      <c r="AU460" s="298" t="s">
        <v>229</v>
      </c>
      <c r="AV460" s="298" t="s">
        <v>229</v>
      </c>
      <c r="AW460" s="298" t="s">
        <v>229</v>
      </c>
      <c r="AX460" s="298" t="s">
        <v>229</v>
      </c>
      <c r="AY460" s="298" t="s">
        <v>229</v>
      </c>
      <c r="AZ460" s="298" t="s">
        <v>226</v>
      </c>
      <c r="BA460" s="298" t="s">
        <v>226</v>
      </c>
      <c r="BB460" s="298" t="s">
        <v>226</v>
      </c>
      <c r="BC460" s="298" t="s">
        <v>226</v>
      </c>
      <c r="BD460" s="298" t="s">
        <v>226</v>
      </c>
      <c r="BE460" s="298" t="s">
        <v>226</v>
      </c>
    </row>
    <row r="461" spans="1:74" x14ac:dyDescent="0.2">
      <c r="B461" s="29" t="s">
        <v>219</v>
      </c>
      <c r="C461" s="29"/>
      <c r="D461" s="535">
        <f t="shared" ref="D461:X461" si="1016">D460-D462</f>
        <v>1.5663121135424354E-2</v>
      </c>
      <c r="E461" s="535">
        <f t="shared" si="1016"/>
        <v>1.2888751697740466E-2</v>
      </c>
      <c r="F461" s="535">
        <f t="shared" si="1016"/>
        <v>9.9910772225827588E-3</v>
      </c>
      <c r="G461" s="535">
        <f t="shared" si="1016"/>
        <v>8.1889756160495319E-3</v>
      </c>
      <c r="H461" s="535">
        <f t="shared" si="1016"/>
        <v>7.808549567531603E-3</v>
      </c>
      <c r="I461" s="535">
        <f t="shared" si="1016"/>
        <v>5.9598132959477745E-3</v>
      </c>
      <c r="J461" s="535">
        <f t="shared" si="1016"/>
        <v>3.856442507675556E-3</v>
      </c>
      <c r="K461" s="535">
        <f t="shared" si="1016"/>
        <v>2.4425690555590629E-3</v>
      </c>
      <c r="L461" s="535">
        <f t="shared" si="1016"/>
        <v>3.8843537414966212E-3</v>
      </c>
      <c r="M461" s="535">
        <f t="shared" si="1016"/>
        <v>4.0131478565747503E-3</v>
      </c>
      <c r="N461" s="535">
        <f t="shared" si="1016"/>
        <v>1.2753890582384297E-3</v>
      </c>
      <c r="O461" s="535">
        <f t="shared" si="1016"/>
        <v>1.5483627365918129E-3</v>
      </c>
      <c r="P461" s="535">
        <f t="shared" si="1016"/>
        <v>2.5926485397784749E-3</v>
      </c>
      <c r="Q461" s="535">
        <f t="shared" si="1016"/>
        <v>2.2028525746770611E-3</v>
      </c>
      <c r="R461" s="535">
        <f t="shared" si="1016"/>
        <v>1.2226542858100597E-3</v>
      </c>
      <c r="S461" s="535">
        <f t="shared" si="1016"/>
        <v>5.7389651182013224E-4</v>
      </c>
      <c r="T461" s="535">
        <f t="shared" si="1016"/>
        <v>3.7439300988425239E-3</v>
      </c>
      <c r="U461" s="535">
        <f t="shared" si="1016"/>
        <v>4.3336110439977094E-3</v>
      </c>
      <c r="V461" s="535">
        <f t="shared" si="1016"/>
        <v>4.4688480502017014E-3</v>
      </c>
      <c r="W461" s="535">
        <f t="shared" si="1016"/>
        <v>4.3731617111738841E-3</v>
      </c>
      <c r="X461" s="535">
        <f t="shared" si="1016"/>
        <v>7.8420129678750533E-3</v>
      </c>
      <c r="Y461" s="535">
        <f t="shared" ref="Y461:Z461" si="1017">Y460-Y462</f>
        <v>9.3235919196315159E-3</v>
      </c>
      <c r="Z461" s="535">
        <f t="shared" si="1017"/>
        <v>9.014475966649893E-3</v>
      </c>
      <c r="AA461" s="535">
        <f t="shared" ref="AA461:AB461" si="1018">AA460-AA462</f>
        <v>1.0360701918320253E-2</v>
      </c>
      <c r="AB461" s="535">
        <f t="shared" si="1018"/>
        <v>1.2234743160245684E-2</v>
      </c>
      <c r="AC461" s="299" t="s">
        <v>226</v>
      </c>
      <c r="AD461" s="299" t="s">
        <v>226</v>
      </c>
      <c r="AE461" s="299" t="s">
        <v>226</v>
      </c>
      <c r="AF461" s="299" t="s">
        <v>226</v>
      </c>
      <c r="AG461" s="299" t="s">
        <v>226</v>
      </c>
      <c r="AH461" s="299" t="s">
        <v>226</v>
      </c>
      <c r="AI461" s="299" t="s">
        <v>226</v>
      </c>
      <c r="AJ461" s="1760"/>
      <c r="AK461" s="1760"/>
      <c r="AL461" s="1760"/>
      <c r="AM461" s="1760"/>
      <c r="AN461" s="1760"/>
      <c r="AO461" s="1760"/>
      <c r="AP461" s="1760"/>
      <c r="AQ461" s="1760"/>
      <c r="AS461" s="29" t="s">
        <v>219</v>
      </c>
      <c r="AT461" s="29"/>
      <c r="AU461" s="299" t="s">
        <v>229</v>
      </c>
      <c r="AV461" s="299" t="s">
        <v>229</v>
      </c>
      <c r="AW461" s="299" t="s">
        <v>229</v>
      </c>
      <c r="AX461" s="299" t="s">
        <v>229</v>
      </c>
      <c r="AY461" s="299" t="s">
        <v>229</v>
      </c>
      <c r="AZ461" s="299" t="s">
        <v>226</v>
      </c>
      <c r="BA461" s="299" t="s">
        <v>226</v>
      </c>
      <c r="BB461" s="299" t="s">
        <v>226</v>
      </c>
      <c r="BC461" s="299" t="s">
        <v>226</v>
      </c>
      <c r="BD461" s="299" t="s">
        <v>226</v>
      </c>
      <c r="BE461" s="299" t="s">
        <v>226</v>
      </c>
    </row>
    <row r="462" spans="1:74" x14ac:dyDescent="0.2">
      <c r="B462" s="16" t="s">
        <v>208</v>
      </c>
      <c r="C462" s="15"/>
      <c r="D462" s="23">
        <f t="shared" ref="D462:AE462" si="1019">D451/(D457*1000)*D1</f>
        <v>0.12033687886457566</v>
      </c>
      <c r="E462" s="23">
        <f t="shared" si="1019"/>
        <v>0.12111124830225954</v>
      </c>
      <c r="F462" s="23">
        <f t="shared" si="1019"/>
        <v>0.12400892277741725</v>
      </c>
      <c r="G462" s="23">
        <f t="shared" si="1019"/>
        <v>0.12581102438395048</v>
      </c>
      <c r="H462" s="23">
        <f t="shared" si="1019"/>
        <v>0.12719145043246841</v>
      </c>
      <c r="I462" s="23">
        <f t="shared" si="1019"/>
        <v>0.12704018670405223</v>
      </c>
      <c r="J462" s="23">
        <f t="shared" si="1019"/>
        <v>0.12914355749232445</v>
      </c>
      <c r="K462" s="23">
        <f t="shared" si="1019"/>
        <v>0.12955743094444094</v>
      </c>
      <c r="L462" s="23">
        <f t="shared" si="1019"/>
        <v>0.12911564625850339</v>
      </c>
      <c r="M462" s="23">
        <f t="shared" si="1019"/>
        <v>0.12998685214342526</v>
      </c>
      <c r="N462" s="23">
        <f t="shared" si="1019"/>
        <v>0.13272461094176158</v>
      </c>
      <c r="O462" s="23">
        <f t="shared" si="1019"/>
        <v>0.1324516372634082</v>
      </c>
      <c r="P462" s="23">
        <f t="shared" si="1019"/>
        <v>0.13140735146022153</v>
      </c>
      <c r="Q462" s="23">
        <f t="shared" si="1019"/>
        <v>0.13079714742532295</v>
      </c>
      <c r="R462" s="23">
        <f t="shared" si="1019"/>
        <v>0.13177734571418995</v>
      </c>
      <c r="S462" s="23">
        <f t="shared" si="1019"/>
        <v>0.13042610348817987</v>
      </c>
      <c r="T462" s="23">
        <f t="shared" si="1019"/>
        <v>0.12825606990115748</v>
      </c>
      <c r="U462" s="23">
        <f t="shared" si="1019"/>
        <v>0.1266663889560023</v>
      </c>
      <c r="V462" s="23">
        <f t="shared" si="1019"/>
        <v>0.1235311519497983</v>
      </c>
      <c r="W462" s="23">
        <f t="shared" si="1019"/>
        <v>0.12062683828882612</v>
      </c>
      <c r="X462" s="23">
        <f t="shared" si="1019"/>
        <v>0.11905798703212496</v>
      </c>
      <c r="Y462" s="23">
        <f t="shared" ref="Y462:Z462" si="1020">Y451/(Y457*1000)*Y1</f>
        <v>0.11847640808036848</v>
      </c>
      <c r="Z462" s="23">
        <f t="shared" si="1020"/>
        <v>0.11968552403335012</v>
      </c>
      <c r="AA462" s="23">
        <f t="shared" ref="AA462:AB462" si="1021">AA451/(AA457*1000)*AA1</f>
        <v>0.11663929808167975</v>
      </c>
      <c r="AB462" s="23">
        <f t="shared" si="1021"/>
        <v>0.11756525683975431</v>
      </c>
      <c r="AC462" s="23">
        <f t="shared" si="1019"/>
        <v>0.11756949934020604</v>
      </c>
      <c r="AD462" s="23">
        <f t="shared" si="1019"/>
        <v>0.11948674060868675</v>
      </c>
      <c r="AE462" s="23">
        <f t="shared" si="1019"/>
        <v>0.11898426307065896</v>
      </c>
      <c r="AF462" s="23">
        <f t="shared" ref="AF462:AI462" si="1022">AF451/(AF457*1000)*AF1</f>
        <v>0.11902280334650872</v>
      </c>
      <c r="AG462" s="23">
        <f t="shared" si="1022"/>
        <v>0.1199393428291439</v>
      </c>
      <c r="AH462" s="23">
        <f t="shared" si="1022"/>
        <v>0.12064896476373256</v>
      </c>
      <c r="AI462" s="23">
        <f t="shared" si="1022"/>
        <v>0.11989755890549807</v>
      </c>
      <c r="AJ462" s="23"/>
      <c r="AK462" s="23"/>
      <c r="AL462" s="23"/>
      <c r="AM462" s="23"/>
      <c r="AN462" s="23"/>
      <c r="AO462" s="23"/>
      <c r="AP462" s="23"/>
      <c r="AQ462" s="23"/>
      <c r="AS462" s="17" t="s">
        <v>208</v>
      </c>
      <c r="AT462" s="15"/>
      <c r="AU462" s="380">
        <f t="shared" ref="AU462:BD462" si="1023">AU451/(AU457*1000)*AU1</f>
        <v>0.12281742354031511</v>
      </c>
      <c r="AV462" s="380">
        <f t="shared" si="1023"/>
        <v>0.12826347305389221</v>
      </c>
      <c r="AW462" s="380">
        <f t="shared" si="1023"/>
        <v>0.13107103422892893</v>
      </c>
      <c r="AX462" s="380">
        <f t="shared" si="1023"/>
        <v>0.13109455587392549</v>
      </c>
      <c r="AY462" s="380">
        <f t="shared" si="1023"/>
        <v>0.12463082437275985</v>
      </c>
      <c r="AZ462" s="380">
        <f t="shared" si="1023"/>
        <v>0.11846728364994315</v>
      </c>
      <c r="BA462" s="380">
        <f t="shared" si="1023"/>
        <v>0.1184282279397602</v>
      </c>
      <c r="BB462" s="380">
        <f t="shared" ref="BB462" si="1024">BB451/(BB457*1000)*BB1</f>
        <v>0.11990284592646018</v>
      </c>
      <c r="BC462" s="23">
        <f t="shared" si="1023"/>
        <v>0.1208556499781933</v>
      </c>
      <c r="BD462" s="23">
        <f t="shared" si="1023"/>
        <v>0.12123332326136751</v>
      </c>
      <c r="BE462" s="23">
        <f t="shared" ref="BE462" si="1025">BE451/(BE457*1000)*BE1</f>
        <v>0.12050842239159201</v>
      </c>
    </row>
    <row r="463" spans="1:74" x14ac:dyDescent="0.2">
      <c r="B463" s="17"/>
      <c r="C463" s="15"/>
      <c r="D463" s="534"/>
      <c r="E463" s="534"/>
      <c r="F463" s="534"/>
      <c r="G463" s="534"/>
      <c r="H463" s="534"/>
      <c r="I463" s="534"/>
      <c r="J463" s="534"/>
      <c r="K463" s="534"/>
      <c r="L463" s="534"/>
      <c r="M463" s="534"/>
      <c r="N463" s="534"/>
      <c r="O463" s="534"/>
      <c r="P463" s="534"/>
      <c r="Q463" s="534"/>
      <c r="R463" s="534"/>
      <c r="S463" s="534"/>
      <c r="T463" s="534"/>
      <c r="U463" s="534"/>
      <c r="V463" s="534"/>
      <c r="W463" s="534"/>
      <c r="X463" s="15"/>
      <c r="Y463" s="15"/>
      <c r="Z463" s="15"/>
      <c r="AA463" s="15"/>
      <c r="AB463" s="15"/>
      <c r="AC463" s="15"/>
      <c r="AD463" s="15"/>
      <c r="AE463" s="15"/>
      <c r="AF463" s="15"/>
      <c r="AG463" s="15"/>
      <c r="AH463" s="15"/>
      <c r="AI463" s="15"/>
      <c r="AJ463" s="15"/>
      <c r="AK463" s="15"/>
      <c r="AL463" s="15"/>
      <c r="AM463" s="15"/>
      <c r="AN463" s="15"/>
      <c r="AO463" s="15"/>
      <c r="AP463" s="15"/>
      <c r="AQ463" s="15"/>
      <c r="AS463" s="17"/>
      <c r="AT463" s="15"/>
    </row>
    <row r="464" spans="1:74" x14ac:dyDescent="0.2">
      <c r="AB464" s="1785"/>
      <c r="AS464" s="10"/>
      <c r="AT464" s="9"/>
    </row>
    <row r="465" spans="1:70" x14ac:dyDescent="0.2">
      <c r="A465" s="411" t="s">
        <v>194</v>
      </c>
      <c r="B465" s="13" t="s">
        <v>181</v>
      </c>
      <c r="C465" s="13"/>
      <c r="D465" s="14"/>
      <c r="E465" s="14"/>
      <c r="F465" s="14"/>
      <c r="G465" s="14"/>
      <c r="H465" s="14"/>
      <c r="I465" s="14"/>
      <c r="J465" s="14"/>
      <c r="K465" s="14"/>
      <c r="L465" s="14"/>
      <c r="M465" s="14"/>
      <c r="N465" s="14"/>
      <c r="O465" s="14"/>
      <c r="P465" s="14"/>
      <c r="Q465" s="14"/>
      <c r="R465" s="14"/>
      <c r="S465" s="14"/>
      <c r="T465" s="14"/>
      <c r="U465" s="14"/>
      <c r="V465" s="14"/>
      <c r="W465" s="14"/>
      <c r="X465" s="14"/>
      <c r="Y465" s="14"/>
      <c r="Z465" s="14"/>
      <c r="AA465" s="14"/>
      <c r="AB465" s="14"/>
      <c r="AC465" s="14"/>
      <c r="AD465" s="14"/>
      <c r="AE465" s="14"/>
      <c r="AF465" s="14"/>
      <c r="AG465" s="14"/>
      <c r="AH465" s="14"/>
      <c r="AI465" s="14"/>
      <c r="AJ465" s="14"/>
      <c r="AK465" s="14"/>
      <c r="AL465" s="14"/>
      <c r="AM465" s="14"/>
      <c r="AN465" s="14"/>
      <c r="AO465" s="14"/>
      <c r="AP465" s="14"/>
      <c r="AQ465" s="14"/>
      <c r="AS465" s="13" t="s">
        <v>181</v>
      </c>
      <c r="AT465" s="13"/>
      <c r="AU465" s="14"/>
      <c r="AV465" s="14"/>
      <c r="AW465" s="14"/>
      <c r="AX465" s="14"/>
      <c r="AY465" s="14"/>
      <c r="AZ465" s="14"/>
      <c r="BA465" s="14"/>
      <c r="BB465" s="14"/>
      <c r="BC465" s="14"/>
      <c r="BD465" s="14"/>
      <c r="BE465" s="14"/>
      <c r="BF465" s="15"/>
      <c r="BG465" s="15"/>
      <c r="BH465" s="15"/>
      <c r="BI465" s="15"/>
      <c r="BJ465" s="15"/>
      <c r="BK465" s="15"/>
      <c r="BL465" s="15"/>
    </row>
    <row r="466" spans="1:70" x14ac:dyDescent="0.2">
      <c r="B466" s="16"/>
      <c r="C466" s="16"/>
      <c r="D466" s="20"/>
      <c r="E466" s="20"/>
      <c r="F466" s="20"/>
      <c r="G466" s="20"/>
      <c r="H466" s="20"/>
      <c r="I466" s="20"/>
      <c r="J466" s="20"/>
      <c r="K466" s="20"/>
      <c r="L466" s="20"/>
      <c r="M466" s="20"/>
      <c r="N466" s="20"/>
      <c r="O466" s="20"/>
      <c r="P466" s="20"/>
      <c r="Q466" s="20"/>
      <c r="R466" s="20"/>
      <c r="S466" s="20"/>
      <c r="T466" s="20"/>
      <c r="U466" s="20"/>
      <c r="V466" s="20"/>
      <c r="W466" s="20"/>
      <c r="X466" s="15"/>
      <c r="Y466" s="15"/>
      <c r="Z466" s="15"/>
      <c r="AA466" s="15"/>
      <c r="AB466" s="15"/>
      <c r="AC466" s="15"/>
      <c r="AD466" s="15"/>
      <c r="AE466" s="15"/>
      <c r="AF466" s="15"/>
      <c r="AG466" s="15"/>
      <c r="AH466" s="15"/>
      <c r="AI466" s="15"/>
      <c r="AJ466" s="15"/>
      <c r="AK466" s="15"/>
      <c r="AL466" s="15"/>
      <c r="AM466" s="15"/>
      <c r="AN466" s="15"/>
      <c r="AO466" s="15"/>
      <c r="AP466" s="15"/>
      <c r="AQ466" s="15"/>
      <c r="AS466" s="16"/>
      <c r="AT466" s="16"/>
    </row>
    <row r="467" spans="1:70" x14ac:dyDescent="0.2">
      <c r="B467" s="11" t="s">
        <v>247</v>
      </c>
      <c r="C467" s="11"/>
      <c r="D467" s="12"/>
      <c r="E467" s="12"/>
      <c r="F467" s="12"/>
      <c r="G467" s="12"/>
      <c r="H467" s="12"/>
      <c r="I467" s="12"/>
      <c r="J467" s="12"/>
      <c r="K467" s="12"/>
      <c r="L467" s="12"/>
      <c r="M467" s="12"/>
      <c r="N467" s="12"/>
      <c r="O467" s="12"/>
      <c r="P467" s="12"/>
      <c r="Q467" s="12"/>
      <c r="R467" s="12"/>
      <c r="S467" s="12"/>
      <c r="T467" s="12"/>
      <c r="U467" s="12"/>
      <c r="V467" s="12"/>
      <c r="W467" s="12"/>
      <c r="X467" s="12"/>
      <c r="Y467" s="12"/>
      <c r="Z467" s="12"/>
      <c r="AA467" s="12"/>
      <c r="AB467" s="12"/>
      <c r="AC467" s="12"/>
      <c r="AD467" s="12"/>
      <c r="AE467" s="12"/>
      <c r="AF467" s="12"/>
      <c r="AG467" s="12"/>
      <c r="AH467" s="12"/>
      <c r="AI467" s="12"/>
      <c r="AJ467" s="12"/>
      <c r="AK467" s="12"/>
      <c r="AL467" s="12"/>
      <c r="AM467" s="12"/>
      <c r="AN467" s="12"/>
      <c r="AO467" s="12"/>
      <c r="AP467" s="12"/>
      <c r="AQ467" s="12"/>
      <c r="AS467" s="11" t="s">
        <v>247</v>
      </c>
      <c r="AT467" s="11"/>
      <c r="AU467" s="12"/>
      <c r="AV467" s="12"/>
      <c r="AW467" s="12"/>
      <c r="AX467" s="12"/>
      <c r="AY467" s="12"/>
      <c r="AZ467" s="12"/>
      <c r="BA467" s="12"/>
      <c r="BB467" s="12"/>
      <c r="BC467" s="12"/>
      <c r="BD467" s="12"/>
      <c r="BE467" s="12"/>
    </row>
    <row r="468" spans="1:70" x14ac:dyDescent="0.2">
      <c r="B468" s="321" t="s">
        <v>25</v>
      </c>
      <c r="C468" s="321"/>
      <c r="D468" s="321"/>
      <c r="E468" s="15"/>
      <c r="F468" s="15"/>
      <c r="G468" s="15"/>
      <c r="H468" s="15"/>
      <c r="I468" s="15"/>
      <c r="J468" s="15"/>
      <c r="K468" s="15"/>
      <c r="L468" s="15"/>
      <c r="M468" s="15"/>
      <c r="N468" s="15"/>
      <c r="O468" s="15"/>
      <c r="P468" s="15"/>
      <c r="Q468" s="15"/>
      <c r="R468" s="15"/>
      <c r="S468" s="15"/>
      <c r="T468" s="15"/>
      <c r="U468" s="15"/>
      <c r="V468" s="15"/>
      <c r="W468" s="15"/>
      <c r="X468" s="15"/>
      <c r="Y468" s="15"/>
      <c r="Z468" s="1084"/>
      <c r="AA468" s="15"/>
      <c r="AB468" s="15"/>
      <c r="AC468" s="15"/>
      <c r="AD468" s="15"/>
      <c r="AE468" s="15"/>
      <c r="AF468" s="15"/>
      <c r="AG468" s="15"/>
      <c r="AH468" s="15"/>
      <c r="AI468" s="15"/>
      <c r="AJ468" s="15"/>
      <c r="AK468" s="15"/>
      <c r="AL468" s="15"/>
      <c r="AM468" s="15"/>
      <c r="AN468" s="15"/>
      <c r="AO468" s="15"/>
      <c r="AP468" s="15"/>
      <c r="AQ468" s="15"/>
      <c r="AS468" s="321" t="s">
        <v>25</v>
      </c>
      <c r="AT468" s="321"/>
    </row>
    <row r="469" spans="1:70" x14ac:dyDescent="0.2">
      <c r="B469" s="315"/>
      <c r="C469" s="321" t="s">
        <v>91</v>
      </c>
      <c r="D469" s="105">
        <v>108</v>
      </c>
      <c r="E469" s="105">
        <v>196</v>
      </c>
      <c r="F469" s="105">
        <v>193</v>
      </c>
      <c r="G469" s="105">
        <v>201</v>
      </c>
      <c r="H469" s="105">
        <v>198</v>
      </c>
      <c r="I469" s="105">
        <v>207</v>
      </c>
      <c r="J469" s="105">
        <v>162</v>
      </c>
      <c r="K469" s="105">
        <v>256</v>
      </c>
      <c r="L469" s="105">
        <v>174</v>
      </c>
      <c r="M469" s="105">
        <v>190</v>
      </c>
      <c r="N469" s="105">
        <v>314</v>
      </c>
      <c r="O469" s="105">
        <v>260</v>
      </c>
      <c r="P469" s="105">
        <v>295</v>
      </c>
      <c r="Q469" s="105">
        <v>257</v>
      </c>
      <c r="R469" s="105">
        <v>239</v>
      </c>
      <c r="S469" s="105">
        <v>302</v>
      </c>
      <c r="T469" s="105">
        <v>227</v>
      </c>
      <c r="U469" s="105">
        <v>238</v>
      </c>
      <c r="V469" s="105">
        <v>239</v>
      </c>
      <c r="W469" s="105">
        <v>296</v>
      </c>
      <c r="X469" s="105">
        <v>249</v>
      </c>
      <c r="Y469" s="105">
        <v>318</v>
      </c>
      <c r="Z469" s="105">
        <v>240</v>
      </c>
      <c r="AA469" s="105">
        <v>316</v>
      </c>
      <c r="AB469" s="105">
        <v>215</v>
      </c>
      <c r="AC469" s="34">
        <f t="shared" ref="AC469:AE469" si="1026">AC541</f>
        <v>278.47066447200012</v>
      </c>
      <c r="AD469" s="34">
        <f t="shared" si="1026"/>
        <v>306.31773091920019</v>
      </c>
      <c r="AE469" s="34">
        <f t="shared" si="1026"/>
        <v>336.94950401112021</v>
      </c>
      <c r="AF469" s="34">
        <f t="shared" ref="AF469:AI469" si="1027">AF541</f>
        <v>348.98341486866019</v>
      </c>
      <c r="AG469" s="34">
        <f t="shared" si="1027"/>
        <v>338.51391242260036</v>
      </c>
      <c r="AH469" s="34">
        <f t="shared" si="1027"/>
        <v>331.74363417414833</v>
      </c>
      <c r="AI469" s="34">
        <f t="shared" si="1027"/>
        <v>325.10876149066542</v>
      </c>
      <c r="AJ469" s="34"/>
      <c r="AK469" s="34"/>
      <c r="AL469" s="34"/>
      <c r="AM469" s="34"/>
      <c r="AN469" s="34"/>
      <c r="AO469" s="34"/>
      <c r="AP469" s="34"/>
      <c r="AQ469" s="34"/>
      <c r="AS469" s="315"/>
      <c r="AT469" s="321" t="s">
        <v>91</v>
      </c>
      <c r="AU469" s="232">
        <f>SUM(D469:G469)</f>
        <v>698</v>
      </c>
      <c r="AV469" s="232">
        <f>SUM(H469:K469)</f>
        <v>823</v>
      </c>
      <c r="AW469" s="232">
        <f>SUM(L469:O469)</f>
        <v>938</v>
      </c>
      <c r="AX469" s="232">
        <f>SUM(P469:S469)</f>
        <v>1093</v>
      </c>
      <c r="AY469" s="232">
        <f>SUM(T469:W469)</f>
        <v>1000</v>
      </c>
      <c r="AZ469" s="232">
        <f>SUM(X469:AA469)</f>
        <v>1123</v>
      </c>
      <c r="BA469" s="232">
        <f>SUM(AB469:AE469)</f>
        <v>1136.7378994023206</v>
      </c>
      <c r="BB469" s="232">
        <f>SUM(AF469:AI469)</f>
        <v>1344.3497229560744</v>
      </c>
      <c r="BC469" s="34">
        <f>BC541</f>
        <v>1460.2419404522875</v>
      </c>
      <c r="BD469" s="34">
        <f>BD541</f>
        <v>1533.2540374749021</v>
      </c>
      <c r="BE469" s="34">
        <f>BE541</f>
        <v>1609.9167393486473</v>
      </c>
    </row>
    <row r="470" spans="1:70" x14ac:dyDescent="0.2">
      <c r="B470" s="315"/>
      <c r="C470" s="321" t="s">
        <v>64</v>
      </c>
      <c r="D470" s="105">
        <v>169</v>
      </c>
      <c r="E470" s="105">
        <v>207</v>
      </c>
      <c r="F470" s="105">
        <v>171</v>
      </c>
      <c r="G470" s="105">
        <v>185</v>
      </c>
      <c r="H470" s="105">
        <v>251</v>
      </c>
      <c r="I470" s="105">
        <v>307</v>
      </c>
      <c r="J470" s="105">
        <v>200</v>
      </c>
      <c r="K470" s="105">
        <v>311</v>
      </c>
      <c r="L470" s="105">
        <v>299</v>
      </c>
      <c r="M470" s="105">
        <v>399</v>
      </c>
      <c r="N470" s="105">
        <v>300</v>
      </c>
      <c r="O470" s="105">
        <v>252</v>
      </c>
      <c r="P470" s="105">
        <v>231</v>
      </c>
      <c r="Q470" s="105">
        <v>296</v>
      </c>
      <c r="R470" s="105">
        <v>173</v>
      </c>
      <c r="S470" s="105">
        <v>206</v>
      </c>
      <c r="T470" s="105">
        <v>118</v>
      </c>
      <c r="U470" s="105">
        <v>174</v>
      </c>
      <c r="V470" s="105">
        <v>146</v>
      </c>
      <c r="W470" s="105">
        <v>190</v>
      </c>
      <c r="X470" s="105">
        <v>250</v>
      </c>
      <c r="Y470" s="105">
        <v>309</v>
      </c>
      <c r="Z470" s="105">
        <v>311</v>
      </c>
      <c r="AA470" s="105">
        <v>251</v>
      </c>
      <c r="AB470" s="105">
        <v>216</v>
      </c>
      <c r="AC470" s="34">
        <f t="shared" ref="AC470:AE470" si="1028">AC551</f>
        <v>204.67493046000001</v>
      </c>
      <c r="AD470" s="34">
        <f t="shared" si="1028"/>
        <v>204.67493046000001</v>
      </c>
      <c r="AE470" s="34">
        <f t="shared" si="1028"/>
        <v>214.90867698300005</v>
      </c>
      <c r="AF470" s="34">
        <f t="shared" ref="AF470:AI470" si="1029">AF551</f>
        <v>231.88823856942548</v>
      </c>
      <c r="AG470" s="34">
        <f t="shared" si="1029"/>
        <v>236.52600334081401</v>
      </c>
      <c r="AH470" s="34">
        <f t="shared" si="1029"/>
        <v>241.25652340763028</v>
      </c>
      <c r="AI470" s="34">
        <f t="shared" si="1029"/>
        <v>246.08165387578288</v>
      </c>
      <c r="AJ470" s="34"/>
      <c r="AK470" s="34"/>
      <c r="AL470" s="34"/>
      <c r="AM470" s="34"/>
      <c r="AN470" s="34"/>
      <c r="AO470" s="34"/>
      <c r="AP470" s="34"/>
      <c r="AQ470" s="34"/>
      <c r="AS470" s="315"/>
      <c r="AT470" s="321" t="s">
        <v>64</v>
      </c>
      <c r="AU470" s="232">
        <f>SUM(D470:G470)</f>
        <v>732</v>
      </c>
      <c r="AV470" s="232">
        <f>SUM(H470:K470)</f>
        <v>1069</v>
      </c>
      <c r="AW470" s="232">
        <f>SUM(L470:O470)</f>
        <v>1250</v>
      </c>
      <c r="AX470" s="232">
        <f>SUM(P470:S470)</f>
        <v>906</v>
      </c>
      <c r="AY470" s="232">
        <f>SUM(T470:W470)</f>
        <v>628</v>
      </c>
      <c r="AZ470" s="232">
        <f>SUM(X470:AA470)</f>
        <v>1121</v>
      </c>
      <c r="BA470" s="232">
        <f>SUM(AB470:AE470)</f>
        <v>840.25853790300016</v>
      </c>
      <c r="BB470" s="232">
        <f>SUM(AF470:AI470)</f>
        <v>955.75241919365271</v>
      </c>
      <c r="BC470" s="34">
        <f>BC551</f>
        <v>1087.1683768327803</v>
      </c>
      <c r="BD470" s="34">
        <f>BD551</f>
        <v>1244.7032560526839</v>
      </c>
      <c r="BE470" s="34">
        <f>BE551</f>
        <v>1315.0059399593633</v>
      </c>
    </row>
    <row r="471" spans="1:70" x14ac:dyDescent="0.2">
      <c r="B471" s="375"/>
      <c r="C471" s="376" t="s">
        <v>63</v>
      </c>
      <c r="D471" s="443">
        <v>684</v>
      </c>
      <c r="E471" s="443">
        <v>581</v>
      </c>
      <c r="F471" s="443">
        <v>685</v>
      </c>
      <c r="G471" s="443">
        <v>723</v>
      </c>
      <c r="H471" s="443">
        <v>721</v>
      </c>
      <c r="I471" s="443">
        <v>644</v>
      </c>
      <c r="J471" s="443">
        <v>583</v>
      </c>
      <c r="K471" s="443">
        <v>581</v>
      </c>
      <c r="L471" s="443">
        <v>587</v>
      </c>
      <c r="M471" s="443">
        <v>756</v>
      </c>
      <c r="N471" s="443">
        <v>641</v>
      </c>
      <c r="O471" s="443">
        <v>558</v>
      </c>
      <c r="P471" s="443">
        <v>674</v>
      </c>
      <c r="Q471" s="443">
        <v>735</v>
      </c>
      <c r="R471" s="443">
        <v>528</v>
      </c>
      <c r="S471" s="443">
        <v>621</v>
      </c>
      <c r="T471" s="443">
        <v>528</v>
      </c>
      <c r="U471" s="443">
        <v>803</v>
      </c>
      <c r="V471" s="443">
        <v>698</v>
      </c>
      <c r="W471" s="437">
        <v>645</v>
      </c>
      <c r="X471" s="437">
        <v>763</v>
      </c>
      <c r="Y471" s="437">
        <v>908</v>
      </c>
      <c r="Z471" s="437">
        <v>729</v>
      </c>
      <c r="AA471" s="437">
        <v>726</v>
      </c>
      <c r="AB471" s="437">
        <v>699</v>
      </c>
      <c r="AC471" s="34">
        <f t="shared" ref="AC471:AE471" si="1030">AC561</f>
        <v>817.84666089572761</v>
      </c>
      <c r="AD471" s="34">
        <f t="shared" si="1030"/>
        <v>776.95432785094124</v>
      </c>
      <c r="AE471" s="34">
        <f t="shared" si="1030"/>
        <v>738.10661145839413</v>
      </c>
      <c r="AF471" s="34">
        <f t="shared" ref="AF471:AI471" si="1031">AF561</f>
        <v>797.1551403750658</v>
      </c>
      <c r="AG471" s="34">
        <f t="shared" si="1031"/>
        <v>829.04134599006829</v>
      </c>
      <c r="AH471" s="34">
        <f t="shared" si="1031"/>
        <v>791.40550075940814</v>
      </c>
      <c r="AI471" s="34">
        <f t="shared" si="1031"/>
        <v>803.27658327079916</v>
      </c>
      <c r="AJ471" s="34"/>
      <c r="AK471" s="34"/>
      <c r="AL471" s="34"/>
      <c r="AM471" s="34"/>
      <c r="AN471" s="34"/>
      <c r="AO471" s="34"/>
      <c r="AP471" s="34"/>
      <c r="AQ471" s="34"/>
      <c r="AS471" s="375"/>
      <c r="AT471" s="376" t="s">
        <v>63</v>
      </c>
      <c r="AU471" s="41">
        <f>SUM(D471:G471)</f>
        <v>2673</v>
      </c>
      <c r="AV471" s="41">
        <f>SUM(H471:K471)</f>
        <v>2529</v>
      </c>
      <c r="AW471" s="41">
        <f>SUM(L471:O471)</f>
        <v>2542</v>
      </c>
      <c r="AX471" s="41">
        <f>SUM(P471:S471)</f>
        <v>2558</v>
      </c>
      <c r="AY471" s="41">
        <f>SUM(T471:W471)</f>
        <v>2674</v>
      </c>
      <c r="AZ471" s="41">
        <f>SUM(X471:AA471)</f>
        <v>3126</v>
      </c>
      <c r="BA471" s="41">
        <f>SUM(AB471:AE471)</f>
        <v>3031.9076002050629</v>
      </c>
      <c r="BB471" s="41">
        <f>SUM(AF471:AI471)</f>
        <v>3220.8785703953417</v>
      </c>
      <c r="BC471" s="34">
        <f>BC561</f>
        <v>3349.6658920008167</v>
      </c>
      <c r="BD471" s="34">
        <f>BD561</f>
        <v>3483.6525276808493</v>
      </c>
      <c r="BE471" s="34">
        <f>BE561</f>
        <v>3622.9986287880838</v>
      </c>
    </row>
    <row r="472" spans="1:70" x14ac:dyDescent="0.2">
      <c r="B472" s="321" t="s">
        <v>68</v>
      </c>
      <c r="C472" s="15"/>
      <c r="D472" s="431">
        <f t="shared" ref="D472:AE472" si="1032">SUM(D469:D471)</f>
        <v>961</v>
      </c>
      <c r="E472" s="431">
        <f t="shared" si="1032"/>
        <v>984</v>
      </c>
      <c r="F472" s="431">
        <f t="shared" si="1032"/>
        <v>1049</v>
      </c>
      <c r="G472" s="431">
        <f t="shared" si="1032"/>
        <v>1109</v>
      </c>
      <c r="H472" s="431">
        <f t="shared" si="1032"/>
        <v>1170</v>
      </c>
      <c r="I472" s="431">
        <f t="shared" si="1032"/>
        <v>1158</v>
      </c>
      <c r="J472" s="431">
        <f t="shared" si="1032"/>
        <v>945</v>
      </c>
      <c r="K472" s="431">
        <f t="shared" si="1032"/>
        <v>1148</v>
      </c>
      <c r="L472" s="431">
        <f t="shared" si="1032"/>
        <v>1060</v>
      </c>
      <c r="M472" s="431">
        <f t="shared" si="1032"/>
        <v>1345</v>
      </c>
      <c r="N472" s="431">
        <f t="shared" si="1032"/>
        <v>1255</v>
      </c>
      <c r="O472" s="431">
        <f t="shared" si="1032"/>
        <v>1070</v>
      </c>
      <c r="P472" s="431">
        <f t="shared" si="1032"/>
        <v>1200</v>
      </c>
      <c r="Q472" s="431">
        <f t="shared" si="1032"/>
        <v>1288</v>
      </c>
      <c r="R472" s="431">
        <f t="shared" si="1032"/>
        <v>940</v>
      </c>
      <c r="S472" s="431">
        <f t="shared" si="1032"/>
        <v>1129</v>
      </c>
      <c r="T472" s="431">
        <f t="shared" si="1032"/>
        <v>873</v>
      </c>
      <c r="U472" s="431">
        <f t="shared" si="1032"/>
        <v>1215</v>
      </c>
      <c r="V472" s="431">
        <f t="shared" si="1032"/>
        <v>1083</v>
      </c>
      <c r="W472" s="518">
        <f t="shared" si="1032"/>
        <v>1131</v>
      </c>
      <c r="X472" s="518">
        <f t="shared" si="1032"/>
        <v>1262</v>
      </c>
      <c r="Y472" s="518">
        <f t="shared" ref="Y472:Z472" si="1033">SUM(Y469:Y471)</f>
        <v>1535</v>
      </c>
      <c r="Z472" s="518">
        <f t="shared" si="1033"/>
        <v>1280</v>
      </c>
      <c r="AA472" s="518">
        <f t="shared" ref="AA472:AB472" si="1034">SUM(AA469:AA471)</f>
        <v>1293</v>
      </c>
      <c r="AB472" s="518">
        <f t="shared" si="1034"/>
        <v>1130</v>
      </c>
      <c r="AC472" s="518">
        <f t="shared" si="1032"/>
        <v>1300.9922558277276</v>
      </c>
      <c r="AD472" s="518">
        <f t="shared" si="1032"/>
        <v>1287.9469892301413</v>
      </c>
      <c r="AE472" s="518">
        <f t="shared" si="1032"/>
        <v>1289.9647924525143</v>
      </c>
      <c r="AF472" s="518">
        <f t="shared" ref="AF472:AI472" si="1035">SUM(AF469:AF471)</f>
        <v>1378.0267938131515</v>
      </c>
      <c r="AG472" s="518">
        <f t="shared" si="1035"/>
        <v>1404.0812617534825</v>
      </c>
      <c r="AH472" s="518">
        <f t="shared" si="1035"/>
        <v>1364.4056583411866</v>
      </c>
      <c r="AI472" s="518">
        <f t="shared" si="1035"/>
        <v>1374.4669986372473</v>
      </c>
      <c r="AJ472" s="379"/>
      <c r="AK472" s="379"/>
      <c r="AL472" s="379"/>
      <c r="AM472" s="379"/>
      <c r="AN472" s="379"/>
      <c r="AO472" s="379"/>
      <c r="AP472" s="379"/>
      <c r="AQ472" s="379"/>
      <c r="AS472" s="321" t="s">
        <v>68</v>
      </c>
      <c r="AT472" s="15"/>
      <c r="AU472" s="232">
        <f t="shared" ref="AU472:BD472" si="1036">SUM(AU469:AU471)</f>
        <v>4103</v>
      </c>
      <c r="AV472" s="232">
        <f t="shared" si="1036"/>
        <v>4421</v>
      </c>
      <c r="AW472" s="232">
        <f t="shared" si="1036"/>
        <v>4730</v>
      </c>
      <c r="AX472" s="232">
        <f t="shared" si="1036"/>
        <v>4557</v>
      </c>
      <c r="AY472" s="232">
        <f t="shared" si="1036"/>
        <v>4302</v>
      </c>
      <c r="AZ472" s="232">
        <f t="shared" si="1036"/>
        <v>5370</v>
      </c>
      <c r="BA472" s="232">
        <f t="shared" si="1036"/>
        <v>5008.9040375103832</v>
      </c>
      <c r="BB472" s="232">
        <f t="shared" ref="BB472" si="1037">SUM(BB469:BB471)</f>
        <v>5520.9807125450689</v>
      </c>
      <c r="BC472" s="518">
        <f t="shared" si="1036"/>
        <v>5897.076209285884</v>
      </c>
      <c r="BD472" s="518">
        <f t="shared" si="1036"/>
        <v>6261.6098212084353</v>
      </c>
      <c r="BE472" s="518">
        <f t="shared" ref="BE472" si="1038">SUM(BE469:BE471)</f>
        <v>6547.9213080960944</v>
      </c>
    </row>
    <row r="473" spans="1:70" x14ac:dyDescent="0.2">
      <c r="B473" s="315" t="s">
        <v>10</v>
      </c>
      <c r="C473" s="321"/>
      <c r="D473" s="105">
        <v>2001</v>
      </c>
      <c r="E473" s="105">
        <v>2062</v>
      </c>
      <c r="F473" s="105">
        <v>1968</v>
      </c>
      <c r="G473" s="105">
        <v>1950</v>
      </c>
      <c r="H473" s="105">
        <v>1905</v>
      </c>
      <c r="I473" s="105">
        <v>1985</v>
      </c>
      <c r="J473" s="105">
        <v>1927</v>
      </c>
      <c r="K473" s="105">
        <v>1918</v>
      </c>
      <c r="L473" s="105">
        <v>1932</v>
      </c>
      <c r="M473" s="105">
        <v>1990</v>
      </c>
      <c r="N473" s="105">
        <v>1944</v>
      </c>
      <c r="O473" s="105">
        <v>1942</v>
      </c>
      <c r="P473" s="105">
        <v>1820</v>
      </c>
      <c r="Q473" s="105">
        <v>1885</v>
      </c>
      <c r="R473" s="105">
        <v>1862</v>
      </c>
      <c r="S473" s="105">
        <v>1915</v>
      </c>
      <c r="T473" s="105">
        <v>1903</v>
      </c>
      <c r="U473" s="105">
        <v>1999</v>
      </c>
      <c r="V473" s="105">
        <v>1986</v>
      </c>
      <c r="W473" s="105">
        <v>2009</v>
      </c>
      <c r="X473" s="105">
        <v>2108</v>
      </c>
      <c r="Y473" s="105">
        <v>2106</v>
      </c>
      <c r="Z473" s="105">
        <v>2185</v>
      </c>
      <c r="AA473" s="105">
        <v>2236</v>
      </c>
      <c r="AB473" s="105">
        <v>2268</v>
      </c>
      <c r="AC473" s="348">
        <f>Drivers!AC164*(AC622*1000)/AC1</f>
        <v>2341.2128465753426</v>
      </c>
      <c r="AD473" s="348">
        <f>Drivers!AD164*(AD622*1000)/AD1</f>
        <v>2414.2792694794521</v>
      </c>
      <c r="AE473" s="348">
        <f>Drivers!AE164*(AE622*1000)/AE1</f>
        <v>2474.3474618301375</v>
      </c>
      <c r="AF473" s="348">
        <f>Drivers!AF164*(AF622*1000)/AF1</f>
        <v>2463.1591080896878</v>
      </c>
      <c r="AG473" s="348">
        <f>Drivers!AG164*(AG622*1000)/AG1</f>
        <v>2532.8782586200537</v>
      </c>
      <c r="AH473" s="348">
        <f>Drivers!AH164*(AH622*1000)/AH1</f>
        <v>2579.9174262801407</v>
      </c>
      <c r="AI473" s="348">
        <f>Drivers!AI164*(AI622*1000)/AI1</f>
        <v>2600.5567656903818</v>
      </c>
      <c r="AJ473" s="348"/>
      <c r="AK473" s="348"/>
      <c r="AL473" s="348"/>
      <c r="AM473" s="348"/>
      <c r="AN473" s="348"/>
      <c r="AO473" s="348"/>
      <c r="AP473" s="348"/>
      <c r="AQ473" s="348"/>
      <c r="AS473" s="315" t="s">
        <v>10</v>
      </c>
      <c r="AT473" s="321"/>
      <c r="AU473" s="232">
        <f>SUM(D473:G473)</f>
        <v>7981</v>
      </c>
      <c r="AV473" s="232">
        <f>SUM(H473:K473)</f>
        <v>7735</v>
      </c>
      <c r="AW473" s="232">
        <f>SUM(L473:O473)</f>
        <v>7808</v>
      </c>
      <c r="AX473" s="232">
        <f>SUM(P473:S473)</f>
        <v>7482</v>
      </c>
      <c r="AY473" s="232">
        <f>SUM(T473:W473)</f>
        <v>7897</v>
      </c>
      <c r="AZ473" s="232">
        <f>SUM(X473:AA473)</f>
        <v>8635</v>
      </c>
      <c r="BA473" s="232">
        <f>SUM(AB473:AE473)</f>
        <v>9497.8395778849317</v>
      </c>
      <c r="BB473" s="232">
        <f>SUM(AF473:AI473)</f>
        <v>10176.511558680264</v>
      </c>
      <c r="BC473" s="348">
        <f>Drivers!BC164*(BC622*1000)/BC1</f>
        <v>10759.000813490404</v>
      </c>
      <c r="BD473" s="348">
        <f>Drivers!BD164*(BD622*1000)/BD1</f>
        <v>11296.950854164923</v>
      </c>
      <c r="BE473" s="348">
        <f>Drivers!BE164*(BE622*1000)/BE1</f>
        <v>11861.798396873173</v>
      </c>
    </row>
    <row r="474" spans="1:70" x14ac:dyDescent="0.2">
      <c r="B474" s="315" t="s">
        <v>261</v>
      </c>
      <c r="C474" s="321"/>
      <c r="D474" s="105">
        <v>396</v>
      </c>
      <c r="E474" s="105">
        <v>453</v>
      </c>
      <c r="F474" s="105">
        <v>460</v>
      </c>
      <c r="G474" s="105">
        <v>418</v>
      </c>
      <c r="H474" s="105">
        <v>368</v>
      </c>
      <c r="I474" s="105">
        <v>437</v>
      </c>
      <c r="J474" s="105">
        <v>410</v>
      </c>
      <c r="K474" s="105">
        <v>427</v>
      </c>
      <c r="L474" s="105">
        <v>451</v>
      </c>
      <c r="M474" s="105">
        <v>490</v>
      </c>
      <c r="N474" s="105">
        <v>479</v>
      </c>
      <c r="O474" s="105">
        <v>466</v>
      </c>
      <c r="P474" s="105">
        <v>480</v>
      </c>
      <c r="Q474" s="105">
        <v>477</v>
      </c>
      <c r="R474" s="105">
        <v>437</v>
      </c>
      <c r="S474" s="105">
        <v>433</v>
      </c>
      <c r="T474" s="105">
        <v>448</v>
      </c>
      <c r="U474" s="105">
        <v>383</v>
      </c>
      <c r="V474" s="105">
        <v>439</v>
      </c>
      <c r="W474" s="105">
        <v>448</v>
      </c>
      <c r="X474" s="105">
        <v>438</v>
      </c>
      <c r="Y474" s="105">
        <v>481</v>
      </c>
      <c r="Z474" s="105">
        <v>506</v>
      </c>
      <c r="AA474" s="105">
        <v>513</v>
      </c>
      <c r="AB474" s="105">
        <v>521</v>
      </c>
      <c r="AC474" s="348">
        <f>Drivers!AC152*(AC607*1000)/AC1</f>
        <v>534.49061917808228</v>
      </c>
      <c r="AD474" s="348">
        <f>Drivers!AD152*(AD607*1000)/AD1</f>
        <v>548.46960460273976</v>
      </c>
      <c r="AE474" s="348">
        <f>Drivers!AE152*(AE607*1000)/AE1</f>
        <v>556.69664867178074</v>
      </c>
      <c r="AF474" s="348">
        <f>Drivers!AF152*(AF607*1000)/AF1</f>
        <v>555.48643856597255</v>
      </c>
      <c r="AG474" s="348">
        <f>Drivers!AG152*(AG607*1000)/AG1</f>
        <v>572.89168030770634</v>
      </c>
      <c r="AH474" s="348">
        <f>Drivers!AH152*(AH607*1000)/AH1</f>
        <v>593.66687311007377</v>
      </c>
      <c r="AI474" s="348">
        <f>Drivers!AI152*(AI607*1000)/AI1</f>
        <v>608.50854493782549</v>
      </c>
      <c r="AJ474" s="348"/>
      <c r="AK474" s="348"/>
      <c r="AL474" s="348"/>
      <c r="AM474" s="348"/>
      <c r="AN474" s="348"/>
      <c r="AO474" s="348"/>
      <c r="AP474" s="348"/>
      <c r="AQ474" s="348"/>
      <c r="AS474" s="315" t="s">
        <v>261</v>
      </c>
      <c r="AT474" s="321"/>
      <c r="AU474" s="232">
        <f>SUM(D474:G474)</f>
        <v>1727</v>
      </c>
      <c r="AV474" s="232">
        <f>SUM(H474:K474)</f>
        <v>1642</v>
      </c>
      <c r="AW474" s="232">
        <f>SUM(L474:O474)</f>
        <v>1886</v>
      </c>
      <c r="AX474" s="232">
        <f>SUM(P474:S474)</f>
        <v>1827</v>
      </c>
      <c r="AY474" s="232">
        <f>SUM(T474:W474)</f>
        <v>1718</v>
      </c>
      <c r="AZ474" s="232">
        <f>SUM(X474:AA474)</f>
        <v>1938</v>
      </c>
      <c r="BA474" s="232">
        <f>SUM(AB474:AE474)</f>
        <v>2160.6568724526028</v>
      </c>
      <c r="BB474" s="232">
        <f>SUM(AF474:AI474)</f>
        <v>2330.5535369215781</v>
      </c>
      <c r="BC474" s="348">
        <f>Drivers!BC152*(BC607*1000)/BC1</f>
        <v>2533.3571307608577</v>
      </c>
      <c r="BD474" s="348">
        <f>Drivers!BD152*(BD607*1000)/BD1</f>
        <v>2710.6921299141181</v>
      </c>
      <c r="BE474" s="348">
        <f>Drivers!BE152*(BE607*1000)/BE1</f>
        <v>2873.3336577089649</v>
      </c>
    </row>
    <row r="475" spans="1:70" x14ac:dyDescent="0.2">
      <c r="B475" s="375" t="s">
        <v>15</v>
      </c>
      <c r="C475" s="536"/>
      <c r="D475" s="537">
        <v>601</v>
      </c>
      <c r="E475" s="443">
        <v>594</v>
      </c>
      <c r="F475" s="443">
        <v>612</v>
      </c>
      <c r="G475" s="443">
        <v>599</v>
      </c>
      <c r="H475" s="443">
        <v>631</v>
      </c>
      <c r="I475" s="443">
        <v>647</v>
      </c>
      <c r="J475" s="443">
        <v>616</v>
      </c>
      <c r="K475" s="443">
        <v>602</v>
      </c>
      <c r="L475" s="443">
        <v>671</v>
      </c>
      <c r="M475" s="443">
        <v>659</v>
      </c>
      <c r="N475" s="443">
        <v>665</v>
      </c>
      <c r="O475" s="443">
        <v>669</v>
      </c>
      <c r="P475" s="443">
        <v>675</v>
      </c>
      <c r="Q475" s="443">
        <v>669</v>
      </c>
      <c r="R475" s="443">
        <v>633</v>
      </c>
      <c r="S475" s="443">
        <v>605</v>
      </c>
      <c r="T475" s="443">
        <v>684</v>
      </c>
      <c r="U475" s="443">
        <v>674</v>
      </c>
      <c r="V475" s="443">
        <v>680</v>
      </c>
      <c r="W475" s="443">
        <v>671</v>
      </c>
      <c r="X475" s="443">
        <v>749</v>
      </c>
      <c r="Y475" s="443">
        <v>793</v>
      </c>
      <c r="Z475" s="443">
        <v>790</v>
      </c>
      <c r="AA475" s="443">
        <v>776</v>
      </c>
      <c r="AB475" s="443">
        <v>904</v>
      </c>
      <c r="AC475" s="538">
        <f>AB475*(1+Drivers!AC154)</f>
        <v>876.88</v>
      </c>
      <c r="AD475" s="538">
        <f>AC475*(1+Drivers!AD154)</f>
        <v>876.88</v>
      </c>
      <c r="AE475" s="538">
        <f>AD475*(1+Drivers!AE154)</f>
        <v>885.64880000000005</v>
      </c>
      <c r="AF475" s="538">
        <f>AE475*(1+Drivers!AF154)</f>
        <v>947.64421600000014</v>
      </c>
      <c r="AG475" s="538">
        <f>AF475*(1+Drivers!AG154)</f>
        <v>919.21488952000016</v>
      </c>
      <c r="AH475" s="538">
        <f>AG475*(1+Drivers!AH154)</f>
        <v>919.21488952000016</v>
      </c>
      <c r="AI475" s="538">
        <f>AH475*(1+Drivers!AI154)</f>
        <v>928.40703841520019</v>
      </c>
      <c r="AJ475" s="1761"/>
      <c r="AK475" s="1761"/>
      <c r="AL475" s="1761"/>
      <c r="AM475" s="1761"/>
      <c r="AN475" s="1761"/>
      <c r="AO475" s="1761"/>
      <c r="AP475" s="1761"/>
      <c r="AQ475" s="1761"/>
      <c r="AS475" s="375" t="s">
        <v>15</v>
      </c>
      <c r="AT475" s="536"/>
      <c r="AU475" s="41">
        <f>SUM(D475:G475)</f>
        <v>2406</v>
      </c>
      <c r="AV475" s="41">
        <f>SUM(H475:K475)</f>
        <v>2496</v>
      </c>
      <c r="AW475" s="41">
        <f>SUM(L475:O475)</f>
        <v>2664</v>
      </c>
      <c r="AX475" s="41">
        <f>SUM(P475:S475)</f>
        <v>2582</v>
      </c>
      <c r="AY475" s="41">
        <f>SUM(T475:W475)</f>
        <v>2709</v>
      </c>
      <c r="AZ475" s="41">
        <f>SUM(X475:AA475)</f>
        <v>3108</v>
      </c>
      <c r="BA475" s="41">
        <f>SUM(AB475:AE475)</f>
        <v>3543.4088000000002</v>
      </c>
      <c r="BB475" s="41">
        <f>SUM(AF475:AI475)</f>
        <v>3714.4810334552008</v>
      </c>
      <c r="BC475" s="538">
        <f>BB475*(1+Drivers!BC154)</f>
        <v>3900.205085127961</v>
      </c>
      <c r="BD475" s="538">
        <f>BC475*(1+Drivers!BD154)</f>
        <v>4095.2153393843591</v>
      </c>
      <c r="BE475" s="538">
        <f>BD475*(1+Drivers!BE154)</f>
        <v>4299.9761063535771</v>
      </c>
    </row>
    <row r="476" spans="1:70" x14ac:dyDescent="0.2">
      <c r="B476" s="318" t="s">
        <v>249</v>
      </c>
      <c r="C476" s="321"/>
      <c r="D476" s="436">
        <f t="shared" ref="D476:AE476" si="1039">SUM(D472:D475)</f>
        <v>3959</v>
      </c>
      <c r="E476" s="436">
        <f t="shared" si="1039"/>
        <v>4093</v>
      </c>
      <c r="F476" s="436">
        <f t="shared" si="1039"/>
        <v>4089</v>
      </c>
      <c r="G476" s="436">
        <f t="shared" si="1039"/>
        <v>4076</v>
      </c>
      <c r="H476" s="436">
        <f t="shared" si="1039"/>
        <v>4074</v>
      </c>
      <c r="I476" s="436">
        <f t="shared" si="1039"/>
        <v>4227</v>
      </c>
      <c r="J476" s="436">
        <f t="shared" si="1039"/>
        <v>3898</v>
      </c>
      <c r="K476" s="436">
        <f t="shared" si="1039"/>
        <v>4095</v>
      </c>
      <c r="L476" s="436">
        <f t="shared" si="1039"/>
        <v>4114</v>
      </c>
      <c r="M476" s="436">
        <f t="shared" si="1039"/>
        <v>4484</v>
      </c>
      <c r="N476" s="436">
        <f t="shared" si="1039"/>
        <v>4343</v>
      </c>
      <c r="O476" s="436">
        <f t="shared" si="1039"/>
        <v>4147</v>
      </c>
      <c r="P476" s="436">
        <f t="shared" si="1039"/>
        <v>4175</v>
      </c>
      <c r="Q476" s="436">
        <f t="shared" si="1039"/>
        <v>4319</v>
      </c>
      <c r="R476" s="436">
        <f t="shared" si="1039"/>
        <v>3872</v>
      </c>
      <c r="S476" s="436">
        <f t="shared" si="1039"/>
        <v>4082</v>
      </c>
      <c r="T476" s="436">
        <f t="shared" si="1039"/>
        <v>3908</v>
      </c>
      <c r="U476" s="436">
        <f t="shared" si="1039"/>
        <v>4271</v>
      </c>
      <c r="V476" s="436">
        <f t="shared" si="1039"/>
        <v>4188</v>
      </c>
      <c r="W476" s="436">
        <f t="shared" si="1039"/>
        <v>4259</v>
      </c>
      <c r="X476" s="436">
        <f t="shared" si="1039"/>
        <v>4557</v>
      </c>
      <c r="Y476" s="436">
        <f t="shared" ref="Y476:Z476" si="1040">SUM(Y472:Y475)</f>
        <v>4915</v>
      </c>
      <c r="Z476" s="436">
        <f t="shared" si="1040"/>
        <v>4761</v>
      </c>
      <c r="AA476" s="436">
        <f t="shared" ref="AA476:AB476" si="1041">SUM(AA472:AA475)</f>
        <v>4818</v>
      </c>
      <c r="AB476" s="436">
        <f t="shared" si="1041"/>
        <v>4823</v>
      </c>
      <c r="AC476" s="436">
        <f t="shared" si="1039"/>
        <v>5053.5757215811527</v>
      </c>
      <c r="AD476" s="436">
        <f t="shared" si="1039"/>
        <v>5127.5758633123332</v>
      </c>
      <c r="AE476" s="436">
        <f t="shared" si="1039"/>
        <v>5206.6577029544324</v>
      </c>
      <c r="AF476" s="436">
        <f t="shared" ref="AF476:AI476" si="1042">SUM(AF472:AF475)</f>
        <v>5344.3165564688115</v>
      </c>
      <c r="AG476" s="436">
        <f t="shared" si="1042"/>
        <v>5429.0660902012423</v>
      </c>
      <c r="AH476" s="436">
        <f t="shared" si="1042"/>
        <v>5457.2048472514007</v>
      </c>
      <c r="AI476" s="436">
        <f t="shared" si="1042"/>
        <v>5511.9393476806545</v>
      </c>
      <c r="AJ476" s="436"/>
      <c r="AK476" s="436"/>
      <c r="AL476" s="436"/>
      <c r="AM476" s="436"/>
      <c r="AN476" s="436"/>
      <c r="AO476" s="436"/>
      <c r="AP476" s="436"/>
      <c r="AQ476" s="436"/>
      <c r="AS476" s="318" t="s">
        <v>249</v>
      </c>
      <c r="AT476" s="321"/>
      <c r="AU476" s="436">
        <f t="shared" ref="AU476:BD476" si="1043">SUM(AU472:AU475)</f>
        <v>16217</v>
      </c>
      <c r="AV476" s="436">
        <f t="shared" si="1043"/>
        <v>16294</v>
      </c>
      <c r="AW476" s="436">
        <f t="shared" si="1043"/>
        <v>17088</v>
      </c>
      <c r="AX476" s="436">
        <f t="shared" si="1043"/>
        <v>16448</v>
      </c>
      <c r="AY476" s="436">
        <f t="shared" si="1043"/>
        <v>16626</v>
      </c>
      <c r="AZ476" s="436">
        <f t="shared" si="1043"/>
        <v>19051</v>
      </c>
      <c r="BA476" s="436">
        <f t="shared" si="1043"/>
        <v>20210.809287847918</v>
      </c>
      <c r="BB476" s="436">
        <f t="shared" ref="BB476" si="1044">SUM(BB472:BB475)</f>
        <v>21742.526841602114</v>
      </c>
      <c r="BC476" s="436">
        <f t="shared" si="1043"/>
        <v>23089.639238665106</v>
      </c>
      <c r="BD476" s="436">
        <f t="shared" si="1043"/>
        <v>24364.468144671835</v>
      </c>
      <c r="BE476" s="436">
        <f t="shared" ref="BE476" si="1045">SUM(BE472:BE475)</f>
        <v>25583.029469031811</v>
      </c>
    </row>
    <row r="477" spans="1:70" x14ac:dyDescent="0.2">
      <c r="B477" s="16"/>
      <c r="C477" s="16"/>
      <c r="D477" s="15"/>
      <c r="E477" s="15"/>
      <c r="F477" s="15"/>
      <c r="G477" s="15"/>
      <c r="H477" s="15"/>
      <c r="I477" s="15"/>
      <c r="J477" s="15"/>
      <c r="K477" s="15"/>
      <c r="L477" s="15"/>
      <c r="M477" s="15"/>
      <c r="N477" s="15"/>
      <c r="O477" s="15"/>
      <c r="P477" s="15"/>
      <c r="Q477" s="15"/>
      <c r="R477" s="15"/>
      <c r="S477" s="15"/>
      <c r="T477" s="1084"/>
      <c r="U477" s="1084"/>
      <c r="V477" s="1084"/>
      <c r="W477" s="1084"/>
      <c r="X477" s="1084"/>
      <c r="Y477" s="1084"/>
      <c r="Z477" s="1084"/>
      <c r="AA477" s="1084"/>
      <c r="AB477" s="1084"/>
      <c r="AC477" s="15"/>
      <c r="AD477" s="15"/>
      <c r="AE477" s="15"/>
      <c r="AF477" s="15"/>
      <c r="AG477" s="15"/>
      <c r="AH477" s="15"/>
      <c r="AI477" s="15"/>
      <c r="AJ477" s="15"/>
      <c r="AK477" s="15"/>
      <c r="AL477" s="15"/>
      <c r="AM477" s="15"/>
      <c r="AN477" s="15"/>
      <c r="AO477" s="15"/>
      <c r="AP477" s="15"/>
      <c r="AQ477" s="15"/>
      <c r="AS477" s="16"/>
      <c r="AT477" s="16"/>
      <c r="BC477" s="15"/>
      <c r="BD477" s="15"/>
      <c r="BE477" s="15"/>
    </row>
    <row r="478" spans="1:70" s="369" customFormat="1" x14ac:dyDescent="0.2">
      <c r="A478" s="411"/>
      <c r="B478" s="321"/>
      <c r="C478" s="362" t="s">
        <v>248</v>
      </c>
      <c r="D478" s="454">
        <v>-344</v>
      </c>
      <c r="E478" s="454">
        <v>157</v>
      </c>
      <c r="F478" s="454">
        <v>-251</v>
      </c>
      <c r="G478" s="454">
        <v>-258</v>
      </c>
      <c r="H478" s="454">
        <v>-23</v>
      </c>
      <c r="I478" s="454">
        <v>23</v>
      </c>
      <c r="J478" s="454">
        <v>-147</v>
      </c>
      <c r="K478" s="454">
        <v>-139</v>
      </c>
      <c r="L478" s="454">
        <v>-17</v>
      </c>
      <c r="M478" s="454">
        <v>-44</v>
      </c>
      <c r="N478" s="454">
        <v>91</v>
      </c>
      <c r="O478" s="454">
        <v>86</v>
      </c>
      <c r="P478" s="454">
        <v>52</v>
      </c>
      <c r="Q478" s="454">
        <v>-66</v>
      </c>
      <c r="R478" s="454">
        <v>352</v>
      </c>
      <c r="S478" s="454">
        <v>-14</v>
      </c>
      <c r="T478" s="454">
        <v>-66</v>
      </c>
      <c r="U478" s="454">
        <v>-203</v>
      </c>
      <c r="V478" s="454">
        <v>-218</v>
      </c>
      <c r="W478" s="454">
        <v>-107</v>
      </c>
      <c r="X478" s="454">
        <v>-115</v>
      </c>
      <c r="Y478" s="454">
        <v>9</v>
      </c>
      <c r="Z478" s="454">
        <v>-48</v>
      </c>
      <c r="AA478" s="454">
        <v>21</v>
      </c>
      <c r="AB478" s="454">
        <v>23</v>
      </c>
      <c r="AC478" s="348">
        <f>Drivers!AC153</f>
        <v>0</v>
      </c>
      <c r="AD478" s="348">
        <f>Drivers!AD153</f>
        <v>0</v>
      </c>
      <c r="AE478" s="348">
        <f>Drivers!AE153</f>
        <v>0</v>
      </c>
      <c r="AF478" s="348">
        <f>Drivers!AF153</f>
        <v>0</v>
      </c>
      <c r="AG478" s="348">
        <f>Drivers!AG153</f>
        <v>0</v>
      </c>
      <c r="AH478" s="348">
        <f>Drivers!AH153</f>
        <v>0</v>
      </c>
      <c r="AI478" s="348">
        <f>Drivers!AI153</f>
        <v>0</v>
      </c>
      <c r="AJ478" s="348"/>
      <c r="AK478" s="348"/>
      <c r="AL478" s="348"/>
      <c r="AM478" s="348"/>
      <c r="AN478" s="348"/>
      <c r="AO478" s="348"/>
      <c r="AP478" s="348"/>
      <c r="AQ478" s="348"/>
      <c r="AR478" s="70"/>
      <c r="AS478" s="321"/>
      <c r="AT478" s="362" t="s">
        <v>248</v>
      </c>
      <c r="AU478" s="232">
        <f>SUM(D478:G478)</f>
        <v>-696</v>
      </c>
      <c r="AV478" s="232">
        <f>SUM(H478:K478)</f>
        <v>-286</v>
      </c>
      <c r="AW478" s="232">
        <f>SUM(L478:O478)</f>
        <v>116</v>
      </c>
      <c r="AX478" s="232">
        <f>SUM(P478:S478)</f>
        <v>324</v>
      </c>
      <c r="AY478" s="232">
        <f>SUM(T478:W478)</f>
        <v>-594</v>
      </c>
      <c r="AZ478" s="232">
        <f>SUM(X478:AA478)</f>
        <v>-133</v>
      </c>
      <c r="BA478" s="232">
        <f>SUM(AB478:AE478)</f>
        <v>23</v>
      </c>
      <c r="BB478" s="232">
        <f>SUM(AF478:AI478)</f>
        <v>0</v>
      </c>
      <c r="BC478" s="348">
        <f>Drivers!BC153</f>
        <v>0</v>
      </c>
      <c r="BD478" s="348">
        <f>Drivers!BD153</f>
        <v>0</v>
      </c>
      <c r="BE478" s="348">
        <f>Drivers!BE153</f>
        <v>0</v>
      </c>
      <c r="BM478"/>
      <c r="BN478"/>
      <c r="BO478"/>
      <c r="BP478"/>
      <c r="BQ478"/>
      <c r="BR478"/>
    </row>
    <row r="479" spans="1:70" s="369" customFormat="1" x14ac:dyDescent="0.2">
      <c r="A479" s="411"/>
      <c r="B479" s="318" t="s">
        <v>648</v>
      </c>
      <c r="C479" s="363"/>
      <c r="D479" s="539">
        <f t="shared" ref="D479:AE479" si="1046">D476+D478</f>
        <v>3615</v>
      </c>
      <c r="E479" s="539">
        <f t="shared" si="1046"/>
        <v>4250</v>
      </c>
      <c r="F479" s="539">
        <f t="shared" si="1046"/>
        <v>3838</v>
      </c>
      <c r="G479" s="539">
        <f t="shared" si="1046"/>
        <v>3818</v>
      </c>
      <c r="H479" s="539">
        <f t="shared" si="1046"/>
        <v>4051</v>
      </c>
      <c r="I479" s="539">
        <f t="shared" si="1046"/>
        <v>4250</v>
      </c>
      <c r="J479" s="539">
        <f t="shared" si="1046"/>
        <v>3751</v>
      </c>
      <c r="K479" s="539">
        <f t="shared" si="1046"/>
        <v>3956</v>
      </c>
      <c r="L479" s="539">
        <f t="shared" si="1046"/>
        <v>4097</v>
      </c>
      <c r="M479" s="539">
        <f t="shared" si="1046"/>
        <v>4440</v>
      </c>
      <c r="N479" s="539">
        <f t="shared" si="1046"/>
        <v>4434</v>
      </c>
      <c r="O479" s="539">
        <f t="shared" si="1046"/>
        <v>4233</v>
      </c>
      <c r="P479" s="539">
        <f t="shared" si="1046"/>
        <v>4227</v>
      </c>
      <c r="Q479" s="539">
        <f t="shared" si="1046"/>
        <v>4253</v>
      </c>
      <c r="R479" s="539">
        <f t="shared" si="1046"/>
        <v>4224</v>
      </c>
      <c r="S479" s="539">
        <f t="shared" si="1046"/>
        <v>4068</v>
      </c>
      <c r="T479" s="539">
        <f t="shared" si="1046"/>
        <v>3842</v>
      </c>
      <c r="U479" s="539">
        <f t="shared" si="1046"/>
        <v>4068</v>
      </c>
      <c r="V479" s="539">
        <f t="shared" si="1046"/>
        <v>3970</v>
      </c>
      <c r="W479" s="539">
        <f t="shared" si="1046"/>
        <v>4152</v>
      </c>
      <c r="X479" s="539">
        <f t="shared" si="1046"/>
        <v>4442</v>
      </c>
      <c r="Y479" s="539">
        <f t="shared" ref="Y479:Z479" si="1047">Y476+Y478</f>
        <v>4924</v>
      </c>
      <c r="Z479" s="539">
        <f t="shared" si="1047"/>
        <v>4713</v>
      </c>
      <c r="AA479" s="539">
        <f t="shared" ref="AA479:AB479" si="1048">AA476+AA478</f>
        <v>4839</v>
      </c>
      <c r="AB479" s="539">
        <f t="shared" si="1048"/>
        <v>4846</v>
      </c>
      <c r="AC479" s="539">
        <f t="shared" si="1046"/>
        <v>5053.5757215811527</v>
      </c>
      <c r="AD479" s="539">
        <f t="shared" si="1046"/>
        <v>5127.5758633123332</v>
      </c>
      <c r="AE479" s="539">
        <f t="shared" si="1046"/>
        <v>5206.6577029544324</v>
      </c>
      <c r="AF479" s="539">
        <f t="shared" ref="AF479:AI479" si="1049">AF476+AF478</f>
        <v>5344.3165564688115</v>
      </c>
      <c r="AG479" s="539">
        <f t="shared" si="1049"/>
        <v>5429.0660902012423</v>
      </c>
      <c r="AH479" s="539">
        <f t="shared" si="1049"/>
        <v>5457.2048472514007</v>
      </c>
      <c r="AI479" s="539">
        <f t="shared" si="1049"/>
        <v>5511.9393476806545</v>
      </c>
      <c r="AJ479" s="539"/>
      <c r="AK479" s="539"/>
      <c r="AL479" s="539"/>
      <c r="AM479" s="539"/>
      <c r="AN479" s="539"/>
      <c r="AO479" s="539"/>
      <c r="AP479" s="539"/>
      <c r="AQ479" s="539"/>
      <c r="AR479" s="70"/>
      <c r="AS479" s="318" t="s">
        <v>648</v>
      </c>
      <c r="AT479" s="363"/>
      <c r="AU479" s="539">
        <f t="shared" ref="AU479:BD479" si="1050">AU476+AU478</f>
        <v>15521</v>
      </c>
      <c r="AV479" s="539">
        <f t="shared" si="1050"/>
        <v>16008</v>
      </c>
      <c r="AW479" s="539">
        <f t="shared" si="1050"/>
        <v>17204</v>
      </c>
      <c r="AX479" s="539">
        <f t="shared" si="1050"/>
        <v>16772</v>
      </c>
      <c r="AY479" s="539">
        <f t="shared" si="1050"/>
        <v>16032</v>
      </c>
      <c r="AZ479" s="539">
        <f t="shared" si="1050"/>
        <v>18918</v>
      </c>
      <c r="BA479" s="539">
        <f t="shared" si="1050"/>
        <v>20233.809287847918</v>
      </c>
      <c r="BB479" s="539">
        <f t="shared" ref="BB479" si="1051">BB476+BB478</f>
        <v>21742.526841602114</v>
      </c>
      <c r="BC479" s="539">
        <f t="shared" si="1050"/>
        <v>23089.639238665106</v>
      </c>
      <c r="BD479" s="539">
        <f t="shared" si="1050"/>
        <v>24364.468144671835</v>
      </c>
      <c r="BE479" s="539">
        <f t="shared" ref="BE479" si="1052">BE476+BE478</f>
        <v>25583.029469031811</v>
      </c>
      <c r="BM479"/>
      <c r="BN479"/>
      <c r="BO479"/>
      <c r="BP479"/>
      <c r="BQ479"/>
      <c r="BR479"/>
    </row>
    <row r="480" spans="1:70" s="382" customFormat="1" x14ac:dyDescent="0.2">
      <c r="A480" s="411"/>
      <c r="B480" s="321"/>
      <c r="C480" s="321"/>
      <c r="D480" s="541"/>
      <c r="E480" s="541"/>
      <c r="F480" s="541"/>
      <c r="G480" s="541"/>
      <c r="H480" s="541"/>
      <c r="I480" s="541"/>
      <c r="J480" s="541"/>
      <c r="K480" s="541"/>
      <c r="L480" s="541"/>
      <c r="M480" s="541"/>
      <c r="N480" s="541"/>
      <c r="O480" s="541"/>
      <c r="P480" s="541"/>
      <c r="Q480" s="541"/>
      <c r="R480" s="541"/>
      <c r="S480" s="541"/>
      <c r="T480" s="1622">
        <f>T482/T470</f>
        <v>5.906779661016949</v>
      </c>
      <c r="U480" s="1622">
        <f t="shared" ref="U480:W480" si="1053">U482/U470</f>
        <v>4.4597701149425291</v>
      </c>
      <c r="V480" s="1622">
        <f t="shared" si="1053"/>
        <v>4.4794520547945202</v>
      </c>
      <c r="W480" s="1622">
        <f t="shared" si="1053"/>
        <v>3.6052631578947367</v>
      </c>
      <c r="X480" s="1622"/>
      <c r="Y480" s="1622"/>
      <c r="Z480" s="1622"/>
      <c r="AA480" s="1622"/>
      <c r="AB480" s="1622"/>
      <c r="AC480" s="1622"/>
      <c r="AD480" s="1622"/>
      <c r="AE480" s="1622"/>
      <c r="AF480" s="1622"/>
      <c r="AG480" s="1622"/>
      <c r="AH480" s="1622"/>
      <c r="AI480" s="1622"/>
      <c r="AJ480" s="1622"/>
      <c r="AK480" s="1622"/>
      <c r="AL480" s="1622"/>
      <c r="AM480" s="1622"/>
      <c r="AN480" s="1622"/>
      <c r="AO480" s="1622"/>
      <c r="AP480" s="1622"/>
      <c r="AQ480" s="1622"/>
      <c r="AR480" s="70"/>
      <c r="AS480" s="321"/>
      <c r="AT480" s="321"/>
      <c r="AU480" s="542"/>
      <c r="AV480" s="351"/>
      <c r="AW480" s="541"/>
      <c r="AX480" s="542"/>
      <c r="AY480" s="541"/>
      <c r="AZ480" s="369"/>
      <c r="BA480" s="1782"/>
      <c r="BB480" s="369"/>
      <c r="BC480" s="319"/>
      <c r="BD480" s="319"/>
      <c r="BE480" s="319"/>
      <c r="BM480"/>
      <c r="BN480"/>
      <c r="BO480"/>
      <c r="BP480"/>
      <c r="BQ480"/>
      <c r="BR480"/>
    </row>
    <row r="481" spans="1:70" s="382" customFormat="1" x14ac:dyDescent="0.2">
      <c r="A481" s="411"/>
      <c r="B481" s="315" t="s">
        <v>79</v>
      </c>
      <c r="C481" s="321"/>
      <c r="D481" s="454">
        <v>4952</v>
      </c>
      <c r="E481" s="454">
        <v>3002</v>
      </c>
      <c r="F481" s="454">
        <v>3805</v>
      </c>
      <c r="G481" s="454">
        <v>2879</v>
      </c>
      <c r="H481" s="454">
        <v>4731</v>
      </c>
      <c r="I481" s="454">
        <v>3505</v>
      </c>
      <c r="J481" s="454">
        <v>2854</v>
      </c>
      <c r="K481" s="454">
        <v>2448</v>
      </c>
      <c r="L481" s="454">
        <v>3919</v>
      </c>
      <c r="M481" s="454">
        <v>3121</v>
      </c>
      <c r="N481" s="454">
        <v>3064</v>
      </c>
      <c r="O481" s="454">
        <v>2070</v>
      </c>
      <c r="P481" s="454">
        <v>3485</v>
      </c>
      <c r="Q481" s="454">
        <v>3032</v>
      </c>
      <c r="R481" s="454">
        <v>2553</v>
      </c>
      <c r="S481" s="454">
        <v>2207</v>
      </c>
      <c r="T481" s="454">
        <v>3051</v>
      </c>
      <c r="U481" s="454">
        <v>3432</v>
      </c>
      <c r="V481" s="454">
        <v>3413</v>
      </c>
      <c r="W481" s="454">
        <v>2957</v>
      </c>
      <c r="X481" s="454">
        <v>3678</v>
      </c>
      <c r="Y481" s="454">
        <v>3274</v>
      </c>
      <c r="Z481" s="454">
        <v>2936</v>
      </c>
      <c r="AA481" s="454">
        <v>2463</v>
      </c>
      <c r="AB481" s="454">
        <v>3418</v>
      </c>
      <c r="AC481" s="348">
        <f>Y481*(1+Drivers!AC180)</f>
        <v>3535.92</v>
      </c>
      <c r="AD481" s="348">
        <f>Z481*(1+Drivers!AD180)</f>
        <v>3170.88</v>
      </c>
      <c r="AE481" s="348">
        <f>AA481*(1+Drivers!AE180)</f>
        <v>2660.04</v>
      </c>
      <c r="AF481" s="348">
        <f>AB481*(1+Drivers!AF180)</f>
        <v>3828.1600000000003</v>
      </c>
      <c r="AG481" s="348">
        <f>AC481*(1+Drivers!AG180)</f>
        <v>3889.5120000000002</v>
      </c>
      <c r="AH481" s="348">
        <f>AD481*(1+Drivers!AH180)</f>
        <v>3487.9680000000003</v>
      </c>
      <c r="AI481" s="348">
        <f>AE481*(1+Drivers!AI180)</f>
        <v>2926.0440000000003</v>
      </c>
      <c r="AJ481" s="348"/>
      <c r="AK481" s="348"/>
      <c r="AL481" s="348"/>
      <c r="AM481" s="348"/>
      <c r="AN481" s="348"/>
      <c r="AO481" s="348"/>
      <c r="AP481" s="348"/>
      <c r="AQ481" s="348"/>
      <c r="AR481" s="70"/>
      <c r="AS481" s="315" t="s">
        <v>79</v>
      </c>
      <c r="AT481" s="321"/>
      <c r="AU481" s="232">
        <f>SUM(D481:G481)</f>
        <v>14638</v>
      </c>
      <c r="AV481" s="232">
        <f>SUM(H481:K481)</f>
        <v>13538</v>
      </c>
      <c r="AW481" s="232">
        <f>SUM(L481:O481)</f>
        <v>12174</v>
      </c>
      <c r="AX481" s="232">
        <f>SUM(P481:S481)</f>
        <v>11277</v>
      </c>
      <c r="AY481" s="232">
        <f>SUM(T481:W481)</f>
        <v>12853</v>
      </c>
      <c r="AZ481" s="232">
        <f>SUM(X481:AA481)</f>
        <v>12351</v>
      </c>
      <c r="BA481" s="232">
        <f>SUM(AB481:AE481)</f>
        <v>12784.84</v>
      </c>
      <c r="BB481" s="232">
        <f>SUM(AF481:AI481)</f>
        <v>14131.684000000001</v>
      </c>
      <c r="BC481" s="348">
        <f>BB481*(1+Drivers!BC180)</f>
        <v>15262.218720000003</v>
      </c>
      <c r="BD481" s="348">
        <f>BC481*(1+Drivers!BD180)</f>
        <v>16330.574030400003</v>
      </c>
      <c r="BE481" s="348">
        <f>BD481*(1+Drivers!BE180)</f>
        <v>17473.714212528004</v>
      </c>
      <c r="BM481"/>
      <c r="BN481"/>
      <c r="BO481"/>
      <c r="BP481"/>
      <c r="BQ481"/>
      <c r="BR481"/>
    </row>
    <row r="482" spans="1:70" s="382" customFormat="1" x14ac:dyDescent="0.2">
      <c r="A482" s="411"/>
      <c r="B482" s="315" t="s">
        <v>78</v>
      </c>
      <c r="C482" s="321"/>
      <c r="D482" s="454">
        <v>897</v>
      </c>
      <c r="E482" s="454">
        <v>533</v>
      </c>
      <c r="F482" s="454">
        <v>499</v>
      </c>
      <c r="G482" s="454">
        <v>435</v>
      </c>
      <c r="H482" s="454">
        <v>805</v>
      </c>
      <c r="I482" s="454">
        <v>904</v>
      </c>
      <c r="J482" s="454">
        <v>692</v>
      </c>
      <c r="K482" s="454">
        <v>504</v>
      </c>
      <c r="L482" s="454">
        <v>883</v>
      </c>
      <c r="M482" s="454">
        <v>610</v>
      </c>
      <c r="N482" s="454">
        <v>755</v>
      </c>
      <c r="O482" s="454">
        <v>473</v>
      </c>
      <c r="P482" s="454">
        <v>862</v>
      </c>
      <c r="Q482" s="454">
        <v>644</v>
      </c>
      <c r="R482" s="454">
        <v>997</v>
      </c>
      <c r="S482" s="454">
        <v>598</v>
      </c>
      <c r="T482" s="454">
        <v>697</v>
      </c>
      <c r="U482" s="454">
        <v>776</v>
      </c>
      <c r="V482" s="454">
        <v>654</v>
      </c>
      <c r="W482" s="454">
        <v>685</v>
      </c>
      <c r="X482" s="454">
        <v>802</v>
      </c>
      <c r="Y482" s="454">
        <v>725</v>
      </c>
      <c r="Z482" s="454">
        <v>785</v>
      </c>
      <c r="AA482" s="454">
        <v>567</v>
      </c>
      <c r="AB482" s="454">
        <v>1103</v>
      </c>
      <c r="AC482" s="348">
        <f>Y482*(1+Drivers!AC181)</f>
        <v>775.75</v>
      </c>
      <c r="AD482" s="348">
        <f>Z482*(1+Drivers!AD181)</f>
        <v>816.4</v>
      </c>
      <c r="AE482" s="348">
        <f>AA482*(1+Drivers!AE181)</f>
        <v>680.4</v>
      </c>
      <c r="AF482" s="348">
        <f>AB482*(1+Drivers!AF181)</f>
        <v>937.55</v>
      </c>
      <c r="AG482" s="348">
        <f>AC482*(1+Drivers!AG181)</f>
        <v>814.53750000000002</v>
      </c>
      <c r="AH482" s="348">
        <f>AD482*(1+Drivers!AH181)</f>
        <v>857.22</v>
      </c>
      <c r="AI482" s="348">
        <f>AE482*(1+Drivers!AI181)</f>
        <v>714.42</v>
      </c>
      <c r="AJ482" s="348"/>
      <c r="AK482" s="348"/>
      <c r="AL482" s="348"/>
      <c r="AM482" s="348"/>
      <c r="AN482" s="348"/>
      <c r="AO482" s="348"/>
      <c r="AP482" s="348"/>
      <c r="AQ482" s="348"/>
      <c r="AR482" s="70"/>
      <c r="AS482" s="315" t="s">
        <v>78</v>
      </c>
      <c r="AT482" s="321"/>
      <c r="AU482" s="232">
        <f>SUM(D482:G482)</f>
        <v>2364</v>
      </c>
      <c r="AV482" s="232">
        <f>SUM(H482:K482)</f>
        <v>2905</v>
      </c>
      <c r="AW482" s="232">
        <f>SUM(L482:O482)</f>
        <v>2721</v>
      </c>
      <c r="AX482" s="232">
        <f>SUM(P482:S482)</f>
        <v>3101</v>
      </c>
      <c r="AY482" s="232">
        <f>SUM(T482:W482)</f>
        <v>2812</v>
      </c>
      <c r="AZ482" s="232">
        <f>SUM(X482:AA482)</f>
        <v>2879</v>
      </c>
      <c r="BA482" s="232">
        <f>SUM(AB482:AE482)</f>
        <v>3375.55</v>
      </c>
      <c r="BB482" s="232">
        <f>SUM(AF482:AI482)</f>
        <v>3323.7275</v>
      </c>
      <c r="BC482" s="348">
        <f>BB482*(1+Drivers!BC181)</f>
        <v>3556.3884250000001</v>
      </c>
      <c r="BD482" s="348">
        <f>BC482*(1+Drivers!BD181)</f>
        <v>3805.3356147500003</v>
      </c>
      <c r="BE482" s="348">
        <f>BD482*(1+Drivers!BE181)</f>
        <v>4071.7091077825007</v>
      </c>
      <c r="BM482"/>
      <c r="BN482"/>
      <c r="BO482"/>
      <c r="BP482"/>
      <c r="BQ482"/>
      <c r="BR482"/>
    </row>
    <row r="483" spans="1:70" s="382" customFormat="1" x14ac:dyDescent="0.2">
      <c r="A483" s="411"/>
      <c r="B483" s="315" t="s">
        <v>115</v>
      </c>
      <c r="C483" s="321"/>
      <c r="D483" s="454">
        <v>517</v>
      </c>
      <c r="E483" s="454">
        <v>484</v>
      </c>
      <c r="F483" s="454">
        <v>479</v>
      </c>
      <c r="G483" s="454">
        <v>467</v>
      </c>
      <c r="H483" s="454">
        <v>492</v>
      </c>
      <c r="I483" s="454">
        <v>529</v>
      </c>
      <c r="J483" s="454">
        <v>481</v>
      </c>
      <c r="K483" s="454">
        <v>476</v>
      </c>
      <c r="L483" s="454">
        <v>485</v>
      </c>
      <c r="M483" s="454">
        <v>521</v>
      </c>
      <c r="N483" s="454">
        <v>535</v>
      </c>
      <c r="O483" s="454">
        <v>509</v>
      </c>
      <c r="P483" s="454">
        <v>535</v>
      </c>
      <c r="Q483" s="454">
        <v>563</v>
      </c>
      <c r="R483" s="454">
        <v>506</v>
      </c>
      <c r="S483" s="454">
        <v>510</v>
      </c>
      <c r="T483" s="454">
        <v>561</v>
      </c>
      <c r="U483" s="454">
        <v>529</v>
      </c>
      <c r="V483" s="454">
        <v>533</v>
      </c>
      <c r="W483" s="454">
        <v>529</v>
      </c>
      <c r="X483" s="454">
        <v>552</v>
      </c>
      <c r="Y483" s="454">
        <v>594</v>
      </c>
      <c r="Z483" s="454">
        <v>608</v>
      </c>
      <c r="AA483" s="454">
        <v>612</v>
      </c>
      <c r="AB483" s="454">
        <v>641</v>
      </c>
      <c r="AC483" s="348">
        <f>Y483*(1+Drivers!AC182)</f>
        <v>653.40000000000009</v>
      </c>
      <c r="AD483" s="348">
        <f>Z483*(1+Drivers!AD182)</f>
        <v>668.80000000000007</v>
      </c>
      <c r="AE483" s="348">
        <f>AA483*(1+Drivers!AE182)</f>
        <v>667.08</v>
      </c>
      <c r="AF483" s="348">
        <f>AB483*(1+Drivers!AF182)</f>
        <v>698.69</v>
      </c>
      <c r="AG483" s="348">
        <f>AC483*(1+Drivers!AG182)</f>
        <v>705.67200000000014</v>
      </c>
      <c r="AH483" s="348">
        <f>AD483*(1+Drivers!AH182)</f>
        <v>722.30400000000009</v>
      </c>
      <c r="AI483" s="348">
        <f>AE483*(1+Drivers!AI182)</f>
        <v>720.44640000000004</v>
      </c>
      <c r="AJ483" s="348"/>
      <c r="AK483" s="348"/>
      <c r="AL483" s="348"/>
      <c r="AM483" s="348"/>
      <c r="AN483" s="348"/>
      <c r="AO483" s="348"/>
      <c r="AP483" s="348"/>
      <c r="AQ483" s="348"/>
      <c r="AR483" s="70"/>
      <c r="AS483" s="315" t="s">
        <v>115</v>
      </c>
      <c r="AT483" s="321"/>
      <c r="AU483" s="232">
        <f>SUM(D483:G483)</f>
        <v>1947</v>
      </c>
      <c r="AV483" s="232">
        <f>SUM(H483:K483)</f>
        <v>1978</v>
      </c>
      <c r="AW483" s="232">
        <f>SUM(L483:O483)</f>
        <v>2050</v>
      </c>
      <c r="AX483" s="232">
        <f>SUM(P483:S483)</f>
        <v>2114</v>
      </c>
      <c r="AY483" s="232">
        <f>SUM(T483:W483)</f>
        <v>2152</v>
      </c>
      <c r="AZ483" s="232">
        <f>SUM(X483:AA483)</f>
        <v>2366</v>
      </c>
      <c r="BA483" s="232">
        <f>SUM(AB483:AE483)</f>
        <v>2630.28</v>
      </c>
      <c r="BB483" s="232">
        <f>SUM(AF483:AI483)</f>
        <v>2847.1124</v>
      </c>
      <c r="BC483" s="348">
        <f>BB483*(1+Drivers!BC182)</f>
        <v>3046.4102680000001</v>
      </c>
      <c r="BD483" s="348">
        <f>BC483*(1+Drivers!BD182)</f>
        <v>3259.6589867600001</v>
      </c>
      <c r="BE483" s="348">
        <f>BD483*(1+Drivers!BE182)</f>
        <v>3487.8351158332002</v>
      </c>
      <c r="BM483"/>
      <c r="BN483"/>
      <c r="BO483"/>
      <c r="BP483"/>
      <c r="BQ483"/>
      <c r="BR483"/>
    </row>
    <row r="484" spans="1:70" s="382" customFormat="1" x14ac:dyDescent="0.2">
      <c r="A484" s="411"/>
      <c r="B484" s="315" t="s">
        <v>16</v>
      </c>
      <c r="C484" s="321"/>
      <c r="D484" s="454">
        <v>-477</v>
      </c>
      <c r="E484" s="454">
        <v>-200</v>
      </c>
      <c r="F484" s="454">
        <v>-365</v>
      </c>
      <c r="G484" s="454">
        <v>-70</v>
      </c>
      <c r="H484" s="454">
        <v>-178</v>
      </c>
      <c r="I484" s="454">
        <v>-56</v>
      </c>
      <c r="J484" s="454">
        <v>-117</v>
      </c>
      <c r="K484" s="454">
        <v>-153</v>
      </c>
      <c r="L484" s="454">
        <v>-111</v>
      </c>
      <c r="M484" s="454">
        <v>-189</v>
      </c>
      <c r="N484" s="454">
        <v>-70</v>
      </c>
      <c r="O484" s="454">
        <v>-74</v>
      </c>
      <c r="P484" s="454">
        <v>-78</v>
      </c>
      <c r="Q484" s="454">
        <v>-26</v>
      </c>
      <c r="R484" s="454">
        <v>-20</v>
      </c>
      <c r="S484" s="454">
        <v>-77</v>
      </c>
      <c r="T484" s="454">
        <v>-256</v>
      </c>
      <c r="U484" s="454">
        <v>-116</v>
      </c>
      <c r="V484" s="454">
        <v>-111</v>
      </c>
      <c r="W484" s="454">
        <v>-139</v>
      </c>
      <c r="X484" s="454">
        <v>-155</v>
      </c>
      <c r="Y484" s="454">
        <v>-96</v>
      </c>
      <c r="Z484" s="454">
        <v>388</v>
      </c>
      <c r="AA484" s="454">
        <v>-177</v>
      </c>
      <c r="AB484" s="454">
        <v>-160</v>
      </c>
      <c r="AC484" s="348">
        <f>Y484*(1+Drivers!AC183)</f>
        <v>144</v>
      </c>
      <c r="AD484" s="348">
        <f>Z484*(1+Drivers!AD183)</f>
        <v>155.20000000000002</v>
      </c>
      <c r="AE484" s="348">
        <f>AA484*(1+Drivers!AE183)</f>
        <v>150.45000000000002</v>
      </c>
      <c r="AF484" s="348">
        <f>AB484*(1+Drivers!AF183)</f>
        <v>152</v>
      </c>
      <c r="AG484" s="348">
        <f>AC484*(1+Drivers!AG183)</f>
        <v>144</v>
      </c>
      <c r="AH484" s="348">
        <f>AD484*(1+Drivers!AH183)</f>
        <v>155.20000000000002</v>
      </c>
      <c r="AI484" s="348">
        <f>AE484*(1+Drivers!AI183)</f>
        <v>150.45000000000002</v>
      </c>
      <c r="AJ484" s="348"/>
      <c r="AK484" s="348"/>
      <c r="AL484" s="348"/>
      <c r="AM484" s="348"/>
      <c r="AN484" s="348"/>
      <c r="AO484" s="348"/>
      <c r="AP484" s="348"/>
      <c r="AQ484" s="348"/>
      <c r="AR484" s="70"/>
      <c r="AS484" s="315" t="s">
        <v>16</v>
      </c>
      <c r="AT484" s="321"/>
      <c r="AU484" s="232">
        <f>SUM(D484:G484)</f>
        <v>-1112</v>
      </c>
      <c r="AV484" s="232">
        <f>SUM(H484:K484)</f>
        <v>-504</v>
      </c>
      <c r="AW484" s="232">
        <f>SUM(L484:O484)</f>
        <v>-444</v>
      </c>
      <c r="AX484" s="232">
        <f>SUM(P484:S484)</f>
        <v>-201</v>
      </c>
      <c r="AY484" s="232">
        <f>SUM(T484:W484)</f>
        <v>-622</v>
      </c>
      <c r="AZ484" s="232">
        <f>SUM(X484:AA484)</f>
        <v>-40</v>
      </c>
      <c r="BA484" s="232">
        <f>SUM(AB484:AE484)</f>
        <v>289.65000000000003</v>
      </c>
      <c r="BB484" s="232">
        <f>SUM(AF484:AI484)</f>
        <v>601.65000000000009</v>
      </c>
      <c r="BC484" s="348">
        <f>BB484*(1+Drivers!BC183)</f>
        <v>601.65000000000009</v>
      </c>
      <c r="BD484" s="348">
        <f>BC484*(1+Drivers!BD183)</f>
        <v>601.65000000000009</v>
      </c>
      <c r="BE484" s="348">
        <f>BD484*(1+Drivers!BE183)</f>
        <v>601.65000000000009</v>
      </c>
      <c r="BM484"/>
      <c r="BN484"/>
      <c r="BO484"/>
      <c r="BP484"/>
      <c r="BQ484"/>
      <c r="BR484"/>
    </row>
    <row r="485" spans="1:70" s="382" customFormat="1" x14ac:dyDescent="0.2">
      <c r="A485" s="411"/>
      <c r="B485" s="318" t="s">
        <v>649</v>
      </c>
      <c r="C485" s="319"/>
      <c r="D485" s="543">
        <f t="shared" ref="D485:AE485" si="1054">SUM(D481:D484)</f>
        <v>5889</v>
      </c>
      <c r="E485" s="543">
        <f t="shared" si="1054"/>
        <v>3819</v>
      </c>
      <c r="F485" s="543">
        <f t="shared" si="1054"/>
        <v>4418</v>
      </c>
      <c r="G485" s="543">
        <f t="shared" si="1054"/>
        <v>3711</v>
      </c>
      <c r="H485" s="543">
        <f t="shared" si="1054"/>
        <v>5850</v>
      </c>
      <c r="I485" s="543">
        <f t="shared" si="1054"/>
        <v>4882</v>
      </c>
      <c r="J485" s="543">
        <f t="shared" si="1054"/>
        <v>3910</v>
      </c>
      <c r="K485" s="543">
        <f t="shared" si="1054"/>
        <v>3275</v>
      </c>
      <c r="L485" s="543">
        <f t="shared" si="1054"/>
        <v>5176</v>
      </c>
      <c r="M485" s="543">
        <f t="shared" si="1054"/>
        <v>4063</v>
      </c>
      <c r="N485" s="543">
        <f t="shared" si="1054"/>
        <v>4284</v>
      </c>
      <c r="O485" s="543">
        <f t="shared" si="1054"/>
        <v>2978</v>
      </c>
      <c r="P485" s="543">
        <f t="shared" si="1054"/>
        <v>4804</v>
      </c>
      <c r="Q485" s="543">
        <f t="shared" si="1054"/>
        <v>4213</v>
      </c>
      <c r="R485" s="543">
        <f t="shared" si="1054"/>
        <v>4036</v>
      </c>
      <c r="S485" s="543">
        <f t="shared" si="1054"/>
        <v>3238</v>
      </c>
      <c r="T485" s="543">
        <f t="shared" si="1054"/>
        <v>4053</v>
      </c>
      <c r="U485" s="543">
        <f t="shared" si="1054"/>
        <v>4621</v>
      </c>
      <c r="V485" s="543">
        <f t="shared" si="1054"/>
        <v>4489</v>
      </c>
      <c r="W485" s="543">
        <f t="shared" si="1054"/>
        <v>4032</v>
      </c>
      <c r="X485" s="543">
        <f t="shared" si="1054"/>
        <v>4877</v>
      </c>
      <c r="Y485" s="543">
        <f t="shared" ref="Y485:Z485" si="1055">SUM(Y481:Y484)</f>
        <v>4497</v>
      </c>
      <c r="Z485" s="543">
        <f t="shared" si="1055"/>
        <v>4717</v>
      </c>
      <c r="AA485" s="543">
        <f t="shared" ref="AA485:AB485" si="1056">SUM(AA481:AA484)</f>
        <v>3465</v>
      </c>
      <c r="AB485" s="543">
        <f t="shared" si="1056"/>
        <v>5002</v>
      </c>
      <c r="AC485" s="543">
        <f t="shared" si="1054"/>
        <v>5109.07</v>
      </c>
      <c r="AD485" s="543">
        <f t="shared" si="1054"/>
        <v>4811.28</v>
      </c>
      <c r="AE485" s="543">
        <f t="shared" si="1054"/>
        <v>4157.97</v>
      </c>
      <c r="AF485" s="543">
        <f t="shared" ref="AF485:AI485" si="1057">SUM(AF481:AF484)</f>
        <v>5616.4</v>
      </c>
      <c r="AG485" s="543">
        <f t="shared" si="1057"/>
        <v>5553.7215000000006</v>
      </c>
      <c r="AH485" s="543">
        <f t="shared" si="1057"/>
        <v>5222.692</v>
      </c>
      <c r="AI485" s="543">
        <f t="shared" si="1057"/>
        <v>4511.3604000000005</v>
      </c>
      <c r="AJ485" s="320"/>
      <c r="AK485" s="320"/>
      <c r="AL485" s="320"/>
      <c r="AM485" s="320"/>
      <c r="AN485" s="320"/>
      <c r="AO485" s="320"/>
      <c r="AP485" s="320"/>
      <c r="AQ485" s="320"/>
      <c r="AR485" s="70"/>
      <c r="AS485" s="318" t="s">
        <v>649</v>
      </c>
      <c r="AT485" s="319"/>
      <c r="AU485" s="543">
        <f t="shared" ref="AU485:BD485" si="1058">SUM(AU481:AU484)</f>
        <v>17837</v>
      </c>
      <c r="AV485" s="543">
        <f t="shared" si="1058"/>
        <v>17917</v>
      </c>
      <c r="AW485" s="543">
        <f t="shared" si="1058"/>
        <v>16501</v>
      </c>
      <c r="AX485" s="543">
        <f t="shared" si="1058"/>
        <v>16291</v>
      </c>
      <c r="AY485" s="543">
        <f t="shared" si="1058"/>
        <v>17195</v>
      </c>
      <c r="AZ485" s="543">
        <f t="shared" si="1058"/>
        <v>17556</v>
      </c>
      <c r="BA485" s="543">
        <f t="shared" si="1058"/>
        <v>19080.32</v>
      </c>
      <c r="BB485" s="543">
        <f t="shared" ref="BB485" si="1059">SUM(BB481:BB484)</f>
        <v>20904.173900000002</v>
      </c>
      <c r="BC485" s="543">
        <f t="shared" si="1058"/>
        <v>22466.667413000003</v>
      </c>
      <c r="BD485" s="543">
        <f t="shared" si="1058"/>
        <v>23997.218631910007</v>
      </c>
      <c r="BE485" s="543">
        <f t="shared" ref="BE485" si="1060">SUM(BE481:BE484)</f>
        <v>25634.908436143705</v>
      </c>
      <c r="BM485"/>
      <c r="BN485"/>
      <c r="BO485"/>
      <c r="BP485"/>
      <c r="BQ485"/>
      <c r="BR485"/>
    </row>
    <row r="486" spans="1:70" s="382" customFormat="1" x14ac:dyDescent="0.2">
      <c r="A486" s="411"/>
      <c r="B486" s="318"/>
      <c r="C486" s="321"/>
      <c r="D486" s="385"/>
      <c r="E486" s="385"/>
      <c r="F486" s="385"/>
      <c r="G486" s="385"/>
      <c r="H486" s="385"/>
      <c r="I486" s="385"/>
      <c r="J486" s="385"/>
      <c r="K486" s="385"/>
      <c r="L486" s="385"/>
      <c r="M486" s="385"/>
      <c r="N486" s="385"/>
      <c r="O486" s="385"/>
      <c r="P486" s="385"/>
      <c r="Q486" s="385"/>
      <c r="R486" s="385"/>
      <c r="S486" s="385"/>
      <c r="T486" s="385"/>
      <c r="U486" s="385"/>
      <c r="V486" s="385"/>
      <c r="W486" s="385"/>
      <c r="X486" s="385"/>
      <c r="Y486" s="385"/>
      <c r="Z486" s="385"/>
      <c r="AA486" s="385"/>
      <c r="AB486" s="385"/>
      <c r="AC486" s="541"/>
      <c r="AD486" s="541"/>
      <c r="AE486" s="541"/>
      <c r="AF486" s="541"/>
      <c r="AG486" s="541"/>
      <c r="AH486" s="541"/>
      <c r="AI486" s="351"/>
      <c r="AJ486" s="351"/>
      <c r="AK486" s="351"/>
      <c r="AL486" s="351"/>
      <c r="AM486" s="351"/>
      <c r="AN486" s="351"/>
      <c r="AO486" s="351"/>
      <c r="AP486" s="351"/>
      <c r="AQ486" s="351"/>
      <c r="AR486" s="70"/>
      <c r="AS486" s="318"/>
      <c r="AT486" s="321"/>
      <c r="AU486" s="542"/>
      <c r="AV486" s="351"/>
      <c r="AW486" s="541"/>
      <c r="AX486" s="542"/>
      <c r="AY486" s="541"/>
      <c r="AZ486" s="369"/>
      <c r="BA486" s="369"/>
      <c r="BB486" s="369"/>
      <c r="BC486" s="541"/>
      <c r="BD486" s="541"/>
      <c r="BE486" s="541"/>
      <c r="BM486"/>
      <c r="BN486"/>
      <c r="BO486"/>
      <c r="BP486"/>
      <c r="BQ486"/>
      <c r="BR486"/>
    </row>
    <row r="487" spans="1:70" s="382" customFormat="1" x14ac:dyDescent="0.2">
      <c r="A487" s="411"/>
      <c r="B487" s="318" t="s">
        <v>650</v>
      </c>
      <c r="C487" s="321"/>
      <c r="D487" s="320">
        <f t="shared" ref="D487:AE487" si="1061">D485+D479</f>
        <v>9504</v>
      </c>
      <c r="E487" s="320">
        <f t="shared" si="1061"/>
        <v>8069</v>
      </c>
      <c r="F487" s="320">
        <f t="shared" si="1061"/>
        <v>8256</v>
      </c>
      <c r="G487" s="320">
        <f t="shared" si="1061"/>
        <v>7529</v>
      </c>
      <c r="H487" s="320">
        <f t="shared" si="1061"/>
        <v>9901</v>
      </c>
      <c r="I487" s="320">
        <f t="shared" si="1061"/>
        <v>9132</v>
      </c>
      <c r="J487" s="320">
        <f t="shared" si="1061"/>
        <v>7661</v>
      </c>
      <c r="K487" s="320">
        <f t="shared" si="1061"/>
        <v>7231</v>
      </c>
      <c r="L487" s="320">
        <f t="shared" si="1061"/>
        <v>9273</v>
      </c>
      <c r="M487" s="320">
        <f t="shared" si="1061"/>
        <v>8503</v>
      </c>
      <c r="N487" s="320">
        <f t="shared" si="1061"/>
        <v>8718</v>
      </c>
      <c r="O487" s="320">
        <f t="shared" si="1061"/>
        <v>7211</v>
      </c>
      <c r="P487" s="320">
        <f t="shared" si="1061"/>
        <v>9031</v>
      </c>
      <c r="Q487" s="320">
        <f t="shared" si="1061"/>
        <v>8466</v>
      </c>
      <c r="R487" s="320">
        <f t="shared" si="1061"/>
        <v>8260</v>
      </c>
      <c r="S487" s="320">
        <f t="shared" si="1061"/>
        <v>7306</v>
      </c>
      <c r="T487" s="320">
        <f t="shared" si="1061"/>
        <v>7895</v>
      </c>
      <c r="U487" s="320">
        <f t="shared" si="1061"/>
        <v>8689</v>
      </c>
      <c r="V487" s="320">
        <f t="shared" si="1061"/>
        <v>8459</v>
      </c>
      <c r="W487" s="320">
        <f t="shared" si="1061"/>
        <v>8184</v>
      </c>
      <c r="X487" s="320">
        <f t="shared" si="1061"/>
        <v>9319</v>
      </c>
      <c r="Y487" s="320">
        <f t="shared" ref="Y487:Z487" si="1062">Y485+Y479</f>
        <v>9421</v>
      </c>
      <c r="Z487" s="320">
        <f t="shared" si="1062"/>
        <v>9430</v>
      </c>
      <c r="AA487" s="320">
        <f t="shared" ref="AA487:AB487" si="1063">AA485+AA479</f>
        <v>8304</v>
      </c>
      <c r="AB487" s="320">
        <f t="shared" si="1063"/>
        <v>9848</v>
      </c>
      <c r="AC487" s="320">
        <f t="shared" si="1061"/>
        <v>10162.645721581153</v>
      </c>
      <c r="AD487" s="320">
        <f t="shared" si="1061"/>
        <v>9938.8558633123321</v>
      </c>
      <c r="AE487" s="320">
        <f t="shared" si="1061"/>
        <v>9364.6277029544326</v>
      </c>
      <c r="AF487" s="320">
        <f t="shared" ref="AF487:AI487" si="1064">AF485+AF479</f>
        <v>10960.716556468811</v>
      </c>
      <c r="AG487" s="320">
        <f t="shared" si="1064"/>
        <v>10982.787590201242</v>
      </c>
      <c r="AH487" s="320">
        <f t="shared" si="1064"/>
        <v>10679.896847251401</v>
      </c>
      <c r="AI487" s="320">
        <f t="shared" si="1064"/>
        <v>10023.299747680656</v>
      </c>
      <c r="AJ487" s="320"/>
      <c r="AK487" s="320"/>
      <c r="AL487" s="320"/>
      <c r="AM487" s="320"/>
      <c r="AN487" s="320"/>
      <c r="AO487" s="320"/>
      <c r="AP487" s="320"/>
      <c r="AQ487" s="320"/>
      <c r="AR487" s="70"/>
      <c r="AS487" s="318" t="s">
        <v>651</v>
      </c>
      <c r="AT487" s="321"/>
      <c r="AU487" s="385">
        <f t="shared" ref="AU487:BD487" si="1065">AU485+AU479</f>
        <v>33358</v>
      </c>
      <c r="AV487" s="385">
        <f t="shared" si="1065"/>
        <v>33925</v>
      </c>
      <c r="AW487" s="385">
        <f t="shared" si="1065"/>
        <v>33705</v>
      </c>
      <c r="AX487" s="385">
        <f t="shared" si="1065"/>
        <v>33063</v>
      </c>
      <c r="AY487" s="385">
        <f t="shared" si="1065"/>
        <v>33227</v>
      </c>
      <c r="AZ487" s="385">
        <f t="shared" si="1065"/>
        <v>36474</v>
      </c>
      <c r="BA487" s="385">
        <f t="shared" si="1065"/>
        <v>39314.129287847914</v>
      </c>
      <c r="BB487" s="385">
        <f t="shared" ref="BB487" si="1066">BB485+BB479</f>
        <v>42646.700741602115</v>
      </c>
      <c r="BC487" s="385">
        <f t="shared" si="1065"/>
        <v>45556.306651665109</v>
      </c>
      <c r="BD487" s="385">
        <f t="shared" si="1065"/>
        <v>48361.686776581846</v>
      </c>
      <c r="BE487" s="385">
        <f t="shared" ref="BE487" si="1067">BE485+BE479</f>
        <v>51217.937905175517</v>
      </c>
      <c r="BM487"/>
      <c r="BN487"/>
      <c r="BO487"/>
      <c r="BP487"/>
      <c r="BQ487"/>
      <c r="BR487"/>
    </row>
    <row r="488" spans="1:70" s="382" customFormat="1" x14ac:dyDescent="0.2">
      <c r="A488" s="411"/>
      <c r="B488" s="319"/>
      <c r="C488" s="321" t="s">
        <v>479</v>
      </c>
      <c r="D488" s="198">
        <f>D1567</f>
        <v>-1376</v>
      </c>
      <c r="E488" s="198">
        <f t="shared" ref="E488:AE488" si="1068">E1567</f>
        <v>198</v>
      </c>
      <c r="F488" s="198">
        <f t="shared" si="1068"/>
        <v>-799</v>
      </c>
      <c r="G488" s="198">
        <f t="shared" si="1068"/>
        <v>-510</v>
      </c>
      <c r="H488" s="198">
        <f t="shared" si="1068"/>
        <v>-310</v>
      </c>
      <c r="I488" s="198">
        <f t="shared" si="1068"/>
        <v>462</v>
      </c>
      <c r="J488" s="198">
        <f t="shared" si="1068"/>
        <v>-332</v>
      </c>
      <c r="K488" s="198">
        <f t="shared" si="1068"/>
        <v>-165</v>
      </c>
      <c r="L488" s="198">
        <f t="shared" si="1068"/>
        <v>-7</v>
      </c>
      <c r="M488" s="198">
        <f t="shared" si="1068"/>
        <v>-32</v>
      </c>
      <c r="N488" s="198">
        <f t="shared" si="1068"/>
        <v>-316</v>
      </c>
      <c r="O488" s="198">
        <f t="shared" si="1068"/>
        <v>12</v>
      </c>
      <c r="P488" s="198">
        <f t="shared" si="1068"/>
        <v>-69</v>
      </c>
      <c r="Q488" s="198">
        <f t="shared" si="1068"/>
        <v>303</v>
      </c>
      <c r="R488" s="198">
        <f t="shared" si="1068"/>
        <v>221</v>
      </c>
      <c r="S488" s="198">
        <f t="shared" si="1068"/>
        <v>-186</v>
      </c>
      <c r="T488" s="198">
        <f t="shared" si="1068"/>
        <v>0</v>
      </c>
      <c r="U488" s="198">
        <f t="shared" si="1068"/>
        <v>0</v>
      </c>
      <c r="V488" s="198">
        <f t="shared" si="1068"/>
        <v>0</v>
      </c>
      <c r="W488" s="198">
        <f t="shared" si="1068"/>
        <v>0</v>
      </c>
      <c r="X488" s="198">
        <f>X1567</f>
        <v>0</v>
      </c>
      <c r="Y488" s="198">
        <f>Y1567</f>
        <v>0</v>
      </c>
      <c r="Z488" s="198">
        <f>Z1567</f>
        <v>0</v>
      </c>
      <c r="AA488" s="198">
        <f>AA1567</f>
        <v>0</v>
      </c>
      <c r="AB488" s="198">
        <f>AB1567</f>
        <v>0</v>
      </c>
      <c r="AC488" s="198">
        <f t="shared" si="1068"/>
        <v>0</v>
      </c>
      <c r="AD488" s="198">
        <f t="shared" si="1068"/>
        <v>0</v>
      </c>
      <c r="AE488" s="198">
        <f t="shared" si="1068"/>
        <v>0</v>
      </c>
      <c r="AF488" s="198">
        <f t="shared" ref="AF488:AI488" si="1069">AF1567</f>
        <v>0</v>
      </c>
      <c r="AG488" s="198">
        <f t="shared" si="1069"/>
        <v>0</v>
      </c>
      <c r="AH488" s="198">
        <f t="shared" si="1069"/>
        <v>0</v>
      </c>
      <c r="AI488" s="198">
        <f t="shared" si="1069"/>
        <v>0</v>
      </c>
      <c r="AJ488" s="153"/>
      <c r="AK488" s="153"/>
      <c r="AL488" s="153"/>
      <c r="AM488" s="153"/>
      <c r="AN488" s="153"/>
      <c r="AO488" s="153"/>
      <c r="AP488" s="153"/>
      <c r="AQ488" s="153"/>
      <c r="AR488" s="70"/>
      <c r="AS488" s="319"/>
      <c r="AT488" s="321" t="s">
        <v>479</v>
      </c>
      <c r="AU488" s="232">
        <f>SUM(D488:G488)</f>
        <v>-2487</v>
      </c>
      <c r="AV488" s="232">
        <f>SUM(H488:K488)</f>
        <v>-345</v>
      </c>
      <c r="AW488" s="232">
        <f>SUM(L488:O488)</f>
        <v>-343</v>
      </c>
      <c r="AX488" s="232">
        <f>SUM(P488:S488)</f>
        <v>269</v>
      </c>
      <c r="AY488" s="232">
        <f>SUM(T488:W488)</f>
        <v>0</v>
      </c>
      <c r="AZ488" s="232">
        <f>SUM(X488:AA488)</f>
        <v>0</v>
      </c>
      <c r="BA488" s="232">
        <f>SUM(AB488:AE488)</f>
        <v>0</v>
      </c>
      <c r="BB488" s="232">
        <f>SUM(AF488:AI488)</f>
        <v>0</v>
      </c>
      <c r="BC488" s="198">
        <f>BC1567</f>
        <v>0</v>
      </c>
      <c r="BD488" s="198">
        <f>BD1567</f>
        <v>0</v>
      </c>
      <c r="BE488" s="198">
        <f>BE1567</f>
        <v>0</v>
      </c>
      <c r="BM488"/>
      <c r="BN488"/>
      <c r="BO488"/>
      <c r="BP488"/>
      <c r="BQ488"/>
      <c r="BR488"/>
    </row>
    <row r="489" spans="1:70" s="382" customFormat="1" ht="13.5" thickBot="1" x14ac:dyDescent="0.25">
      <c r="A489" s="411"/>
      <c r="B489" s="318" t="s">
        <v>644</v>
      </c>
      <c r="C489" s="321"/>
      <c r="D489" s="544">
        <f t="shared" ref="D489:AE489" si="1070">D487+D488</f>
        <v>8128</v>
      </c>
      <c r="E489" s="544">
        <f t="shared" si="1070"/>
        <v>8267</v>
      </c>
      <c r="F489" s="544">
        <f t="shared" si="1070"/>
        <v>7457</v>
      </c>
      <c r="G489" s="544">
        <f t="shared" si="1070"/>
        <v>7019</v>
      </c>
      <c r="H489" s="544">
        <f t="shared" si="1070"/>
        <v>9591</v>
      </c>
      <c r="I489" s="544">
        <f t="shared" si="1070"/>
        <v>9594</v>
      </c>
      <c r="J489" s="544">
        <f t="shared" si="1070"/>
        <v>7329</v>
      </c>
      <c r="K489" s="544">
        <f t="shared" si="1070"/>
        <v>7066</v>
      </c>
      <c r="L489" s="544">
        <f t="shared" si="1070"/>
        <v>9266</v>
      </c>
      <c r="M489" s="544">
        <f t="shared" si="1070"/>
        <v>8471</v>
      </c>
      <c r="N489" s="544">
        <f t="shared" si="1070"/>
        <v>8402</v>
      </c>
      <c r="O489" s="544">
        <f t="shared" si="1070"/>
        <v>7223</v>
      </c>
      <c r="P489" s="544">
        <f t="shared" si="1070"/>
        <v>8962</v>
      </c>
      <c r="Q489" s="544">
        <f t="shared" si="1070"/>
        <v>8769</v>
      </c>
      <c r="R489" s="544">
        <f t="shared" si="1070"/>
        <v>8481</v>
      </c>
      <c r="S489" s="544">
        <f t="shared" si="1070"/>
        <v>7120</v>
      </c>
      <c r="T489" s="544">
        <f t="shared" si="1070"/>
        <v>7895</v>
      </c>
      <c r="U489" s="544">
        <f t="shared" si="1070"/>
        <v>8689</v>
      </c>
      <c r="V489" s="544">
        <f t="shared" si="1070"/>
        <v>8459</v>
      </c>
      <c r="W489" s="544">
        <f t="shared" si="1070"/>
        <v>8184</v>
      </c>
      <c r="X489" s="544">
        <f t="shared" si="1070"/>
        <v>9319</v>
      </c>
      <c r="Y489" s="544">
        <f t="shared" ref="Y489:Z489" si="1071">Y487+Y488</f>
        <v>9421</v>
      </c>
      <c r="Z489" s="544">
        <f t="shared" si="1071"/>
        <v>9430</v>
      </c>
      <c r="AA489" s="544">
        <f t="shared" ref="AA489:AB489" si="1072">AA487+AA488</f>
        <v>8304</v>
      </c>
      <c r="AB489" s="544">
        <f t="shared" si="1072"/>
        <v>9848</v>
      </c>
      <c r="AC489" s="544">
        <f t="shared" si="1070"/>
        <v>10162.645721581153</v>
      </c>
      <c r="AD489" s="544">
        <f t="shared" si="1070"/>
        <v>9938.8558633123321</v>
      </c>
      <c r="AE489" s="544">
        <f t="shared" si="1070"/>
        <v>9364.6277029544326</v>
      </c>
      <c r="AF489" s="544">
        <f t="shared" ref="AF489:AI489" si="1073">AF487+AF488</f>
        <v>10960.716556468811</v>
      </c>
      <c r="AG489" s="544">
        <f t="shared" si="1073"/>
        <v>10982.787590201242</v>
      </c>
      <c r="AH489" s="544">
        <f t="shared" si="1073"/>
        <v>10679.896847251401</v>
      </c>
      <c r="AI489" s="544">
        <f t="shared" si="1073"/>
        <v>10023.299747680656</v>
      </c>
      <c r="AJ489" s="385"/>
      <c r="AK489" s="385"/>
      <c r="AL489" s="385"/>
      <c r="AM489" s="385"/>
      <c r="AN489" s="385"/>
      <c r="AO489" s="385"/>
      <c r="AP489" s="385"/>
      <c r="AQ489" s="385"/>
      <c r="AR489" s="70"/>
      <c r="AS489" s="319" t="s">
        <v>251</v>
      </c>
      <c r="AT489" s="321"/>
      <c r="AU489" s="544">
        <f t="shared" ref="AU489:BD489" si="1074">AU487+AU488</f>
        <v>30871</v>
      </c>
      <c r="AV489" s="544">
        <f t="shared" si="1074"/>
        <v>33580</v>
      </c>
      <c r="AW489" s="544">
        <f t="shared" si="1074"/>
        <v>33362</v>
      </c>
      <c r="AX489" s="544">
        <f t="shared" si="1074"/>
        <v>33332</v>
      </c>
      <c r="AY489" s="544">
        <f t="shared" si="1074"/>
        <v>33227</v>
      </c>
      <c r="AZ489" s="544">
        <f t="shared" si="1074"/>
        <v>36474</v>
      </c>
      <c r="BA489" s="544">
        <f t="shared" si="1074"/>
        <v>39314.129287847914</v>
      </c>
      <c r="BB489" s="544">
        <f t="shared" ref="BB489" si="1075">BB487+BB488</f>
        <v>42646.700741602115</v>
      </c>
      <c r="BC489" s="544">
        <f t="shared" si="1074"/>
        <v>45556.306651665109</v>
      </c>
      <c r="BD489" s="544">
        <f t="shared" si="1074"/>
        <v>48361.686776581846</v>
      </c>
      <c r="BE489" s="544">
        <f t="shared" ref="BE489" si="1076">BE487+BE488</f>
        <v>51217.937905175517</v>
      </c>
      <c r="BM489"/>
      <c r="BN489"/>
      <c r="BO489"/>
      <c r="BP489"/>
      <c r="BQ489"/>
      <c r="BR489"/>
    </row>
    <row r="490" spans="1:70" s="382" customFormat="1" ht="13.5" thickTop="1" x14ac:dyDescent="0.2">
      <c r="A490" s="411"/>
      <c r="B490" s="319"/>
      <c r="C490" s="321"/>
      <c r="D490" s="454"/>
      <c r="E490" s="454"/>
      <c r="F490" s="454"/>
      <c r="G490" s="454"/>
      <c r="H490" s="454"/>
      <c r="I490" s="454"/>
      <c r="J490" s="454"/>
      <c r="K490" s="454"/>
      <c r="L490" s="454"/>
      <c r="M490" s="454"/>
      <c r="N490" s="454"/>
      <c r="O490" s="454"/>
      <c r="P490" s="454"/>
      <c r="Q490" s="454"/>
      <c r="R490" s="454"/>
      <c r="S490" s="454"/>
      <c r="T490" s="454"/>
      <c r="U490" s="454"/>
      <c r="V490" s="454"/>
      <c r="W490" s="454"/>
      <c r="X490" s="454"/>
      <c r="Y490" s="454"/>
      <c r="Z490" s="454"/>
      <c r="AA490" s="454"/>
      <c r="AB490" s="454"/>
      <c r="AC490" s="351"/>
      <c r="AD490" s="541"/>
      <c r="AE490" s="541"/>
      <c r="AF490" s="541"/>
      <c r="AG490" s="541"/>
      <c r="AH490" s="541"/>
      <c r="AI490" s="351"/>
      <c r="AJ490" s="351"/>
      <c r="AK490" s="351"/>
      <c r="AL490" s="351"/>
      <c r="AM490" s="351"/>
      <c r="AN490" s="351"/>
      <c r="AO490" s="351"/>
      <c r="AP490" s="351"/>
      <c r="AQ490" s="351"/>
      <c r="AR490" s="70"/>
      <c r="AS490" s="319"/>
      <c r="AT490" s="321"/>
      <c r="AU490" s="542"/>
      <c r="AV490" s="351"/>
      <c r="AW490" s="541"/>
      <c r="AX490" s="542"/>
      <c r="AY490" s="541"/>
      <c r="AZ490" s="369"/>
      <c r="BA490" s="369"/>
      <c r="BB490" s="369"/>
      <c r="BC490" s="541"/>
      <c r="BD490" s="541"/>
      <c r="BE490" s="541"/>
      <c r="BM490"/>
      <c r="BN490"/>
      <c r="BO490"/>
      <c r="BP490"/>
      <c r="BQ490"/>
      <c r="BR490"/>
    </row>
    <row r="491" spans="1:70" s="382" customFormat="1" x14ac:dyDescent="0.2">
      <c r="A491" s="411"/>
      <c r="B491" s="319"/>
      <c r="C491" s="321" t="s">
        <v>250</v>
      </c>
      <c r="D491" s="454">
        <v>212</v>
      </c>
      <c r="E491" s="454">
        <v>225</v>
      </c>
      <c r="F491" s="454">
        <v>292</v>
      </c>
      <c r="G491" s="454">
        <v>212</v>
      </c>
      <c r="H491" s="454">
        <v>202</v>
      </c>
      <c r="I491" s="454">
        <v>222</v>
      </c>
      <c r="J491" s="454">
        <v>238</v>
      </c>
      <c r="K491" s="454">
        <v>185</v>
      </c>
      <c r="L491" s="454">
        <v>169</v>
      </c>
      <c r="M491" s="454">
        <v>169</v>
      </c>
      <c r="N491" s="454">
        <v>170</v>
      </c>
      <c r="O491" s="454">
        <v>171</v>
      </c>
      <c r="P491" s="454">
        <v>164</v>
      </c>
      <c r="Q491" s="454">
        <v>161</v>
      </c>
      <c r="R491" s="454">
        <v>162</v>
      </c>
      <c r="S491" s="454">
        <v>173</v>
      </c>
      <c r="T491" s="454">
        <v>166</v>
      </c>
      <c r="U491" s="454">
        <v>144</v>
      </c>
      <c r="V491" s="454">
        <v>162</v>
      </c>
      <c r="W491" s="454">
        <v>169</v>
      </c>
      <c r="X491" s="454">
        <v>189</v>
      </c>
      <c r="Y491" s="454">
        <v>177</v>
      </c>
      <c r="Z491" s="454">
        <v>176</v>
      </c>
      <c r="AA491" s="454">
        <v>174</v>
      </c>
      <c r="AB491" s="454">
        <v>96</v>
      </c>
      <c r="AC491" s="348">
        <f>Drivers!AC222*(AC607*1000)/AC1</f>
        <v>94.828980821917824</v>
      </c>
      <c r="AD491" s="348">
        <f>Drivers!AD222*(AD607*1000)/AD1</f>
        <v>97.309123397260294</v>
      </c>
      <c r="AE491" s="348">
        <f>Drivers!AE222*(AE607*1000)/AE1</f>
        <v>98.768760248219181</v>
      </c>
      <c r="AF491" s="348">
        <f>Drivers!AF222*(AF607*1000)/AF1</f>
        <v>98.554045552027404</v>
      </c>
      <c r="AG491" s="348">
        <f>Drivers!AG222*(AG607*1000)/AG1</f>
        <v>101.64207231265758</v>
      </c>
      <c r="AH491" s="348">
        <f>Drivers!AH222*(AH607*1000)/AH1</f>
        <v>105.3279936163034</v>
      </c>
      <c r="AI491" s="348">
        <f>Drivers!AI222*(AI607*1000)/AI1</f>
        <v>107.96119345671097</v>
      </c>
      <c r="AJ491" s="348"/>
      <c r="AK491" s="348"/>
      <c r="AL491" s="348"/>
      <c r="AM491" s="348"/>
      <c r="AN491" s="348"/>
      <c r="AO491" s="348"/>
      <c r="AP491" s="348"/>
      <c r="AQ491" s="348"/>
      <c r="AR491" s="70"/>
      <c r="AS491" s="319"/>
      <c r="AT491" s="321" t="s">
        <v>250</v>
      </c>
      <c r="AU491" s="232">
        <f>SUM(D491:G491)</f>
        <v>941</v>
      </c>
      <c r="AV491" s="232">
        <f>SUM(H491:K491)</f>
        <v>847</v>
      </c>
      <c r="AW491" s="232">
        <f>SUM(L491:O491)</f>
        <v>679</v>
      </c>
      <c r="AX491" s="232">
        <f>SUM(P491:S491)</f>
        <v>660</v>
      </c>
      <c r="AY491" s="232">
        <f>SUM(T491:W491)</f>
        <v>641</v>
      </c>
      <c r="AZ491" s="232">
        <f>SUM(X491:AA491)</f>
        <v>716</v>
      </c>
      <c r="BA491" s="232">
        <f>SUM(AB491:AE491)</f>
        <v>386.90686446739727</v>
      </c>
      <c r="BB491" s="232">
        <f>SUM(AF491:AI491)</f>
        <v>413.48530493769937</v>
      </c>
      <c r="BC491" s="348">
        <f>Drivers!BC222*(BC607*1000)/BC1</f>
        <v>482.54421538302051</v>
      </c>
      <c r="BD491" s="348">
        <f>Drivers!BD222*(BD607*1000)/BD1</f>
        <v>516.3223104598319</v>
      </c>
      <c r="BE491" s="348">
        <f>Drivers!BE222*(BE607*1000)/BE1</f>
        <v>547.30164908742188</v>
      </c>
      <c r="BM491"/>
      <c r="BN491"/>
      <c r="BO491"/>
      <c r="BP491"/>
      <c r="BQ491"/>
      <c r="BR491"/>
    </row>
    <row r="492" spans="1:70" s="382" customFormat="1" ht="13.5" thickBot="1" x14ac:dyDescent="0.25">
      <c r="A492" s="411"/>
      <c r="B492" s="321" t="s">
        <v>652</v>
      </c>
      <c r="C492" s="321"/>
      <c r="D492" s="545">
        <f t="shared" ref="D492:AE492" si="1077">D487+D491</f>
        <v>9716</v>
      </c>
      <c r="E492" s="545">
        <f t="shared" si="1077"/>
        <v>8294</v>
      </c>
      <c r="F492" s="545">
        <f t="shared" si="1077"/>
        <v>8548</v>
      </c>
      <c r="G492" s="545">
        <f t="shared" si="1077"/>
        <v>7741</v>
      </c>
      <c r="H492" s="545">
        <f t="shared" si="1077"/>
        <v>10103</v>
      </c>
      <c r="I492" s="545">
        <f t="shared" si="1077"/>
        <v>9354</v>
      </c>
      <c r="J492" s="545">
        <f t="shared" si="1077"/>
        <v>7899</v>
      </c>
      <c r="K492" s="545">
        <f t="shared" si="1077"/>
        <v>7416</v>
      </c>
      <c r="L492" s="545">
        <f t="shared" si="1077"/>
        <v>9442</v>
      </c>
      <c r="M492" s="545">
        <f t="shared" si="1077"/>
        <v>8672</v>
      </c>
      <c r="N492" s="545">
        <f t="shared" si="1077"/>
        <v>8888</v>
      </c>
      <c r="O492" s="545">
        <f t="shared" si="1077"/>
        <v>7382</v>
      </c>
      <c r="P492" s="545">
        <f t="shared" si="1077"/>
        <v>9195</v>
      </c>
      <c r="Q492" s="545">
        <f t="shared" si="1077"/>
        <v>8627</v>
      </c>
      <c r="R492" s="545">
        <f t="shared" si="1077"/>
        <v>8422</v>
      </c>
      <c r="S492" s="545">
        <f t="shared" si="1077"/>
        <v>7479</v>
      </c>
      <c r="T492" s="545">
        <f t="shared" si="1077"/>
        <v>8061</v>
      </c>
      <c r="U492" s="545">
        <f t="shared" si="1077"/>
        <v>8833</v>
      </c>
      <c r="V492" s="545">
        <f t="shared" si="1077"/>
        <v>8621</v>
      </c>
      <c r="W492" s="545">
        <f t="shared" si="1077"/>
        <v>8353</v>
      </c>
      <c r="X492" s="545">
        <f t="shared" si="1077"/>
        <v>9508</v>
      </c>
      <c r="Y492" s="545">
        <f t="shared" ref="Y492:Z492" si="1078">Y487+Y491</f>
        <v>9598</v>
      </c>
      <c r="Z492" s="545">
        <f t="shared" si="1078"/>
        <v>9606</v>
      </c>
      <c r="AA492" s="545">
        <f t="shared" ref="AA492:AB492" si="1079">AA487+AA491</f>
        <v>8478</v>
      </c>
      <c r="AB492" s="545">
        <f t="shared" si="1079"/>
        <v>9944</v>
      </c>
      <c r="AC492" s="545">
        <f t="shared" si="1077"/>
        <v>10257.474702403071</v>
      </c>
      <c r="AD492" s="545">
        <f t="shared" si="1077"/>
        <v>10036.164986709593</v>
      </c>
      <c r="AE492" s="545">
        <f t="shared" si="1077"/>
        <v>9463.3964632026509</v>
      </c>
      <c r="AF492" s="545">
        <f t="shared" ref="AF492:AI492" si="1080">AF487+AF491</f>
        <v>11059.270602020839</v>
      </c>
      <c r="AG492" s="545">
        <f t="shared" si="1080"/>
        <v>11084.4296625139</v>
      </c>
      <c r="AH492" s="545">
        <f t="shared" si="1080"/>
        <v>10785.224840867704</v>
      </c>
      <c r="AI492" s="545">
        <f t="shared" si="1080"/>
        <v>10131.260941137367</v>
      </c>
      <c r="AJ492" s="385"/>
      <c r="AK492" s="385"/>
      <c r="AL492" s="385"/>
      <c r="AM492" s="385"/>
      <c r="AN492" s="385"/>
      <c r="AO492" s="385"/>
      <c r="AP492" s="385"/>
      <c r="AQ492" s="385"/>
      <c r="AR492" s="70"/>
      <c r="AS492" s="321" t="s">
        <v>653</v>
      </c>
      <c r="AT492" s="321"/>
      <c r="AU492" s="545">
        <f t="shared" ref="AU492:BD492" si="1081">AU487+AU491</f>
        <v>34299</v>
      </c>
      <c r="AV492" s="545">
        <f t="shared" si="1081"/>
        <v>34772</v>
      </c>
      <c r="AW492" s="545">
        <f t="shared" si="1081"/>
        <v>34384</v>
      </c>
      <c r="AX492" s="545">
        <f t="shared" si="1081"/>
        <v>33723</v>
      </c>
      <c r="AY492" s="545">
        <f t="shared" si="1081"/>
        <v>33868</v>
      </c>
      <c r="AZ492" s="545">
        <f t="shared" si="1081"/>
        <v>37190</v>
      </c>
      <c r="BA492" s="545">
        <f t="shared" si="1081"/>
        <v>39701.036152315311</v>
      </c>
      <c r="BB492" s="545">
        <f t="shared" ref="BB492" si="1082">BB487+BB491</f>
        <v>43060.186046539813</v>
      </c>
      <c r="BC492" s="545">
        <f t="shared" si="1081"/>
        <v>46038.850867048131</v>
      </c>
      <c r="BD492" s="545">
        <f t="shared" si="1081"/>
        <v>48878.009087041675</v>
      </c>
      <c r="BE492" s="545">
        <f t="shared" ref="BE492" si="1083">BE487+BE491</f>
        <v>51765.239554262938</v>
      </c>
      <c r="BM492"/>
      <c r="BN492"/>
      <c r="BO492"/>
      <c r="BP492"/>
      <c r="BQ492"/>
      <c r="BR492"/>
    </row>
    <row r="493" spans="1:70" s="369" customFormat="1" ht="13.5" thickTop="1" x14ac:dyDescent="0.2">
      <c r="A493" s="411"/>
      <c r="B493" s="450"/>
      <c r="C493" s="450"/>
      <c r="D493" s="540"/>
      <c r="E493" s="540"/>
      <c r="F493" s="540"/>
      <c r="G493" s="540"/>
      <c r="H493" s="540"/>
      <c r="I493" s="540"/>
      <c r="J493" s="540"/>
      <c r="K493" s="540"/>
      <c r="L493" s="540"/>
      <c r="M493" s="540"/>
      <c r="N493" s="540"/>
      <c r="O493" s="540"/>
      <c r="P493" s="540"/>
      <c r="Q493" s="540"/>
      <c r="R493" s="540"/>
      <c r="S493" s="540"/>
      <c r="T493" s="540"/>
      <c r="U493" s="540"/>
      <c r="V493" s="540"/>
      <c r="W493" s="540"/>
      <c r="X493" s="540"/>
      <c r="Y493" s="540"/>
      <c r="Z493" s="540"/>
      <c r="AA493" s="540"/>
      <c r="AB493" s="540"/>
      <c r="AC493" s="351"/>
      <c r="AD493" s="540"/>
      <c r="AE493" s="540"/>
      <c r="AF493" s="540"/>
      <c r="AG493" s="540"/>
      <c r="AH493" s="540"/>
      <c r="AI493" s="351"/>
      <c r="AJ493" s="351"/>
      <c r="AK493" s="351"/>
      <c r="AL493" s="351"/>
      <c r="AM493" s="351"/>
      <c r="AN493" s="351"/>
      <c r="AO493" s="351"/>
      <c r="AP493" s="351"/>
      <c r="AQ493" s="351"/>
      <c r="AR493" s="70"/>
      <c r="AS493" s="450"/>
      <c r="AT493" s="450"/>
      <c r="AU493" s="542"/>
      <c r="AV493" s="351"/>
      <c r="AW493" s="540"/>
      <c r="AX493" s="542"/>
      <c r="AY493" s="540"/>
      <c r="BC493" s="540"/>
      <c r="BD493" s="540"/>
      <c r="BE493" s="540"/>
      <c r="BM493"/>
      <c r="BN493"/>
      <c r="BO493"/>
      <c r="BP493"/>
      <c r="BQ493"/>
      <c r="BR493"/>
    </row>
    <row r="494" spans="1:70" x14ac:dyDescent="0.2">
      <c r="B494" s="322" t="s">
        <v>240</v>
      </c>
      <c r="C494" s="387"/>
      <c r="D494" s="440">
        <v>5135</v>
      </c>
      <c r="E494" s="440">
        <v>5000</v>
      </c>
      <c r="F494" s="440">
        <v>4881</v>
      </c>
      <c r="G494" s="440">
        <v>5258</v>
      </c>
      <c r="H494" s="440">
        <v>4975</v>
      </c>
      <c r="I494" s="440">
        <v>4912</v>
      </c>
      <c r="J494" s="440">
        <v>4786</v>
      </c>
      <c r="K494" s="546">
        <v>5153</v>
      </c>
      <c r="L494" s="440">
        <v>4887</v>
      </c>
      <c r="M494" s="440">
        <v>4769</v>
      </c>
      <c r="N494" s="440">
        <v>4938</v>
      </c>
      <c r="O494" s="546">
        <v>4906</v>
      </c>
      <c r="P494" s="440">
        <v>4654</v>
      </c>
      <c r="Q494" s="440">
        <v>4847</v>
      </c>
      <c r="R494" s="440">
        <v>4718</v>
      </c>
      <c r="S494" s="546">
        <v>4868</v>
      </c>
      <c r="T494" s="440">
        <v>4872</v>
      </c>
      <c r="U494" s="440">
        <v>4763</v>
      </c>
      <c r="V494" s="440">
        <v>4687</v>
      </c>
      <c r="W494" s="546">
        <v>4634</v>
      </c>
      <c r="X494" s="546">
        <v>5138</v>
      </c>
      <c r="Y494" s="546">
        <v>5227</v>
      </c>
      <c r="Z494" s="546">
        <v>5138</v>
      </c>
      <c r="AA494" s="546">
        <v>4912</v>
      </c>
      <c r="AB494" s="546">
        <v>5503</v>
      </c>
      <c r="AC494" s="348">
        <f>Drivers!AC210*AC487</f>
        <v>5691.0816040854461</v>
      </c>
      <c r="AD494" s="348">
        <f>Drivers!AD210*AD487</f>
        <v>5466.3707248217834</v>
      </c>
      <c r="AE494" s="348">
        <f>Drivers!AE210*AE487</f>
        <v>5056.8989595953935</v>
      </c>
      <c r="AF494" s="348">
        <f>Drivers!AF210*AF487</f>
        <v>5973.5905232755022</v>
      </c>
      <c r="AG494" s="348">
        <f>Drivers!AG210*AG487</f>
        <v>5875.7913607576647</v>
      </c>
      <c r="AH494" s="348">
        <f>Drivers!AH210*AH487</f>
        <v>5713.7448132794998</v>
      </c>
      <c r="AI494" s="348">
        <f>Drivers!AI210*AI487</f>
        <v>5312.3488662707477</v>
      </c>
      <c r="AJ494" s="348"/>
      <c r="AK494" s="348"/>
      <c r="AL494" s="348"/>
      <c r="AM494" s="348"/>
      <c r="AN494" s="348"/>
      <c r="AO494" s="348"/>
      <c r="AP494" s="348"/>
      <c r="AQ494" s="348"/>
      <c r="AS494" s="322" t="s">
        <v>240</v>
      </c>
      <c r="AT494" s="387"/>
      <c r="AU494" s="232">
        <f>SUM(D494:G494)</f>
        <v>20274</v>
      </c>
      <c r="AV494" s="232">
        <f>SUM(H494:K494)</f>
        <v>19826</v>
      </c>
      <c r="AW494" s="232">
        <f>SUM(L494:O494)</f>
        <v>19500</v>
      </c>
      <c r="AX494" s="232">
        <f>SUM(P494:S494)</f>
        <v>19087</v>
      </c>
      <c r="AY494" s="232">
        <f>SUM(T494:W494)</f>
        <v>18956</v>
      </c>
      <c r="AZ494" s="232">
        <f>SUM(X494:AA494)</f>
        <v>20415</v>
      </c>
      <c r="BA494" s="232">
        <f>SUM(AB494:AE494)</f>
        <v>21717.351288502625</v>
      </c>
      <c r="BB494" s="232">
        <f>SUM(AF494:AI494)</f>
        <v>22875.475563583415</v>
      </c>
      <c r="BC494" s="348">
        <f>Drivers!BC210*BC487</f>
        <v>23917.060992124185</v>
      </c>
      <c r="BD494" s="348">
        <f>Drivers!BD210*BD487</f>
        <v>25148.077123822561</v>
      </c>
      <c r="BE494" s="348">
        <f>Drivers!BE210*BE487</f>
        <v>26377.238021165391</v>
      </c>
    </row>
    <row r="495" spans="1:70" x14ac:dyDescent="0.2">
      <c r="B495" s="322"/>
      <c r="C495" s="387"/>
      <c r="D495" s="440"/>
      <c r="E495" s="440"/>
      <c r="F495" s="440"/>
      <c r="G495" s="440"/>
      <c r="H495" s="440"/>
      <c r="I495" s="440"/>
      <c r="J495" s="440"/>
      <c r="K495" s="546"/>
      <c r="L495" s="440"/>
      <c r="M495" s="440"/>
      <c r="N495" s="440"/>
      <c r="O495" s="546"/>
      <c r="P495" s="440"/>
      <c r="Q495" s="440"/>
      <c r="R495" s="440"/>
      <c r="S495" s="546"/>
      <c r="T495" s="440"/>
      <c r="U495" s="440"/>
      <c r="V495" s="440"/>
      <c r="W495" s="546"/>
      <c r="X495" s="546"/>
      <c r="Y495" s="546"/>
      <c r="Z495" s="546"/>
      <c r="AA495" s="546"/>
      <c r="AB495" s="546"/>
      <c r="AC495" s="15"/>
      <c r="AD495" s="15"/>
      <c r="AE495" s="15"/>
      <c r="AF495" s="15"/>
      <c r="AG495" s="15"/>
      <c r="AH495" s="15"/>
      <c r="AI495" s="15"/>
      <c r="AJ495" s="15"/>
      <c r="AK495" s="15"/>
      <c r="AL495" s="15"/>
      <c r="AM495" s="15"/>
      <c r="AN495" s="15"/>
      <c r="AO495" s="15"/>
      <c r="AP495" s="15"/>
      <c r="AQ495" s="15"/>
      <c r="AS495" s="322"/>
      <c r="AT495" s="387"/>
      <c r="BC495" s="15"/>
      <c r="BD495" s="15"/>
      <c r="BE495" s="15"/>
    </row>
    <row r="496" spans="1:70" x14ac:dyDescent="0.2">
      <c r="B496" s="322" t="s">
        <v>252</v>
      </c>
      <c r="C496" s="387"/>
      <c r="D496" s="440">
        <v>103</v>
      </c>
      <c r="E496" s="440">
        <v>135</v>
      </c>
      <c r="F496" s="440">
        <v>-27</v>
      </c>
      <c r="G496" s="440">
        <v>97</v>
      </c>
      <c r="H496" s="440">
        <v>65</v>
      </c>
      <c r="I496" s="440">
        <v>-30</v>
      </c>
      <c r="J496" s="440">
        <v>144</v>
      </c>
      <c r="K496" s="440">
        <v>-93</v>
      </c>
      <c r="L496" s="440">
        <v>26</v>
      </c>
      <c r="M496" s="440">
        <v>-110</v>
      </c>
      <c r="N496" s="440">
        <v>-32</v>
      </c>
      <c r="O496" s="440">
        <v>163</v>
      </c>
      <c r="P496" s="440">
        <v>86</v>
      </c>
      <c r="Q496" s="440">
        <v>-87</v>
      </c>
      <c r="R496" s="440">
        <v>313</v>
      </c>
      <c r="S496" s="440">
        <v>650</v>
      </c>
      <c r="T496" s="440">
        <v>390</v>
      </c>
      <c r="U496" s="440">
        <v>82</v>
      </c>
      <c r="V496" s="440">
        <v>-90</v>
      </c>
      <c r="W496" s="440">
        <v>104</v>
      </c>
      <c r="X496" s="440">
        <v>-205</v>
      </c>
      <c r="Y496" s="440">
        <v>87</v>
      </c>
      <c r="Z496" s="440">
        <v>-164</v>
      </c>
      <c r="AA496" s="440">
        <v>267</v>
      </c>
      <c r="AB496" s="440">
        <v>-41</v>
      </c>
      <c r="AC496" s="34">
        <f t="shared" ref="AC496:AE497" si="1084">AC1230</f>
        <v>172.41632876712333</v>
      </c>
      <c r="AD496" s="34">
        <f t="shared" si="1084"/>
        <v>194.61824679452059</v>
      </c>
      <c r="AE496" s="34">
        <f t="shared" si="1084"/>
        <v>224.47445510958903</v>
      </c>
      <c r="AF496" s="34">
        <f t="shared" ref="AF496:AI496" si="1085">AF1230</f>
        <v>241.90538453679451</v>
      </c>
      <c r="AG496" s="34">
        <f t="shared" si="1085"/>
        <v>267.96546336973358</v>
      </c>
      <c r="AH496" s="34">
        <f t="shared" si="1085"/>
        <v>296.83343655503688</v>
      </c>
      <c r="AI496" s="34">
        <f t="shared" si="1085"/>
        <v>323.8835803701329</v>
      </c>
      <c r="AJ496" s="34"/>
      <c r="AK496" s="34"/>
      <c r="AL496" s="34"/>
      <c r="AM496" s="34"/>
      <c r="AN496" s="34"/>
      <c r="AO496" s="34"/>
      <c r="AP496" s="34"/>
      <c r="AQ496" s="34"/>
      <c r="AS496" s="322" t="s">
        <v>252</v>
      </c>
      <c r="AT496" s="387"/>
      <c r="AU496" s="232">
        <f>SUM(D496:G496)</f>
        <v>308</v>
      </c>
      <c r="AV496" s="232">
        <f>SUM(H496:K496)</f>
        <v>86</v>
      </c>
      <c r="AW496" s="232">
        <f>SUM(L496:O496)</f>
        <v>47</v>
      </c>
      <c r="AX496" s="232">
        <f>SUM(P496:S496)</f>
        <v>962</v>
      </c>
      <c r="AY496" s="232">
        <f>SUM(T496:W496)</f>
        <v>486</v>
      </c>
      <c r="AZ496" s="232">
        <f>SUM(X496:AA496)</f>
        <v>-15</v>
      </c>
      <c r="BA496" s="232">
        <f>SUM(AB496:AE496)</f>
        <v>550.50903067123295</v>
      </c>
      <c r="BB496" s="232">
        <f>SUM(AF496:AI496)</f>
        <v>1130.587864831698</v>
      </c>
      <c r="BC496" s="34">
        <f t="shared" ref="BC496:BD497" si="1086">BC1230</f>
        <v>1407.4206282004766</v>
      </c>
      <c r="BD496" s="34">
        <f t="shared" si="1086"/>
        <v>1721.07436819944</v>
      </c>
      <c r="BE496" s="34">
        <f t="shared" ref="BE496" si="1087">BE1230</f>
        <v>2280.4235378642579</v>
      </c>
    </row>
    <row r="497" spans="1:70" x14ac:dyDescent="0.2">
      <c r="B497" s="322"/>
      <c r="C497" s="434" t="s">
        <v>224</v>
      </c>
      <c r="D497" s="440">
        <v>-54</v>
      </c>
      <c r="E497" s="440">
        <v>128</v>
      </c>
      <c r="F497" s="440">
        <v>146</v>
      </c>
      <c r="G497" s="440">
        <v>79</v>
      </c>
      <c r="H497" s="440">
        <v>41</v>
      </c>
      <c r="I497" s="440">
        <v>56</v>
      </c>
      <c r="J497" s="440">
        <v>69</v>
      </c>
      <c r="K497" s="440">
        <v>28</v>
      </c>
      <c r="L497" s="440">
        <v>132</v>
      </c>
      <c r="M497" s="440">
        <v>9</v>
      </c>
      <c r="N497" s="440">
        <v>16</v>
      </c>
      <c r="O497" s="440">
        <v>118</v>
      </c>
      <c r="P497" s="440">
        <v>-1</v>
      </c>
      <c r="Q497" s="440">
        <v>82</v>
      </c>
      <c r="R497" s="440">
        <v>37</v>
      </c>
      <c r="S497" s="440">
        <v>96</v>
      </c>
      <c r="T497" s="440">
        <v>211</v>
      </c>
      <c r="U497" s="440">
        <v>141</v>
      </c>
      <c r="V497" s="440">
        <v>45</v>
      </c>
      <c r="W497" s="440">
        <v>119</v>
      </c>
      <c r="X497" s="440">
        <v>25</v>
      </c>
      <c r="Y497" s="440">
        <v>71</v>
      </c>
      <c r="Z497" s="440">
        <v>44</v>
      </c>
      <c r="AA497" s="440">
        <v>225</v>
      </c>
      <c r="AB497" s="440">
        <v>105</v>
      </c>
      <c r="AC497" s="34">
        <f t="shared" si="1084"/>
        <v>172.41632876712333</v>
      </c>
      <c r="AD497" s="34">
        <f t="shared" si="1084"/>
        <v>194.61824679452059</v>
      </c>
      <c r="AE497" s="34">
        <f t="shared" si="1084"/>
        <v>224.47445510958903</v>
      </c>
      <c r="AF497" s="34">
        <f t="shared" ref="AF497:AI497" si="1088">AF1231</f>
        <v>241.90538453679451</v>
      </c>
      <c r="AG497" s="34">
        <f t="shared" si="1088"/>
        <v>267.96546336973358</v>
      </c>
      <c r="AH497" s="34">
        <f t="shared" si="1088"/>
        <v>296.83343655503688</v>
      </c>
      <c r="AI497" s="34">
        <f t="shared" si="1088"/>
        <v>323.8835803701329</v>
      </c>
      <c r="AJ497" s="34"/>
      <c r="AK497" s="34"/>
      <c r="AL497" s="34"/>
      <c r="AM497" s="34"/>
      <c r="AN497" s="34"/>
      <c r="AO497" s="34"/>
      <c r="AP497" s="34"/>
      <c r="AQ497" s="34"/>
      <c r="AS497" s="322"/>
      <c r="AT497" s="434" t="s">
        <v>224</v>
      </c>
      <c r="AU497" s="232">
        <f>SUM(D497:G497)</f>
        <v>299</v>
      </c>
      <c r="AV497" s="232">
        <f>SUM(H497:K497)</f>
        <v>194</v>
      </c>
      <c r="AW497" s="232">
        <f>SUM(L497:O497)</f>
        <v>275</v>
      </c>
      <c r="AX497" s="232">
        <f>SUM(P497:S497)</f>
        <v>214</v>
      </c>
      <c r="AY497" s="232">
        <f>SUM(T497:W497)</f>
        <v>516</v>
      </c>
      <c r="AZ497" s="232">
        <f>SUM(X497:AA497)</f>
        <v>365</v>
      </c>
      <c r="BA497" s="232">
        <f>SUM(AB497:AE497)</f>
        <v>696.50903067123295</v>
      </c>
      <c r="BB497" s="232">
        <f>SUM(AF497:AI497)</f>
        <v>1130.587864831698</v>
      </c>
      <c r="BC497" s="34">
        <f t="shared" si="1086"/>
        <v>1407.4206282004766</v>
      </c>
      <c r="BD497" s="34">
        <f t="shared" si="1086"/>
        <v>1721.07436819944</v>
      </c>
      <c r="BE497" s="34">
        <f t="shared" ref="BE497" si="1089">BE1231</f>
        <v>2280.4235378642579</v>
      </c>
    </row>
    <row r="498" spans="1:70" x14ac:dyDescent="0.2">
      <c r="B498" s="322"/>
      <c r="C498" s="434" t="s">
        <v>253</v>
      </c>
      <c r="D498" s="45">
        <f t="shared" ref="D498:AE498" si="1090">D496-D497</f>
        <v>157</v>
      </c>
      <c r="E498" s="45">
        <f t="shared" si="1090"/>
        <v>7</v>
      </c>
      <c r="F498" s="45">
        <f t="shared" si="1090"/>
        <v>-173</v>
      </c>
      <c r="G498" s="45">
        <f t="shared" si="1090"/>
        <v>18</v>
      </c>
      <c r="H498" s="45">
        <f t="shared" si="1090"/>
        <v>24</v>
      </c>
      <c r="I498" s="45">
        <f t="shared" si="1090"/>
        <v>-86</v>
      </c>
      <c r="J498" s="45">
        <f t="shared" si="1090"/>
        <v>75</v>
      </c>
      <c r="K498" s="45">
        <f t="shared" si="1090"/>
        <v>-121</v>
      </c>
      <c r="L498" s="45">
        <f t="shared" si="1090"/>
        <v>-106</v>
      </c>
      <c r="M498" s="45">
        <f t="shared" si="1090"/>
        <v>-119</v>
      </c>
      <c r="N498" s="45">
        <f t="shared" si="1090"/>
        <v>-48</v>
      </c>
      <c r="O498" s="45">
        <f t="shared" si="1090"/>
        <v>45</v>
      </c>
      <c r="P498" s="45">
        <f t="shared" si="1090"/>
        <v>87</v>
      </c>
      <c r="Q498" s="45">
        <f t="shared" si="1090"/>
        <v>-169</v>
      </c>
      <c r="R498" s="45">
        <f t="shared" si="1090"/>
        <v>276</v>
      </c>
      <c r="S498" s="45">
        <f t="shared" si="1090"/>
        <v>554</v>
      </c>
      <c r="T498" s="45">
        <f t="shared" si="1090"/>
        <v>179</v>
      </c>
      <c r="U498" s="45">
        <f t="shared" si="1090"/>
        <v>-59</v>
      </c>
      <c r="V498" s="45">
        <f t="shared" si="1090"/>
        <v>-135</v>
      </c>
      <c r="W498" s="45">
        <f t="shared" si="1090"/>
        <v>-15</v>
      </c>
      <c r="X498" s="45">
        <f t="shared" si="1090"/>
        <v>-230</v>
      </c>
      <c r="Y498" s="45">
        <f t="shared" ref="Y498:Z498" si="1091">Y496-Y497</f>
        <v>16</v>
      </c>
      <c r="Z498" s="45">
        <f t="shared" si="1091"/>
        <v>-208</v>
      </c>
      <c r="AA498" s="45">
        <f t="shared" ref="AA498:AB498" si="1092">AA496-AA497</f>
        <v>42</v>
      </c>
      <c r="AB498" s="45">
        <f t="shared" si="1092"/>
        <v>-146</v>
      </c>
      <c r="AC498" s="45">
        <f t="shared" si="1090"/>
        <v>0</v>
      </c>
      <c r="AD498" s="45">
        <f t="shared" si="1090"/>
        <v>0</v>
      </c>
      <c r="AE498" s="45">
        <f t="shared" si="1090"/>
        <v>0</v>
      </c>
      <c r="AF498" s="45">
        <f t="shared" ref="AF498:AI498" si="1093">AF496-AF497</f>
        <v>0</v>
      </c>
      <c r="AG498" s="45">
        <f t="shared" si="1093"/>
        <v>0</v>
      </c>
      <c r="AH498" s="45">
        <f t="shared" si="1093"/>
        <v>0</v>
      </c>
      <c r="AI498" s="45">
        <f t="shared" si="1093"/>
        <v>0</v>
      </c>
      <c r="AJ498" s="45"/>
      <c r="AK498" s="45"/>
      <c r="AL498" s="45"/>
      <c r="AM498" s="45"/>
      <c r="AN498" s="45"/>
      <c r="AO498" s="45"/>
      <c r="AP498" s="45"/>
      <c r="AQ498" s="45"/>
      <c r="AS498" s="322"/>
      <c r="AT498" s="434" t="s">
        <v>253</v>
      </c>
      <c r="AU498" s="232">
        <f>SUM(D498:G498)</f>
        <v>9</v>
      </c>
      <c r="AV498" s="232">
        <f>SUM(H498:K498)</f>
        <v>-108</v>
      </c>
      <c r="AW498" s="232">
        <f>SUM(L498:O498)</f>
        <v>-228</v>
      </c>
      <c r="AX498" s="232">
        <f>SUM(P498:S498)</f>
        <v>748</v>
      </c>
      <c r="AY498" s="232">
        <f>SUM(T498:W498)</f>
        <v>-30</v>
      </c>
      <c r="AZ498" s="232">
        <f>SUM(X498:AA498)</f>
        <v>-380</v>
      </c>
      <c r="BA498" s="232">
        <f>SUM(AB498:AE498)</f>
        <v>-146</v>
      </c>
      <c r="BB498" s="232">
        <f>SUM(AF498:AI498)</f>
        <v>0</v>
      </c>
      <c r="BC498" s="45">
        <f>BC496-BC497</f>
        <v>0</v>
      </c>
      <c r="BD498" s="45">
        <f>BD496-BD497</f>
        <v>0</v>
      </c>
      <c r="BE498" s="45">
        <f>BE496-BE497</f>
        <v>0</v>
      </c>
    </row>
    <row r="499" spans="1:70" x14ac:dyDescent="0.2">
      <c r="B499" s="322"/>
      <c r="C499" s="434"/>
      <c r="D499" s="45"/>
      <c r="E499" s="45"/>
      <c r="F499" s="45"/>
      <c r="G499" s="45"/>
      <c r="H499" s="45"/>
      <c r="I499" s="45"/>
      <c r="J499" s="45"/>
      <c r="K499" s="45"/>
      <c r="L499" s="45"/>
      <c r="M499" s="45"/>
      <c r="N499" s="45"/>
      <c r="O499" s="45"/>
      <c r="P499" s="45"/>
      <c r="Q499" s="45"/>
      <c r="R499" s="45"/>
      <c r="S499" s="45"/>
      <c r="T499" s="45"/>
      <c r="U499" s="45"/>
      <c r="V499" s="45"/>
      <c r="W499" s="45"/>
      <c r="X499" s="45"/>
      <c r="Y499" s="45"/>
      <c r="Z499" s="45"/>
      <c r="AA499" s="45"/>
      <c r="AB499" s="45"/>
      <c r="AC499" s="15"/>
      <c r="AD499" s="15"/>
      <c r="AE499" s="15"/>
      <c r="AF499" s="15"/>
      <c r="AG499" s="15"/>
      <c r="AH499" s="15"/>
      <c r="AI499" s="15"/>
      <c r="AJ499" s="15"/>
      <c r="AK499" s="15"/>
      <c r="AL499" s="15"/>
      <c r="AM499" s="15"/>
      <c r="AN499" s="15"/>
      <c r="AO499" s="15"/>
      <c r="AP499" s="15"/>
      <c r="AQ499" s="15"/>
      <c r="AS499" s="322"/>
      <c r="AT499" s="434"/>
      <c r="BC499" s="15"/>
      <c r="BD499" s="15"/>
      <c r="BE499" s="15"/>
    </row>
    <row r="500" spans="1:70" x14ac:dyDescent="0.2">
      <c r="B500" s="322" t="s">
        <v>546</v>
      </c>
      <c r="C500" s="387"/>
      <c r="D500" s="493">
        <f t="shared" ref="D500:AE500" si="1094">D487-D494-D496</f>
        <v>4266</v>
      </c>
      <c r="E500" s="493">
        <f t="shared" si="1094"/>
        <v>2934</v>
      </c>
      <c r="F500" s="493">
        <f t="shared" si="1094"/>
        <v>3402</v>
      </c>
      <c r="G500" s="493">
        <f t="shared" si="1094"/>
        <v>2174</v>
      </c>
      <c r="H500" s="493">
        <f t="shared" si="1094"/>
        <v>4861</v>
      </c>
      <c r="I500" s="493">
        <f t="shared" si="1094"/>
        <v>4250</v>
      </c>
      <c r="J500" s="493">
        <f t="shared" si="1094"/>
        <v>2731</v>
      </c>
      <c r="K500" s="493">
        <f t="shared" si="1094"/>
        <v>2171</v>
      </c>
      <c r="L500" s="493">
        <f t="shared" si="1094"/>
        <v>4360</v>
      </c>
      <c r="M500" s="493">
        <f t="shared" si="1094"/>
        <v>3844</v>
      </c>
      <c r="N500" s="493">
        <f t="shared" si="1094"/>
        <v>3812</v>
      </c>
      <c r="O500" s="493">
        <f t="shared" si="1094"/>
        <v>2142</v>
      </c>
      <c r="P500" s="493">
        <f t="shared" si="1094"/>
        <v>4291</v>
      </c>
      <c r="Q500" s="493">
        <f t="shared" si="1094"/>
        <v>3706</v>
      </c>
      <c r="R500" s="493">
        <f t="shared" si="1094"/>
        <v>3229</v>
      </c>
      <c r="S500" s="493">
        <f t="shared" si="1094"/>
        <v>1788</v>
      </c>
      <c r="T500" s="493">
        <f t="shared" si="1094"/>
        <v>2633</v>
      </c>
      <c r="U500" s="493">
        <f t="shared" si="1094"/>
        <v>3844</v>
      </c>
      <c r="V500" s="493">
        <f t="shared" si="1094"/>
        <v>3862</v>
      </c>
      <c r="W500" s="493">
        <f t="shared" si="1094"/>
        <v>3446</v>
      </c>
      <c r="X500" s="493">
        <f t="shared" si="1094"/>
        <v>4386</v>
      </c>
      <c r="Y500" s="493">
        <f t="shared" ref="Y500:Z500" si="1095">Y487-Y494-Y496</f>
        <v>4107</v>
      </c>
      <c r="Z500" s="493">
        <f t="shared" si="1095"/>
        <v>4456</v>
      </c>
      <c r="AA500" s="493">
        <f t="shared" ref="AA500:AB500" si="1096">AA487-AA494-AA496</f>
        <v>3125</v>
      </c>
      <c r="AB500" s="493">
        <f t="shared" si="1096"/>
        <v>4386</v>
      </c>
      <c r="AC500" s="493">
        <f t="shared" si="1094"/>
        <v>4299.1477887285837</v>
      </c>
      <c r="AD500" s="493">
        <f t="shared" si="1094"/>
        <v>4277.8668916960278</v>
      </c>
      <c r="AE500" s="493">
        <f t="shared" si="1094"/>
        <v>4083.2542882494499</v>
      </c>
      <c r="AF500" s="493">
        <f t="shared" ref="AF500:AI500" si="1097">AF487-AF494-AF496</f>
        <v>4745.2206486565146</v>
      </c>
      <c r="AG500" s="493">
        <f t="shared" si="1097"/>
        <v>4839.0307660738436</v>
      </c>
      <c r="AH500" s="493">
        <f t="shared" si="1097"/>
        <v>4669.3185974168637</v>
      </c>
      <c r="AI500" s="493">
        <f t="shared" si="1097"/>
        <v>4387.067301039775</v>
      </c>
      <c r="AJ500" s="493"/>
      <c r="AK500" s="493"/>
      <c r="AL500" s="493"/>
      <c r="AM500" s="493"/>
      <c r="AN500" s="493"/>
      <c r="AO500" s="493"/>
      <c r="AP500" s="493"/>
      <c r="AQ500" s="493"/>
      <c r="AS500" s="322" t="s">
        <v>546</v>
      </c>
      <c r="AT500" s="387"/>
      <c r="AU500" s="232">
        <f>SUM(D500:G500)</f>
        <v>12776</v>
      </c>
      <c r="AV500" s="232">
        <f>SUM(H500:K500)</f>
        <v>14013</v>
      </c>
      <c r="AW500" s="232">
        <f>SUM(L500:O500)</f>
        <v>14158</v>
      </c>
      <c r="AX500" s="232">
        <f>SUM(P500:S500)</f>
        <v>13014</v>
      </c>
      <c r="AY500" s="232">
        <f>SUM(T500:W500)</f>
        <v>13785</v>
      </c>
      <c r="AZ500" s="232">
        <f>SUM(X500:AA500)</f>
        <v>16074</v>
      </c>
      <c r="BA500" s="232">
        <f>SUM(AB500:AE500)</f>
        <v>17046.26896867406</v>
      </c>
      <c r="BB500" s="232">
        <f>SUM(AF500:AI500)</f>
        <v>18640.637313186999</v>
      </c>
      <c r="BC500" s="493">
        <f>BC487-BC494-BC496</f>
        <v>20231.825031340446</v>
      </c>
      <c r="BD500" s="493">
        <f>BD487-BD494-BD496</f>
        <v>21492.535284559846</v>
      </c>
      <c r="BE500" s="493">
        <f>BE487-BE494-BE496</f>
        <v>22560.276346145867</v>
      </c>
    </row>
    <row r="501" spans="1:70" x14ac:dyDescent="0.2">
      <c r="B501" s="15"/>
      <c r="C501" s="322" t="s">
        <v>20</v>
      </c>
      <c r="D501" s="440">
        <f t="shared" ref="D501:X501" si="1098">D500-D506</f>
        <v>1247</v>
      </c>
      <c r="E501" s="440">
        <f t="shared" si="1098"/>
        <v>777</v>
      </c>
      <c r="F501" s="440">
        <f t="shared" si="1098"/>
        <v>901</v>
      </c>
      <c r="G501" s="440">
        <f t="shared" si="1098"/>
        <v>460</v>
      </c>
      <c r="H501" s="440">
        <f t="shared" si="1098"/>
        <v>1609</v>
      </c>
      <c r="I501" s="440">
        <f t="shared" si="1098"/>
        <v>1373</v>
      </c>
      <c r="J501" s="440">
        <f t="shared" si="1098"/>
        <v>756</v>
      </c>
      <c r="K501" s="440">
        <f t="shared" si="1098"/>
        <v>591</v>
      </c>
      <c r="L501" s="440">
        <f t="shared" si="1098"/>
        <v>1350</v>
      </c>
      <c r="M501" s="440">
        <f t="shared" si="1098"/>
        <v>1227</v>
      </c>
      <c r="N501" s="440">
        <f t="shared" si="1098"/>
        <v>1236</v>
      </c>
      <c r="O501" s="440">
        <f t="shared" si="1098"/>
        <v>445</v>
      </c>
      <c r="P501" s="440">
        <f t="shared" si="1098"/>
        <v>1342</v>
      </c>
      <c r="Q501" s="440">
        <f t="shared" si="1098"/>
        <v>1151</v>
      </c>
      <c r="R501" s="440">
        <f t="shared" si="1098"/>
        <v>1055</v>
      </c>
      <c r="S501" s="440">
        <f t="shared" si="1098"/>
        <v>528</v>
      </c>
      <c r="T501" s="45">
        <f t="shared" si="1098"/>
        <v>764</v>
      </c>
      <c r="U501" s="45">
        <f t="shared" si="1098"/>
        <v>1229</v>
      </c>
      <c r="V501" s="45">
        <f t="shared" si="1098"/>
        <v>1202</v>
      </c>
      <c r="W501" s="45">
        <f t="shared" si="1098"/>
        <v>1065</v>
      </c>
      <c r="X501" s="45">
        <f t="shared" si="1098"/>
        <v>1375</v>
      </c>
      <c r="Y501" s="45">
        <f t="shared" ref="Y501:Z501" si="1099">Y500-Y506</f>
        <v>1327</v>
      </c>
      <c r="Z501" s="45">
        <f t="shared" si="1099"/>
        <v>1394</v>
      </c>
      <c r="AA501" s="45">
        <f t="shared" ref="AA501:AB501" si="1100">AA500-AA506</f>
        <v>2912</v>
      </c>
      <c r="AB501" s="45">
        <f t="shared" si="1100"/>
        <v>1057</v>
      </c>
      <c r="AC501" s="34">
        <f t="shared" ref="AC501:AE501" si="1101">AC502*AC500</f>
        <v>1074.7869471821459</v>
      </c>
      <c r="AD501" s="34">
        <f t="shared" si="1101"/>
        <v>1069.4667229240069</v>
      </c>
      <c r="AE501" s="34">
        <f t="shared" si="1101"/>
        <v>1020.8135720623625</v>
      </c>
      <c r="AF501" s="34">
        <f t="shared" ref="AF501:AI501" si="1102">AF502*AF500</f>
        <v>1138.8529556775634</v>
      </c>
      <c r="AG501" s="34">
        <f t="shared" si="1102"/>
        <v>1161.3673838577224</v>
      </c>
      <c r="AH501" s="34">
        <f t="shared" si="1102"/>
        <v>1120.6364633800472</v>
      </c>
      <c r="AI501" s="34">
        <f t="shared" si="1102"/>
        <v>1052.896152249546</v>
      </c>
      <c r="AJ501" s="34"/>
      <c r="AK501" s="34"/>
      <c r="AL501" s="34"/>
      <c r="AM501" s="34"/>
      <c r="AN501" s="34"/>
      <c r="AO501" s="34"/>
      <c r="AP501" s="34"/>
      <c r="AQ501" s="34"/>
      <c r="AS501" s="15"/>
      <c r="AT501" s="322" t="s">
        <v>20</v>
      </c>
      <c r="AU501" s="232">
        <f t="shared" ref="AU501:BA501" si="1103">AU500-AU506</f>
        <v>3385</v>
      </c>
      <c r="AV501" s="232">
        <f t="shared" si="1103"/>
        <v>4329</v>
      </c>
      <c r="AW501" s="232">
        <f t="shared" si="1103"/>
        <v>4258</v>
      </c>
      <c r="AX501" s="232">
        <f t="shared" si="1103"/>
        <v>4076</v>
      </c>
      <c r="AY501" s="232">
        <f t="shared" si="1103"/>
        <v>4260</v>
      </c>
      <c r="AZ501" s="232">
        <f t="shared" si="1103"/>
        <v>7008</v>
      </c>
      <c r="BA501" s="232">
        <f t="shared" si="1103"/>
        <v>4222.0672421685122</v>
      </c>
      <c r="BB501" s="232">
        <f t="shared" ref="BB501" si="1104">BB500-BB506</f>
        <v>4473.7529551648804</v>
      </c>
      <c r="BC501" s="34">
        <f>BC502*BC500</f>
        <v>4855.6380075217066</v>
      </c>
      <c r="BD501" s="34">
        <f>BD502*BD500</f>
        <v>5158.2084682943632</v>
      </c>
      <c r="BE501" s="34">
        <f>BE502*BE500</f>
        <v>5414.4663230750075</v>
      </c>
    </row>
    <row r="502" spans="1:70" s="72" customFormat="1" x14ac:dyDescent="0.2">
      <c r="A502" s="831"/>
      <c r="B502" s="46"/>
      <c r="C502" s="47" t="s">
        <v>254</v>
      </c>
      <c r="D502" s="251">
        <f t="shared" ref="D502:X502" si="1105">D501/D500</f>
        <v>0.29231129864041255</v>
      </c>
      <c r="E502" s="251">
        <f t="shared" si="1105"/>
        <v>0.26482617586912066</v>
      </c>
      <c r="F502" s="251">
        <f t="shared" si="1105"/>
        <v>0.26484420928865371</v>
      </c>
      <c r="G502" s="251">
        <f t="shared" si="1105"/>
        <v>0.21159153633854647</v>
      </c>
      <c r="H502" s="251">
        <f t="shared" si="1105"/>
        <v>0.33100185147089078</v>
      </c>
      <c r="I502" s="251">
        <f t="shared" si="1105"/>
        <v>0.32305882352941179</v>
      </c>
      <c r="J502" s="251">
        <f t="shared" si="1105"/>
        <v>0.27682167704137678</v>
      </c>
      <c r="K502" s="251">
        <f t="shared" si="1105"/>
        <v>0.27222478120681715</v>
      </c>
      <c r="L502" s="251">
        <f t="shared" si="1105"/>
        <v>0.30963302752293576</v>
      </c>
      <c r="M502" s="251">
        <f t="shared" si="1105"/>
        <v>0.31919875130072839</v>
      </c>
      <c r="N502" s="251">
        <f t="shared" si="1105"/>
        <v>0.32423924449108082</v>
      </c>
      <c r="O502" s="251">
        <f t="shared" si="1105"/>
        <v>0.207749766573296</v>
      </c>
      <c r="P502" s="251">
        <f t="shared" si="1105"/>
        <v>0.31274761127942202</v>
      </c>
      <c r="Q502" s="251">
        <f t="shared" si="1105"/>
        <v>0.31057744198596871</v>
      </c>
      <c r="R502" s="251">
        <f t="shared" si="1105"/>
        <v>0.32672654072468255</v>
      </c>
      <c r="S502" s="251">
        <f t="shared" si="1105"/>
        <v>0.29530201342281881</v>
      </c>
      <c r="T502" s="251">
        <f t="shared" si="1105"/>
        <v>0.29016331181162175</v>
      </c>
      <c r="U502" s="251">
        <f t="shared" si="1105"/>
        <v>0.31971904266389178</v>
      </c>
      <c r="V502" s="251">
        <f t="shared" si="1105"/>
        <v>0.31123770067322631</v>
      </c>
      <c r="W502" s="251">
        <f t="shared" si="1105"/>
        <v>0.30905397562391179</v>
      </c>
      <c r="X502" s="251">
        <f t="shared" si="1105"/>
        <v>0.31349749202006383</v>
      </c>
      <c r="Y502" s="251">
        <f t="shared" ref="Y502:Z502" si="1106">Y501/Y500</f>
        <v>0.32310689067445825</v>
      </c>
      <c r="Z502" s="251">
        <f t="shared" si="1106"/>
        <v>0.31283662477558349</v>
      </c>
      <c r="AA502" s="251">
        <f t="shared" ref="AA502:AB502" si="1107">AA501/AA500</f>
        <v>0.93184</v>
      </c>
      <c r="AB502" s="251">
        <f t="shared" si="1107"/>
        <v>0.24099407204742362</v>
      </c>
      <c r="AC502" s="274">
        <f>Drivers!AC213</f>
        <v>0.25</v>
      </c>
      <c r="AD502" s="274">
        <f>Drivers!AD213</f>
        <v>0.25</v>
      </c>
      <c r="AE502" s="274">
        <f>Drivers!AE213</f>
        <v>0.25</v>
      </c>
      <c r="AF502" s="274">
        <f>Drivers!AF213</f>
        <v>0.24</v>
      </c>
      <c r="AG502" s="274">
        <f>Drivers!AG213</f>
        <v>0.24</v>
      </c>
      <c r="AH502" s="274">
        <f>Drivers!AH213</f>
        <v>0.24</v>
      </c>
      <c r="AI502" s="274">
        <f>Drivers!AI213</f>
        <v>0.24</v>
      </c>
      <c r="AJ502" s="274"/>
      <c r="AK502" s="274"/>
      <c r="AL502" s="274"/>
      <c r="AM502" s="274"/>
      <c r="AN502" s="274"/>
      <c r="AO502" s="274"/>
      <c r="AP502" s="274"/>
      <c r="AQ502" s="274"/>
      <c r="AR502" s="70"/>
      <c r="AS502" s="46"/>
      <c r="AT502" s="47" t="s">
        <v>254</v>
      </c>
      <c r="AU502" s="251">
        <f t="shared" ref="AU502:BA502" si="1108">AU501/AU500</f>
        <v>0.26494990607388852</v>
      </c>
      <c r="AV502" s="251">
        <f t="shared" si="1108"/>
        <v>0.30892742453436095</v>
      </c>
      <c r="AW502" s="251">
        <f t="shared" si="1108"/>
        <v>0.30074869331826531</v>
      </c>
      <c r="AX502" s="251">
        <f t="shared" si="1108"/>
        <v>0.31320116797295222</v>
      </c>
      <c r="AY502" s="251">
        <f t="shared" si="1108"/>
        <v>0.30903155603917304</v>
      </c>
      <c r="AZ502" s="251">
        <f t="shared" si="1108"/>
        <v>0.43598357596117954</v>
      </c>
      <c r="BA502" s="251">
        <f t="shared" si="1108"/>
        <v>0.24768277738239425</v>
      </c>
      <c r="BB502" s="251">
        <f t="shared" ref="BB502" si="1109">BB501/BB500</f>
        <v>0.24000000000000005</v>
      </c>
      <c r="BC502" s="274">
        <f>Drivers!BC213</f>
        <v>0.24</v>
      </c>
      <c r="BD502" s="274">
        <f>Drivers!BD213</f>
        <v>0.24</v>
      </c>
      <c r="BE502" s="274">
        <f>Drivers!BE213</f>
        <v>0.24</v>
      </c>
      <c r="BM502"/>
      <c r="BN502"/>
      <c r="BO502"/>
      <c r="BP502"/>
      <c r="BQ502"/>
      <c r="BR502"/>
    </row>
    <row r="503" spans="1:70" s="72" customFormat="1" x14ac:dyDescent="0.2">
      <c r="A503" s="831"/>
      <c r="B503" s="46"/>
      <c r="C503" s="47"/>
      <c r="D503" s="251"/>
      <c r="E503" s="251"/>
      <c r="F503" s="251"/>
      <c r="G503" s="251"/>
      <c r="H503" s="251"/>
      <c r="I503" s="251"/>
      <c r="J503" s="251"/>
      <c r="K503" s="251"/>
      <c r="L503" s="251"/>
      <c r="M503" s="251"/>
      <c r="N503" s="251"/>
      <c r="O503" s="251"/>
      <c r="P503" s="251"/>
      <c r="Q503" s="251"/>
      <c r="R503" s="251"/>
      <c r="S503" s="251"/>
      <c r="T503" s="251"/>
      <c r="U503" s="251"/>
      <c r="V503" s="251"/>
      <c r="W503" s="251"/>
      <c r="X503" s="251"/>
      <c r="Y503" s="251"/>
      <c r="Z503" s="251"/>
      <c r="AA503" s="251"/>
      <c r="AB503" s="251"/>
      <c r="AC503" s="199"/>
      <c r="AD503" s="199"/>
      <c r="AE503" s="199"/>
      <c r="AF503" s="199"/>
      <c r="AG503" s="199"/>
      <c r="AH503" s="199"/>
      <c r="AI503" s="199"/>
      <c r="AJ503" s="199"/>
      <c r="AK503" s="199"/>
      <c r="AL503" s="199"/>
      <c r="AM503" s="199"/>
      <c r="AN503" s="199"/>
      <c r="AO503" s="199"/>
      <c r="AP503" s="199"/>
      <c r="AQ503" s="199"/>
      <c r="AR503" s="70"/>
      <c r="AS503" s="46"/>
      <c r="AT503" s="47"/>
      <c r="BC503" s="199"/>
      <c r="BD503" s="199"/>
      <c r="BE503" s="199"/>
      <c r="BM503"/>
      <c r="BN503"/>
      <c r="BO503"/>
      <c r="BP503"/>
      <c r="BQ503"/>
      <c r="BR503"/>
    </row>
    <row r="504" spans="1:70" x14ac:dyDescent="0.2">
      <c r="B504" s="322" t="s">
        <v>547</v>
      </c>
      <c r="C504" s="387"/>
      <c r="D504" s="440">
        <v>2165</v>
      </c>
      <c r="E504" s="440">
        <v>2283</v>
      </c>
      <c r="F504" s="440">
        <v>2002</v>
      </c>
      <c r="G504" s="440">
        <v>1398</v>
      </c>
      <c r="H504" s="440">
        <v>3060</v>
      </c>
      <c r="I504" s="440">
        <v>3161</v>
      </c>
      <c r="J504" s="440">
        <v>1769</v>
      </c>
      <c r="K504" s="440">
        <v>1480</v>
      </c>
      <c r="L504" s="440">
        <v>3006</v>
      </c>
      <c r="M504" s="440">
        <v>2597</v>
      </c>
      <c r="N504" s="440">
        <v>2382</v>
      </c>
      <c r="O504" s="440">
        <v>1704</v>
      </c>
      <c r="P504" s="440">
        <v>2905</v>
      </c>
      <c r="Q504" s="440">
        <v>2745</v>
      </c>
      <c r="R504" s="440">
        <v>2317</v>
      </c>
      <c r="S504" s="440">
        <v>1143</v>
      </c>
      <c r="T504" s="440">
        <v>1869</v>
      </c>
      <c r="U504" s="440">
        <v>2615</v>
      </c>
      <c r="V504" s="440">
        <v>2660</v>
      </c>
      <c r="W504" s="546">
        <v>2381</v>
      </c>
      <c r="X504" s="546">
        <v>3011</v>
      </c>
      <c r="Y504" s="546">
        <v>2780</v>
      </c>
      <c r="Z504" s="546">
        <v>3062</v>
      </c>
      <c r="AA504" s="546">
        <v>213</v>
      </c>
      <c r="AB504" s="546">
        <v>3329</v>
      </c>
      <c r="AC504" s="493">
        <f t="shared" ref="AC504:AE504" si="1110">AC500-AC501</f>
        <v>3224.3608415464378</v>
      </c>
      <c r="AD504" s="493">
        <f t="shared" si="1110"/>
        <v>3208.4001687720211</v>
      </c>
      <c r="AE504" s="493">
        <f t="shared" si="1110"/>
        <v>3062.4407161870877</v>
      </c>
      <c r="AF504" s="493">
        <f t="shared" ref="AF504:AI504" si="1111">AF500-AF501</f>
        <v>3606.3676929789513</v>
      </c>
      <c r="AG504" s="493">
        <f t="shared" si="1111"/>
        <v>3677.6633822161211</v>
      </c>
      <c r="AH504" s="493">
        <f t="shared" si="1111"/>
        <v>3548.6821340368165</v>
      </c>
      <c r="AI504" s="493">
        <f t="shared" si="1111"/>
        <v>3334.1711487902289</v>
      </c>
      <c r="AJ504" s="493"/>
      <c r="AK504" s="493"/>
      <c r="AL504" s="493"/>
      <c r="AM504" s="493"/>
      <c r="AN504" s="493"/>
      <c r="AO504" s="493"/>
      <c r="AP504" s="493"/>
      <c r="AQ504" s="493"/>
      <c r="AS504" s="322" t="s">
        <v>547</v>
      </c>
      <c r="AT504" s="387"/>
      <c r="AU504" s="232">
        <f>SUM(D504:G504)</f>
        <v>7848</v>
      </c>
      <c r="AV504" s="232">
        <f>SUM(H504:K504)</f>
        <v>9470</v>
      </c>
      <c r="AW504" s="232">
        <f>SUM(L504:O504)</f>
        <v>9689</v>
      </c>
      <c r="AX504" s="232">
        <f>SUM(P504:S504)</f>
        <v>9110</v>
      </c>
      <c r="AY504" s="232">
        <f>SUM(T504:W504)</f>
        <v>9525</v>
      </c>
      <c r="AZ504" s="232">
        <f>SUM(X504:AA504)</f>
        <v>9066</v>
      </c>
      <c r="BA504" s="232">
        <f>SUM(AB504:AE504)</f>
        <v>12824.201726505547</v>
      </c>
      <c r="BB504" s="232">
        <f>SUM(AF504:AI504)</f>
        <v>14166.884358022118</v>
      </c>
      <c r="BC504" s="493">
        <f>BC500-BC501</f>
        <v>15376.18702381874</v>
      </c>
      <c r="BD504" s="493">
        <f>BD500-BD501</f>
        <v>16334.326816265482</v>
      </c>
      <c r="BE504" s="493">
        <f>BE500-BE501</f>
        <v>17145.810023070859</v>
      </c>
    </row>
    <row r="505" spans="1:70" x14ac:dyDescent="0.2">
      <c r="B505" s="316"/>
      <c r="C505" s="321" t="s">
        <v>883</v>
      </c>
      <c r="D505" s="45">
        <f>D1572</f>
        <v>-854</v>
      </c>
      <c r="E505" s="45">
        <f t="shared" ref="E505:AE505" si="1112">E1572</f>
        <v>126</v>
      </c>
      <c r="F505" s="45">
        <f t="shared" si="1112"/>
        <v>-499</v>
      </c>
      <c r="G505" s="45">
        <f t="shared" si="1112"/>
        <v>-316</v>
      </c>
      <c r="H505" s="45">
        <f t="shared" si="1112"/>
        <v>-192</v>
      </c>
      <c r="I505" s="45">
        <f t="shared" si="1112"/>
        <v>284</v>
      </c>
      <c r="J505" s="45">
        <f t="shared" si="1112"/>
        <v>-206</v>
      </c>
      <c r="K505" s="45">
        <f t="shared" si="1112"/>
        <v>-100</v>
      </c>
      <c r="L505" s="45">
        <f t="shared" si="1112"/>
        <v>-4</v>
      </c>
      <c r="M505" s="45">
        <f t="shared" si="1112"/>
        <v>-20</v>
      </c>
      <c r="N505" s="45">
        <f t="shared" si="1112"/>
        <v>-194</v>
      </c>
      <c r="O505" s="45">
        <f t="shared" si="1112"/>
        <v>7</v>
      </c>
      <c r="P505" s="45">
        <f t="shared" si="1112"/>
        <v>-44</v>
      </c>
      <c r="Q505" s="45">
        <f t="shared" si="1112"/>
        <v>190</v>
      </c>
      <c r="R505" s="45">
        <f t="shared" si="1112"/>
        <v>143</v>
      </c>
      <c r="S505" s="45">
        <f t="shared" si="1112"/>
        <v>-117</v>
      </c>
      <c r="T505" s="45">
        <f t="shared" si="1112"/>
        <v>0</v>
      </c>
      <c r="U505" s="45">
        <f t="shared" si="1112"/>
        <v>0</v>
      </c>
      <c r="V505" s="45">
        <f t="shared" si="1112"/>
        <v>0</v>
      </c>
      <c r="W505" s="45">
        <f t="shared" si="1112"/>
        <v>0</v>
      </c>
      <c r="X505" s="45">
        <f>X1572</f>
        <v>0</v>
      </c>
      <c r="Y505" s="45">
        <f>Y1572</f>
        <v>0</v>
      </c>
      <c r="Z505" s="45">
        <f>Z1572</f>
        <v>0</v>
      </c>
      <c r="AA505" s="45">
        <f>AA1572</f>
        <v>0</v>
      </c>
      <c r="AB505" s="45">
        <f>AB1572</f>
        <v>0</v>
      </c>
      <c r="AC505" s="45">
        <f t="shared" si="1112"/>
        <v>0</v>
      </c>
      <c r="AD505" s="45">
        <f t="shared" si="1112"/>
        <v>0</v>
      </c>
      <c r="AE505" s="45">
        <f t="shared" si="1112"/>
        <v>0</v>
      </c>
      <c r="AF505" s="45">
        <f t="shared" ref="AF505:AI505" si="1113">AF1572</f>
        <v>0</v>
      </c>
      <c r="AG505" s="45">
        <f t="shared" si="1113"/>
        <v>0</v>
      </c>
      <c r="AH505" s="45">
        <f t="shared" si="1113"/>
        <v>0</v>
      </c>
      <c r="AI505" s="45">
        <f t="shared" si="1113"/>
        <v>0</v>
      </c>
      <c r="AJ505" s="45"/>
      <c r="AK505" s="45"/>
      <c r="AL505" s="45"/>
      <c r="AM505" s="45"/>
      <c r="AN505" s="45"/>
      <c r="AO505" s="45"/>
      <c r="AP505" s="45"/>
      <c r="AQ505" s="45"/>
      <c r="AS505" s="316"/>
      <c r="AT505" s="321" t="s">
        <v>883</v>
      </c>
      <c r="AU505" s="232">
        <f>SUM(D505:G505)</f>
        <v>-1543</v>
      </c>
      <c r="AV505" s="232">
        <f>SUM(H505:K505)</f>
        <v>-214</v>
      </c>
      <c r="AW505" s="232">
        <f>SUM(L505:O505)</f>
        <v>-211</v>
      </c>
      <c r="AX505" s="232">
        <f>SUM(P505:S505)</f>
        <v>172</v>
      </c>
      <c r="AY505" s="232">
        <f>SUM(T505:W505)</f>
        <v>0</v>
      </c>
      <c r="AZ505" s="232">
        <f>SUM(X505:AA505)</f>
        <v>0</v>
      </c>
      <c r="BA505" s="232">
        <f>SUM(AB505:AE505)</f>
        <v>0</v>
      </c>
      <c r="BB505" s="232">
        <f>SUM(AF505:AI505)</f>
        <v>0</v>
      </c>
      <c r="BC505" s="45">
        <f>BC1572</f>
        <v>0</v>
      </c>
      <c r="BD505" s="45">
        <f>BD1572</f>
        <v>0</v>
      </c>
      <c r="BE505" s="45">
        <f>BE1572</f>
        <v>0</v>
      </c>
    </row>
    <row r="506" spans="1:70" x14ac:dyDescent="0.2">
      <c r="B506" s="316" t="s">
        <v>480</v>
      </c>
      <c r="C506" s="387"/>
      <c r="D506" s="320">
        <f t="shared" ref="D506:Y506" si="1114">D504-D505</f>
        <v>3019</v>
      </c>
      <c r="E506" s="320">
        <f t="shared" si="1114"/>
        <v>2157</v>
      </c>
      <c r="F506" s="320">
        <f t="shared" si="1114"/>
        <v>2501</v>
      </c>
      <c r="G506" s="320">
        <f t="shared" si="1114"/>
        <v>1714</v>
      </c>
      <c r="H506" s="320">
        <f t="shared" si="1114"/>
        <v>3252</v>
      </c>
      <c r="I506" s="320">
        <f t="shared" si="1114"/>
        <v>2877</v>
      </c>
      <c r="J506" s="320">
        <f t="shared" si="1114"/>
        <v>1975</v>
      </c>
      <c r="K506" s="320">
        <f t="shared" si="1114"/>
        <v>1580</v>
      </c>
      <c r="L506" s="320">
        <f t="shared" si="1114"/>
        <v>3010</v>
      </c>
      <c r="M506" s="320">
        <f t="shared" si="1114"/>
        <v>2617</v>
      </c>
      <c r="N506" s="320">
        <f t="shared" si="1114"/>
        <v>2576</v>
      </c>
      <c r="O506" s="320">
        <f t="shared" si="1114"/>
        <v>1697</v>
      </c>
      <c r="P506" s="320">
        <f t="shared" si="1114"/>
        <v>2949</v>
      </c>
      <c r="Q506" s="320">
        <f t="shared" si="1114"/>
        <v>2555</v>
      </c>
      <c r="R506" s="320">
        <f t="shared" si="1114"/>
        <v>2174</v>
      </c>
      <c r="S506" s="320">
        <f t="shared" si="1114"/>
        <v>1260</v>
      </c>
      <c r="T506" s="320">
        <f t="shared" si="1114"/>
        <v>1869</v>
      </c>
      <c r="U506" s="320">
        <f t="shared" si="1114"/>
        <v>2615</v>
      </c>
      <c r="V506" s="320">
        <f t="shared" si="1114"/>
        <v>2660</v>
      </c>
      <c r="W506" s="320">
        <f t="shared" si="1114"/>
        <v>2381</v>
      </c>
      <c r="X506" s="320">
        <f t="shared" si="1114"/>
        <v>3011</v>
      </c>
      <c r="Y506" s="320">
        <f t="shared" si="1114"/>
        <v>2780</v>
      </c>
      <c r="Z506" s="320">
        <f t="shared" ref="Z506:AA506" si="1115">Z504-Z505</f>
        <v>3062</v>
      </c>
      <c r="AA506" s="320">
        <f t="shared" si="1115"/>
        <v>213</v>
      </c>
      <c r="AB506" s="320">
        <f t="shared" ref="AB506" si="1116">AB504-AB505</f>
        <v>3329</v>
      </c>
      <c r="AC506" s="320">
        <f t="shared" ref="AC506:AE506" si="1117">AC500-AC501</f>
        <v>3224.3608415464378</v>
      </c>
      <c r="AD506" s="320">
        <f t="shared" si="1117"/>
        <v>3208.4001687720211</v>
      </c>
      <c r="AE506" s="320">
        <f t="shared" si="1117"/>
        <v>3062.4407161870877</v>
      </c>
      <c r="AF506" s="320">
        <f t="shared" ref="AF506:AI506" si="1118">AF500-AF501</f>
        <v>3606.3676929789513</v>
      </c>
      <c r="AG506" s="320">
        <f t="shared" si="1118"/>
        <v>3677.6633822161211</v>
      </c>
      <c r="AH506" s="320">
        <f t="shared" si="1118"/>
        <v>3548.6821340368165</v>
      </c>
      <c r="AI506" s="320">
        <f t="shared" si="1118"/>
        <v>3334.1711487902289</v>
      </c>
      <c r="AJ506" s="320"/>
      <c r="AK506" s="320"/>
      <c r="AL506" s="320"/>
      <c r="AM506" s="320"/>
      <c r="AN506" s="320"/>
      <c r="AO506" s="320"/>
      <c r="AP506" s="320"/>
      <c r="AQ506" s="320"/>
      <c r="AS506" s="316" t="s">
        <v>480</v>
      </c>
      <c r="AT506" s="387"/>
      <c r="AU506" s="233">
        <f t="shared" ref="AU506:BA506" si="1119">AU504-AU505</f>
        <v>9391</v>
      </c>
      <c r="AV506" s="233">
        <f t="shared" si="1119"/>
        <v>9684</v>
      </c>
      <c r="AW506" s="233">
        <f t="shared" si="1119"/>
        <v>9900</v>
      </c>
      <c r="AX506" s="233">
        <f t="shared" si="1119"/>
        <v>8938</v>
      </c>
      <c r="AY506" s="233">
        <f t="shared" si="1119"/>
        <v>9525</v>
      </c>
      <c r="AZ506" s="233">
        <f t="shared" si="1119"/>
        <v>9066</v>
      </c>
      <c r="BA506" s="233">
        <f t="shared" si="1119"/>
        <v>12824.201726505547</v>
      </c>
      <c r="BB506" s="233">
        <f t="shared" ref="BB506" si="1120">BB504-BB505</f>
        <v>14166.884358022118</v>
      </c>
      <c r="BC506" s="320">
        <f>BC500-BC501</f>
        <v>15376.18702381874</v>
      </c>
      <c r="BD506" s="320">
        <f>BD500-BD501</f>
        <v>16334.326816265482</v>
      </c>
      <c r="BE506" s="320">
        <f>BE500-BE501</f>
        <v>17145.810023070859</v>
      </c>
    </row>
    <row r="507" spans="1:70" x14ac:dyDescent="0.2">
      <c r="D507" s="33"/>
      <c r="E507" s="33"/>
      <c r="F507" s="33"/>
      <c r="G507" s="33"/>
      <c r="H507" s="33"/>
      <c r="I507" s="33"/>
      <c r="J507" s="33"/>
      <c r="K507" s="33"/>
      <c r="L507" s="33"/>
      <c r="M507" s="33"/>
      <c r="N507" s="33"/>
      <c r="O507" s="33"/>
      <c r="P507" s="33"/>
      <c r="Q507" s="33"/>
      <c r="R507" s="33"/>
      <c r="S507" s="33"/>
      <c r="T507" s="33"/>
      <c r="U507" s="33"/>
      <c r="V507" s="33"/>
      <c r="W507" s="33"/>
      <c r="Z507" s="1688"/>
      <c r="AB507" s="1785"/>
    </row>
    <row r="508" spans="1:70" x14ac:dyDescent="0.2">
      <c r="B508" s="48" t="s">
        <v>555</v>
      </c>
      <c r="C508" s="12"/>
      <c r="D508" s="178"/>
      <c r="E508" s="178"/>
      <c r="F508" s="178"/>
      <c r="G508" s="178"/>
      <c r="H508" s="178"/>
      <c r="I508" s="178"/>
      <c r="J508" s="178"/>
      <c r="K508" s="178"/>
      <c r="L508" s="178"/>
      <c r="M508" s="178"/>
      <c r="N508" s="178"/>
      <c r="O508" s="178"/>
      <c r="P508" s="178"/>
      <c r="Q508" s="178"/>
      <c r="R508" s="178"/>
      <c r="S508" s="178"/>
      <c r="T508" s="178"/>
      <c r="U508" s="178"/>
      <c r="V508" s="178"/>
      <c r="W508" s="178"/>
      <c r="X508" s="12"/>
      <c r="Y508" s="12"/>
      <c r="Z508" s="190"/>
      <c r="AA508" s="190"/>
      <c r="AB508" s="190"/>
      <c r="AC508" s="190"/>
      <c r="AD508" s="190"/>
      <c r="AE508" s="190"/>
      <c r="AF508" s="190"/>
      <c r="AG508" s="190"/>
      <c r="AH508" s="190"/>
      <c r="AI508" s="190"/>
      <c r="AJ508" s="190"/>
      <c r="AK508" s="190"/>
      <c r="AL508" s="190"/>
      <c r="AM508" s="190"/>
      <c r="AN508" s="190"/>
      <c r="AO508" s="190"/>
      <c r="AP508" s="190"/>
      <c r="AQ508" s="190"/>
      <c r="AS508" s="48" t="s">
        <v>555</v>
      </c>
      <c r="AT508" s="12"/>
      <c r="AU508" s="12"/>
      <c r="AV508" s="12"/>
      <c r="AW508" s="12"/>
      <c r="AX508" s="12"/>
      <c r="AY508" s="12"/>
      <c r="AZ508" s="12"/>
      <c r="BA508" s="12"/>
      <c r="BB508" s="12"/>
      <c r="BC508" s="12"/>
      <c r="BD508" s="12"/>
      <c r="BE508" s="12"/>
    </row>
    <row r="509" spans="1:70" x14ac:dyDescent="0.2">
      <c r="B509" s="201"/>
      <c r="C509" s="15"/>
      <c r="D509" s="37"/>
      <c r="E509" s="37"/>
      <c r="F509" s="37"/>
      <c r="G509" s="37"/>
      <c r="H509" s="37"/>
      <c r="I509" s="37"/>
      <c r="J509" s="37"/>
      <c r="K509" s="37"/>
      <c r="L509" s="37"/>
      <c r="M509" s="37"/>
      <c r="N509" s="37"/>
      <c r="O509" s="37"/>
      <c r="P509" s="37"/>
      <c r="Q509" s="37"/>
      <c r="R509" s="37"/>
      <c r="S509" s="37"/>
      <c r="T509" s="37"/>
      <c r="U509" s="37"/>
      <c r="V509" s="37"/>
      <c r="W509" s="37"/>
      <c r="X509" s="15"/>
      <c r="Y509" s="15"/>
      <c r="Z509" s="70"/>
      <c r="AA509" s="70"/>
      <c r="AB509" s="70"/>
      <c r="AC509" s="70"/>
      <c r="AD509" s="70"/>
      <c r="AE509" s="70"/>
      <c r="AF509" s="70"/>
      <c r="AG509" s="70"/>
      <c r="AH509" s="70"/>
      <c r="AI509" s="70"/>
      <c r="AJ509" s="70"/>
      <c r="AK509" s="70"/>
      <c r="AL509" s="70"/>
      <c r="AM509" s="70"/>
      <c r="AN509" s="70"/>
      <c r="AO509" s="70"/>
      <c r="AP509" s="70"/>
      <c r="AQ509" s="70"/>
      <c r="AS509" s="201"/>
      <c r="AT509" s="15"/>
      <c r="AU509" s="232"/>
      <c r="AV509" s="232"/>
      <c r="AW509" s="232"/>
      <c r="AX509" s="232"/>
      <c r="AY509" s="232"/>
      <c r="AZ509" s="232"/>
      <c r="BA509" s="232"/>
      <c r="BB509" s="232"/>
    </row>
    <row r="510" spans="1:70" x14ac:dyDescent="0.2">
      <c r="B510" s="322" t="s">
        <v>647</v>
      </c>
      <c r="C510" s="387"/>
      <c r="D510" s="385">
        <f t="shared" ref="D510:X510" si="1121">D581</f>
        <v>3930</v>
      </c>
      <c r="E510" s="385">
        <f t="shared" si="1121"/>
        <v>3897</v>
      </c>
      <c r="F510" s="385">
        <f t="shared" si="1121"/>
        <v>4064</v>
      </c>
      <c r="G510" s="385">
        <f t="shared" si="1121"/>
        <v>4217</v>
      </c>
      <c r="H510" s="385">
        <f t="shared" si="1121"/>
        <v>3876</v>
      </c>
      <c r="I510" s="385">
        <f t="shared" si="1121"/>
        <v>3987</v>
      </c>
      <c r="J510" s="385">
        <f t="shared" si="1121"/>
        <v>3846</v>
      </c>
      <c r="K510" s="385">
        <f t="shared" si="1121"/>
        <v>3933</v>
      </c>
      <c r="L510" s="385">
        <f t="shared" si="1121"/>
        <v>3858</v>
      </c>
      <c r="M510" s="385">
        <f t="shared" si="1121"/>
        <v>3857</v>
      </c>
      <c r="N510" s="385">
        <f t="shared" si="1121"/>
        <v>4050</v>
      </c>
      <c r="O510" s="385">
        <f t="shared" si="1121"/>
        <v>4096</v>
      </c>
      <c r="P510" s="385">
        <f t="shared" si="1121"/>
        <v>3761</v>
      </c>
      <c r="Q510" s="385">
        <f t="shared" si="1121"/>
        <v>4006</v>
      </c>
      <c r="R510" s="385">
        <f t="shared" si="1121"/>
        <v>3985</v>
      </c>
      <c r="S510" s="385">
        <f t="shared" si="1121"/>
        <v>3916</v>
      </c>
      <c r="T510" s="385">
        <f t="shared" si="1121"/>
        <v>3985</v>
      </c>
      <c r="U510" s="385">
        <f t="shared" si="1121"/>
        <v>4108</v>
      </c>
      <c r="V510" s="385">
        <f t="shared" si="1121"/>
        <v>4064</v>
      </c>
      <c r="W510" s="385">
        <f t="shared" si="1121"/>
        <v>3937</v>
      </c>
      <c r="X510" s="385">
        <f t="shared" si="1121"/>
        <v>3818</v>
      </c>
      <c r="Y510" s="385">
        <f t="shared" ref="Y510:Z510" si="1122">Y581</f>
        <v>4001</v>
      </c>
      <c r="Z510" s="385">
        <f t="shared" si="1122"/>
        <v>3948</v>
      </c>
      <c r="AA510" s="385">
        <f t="shared" ref="AA510" si="1123">AA581</f>
        <v>3869</v>
      </c>
      <c r="AB510" s="385">
        <f t="shared" ref="AB510" si="1124">AB581</f>
        <v>3654</v>
      </c>
      <c r="AC510" s="37">
        <f t="shared" ref="AC510:AE510" si="1125">AC514*(AC607*1000)/AC1</f>
        <v>3965.5755616438364</v>
      </c>
      <c r="AD510" s="37">
        <f t="shared" si="1125"/>
        <v>4113.522034520548</v>
      </c>
      <c r="AE510" s="37">
        <f t="shared" si="1125"/>
        <v>4309.9095381041097</v>
      </c>
      <c r="AF510" s="37">
        <f t="shared" ref="AF510:AI510" si="1126">AF514*(AF607*1000)/AF1</f>
        <v>4390.1347564084926</v>
      </c>
      <c r="AG510" s="37">
        <f t="shared" si="1126"/>
        <v>4573.8932540695914</v>
      </c>
      <c r="AH510" s="37">
        <f t="shared" si="1126"/>
        <v>4835.5124342030194</v>
      </c>
      <c r="AI510" s="37">
        <f t="shared" si="1126"/>
        <v>5054.5467845641951</v>
      </c>
      <c r="AJ510" s="37"/>
      <c r="AK510" s="37"/>
      <c r="AL510" s="37"/>
      <c r="AM510" s="37"/>
      <c r="AN510" s="37"/>
      <c r="AO510" s="37"/>
      <c r="AP510" s="37"/>
      <c r="AQ510" s="37"/>
      <c r="AS510" s="322" t="s">
        <v>389</v>
      </c>
      <c r="AT510" s="387"/>
      <c r="AU510" s="232">
        <f>SUM(D510:G510)</f>
        <v>16108</v>
      </c>
      <c r="AV510" s="232">
        <f>SUM(H510:K510)</f>
        <v>15642</v>
      </c>
      <c r="AW510" s="232">
        <f>SUM(L510:O510)</f>
        <v>15861</v>
      </c>
      <c r="AX510" s="232">
        <f>SUM(P510:S510)</f>
        <v>15668</v>
      </c>
      <c r="AY510" s="232">
        <f>SUM(T510:W510)</f>
        <v>16094</v>
      </c>
      <c r="AZ510" s="232">
        <f>SUM(X510:AA510)</f>
        <v>15636</v>
      </c>
      <c r="BA510" s="232">
        <f>SUM(AB510:AE510)</f>
        <v>16043.007134268495</v>
      </c>
      <c r="BB510" s="232">
        <f>SUM(AF510:AI510)</f>
        <v>18854.087229245299</v>
      </c>
      <c r="BC510" s="37">
        <f>BC514*(BC607*1000)/BC1</f>
        <v>20910.249333264223</v>
      </c>
      <c r="BD510" s="37">
        <f>BD514*(BD607*1000)/BD1</f>
        <v>22804.235378642577</v>
      </c>
      <c r="BE510" s="37">
        <f>BE514*(BE607*1000)/BE1</f>
        <v>24628.574208933984</v>
      </c>
    </row>
    <row r="511" spans="1:70" x14ac:dyDescent="0.2">
      <c r="B511" s="547" t="s">
        <v>556</v>
      </c>
      <c r="C511" s="548"/>
      <c r="D511" s="511">
        <f t="shared" ref="D511:AE511" si="1127">D512-D510</f>
        <v>5574</v>
      </c>
      <c r="E511" s="511">
        <f t="shared" si="1127"/>
        <v>4172</v>
      </c>
      <c r="F511" s="511">
        <f t="shared" si="1127"/>
        <v>4192</v>
      </c>
      <c r="G511" s="511">
        <f t="shared" si="1127"/>
        <v>3312</v>
      </c>
      <c r="H511" s="511">
        <f t="shared" si="1127"/>
        <v>6025</v>
      </c>
      <c r="I511" s="511">
        <f t="shared" si="1127"/>
        <v>5145</v>
      </c>
      <c r="J511" s="511">
        <f t="shared" si="1127"/>
        <v>3815</v>
      </c>
      <c r="K511" s="511">
        <f t="shared" si="1127"/>
        <v>3298</v>
      </c>
      <c r="L511" s="511">
        <f t="shared" si="1127"/>
        <v>5415</v>
      </c>
      <c r="M511" s="511">
        <f t="shared" si="1127"/>
        <v>4646</v>
      </c>
      <c r="N511" s="511">
        <f t="shared" si="1127"/>
        <v>4668</v>
      </c>
      <c r="O511" s="511">
        <f t="shared" si="1127"/>
        <v>3115</v>
      </c>
      <c r="P511" s="511">
        <f t="shared" si="1127"/>
        <v>5270</v>
      </c>
      <c r="Q511" s="511">
        <f t="shared" si="1127"/>
        <v>4460</v>
      </c>
      <c r="R511" s="511">
        <f t="shared" si="1127"/>
        <v>4275</v>
      </c>
      <c r="S511" s="511">
        <f t="shared" si="1127"/>
        <v>3390</v>
      </c>
      <c r="T511" s="511">
        <f t="shared" si="1127"/>
        <v>3910</v>
      </c>
      <c r="U511" s="511">
        <f t="shared" si="1127"/>
        <v>4581</v>
      </c>
      <c r="V511" s="511">
        <f t="shared" si="1127"/>
        <v>4395</v>
      </c>
      <c r="W511" s="511">
        <f t="shared" si="1127"/>
        <v>4247</v>
      </c>
      <c r="X511" s="511">
        <f t="shared" si="1127"/>
        <v>5501</v>
      </c>
      <c r="Y511" s="511">
        <f t="shared" ref="Y511:Z511" si="1128">Y512-Y510</f>
        <v>5420</v>
      </c>
      <c r="Z511" s="511">
        <f t="shared" si="1128"/>
        <v>5482</v>
      </c>
      <c r="AA511" s="511">
        <f t="shared" ref="AA511" si="1129">AA512-AA510</f>
        <v>4435</v>
      </c>
      <c r="AB511" s="511">
        <f t="shared" ref="AB511" si="1130">AB512-AB510</f>
        <v>6194</v>
      </c>
      <c r="AC511" s="511">
        <f t="shared" si="1127"/>
        <v>6197.0701599373169</v>
      </c>
      <c r="AD511" s="511">
        <f t="shared" si="1127"/>
        <v>5825.3338287917841</v>
      </c>
      <c r="AE511" s="511">
        <f t="shared" si="1127"/>
        <v>5054.7181648503229</v>
      </c>
      <c r="AF511" s="511">
        <f t="shared" ref="AF511:AI511" si="1131">AF512-AF510</f>
        <v>6570.5818000603185</v>
      </c>
      <c r="AG511" s="511">
        <f t="shared" si="1131"/>
        <v>6408.8943361316506</v>
      </c>
      <c r="AH511" s="511">
        <f t="shared" si="1131"/>
        <v>5844.3844130483812</v>
      </c>
      <c r="AI511" s="511">
        <f t="shared" si="1131"/>
        <v>4968.7529631164607</v>
      </c>
      <c r="AJ511" s="385"/>
      <c r="AK511" s="385"/>
      <c r="AL511" s="385"/>
      <c r="AM511" s="385"/>
      <c r="AN511" s="385"/>
      <c r="AO511" s="385"/>
      <c r="AP511" s="385"/>
      <c r="AQ511" s="385"/>
      <c r="AS511" s="547" t="s">
        <v>556</v>
      </c>
      <c r="AT511" s="548"/>
      <c r="AU511" s="41">
        <f>SUM(D511:G511)</f>
        <v>17250</v>
      </c>
      <c r="AV511" s="41">
        <f>SUM(H511:K511)</f>
        <v>18283</v>
      </c>
      <c r="AW511" s="41">
        <f>SUM(L511:O511)</f>
        <v>17844</v>
      </c>
      <c r="AX511" s="41">
        <f>SUM(P511:S511)</f>
        <v>17395</v>
      </c>
      <c r="AY511" s="41">
        <f>SUM(T511:W511)</f>
        <v>17133</v>
      </c>
      <c r="AZ511" s="41">
        <f>SUM(X511:AA511)</f>
        <v>20838</v>
      </c>
      <c r="BA511" s="41">
        <f>SUM(AB511:AE511)</f>
        <v>23271.122153579425</v>
      </c>
      <c r="BB511" s="41">
        <f>SUM(AF511:AI511)</f>
        <v>23792.613512356813</v>
      </c>
      <c r="BC511" s="511">
        <f>BC512-BC510</f>
        <v>24646.057318400886</v>
      </c>
      <c r="BD511" s="511">
        <f>BD512-BD510</f>
        <v>25557.451397939269</v>
      </c>
      <c r="BE511" s="511">
        <f>BE512-BE510</f>
        <v>26589.363696241533</v>
      </c>
    </row>
    <row r="512" spans="1:70" x14ac:dyDescent="0.2">
      <c r="B512" s="316" t="s">
        <v>646</v>
      </c>
      <c r="C512" s="387"/>
      <c r="D512" s="385">
        <f t="shared" ref="D512:AE512" si="1132">D487</f>
        <v>9504</v>
      </c>
      <c r="E512" s="385">
        <f t="shared" si="1132"/>
        <v>8069</v>
      </c>
      <c r="F512" s="385">
        <f t="shared" si="1132"/>
        <v>8256</v>
      </c>
      <c r="G512" s="385">
        <f t="shared" si="1132"/>
        <v>7529</v>
      </c>
      <c r="H512" s="385">
        <f t="shared" si="1132"/>
        <v>9901</v>
      </c>
      <c r="I512" s="385">
        <f t="shared" si="1132"/>
        <v>9132</v>
      </c>
      <c r="J512" s="385">
        <f t="shared" si="1132"/>
        <v>7661</v>
      </c>
      <c r="K512" s="385">
        <f t="shared" si="1132"/>
        <v>7231</v>
      </c>
      <c r="L512" s="385">
        <f t="shared" si="1132"/>
        <v>9273</v>
      </c>
      <c r="M512" s="385">
        <f t="shared" si="1132"/>
        <v>8503</v>
      </c>
      <c r="N512" s="385">
        <f t="shared" si="1132"/>
        <v>8718</v>
      </c>
      <c r="O512" s="385">
        <f t="shared" si="1132"/>
        <v>7211</v>
      </c>
      <c r="P512" s="385">
        <f t="shared" si="1132"/>
        <v>9031</v>
      </c>
      <c r="Q512" s="385">
        <f t="shared" si="1132"/>
        <v>8466</v>
      </c>
      <c r="R512" s="385">
        <f t="shared" si="1132"/>
        <v>8260</v>
      </c>
      <c r="S512" s="385">
        <f t="shared" si="1132"/>
        <v>7306</v>
      </c>
      <c r="T512" s="385">
        <f t="shared" si="1132"/>
        <v>7895</v>
      </c>
      <c r="U512" s="385">
        <f t="shared" si="1132"/>
        <v>8689</v>
      </c>
      <c r="V512" s="385">
        <f t="shared" si="1132"/>
        <v>8459</v>
      </c>
      <c r="W512" s="385">
        <f t="shared" si="1132"/>
        <v>8184</v>
      </c>
      <c r="X512" s="385">
        <f t="shared" si="1132"/>
        <v>9319</v>
      </c>
      <c r="Y512" s="385">
        <f t="shared" ref="Y512" si="1133">Y487</f>
        <v>9421</v>
      </c>
      <c r="Z512" s="385">
        <f>Z487</f>
        <v>9430</v>
      </c>
      <c r="AA512" s="385">
        <f>AA487</f>
        <v>8304</v>
      </c>
      <c r="AB512" s="385">
        <f>AB487</f>
        <v>9848</v>
      </c>
      <c r="AC512" s="34">
        <f t="shared" si="1132"/>
        <v>10162.645721581153</v>
      </c>
      <c r="AD512" s="34">
        <f t="shared" si="1132"/>
        <v>9938.8558633123321</v>
      </c>
      <c r="AE512" s="34">
        <f t="shared" si="1132"/>
        <v>9364.6277029544326</v>
      </c>
      <c r="AF512" s="34">
        <f t="shared" ref="AF512:AI512" si="1134">AF487</f>
        <v>10960.716556468811</v>
      </c>
      <c r="AG512" s="34">
        <f t="shared" si="1134"/>
        <v>10982.787590201242</v>
      </c>
      <c r="AH512" s="34">
        <f t="shared" si="1134"/>
        <v>10679.896847251401</v>
      </c>
      <c r="AI512" s="34">
        <f t="shared" si="1134"/>
        <v>10023.299747680656</v>
      </c>
      <c r="AJ512" s="34"/>
      <c r="AK512" s="34"/>
      <c r="AL512" s="34"/>
      <c r="AM512" s="34"/>
      <c r="AN512" s="34"/>
      <c r="AO512" s="34"/>
      <c r="AP512" s="34"/>
      <c r="AQ512" s="34"/>
      <c r="AS512" s="316" t="s">
        <v>557</v>
      </c>
      <c r="AT512" s="387"/>
      <c r="AU512" s="34">
        <f t="shared" ref="AU512:BA512" si="1135">AU489</f>
        <v>30871</v>
      </c>
      <c r="AV512" s="34">
        <f t="shared" si="1135"/>
        <v>33580</v>
      </c>
      <c r="AW512" s="34">
        <f t="shared" si="1135"/>
        <v>33362</v>
      </c>
      <c r="AX512" s="34">
        <f t="shared" si="1135"/>
        <v>33332</v>
      </c>
      <c r="AY512" s="34">
        <f t="shared" si="1135"/>
        <v>33227</v>
      </c>
      <c r="AZ512" s="34">
        <f t="shared" si="1135"/>
        <v>36474</v>
      </c>
      <c r="BA512" s="34">
        <f t="shared" si="1135"/>
        <v>39314.129287847914</v>
      </c>
      <c r="BB512" s="34">
        <f t="shared" ref="BB512" si="1136">BB489</f>
        <v>42646.700741602115</v>
      </c>
      <c r="BC512" s="34">
        <f>BC487</f>
        <v>45556.306651665109</v>
      </c>
      <c r="BD512" s="34">
        <f>BD487</f>
        <v>48361.686776581846</v>
      </c>
      <c r="BE512" s="34">
        <f>BE487</f>
        <v>51217.937905175517</v>
      </c>
    </row>
    <row r="513" spans="1:70" x14ac:dyDescent="0.2">
      <c r="B513" s="322"/>
      <c r="C513" s="387"/>
      <c r="D513" s="385"/>
      <c r="E513" s="385"/>
      <c r="F513" s="385"/>
      <c r="G513" s="385"/>
      <c r="H513" s="385"/>
      <c r="I513" s="385"/>
      <c r="J513" s="385"/>
      <c r="K513" s="385"/>
      <c r="L513" s="385"/>
      <c r="M513" s="385"/>
      <c r="N513" s="385"/>
      <c r="O513" s="385"/>
      <c r="P513" s="385"/>
      <c r="Q513" s="385"/>
      <c r="R513" s="385"/>
      <c r="S513" s="385"/>
      <c r="T513" s="385"/>
      <c r="U513" s="385"/>
      <c r="V513" s="385"/>
      <c r="W513" s="385"/>
      <c r="X513" s="385"/>
      <c r="Y513" s="385"/>
      <c r="Z513" s="385"/>
      <c r="AA513" s="385"/>
      <c r="AB513" s="385"/>
      <c r="AC513" s="70"/>
      <c r="AD513" s="70"/>
      <c r="AE513" s="70"/>
      <c r="AF513" s="70"/>
      <c r="AG513" s="70"/>
      <c r="AH513" s="70"/>
      <c r="AI513" s="70"/>
      <c r="AJ513" s="70"/>
      <c r="AK513" s="70"/>
      <c r="AL513" s="70"/>
      <c r="AM513" s="70"/>
      <c r="AN513" s="70"/>
      <c r="AO513" s="70"/>
      <c r="AP513" s="70"/>
      <c r="AQ513" s="70"/>
      <c r="AS513" s="322"/>
      <c r="AT513" s="387"/>
    </row>
    <row r="514" spans="1:70" x14ac:dyDescent="0.2">
      <c r="B514" s="316" t="s">
        <v>558</v>
      </c>
      <c r="C514" s="387"/>
      <c r="D514" s="549">
        <f t="shared" ref="D514:X514" si="1137">D510/(D607*1000)*D1</f>
        <v>7.0564167974882255E-2</v>
      </c>
      <c r="E514" s="549">
        <f t="shared" si="1137"/>
        <v>6.6981403212172441E-2</v>
      </c>
      <c r="F514" s="549">
        <f t="shared" si="1137"/>
        <v>6.599041703637977E-2</v>
      </c>
      <c r="G514" s="549">
        <f t="shared" si="1137"/>
        <v>6.875543478260869E-2</v>
      </c>
      <c r="H514" s="549">
        <f t="shared" si="1137"/>
        <v>6.4160544217687063E-2</v>
      </c>
      <c r="I514" s="549">
        <f t="shared" si="1137"/>
        <v>6.2224954034292554E-2</v>
      </c>
      <c r="J514" s="549">
        <f t="shared" si="1137"/>
        <v>5.8017440899322197E-2</v>
      </c>
      <c r="K514" s="549">
        <f t="shared" si="1137"/>
        <v>5.7578413284132837E-2</v>
      </c>
      <c r="L514" s="549">
        <f t="shared" si="1137"/>
        <v>5.6689613526570044E-2</v>
      </c>
      <c r="M514" s="549">
        <f t="shared" si="1137"/>
        <v>5.4665670019026905E-2</v>
      </c>
      <c r="N514" s="549">
        <f t="shared" si="1137"/>
        <v>5.6777154708864644E-2</v>
      </c>
      <c r="O514" s="549">
        <f t="shared" si="1137"/>
        <v>5.7830728763732006E-2</v>
      </c>
      <c r="P514" s="549">
        <f t="shared" si="1137"/>
        <v>5.4866706634692244E-2</v>
      </c>
      <c r="Q514" s="549">
        <f t="shared" si="1137"/>
        <v>5.559869196547397E-2</v>
      </c>
      <c r="R514" s="549">
        <f t="shared" si="1137"/>
        <v>5.4144021739130431E-2</v>
      </c>
      <c r="S514" s="549">
        <f t="shared" si="1137"/>
        <v>5.2844572611653352E-2</v>
      </c>
      <c r="T514" s="549">
        <f t="shared" si="1137"/>
        <v>5.4330787856211586E-2</v>
      </c>
      <c r="U514" s="549">
        <f t="shared" si="1137"/>
        <v>5.434962406015037E-2</v>
      </c>
      <c r="V514" s="549">
        <f t="shared" si="1137"/>
        <v>5.2663362130009911E-2</v>
      </c>
      <c r="W514" s="549">
        <f t="shared" si="1137"/>
        <v>5.1521095537757439E-2</v>
      </c>
      <c r="X514" s="549">
        <f t="shared" si="1137"/>
        <v>5.1271891096394406E-2</v>
      </c>
      <c r="Y514" s="549">
        <f t="shared" ref="Y514:Z514" si="1138">Y510/(Y607*1000)*Y1</f>
        <v>5.1271460169223744E-2</v>
      </c>
      <c r="Z514" s="549">
        <f t="shared" si="1138"/>
        <v>4.879520520113774E-2</v>
      </c>
      <c r="AA514" s="549">
        <f t="shared" ref="AA514" si="1139">AA510/(AA607*1000)*AA1</f>
        <v>4.6798283404029688E-2</v>
      </c>
      <c r="AB514" s="549">
        <f t="shared" ref="AB514" si="1140">AB510/(AB607*1000)*AB1</f>
        <v>4.3713864306784658E-2</v>
      </c>
      <c r="AC514" s="421">
        <f>Drivers!AC149</f>
        <v>4.5999999999999999E-2</v>
      </c>
      <c r="AD514" s="421">
        <f>Drivers!AD149</f>
        <v>4.65E-2</v>
      </c>
      <c r="AE514" s="421">
        <f>Drivers!AE149</f>
        <v>4.8000000000000001E-2</v>
      </c>
      <c r="AF514" s="421">
        <f>Drivers!AF149</f>
        <v>4.9000000000000002E-2</v>
      </c>
      <c r="AG514" s="421">
        <f>Drivers!AG149</f>
        <v>4.9500000000000002E-2</v>
      </c>
      <c r="AH514" s="421">
        <f>Drivers!AH149</f>
        <v>5.0500000000000003E-2</v>
      </c>
      <c r="AI514" s="421">
        <f>Drivers!AI149</f>
        <v>5.1499999999999997E-2</v>
      </c>
      <c r="AJ514" s="421"/>
      <c r="AK514" s="421"/>
      <c r="AL514" s="421"/>
      <c r="AM514" s="421"/>
      <c r="AN514" s="421"/>
      <c r="AO514" s="421"/>
      <c r="AP514" s="421"/>
      <c r="AQ514" s="421"/>
      <c r="AS514" s="316" t="s">
        <v>558</v>
      </c>
      <c r="AT514" s="387"/>
      <c r="AU514" s="549">
        <f t="shared" ref="AU514:BA514" si="1141">AU510/(AU607*1000)*AU1</f>
        <v>6.8038014783526932E-2</v>
      </c>
      <c r="AV514" s="549">
        <f t="shared" si="1141"/>
        <v>6.0393822393822391E-2</v>
      </c>
      <c r="AW514" s="549">
        <f t="shared" si="1141"/>
        <v>5.6495102404274265E-2</v>
      </c>
      <c r="AX514" s="549">
        <f t="shared" si="1141"/>
        <v>5.4355594102341719E-2</v>
      </c>
      <c r="AY514" s="549">
        <f t="shared" si="1141"/>
        <v>5.3203305785123965E-2</v>
      </c>
      <c r="AZ514" s="549">
        <f t="shared" si="1141"/>
        <v>4.9481012658227845E-2</v>
      </c>
      <c r="BA514" s="549">
        <f t="shared" si="1141"/>
        <v>4.6101327121661435E-2</v>
      </c>
      <c r="BB514" s="549">
        <f t="shared" ref="BB514" si="1142">BB510/(BB607*1000)*BB1</f>
        <v>5.0168766365037247E-2</v>
      </c>
      <c r="BC514" s="421">
        <f>Drivers!BC149</f>
        <v>5.1999999999999998E-2</v>
      </c>
      <c r="BD514" s="421">
        <f>Drivers!BD149</f>
        <v>5.2999999999999999E-2</v>
      </c>
      <c r="BE514" s="421">
        <f>Drivers!BE149</f>
        <v>5.3999999999999999E-2</v>
      </c>
    </row>
    <row r="515" spans="1:70" x14ac:dyDescent="0.2">
      <c r="C515" s="387"/>
      <c r="D515" s="385"/>
      <c r="E515" s="385"/>
      <c r="F515" s="385"/>
      <c r="G515" s="385"/>
      <c r="H515" s="385"/>
      <c r="I515" s="385"/>
      <c r="J515" s="385"/>
      <c r="K515" s="385"/>
      <c r="L515" s="385"/>
      <c r="M515" s="385"/>
      <c r="N515" s="385"/>
      <c r="O515" s="385"/>
      <c r="P515" s="385"/>
      <c r="Q515" s="385"/>
      <c r="R515" s="385"/>
      <c r="S515" s="385"/>
      <c r="T515" s="385"/>
      <c r="U515" s="385"/>
      <c r="V515" s="385"/>
      <c r="W515" s="385"/>
      <c r="X515" s="15"/>
      <c r="Y515" s="15"/>
      <c r="Z515" s="15"/>
      <c r="AA515" s="70"/>
      <c r="AB515" s="70"/>
      <c r="AC515" s="70"/>
      <c r="AD515" s="70"/>
      <c r="AE515" s="70"/>
      <c r="AF515" s="70"/>
      <c r="AG515" s="70"/>
      <c r="AH515" s="70"/>
      <c r="AI515" s="70"/>
      <c r="AJ515" s="70"/>
      <c r="AK515" s="70"/>
      <c r="AL515" s="70"/>
      <c r="AM515" s="70"/>
      <c r="AN515" s="70"/>
      <c r="AO515" s="70"/>
      <c r="AP515" s="70"/>
      <c r="AQ515" s="70"/>
      <c r="AS515" s="322"/>
      <c r="AT515" s="387"/>
    </row>
    <row r="516" spans="1:70" x14ac:dyDescent="0.2">
      <c r="B516" s="48" t="s">
        <v>259</v>
      </c>
      <c r="C516" s="12"/>
      <c r="D516" s="178"/>
      <c r="E516" s="178"/>
      <c r="F516" s="178"/>
      <c r="G516" s="178"/>
      <c r="H516" s="178"/>
      <c r="I516" s="178"/>
      <c r="J516" s="178"/>
      <c r="K516" s="178"/>
      <c r="L516" s="178"/>
      <c r="M516" s="178"/>
      <c r="N516" s="178"/>
      <c r="O516" s="178"/>
      <c r="P516" s="178"/>
      <c r="Q516" s="178"/>
      <c r="R516" s="178"/>
      <c r="S516" s="178"/>
      <c r="T516" s="178"/>
      <c r="U516" s="178"/>
      <c r="V516" s="178"/>
      <c r="W516" s="178"/>
      <c r="X516" s="12"/>
      <c r="Y516" s="12"/>
      <c r="Z516" s="12"/>
      <c r="AA516" s="190"/>
      <c r="AB516" s="190"/>
      <c r="AC516" s="190"/>
      <c r="AD516" s="190"/>
      <c r="AE516" s="190"/>
      <c r="AF516" s="190"/>
      <c r="AG516" s="190"/>
      <c r="AH516" s="190"/>
      <c r="AI516" s="190"/>
      <c r="AJ516" s="190"/>
      <c r="AK516" s="190"/>
      <c r="AL516" s="190"/>
      <c r="AM516" s="190"/>
      <c r="AN516" s="190"/>
      <c r="AO516" s="190"/>
      <c r="AP516" s="190"/>
      <c r="AQ516" s="190"/>
      <c r="AS516" s="48" t="s">
        <v>259</v>
      </c>
      <c r="AT516" s="12"/>
      <c r="AU516" s="12"/>
      <c r="AV516" s="12"/>
      <c r="AW516" s="12"/>
      <c r="AX516" s="12"/>
      <c r="AY516" s="12"/>
      <c r="AZ516" s="12"/>
      <c r="BA516" s="12"/>
      <c r="BB516" s="12"/>
      <c r="BC516" s="12"/>
      <c r="BD516" s="12"/>
      <c r="BE516" s="12"/>
    </row>
    <row r="517" spans="1:70" s="382" customFormat="1" x14ac:dyDescent="0.2">
      <c r="A517" s="411"/>
      <c r="B517" s="315" t="s">
        <v>7</v>
      </c>
      <c r="C517" s="321"/>
      <c r="D517" s="454">
        <v>170</v>
      </c>
      <c r="E517" s="454">
        <v>152</v>
      </c>
      <c r="F517" s="454">
        <v>193</v>
      </c>
      <c r="G517" s="454">
        <v>188</v>
      </c>
      <c r="H517" s="454">
        <v>172</v>
      </c>
      <c r="I517" s="454">
        <v>127</v>
      </c>
      <c r="J517" s="454">
        <v>126</v>
      </c>
      <c r="K517" s="454">
        <v>109</v>
      </c>
      <c r="L517" s="454">
        <v>121</v>
      </c>
      <c r="M517" s="454">
        <v>123</v>
      </c>
      <c r="N517" s="454">
        <v>97</v>
      </c>
      <c r="O517" s="454">
        <v>114</v>
      </c>
      <c r="P517" s="454">
        <v>129</v>
      </c>
      <c r="Q517" s="454">
        <v>106</v>
      </c>
      <c r="R517" s="454">
        <v>115</v>
      </c>
      <c r="S517" s="454">
        <v>117</v>
      </c>
      <c r="T517" s="454">
        <v>124</v>
      </c>
      <c r="U517" s="454">
        <v>113</v>
      </c>
      <c r="V517" s="454">
        <v>115</v>
      </c>
      <c r="W517" s="454">
        <v>122</v>
      </c>
      <c r="X517" s="454">
        <v>142</v>
      </c>
      <c r="Y517" s="454">
        <v>158</v>
      </c>
      <c r="Z517" s="454">
        <v>171</v>
      </c>
      <c r="AA517" s="454">
        <v>170</v>
      </c>
      <c r="AB517" s="454">
        <v>176</v>
      </c>
      <c r="AC517" s="131" t="s">
        <v>226</v>
      </c>
      <c r="AD517" s="131" t="s">
        <v>226</v>
      </c>
      <c r="AE517" s="131" t="s">
        <v>226</v>
      </c>
      <c r="AF517" s="131" t="s">
        <v>226</v>
      </c>
      <c r="AG517" s="131" t="s">
        <v>226</v>
      </c>
      <c r="AH517" s="131" t="s">
        <v>226</v>
      </c>
      <c r="AI517" s="131" t="s">
        <v>226</v>
      </c>
      <c r="AJ517" s="131"/>
      <c r="AK517" s="131"/>
      <c r="AL517" s="131"/>
      <c r="AM517" s="131"/>
      <c r="AN517" s="131"/>
      <c r="AO517" s="131"/>
      <c r="AP517" s="131"/>
      <c r="AQ517" s="131"/>
      <c r="AR517" s="70"/>
      <c r="AS517" s="315" t="s">
        <v>7</v>
      </c>
      <c r="AT517" s="321"/>
      <c r="AU517" s="232">
        <f>SUM(D517:G517)</f>
        <v>703</v>
      </c>
      <c r="AV517" s="232">
        <f>SUM(H517:K517)</f>
        <v>534</v>
      </c>
      <c r="AW517" s="232">
        <f>SUM(L517:O517)</f>
        <v>455</v>
      </c>
      <c r="AX517" s="232">
        <f>SUM(P517:S517)</f>
        <v>467</v>
      </c>
      <c r="AY517" s="232">
        <f>SUM(T517:W517)</f>
        <v>474</v>
      </c>
      <c r="AZ517" s="252" t="s">
        <v>226</v>
      </c>
      <c r="BA517" s="252" t="s">
        <v>226</v>
      </c>
      <c r="BB517" s="252" t="s">
        <v>226</v>
      </c>
      <c r="BC517" s="252" t="s">
        <v>226</v>
      </c>
      <c r="BD517" s="252" t="s">
        <v>226</v>
      </c>
      <c r="BE517" s="252" t="s">
        <v>226</v>
      </c>
      <c r="BM517"/>
      <c r="BN517"/>
      <c r="BO517"/>
      <c r="BP517"/>
      <c r="BQ517"/>
      <c r="BR517"/>
    </row>
    <row r="518" spans="1:70" s="382" customFormat="1" x14ac:dyDescent="0.2">
      <c r="A518" s="411"/>
      <c r="B518" s="315" t="s">
        <v>255</v>
      </c>
      <c r="C518" s="321"/>
      <c r="D518" s="454">
        <v>2765</v>
      </c>
      <c r="E518" s="454">
        <v>1175</v>
      </c>
      <c r="F518" s="454">
        <v>1547</v>
      </c>
      <c r="G518" s="454">
        <v>770</v>
      </c>
      <c r="H518" s="454">
        <v>2645</v>
      </c>
      <c r="I518" s="454">
        <v>1675</v>
      </c>
      <c r="J518" s="454">
        <v>1121</v>
      </c>
      <c r="K518" s="454">
        <v>951</v>
      </c>
      <c r="L518" s="454">
        <v>2406</v>
      </c>
      <c r="M518" s="454">
        <v>1696</v>
      </c>
      <c r="N518" s="454">
        <v>1561</v>
      </c>
      <c r="O518" s="454">
        <v>508</v>
      </c>
      <c r="P518" s="454">
        <v>2013</v>
      </c>
      <c r="Q518" s="454">
        <v>1523</v>
      </c>
      <c r="R518" s="454">
        <v>1063</v>
      </c>
      <c r="S518" s="454">
        <v>775</v>
      </c>
      <c r="T518" s="454">
        <v>1344</v>
      </c>
      <c r="U518" s="454">
        <v>1765</v>
      </c>
      <c r="V518" s="454">
        <v>1825</v>
      </c>
      <c r="W518" s="454">
        <v>1604</v>
      </c>
      <c r="X518" s="454">
        <v>2360</v>
      </c>
      <c r="Y518" s="454">
        <v>1935</v>
      </c>
      <c r="Z518" s="454">
        <v>1592</v>
      </c>
      <c r="AA518" s="454">
        <v>1108</v>
      </c>
      <c r="AB518" s="454">
        <v>2184</v>
      </c>
      <c r="AC518" s="131" t="s">
        <v>226</v>
      </c>
      <c r="AD518" s="131" t="s">
        <v>226</v>
      </c>
      <c r="AE518" s="131" t="s">
        <v>226</v>
      </c>
      <c r="AF518" s="131" t="s">
        <v>226</v>
      </c>
      <c r="AG518" s="131" t="s">
        <v>226</v>
      </c>
      <c r="AH518" s="131" t="s">
        <v>226</v>
      </c>
      <c r="AI518" s="131" t="s">
        <v>226</v>
      </c>
      <c r="AJ518" s="131"/>
      <c r="AK518" s="131"/>
      <c r="AL518" s="131"/>
      <c r="AM518" s="131"/>
      <c r="AN518" s="131"/>
      <c r="AO518" s="131"/>
      <c r="AP518" s="131"/>
      <c r="AQ518" s="131"/>
      <c r="AR518" s="70"/>
      <c r="AS518" s="315" t="s">
        <v>255</v>
      </c>
      <c r="AT518" s="321"/>
      <c r="AU518" s="232">
        <f>SUM(D518:G518)</f>
        <v>6257</v>
      </c>
      <c r="AV518" s="232">
        <f>SUM(H518:K518)</f>
        <v>6392</v>
      </c>
      <c r="AW518" s="232">
        <f>SUM(L518:O518)</f>
        <v>6171</v>
      </c>
      <c r="AX518" s="232">
        <f>SUM(P518:S518)</f>
        <v>5374</v>
      </c>
      <c r="AY518" s="232">
        <f>SUM(T518:W518)</f>
        <v>6538</v>
      </c>
      <c r="AZ518" s="252" t="s">
        <v>226</v>
      </c>
      <c r="BA518" s="252" t="s">
        <v>226</v>
      </c>
      <c r="BB518" s="252" t="s">
        <v>226</v>
      </c>
      <c r="BC518" s="252" t="s">
        <v>226</v>
      </c>
      <c r="BD518" s="252" t="s">
        <v>226</v>
      </c>
      <c r="BE518" s="252" t="s">
        <v>226</v>
      </c>
      <c r="BM518"/>
      <c r="BN518"/>
      <c r="BO518"/>
      <c r="BP518"/>
      <c r="BQ518"/>
      <c r="BR518"/>
    </row>
    <row r="519" spans="1:70" s="382" customFormat="1" x14ac:dyDescent="0.2">
      <c r="A519" s="411"/>
      <c r="B519" s="375" t="s">
        <v>16</v>
      </c>
      <c r="C519" s="376"/>
      <c r="D519" s="537">
        <v>362</v>
      </c>
      <c r="E519" s="537">
        <v>81</v>
      </c>
      <c r="F519" s="537">
        <v>472</v>
      </c>
      <c r="G519" s="537">
        <v>308</v>
      </c>
      <c r="H519" s="537">
        <v>464</v>
      </c>
      <c r="I519" s="537">
        <v>299</v>
      </c>
      <c r="J519" s="537">
        <v>247</v>
      </c>
      <c r="K519" s="537">
        <v>29</v>
      </c>
      <c r="L519" s="537">
        <v>62</v>
      </c>
      <c r="M519" s="537">
        <v>88</v>
      </c>
      <c r="N519" s="537">
        <v>120</v>
      </c>
      <c r="O519" s="537">
        <v>144</v>
      </c>
      <c r="P519" s="537">
        <v>161</v>
      </c>
      <c r="Q519" s="537">
        <v>112</v>
      </c>
      <c r="R519" s="537">
        <v>42</v>
      </c>
      <c r="S519" s="537">
        <v>15</v>
      </c>
      <c r="T519" s="537">
        <v>216</v>
      </c>
      <c r="U519" s="537">
        <v>213</v>
      </c>
      <c r="V519" s="537">
        <v>171</v>
      </c>
      <c r="W519" s="537">
        <v>-9</v>
      </c>
      <c r="X519" s="537">
        <v>151</v>
      </c>
      <c r="Y519" s="537">
        <v>183</v>
      </c>
      <c r="Z519" s="537">
        <v>130</v>
      </c>
      <c r="AA519" s="537">
        <v>132</v>
      </c>
      <c r="AB519" s="537">
        <v>276</v>
      </c>
      <c r="AC519" s="286" t="s">
        <v>226</v>
      </c>
      <c r="AD519" s="286" t="s">
        <v>226</v>
      </c>
      <c r="AE519" s="286" t="s">
        <v>226</v>
      </c>
      <c r="AF519" s="286" t="s">
        <v>226</v>
      </c>
      <c r="AG519" s="286" t="s">
        <v>226</v>
      </c>
      <c r="AH519" s="286" t="s">
        <v>226</v>
      </c>
      <c r="AI519" s="286" t="s">
        <v>226</v>
      </c>
      <c r="AJ519" s="200"/>
      <c r="AK519" s="200"/>
      <c r="AL519" s="200"/>
      <c r="AM519" s="200"/>
      <c r="AN519" s="200"/>
      <c r="AO519" s="200"/>
      <c r="AP519" s="200"/>
      <c r="AQ519" s="200"/>
      <c r="AR519" s="70"/>
      <c r="AS519" s="375" t="s">
        <v>16</v>
      </c>
      <c r="AT519" s="376"/>
      <c r="AU519" s="41">
        <f>SUM(D519:G519)</f>
        <v>1223</v>
      </c>
      <c r="AV519" s="41">
        <f>SUM(H519:K519)</f>
        <v>1039</v>
      </c>
      <c r="AW519" s="41">
        <f>SUM(L519:O519)</f>
        <v>414</v>
      </c>
      <c r="AX519" s="41">
        <f>SUM(P519:S519)</f>
        <v>330</v>
      </c>
      <c r="AY519" s="41">
        <f>SUM(T519:W519)</f>
        <v>591</v>
      </c>
      <c r="AZ519" s="259" t="s">
        <v>226</v>
      </c>
      <c r="BA519" s="259" t="s">
        <v>226</v>
      </c>
      <c r="BB519" s="259" t="s">
        <v>226</v>
      </c>
      <c r="BC519" s="259" t="s">
        <v>226</v>
      </c>
      <c r="BD519" s="259" t="s">
        <v>226</v>
      </c>
      <c r="BE519" s="259" t="s">
        <v>226</v>
      </c>
      <c r="BM519"/>
      <c r="BN519"/>
      <c r="BO519"/>
      <c r="BP519"/>
      <c r="BQ519"/>
      <c r="BR519"/>
    </row>
    <row r="520" spans="1:70" s="382" customFormat="1" x14ac:dyDescent="0.2">
      <c r="A520" s="411"/>
      <c r="B520" s="321" t="s">
        <v>293</v>
      </c>
      <c r="C520" s="321"/>
      <c r="D520" s="385">
        <f t="shared" ref="D520:X520" si="1143">SUM(D517:D519)</f>
        <v>3297</v>
      </c>
      <c r="E520" s="385">
        <f t="shared" si="1143"/>
        <v>1408</v>
      </c>
      <c r="F520" s="385">
        <f t="shared" si="1143"/>
        <v>2212</v>
      </c>
      <c r="G520" s="385">
        <f t="shared" si="1143"/>
        <v>1266</v>
      </c>
      <c r="H520" s="385">
        <f t="shared" si="1143"/>
        <v>3281</v>
      </c>
      <c r="I520" s="385">
        <f t="shared" si="1143"/>
        <v>2101</v>
      </c>
      <c r="J520" s="385">
        <f t="shared" si="1143"/>
        <v>1494</v>
      </c>
      <c r="K520" s="385">
        <f t="shared" si="1143"/>
        <v>1089</v>
      </c>
      <c r="L520" s="385">
        <f t="shared" si="1143"/>
        <v>2589</v>
      </c>
      <c r="M520" s="385">
        <f t="shared" si="1143"/>
        <v>1907</v>
      </c>
      <c r="N520" s="385">
        <f t="shared" si="1143"/>
        <v>1778</v>
      </c>
      <c r="O520" s="385">
        <f t="shared" si="1143"/>
        <v>766</v>
      </c>
      <c r="P520" s="385">
        <f t="shared" si="1143"/>
        <v>2303</v>
      </c>
      <c r="Q520" s="385">
        <f t="shared" si="1143"/>
        <v>1741</v>
      </c>
      <c r="R520" s="385">
        <f t="shared" si="1143"/>
        <v>1220</v>
      </c>
      <c r="S520" s="385">
        <f t="shared" si="1143"/>
        <v>907</v>
      </c>
      <c r="T520" s="385">
        <f t="shared" si="1143"/>
        <v>1684</v>
      </c>
      <c r="U520" s="385">
        <f t="shared" si="1143"/>
        <v>2091</v>
      </c>
      <c r="V520" s="385">
        <f t="shared" si="1143"/>
        <v>2111</v>
      </c>
      <c r="W520" s="385">
        <f t="shared" si="1143"/>
        <v>1717</v>
      </c>
      <c r="X520" s="385">
        <f t="shared" si="1143"/>
        <v>2653</v>
      </c>
      <c r="Y520" s="385">
        <f t="shared" ref="Y520:Z520" si="1144">SUM(Y517:Y519)</f>
        <v>2276</v>
      </c>
      <c r="Z520" s="385">
        <f t="shared" si="1144"/>
        <v>1893</v>
      </c>
      <c r="AA520" s="385">
        <f t="shared" ref="AA520:AB520" si="1145">SUM(AA517:AA519)</f>
        <v>1410</v>
      </c>
      <c r="AB520" s="385">
        <f t="shared" si="1145"/>
        <v>2636</v>
      </c>
      <c r="AC520" s="131" t="s">
        <v>226</v>
      </c>
      <c r="AD520" s="131" t="s">
        <v>226</v>
      </c>
      <c r="AE520" s="131" t="s">
        <v>226</v>
      </c>
      <c r="AF520" s="131" t="s">
        <v>226</v>
      </c>
      <c r="AG520" s="131" t="s">
        <v>226</v>
      </c>
      <c r="AH520" s="131" t="s">
        <v>226</v>
      </c>
      <c r="AI520" s="131" t="s">
        <v>226</v>
      </c>
      <c r="AJ520" s="131"/>
      <c r="AK520" s="131"/>
      <c r="AL520" s="131"/>
      <c r="AM520" s="131"/>
      <c r="AN520" s="131"/>
      <c r="AO520" s="131"/>
      <c r="AP520" s="131"/>
      <c r="AQ520" s="131"/>
      <c r="AR520" s="70"/>
      <c r="AS520" s="321" t="s">
        <v>293</v>
      </c>
      <c r="AT520" s="321"/>
      <c r="AU520" s="542">
        <f>SUM(AU517:AU519)</f>
        <v>8183</v>
      </c>
      <c r="AV520" s="542">
        <f>SUM(AV517:AV519)</f>
        <v>7965</v>
      </c>
      <c r="AW520" s="542">
        <f>SUM(AW517:AW519)</f>
        <v>7040</v>
      </c>
      <c r="AX520" s="542">
        <f>SUM(AX517:AX519)</f>
        <v>6171</v>
      </c>
      <c r="AY520" s="542">
        <f>SUM(AY517:AY519)</f>
        <v>7603</v>
      </c>
      <c r="AZ520" s="252" t="s">
        <v>226</v>
      </c>
      <c r="BA520" s="252" t="s">
        <v>226</v>
      </c>
      <c r="BB520" s="252" t="s">
        <v>226</v>
      </c>
      <c r="BC520" s="252" t="s">
        <v>226</v>
      </c>
      <c r="BD520" s="252" t="s">
        <v>226</v>
      </c>
      <c r="BE520" s="252" t="s">
        <v>226</v>
      </c>
      <c r="BM520"/>
      <c r="BN520"/>
      <c r="BO520"/>
      <c r="BP520"/>
      <c r="BQ520"/>
      <c r="BR520"/>
    </row>
    <row r="521" spans="1:70" s="382" customFormat="1" x14ac:dyDescent="0.2">
      <c r="A521" s="411"/>
      <c r="B521" s="376" t="s">
        <v>209</v>
      </c>
      <c r="C521" s="376"/>
      <c r="D521" s="537">
        <v>1655</v>
      </c>
      <c r="E521" s="537">
        <v>1594</v>
      </c>
      <c r="F521" s="537">
        <v>1593</v>
      </c>
      <c r="G521" s="537">
        <v>1613</v>
      </c>
      <c r="H521" s="537">
        <v>1450</v>
      </c>
      <c r="I521" s="537">
        <v>1404</v>
      </c>
      <c r="J521" s="537">
        <v>1360</v>
      </c>
      <c r="K521" s="537">
        <v>1359</v>
      </c>
      <c r="L521" s="537">
        <v>1330</v>
      </c>
      <c r="M521" s="537">
        <v>1214</v>
      </c>
      <c r="N521" s="537">
        <v>1286</v>
      </c>
      <c r="O521" s="537">
        <v>1304</v>
      </c>
      <c r="P521" s="537">
        <v>1182</v>
      </c>
      <c r="Q521" s="537">
        <v>1291</v>
      </c>
      <c r="R521" s="537">
        <v>1333</v>
      </c>
      <c r="S521" s="537">
        <v>1300</v>
      </c>
      <c r="T521" s="537">
        <v>1367</v>
      </c>
      <c r="U521" s="537">
        <v>1341</v>
      </c>
      <c r="V521" s="537">
        <v>1302</v>
      </c>
      <c r="W521" s="537">
        <v>1240</v>
      </c>
      <c r="X521" s="537">
        <v>1025</v>
      </c>
      <c r="Y521" s="537">
        <v>998</v>
      </c>
      <c r="Z521" s="537">
        <v>1043</v>
      </c>
      <c r="AA521" s="537">
        <v>1053</v>
      </c>
      <c r="AB521" s="537">
        <v>782</v>
      </c>
      <c r="AC521" s="286" t="s">
        <v>226</v>
      </c>
      <c r="AD521" s="286" t="s">
        <v>226</v>
      </c>
      <c r="AE521" s="286" t="s">
        <v>226</v>
      </c>
      <c r="AF521" s="286" t="s">
        <v>226</v>
      </c>
      <c r="AG521" s="286" t="s">
        <v>226</v>
      </c>
      <c r="AH521" s="286" t="s">
        <v>226</v>
      </c>
      <c r="AI521" s="286" t="s">
        <v>226</v>
      </c>
      <c r="AJ521" s="200"/>
      <c r="AK521" s="200"/>
      <c r="AL521" s="200"/>
      <c r="AM521" s="200"/>
      <c r="AN521" s="200"/>
      <c r="AO521" s="200"/>
      <c r="AP521" s="200"/>
      <c r="AQ521" s="200"/>
      <c r="AR521" s="70"/>
      <c r="AS521" s="376" t="s">
        <v>209</v>
      </c>
      <c r="AT521" s="376"/>
      <c r="AU521" s="41">
        <f>SUM(D521:G521)</f>
        <v>6455</v>
      </c>
      <c r="AV521" s="41">
        <f>SUM(H521:K521)</f>
        <v>5573</v>
      </c>
      <c r="AW521" s="41">
        <f>SUM(L521:O521)</f>
        <v>5134</v>
      </c>
      <c r="AX521" s="41">
        <f>SUM(P521:S521)</f>
        <v>5106</v>
      </c>
      <c r="AY521" s="41">
        <f>SUM(T521:W521)</f>
        <v>5250</v>
      </c>
      <c r="AZ521" s="259" t="s">
        <v>226</v>
      </c>
      <c r="BA521" s="259" t="s">
        <v>226</v>
      </c>
      <c r="BB521" s="259" t="s">
        <v>226</v>
      </c>
      <c r="BC521" s="259" t="s">
        <v>226</v>
      </c>
      <c r="BD521" s="259" t="s">
        <v>226</v>
      </c>
      <c r="BE521" s="259" t="s">
        <v>226</v>
      </c>
      <c r="BM521"/>
      <c r="BN521"/>
      <c r="BO521"/>
      <c r="BP521"/>
      <c r="BQ521"/>
      <c r="BR521"/>
    </row>
    <row r="522" spans="1:70" s="382" customFormat="1" x14ac:dyDescent="0.2">
      <c r="A522" s="830"/>
      <c r="B522" s="550" t="s">
        <v>654</v>
      </c>
      <c r="C522" s="369"/>
      <c r="D522" s="385">
        <f t="shared" ref="D522:X522" si="1146">D520+D521</f>
        <v>4952</v>
      </c>
      <c r="E522" s="153">
        <f t="shared" si="1146"/>
        <v>3002</v>
      </c>
      <c r="F522" s="153">
        <f t="shared" si="1146"/>
        <v>3805</v>
      </c>
      <c r="G522" s="153">
        <f t="shared" si="1146"/>
        <v>2879</v>
      </c>
      <c r="H522" s="153">
        <f t="shared" si="1146"/>
        <v>4731</v>
      </c>
      <c r="I522" s="153">
        <f t="shared" si="1146"/>
        <v>3505</v>
      </c>
      <c r="J522" s="153">
        <f t="shared" si="1146"/>
        <v>2854</v>
      </c>
      <c r="K522" s="153">
        <f t="shared" si="1146"/>
        <v>2448</v>
      </c>
      <c r="L522" s="153">
        <f t="shared" si="1146"/>
        <v>3919</v>
      </c>
      <c r="M522" s="153">
        <f t="shared" si="1146"/>
        <v>3121</v>
      </c>
      <c r="N522" s="153">
        <f t="shared" si="1146"/>
        <v>3064</v>
      </c>
      <c r="O522" s="153">
        <f t="shared" si="1146"/>
        <v>2070</v>
      </c>
      <c r="P522" s="153">
        <f t="shared" si="1146"/>
        <v>3485</v>
      </c>
      <c r="Q522" s="153">
        <f t="shared" si="1146"/>
        <v>3032</v>
      </c>
      <c r="R522" s="153">
        <f t="shared" si="1146"/>
        <v>2553</v>
      </c>
      <c r="S522" s="153">
        <f t="shared" si="1146"/>
        <v>2207</v>
      </c>
      <c r="T522" s="153">
        <f t="shared" si="1146"/>
        <v>3051</v>
      </c>
      <c r="U522" s="153">
        <f t="shared" si="1146"/>
        <v>3432</v>
      </c>
      <c r="V522" s="153">
        <f t="shared" si="1146"/>
        <v>3413</v>
      </c>
      <c r="W522" s="153">
        <f t="shared" si="1146"/>
        <v>2957</v>
      </c>
      <c r="X522" s="153">
        <f t="shared" si="1146"/>
        <v>3678</v>
      </c>
      <c r="Y522" s="153">
        <f t="shared" ref="Y522:Z522" si="1147">Y520+Y521</f>
        <v>3274</v>
      </c>
      <c r="Z522" s="153">
        <f t="shared" si="1147"/>
        <v>2936</v>
      </c>
      <c r="AA522" s="153">
        <f t="shared" ref="AA522:AB522" si="1148">AA520+AA521</f>
        <v>2463</v>
      </c>
      <c r="AB522" s="153">
        <f t="shared" si="1148"/>
        <v>3418</v>
      </c>
      <c r="AC522" s="200">
        <f t="shared" ref="AC522:AE522" si="1149">AC481</f>
        <v>3535.92</v>
      </c>
      <c r="AD522" s="200">
        <f t="shared" si="1149"/>
        <v>3170.88</v>
      </c>
      <c r="AE522" s="200">
        <f t="shared" si="1149"/>
        <v>2660.04</v>
      </c>
      <c r="AF522" s="200">
        <f t="shared" ref="AF522:AI522" si="1150">AF481</f>
        <v>3828.1600000000003</v>
      </c>
      <c r="AG522" s="200">
        <f t="shared" si="1150"/>
        <v>3889.5120000000002</v>
      </c>
      <c r="AH522" s="200">
        <f t="shared" si="1150"/>
        <v>3487.9680000000003</v>
      </c>
      <c r="AI522" s="200">
        <f t="shared" si="1150"/>
        <v>2926.0440000000003</v>
      </c>
      <c r="AJ522" s="200"/>
      <c r="AK522" s="200"/>
      <c r="AL522" s="200"/>
      <c r="AM522" s="200"/>
      <c r="AN522" s="200"/>
      <c r="AO522" s="200"/>
      <c r="AP522" s="200"/>
      <c r="AQ522" s="200"/>
      <c r="AR522" s="70"/>
      <c r="AS522" s="550" t="s">
        <v>654</v>
      </c>
      <c r="AT522" s="369"/>
      <c r="AU522" s="542">
        <f t="shared" ref="AU522:BD522" si="1151">AU481</f>
        <v>14638</v>
      </c>
      <c r="AV522" s="542">
        <f t="shared" si="1151"/>
        <v>13538</v>
      </c>
      <c r="AW522" s="542">
        <f t="shared" si="1151"/>
        <v>12174</v>
      </c>
      <c r="AX522" s="542">
        <f t="shared" si="1151"/>
        <v>11277</v>
      </c>
      <c r="AY522" s="542">
        <f t="shared" si="1151"/>
        <v>12853</v>
      </c>
      <c r="AZ522" s="542">
        <f t="shared" si="1151"/>
        <v>12351</v>
      </c>
      <c r="BA522" s="542">
        <f t="shared" si="1151"/>
        <v>12784.84</v>
      </c>
      <c r="BB522" s="542">
        <f t="shared" ref="BB522" si="1152">BB481</f>
        <v>14131.684000000001</v>
      </c>
      <c r="BC522" s="542">
        <f t="shared" si="1151"/>
        <v>15262.218720000003</v>
      </c>
      <c r="BD522" s="542">
        <f t="shared" si="1151"/>
        <v>16330.574030400003</v>
      </c>
      <c r="BE522" s="542">
        <f t="shared" ref="BE522" si="1153">BE481</f>
        <v>17473.714212528004</v>
      </c>
      <c r="BM522"/>
      <c r="BN522"/>
      <c r="BO522"/>
      <c r="BP522"/>
      <c r="BQ522"/>
      <c r="BR522"/>
    </row>
    <row r="523" spans="1:70" s="369" customFormat="1" x14ac:dyDescent="0.2">
      <c r="A523" s="411"/>
      <c r="B523" s="551"/>
      <c r="C523" s="321"/>
      <c r="D523" s="385"/>
      <c r="E523" s="385"/>
      <c r="F523" s="385"/>
      <c r="G523" s="385"/>
      <c r="H523" s="385"/>
      <c r="I523" s="385"/>
      <c r="J523" s="385"/>
      <c r="K523" s="385"/>
      <c r="L523" s="385"/>
      <c r="M523" s="385"/>
      <c r="N523" s="385"/>
      <c r="O523" s="385"/>
      <c r="P523" s="385"/>
      <c r="Q523" s="385"/>
      <c r="R523" s="385"/>
      <c r="S523" s="385"/>
      <c r="T523" s="385"/>
      <c r="U523" s="385"/>
      <c r="V523" s="385"/>
      <c r="W523" s="385"/>
      <c r="X523" s="385"/>
      <c r="Y523" s="385"/>
      <c r="Z523" s="385"/>
      <c r="AA523" s="385"/>
      <c r="AB523" s="385"/>
      <c r="AC523" s="131"/>
      <c r="AD523" s="131"/>
      <c r="AE523" s="131"/>
      <c r="AF523" s="131"/>
      <c r="AG523" s="131"/>
      <c r="AH523" s="131"/>
      <c r="AI523" s="131"/>
      <c r="AJ523" s="131"/>
      <c r="AK523" s="131"/>
      <c r="AL523" s="131"/>
      <c r="AM523" s="131"/>
      <c r="AN523" s="131"/>
      <c r="AO523" s="131"/>
      <c r="AP523" s="131"/>
      <c r="AQ523" s="131"/>
      <c r="AR523" s="70"/>
      <c r="AS523" s="551"/>
      <c r="AT523" s="321"/>
      <c r="AU523" s="542"/>
      <c r="AV523" s="351"/>
      <c r="AW523" s="540"/>
      <c r="AX523" s="542"/>
      <c r="AY523" s="540"/>
      <c r="BC523" s="552"/>
      <c r="BD523" s="552"/>
      <c r="BM523"/>
      <c r="BN523"/>
      <c r="BO523"/>
      <c r="BP523"/>
      <c r="BQ523"/>
      <c r="BR523"/>
    </row>
    <row r="524" spans="1:70" s="382" customFormat="1" x14ac:dyDescent="0.2">
      <c r="A524" s="411"/>
      <c r="B524" s="321" t="s">
        <v>143</v>
      </c>
      <c r="C524" s="321"/>
      <c r="D524" s="454">
        <v>3326</v>
      </c>
      <c r="E524" s="454">
        <v>1983</v>
      </c>
      <c r="F524" s="454">
        <v>2640</v>
      </c>
      <c r="G524" s="454">
        <v>2068</v>
      </c>
      <c r="H524" s="454">
        <v>2665</v>
      </c>
      <c r="I524" s="454">
        <v>2488</v>
      </c>
      <c r="J524" s="454">
        <v>1889</v>
      </c>
      <c r="K524" s="454">
        <v>1833</v>
      </c>
      <c r="L524" s="454">
        <v>1953</v>
      </c>
      <c r="M524" s="454">
        <v>1768</v>
      </c>
      <c r="N524" s="454">
        <v>1958</v>
      </c>
      <c r="O524" s="454">
        <v>1626</v>
      </c>
      <c r="P524" s="454">
        <v>2145</v>
      </c>
      <c r="Q524" s="454">
        <v>1972</v>
      </c>
      <c r="R524" s="454">
        <v>1767</v>
      </c>
      <c r="S524" s="454">
        <v>1732</v>
      </c>
      <c r="T524" s="454">
        <v>2236</v>
      </c>
      <c r="U524" s="454">
        <v>2461</v>
      </c>
      <c r="V524" s="454">
        <v>2362</v>
      </c>
      <c r="W524" s="454">
        <v>2230</v>
      </c>
      <c r="X524" s="454">
        <v>2530</v>
      </c>
      <c r="Y524" s="454">
        <v>2254</v>
      </c>
      <c r="Z524" s="454">
        <v>2189</v>
      </c>
      <c r="AA524" s="454">
        <v>1912</v>
      </c>
      <c r="AB524" s="454">
        <v>2470</v>
      </c>
      <c r="AC524" s="131" t="s">
        <v>226</v>
      </c>
      <c r="AD524" s="131" t="s">
        <v>226</v>
      </c>
      <c r="AE524" s="131" t="s">
        <v>226</v>
      </c>
      <c r="AF524" s="131" t="s">
        <v>226</v>
      </c>
      <c r="AG524" s="131" t="s">
        <v>226</v>
      </c>
      <c r="AH524" s="131" t="s">
        <v>226</v>
      </c>
      <c r="AI524" s="131" t="s">
        <v>226</v>
      </c>
      <c r="AJ524" s="131"/>
      <c r="AK524" s="131"/>
      <c r="AL524" s="131"/>
      <c r="AM524" s="131"/>
      <c r="AN524" s="131"/>
      <c r="AO524" s="131"/>
      <c r="AP524" s="131"/>
      <c r="AQ524" s="131"/>
      <c r="AR524" s="70"/>
      <c r="AS524" s="321" t="s">
        <v>143</v>
      </c>
      <c r="AT524" s="321"/>
      <c r="AU524" s="232">
        <f>SUM(D524:G524)</f>
        <v>10017</v>
      </c>
      <c r="AV524" s="232">
        <f>SUM(H524:K524)</f>
        <v>8875</v>
      </c>
      <c r="AW524" s="232">
        <f>SUM(L524:O524)</f>
        <v>7305</v>
      </c>
      <c r="AX524" s="232">
        <f>SUM(P524:S524)</f>
        <v>7616</v>
      </c>
      <c r="AY524" s="232">
        <f>SUM(T524:W524)</f>
        <v>9289</v>
      </c>
      <c r="AZ524" s="252" t="s">
        <v>226</v>
      </c>
      <c r="BA524" s="252" t="s">
        <v>226</v>
      </c>
      <c r="BB524" s="252" t="s">
        <v>226</v>
      </c>
      <c r="BC524" s="252" t="s">
        <v>226</v>
      </c>
      <c r="BD524" s="252" t="s">
        <v>226</v>
      </c>
      <c r="BE524" s="252" t="s">
        <v>226</v>
      </c>
      <c r="BM524"/>
      <c r="BN524"/>
      <c r="BO524"/>
      <c r="BP524"/>
      <c r="BQ524"/>
      <c r="BR524"/>
    </row>
    <row r="525" spans="1:70" s="382" customFormat="1" x14ac:dyDescent="0.2">
      <c r="A525" s="411"/>
      <c r="B525" s="376" t="s">
        <v>144</v>
      </c>
      <c r="C525" s="376"/>
      <c r="D525" s="537">
        <v>1626</v>
      </c>
      <c r="E525" s="537">
        <v>1019</v>
      </c>
      <c r="F525" s="537">
        <v>1165</v>
      </c>
      <c r="G525" s="537">
        <v>811</v>
      </c>
      <c r="H525" s="537">
        <v>2066</v>
      </c>
      <c r="I525" s="537">
        <v>1017</v>
      </c>
      <c r="J525" s="537">
        <v>965</v>
      </c>
      <c r="K525" s="537">
        <v>615</v>
      </c>
      <c r="L525" s="537">
        <v>1966</v>
      </c>
      <c r="M525" s="537">
        <v>1353</v>
      </c>
      <c r="N525" s="537">
        <v>1106</v>
      </c>
      <c r="O525" s="537">
        <v>444</v>
      </c>
      <c r="P525" s="537">
        <v>1340</v>
      </c>
      <c r="Q525" s="537">
        <v>1060</v>
      </c>
      <c r="R525" s="537">
        <v>786</v>
      </c>
      <c r="S525" s="537">
        <v>475</v>
      </c>
      <c r="T525" s="537">
        <v>815</v>
      </c>
      <c r="U525" s="537">
        <v>971</v>
      </c>
      <c r="V525" s="537">
        <v>1051</v>
      </c>
      <c r="W525" s="537">
        <v>727</v>
      </c>
      <c r="X525" s="537">
        <v>1148</v>
      </c>
      <c r="Y525" s="537">
        <v>1020</v>
      </c>
      <c r="Z525" s="537">
        <v>747</v>
      </c>
      <c r="AA525" s="537">
        <v>551</v>
      </c>
      <c r="AB525" s="537">
        <v>948</v>
      </c>
      <c r="AC525" s="286" t="s">
        <v>226</v>
      </c>
      <c r="AD525" s="286" t="s">
        <v>226</v>
      </c>
      <c r="AE525" s="286" t="s">
        <v>226</v>
      </c>
      <c r="AF525" s="286" t="s">
        <v>226</v>
      </c>
      <c r="AG525" s="286" t="s">
        <v>226</v>
      </c>
      <c r="AH525" s="286" t="s">
        <v>226</v>
      </c>
      <c r="AI525" s="286" t="s">
        <v>226</v>
      </c>
      <c r="AJ525" s="200"/>
      <c r="AK525" s="200"/>
      <c r="AL525" s="200"/>
      <c r="AM525" s="200"/>
      <c r="AN525" s="200"/>
      <c r="AO525" s="200"/>
      <c r="AP525" s="200"/>
      <c r="AQ525" s="200"/>
      <c r="AR525" s="70"/>
      <c r="AS525" s="376" t="s">
        <v>144</v>
      </c>
      <c r="AT525" s="376"/>
      <c r="AU525" s="41">
        <f>SUM(D525:G525)</f>
        <v>4621</v>
      </c>
      <c r="AV525" s="41">
        <f>SUM(H525:K525)</f>
        <v>4663</v>
      </c>
      <c r="AW525" s="41">
        <f>SUM(L525:O525)</f>
        <v>4869</v>
      </c>
      <c r="AX525" s="41">
        <f>SUM(P525:S525)</f>
        <v>3661</v>
      </c>
      <c r="AY525" s="41">
        <f>SUM(T525:W525)</f>
        <v>3564</v>
      </c>
      <c r="AZ525" s="259" t="s">
        <v>226</v>
      </c>
      <c r="BA525" s="259" t="s">
        <v>226</v>
      </c>
      <c r="BB525" s="259" t="s">
        <v>226</v>
      </c>
      <c r="BC525" s="259" t="s">
        <v>226</v>
      </c>
      <c r="BD525" s="259" t="s">
        <v>226</v>
      </c>
      <c r="BE525" s="259" t="s">
        <v>226</v>
      </c>
      <c r="BM525"/>
      <c r="BN525"/>
      <c r="BO525"/>
      <c r="BP525"/>
      <c r="BQ525"/>
      <c r="BR525"/>
    </row>
    <row r="526" spans="1:70" s="382" customFormat="1" x14ac:dyDescent="0.2">
      <c r="A526" s="830"/>
      <c r="B526" s="550" t="s">
        <v>654</v>
      </c>
      <c r="C526" s="369"/>
      <c r="D526" s="385">
        <f t="shared" ref="D526:X526" si="1154">SUM(D524:D525)</f>
        <v>4952</v>
      </c>
      <c r="E526" s="385">
        <f t="shared" si="1154"/>
        <v>3002</v>
      </c>
      <c r="F526" s="385">
        <f t="shared" si="1154"/>
        <v>3805</v>
      </c>
      <c r="G526" s="385">
        <f t="shared" si="1154"/>
        <v>2879</v>
      </c>
      <c r="H526" s="385">
        <f t="shared" si="1154"/>
        <v>4731</v>
      </c>
      <c r="I526" s="385">
        <f t="shared" si="1154"/>
        <v>3505</v>
      </c>
      <c r="J526" s="385">
        <f t="shared" si="1154"/>
        <v>2854</v>
      </c>
      <c r="K526" s="385">
        <f t="shared" si="1154"/>
        <v>2448</v>
      </c>
      <c r="L526" s="385">
        <f t="shared" si="1154"/>
        <v>3919</v>
      </c>
      <c r="M526" s="385">
        <f t="shared" si="1154"/>
        <v>3121</v>
      </c>
      <c r="N526" s="385">
        <f t="shared" si="1154"/>
        <v>3064</v>
      </c>
      <c r="O526" s="385">
        <f t="shared" si="1154"/>
        <v>2070</v>
      </c>
      <c r="P526" s="385">
        <f t="shared" si="1154"/>
        <v>3485</v>
      </c>
      <c r="Q526" s="385">
        <f t="shared" si="1154"/>
        <v>3032</v>
      </c>
      <c r="R526" s="385">
        <f t="shared" si="1154"/>
        <v>2553</v>
      </c>
      <c r="S526" s="385">
        <f t="shared" si="1154"/>
        <v>2207</v>
      </c>
      <c r="T526" s="385">
        <f t="shared" si="1154"/>
        <v>3051</v>
      </c>
      <c r="U526" s="385">
        <f t="shared" si="1154"/>
        <v>3432</v>
      </c>
      <c r="V526" s="385">
        <f t="shared" si="1154"/>
        <v>3413</v>
      </c>
      <c r="W526" s="385">
        <f t="shared" si="1154"/>
        <v>2957</v>
      </c>
      <c r="X526" s="385">
        <f t="shared" si="1154"/>
        <v>3678</v>
      </c>
      <c r="Y526" s="385">
        <f t="shared" ref="Y526:Z526" si="1155">SUM(Y524:Y525)</f>
        <v>3274</v>
      </c>
      <c r="Z526" s="385">
        <f t="shared" si="1155"/>
        <v>2936</v>
      </c>
      <c r="AA526" s="385">
        <f t="shared" ref="AA526:AB526" si="1156">SUM(AA524:AA525)</f>
        <v>2463</v>
      </c>
      <c r="AB526" s="385">
        <f t="shared" si="1156"/>
        <v>3418</v>
      </c>
      <c r="AC526" s="200">
        <f t="shared" ref="AC526:AE526" si="1157">AC481</f>
        <v>3535.92</v>
      </c>
      <c r="AD526" s="200">
        <f t="shared" si="1157"/>
        <v>3170.88</v>
      </c>
      <c r="AE526" s="200">
        <f t="shared" si="1157"/>
        <v>2660.04</v>
      </c>
      <c r="AF526" s="200">
        <f t="shared" ref="AF526:AI526" si="1158">AF481</f>
        <v>3828.1600000000003</v>
      </c>
      <c r="AG526" s="200">
        <f t="shared" si="1158"/>
        <v>3889.5120000000002</v>
      </c>
      <c r="AH526" s="200">
        <f t="shared" si="1158"/>
        <v>3487.9680000000003</v>
      </c>
      <c r="AI526" s="200">
        <f t="shared" si="1158"/>
        <v>2926.0440000000003</v>
      </c>
      <c r="AJ526" s="200"/>
      <c r="AK526" s="200"/>
      <c r="AL526" s="200"/>
      <c r="AM526" s="200"/>
      <c r="AN526" s="200"/>
      <c r="AO526" s="200"/>
      <c r="AP526" s="200"/>
      <c r="AQ526" s="200"/>
      <c r="AR526" s="70"/>
      <c r="AS526" s="550" t="s">
        <v>654</v>
      </c>
      <c r="AT526" s="369"/>
      <c r="AU526" s="542">
        <f t="shared" ref="AU526:BD526" si="1159">AU481</f>
        <v>14638</v>
      </c>
      <c r="AV526" s="542">
        <f t="shared" si="1159"/>
        <v>13538</v>
      </c>
      <c r="AW526" s="542">
        <f t="shared" si="1159"/>
        <v>12174</v>
      </c>
      <c r="AX526" s="542">
        <f t="shared" si="1159"/>
        <v>11277</v>
      </c>
      <c r="AY526" s="542">
        <f t="shared" si="1159"/>
        <v>12853</v>
      </c>
      <c r="AZ526" s="542">
        <f t="shared" si="1159"/>
        <v>12351</v>
      </c>
      <c r="BA526" s="542">
        <f t="shared" si="1159"/>
        <v>12784.84</v>
      </c>
      <c r="BB526" s="542">
        <f t="shared" ref="BB526" si="1160">BB481</f>
        <v>14131.684000000001</v>
      </c>
      <c r="BC526" s="542">
        <f t="shared" si="1159"/>
        <v>15262.218720000003</v>
      </c>
      <c r="BD526" s="542">
        <f t="shared" si="1159"/>
        <v>16330.574030400003</v>
      </c>
      <c r="BE526" s="542">
        <f t="shared" ref="BE526" si="1161">BE481</f>
        <v>17473.714212528004</v>
      </c>
      <c r="BM526"/>
      <c r="BN526"/>
      <c r="BO526"/>
      <c r="BP526"/>
      <c r="BQ526"/>
      <c r="BR526"/>
    </row>
    <row r="527" spans="1:70" s="382" customFormat="1" x14ac:dyDescent="0.2">
      <c r="A527" s="411"/>
      <c r="B527" s="318"/>
      <c r="C527" s="321"/>
      <c r="D527" s="385"/>
      <c r="E527" s="385"/>
      <c r="F527" s="385"/>
      <c r="G527" s="385"/>
      <c r="H527" s="385"/>
      <c r="I527" s="385"/>
      <c r="J527" s="385"/>
      <c r="K527" s="385"/>
      <c r="L527" s="385"/>
      <c r="M527" s="385"/>
      <c r="N527" s="385"/>
      <c r="O527" s="385"/>
      <c r="P527" s="385"/>
      <c r="Q527" s="385"/>
      <c r="R527" s="385"/>
      <c r="S527" s="385"/>
      <c r="T527" s="385"/>
      <c r="U527" s="385"/>
      <c r="V527" s="385"/>
      <c r="W527" s="385"/>
      <c r="X527" s="385"/>
      <c r="Y527" s="385"/>
      <c r="Z527" s="385"/>
      <c r="AA527" s="385"/>
      <c r="AB527" s="385"/>
      <c r="AC527" s="241"/>
      <c r="AD527" s="287"/>
      <c r="AE527" s="287"/>
      <c r="AF527" s="287"/>
      <c r="AG527" s="287"/>
      <c r="AH527" s="287"/>
      <c r="AI527" s="241"/>
      <c r="AJ527" s="241"/>
      <c r="AK527" s="241"/>
      <c r="AL527" s="241"/>
      <c r="AM527" s="241"/>
      <c r="AN527" s="241"/>
      <c r="AO527" s="241"/>
      <c r="AP527" s="241"/>
      <c r="AQ527" s="241"/>
      <c r="AR527" s="70"/>
      <c r="AS527" s="318"/>
      <c r="AT527" s="321"/>
      <c r="AU527" s="542"/>
      <c r="AV527" s="351"/>
      <c r="AW527" s="540"/>
      <c r="AX527" s="542"/>
      <c r="AY527" s="540"/>
      <c r="AZ527" s="369"/>
      <c r="BA527" s="369"/>
      <c r="BB527" s="369"/>
      <c r="BC527" s="552"/>
      <c r="BD527" s="552"/>
      <c r="BM527"/>
      <c r="BN527"/>
      <c r="BO527"/>
      <c r="BP527"/>
      <c r="BQ527"/>
      <c r="BR527"/>
    </row>
    <row r="528" spans="1:70" x14ac:dyDescent="0.2">
      <c r="B528" s="48" t="s">
        <v>260</v>
      </c>
      <c r="C528" s="12"/>
      <c r="D528" s="178"/>
      <c r="E528" s="178"/>
      <c r="F528" s="178"/>
      <c r="G528" s="178"/>
      <c r="H528" s="178"/>
      <c r="I528" s="178"/>
      <c r="J528" s="178"/>
      <c r="K528" s="178"/>
      <c r="L528" s="178"/>
      <c r="M528" s="178"/>
      <c r="N528" s="178"/>
      <c r="O528" s="178"/>
      <c r="P528" s="178"/>
      <c r="Q528" s="178"/>
      <c r="R528" s="178"/>
      <c r="S528" s="178"/>
      <c r="T528" s="178"/>
      <c r="U528" s="178"/>
      <c r="V528" s="178"/>
      <c r="W528" s="178"/>
      <c r="X528" s="178"/>
      <c r="Y528" s="178"/>
      <c r="Z528" s="178"/>
      <c r="AA528" s="178"/>
      <c r="AB528" s="178"/>
      <c r="AC528" s="190"/>
      <c r="AD528" s="190"/>
      <c r="AE528" s="190"/>
      <c r="AF528" s="190"/>
      <c r="AG528" s="190"/>
      <c r="AH528" s="190"/>
      <c r="AI528" s="190"/>
      <c r="AJ528" s="190"/>
      <c r="AK528" s="190"/>
      <c r="AL528" s="190"/>
      <c r="AM528" s="190"/>
      <c r="AN528" s="190"/>
      <c r="AO528" s="190"/>
      <c r="AP528" s="190"/>
      <c r="AQ528" s="190"/>
      <c r="AS528" s="48" t="s">
        <v>260</v>
      </c>
      <c r="AT528" s="12"/>
      <c r="AU528" s="12"/>
      <c r="AV528" s="12"/>
      <c r="AW528" s="12"/>
      <c r="AX528" s="12"/>
      <c r="AY528" s="12"/>
      <c r="AZ528" s="12"/>
      <c r="BA528" s="12"/>
      <c r="BB528" s="12"/>
      <c r="BC528" s="12"/>
      <c r="BD528" s="12"/>
      <c r="BE528" s="12"/>
    </row>
    <row r="529" spans="1:74" s="382" customFormat="1" x14ac:dyDescent="0.2">
      <c r="A529" s="411"/>
      <c r="B529" s="315" t="s">
        <v>7</v>
      </c>
      <c r="C529" s="321"/>
      <c r="D529" s="454">
        <v>438</v>
      </c>
      <c r="E529" s="454">
        <v>348</v>
      </c>
      <c r="F529" s="454">
        <v>337</v>
      </c>
      <c r="G529" s="454">
        <v>352</v>
      </c>
      <c r="H529" s="454">
        <v>426</v>
      </c>
      <c r="I529" s="454">
        <v>406</v>
      </c>
      <c r="J529" s="454">
        <v>383</v>
      </c>
      <c r="K529" s="454">
        <v>350</v>
      </c>
      <c r="L529" s="454">
        <v>404</v>
      </c>
      <c r="M529" s="454">
        <v>355</v>
      </c>
      <c r="N529" s="454">
        <v>350</v>
      </c>
      <c r="O529" s="454">
        <v>348</v>
      </c>
      <c r="P529" s="454">
        <v>371</v>
      </c>
      <c r="Q529" s="454">
        <v>336</v>
      </c>
      <c r="R529" s="454">
        <v>329</v>
      </c>
      <c r="S529" s="454">
        <v>302</v>
      </c>
      <c r="T529" s="454">
        <v>357</v>
      </c>
      <c r="U529" s="454">
        <v>319</v>
      </c>
      <c r="V529" s="454">
        <v>302</v>
      </c>
      <c r="W529" s="454">
        <v>322</v>
      </c>
      <c r="X529" s="454">
        <v>326</v>
      </c>
      <c r="Y529" s="454">
        <v>323</v>
      </c>
      <c r="Z529" s="454">
        <v>309</v>
      </c>
      <c r="AA529" s="454">
        <v>313</v>
      </c>
      <c r="AB529" s="454">
        <v>361</v>
      </c>
      <c r="AC529" s="131" t="s">
        <v>226</v>
      </c>
      <c r="AD529" s="131" t="s">
        <v>226</v>
      </c>
      <c r="AE529" s="131" t="s">
        <v>226</v>
      </c>
      <c r="AF529" s="131" t="s">
        <v>226</v>
      </c>
      <c r="AG529" s="131" t="s">
        <v>226</v>
      </c>
      <c r="AH529" s="131" t="s">
        <v>226</v>
      </c>
      <c r="AI529" s="131" t="s">
        <v>226</v>
      </c>
      <c r="AJ529" s="131"/>
      <c r="AK529" s="131"/>
      <c r="AL529" s="131"/>
      <c r="AM529" s="131"/>
      <c r="AN529" s="131"/>
      <c r="AO529" s="131"/>
      <c r="AP529" s="131"/>
      <c r="AQ529" s="131"/>
      <c r="AR529" s="70"/>
      <c r="AS529" s="315" t="s">
        <v>7</v>
      </c>
      <c r="AT529" s="321"/>
      <c r="AU529" s="232">
        <f>SUM(D529:G529)</f>
        <v>1475</v>
      </c>
      <c r="AV529" s="232">
        <f>SUM(H529:K529)</f>
        <v>1565</v>
      </c>
      <c r="AW529" s="232">
        <f>SUM(L529:O529)</f>
        <v>1457</v>
      </c>
      <c r="AX529" s="232">
        <f>SUM(P529:S529)</f>
        <v>1338</v>
      </c>
      <c r="AY529" s="232">
        <f>SUM(T529:W529)</f>
        <v>1300</v>
      </c>
      <c r="AZ529" s="252" t="s">
        <v>226</v>
      </c>
      <c r="BA529" s="252" t="s">
        <v>226</v>
      </c>
      <c r="BB529" s="252" t="s">
        <v>226</v>
      </c>
      <c r="BC529" s="252" t="s">
        <v>226</v>
      </c>
      <c r="BD529" s="252" t="s">
        <v>226</v>
      </c>
      <c r="BE529" s="252" t="s">
        <v>226</v>
      </c>
      <c r="BM529"/>
      <c r="BN529"/>
      <c r="BO529"/>
      <c r="BP529"/>
      <c r="BQ529"/>
      <c r="BR529"/>
    </row>
    <row r="530" spans="1:74" s="382" customFormat="1" x14ac:dyDescent="0.2">
      <c r="A530" s="411"/>
      <c r="B530" s="315" t="s">
        <v>255</v>
      </c>
      <c r="C530" s="321"/>
      <c r="D530" s="454">
        <v>335</v>
      </c>
      <c r="E530" s="454">
        <v>16</v>
      </c>
      <c r="F530" s="454">
        <v>-40</v>
      </c>
      <c r="G530" s="454">
        <v>-190</v>
      </c>
      <c r="H530" s="454">
        <v>138</v>
      </c>
      <c r="I530" s="454">
        <v>178</v>
      </c>
      <c r="J530" s="454">
        <v>68</v>
      </c>
      <c r="K530" s="454">
        <v>-113</v>
      </c>
      <c r="L530" s="454">
        <v>172</v>
      </c>
      <c r="M530" s="454">
        <v>-28</v>
      </c>
      <c r="N530" s="454">
        <v>33</v>
      </c>
      <c r="O530" s="454">
        <v>-199</v>
      </c>
      <c r="P530" s="454">
        <v>170</v>
      </c>
      <c r="Q530" s="454">
        <v>56</v>
      </c>
      <c r="R530" s="454">
        <v>95</v>
      </c>
      <c r="S530" s="454">
        <v>-51</v>
      </c>
      <c r="T530" s="454">
        <v>51</v>
      </c>
      <c r="U530" s="454">
        <v>-48</v>
      </c>
      <c r="V530" s="454">
        <v>45</v>
      </c>
      <c r="W530" s="454">
        <v>86</v>
      </c>
      <c r="X530" s="454">
        <v>189</v>
      </c>
      <c r="Y530" s="454">
        <v>-1</v>
      </c>
      <c r="Z530" s="454">
        <v>211</v>
      </c>
      <c r="AA530" s="454">
        <v>79</v>
      </c>
      <c r="AB530" s="454">
        <v>537</v>
      </c>
      <c r="AC530" s="131" t="s">
        <v>226</v>
      </c>
      <c r="AD530" s="131" t="s">
        <v>226</v>
      </c>
      <c r="AE530" s="131" t="s">
        <v>226</v>
      </c>
      <c r="AF530" s="131" t="s">
        <v>226</v>
      </c>
      <c r="AG530" s="131" t="s">
        <v>226</v>
      </c>
      <c r="AH530" s="131" t="s">
        <v>226</v>
      </c>
      <c r="AI530" s="131" t="s">
        <v>226</v>
      </c>
      <c r="AJ530" s="131"/>
      <c r="AK530" s="131"/>
      <c r="AL530" s="131"/>
      <c r="AM530" s="131"/>
      <c r="AN530" s="131"/>
      <c r="AO530" s="131"/>
      <c r="AP530" s="131"/>
      <c r="AQ530" s="131"/>
      <c r="AR530" s="70"/>
      <c r="AS530" s="315" t="s">
        <v>255</v>
      </c>
      <c r="AT530" s="321"/>
      <c r="AU530" s="232">
        <f>SUM(D530:G530)</f>
        <v>121</v>
      </c>
      <c r="AV530" s="232">
        <f>SUM(H530:K530)</f>
        <v>271</v>
      </c>
      <c r="AW530" s="232">
        <f>SUM(L530:O530)</f>
        <v>-22</v>
      </c>
      <c r="AX530" s="232">
        <f>SUM(P530:S530)</f>
        <v>270</v>
      </c>
      <c r="AY530" s="232">
        <f>SUM(T530:W530)</f>
        <v>134</v>
      </c>
      <c r="AZ530" s="252" t="s">
        <v>226</v>
      </c>
      <c r="BA530" s="252" t="s">
        <v>226</v>
      </c>
      <c r="BB530" s="252" t="s">
        <v>226</v>
      </c>
      <c r="BC530" s="252" t="s">
        <v>226</v>
      </c>
      <c r="BD530" s="252" t="s">
        <v>226</v>
      </c>
      <c r="BE530" s="252" t="s">
        <v>226</v>
      </c>
      <c r="BM530"/>
      <c r="BN530"/>
      <c r="BO530"/>
      <c r="BP530"/>
      <c r="BQ530"/>
      <c r="BR530"/>
    </row>
    <row r="531" spans="1:74" s="382" customFormat="1" x14ac:dyDescent="0.2">
      <c r="A531" s="411"/>
      <c r="B531" s="375" t="s">
        <v>16</v>
      </c>
      <c r="C531" s="376"/>
      <c r="D531" s="537">
        <v>-14</v>
      </c>
      <c r="E531" s="537">
        <v>-10</v>
      </c>
      <c r="F531" s="537">
        <v>-5</v>
      </c>
      <c r="G531" s="537">
        <v>-24</v>
      </c>
      <c r="H531" s="537">
        <v>5</v>
      </c>
      <c r="I531" s="537">
        <v>-4</v>
      </c>
      <c r="J531" s="537">
        <v>-12</v>
      </c>
      <c r="K531" s="537">
        <v>-12</v>
      </c>
      <c r="L531" s="537">
        <v>52</v>
      </c>
      <c r="M531" s="537">
        <v>-8</v>
      </c>
      <c r="N531" s="537">
        <v>3</v>
      </c>
      <c r="O531" s="537">
        <v>-10</v>
      </c>
      <c r="P531" s="537">
        <v>16</v>
      </c>
      <c r="Q531" s="537">
        <v>-184</v>
      </c>
      <c r="R531" s="537">
        <v>189</v>
      </c>
      <c r="S531" s="537">
        <v>33</v>
      </c>
      <c r="T531" s="537">
        <v>2</v>
      </c>
      <c r="U531" s="537">
        <v>127</v>
      </c>
      <c r="V531" s="537">
        <v>4</v>
      </c>
      <c r="W531" s="537">
        <v>6</v>
      </c>
      <c r="X531" s="537">
        <v>9</v>
      </c>
      <c r="Y531" s="537">
        <v>-6</v>
      </c>
      <c r="Z531" s="537">
        <v>-5</v>
      </c>
      <c r="AA531" s="537">
        <v>9</v>
      </c>
      <c r="AB531" s="537">
        <v>80</v>
      </c>
      <c r="AC531" s="286" t="s">
        <v>226</v>
      </c>
      <c r="AD531" s="286" t="s">
        <v>226</v>
      </c>
      <c r="AE531" s="286" t="s">
        <v>226</v>
      </c>
      <c r="AF531" s="286" t="s">
        <v>226</v>
      </c>
      <c r="AG531" s="286" t="s">
        <v>226</v>
      </c>
      <c r="AH531" s="286" t="s">
        <v>226</v>
      </c>
      <c r="AI531" s="286" t="s">
        <v>226</v>
      </c>
      <c r="AJ531" s="200"/>
      <c r="AK531" s="200"/>
      <c r="AL531" s="200"/>
      <c r="AM531" s="200"/>
      <c r="AN531" s="200"/>
      <c r="AO531" s="200"/>
      <c r="AP531" s="200"/>
      <c r="AQ531" s="200"/>
      <c r="AR531" s="70"/>
      <c r="AS531" s="375" t="s">
        <v>16</v>
      </c>
      <c r="AT531" s="376"/>
      <c r="AU531" s="41">
        <f>SUM(D531:G531)</f>
        <v>-53</v>
      </c>
      <c r="AV531" s="41">
        <f>SUM(H531:K531)</f>
        <v>-23</v>
      </c>
      <c r="AW531" s="41">
        <f>SUM(L531:O531)</f>
        <v>37</v>
      </c>
      <c r="AX531" s="41">
        <f>SUM(P531:S531)</f>
        <v>54</v>
      </c>
      <c r="AY531" s="41">
        <f>SUM(T531:W531)</f>
        <v>139</v>
      </c>
      <c r="AZ531" s="259" t="s">
        <v>226</v>
      </c>
      <c r="BA531" s="259" t="s">
        <v>226</v>
      </c>
      <c r="BB531" s="259" t="s">
        <v>226</v>
      </c>
      <c r="BC531" s="259" t="s">
        <v>226</v>
      </c>
      <c r="BD531" s="259" t="s">
        <v>226</v>
      </c>
      <c r="BE531" s="259" t="s">
        <v>226</v>
      </c>
      <c r="BM531"/>
      <c r="BN531"/>
      <c r="BO531"/>
      <c r="BP531"/>
      <c r="BQ531"/>
      <c r="BR531"/>
    </row>
    <row r="532" spans="1:74" s="382" customFormat="1" x14ac:dyDescent="0.2">
      <c r="A532" s="411"/>
      <c r="B532" s="321" t="s">
        <v>293</v>
      </c>
      <c r="C532" s="321"/>
      <c r="D532" s="385">
        <f t="shared" ref="D532:X532" si="1162">SUM(D529:D531)</f>
        <v>759</v>
      </c>
      <c r="E532" s="385">
        <f t="shared" si="1162"/>
        <v>354</v>
      </c>
      <c r="F532" s="385">
        <f t="shared" si="1162"/>
        <v>292</v>
      </c>
      <c r="G532" s="385">
        <f t="shared" si="1162"/>
        <v>138</v>
      </c>
      <c r="H532" s="385">
        <f t="shared" si="1162"/>
        <v>569</v>
      </c>
      <c r="I532" s="385">
        <f t="shared" si="1162"/>
        <v>580</v>
      </c>
      <c r="J532" s="385">
        <f t="shared" si="1162"/>
        <v>439</v>
      </c>
      <c r="K532" s="385">
        <f t="shared" si="1162"/>
        <v>225</v>
      </c>
      <c r="L532" s="385">
        <f t="shared" si="1162"/>
        <v>628</v>
      </c>
      <c r="M532" s="385">
        <f t="shared" si="1162"/>
        <v>319</v>
      </c>
      <c r="N532" s="385">
        <f t="shared" si="1162"/>
        <v>386</v>
      </c>
      <c r="O532" s="385">
        <f t="shared" si="1162"/>
        <v>139</v>
      </c>
      <c r="P532" s="385">
        <f t="shared" si="1162"/>
        <v>557</v>
      </c>
      <c r="Q532" s="385">
        <f t="shared" si="1162"/>
        <v>208</v>
      </c>
      <c r="R532" s="385">
        <f t="shared" si="1162"/>
        <v>613</v>
      </c>
      <c r="S532" s="385">
        <f t="shared" si="1162"/>
        <v>284</v>
      </c>
      <c r="T532" s="385">
        <f t="shared" si="1162"/>
        <v>410</v>
      </c>
      <c r="U532" s="385">
        <f t="shared" si="1162"/>
        <v>398</v>
      </c>
      <c r="V532" s="385">
        <f t="shared" si="1162"/>
        <v>351</v>
      </c>
      <c r="W532" s="385">
        <f t="shared" si="1162"/>
        <v>414</v>
      </c>
      <c r="X532" s="385">
        <f t="shared" si="1162"/>
        <v>524</v>
      </c>
      <c r="Y532" s="385">
        <f t="shared" ref="Y532:Z532" si="1163">SUM(Y529:Y531)</f>
        <v>316</v>
      </c>
      <c r="Z532" s="385">
        <f t="shared" si="1163"/>
        <v>515</v>
      </c>
      <c r="AA532" s="385">
        <f t="shared" ref="AA532:AB532" si="1164">SUM(AA529:AA531)</f>
        <v>401</v>
      </c>
      <c r="AB532" s="385">
        <f t="shared" si="1164"/>
        <v>978</v>
      </c>
      <c r="AC532" s="131" t="s">
        <v>226</v>
      </c>
      <c r="AD532" s="131" t="s">
        <v>226</v>
      </c>
      <c r="AE532" s="131" t="s">
        <v>226</v>
      </c>
      <c r="AF532" s="131" t="s">
        <v>226</v>
      </c>
      <c r="AG532" s="131" t="s">
        <v>226</v>
      </c>
      <c r="AH532" s="131" t="s">
        <v>226</v>
      </c>
      <c r="AI532" s="131" t="s">
        <v>226</v>
      </c>
      <c r="AJ532" s="131"/>
      <c r="AK532" s="131"/>
      <c r="AL532" s="131"/>
      <c r="AM532" s="131"/>
      <c r="AN532" s="131"/>
      <c r="AO532" s="131"/>
      <c r="AP532" s="131"/>
      <c r="AQ532" s="131"/>
      <c r="AR532" s="70"/>
      <c r="AS532" s="321" t="s">
        <v>293</v>
      </c>
      <c r="AT532" s="321"/>
      <c r="AU532" s="542">
        <f>SUM(AU529:AU531)</f>
        <v>1543</v>
      </c>
      <c r="AV532" s="542">
        <f>SUM(AV529:AV531)</f>
        <v>1813</v>
      </c>
      <c r="AW532" s="542">
        <f>SUM(AW529:AW531)</f>
        <v>1472</v>
      </c>
      <c r="AX532" s="542">
        <f>SUM(AX529:AX531)</f>
        <v>1662</v>
      </c>
      <c r="AY532" s="542">
        <f>SUM(AY529:AY531)</f>
        <v>1573</v>
      </c>
      <c r="AZ532" s="252" t="s">
        <v>226</v>
      </c>
      <c r="BA532" s="252" t="s">
        <v>226</v>
      </c>
      <c r="BB532" s="252" t="s">
        <v>226</v>
      </c>
      <c r="BC532" s="252" t="s">
        <v>226</v>
      </c>
      <c r="BD532" s="252" t="s">
        <v>226</v>
      </c>
      <c r="BE532" s="252" t="s">
        <v>226</v>
      </c>
      <c r="BM532"/>
      <c r="BN532"/>
      <c r="BO532"/>
      <c r="BP532"/>
      <c r="BQ532"/>
      <c r="BR532"/>
    </row>
    <row r="533" spans="1:74" s="382" customFormat="1" x14ac:dyDescent="0.2">
      <c r="A533" s="411"/>
      <c r="B533" s="376" t="s">
        <v>209</v>
      </c>
      <c r="C533" s="376"/>
      <c r="D533" s="537">
        <v>138</v>
      </c>
      <c r="E533" s="537">
        <v>179</v>
      </c>
      <c r="F533" s="537">
        <v>207</v>
      </c>
      <c r="G533" s="537">
        <v>297</v>
      </c>
      <c r="H533" s="537">
        <v>236</v>
      </c>
      <c r="I533" s="537">
        <v>324</v>
      </c>
      <c r="J533" s="537">
        <v>253</v>
      </c>
      <c r="K533" s="537">
        <v>279</v>
      </c>
      <c r="L533" s="537">
        <v>255</v>
      </c>
      <c r="M533" s="537">
        <v>291</v>
      </c>
      <c r="N533" s="537">
        <v>369</v>
      </c>
      <c r="O533" s="537">
        <v>334</v>
      </c>
      <c r="P533" s="537">
        <v>305</v>
      </c>
      <c r="Q533" s="537">
        <v>436</v>
      </c>
      <c r="R533" s="537">
        <v>384</v>
      </c>
      <c r="S533" s="537">
        <v>314</v>
      </c>
      <c r="T533" s="537">
        <v>287</v>
      </c>
      <c r="U533" s="537">
        <v>378</v>
      </c>
      <c r="V533" s="537">
        <v>303</v>
      </c>
      <c r="W533" s="537">
        <v>271</v>
      </c>
      <c r="X533" s="537">
        <v>278</v>
      </c>
      <c r="Y533" s="537">
        <v>409</v>
      </c>
      <c r="Z533" s="537">
        <v>270</v>
      </c>
      <c r="AA533" s="537">
        <v>166</v>
      </c>
      <c r="AB533" s="537">
        <v>125</v>
      </c>
      <c r="AC533" s="286" t="s">
        <v>226</v>
      </c>
      <c r="AD533" s="286" t="s">
        <v>226</v>
      </c>
      <c r="AE533" s="286" t="s">
        <v>226</v>
      </c>
      <c r="AF533" s="286" t="s">
        <v>226</v>
      </c>
      <c r="AG533" s="286" t="s">
        <v>226</v>
      </c>
      <c r="AH533" s="286" t="s">
        <v>226</v>
      </c>
      <c r="AI533" s="286" t="s">
        <v>226</v>
      </c>
      <c r="AJ533" s="200"/>
      <c r="AK533" s="200"/>
      <c r="AL533" s="200"/>
      <c r="AM533" s="200"/>
      <c r="AN533" s="200"/>
      <c r="AO533" s="200"/>
      <c r="AP533" s="200"/>
      <c r="AQ533" s="200"/>
      <c r="AR533" s="70"/>
      <c r="AS533" s="376" t="s">
        <v>209</v>
      </c>
      <c r="AT533" s="376"/>
      <c r="AU533" s="41">
        <f>SUM(D533:G533)</f>
        <v>821</v>
      </c>
      <c r="AV533" s="41">
        <f>SUM(H533:K533)</f>
        <v>1092</v>
      </c>
      <c r="AW533" s="41">
        <f>SUM(L533:O533)</f>
        <v>1249</v>
      </c>
      <c r="AX533" s="41">
        <f>SUM(P533:S533)</f>
        <v>1439</v>
      </c>
      <c r="AY533" s="41">
        <f>SUM(T533:W533)</f>
        <v>1239</v>
      </c>
      <c r="AZ533" s="259" t="s">
        <v>226</v>
      </c>
      <c r="BA533" s="259" t="s">
        <v>226</v>
      </c>
      <c r="BB533" s="259" t="s">
        <v>226</v>
      </c>
      <c r="BC533" s="259" t="s">
        <v>226</v>
      </c>
      <c r="BD533" s="259" t="s">
        <v>226</v>
      </c>
      <c r="BE533" s="259" t="s">
        <v>226</v>
      </c>
      <c r="BM533"/>
      <c r="BN533"/>
      <c r="BO533"/>
      <c r="BP533"/>
      <c r="BQ533"/>
      <c r="BR533"/>
    </row>
    <row r="534" spans="1:74" s="382" customFormat="1" x14ac:dyDescent="0.2">
      <c r="A534" s="830"/>
      <c r="B534" s="550" t="s">
        <v>655</v>
      </c>
      <c r="C534" s="369"/>
      <c r="D534" s="385">
        <f t="shared" ref="D534:X534" si="1165">D532+D533</f>
        <v>897</v>
      </c>
      <c r="E534" s="385">
        <f t="shared" si="1165"/>
        <v>533</v>
      </c>
      <c r="F534" s="385">
        <f t="shared" si="1165"/>
        <v>499</v>
      </c>
      <c r="G534" s="385">
        <f t="shared" si="1165"/>
        <v>435</v>
      </c>
      <c r="H534" s="385">
        <f t="shared" si="1165"/>
        <v>805</v>
      </c>
      <c r="I534" s="385">
        <f t="shared" si="1165"/>
        <v>904</v>
      </c>
      <c r="J534" s="385">
        <f t="shared" si="1165"/>
        <v>692</v>
      </c>
      <c r="K534" s="385">
        <f t="shared" si="1165"/>
        <v>504</v>
      </c>
      <c r="L534" s="385">
        <f t="shared" si="1165"/>
        <v>883</v>
      </c>
      <c r="M534" s="385">
        <f t="shared" si="1165"/>
        <v>610</v>
      </c>
      <c r="N534" s="385">
        <f t="shared" si="1165"/>
        <v>755</v>
      </c>
      <c r="O534" s="385">
        <f t="shared" si="1165"/>
        <v>473</v>
      </c>
      <c r="P534" s="385">
        <f t="shared" si="1165"/>
        <v>862</v>
      </c>
      <c r="Q534" s="385">
        <f t="shared" si="1165"/>
        <v>644</v>
      </c>
      <c r="R534" s="385">
        <f t="shared" si="1165"/>
        <v>997</v>
      </c>
      <c r="S534" s="385">
        <f t="shared" si="1165"/>
        <v>598</v>
      </c>
      <c r="T534" s="385">
        <f t="shared" si="1165"/>
        <v>697</v>
      </c>
      <c r="U534" s="385">
        <f t="shared" si="1165"/>
        <v>776</v>
      </c>
      <c r="V534" s="385">
        <f t="shared" si="1165"/>
        <v>654</v>
      </c>
      <c r="W534" s="385">
        <f t="shared" si="1165"/>
        <v>685</v>
      </c>
      <c r="X534" s="385">
        <f t="shared" si="1165"/>
        <v>802</v>
      </c>
      <c r="Y534" s="385">
        <f t="shared" ref="Y534:Z534" si="1166">Y532+Y533</f>
        <v>725</v>
      </c>
      <c r="Z534" s="385">
        <f t="shared" si="1166"/>
        <v>785</v>
      </c>
      <c r="AA534" s="385">
        <f t="shared" ref="AA534:AB534" si="1167">AA532+AA533</f>
        <v>567</v>
      </c>
      <c r="AB534" s="385">
        <f t="shared" si="1167"/>
        <v>1103</v>
      </c>
      <c r="AC534" s="207">
        <f t="shared" ref="AC534:AE534" si="1168">AC482</f>
        <v>775.75</v>
      </c>
      <c r="AD534" s="207">
        <f t="shared" si="1168"/>
        <v>816.4</v>
      </c>
      <c r="AE534" s="207">
        <f t="shared" si="1168"/>
        <v>680.4</v>
      </c>
      <c r="AF534" s="207">
        <f t="shared" ref="AF534:AI534" si="1169">AF482</f>
        <v>937.55</v>
      </c>
      <c r="AG534" s="207">
        <f t="shared" si="1169"/>
        <v>814.53750000000002</v>
      </c>
      <c r="AH534" s="207">
        <f t="shared" si="1169"/>
        <v>857.22</v>
      </c>
      <c r="AI534" s="207">
        <f t="shared" si="1169"/>
        <v>714.42</v>
      </c>
      <c r="AJ534" s="207"/>
      <c r="AK534" s="207"/>
      <c r="AL534" s="207"/>
      <c r="AM534" s="207"/>
      <c r="AN534" s="207"/>
      <c r="AO534" s="207"/>
      <c r="AP534" s="207"/>
      <c r="AQ534" s="207"/>
      <c r="AR534" s="70"/>
      <c r="AS534" s="550" t="s">
        <v>655</v>
      </c>
      <c r="AT534" s="369"/>
      <c r="AU534" s="542">
        <f t="shared" ref="AU534:BD534" si="1170">AU482</f>
        <v>2364</v>
      </c>
      <c r="AV534" s="542">
        <f t="shared" si="1170"/>
        <v>2905</v>
      </c>
      <c r="AW534" s="542">
        <f t="shared" si="1170"/>
        <v>2721</v>
      </c>
      <c r="AX534" s="542">
        <f t="shared" si="1170"/>
        <v>3101</v>
      </c>
      <c r="AY534" s="542">
        <f t="shared" si="1170"/>
        <v>2812</v>
      </c>
      <c r="AZ534" s="542">
        <f t="shared" si="1170"/>
        <v>2879</v>
      </c>
      <c r="BA534" s="542">
        <f t="shared" si="1170"/>
        <v>3375.55</v>
      </c>
      <c r="BB534" s="542">
        <f t="shared" ref="BB534" si="1171">BB482</f>
        <v>3323.7275</v>
      </c>
      <c r="BC534" s="542">
        <f t="shared" si="1170"/>
        <v>3556.3884250000001</v>
      </c>
      <c r="BD534" s="542">
        <f t="shared" si="1170"/>
        <v>3805.3356147500003</v>
      </c>
      <c r="BE534" s="542">
        <f t="shared" ref="BE534" si="1172">BE482</f>
        <v>4071.7091077825007</v>
      </c>
      <c r="BM534"/>
      <c r="BN534"/>
      <c r="BO534"/>
      <c r="BP534"/>
      <c r="BQ534"/>
      <c r="BR534"/>
    </row>
    <row r="535" spans="1:74" x14ac:dyDescent="0.2">
      <c r="B535" s="16"/>
      <c r="C535" s="16"/>
      <c r="D535" s="37"/>
      <c r="E535" s="37"/>
      <c r="F535" s="37"/>
      <c r="G535" s="37"/>
      <c r="H535" s="37"/>
      <c r="I535" s="37"/>
      <c r="J535" s="37"/>
      <c r="K535" s="37"/>
      <c r="L535" s="37"/>
      <c r="M535" s="37"/>
      <c r="N535" s="37"/>
      <c r="O535" s="37"/>
      <c r="P535" s="37"/>
      <c r="Q535" s="37"/>
      <c r="R535" s="37"/>
      <c r="S535" s="37"/>
      <c r="T535" s="37"/>
      <c r="U535" s="37"/>
      <c r="V535" s="37"/>
      <c r="W535" s="37"/>
      <c r="X535" s="37"/>
      <c r="Y535" s="37"/>
      <c r="Z535" s="37"/>
      <c r="AA535" s="70"/>
      <c r="AB535" s="70"/>
      <c r="AC535" s="70"/>
      <c r="AD535" s="70"/>
      <c r="AE535" s="70"/>
      <c r="AF535" s="70"/>
      <c r="AG535" s="70"/>
      <c r="AH535" s="70"/>
      <c r="AI535" s="70"/>
      <c r="AJ535" s="70"/>
      <c r="AK535" s="70"/>
      <c r="AL535" s="70"/>
      <c r="AM535" s="70"/>
      <c r="AN535" s="70"/>
      <c r="AO535" s="70"/>
      <c r="AP535" s="70"/>
      <c r="AQ535" s="70"/>
      <c r="AS535" s="16"/>
      <c r="AT535" s="16"/>
    </row>
    <row r="536" spans="1:74" x14ac:dyDescent="0.2">
      <c r="B536" s="574" t="s">
        <v>267</v>
      </c>
      <c r="C536" s="12"/>
      <c r="D536" s="12"/>
      <c r="E536" s="12"/>
      <c r="F536" s="12"/>
      <c r="G536" s="12"/>
      <c r="H536" s="12"/>
      <c r="I536" s="12"/>
      <c r="J536" s="12"/>
      <c r="K536" s="12"/>
      <c r="L536" s="12"/>
      <c r="M536" s="12"/>
      <c r="N536" s="12"/>
      <c r="O536" s="12"/>
      <c r="P536" s="12"/>
      <c r="Q536" s="12"/>
      <c r="R536" s="12"/>
      <c r="S536" s="12"/>
      <c r="T536" s="12"/>
      <c r="U536" s="12"/>
      <c r="V536" s="12"/>
      <c r="W536" s="12"/>
      <c r="X536" s="12"/>
      <c r="Y536" s="12"/>
      <c r="Z536" s="12"/>
      <c r="AA536" s="12"/>
      <c r="AB536" s="12"/>
      <c r="AC536" s="12"/>
      <c r="AD536" s="12"/>
      <c r="AE536" s="12"/>
      <c r="AF536" s="12"/>
      <c r="AG536" s="12"/>
      <c r="AH536" s="12"/>
      <c r="AI536" s="12"/>
      <c r="AJ536" s="12"/>
      <c r="AK536" s="12"/>
      <c r="AL536" s="12"/>
      <c r="AM536" s="12"/>
      <c r="AN536" s="12"/>
      <c r="AO536" s="12"/>
      <c r="AP536" s="12"/>
      <c r="AQ536" s="12"/>
      <c r="AS536" s="574" t="s">
        <v>267</v>
      </c>
      <c r="AT536" s="12"/>
      <c r="AU536" s="58"/>
      <c r="AV536" s="58"/>
      <c r="AW536" s="58"/>
      <c r="AX536" s="58"/>
      <c r="AY536" s="58"/>
      <c r="AZ536" s="58"/>
      <c r="BA536" s="58"/>
      <c r="BB536" s="58"/>
      <c r="BC536" s="58"/>
      <c r="BD536" s="58"/>
      <c r="BE536" s="58"/>
      <c r="BF536" s="23"/>
      <c r="BG536" s="23"/>
      <c r="BH536" s="23"/>
      <c r="BI536" s="23"/>
      <c r="BJ536" s="23"/>
      <c r="BK536" s="23"/>
      <c r="BL536" s="23"/>
      <c r="BS536" s="38"/>
      <c r="BT536" s="38"/>
      <c r="BU536" s="38"/>
      <c r="BV536" s="38"/>
    </row>
    <row r="537" spans="1:74" x14ac:dyDescent="0.2">
      <c r="B537" s="319" t="s">
        <v>268</v>
      </c>
      <c r="C537" s="15"/>
      <c r="D537" s="575">
        <v>538728.14</v>
      </c>
      <c r="E537" s="575">
        <v>684141.35</v>
      </c>
      <c r="F537" s="575">
        <v>568793.30000000005</v>
      </c>
      <c r="G537" s="575">
        <v>764268.82000000007</v>
      </c>
      <c r="H537" s="575">
        <v>675043.54</v>
      </c>
      <c r="I537" s="575">
        <v>676066.39</v>
      </c>
      <c r="J537" s="575">
        <v>619820.99</v>
      </c>
      <c r="K537" s="575">
        <v>774246.87</v>
      </c>
      <c r="L537" s="575">
        <v>743128.5</v>
      </c>
      <c r="M537" s="575">
        <v>622153.85</v>
      </c>
      <c r="N537" s="575">
        <v>733309.67</v>
      </c>
      <c r="O537" s="575">
        <v>951661.37999999989</v>
      </c>
      <c r="P537" s="575">
        <v>910180.23</v>
      </c>
      <c r="Q537" s="575">
        <v>1089270.1400000001</v>
      </c>
      <c r="R537" s="575">
        <v>1052664.82</v>
      </c>
      <c r="S537" s="575">
        <v>1071735.8700000001</v>
      </c>
      <c r="T537" s="575">
        <v>905179.01</v>
      </c>
      <c r="U537" s="575">
        <v>945920.56000000017</v>
      </c>
      <c r="V537" s="575">
        <v>935800.15000000014</v>
      </c>
      <c r="W537" s="575">
        <v>1094938.4300000002</v>
      </c>
      <c r="X537" s="575">
        <v>878696.44000000006</v>
      </c>
      <c r="Y537" s="575">
        <v>933685.18000000017</v>
      </c>
      <c r="Z537" s="575">
        <v>939668.5700000003</v>
      </c>
      <c r="AA537" s="575">
        <v>822720.75000000023</v>
      </c>
      <c r="AB537" s="575">
        <v>821932.30363636382</v>
      </c>
      <c r="AC537" s="575">
        <v>904125.53400000033</v>
      </c>
      <c r="AD537" s="575">
        <v>994538.08740000043</v>
      </c>
      <c r="AE537" s="575">
        <v>1093991.8961400006</v>
      </c>
      <c r="AF537" s="575">
        <v>1093991.8961400006</v>
      </c>
      <c r="AG537" s="575">
        <v>1061172.1392558005</v>
      </c>
      <c r="AH537" s="575">
        <v>1039948.6964706845</v>
      </c>
      <c r="AI537" s="575">
        <v>1019149.7225412708</v>
      </c>
      <c r="AJ537" s="575"/>
      <c r="AK537" s="575"/>
      <c r="AL537" s="575"/>
      <c r="AM537" s="575"/>
      <c r="AN537" s="575"/>
      <c r="AO537" s="575"/>
      <c r="AP537" s="575"/>
      <c r="AQ537" s="575"/>
      <c r="AS537" s="319" t="s">
        <v>268</v>
      </c>
      <c r="AT537" s="15"/>
      <c r="AU537" s="232">
        <f>SUM(D537:G537)</f>
        <v>2555931.6100000003</v>
      </c>
      <c r="AV537" s="232">
        <f>SUM(H537:K537)</f>
        <v>2745177.79</v>
      </c>
      <c r="AW537" s="232">
        <f>SUM(L537:O537)</f>
        <v>3050253.4</v>
      </c>
      <c r="AX537" s="232">
        <f>SUM(P537:S537)</f>
        <v>4123851.0600000005</v>
      </c>
      <c r="AY537" s="232">
        <f>SUM(T537:W537)</f>
        <v>3881838.1500000008</v>
      </c>
      <c r="AZ537" s="232">
        <f>SUM(X537:AA537)</f>
        <v>3574770.9400000004</v>
      </c>
      <c r="BA537" s="232">
        <f>SUM(AB537:AE537)</f>
        <v>3814587.821176365</v>
      </c>
      <c r="BB537" s="232">
        <f>SUM(AF537:AI537)</f>
        <v>4214262.4544077562</v>
      </c>
      <c r="BC537" s="576">
        <v>4424975.577128144</v>
      </c>
      <c r="BD537" s="576">
        <v>4646224.3559845518</v>
      </c>
      <c r="BE537" s="576">
        <v>4878535.5737837795</v>
      </c>
    </row>
    <row r="538" spans="1:74" x14ac:dyDescent="0.2">
      <c r="B538" s="9" t="s">
        <v>269</v>
      </c>
      <c r="D538" s="560">
        <v>49120</v>
      </c>
      <c r="E538" s="560">
        <v>79366</v>
      </c>
      <c r="F538" s="560">
        <v>73812</v>
      </c>
      <c r="G538" s="560">
        <v>77470</v>
      </c>
      <c r="H538" s="560">
        <v>146231</v>
      </c>
      <c r="I538" s="560">
        <v>122291</v>
      </c>
      <c r="J538" s="560">
        <v>87252</v>
      </c>
      <c r="K538" s="560">
        <v>92303</v>
      </c>
      <c r="L538" s="560">
        <v>47416</v>
      </c>
      <c r="M538" s="560">
        <v>76895</v>
      </c>
      <c r="N538" s="560">
        <v>88818</v>
      </c>
      <c r="O538" s="560">
        <v>205244</v>
      </c>
      <c r="P538" s="560">
        <v>169710</v>
      </c>
      <c r="Q538" s="560">
        <v>136061</v>
      </c>
      <c r="R538" s="560">
        <v>178701</v>
      </c>
      <c r="S538" s="560">
        <v>124830</v>
      </c>
      <c r="T538" s="560">
        <v>176285</v>
      </c>
      <c r="U538" s="560">
        <v>194273</v>
      </c>
      <c r="V538" s="560">
        <v>191764</v>
      </c>
      <c r="W538" s="560">
        <v>88231</v>
      </c>
      <c r="X538" s="560">
        <v>94751</v>
      </c>
      <c r="Y538" s="560">
        <v>183112</v>
      </c>
      <c r="Z538" s="560">
        <v>71315</v>
      </c>
      <c r="AA538" s="560">
        <v>127325.14</v>
      </c>
      <c r="AB538" s="560">
        <v>97188</v>
      </c>
      <c r="AC538" s="69">
        <f t="shared" ref="AC538:AE538" si="1173">AC537*AC539</f>
        <v>126577.57476000006</v>
      </c>
      <c r="AD538" s="69">
        <f t="shared" si="1173"/>
        <v>139235.33223600007</v>
      </c>
      <c r="AE538" s="69">
        <f t="shared" si="1173"/>
        <v>153158.86545960009</v>
      </c>
      <c r="AF538" s="69">
        <f t="shared" ref="AF538:AI538" si="1174">AF537*AF539</f>
        <v>158628.82494030008</v>
      </c>
      <c r="AG538" s="69">
        <f t="shared" si="1174"/>
        <v>153869.96019209106</v>
      </c>
      <c r="AH538" s="69">
        <f t="shared" si="1174"/>
        <v>150792.56098824923</v>
      </c>
      <c r="AI538" s="69">
        <f t="shared" si="1174"/>
        <v>147776.70976848426</v>
      </c>
      <c r="AJ538" s="69"/>
      <c r="AK538" s="69"/>
      <c r="AL538" s="69"/>
      <c r="AM538" s="69"/>
      <c r="AN538" s="69"/>
      <c r="AO538" s="69"/>
      <c r="AP538" s="69"/>
      <c r="AQ538" s="69"/>
      <c r="AS538" s="9" t="s">
        <v>269</v>
      </c>
      <c r="AT538" s="9"/>
      <c r="AU538" s="232">
        <f>SUM(D538:G538)</f>
        <v>279768</v>
      </c>
      <c r="AV538" s="232">
        <f>SUM(H538:K538)</f>
        <v>448077</v>
      </c>
      <c r="AW538" s="232">
        <f>SUM(L538:O538)</f>
        <v>418373</v>
      </c>
      <c r="AX538" s="232">
        <f>SUM(P538:S538)</f>
        <v>609302</v>
      </c>
      <c r="AY538" s="232">
        <f>SUM(T538:W538)</f>
        <v>650553</v>
      </c>
      <c r="AZ538" s="232">
        <f>SUM(X538:AA538)</f>
        <v>476503.14</v>
      </c>
      <c r="BA538" s="232">
        <f>SUM(AB538:AE538)</f>
        <v>516159.77245560021</v>
      </c>
      <c r="BB538" s="232">
        <f>SUM(AF538:AI538)</f>
        <v>611068.05588912463</v>
      </c>
      <c r="BC538" s="69">
        <f>BC537*BC539</f>
        <v>663746.33656922157</v>
      </c>
      <c r="BD538" s="69">
        <f>BD537*BD539</f>
        <v>696933.6533976827</v>
      </c>
      <c r="BE538" s="69">
        <f>BE537*BE539</f>
        <v>731780.33606756688</v>
      </c>
    </row>
    <row r="539" spans="1:74" x14ac:dyDescent="0.2">
      <c r="B539" s="9"/>
      <c r="C539" s="9" t="s">
        <v>199</v>
      </c>
      <c r="D539" s="26">
        <f t="shared" ref="D539:X539" si="1175">D538/D537</f>
        <v>9.1177713493859808E-2</v>
      </c>
      <c r="E539" s="26">
        <f t="shared" si="1175"/>
        <v>0.11600819041269761</v>
      </c>
      <c r="F539" s="26">
        <f t="shared" si="1175"/>
        <v>0.12976946106784309</v>
      </c>
      <c r="G539" s="26">
        <f t="shared" si="1175"/>
        <v>0.10136485745944732</v>
      </c>
      <c r="H539" s="26">
        <f t="shared" si="1175"/>
        <v>0.21662454543302495</v>
      </c>
      <c r="I539" s="26">
        <f t="shared" si="1175"/>
        <v>0.18088608132109629</v>
      </c>
      <c r="J539" s="26">
        <f t="shared" si="1175"/>
        <v>0.14076967609631935</v>
      </c>
      <c r="K539" s="26">
        <f t="shared" si="1175"/>
        <v>0.11921649744609236</v>
      </c>
      <c r="L539" s="26">
        <f t="shared" si="1175"/>
        <v>6.3805923201707374E-2</v>
      </c>
      <c r="M539" s="26">
        <f t="shared" si="1175"/>
        <v>0.12359483108559081</v>
      </c>
      <c r="N539" s="26">
        <f t="shared" si="1175"/>
        <v>0.12111936284707658</v>
      </c>
      <c r="O539" s="26">
        <f t="shared" si="1175"/>
        <v>0.21566914904122728</v>
      </c>
      <c r="P539" s="26">
        <f t="shared" si="1175"/>
        <v>0.18645757664940713</v>
      </c>
      <c r="Q539" s="26">
        <f t="shared" si="1175"/>
        <v>0.12491024494621691</v>
      </c>
      <c r="R539" s="26">
        <f t="shared" si="1175"/>
        <v>0.16976058913035585</v>
      </c>
      <c r="S539" s="26">
        <f t="shared" si="1175"/>
        <v>0.11647459368883491</v>
      </c>
      <c r="T539" s="26">
        <f t="shared" si="1175"/>
        <v>0.19475153318016067</v>
      </c>
      <c r="U539" s="26">
        <f t="shared" si="1175"/>
        <v>0.20537982597608404</v>
      </c>
      <c r="V539" s="26">
        <f t="shared" si="1175"/>
        <v>0.20491982182306764</v>
      </c>
      <c r="W539" s="26">
        <f t="shared" si="1175"/>
        <v>8.0580786629253651E-2</v>
      </c>
      <c r="X539" s="26">
        <f t="shared" si="1175"/>
        <v>0.10783132340902621</v>
      </c>
      <c r="Y539" s="26">
        <f t="shared" ref="Y539:Z539" si="1176">Y538/Y537</f>
        <v>0.19611749647777418</v>
      </c>
      <c r="Z539" s="26">
        <f t="shared" si="1176"/>
        <v>7.5893780293194199E-2</v>
      </c>
      <c r="AA539" s="26">
        <f t="shared" ref="AA539:AB539" si="1177">AA538/AA537</f>
        <v>0.15476106564712264</v>
      </c>
      <c r="AB539" s="26">
        <f t="shared" si="1177"/>
        <v>0.11824331465015341</v>
      </c>
      <c r="AC539" s="349">
        <f>Drivers!AC188</f>
        <v>0.14000000000000001</v>
      </c>
      <c r="AD539" s="349">
        <f>Drivers!AD188</f>
        <v>0.14000000000000001</v>
      </c>
      <c r="AE539" s="349">
        <f>Drivers!AE188</f>
        <v>0.14000000000000001</v>
      </c>
      <c r="AF539" s="349">
        <f>Drivers!AF188</f>
        <v>0.14499999999999999</v>
      </c>
      <c r="AG539" s="349">
        <f>Drivers!AG188</f>
        <v>0.14499999999999999</v>
      </c>
      <c r="AH539" s="349">
        <f>Drivers!AH188</f>
        <v>0.14499999999999999</v>
      </c>
      <c r="AI539" s="349">
        <f>Drivers!AI188</f>
        <v>0.14499999999999999</v>
      </c>
      <c r="AJ539" s="349"/>
      <c r="AK539" s="349"/>
      <c r="AL539" s="349"/>
      <c r="AM539" s="349"/>
      <c r="AN539" s="349"/>
      <c r="AO539" s="349"/>
      <c r="AP539" s="349"/>
      <c r="AQ539" s="349"/>
      <c r="AS539" s="9"/>
      <c r="AT539" s="9" t="s">
        <v>199</v>
      </c>
      <c r="AU539" s="209">
        <f t="shared" ref="AU539:BA539" si="1178">AU538/AU537</f>
        <v>0.10945832779931071</v>
      </c>
      <c r="AV539" s="209">
        <f t="shared" si="1178"/>
        <v>0.16322330802479645</v>
      </c>
      <c r="AW539" s="209">
        <f t="shared" si="1178"/>
        <v>0.13716007988057649</v>
      </c>
      <c r="AX539" s="209">
        <f t="shared" si="1178"/>
        <v>0.14775072890241578</v>
      </c>
      <c r="AY539" s="209">
        <f t="shared" si="1178"/>
        <v>0.16758890372593196</v>
      </c>
      <c r="AZ539" s="209">
        <f t="shared" si="1178"/>
        <v>0.13329613225512008</v>
      </c>
      <c r="BA539" s="209">
        <f t="shared" si="1178"/>
        <v>0.13531206952168789</v>
      </c>
      <c r="BB539" s="209">
        <f t="shared" ref="BB539" si="1179">BB538/BB537</f>
        <v>0.14499999999999999</v>
      </c>
      <c r="BC539" s="349">
        <f>Drivers!BC188</f>
        <v>0.15</v>
      </c>
      <c r="BD539" s="349">
        <f>Drivers!BD188</f>
        <v>0.15</v>
      </c>
      <c r="BE539" s="349">
        <f>Drivers!BE188</f>
        <v>0.15</v>
      </c>
    </row>
    <row r="540" spans="1:74" x14ac:dyDescent="0.2">
      <c r="B540" s="9"/>
      <c r="D540" s="26"/>
      <c r="E540" s="26"/>
      <c r="F540" s="26"/>
      <c r="G540" s="26"/>
      <c r="H540" s="26"/>
      <c r="I540" s="26"/>
      <c r="J540" s="26"/>
      <c r="K540" s="26"/>
      <c r="L540" s="26"/>
      <c r="M540" s="26"/>
      <c r="N540" s="26"/>
      <c r="O540" s="26"/>
      <c r="P540" s="26"/>
      <c r="Q540" s="26"/>
      <c r="R540" s="26"/>
      <c r="S540" s="26"/>
      <c r="T540" s="26"/>
      <c r="U540" s="26"/>
      <c r="V540" s="26"/>
      <c r="W540" s="26"/>
      <c r="X540" s="26"/>
      <c r="Y540" s="26"/>
      <c r="Z540" s="26"/>
      <c r="AA540" s="26"/>
      <c r="AB540" s="26"/>
      <c r="AS540" s="9"/>
      <c r="AT540" s="9"/>
      <c r="BC540" s="9"/>
      <c r="BD540" s="1704"/>
      <c r="BE540" s="1702"/>
    </row>
    <row r="541" spans="1:74" s="72" customFormat="1" x14ac:dyDescent="0.2">
      <c r="A541" s="831"/>
      <c r="B541" s="382" t="s">
        <v>272</v>
      </c>
      <c r="C541" s="53"/>
      <c r="D541" s="50">
        <f t="shared" ref="D541:X541" si="1180">D469</f>
        <v>108</v>
      </c>
      <c r="E541" s="50">
        <f t="shared" si="1180"/>
        <v>196</v>
      </c>
      <c r="F541" s="50">
        <f t="shared" si="1180"/>
        <v>193</v>
      </c>
      <c r="G541" s="50">
        <f t="shared" si="1180"/>
        <v>201</v>
      </c>
      <c r="H541" s="50">
        <f t="shared" si="1180"/>
        <v>198</v>
      </c>
      <c r="I541" s="50">
        <f t="shared" si="1180"/>
        <v>207</v>
      </c>
      <c r="J541" s="50">
        <f t="shared" si="1180"/>
        <v>162</v>
      </c>
      <c r="K541" s="50">
        <f t="shared" si="1180"/>
        <v>256</v>
      </c>
      <c r="L541" s="50">
        <f t="shared" si="1180"/>
        <v>174</v>
      </c>
      <c r="M541" s="50">
        <f t="shared" si="1180"/>
        <v>190</v>
      </c>
      <c r="N541" s="50">
        <f t="shared" si="1180"/>
        <v>314</v>
      </c>
      <c r="O541" s="50">
        <f t="shared" si="1180"/>
        <v>260</v>
      </c>
      <c r="P541" s="50">
        <f t="shared" si="1180"/>
        <v>295</v>
      </c>
      <c r="Q541" s="50">
        <f t="shared" si="1180"/>
        <v>257</v>
      </c>
      <c r="R541" s="50">
        <f t="shared" si="1180"/>
        <v>239</v>
      </c>
      <c r="S541" s="50">
        <f t="shared" si="1180"/>
        <v>302</v>
      </c>
      <c r="T541" s="50">
        <f t="shared" si="1180"/>
        <v>227</v>
      </c>
      <c r="U541" s="50">
        <f t="shared" si="1180"/>
        <v>238</v>
      </c>
      <c r="V541" s="50">
        <f t="shared" si="1180"/>
        <v>239</v>
      </c>
      <c r="W541" s="50">
        <f t="shared" si="1180"/>
        <v>296</v>
      </c>
      <c r="X541" s="50">
        <f t="shared" si="1180"/>
        <v>249</v>
      </c>
      <c r="Y541" s="50">
        <f t="shared" ref="Y541:Z541" si="1181">Y469</f>
        <v>318</v>
      </c>
      <c r="Z541" s="50">
        <f t="shared" si="1181"/>
        <v>240</v>
      </c>
      <c r="AA541" s="50">
        <f t="shared" ref="AA541:AB541" si="1182">AA469</f>
        <v>316</v>
      </c>
      <c r="AB541" s="50">
        <f t="shared" si="1182"/>
        <v>215</v>
      </c>
      <c r="AC541" s="50">
        <f t="shared" ref="AC541:AE541" si="1183">AC538*AC542</f>
        <v>278.47066447200012</v>
      </c>
      <c r="AD541" s="50">
        <f t="shared" si="1183"/>
        <v>306.31773091920019</v>
      </c>
      <c r="AE541" s="50">
        <f t="shared" si="1183"/>
        <v>336.94950401112021</v>
      </c>
      <c r="AF541" s="50">
        <f t="shared" ref="AF541:AI541" si="1184">AF538*AF542</f>
        <v>348.98341486866019</v>
      </c>
      <c r="AG541" s="50">
        <f t="shared" si="1184"/>
        <v>338.51391242260036</v>
      </c>
      <c r="AH541" s="50">
        <f t="shared" si="1184"/>
        <v>331.74363417414833</v>
      </c>
      <c r="AI541" s="50">
        <f t="shared" si="1184"/>
        <v>325.10876149066542</v>
      </c>
      <c r="AJ541" s="50"/>
      <c r="AK541" s="50"/>
      <c r="AL541" s="50"/>
      <c r="AM541" s="50"/>
      <c r="AN541" s="50"/>
      <c r="AO541" s="50"/>
      <c r="AP541" s="50"/>
      <c r="AQ541" s="50"/>
      <c r="AR541" s="70"/>
      <c r="AS541" s="382" t="s">
        <v>272</v>
      </c>
      <c r="AT541" s="53"/>
      <c r="AU541" s="232">
        <f>SUM(D541:G541)</f>
        <v>698</v>
      </c>
      <c r="AV541" s="232">
        <f>SUM(H541:K541)</f>
        <v>823</v>
      </c>
      <c r="AW541" s="232">
        <f>SUM(L541:O541)</f>
        <v>938</v>
      </c>
      <c r="AX541" s="232">
        <f>SUM(P541:S541)</f>
        <v>1093</v>
      </c>
      <c r="AY541" s="232">
        <f>SUM(T541:W541)</f>
        <v>1000</v>
      </c>
      <c r="AZ541" s="232">
        <f>SUM(X541:AA541)</f>
        <v>1123</v>
      </c>
      <c r="BA541" s="232">
        <f>SUM(AB541:AE541)</f>
        <v>1136.7378994023206</v>
      </c>
      <c r="BB541" s="232">
        <f>SUM(AF541:AI541)</f>
        <v>1344.3497229560744</v>
      </c>
      <c r="BC541" s="50">
        <f>BC538*BC542</f>
        <v>1460.2419404522875</v>
      </c>
      <c r="BD541" s="50">
        <f>BD538*BD542</f>
        <v>1533.2540374749021</v>
      </c>
      <c r="BE541" s="50">
        <f>BE538*BE542</f>
        <v>1609.9167393486473</v>
      </c>
      <c r="BM541"/>
      <c r="BN541"/>
      <c r="BO541"/>
      <c r="BP541"/>
      <c r="BQ541"/>
      <c r="BR541"/>
    </row>
    <row r="542" spans="1:74" x14ac:dyDescent="0.2">
      <c r="B542" s="382"/>
      <c r="C542" s="9" t="s">
        <v>273</v>
      </c>
      <c r="D542" s="66">
        <f t="shared" ref="D542:X542" si="1185">D541/D538</f>
        <v>2.1986970684039087E-3</v>
      </c>
      <c r="E542" s="66">
        <f t="shared" si="1185"/>
        <v>2.4695713529723057E-3</v>
      </c>
      <c r="F542" s="66">
        <f t="shared" si="1185"/>
        <v>2.6147509889990787E-3</v>
      </c>
      <c r="G542" s="66">
        <f t="shared" si="1185"/>
        <v>2.5945527300890669E-3</v>
      </c>
      <c r="H542" s="66">
        <f t="shared" si="1185"/>
        <v>1.3540220609857007E-3</v>
      </c>
      <c r="I542" s="66">
        <f t="shared" si="1185"/>
        <v>1.6926838442730863E-3</v>
      </c>
      <c r="J542" s="66">
        <f t="shared" si="1185"/>
        <v>1.8566909641039746E-3</v>
      </c>
      <c r="K542" s="66">
        <f t="shared" si="1185"/>
        <v>2.7734743182778457E-3</v>
      </c>
      <c r="L542" s="66">
        <f t="shared" si="1185"/>
        <v>3.6696473764130252E-3</v>
      </c>
      <c r="M542" s="66">
        <f t="shared" si="1185"/>
        <v>2.4709018791859026E-3</v>
      </c>
      <c r="N542" s="66">
        <f t="shared" si="1185"/>
        <v>3.5353194172352449E-3</v>
      </c>
      <c r="O542" s="66">
        <f t="shared" si="1185"/>
        <v>1.2667848999239929E-3</v>
      </c>
      <c r="P542" s="66">
        <f t="shared" si="1185"/>
        <v>1.7382593836544693E-3</v>
      </c>
      <c r="Q542" s="66">
        <f t="shared" si="1185"/>
        <v>1.8888586736831275E-3</v>
      </c>
      <c r="R542" s="66">
        <f t="shared" si="1185"/>
        <v>1.3374295611104582E-3</v>
      </c>
      <c r="S542" s="66">
        <f t="shared" si="1185"/>
        <v>2.4192902347192182E-3</v>
      </c>
      <c r="T542" s="66">
        <f t="shared" si="1185"/>
        <v>1.287687551408231E-3</v>
      </c>
      <c r="U542" s="66">
        <f t="shared" si="1185"/>
        <v>1.2250801706876406E-3</v>
      </c>
      <c r="V542" s="66">
        <f t="shared" si="1185"/>
        <v>1.2463236060991636E-3</v>
      </c>
      <c r="W542" s="66">
        <f t="shared" si="1185"/>
        <v>3.3548299350568394E-3</v>
      </c>
      <c r="X542" s="66">
        <f t="shared" si="1185"/>
        <v>2.6279406022100033E-3</v>
      </c>
      <c r="Y542" s="66">
        <f t="shared" ref="Y542:Z542" si="1186">Y541/Y538</f>
        <v>1.7366420551356548E-3</v>
      </c>
      <c r="Z542" s="66">
        <f t="shared" si="1186"/>
        <v>3.3653509079436305E-3</v>
      </c>
      <c r="AA542" s="66">
        <f t="shared" ref="AA542:AB542" si="1187">AA541/AA538</f>
        <v>2.4818350877132355E-3</v>
      </c>
      <c r="AB542" s="66">
        <f t="shared" si="1187"/>
        <v>2.2122072683870438E-3</v>
      </c>
      <c r="AC542" s="775">
        <f>Drivers!AC193</f>
        <v>2.2000000000000001E-3</v>
      </c>
      <c r="AD542" s="775">
        <f>Drivers!AD193</f>
        <v>2.2000000000000001E-3</v>
      </c>
      <c r="AE542" s="775">
        <f>Drivers!AE193</f>
        <v>2.2000000000000001E-3</v>
      </c>
      <c r="AF542" s="775">
        <f>Drivers!AF193</f>
        <v>2.2000000000000001E-3</v>
      </c>
      <c r="AG542" s="775">
        <f>Drivers!AG193</f>
        <v>2.2000000000000001E-3</v>
      </c>
      <c r="AH542" s="775">
        <f>Drivers!AH193</f>
        <v>2.2000000000000001E-3</v>
      </c>
      <c r="AI542" s="775">
        <f>Drivers!AI193</f>
        <v>2.2000000000000001E-3</v>
      </c>
      <c r="AJ542" s="775"/>
      <c r="AK542" s="775"/>
      <c r="AL542" s="775"/>
      <c r="AM542" s="775"/>
      <c r="AN542" s="775"/>
      <c r="AO542" s="775"/>
      <c r="AP542" s="775"/>
      <c r="AQ542" s="775"/>
      <c r="AS542" s="382"/>
      <c r="AT542" s="9" t="s">
        <v>273</v>
      </c>
      <c r="AU542" s="230">
        <f t="shared" ref="AU542:BA542" si="1188">AU541/AU538</f>
        <v>2.494924365903177E-3</v>
      </c>
      <c r="AV542" s="230">
        <f t="shared" si="1188"/>
        <v>1.8367378821050847E-3</v>
      </c>
      <c r="AW542" s="230">
        <f t="shared" si="1188"/>
        <v>2.2420184858965566E-3</v>
      </c>
      <c r="AX542" s="230">
        <f t="shared" si="1188"/>
        <v>1.7938559203810262E-3</v>
      </c>
      <c r="AY542" s="230">
        <f t="shared" si="1188"/>
        <v>1.5371537753265298E-3</v>
      </c>
      <c r="AZ542" s="230">
        <f t="shared" si="1188"/>
        <v>2.356752570402789E-3</v>
      </c>
      <c r="BA542" s="230">
        <f t="shared" si="1188"/>
        <v>2.2022985131025536E-3</v>
      </c>
      <c r="BB542" s="230">
        <f t="shared" ref="BB542" si="1189">BB541/BB538</f>
        <v>2.2000000000000001E-3</v>
      </c>
      <c r="BC542" s="775">
        <f>Drivers!BC193</f>
        <v>2.2000000000000001E-3</v>
      </c>
      <c r="BD542" s="775">
        <f>Drivers!BD193</f>
        <v>2.2000000000000001E-3</v>
      </c>
      <c r="BE542" s="775">
        <f>Drivers!BE193</f>
        <v>2.2000000000000001E-3</v>
      </c>
    </row>
    <row r="543" spans="1:74" s="72" customFormat="1" x14ac:dyDescent="0.2">
      <c r="A543" s="831"/>
      <c r="B543" s="54"/>
      <c r="C543" s="53" t="s">
        <v>947</v>
      </c>
      <c r="D543" s="55" t="s">
        <v>229</v>
      </c>
      <c r="E543" s="56">
        <f t="shared" ref="E543:AE543" si="1190">E541/D541-1</f>
        <v>0.81481481481481488</v>
      </c>
      <c r="F543" s="56">
        <f t="shared" si="1190"/>
        <v>-1.5306122448979553E-2</v>
      </c>
      <c r="G543" s="56">
        <f t="shared" si="1190"/>
        <v>4.1450777202072464E-2</v>
      </c>
      <c r="H543" s="56">
        <f t="shared" si="1190"/>
        <v>-1.4925373134328401E-2</v>
      </c>
      <c r="I543" s="56">
        <f t="shared" si="1190"/>
        <v>4.5454545454545414E-2</v>
      </c>
      <c r="J543" s="56">
        <f t="shared" si="1190"/>
        <v>-0.21739130434782605</v>
      </c>
      <c r="K543" s="56">
        <f t="shared" si="1190"/>
        <v>0.58024691358024683</v>
      </c>
      <c r="L543" s="56">
        <f t="shared" si="1190"/>
        <v>-0.3203125</v>
      </c>
      <c r="M543" s="56">
        <f t="shared" si="1190"/>
        <v>9.1954022988505857E-2</v>
      </c>
      <c r="N543" s="56">
        <f t="shared" si="1190"/>
        <v>0.65263157894736845</v>
      </c>
      <c r="O543" s="56">
        <f t="shared" si="1190"/>
        <v>-0.17197452229299359</v>
      </c>
      <c r="P543" s="56">
        <f t="shared" si="1190"/>
        <v>0.13461538461538458</v>
      </c>
      <c r="Q543" s="56">
        <f t="shared" si="1190"/>
        <v>-0.12881355932203387</v>
      </c>
      <c r="R543" s="56">
        <f t="shared" si="1190"/>
        <v>-7.0038910505836549E-2</v>
      </c>
      <c r="S543" s="56">
        <f t="shared" si="1190"/>
        <v>0.26359832635983271</v>
      </c>
      <c r="T543" s="56">
        <f t="shared" si="1190"/>
        <v>-0.2483443708609272</v>
      </c>
      <c r="U543" s="56">
        <f t="shared" si="1190"/>
        <v>4.8458149779735615E-2</v>
      </c>
      <c r="V543" s="56">
        <f t="shared" si="1190"/>
        <v>4.2016806722688926E-3</v>
      </c>
      <c r="W543" s="56">
        <f t="shared" si="1190"/>
        <v>0.23849372384937229</v>
      </c>
      <c r="X543" s="56">
        <f t="shared" si="1190"/>
        <v>-0.15878378378378377</v>
      </c>
      <c r="Y543" s="56">
        <f t="shared" si="1190"/>
        <v>0.27710843373493965</v>
      </c>
      <c r="Z543" s="56">
        <f t="shared" si="1190"/>
        <v>-0.24528301886792447</v>
      </c>
      <c r="AA543" s="56">
        <f t="shared" si="1190"/>
        <v>0.31666666666666665</v>
      </c>
      <c r="AB543" s="56">
        <f t="shared" si="1190"/>
        <v>-0.319620253164557</v>
      </c>
      <c r="AC543" s="56">
        <f t="shared" si="1190"/>
        <v>0.29521239289302392</v>
      </c>
      <c r="AD543" s="56">
        <f t="shared" si="1190"/>
        <v>0.10000000000000009</v>
      </c>
      <c r="AE543" s="56">
        <f t="shared" si="1190"/>
        <v>0.10000000000000009</v>
      </c>
      <c r="AF543" s="56">
        <f t="shared" ref="AF543" si="1191">AF541/AE541-1</f>
        <v>3.5714285714285587E-2</v>
      </c>
      <c r="AG543" s="56">
        <f t="shared" ref="AG543" si="1192">AG541/AF541-1</f>
        <v>-3.0000000000000138E-2</v>
      </c>
      <c r="AH543" s="56">
        <f t="shared" ref="AH543" si="1193">AH541/AG541-1</f>
        <v>-2.0000000000000018E-2</v>
      </c>
      <c r="AI543" s="56">
        <f t="shared" ref="AI543" si="1194">AI541/AH541-1</f>
        <v>-1.9999999999999796E-2</v>
      </c>
      <c r="AJ543" s="56"/>
      <c r="AK543" s="56"/>
      <c r="AL543" s="56"/>
      <c r="AM543" s="56"/>
      <c r="AN543" s="56"/>
      <c r="AO543" s="56"/>
      <c r="AP543" s="56"/>
      <c r="AQ543" s="56"/>
      <c r="AR543" s="70"/>
      <c r="AS543" s="54"/>
      <c r="AT543" s="53" t="s">
        <v>948</v>
      </c>
      <c r="AV543" s="279">
        <f t="shared" ref="AV543:BE543" si="1195">AV541/AU541-1</f>
        <v>0.1790830945558739</v>
      </c>
      <c r="AW543" s="279">
        <f t="shared" si="1195"/>
        <v>0.13973268529769145</v>
      </c>
      <c r="AX543" s="279">
        <f t="shared" si="1195"/>
        <v>0.16524520255863528</v>
      </c>
      <c r="AY543" s="279">
        <f t="shared" si="1195"/>
        <v>-8.5086916742909469E-2</v>
      </c>
      <c r="AZ543" s="279">
        <f t="shared" si="1195"/>
        <v>0.123</v>
      </c>
      <c r="BA543" s="279">
        <f t="shared" si="1195"/>
        <v>1.2233214071523335E-2</v>
      </c>
      <c r="BB543" s="279">
        <f t="shared" si="1195"/>
        <v>0.18263825254960953</v>
      </c>
      <c r="BC543" s="56">
        <f t="shared" si="1195"/>
        <v>8.6206896551723977E-2</v>
      </c>
      <c r="BD543" s="56">
        <f t="shared" si="1195"/>
        <v>5.0000000000000266E-2</v>
      </c>
      <c r="BE543" s="56">
        <f t="shared" si="1195"/>
        <v>5.0000000000000044E-2</v>
      </c>
      <c r="BM543"/>
      <c r="BN543"/>
      <c r="BO543"/>
      <c r="BP543"/>
      <c r="BQ543"/>
      <c r="BR543"/>
    </row>
    <row r="544" spans="1:74" s="72" customFormat="1" x14ac:dyDescent="0.2">
      <c r="A544" s="831"/>
      <c r="B544" s="54"/>
      <c r="C544" s="53" t="s">
        <v>948</v>
      </c>
      <c r="D544" s="55"/>
      <c r="E544" s="56"/>
      <c r="F544" s="56"/>
      <c r="G544" s="56"/>
      <c r="H544" s="56">
        <f t="shared" ref="H544:AE544" si="1196">H541/D541-1</f>
        <v>0.83333333333333326</v>
      </c>
      <c r="I544" s="56">
        <f t="shared" si="1196"/>
        <v>5.6122448979591733E-2</v>
      </c>
      <c r="J544" s="56">
        <f t="shared" si="1196"/>
        <v>-0.1606217616580311</v>
      </c>
      <c r="K544" s="56">
        <f t="shared" si="1196"/>
        <v>0.27363184079601988</v>
      </c>
      <c r="L544" s="56">
        <f t="shared" si="1196"/>
        <v>-0.12121212121212122</v>
      </c>
      <c r="M544" s="56">
        <f t="shared" si="1196"/>
        <v>-8.2125603864734331E-2</v>
      </c>
      <c r="N544" s="56">
        <f t="shared" si="1196"/>
        <v>0.93827160493827155</v>
      </c>
      <c r="O544" s="56">
        <f t="shared" si="1196"/>
        <v>1.5625E-2</v>
      </c>
      <c r="P544" s="56">
        <f t="shared" si="1196"/>
        <v>0.69540229885057481</v>
      </c>
      <c r="Q544" s="56">
        <f t="shared" si="1196"/>
        <v>0.35263157894736841</v>
      </c>
      <c r="R544" s="56">
        <f t="shared" si="1196"/>
        <v>-0.23885350318471332</v>
      </c>
      <c r="S544" s="56">
        <f t="shared" si="1196"/>
        <v>0.16153846153846163</v>
      </c>
      <c r="T544" s="56">
        <f t="shared" si="1196"/>
        <v>-0.23050847457627122</v>
      </c>
      <c r="U544" s="56">
        <f t="shared" si="1196"/>
        <v>-7.3929961089494123E-2</v>
      </c>
      <c r="V544" s="56">
        <f t="shared" si="1196"/>
        <v>0</v>
      </c>
      <c r="W544" s="56">
        <f t="shared" si="1196"/>
        <v>-1.9867549668874163E-2</v>
      </c>
      <c r="X544" s="56">
        <f t="shared" si="1196"/>
        <v>9.6916299559471453E-2</v>
      </c>
      <c r="Y544" s="56">
        <f t="shared" si="1196"/>
        <v>0.33613445378151252</v>
      </c>
      <c r="Z544" s="56">
        <f t="shared" si="1196"/>
        <v>4.1841004184099972E-3</v>
      </c>
      <c r="AA544" s="56">
        <f t="shared" si="1196"/>
        <v>6.7567567567567544E-2</v>
      </c>
      <c r="AB544" s="56">
        <f t="shared" si="1196"/>
        <v>-0.13654618473895586</v>
      </c>
      <c r="AC544" s="56">
        <f t="shared" si="1196"/>
        <v>-0.12430608656603737</v>
      </c>
      <c r="AD544" s="56">
        <f t="shared" si="1196"/>
        <v>0.27632387883000087</v>
      </c>
      <c r="AE544" s="56">
        <f t="shared" si="1196"/>
        <v>6.6295898769367811E-2</v>
      </c>
      <c r="AF544" s="56">
        <f t="shared" ref="AF544" si="1197">AF541/AB541-1</f>
        <v>0.62317867380772185</v>
      </c>
      <c r="AG544" s="56">
        <f t="shared" ref="AG544" si="1198">AG541/AC541-1</f>
        <v>0.21561785714285708</v>
      </c>
      <c r="AH544" s="56">
        <f t="shared" ref="AH544" si="1199">AH541/AD541-1</f>
        <v>8.3004999999999773E-2</v>
      </c>
      <c r="AI544" s="56">
        <f t="shared" ref="AI544" si="1200">AI541/AE541-1</f>
        <v>-3.5141000000000089E-2</v>
      </c>
      <c r="AJ544" s="56"/>
      <c r="AK544" s="56"/>
      <c r="AL544" s="56"/>
      <c r="AM544" s="56"/>
      <c r="AN544" s="56"/>
      <c r="AO544" s="56"/>
      <c r="AP544" s="56"/>
      <c r="AQ544" s="56"/>
      <c r="AR544" s="70"/>
      <c r="AS544" s="54"/>
      <c r="AT544" s="53" t="s">
        <v>948</v>
      </c>
      <c r="AV544" s="279">
        <f t="shared" ref="AV544:BE544" si="1201">AV541/AU541-1</f>
        <v>0.1790830945558739</v>
      </c>
      <c r="AW544" s="279">
        <f t="shared" si="1201"/>
        <v>0.13973268529769145</v>
      </c>
      <c r="AX544" s="279">
        <f t="shared" si="1201"/>
        <v>0.16524520255863528</v>
      </c>
      <c r="AY544" s="279">
        <f t="shared" si="1201"/>
        <v>-8.5086916742909469E-2</v>
      </c>
      <c r="AZ544" s="279">
        <f t="shared" si="1201"/>
        <v>0.123</v>
      </c>
      <c r="BA544" s="279">
        <f t="shared" si="1201"/>
        <v>1.2233214071523335E-2</v>
      </c>
      <c r="BB544" s="279">
        <f t="shared" si="1201"/>
        <v>0.18263825254960953</v>
      </c>
      <c r="BC544" s="56">
        <f t="shared" si="1201"/>
        <v>8.6206896551723977E-2</v>
      </c>
      <c r="BD544" s="56">
        <f t="shared" si="1201"/>
        <v>5.0000000000000266E-2</v>
      </c>
      <c r="BE544" s="56">
        <f t="shared" si="1201"/>
        <v>5.0000000000000044E-2</v>
      </c>
      <c r="BM544"/>
      <c r="BN544"/>
      <c r="BO544"/>
      <c r="BP544"/>
      <c r="BQ544"/>
      <c r="BR544"/>
    </row>
    <row r="545" spans="1:74" s="72" customFormat="1" x14ac:dyDescent="0.2">
      <c r="A545" s="831"/>
      <c r="B545" s="52"/>
      <c r="C545" s="53"/>
      <c r="D545" s="53"/>
      <c r="E545" s="53"/>
      <c r="F545" s="53"/>
      <c r="G545" s="53"/>
      <c r="H545" s="53"/>
      <c r="I545" s="53"/>
      <c r="J545" s="53"/>
      <c r="K545" s="53"/>
      <c r="L545" s="53"/>
      <c r="M545" s="53"/>
      <c r="N545" s="53"/>
      <c r="O545" s="53"/>
      <c r="P545" s="53"/>
      <c r="Q545" s="53"/>
      <c r="R545" s="53"/>
      <c r="S545" s="53"/>
      <c r="T545" s="53"/>
      <c r="U545" s="53"/>
      <c r="V545" s="53"/>
      <c r="W545" s="53"/>
      <c r="X545" s="53"/>
      <c r="Y545" s="53"/>
      <c r="Z545" s="53"/>
      <c r="AA545" s="53"/>
      <c r="AB545" s="53"/>
      <c r="AC545" s="53"/>
      <c r="AD545" s="53"/>
      <c r="AE545" s="53"/>
      <c r="AF545" s="53"/>
      <c r="AG545" s="53"/>
      <c r="AH545" s="53"/>
      <c r="AI545" s="53"/>
      <c r="AJ545" s="53"/>
      <c r="AK545" s="53"/>
      <c r="AL545" s="53"/>
      <c r="AM545" s="53"/>
      <c r="AN545" s="53"/>
      <c r="AO545" s="53"/>
      <c r="AP545" s="53"/>
      <c r="AQ545" s="53"/>
      <c r="AR545" s="70"/>
      <c r="AS545" s="52"/>
      <c r="AT545" s="53"/>
      <c r="BM545"/>
      <c r="BN545"/>
      <c r="BO545"/>
      <c r="BP545"/>
      <c r="BQ545"/>
      <c r="BR545"/>
    </row>
    <row r="546" spans="1:74" s="72" customFormat="1" x14ac:dyDescent="0.2">
      <c r="A546" s="831"/>
      <c r="B546" s="574" t="s">
        <v>270</v>
      </c>
      <c r="C546" s="12"/>
      <c r="D546" s="58"/>
      <c r="E546" s="58"/>
      <c r="F546" s="58"/>
      <c r="G546" s="58"/>
      <c r="H546" s="58"/>
      <c r="I546" s="58"/>
      <c r="J546" s="58"/>
      <c r="K546" s="58"/>
      <c r="L546" s="58"/>
      <c r="M546" s="58"/>
      <c r="N546" s="58"/>
      <c r="O546" s="58"/>
      <c r="P546" s="58"/>
      <c r="Q546" s="58"/>
      <c r="R546" s="58"/>
      <c r="S546" s="58"/>
      <c r="T546" s="58"/>
      <c r="U546" s="58"/>
      <c r="V546" s="58"/>
      <c r="W546" s="58"/>
      <c r="X546" s="58"/>
      <c r="Y546" s="58"/>
      <c r="Z546" s="58"/>
      <c r="AA546" s="58"/>
      <c r="AB546" s="58"/>
      <c r="AC546" s="57"/>
      <c r="AD546" s="57"/>
      <c r="AE546" s="57"/>
      <c r="AF546" s="57"/>
      <c r="AG546" s="57"/>
      <c r="AH546" s="57"/>
      <c r="AI546" s="57"/>
      <c r="AJ546" s="57"/>
      <c r="AK546" s="57"/>
      <c r="AL546" s="57"/>
      <c r="AM546" s="57"/>
      <c r="AN546" s="57"/>
      <c r="AO546" s="57"/>
      <c r="AP546" s="57"/>
      <c r="AQ546" s="57"/>
      <c r="AR546" s="70"/>
      <c r="AS546" s="574" t="s">
        <v>270</v>
      </c>
      <c r="AT546" s="12"/>
      <c r="AU546" s="58"/>
      <c r="AV546" s="58"/>
      <c r="AW546" s="58"/>
      <c r="AX546" s="58"/>
      <c r="AY546" s="58"/>
      <c r="AZ546" s="58"/>
      <c r="BA546" s="58"/>
      <c r="BB546" s="58"/>
      <c r="BC546" s="58"/>
      <c r="BD546" s="58"/>
      <c r="BE546" s="58"/>
      <c r="BF546" s="23"/>
      <c r="BG546" s="23"/>
      <c r="BH546" s="23"/>
      <c r="BI546" s="23"/>
      <c r="BJ546" s="23"/>
      <c r="BK546" s="23"/>
      <c r="BL546" s="23"/>
      <c r="BM546"/>
      <c r="BN546"/>
      <c r="BO546"/>
      <c r="BP546"/>
      <c r="BQ546"/>
      <c r="BR546"/>
      <c r="BS546" s="38"/>
      <c r="BT546" s="38"/>
      <c r="BU546" s="38"/>
      <c r="BV546" s="38"/>
    </row>
    <row r="547" spans="1:74" s="72" customFormat="1" x14ac:dyDescent="0.2">
      <c r="A547" s="831"/>
      <c r="B547" s="319" t="s">
        <v>268</v>
      </c>
      <c r="C547" s="15"/>
      <c r="D547" s="386">
        <v>160952.79999999999</v>
      </c>
      <c r="E547" s="386">
        <v>136422.93</v>
      </c>
      <c r="F547" s="386">
        <v>185123.47</v>
      </c>
      <c r="G547" s="386">
        <v>180982.19999999998</v>
      </c>
      <c r="H547" s="386">
        <v>199210.41</v>
      </c>
      <c r="I547" s="386">
        <v>205837.76</v>
      </c>
      <c r="J547" s="386">
        <v>157717.18</v>
      </c>
      <c r="K547" s="386">
        <v>272256.19</v>
      </c>
      <c r="L547" s="386">
        <v>201212.99</v>
      </c>
      <c r="M547" s="386">
        <v>294119.54000000004</v>
      </c>
      <c r="N547" s="386">
        <v>229541.21</v>
      </c>
      <c r="O547" s="386">
        <v>212249.54</v>
      </c>
      <c r="P547" s="386">
        <v>260906.33999999997</v>
      </c>
      <c r="Q547" s="386">
        <v>289539.42</v>
      </c>
      <c r="R547" s="386">
        <v>146860.41999999998</v>
      </c>
      <c r="S547" s="386">
        <v>216094.46000000002</v>
      </c>
      <c r="T547" s="386">
        <v>138396.24</v>
      </c>
      <c r="U547" s="386">
        <v>197164.13000000003</v>
      </c>
      <c r="V547" s="386">
        <v>206475.62000000002</v>
      </c>
      <c r="W547" s="386">
        <v>184649.69</v>
      </c>
      <c r="X547" s="386">
        <v>220329.46</v>
      </c>
      <c r="Y547" s="386">
        <v>226194.63</v>
      </c>
      <c r="Z547" s="386">
        <v>201474.37999999998</v>
      </c>
      <c r="AA547" s="386">
        <v>224559.47999999998</v>
      </c>
      <c r="AB547" s="386">
        <v>201372.42272727273</v>
      </c>
      <c r="AC547" s="386">
        <v>225537.11345454547</v>
      </c>
      <c r="AD547" s="386">
        <v>225537.11345454547</v>
      </c>
      <c r="AE547" s="386">
        <v>236813.96912727275</v>
      </c>
      <c r="AF547" s="386">
        <v>241550.24850981822</v>
      </c>
      <c r="AG547" s="386">
        <v>246381.25348001459</v>
      </c>
      <c r="AH547" s="386">
        <v>251308.87854961489</v>
      </c>
      <c r="AI547" s="386">
        <v>256335.05612060719</v>
      </c>
      <c r="AJ547" s="386"/>
      <c r="AK547" s="386"/>
      <c r="AL547" s="386"/>
      <c r="AM547" s="386"/>
      <c r="AN547" s="386"/>
      <c r="AO547" s="386"/>
      <c r="AP547" s="386"/>
      <c r="AQ547" s="386"/>
      <c r="AR547" s="70"/>
      <c r="AS547" s="319" t="s">
        <v>268</v>
      </c>
      <c r="AT547" s="15"/>
      <c r="AU547" s="232">
        <f>SUM(D547:G547)</f>
        <v>663481.39999999991</v>
      </c>
      <c r="AV547" s="232">
        <f>SUM(H547:K547)</f>
        <v>835021.54</v>
      </c>
      <c r="AW547" s="232">
        <f>SUM(L547:O547)</f>
        <v>937123.28</v>
      </c>
      <c r="AX547" s="232">
        <f>SUM(P547:S547)</f>
        <v>913400.6399999999</v>
      </c>
      <c r="AY547" s="232">
        <f>SUM(T547:W547)</f>
        <v>726685.67999999993</v>
      </c>
      <c r="AZ547" s="232">
        <f>SUM(X547:AA547)</f>
        <v>872557.95</v>
      </c>
      <c r="BA547" s="232">
        <f>SUM(AB547:AE547)</f>
        <v>889260.61876363645</v>
      </c>
      <c r="BB547" s="232">
        <f>SUM(AF547:AI547)</f>
        <v>995575.43666005495</v>
      </c>
      <c r="BC547" s="576">
        <v>1045354.2084930578</v>
      </c>
      <c r="BD547" s="576">
        <v>1097621.9189177107</v>
      </c>
      <c r="BE547" s="576">
        <v>1152503.0148635963</v>
      </c>
      <c r="BM547"/>
      <c r="BN547"/>
      <c r="BO547"/>
      <c r="BP547"/>
      <c r="BQ547"/>
      <c r="BR547"/>
    </row>
    <row r="548" spans="1:74" s="72" customFormat="1" x14ac:dyDescent="0.2">
      <c r="A548" s="831"/>
      <c r="B548" s="9" t="s">
        <v>269</v>
      </c>
      <c r="C548" s="9"/>
      <c r="D548" s="560">
        <v>14204</v>
      </c>
      <c r="E548" s="560">
        <v>12009</v>
      </c>
      <c r="F548" s="560">
        <v>13590</v>
      </c>
      <c r="G548" s="560">
        <v>14891</v>
      </c>
      <c r="H548" s="560">
        <v>14971</v>
      </c>
      <c r="I548" s="560">
        <v>15016</v>
      </c>
      <c r="J548" s="560">
        <v>8128</v>
      </c>
      <c r="K548" s="560">
        <v>15027</v>
      </c>
      <c r="L548" s="560">
        <v>10879</v>
      </c>
      <c r="M548" s="560">
        <v>21168</v>
      </c>
      <c r="N548" s="560">
        <v>19399</v>
      </c>
      <c r="O548" s="560">
        <v>11200</v>
      </c>
      <c r="P548" s="560">
        <v>13531</v>
      </c>
      <c r="Q548" s="560">
        <v>15112</v>
      </c>
      <c r="R548" s="560">
        <v>7657</v>
      </c>
      <c r="S548" s="560">
        <v>11106</v>
      </c>
      <c r="T548" s="560">
        <v>5706</v>
      </c>
      <c r="U548" s="560">
        <v>13762</v>
      </c>
      <c r="V548" s="560">
        <v>6596</v>
      </c>
      <c r="W548" s="560">
        <v>8386</v>
      </c>
      <c r="X548" s="560">
        <v>11658</v>
      </c>
      <c r="Y548" s="560">
        <v>15548</v>
      </c>
      <c r="Z548" s="560">
        <v>10524</v>
      </c>
      <c r="AA548" s="560">
        <v>8466</v>
      </c>
      <c r="AB548" s="560">
        <v>16698</v>
      </c>
      <c r="AC548" s="69">
        <f t="shared" ref="AC548:AE548" si="1202">AC549*AC547</f>
        <v>12404.54124</v>
      </c>
      <c r="AD548" s="69">
        <f t="shared" si="1202"/>
        <v>12404.54124</v>
      </c>
      <c r="AE548" s="69">
        <f t="shared" si="1202"/>
        <v>13024.768302000002</v>
      </c>
      <c r="AF548" s="69">
        <f t="shared" ref="AF548:AI548" si="1203">AF549*AF547</f>
        <v>14493.014910589092</v>
      </c>
      <c r="AG548" s="69">
        <f t="shared" si="1203"/>
        <v>14782.875208800875</v>
      </c>
      <c r="AH548" s="69">
        <f t="shared" si="1203"/>
        <v>15078.532712976892</v>
      </c>
      <c r="AI548" s="69">
        <f t="shared" si="1203"/>
        <v>15380.10336723643</v>
      </c>
      <c r="AJ548" s="69"/>
      <c r="AK548" s="69"/>
      <c r="AL548" s="69"/>
      <c r="AM548" s="69"/>
      <c r="AN548" s="69"/>
      <c r="AO548" s="69"/>
      <c r="AP548" s="69"/>
      <c r="AQ548" s="69"/>
      <c r="AR548" s="70"/>
      <c r="AS548" s="9" t="s">
        <v>269</v>
      </c>
      <c r="AT548" s="9"/>
      <c r="AU548" s="232">
        <f>SUM(D548:G548)</f>
        <v>54694</v>
      </c>
      <c r="AV548" s="232">
        <f>SUM(H548:K548)</f>
        <v>53142</v>
      </c>
      <c r="AW548" s="232">
        <f>SUM(L548:O548)</f>
        <v>62646</v>
      </c>
      <c r="AX548" s="232">
        <f>SUM(P548:S548)</f>
        <v>47406</v>
      </c>
      <c r="AY548" s="232">
        <f>SUM(T548:W548)</f>
        <v>34450</v>
      </c>
      <c r="AZ548" s="232">
        <f>SUM(X548:AA548)</f>
        <v>46196</v>
      </c>
      <c r="BA548" s="232">
        <f>SUM(AB548:AE548)</f>
        <v>54531.850782000001</v>
      </c>
      <c r="BB548" s="232">
        <f>SUM(AF548:AI548)</f>
        <v>59734.526199603286</v>
      </c>
      <c r="BC548" s="69">
        <f>BC549*BC547</f>
        <v>67948.023552048762</v>
      </c>
      <c r="BD548" s="69">
        <f>BD549*BD547</f>
        <v>76833.53432423975</v>
      </c>
      <c r="BE548" s="69">
        <f>BE549*BE547</f>
        <v>80675.211040451744</v>
      </c>
      <c r="BM548"/>
      <c r="BN548"/>
      <c r="BO548"/>
      <c r="BP548"/>
      <c r="BQ548"/>
      <c r="BR548"/>
    </row>
    <row r="549" spans="1:74" s="72" customFormat="1" x14ac:dyDescent="0.2">
      <c r="A549" s="831"/>
      <c r="B549" s="9"/>
      <c r="C549" s="9" t="s">
        <v>199</v>
      </c>
      <c r="D549" s="26">
        <f t="shared" ref="D549:X549" si="1204">D548/D547</f>
        <v>8.8249474380066709E-2</v>
      </c>
      <c r="E549" s="26">
        <f t="shared" si="1204"/>
        <v>8.8027723785143744E-2</v>
      </c>
      <c r="F549" s="26">
        <f t="shared" si="1204"/>
        <v>7.3410464918359619E-2</v>
      </c>
      <c r="G549" s="26">
        <f t="shared" si="1204"/>
        <v>8.2278809739300338E-2</v>
      </c>
      <c r="H549" s="26">
        <f t="shared" si="1204"/>
        <v>7.5151695134807461E-2</v>
      </c>
      <c r="I549" s="26">
        <f t="shared" si="1204"/>
        <v>7.2950657838484048E-2</v>
      </c>
      <c r="J549" s="26">
        <f t="shared" si="1204"/>
        <v>5.1535286136868544E-2</v>
      </c>
      <c r="K549" s="26">
        <f t="shared" si="1204"/>
        <v>5.5194337362908075E-2</v>
      </c>
      <c r="L549" s="26">
        <f t="shared" si="1204"/>
        <v>5.4067085827808635E-2</v>
      </c>
      <c r="M549" s="26">
        <f t="shared" si="1204"/>
        <v>7.1970736796337975E-2</v>
      </c>
      <c r="N549" s="26">
        <f t="shared" si="1204"/>
        <v>8.4512057769495941E-2</v>
      </c>
      <c r="O549" s="26">
        <f t="shared" si="1204"/>
        <v>5.2768076670507744E-2</v>
      </c>
      <c r="P549" s="26">
        <f t="shared" si="1204"/>
        <v>5.1861522414518565E-2</v>
      </c>
      <c r="Q549" s="26">
        <f t="shared" si="1204"/>
        <v>5.219323848890766E-2</v>
      </c>
      <c r="R549" s="26">
        <f t="shared" si="1204"/>
        <v>5.213794159106995E-2</v>
      </c>
      <c r="S549" s="26">
        <f t="shared" si="1204"/>
        <v>5.1394191225448346E-2</v>
      </c>
      <c r="T549" s="26">
        <f t="shared" si="1204"/>
        <v>4.1229443805698769E-2</v>
      </c>
      <c r="U549" s="26">
        <f t="shared" si="1204"/>
        <v>6.9799714582972058E-2</v>
      </c>
      <c r="V549" s="26">
        <f t="shared" si="1204"/>
        <v>3.194566021886748E-2</v>
      </c>
      <c r="W549" s="26">
        <f t="shared" si="1204"/>
        <v>4.5415727478340204E-2</v>
      </c>
      <c r="X549" s="26">
        <f t="shared" si="1204"/>
        <v>5.2911671457825021E-2</v>
      </c>
      <c r="Y549" s="26">
        <f t="shared" ref="Y549:Z549" si="1205">Y548/Y547</f>
        <v>6.8737264010202193E-2</v>
      </c>
      <c r="Z549" s="26">
        <f t="shared" si="1205"/>
        <v>5.2234929324512631E-2</v>
      </c>
      <c r="AA549" s="26">
        <f t="shared" ref="AA549:AB549" si="1206">AA548/AA547</f>
        <v>3.7700479178166962E-2</v>
      </c>
      <c r="AB549" s="26">
        <f t="shared" si="1206"/>
        <v>8.2920986765972496E-2</v>
      </c>
      <c r="AC549" s="349">
        <f>Drivers!AC189</f>
        <v>5.5E-2</v>
      </c>
      <c r="AD549" s="349">
        <f>Drivers!AD189</f>
        <v>5.5E-2</v>
      </c>
      <c r="AE549" s="349">
        <f>Drivers!AE189</f>
        <v>5.5E-2</v>
      </c>
      <c r="AF549" s="349">
        <f>Drivers!AF189</f>
        <v>0.06</v>
      </c>
      <c r="AG549" s="349">
        <f>Drivers!AG189</f>
        <v>0.06</v>
      </c>
      <c r="AH549" s="349">
        <f>Drivers!AH189</f>
        <v>0.06</v>
      </c>
      <c r="AI549" s="349">
        <f>Drivers!AI189</f>
        <v>0.06</v>
      </c>
      <c r="AJ549" s="349"/>
      <c r="AK549" s="349"/>
      <c r="AL549" s="349"/>
      <c r="AM549" s="349"/>
      <c r="AN549" s="349"/>
      <c r="AO549" s="349"/>
      <c r="AP549" s="349"/>
      <c r="AQ549" s="349"/>
      <c r="AR549" s="70"/>
      <c r="AS549" s="9"/>
      <c r="AT549" s="9" t="s">
        <v>199</v>
      </c>
      <c r="AU549" s="209">
        <f t="shared" ref="AU549:BA549" si="1207">AU548/AU547</f>
        <v>8.243486554408308E-2</v>
      </c>
      <c r="AV549" s="209">
        <f t="shared" si="1207"/>
        <v>6.3641472051128162E-2</v>
      </c>
      <c r="AW549" s="209">
        <f t="shared" si="1207"/>
        <v>6.6849262351053748E-2</v>
      </c>
      <c r="AX549" s="209">
        <f t="shared" si="1207"/>
        <v>5.1900554832105227E-2</v>
      </c>
      <c r="AY549" s="209">
        <f t="shared" si="1207"/>
        <v>4.7407016469624121E-2</v>
      </c>
      <c r="AZ549" s="209">
        <f t="shared" si="1207"/>
        <v>5.294318847246765E-2</v>
      </c>
      <c r="BA549" s="209">
        <f t="shared" si="1207"/>
        <v>6.1322687220555359E-2</v>
      </c>
      <c r="BB549" s="209">
        <f t="shared" ref="BB549" si="1208">BB548/BB547</f>
        <v>5.9999999999999991E-2</v>
      </c>
      <c r="BC549" s="349">
        <f>Drivers!BC189</f>
        <v>6.5000000000000002E-2</v>
      </c>
      <c r="BD549" s="349">
        <f>Drivers!BD189</f>
        <v>7.0000000000000007E-2</v>
      </c>
      <c r="BE549" s="349">
        <f>Drivers!BE189</f>
        <v>7.0000000000000007E-2</v>
      </c>
      <c r="BM549"/>
      <c r="BN549"/>
      <c r="BO549"/>
      <c r="BP549"/>
      <c r="BQ549"/>
      <c r="BR549"/>
    </row>
    <row r="550" spans="1:74" s="72" customFormat="1" x14ac:dyDescent="0.2">
      <c r="A550" s="831"/>
      <c r="B550" s="9"/>
      <c r="C550" s="9"/>
      <c r="D550" s="26"/>
      <c r="E550" s="26"/>
      <c r="F550" s="26"/>
      <c r="G550" s="26"/>
      <c r="H550" s="26"/>
      <c r="I550" s="26"/>
      <c r="J550" s="26"/>
      <c r="K550" s="26"/>
      <c r="L550" s="26"/>
      <c r="M550" s="26"/>
      <c r="N550" s="26"/>
      <c r="O550" s="26"/>
      <c r="P550" s="26"/>
      <c r="Q550" s="26"/>
      <c r="R550" s="26"/>
      <c r="S550" s="26"/>
      <c r="T550" s="26"/>
      <c r="U550" s="26"/>
      <c r="V550" s="26"/>
      <c r="W550" s="26"/>
      <c r="X550" s="26"/>
      <c r="Y550" s="26"/>
      <c r="Z550" s="26"/>
      <c r="AA550" s="26"/>
      <c r="AB550" s="26"/>
      <c r="AC550" s="53"/>
      <c r="AD550" s="53"/>
      <c r="AE550" s="53"/>
      <c r="AF550" s="53"/>
      <c r="AG550" s="53"/>
      <c r="AH550" s="53"/>
      <c r="AI550" s="53"/>
      <c r="AJ550" s="53"/>
      <c r="AK550" s="53"/>
      <c r="AL550" s="53"/>
      <c r="AM550" s="53"/>
      <c r="AN550" s="53"/>
      <c r="AO550" s="53"/>
      <c r="AP550" s="53"/>
      <c r="AQ550" s="53"/>
      <c r="AR550" s="70"/>
      <c r="AS550" s="9"/>
      <c r="AT550" s="9"/>
      <c r="BC550" s="53"/>
      <c r="BD550" s="53"/>
      <c r="BE550" s="53"/>
      <c r="BM550"/>
      <c r="BN550"/>
      <c r="BO550"/>
      <c r="BP550"/>
      <c r="BQ550"/>
      <c r="BR550"/>
    </row>
    <row r="551" spans="1:74" s="72" customFormat="1" x14ac:dyDescent="0.2">
      <c r="A551" s="831"/>
      <c r="B551" s="382" t="s">
        <v>272</v>
      </c>
      <c r="C551" s="53"/>
      <c r="D551" s="50">
        <f t="shared" ref="D551:X551" si="1209">D470</f>
        <v>169</v>
      </c>
      <c r="E551" s="50">
        <f t="shared" si="1209"/>
        <v>207</v>
      </c>
      <c r="F551" s="50">
        <f t="shared" si="1209"/>
        <v>171</v>
      </c>
      <c r="G551" s="50">
        <f t="shared" si="1209"/>
        <v>185</v>
      </c>
      <c r="H551" s="50">
        <f t="shared" si="1209"/>
        <v>251</v>
      </c>
      <c r="I551" s="50">
        <f t="shared" si="1209"/>
        <v>307</v>
      </c>
      <c r="J551" s="50">
        <f t="shared" si="1209"/>
        <v>200</v>
      </c>
      <c r="K551" s="50">
        <f t="shared" si="1209"/>
        <v>311</v>
      </c>
      <c r="L551" s="50">
        <f t="shared" si="1209"/>
        <v>299</v>
      </c>
      <c r="M551" s="50">
        <f t="shared" si="1209"/>
        <v>399</v>
      </c>
      <c r="N551" s="50">
        <f t="shared" si="1209"/>
        <v>300</v>
      </c>
      <c r="O551" s="50">
        <f t="shared" si="1209"/>
        <v>252</v>
      </c>
      <c r="P551" s="50">
        <f t="shared" si="1209"/>
        <v>231</v>
      </c>
      <c r="Q551" s="50">
        <f t="shared" si="1209"/>
        <v>296</v>
      </c>
      <c r="R551" s="50">
        <f t="shared" si="1209"/>
        <v>173</v>
      </c>
      <c r="S551" s="50">
        <f t="shared" si="1209"/>
        <v>206</v>
      </c>
      <c r="T551" s="50">
        <f t="shared" si="1209"/>
        <v>118</v>
      </c>
      <c r="U551" s="50">
        <f t="shared" si="1209"/>
        <v>174</v>
      </c>
      <c r="V551" s="50">
        <f t="shared" si="1209"/>
        <v>146</v>
      </c>
      <c r="W551" s="50">
        <f t="shared" si="1209"/>
        <v>190</v>
      </c>
      <c r="X551" s="50">
        <f t="shared" si="1209"/>
        <v>250</v>
      </c>
      <c r="Y551" s="50">
        <f t="shared" ref="Y551:Z551" si="1210">Y470</f>
        <v>309</v>
      </c>
      <c r="Z551" s="50">
        <f t="shared" si="1210"/>
        <v>311</v>
      </c>
      <c r="AA551" s="50">
        <f t="shared" ref="AA551:AB551" si="1211">AA470</f>
        <v>251</v>
      </c>
      <c r="AB551" s="50">
        <f t="shared" si="1211"/>
        <v>216</v>
      </c>
      <c r="AC551" s="116">
        <f t="shared" ref="AC551:AE551" si="1212">AC548*AC552</f>
        <v>204.67493046000001</v>
      </c>
      <c r="AD551" s="116">
        <f t="shared" si="1212"/>
        <v>204.67493046000001</v>
      </c>
      <c r="AE551" s="116">
        <f t="shared" si="1212"/>
        <v>214.90867698300005</v>
      </c>
      <c r="AF551" s="116">
        <f t="shared" ref="AF551:AI551" si="1213">AF548*AF552</f>
        <v>231.88823856942548</v>
      </c>
      <c r="AG551" s="116">
        <f t="shared" si="1213"/>
        <v>236.52600334081401</v>
      </c>
      <c r="AH551" s="116">
        <f t="shared" si="1213"/>
        <v>241.25652340763028</v>
      </c>
      <c r="AI551" s="116">
        <f t="shared" si="1213"/>
        <v>246.08165387578288</v>
      </c>
      <c r="AJ551" s="116"/>
      <c r="AK551" s="116"/>
      <c r="AL551" s="116"/>
      <c r="AM551" s="116"/>
      <c r="AN551" s="116"/>
      <c r="AO551" s="116"/>
      <c r="AP551" s="116"/>
      <c r="AQ551" s="116"/>
      <c r="AR551" s="70"/>
      <c r="AS551" s="382" t="s">
        <v>272</v>
      </c>
      <c r="AT551" s="53"/>
      <c r="AU551" s="232">
        <f>SUM(D551:G551)</f>
        <v>732</v>
      </c>
      <c r="AV551" s="232">
        <f>SUM(H551:K551)</f>
        <v>1069</v>
      </c>
      <c r="AW551" s="232">
        <f>SUM(L551:O551)</f>
        <v>1250</v>
      </c>
      <c r="AX551" s="232">
        <f>SUM(P551:S551)</f>
        <v>906</v>
      </c>
      <c r="AY551" s="232">
        <f>SUM(T551:W551)</f>
        <v>628</v>
      </c>
      <c r="AZ551" s="232">
        <f>SUM(X551:AA551)</f>
        <v>1121</v>
      </c>
      <c r="BA551" s="232">
        <f>SUM(AB551:AE551)</f>
        <v>840.25853790300016</v>
      </c>
      <c r="BB551" s="232">
        <f>SUM(AF551:AI551)</f>
        <v>955.75241919365271</v>
      </c>
      <c r="BC551" s="116">
        <f>BC548*BC552</f>
        <v>1087.1683768327803</v>
      </c>
      <c r="BD551" s="116">
        <f>BD548*BD552</f>
        <v>1244.7032560526839</v>
      </c>
      <c r="BE551" s="116">
        <f>BE548*BE552</f>
        <v>1315.0059399593633</v>
      </c>
      <c r="BM551"/>
      <c r="BN551"/>
      <c r="BO551"/>
      <c r="BP551"/>
      <c r="BQ551"/>
      <c r="BR551"/>
    </row>
    <row r="552" spans="1:74" s="72" customFormat="1" x14ac:dyDescent="0.2">
      <c r="A552" s="831"/>
      <c r="B552" s="382"/>
      <c r="C552" s="9" t="s">
        <v>273</v>
      </c>
      <c r="D552" s="66">
        <f t="shared" ref="D552:X552" si="1214">D551/D548</f>
        <v>1.1898056885384398E-2</v>
      </c>
      <c r="E552" s="66">
        <f t="shared" si="1214"/>
        <v>1.7237072195853111E-2</v>
      </c>
      <c r="F552" s="66">
        <f t="shared" si="1214"/>
        <v>1.2582781456953643E-2</v>
      </c>
      <c r="G552" s="66">
        <f t="shared" si="1214"/>
        <v>1.2423611577462896E-2</v>
      </c>
      <c r="H552" s="66">
        <f t="shared" si="1214"/>
        <v>1.6765747111081423E-2</v>
      </c>
      <c r="I552" s="66">
        <f t="shared" si="1214"/>
        <v>2.0444858817261588E-2</v>
      </c>
      <c r="J552" s="66">
        <f t="shared" si="1214"/>
        <v>2.4606299212598427E-2</v>
      </c>
      <c r="K552" s="66">
        <f t="shared" si="1214"/>
        <v>2.0696080388633794E-2</v>
      </c>
      <c r="L552" s="66">
        <f t="shared" si="1214"/>
        <v>2.748414376321353E-2</v>
      </c>
      <c r="M552" s="66">
        <f t="shared" si="1214"/>
        <v>1.8849206349206348E-2</v>
      </c>
      <c r="N552" s="66">
        <f t="shared" si="1214"/>
        <v>1.5464714676014228E-2</v>
      </c>
      <c r="O552" s="66">
        <f t="shared" si="1214"/>
        <v>2.2499999999999999E-2</v>
      </c>
      <c r="P552" s="66">
        <f t="shared" si="1214"/>
        <v>1.7071908949818936E-2</v>
      </c>
      <c r="Q552" s="66">
        <f t="shared" si="1214"/>
        <v>1.9587083112758072E-2</v>
      </c>
      <c r="R552" s="66">
        <f t="shared" si="1214"/>
        <v>2.2593705106438555E-2</v>
      </c>
      <c r="S552" s="66">
        <f t="shared" si="1214"/>
        <v>1.854853232486944E-2</v>
      </c>
      <c r="T552" s="66">
        <f t="shared" si="1214"/>
        <v>2.0679985979670523E-2</v>
      </c>
      <c r="U552" s="66">
        <f t="shared" si="1214"/>
        <v>1.264351111757012E-2</v>
      </c>
      <c r="V552" s="66">
        <f t="shared" si="1214"/>
        <v>2.2134627046694968E-2</v>
      </c>
      <c r="W552" s="66">
        <f t="shared" si="1214"/>
        <v>2.2656808967326497E-2</v>
      </c>
      <c r="X552" s="66">
        <f t="shared" si="1214"/>
        <v>2.1444501629782124E-2</v>
      </c>
      <c r="Y552" s="66">
        <f t="shared" ref="Y552:Z552" si="1215">Y551/Y548</f>
        <v>1.9873938770259839E-2</v>
      </c>
      <c r="Z552" s="66">
        <f t="shared" si="1215"/>
        <v>2.9551501330292666E-2</v>
      </c>
      <c r="AA552" s="66">
        <f t="shared" ref="AA552:AB552" si="1216">AA551/AA548</f>
        <v>2.9648003779825183E-2</v>
      </c>
      <c r="AB552" s="66">
        <f t="shared" si="1216"/>
        <v>1.2935680919870643E-2</v>
      </c>
      <c r="AC552" s="775">
        <f>Drivers!AC194</f>
        <v>1.6500000000000001E-2</v>
      </c>
      <c r="AD552" s="775">
        <f>Drivers!AD194</f>
        <v>1.6500000000000001E-2</v>
      </c>
      <c r="AE552" s="775">
        <f>Drivers!AE194</f>
        <v>1.6500000000000001E-2</v>
      </c>
      <c r="AF552" s="775">
        <f>Drivers!AF194</f>
        <v>1.6E-2</v>
      </c>
      <c r="AG552" s="775">
        <f>Drivers!AG194</f>
        <v>1.6E-2</v>
      </c>
      <c r="AH552" s="775">
        <f>Drivers!AH194</f>
        <v>1.6E-2</v>
      </c>
      <c r="AI552" s="775">
        <f>Drivers!AI194</f>
        <v>1.6E-2</v>
      </c>
      <c r="AJ552" s="775"/>
      <c r="AK552" s="775"/>
      <c r="AL552" s="775"/>
      <c r="AM552" s="775"/>
      <c r="AN552" s="775"/>
      <c r="AO552" s="775"/>
      <c r="AP552" s="775"/>
      <c r="AQ552" s="775"/>
      <c r="AR552" s="70"/>
      <c r="AS552" s="382"/>
      <c r="AT552" s="9" t="s">
        <v>273</v>
      </c>
      <c r="AU552" s="66">
        <f t="shared" ref="AU552:BA552" si="1217">AU551/AU548</f>
        <v>1.3383552126375837E-2</v>
      </c>
      <c r="AV552" s="66">
        <f t="shared" si="1217"/>
        <v>2.0115915848105077E-2</v>
      </c>
      <c r="AW552" s="66">
        <f t="shared" si="1217"/>
        <v>1.9953388883567985E-2</v>
      </c>
      <c r="AX552" s="66">
        <f t="shared" si="1217"/>
        <v>1.9111504872800913E-2</v>
      </c>
      <c r="AY552" s="66">
        <f t="shared" si="1217"/>
        <v>1.8229317851959363E-2</v>
      </c>
      <c r="AZ552" s="66">
        <f t="shared" si="1217"/>
        <v>2.4266170231188846E-2</v>
      </c>
      <c r="BA552" s="66">
        <f t="shared" si="1217"/>
        <v>1.5408582798006823E-2</v>
      </c>
      <c r="BB552" s="66">
        <f t="shared" ref="BB552" si="1218">BB551/BB548</f>
        <v>1.6000000000000004E-2</v>
      </c>
      <c r="BC552" s="775">
        <f>Drivers!BC194</f>
        <v>1.6E-2</v>
      </c>
      <c r="BD552" s="775">
        <f>Drivers!BD194</f>
        <v>1.6199999999999999E-2</v>
      </c>
      <c r="BE552" s="775">
        <f>Drivers!BE194</f>
        <v>1.6299999999999999E-2</v>
      </c>
      <c r="BM552"/>
      <c r="BN552"/>
      <c r="BO552"/>
      <c r="BP552"/>
      <c r="BQ552"/>
      <c r="BR552"/>
    </row>
    <row r="553" spans="1:74" s="72" customFormat="1" x14ac:dyDescent="0.2">
      <c r="A553" s="831"/>
      <c r="B553" s="54"/>
      <c r="C553" s="53" t="s">
        <v>947</v>
      </c>
      <c r="D553" s="55" t="s">
        <v>229</v>
      </c>
      <c r="E553" s="56">
        <f t="shared" ref="E553:AE553" si="1219">E551/D551-1</f>
        <v>0.2248520710059172</v>
      </c>
      <c r="F553" s="56">
        <f t="shared" si="1219"/>
        <v>-0.17391304347826086</v>
      </c>
      <c r="G553" s="56">
        <f t="shared" si="1219"/>
        <v>8.1871345029239873E-2</v>
      </c>
      <c r="H553" s="56">
        <f t="shared" si="1219"/>
        <v>0.35675675675675667</v>
      </c>
      <c r="I553" s="56">
        <f t="shared" si="1219"/>
        <v>0.22310756972111556</v>
      </c>
      <c r="J553" s="56">
        <f t="shared" si="1219"/>
        <v>-0.34853420195439744</v>
      </c>
      <c r="K553" s="56">
        <f t="shared" si="1219"/>
        <v>0.55499999999999994</v>
      </c>
      <c r="L553" s="56">
        <f t="shared" si="1219"/>
        <v>-3.8585209003215382E-2</v>
      </c>
      <c r="M553" s="56">
        <f t="shared" si="1219"/>
        <v>0.33444816053511706</v>
      </c>
      <c r="N553" s="56">
        <f t="shared" si="1219"/>
        <v>-0.24812030075187974</v>
      </c>
      <c r="O553" s="56">
        <f t="shared" si="1219"/>
        <v>-0.16000000000000003</v>
      </c>
      <c r="P553" s="56">
        <f t="shared" si="1219"/>
        <v>-8.333333333333337E-2</v>
      </c>
      <c r="Q553" s="56">
        <f t="shared" si="1219"/>
        <v>0.28138528138528129</v>
      </c>
      <c r="R553" s="56">
        <f t="shared" si="1219"/>
        <v>-0.41554054054054057</v>
      </c>
      <c r="S553" s="56">
        <f t="shared" si="1219"/>
        <v>0.19075144508670516</v>
      </c>
      <c r="T553" s="56">
        <f t="shared" si="1219"/>
        <v>-0.42718446601941751</v>
      </c>
      <c r="U553" s="56">
        <f t="shared" si="1219"/>
        <v>0.47457627118644075</v>
      </c>
      <c r="V553" s="56">
        <f t="shared" si="1219"/>
        <v>-0.16091954022988508</v>
      </c>
      <c r="W553" s="56">
        <f t="shared" si="1219"/>
        <v>0.30136986301369872</v>
      </c>
      <c r="X553" s="56">
        <f t="shared" si="1219"/>
        <v>0.31578947368421062</v>
      </c>
      <c r="Y553" s="56">
        <f t="shared" si="1219"/>
        <v>0.23599999999999999</v>
      </c>
      <c r="Z553" s="56">
        <f t="shared" si="1219"/>
        <v>6.4724919093850364E-3</v>
      </c>
      <c r="AA553" s="56">
        <f t="shared" si="1219"/>
        <v>-0.19292604501607713</v>
      </c>
      <c r="AB553" s="56">
        <f t="shared" si="1219"/>
        <v>-0.1394422310756972</v>
      </c>
      <c r="AC553" s="56">
        <f t="shared" si="1219"/>
        <v>-5.2430877499999973E-2</v>
      </c>
      <c r="AD553" s="56">
        <f t="shared" si="1219"/>
        <v>0</v>
      </c>
      <c r="AE553" s="56">
        <f t="shared" si="1219"/>
        <v>5.0000000000000266E-2</v>
      </c>
      <c r="AF553" s="56">
        <f t="shared" ref="AF553" si="1220">AF551/AE551-1</f>
        <v>7.9008264462809841E-2</v>
      </c>
      <c r="AG553" s="56">
        <f t="shared" ref="AG553" si="1221">AG551/AF551-1</f>
        <v>2.0000000000000018E-2</v>
      </c>
      <c r="AH553" s="56">
        <f t="shared" ref="AH553" si="1222">AH551/AG551-1</f>
        <v>2.0000000000000018E-2</v>
      </c>
      <c r="AI553" s="56">
        <f t="shared" ref="AI553" si="1223">AI551/AH551-1</f>
        <v>2.0000000000000018E-2</v>
      </c>
      <c r="AJ553" s="56"/>
      <c r="AK553" s="56"/>
      <c r="AL553" s="56"/>
      <c r="AM553" s="56"/>
      <c r="AN553" s="56"/>
      <c r="AO553" s="56"/>
      <c r="AP553" s="56"/>
      <c r="AQ553" s="56"/>
      <c r="AR553" s="70"/>
      <c r="AS553" s="54"/>
      <c r="AT553" s="53" t="s">
        <v>948</v>
      </c>
      <c r="AV553" s="279">
        <f t="shared" ref="AV553:BE553" si="1224">AV551/AU551-1</f>
        <v>0.46038251366120209</v>
      </c>
      <c r="AW553" s="279">
        <f t="shared" si="1224"/>
        <v>0.16931711880261924</v>
      </c>
      <c r="AX553" s="279">
        <f t="shared" si="1224"/>
        <v>-0.2752</v>
      </c>
      <c r="AY553" s="279">
        <f t="shared" si="1224"/>
        <v>-0.30684326710816778</v>
      </c>
      <c r="AZ553" s="279">
        <f t="shared" si="1224"/>
        <v>0.78503184713375807</v>
      </c>
      <c r="BA553" s="279">
        <f t="shared" si="1224"/>
        <v>-0.25043841400267608</v>
      </c>
      <c r="BB553" s="279">
        <f t="shared" si="1224"/>
        <v>0.13745041089244503</v>
      </c>
      <c r="BC553" s="56">
        <f t="shared" si="1224"/>
        <v>0.1375000000000004</v>
      </c>
      <c r="BD553" s="56">
        <f t="shared" si="1224"/>
        <v>0.14490384615384588</v>
      </c>
      <c r="BE553" s="56">
        <f t="shared" si="1224"/>
        <v>5.6481481481481577E-2</v>
      </c>
      <c r="BM553"/>
      <c r="BN553"/>
      <c r="BO553"/>
      <c r="BP553"/>
      <c r="BQ553"/>
      <c r="BR553"/>
    </row>
    <row r="554" spans="1:74" s="72" customFormat="1" x14ac:dyDescent="0.2">
      <c r="A554" s="831"/>
      <c r="B554" s="54"/>
      <c r="C554" s="53" t="s">
        <v>948</v>
      </c>
      <c r="D554" s="55"/>
      <c r="E554" s="56"/>
      <c r="F554" s="56"/>
      <c r="G554" s="56"/>
      <c r="H554" s="56">
        <f t="shared" ref="H554:AE554" si="1225">H551/D551-1</f>
        <v>0.48520710059171601</v>
      </c>
      <c r="I554" s="56">
        <f t="shared" si="1225"/>
        <v>0.48309178743961345</v>
      </c>
      <c r="J554" s="56">
        <f t="shared" si="1225"/>
        <v>0.16959064327485374</v>
      </c>
      <c r="K554" s="56">
        <f t="shared" si="1225"/>
        <v>0.68108108108108101</v>
      </c>
      <c r="L554" s="56">
        <f t="shared" si="1225"/>
        <v>0.19123505976095623</v>
      </c>
      <c r="M554" s="56">
        <f t="shared" si="1225"/>
        <v>0.29967426710097711</v>
      </c>
      <c r="N554" s="56">
        <f t="shared" si="1225"/>
        <v>0.5</v>
      </c>
      <c r="O554" s="56">
        <f t="shared" si="1225"/>
        <v>-0.18971061093247588</v>
      </c>
      <c r="P554" s="56">
        <f t="shared" si="1225"/>
        <v>-0.22742474916387956</v>
      </c>
      <c r="Q554" s="56">
        <f t="shared" si="1225"/>
        <v>-0.25814536340852134</v>
      </c>
      <c r="R554" s="56">
        <f t="shared" si="1225"/>
        <v>-0.42333333333333334</v>
      </c>
      <c r="S554" s="56">
        <f t="shared" si="1225"/>
        <v>-0.18253968253968256</v>
      </c>
      <c r="T554" s="56">
        <f t="shared" si="1225"/>
        <v>-0.48917748917748916</v>
      </c>
      <c r="U554" s="56">
        <f t="shared" si="1225"/>
        <v>-0.41216216216216217</v>
      </c>
      <c r="V554" s="56">
        <f t="shared" si="1225"/>
        <v>-0.15606936416184969</v>
      </c>
      <c r="W554" s="56">
        <f t="shared" si="1225"/>
        <v>-7.7669902912621325E-2</v>
      </c>
      <c r="X554" s="56">
        <f t="shared" si="1225"/>
        <v>1.1186440677966103</v>
      </c>
      <c r="Y554" s="56">
        <f t="shared" si="1225"/>
        <v>0.77586206896551735</v>
      </c>
      <c r="Z554" s="56">
        <f t="shared" si="1225"/>
        <v>1.1301369863013697</v>
      </c>
      <c r="AA554" s="56">
        <f t="shared" si="1225"/>
        <v>0.32105263157894748</v>
      </c>
      <c r="AB554" s="56">
        <f t="shared" si="1225"/>
        <v>-0.13600000000000001</v>
      </c>
      <c r="AC554" s="56">
        <f t="shared" si="1225"/>
        <v>-0.33762158427184463</v>
      </c>
      <c r="AD554" s="56">
        <f t="shared" si="1225"/>
        <v>-0.34188125254019286</v>
      </c>
      <c r="AE554" s="56">
        <f t="shared" si="1225"/>
        <v>-0.14379013154183251</v>
      </c>
      <c r="AF554" s="56">
        <f t="shared" ref="AF554" si="1226">AF551/AB551-1</f>
        <v>7.355666004363659E-2</v>
      </c>
      <c r="AG554" s="56">
        <f t="shared" ref="AG554" si="1227">AG551/AC551-1</f>
        <v>0.15561785123966954</v>
      </c>
      <c r="AH554" s="56">
        <f t="shared" ref="AH554" si="1228">AH551/AD551-1</f>
        <v>0.17873020826446284</v>
      </c>
      <c r="AI554" s="56">
        <f t="shared" ref="AI554" si="1229">AI551/AE551-1</f>
        <v>0.14505220231404947</v>
      </c>
      <c r="AJ554" s="56"/>
      <c r="AK554" s="56"/>
      <c r="AL554" s="56"/>
      <c r="AM554" s="56"/>
      <c r="AN554" s="56"/>
      <c r="AO554" s="56"/>
      <c r="AP554" s="56"/>
      <c r="AQ554" s="56"/>
      <c r="AR554" s="70"/>
      <c r="AS554" s="54"/>
      <c r="AT554" s="53" t="s">
        <v>948</v>
      </c>
      <c r="AV554" s="279">
        <f t="shared" ref="AV554:BE554" si="1230">AV551/AU551-1</f>
        <v>0.46038251366120209</v>
      </c>
      <c r="AW554" s="279">
        <f t="shared" si="1230"/>
        <v>0.16931711880261924</v>
      </c>
      <c r="AX554" s="279">
        <f t="shared" si="1230"/>
        <v>-0.2752</v>
      </c>
      <c r="AY554" s="279">
        <f t="shared" si="1230"/>
        <v>-0.30684326710816778</v>
      </c>
      <c r="AZ554" s="279">
        <f t="shared" si="1230"/>
        <v>0.78503184713375807</v>
      </c>
      <c r="BA554" s="279">
        <f t="shared" si="1230"/>
        <v>-0.25043841400267608</v>
      </c>
      <c r="BB554" s="279">
        <f t="shared" si="1230"/>
        <v>0.13745041089244503</v>
      </c>
      <c r="BC554" s="56">
        <f t="shared" si="1230"/>
        <v>0.1375000000000004</v>
      </c>
      <c r="BD554" s="56">
        <f t="shared" si="1230"/>
        <v>0.14490384615384588</v>
      </c>
      <c r="BE554" s="56">
        <f t="shared" si="1230"/>
        <v>5.6481481481481577E-2</v>
      </c>
      <c r="BM554"/>
      <c r="BN554"/>
      <c r="BO554"/>
      <c r="BP554"/>
      <c r="BQ554"/>
      <c r="BR554"/>
    </row>
    <row r="555" spans="1:74" s="72" customFormat="1" x14ac:dyDescent="0.2">
      <c r="A555" s="831"/>
      <c r="B555" s="364"/>
      <c r="C555" s="9"/>
      <c r="D555" s="26"/>
      <c r="E555" s="26"/>
      <c r="F555" s="26"/>
      <c r="G555" s="26"/>
      <c r="H555" s="26"/>
      <c r="I555" s="26"/>
      <c r="J555" s="26"/>
      <c r="K555" s="26"/>
      <c r="L555" s="26"/>
      <c r="M555" s="26"/>
      <c r="N555" s="26"/>
      <c r="O555" s="26"/>
      <c r="P555" s="26"/>
      <c r="Q555" s="26"/>
      <c r="R555" s="26"/>
      <c r="S555" s="26"/>
      <c r="T555" s="26"/>
      <c r="U555" s="26"/>
      <c r="V555" s="26"/>
      <c r="W555" s="26"/>
      <c r="X555" s="26"/>
      <c r="Y555" s="26"/>
      <c r="Z555" s="26"/>
      <c r="AA555" s="26"/>
      <c r="AB555" s="26"/>
      <c r="AC555" s="53"/>
      <c r="AD555" s="53"/>
      <c r="AE555" s="53"/>
      <c r="AF555" s="53"/>
      <c r="AG555" s="53"/>
      <c r="AH555" s="53"/>
      <c r="AI555" s="53"/>
      <c r="AJ555" s="53"/>
      <c r="AK555" s="53"/>
      <c r="AL555" s="53"/>
      <c r="AM555" s="53"/>
      <c r="AN555" s="53"/>
      <c r="AO555" s="53"/>
      <c r="AP555" s="53"/>
      <c r="AQ555" s="53"/>
      <c r="AR555" s="70"/>
      <c r="AS555" s="364"/>
      <c r="AT555" s="9"/>
      <c r="BM555"/>
      <c r="BN555"/>
      <c r="BO555"/>
      <c r="BP555"/>
      <c r="BQ555"/>
      <c r="BR555"/>
    </row>
    <row r="556" spans="1:74" s="72" customFormat="1" x14ac:dyDescent="0.2">
      <c r="A556" s="831"/>
      <c r="B556" s="574" t="s">
        <v>271</v>
      </c>
      <c r="C556" s="12"/>
      <c r="D556" s="58"/>
      <c r="E556" s="58"/>
      <c r="F556" s="58"/>
      <c r="G556" s="58"/>
      <c r="H556" s="58"/>
      <c r="I556" s="58"/>
      <c r="J556" s="58"/>
      <c r="K556" s="58"/>
      <c r="L556" s="58"/>
      <c r="M556" s="58"/>
      <c r="N556" s="58"/>
      <c r="O556" s="58"/>
      <c r="P556" s="58"/>
      <c r="Q556" s="58"/>
      <c r="R556" s="58"/>
      <c r="S556" s="58"/>
      <c r="T556" s="58"/>
      <c r="U556" s="58"/>
      <c r="V556" s="58"/>
      <c r="W556" s="58"/>
      <c r="X556" s="58"/>
      <c r="Y556" s="58"/>
      <c r="Z556" s="58"/>
      <c r="AA556" s="58"/>
      <c r="AB556" s="58"/>
      <c r="AC556" s="57"/>
      <c r="AD556" s="57"/>
      <c r="AE556" s="57"/>
      <c r="AF556" s="57"/>
      <c r="AG556" s="57"/>
      <c r="AH556" s="57"/>
      <c r="AI556" s="57"/>
      <c r="AJ556" s="57"/>
      <c r="AK556" s="57"/>
      <c r="AL556" s="57"/>
      <c r="AM556" s="57"/>
      <c r="AN556" s="57"/>
      <c r="AO556" s="57"/>
      <c r="AP556" s="57"/>
      <c r="AQ556" s="57"/>
      <c r="AR556" s="70"/>
      <c r="AS556" s="574" t="s">
        <v>271</v>
      </c>
      <c r="AT556" s="12"/>
      <c r="AU556" s="58"/>
      <c r="AV556" s="58"/>
      <c r="AW556" s="58"/>
      <c r="AX556" s="58"/>
      <c r="AY556" s="58"/>
      <c r="AZ556" s="58"/>
      <c r="BA556" s="58"/>
      <c r="BB556" s="58"/>
      <c r="BC556" s="58"/>
      <c r="BD556" s="58"/>
      <c r="BE556" s="58"/>
      <c r="BF556" s="23"/>
      <c r="BG556" s="23"/>
      <c r="BH556" s="23"/>
      <c r="BI556" s="23"/>
      <c r="BJ556" s="23"/>
      <c r="BK556" s="23"/>
      <c r="BL556" s="23"/>
      <c r="BM556"/>
      <c r="BN556"/>
      <c r="BO556"/>
      <c r="BP556"/>
      <c r="BQ556"/>
      <c r="BR556"/>
      <c r="BS556" s="38"/>
      <c r="BT556" s="38"/>
      <c r="BU556" s="38"/>
      <c r="BV556" s="38"/>
    </row>
    <row r="557" spans="1:74" s="72" customFormat="1" x14ac:dyDescent="0.2">
      <c r="A557" s="831"/>
      <c r="B557" s="319" t="s">
        <v>268</v>
      </c>
      <c r="C557" s="15"/>
      <c r="D557" s="386">
        <v>2024710.89</v>
      </c>
      <c r="E557" s="386">
        <v>1367212.1100000003</v>
      </c>
      <c r="F557" s="386">
        <v>1615261.4200000002</v>
      </c>
      <c r="G557" s="386">
        <v>1551025.2499999998</v>
      </c>
      <c r="H557" s="386">
        <v>1821751.5400000003</v>
      </c>
      <c r="I557" s="386">
        <v>1567305.64</v>
      </c>
      <c r="J557" s="386">
        <v>1364622.1</v>
      </c>
      <c r="K557" s="386">
        <v>1390047.5799999998</v>
      </c>
      <c r="L557" s="386">
        <v>1776426.04</v>
      </c>
      <c r="M557" s="386">
        <v>1817665.33</v>
      </c>
      <c r="N557" s="386">
        <v>1441464.8299999998</v>
      </c>
      <c r="O557" s="386">
        <v>1348843.81</v>
      </c>
      <c r="P557" s="386">
        <v>1803939.01</v>
      </c>
      <c r="Q557" s="386">
        <v>1605195.2500000002</v>
      </c>
      <c r="R557" s="386">
        <v>1373570.17</v>
      </c>
      <c r="S557" s="386">
        <v>1353586.0199999998</v>
      </c>
      <c r="T557" s="386">
        <v>1763473.8800000001</v>
      </c>
      <c r="U557" s="386">
        <v>1861707.3299999998</v>
      </c>
      <c r="V557" s="386">
        <v>1769728.1200000003</v>
      </c>
      <c r="W557" s="386">
        <v>1359341.7799999998</v>
      </c>
      <c r="X557" s="386">
        <v>1975975.9199999997</v>
      </c>
      <c r="Y557" s="386">
        <v>1764445.79</v>
      </c>
      <c r="Z557" s="386">
        <v>1719227.4600000002</v>
      </c>
      <c r="AA557" s="386">
        <v>1550530.2</v>
      </c>
      <c r="AB557" s="386">
        <v>1892375.0772727279</v>
      </c>
      <c r="AC557" s="386">
        <v>1854527.5757272732</v>
      </c>
      <c r="AD557" s="386">
        <v>1761801.1969409096</v>
      </c>
      <c r="AE557" s="386">
        <v>1673711.1370938641</v>
      </c>
      <c r="AF557" s="386">
        <v>1807608.0280613734</v>
      </c>
      <c r="AG557" s="386">
        <v>1879912.3491838283</v>
      </c>
      <c r="AH557" s="386">
        <v>1823514.9787083135</v>
      </c>
      <c r="AI557" s="386">
        <v>1850867.703388938</v>
      </c>
      <c r="AJ557" s="386"/>
      <c r="AK557" s="386"/>
      <c r="AL557" s="386"/>
      <c r="AM557" s="386"/>
      <c r="AN557" s="386"/>
      <c r="AO557" s="386"/>
      <c r="AP557" s="386"/>
      <c r="AQ557" s="386"/>
      <c r="AR557" s="70"/>
      <c r="AS557" s="319" t="s">
        <v>268</v>
      </c>
      <c r="AT557" s="15"/>
      <c r="AU557" s="232">
        <f>SUM(D557:G557)</f>
        <v>6558209.6699999999</v>
      </c>
      <c r="AV557" s="232">
        <f>SUM(H557:K557)</f>
        <v>6143726.8600000003</v>
      </c>
      <c r="AW557" s="232">
        <f>SUM(L557:O557)</f>
        <v>6384400.0099999998</v>
      </c>
      <c r="AX557" s="232">
        <f>SUM(P557:S557)</f>
        <v>6136290.4499999993</v>
      </c>
      <c r="AY557" s="232">
        <f>SUM(T557:W557)</f>
        <v>6754251.1099999994</v>
      </c>
      <c r="AZ557" s="232">
        <f>SUM(X557:AA557)</f>
        <v>7010179.3700000001</v>
      </c>
      <c r="BA557" s="232">
        <f>SUM(AB557:AE557)</f>
        <v>7182414.9870347753</v>
      </c>
      <c r="BB557" s="232">
        <f>SUM(AF557:AI557)</f>
        <v>7361903.0593424533</v>
      </c>
      <c r="BC557" s="576">
        <v>7656379.1817161515</v>
      </c>
      <c r="BD557" s="576">
        <v>7962634.3489847975</v>
      </c>
      <c r="BE557" s="576">
        <v>8281139.7229441898</v>
      </c>
      <c r="BM557"/>
      <c r="BN557"/>
      <c r="BO557"/>
      <c r="BP557"/>
      <c r="BQ557"/>
      <c r="BR557"/>
    </row>
    <row r="558" spans="1:74" s="72" customFormat="1" x14ac:dyDescent="0.2">
      <c r="A558" s="831"/>
      <c r="B558" s="9" t="s">
        <v>269</v>
      </c>
      <c r="C558" s="9"/>
      <c r="D558" s="560">
        <v>118221</v>
      </c>
      <c r="E558" s="560">
        <v>79882</v>
      </c>
      <c r="F558" s="560">
        <v>97062</v>
      </c>
      <c r="G558" s="560">
        <v>83377</v>
      </c>
      <c r="H558" s="560">
        <v>108654</v>
      </c>
      <c r="I558" s="560">
        <v>89884</v>
      </c>
      <c r="J558" s="560">
        <v>88961</v>
      </c>
      <c r="K558" s="560">
        <v>77552</v>
      </c>
      <c r="L558" s="560">
        <v>106605</v>
      </c>
      <c r="M558" s="560">
        <v>98417</v>
      </c>
      <c r="N558" s="560">
        <v>76617</v>
      </c>
      <c r="O558" s="560">
        <v>72885</v>
      </c>
      <c r="P558" s="560">
        <v>114442</v>
      </c>
      <c r="Q558" s="560">
        <v>93720</v>
      </c>
      <c r="R558" s="560">
        <v>70326</v>
      </c>
      <c r="S558" s="560">
        <v>86670</v>
      </c>
      <c r="T558" s="560">
        <v>101424</v>
      </c>
      <c r="U558" s="560">
        <v>116506</v>
      </c>
      <c r="V558" s="560">
        <v>105862</v>
      </c>
      <c r="W558" s="560">
        <v>76319</v>
      </c>
      <c r="X558" s="560">
        <v>129288</v>
      </c>
      <c r="Y558" s="560">
        <v>121084</v>
      </c>
      <c r="Z558" s="560">
        <v>111054</v>
      </c>
      <c r="AA558" s="560">
        <v>103740</v>
      </c>
      <c r="AB558" s="560">
        <v>124740</v>
      </c>
      <c r="AC558" s="33">
        <f t="shared" ref="AC558:AE558" si="1231">AC559*AC557</f>
        <v>129816.93030090914</v>
      </c>
      <c r="AD558" s="33">
        <f t="shared" si="1231"/>
        <v>123326.08378586368</v>
      </c>
      <c r="AE558" s="33">
        <f t="shared" si="1231"/>
        <v>117159.7795965705</v>
      </c>
      <c r="AF558" s="33">
        <f t="shared" ref="AF558:AI558" si="1232">AF559*AF557</f>
        <v>126532.56196429615</v>
      </c>
      <c r="AG558" s="33">
        <f t="shared" si="1232"/>
        <v>131593.86444286798</v>
      </c>
      <c r="AH558" s="33">
        <f t="shared" si="1232"/>
        <v>127646.04850958196</v>
      </c>
      <c r="AI558" s="33">
        <f t="shared" si="1232"/>
        <v>129560.73923722567</v>
      </c>
      <c r="AJ558" s="33"/>
      <c r="AK558" s="33"/>
      <c r="AL558" s="33"/>
      <c r="AM558" s="33"/>
      <c r="AN558" s="33"/>
      <c r="AO558" s="33"/>
      <c r="AP558" s="33"/>
      <c r="AQ558" s="33"/>
      <c r="AR558" s="70"/>
      <c r="AS558" s="9" t="s">
        <v>269</v>
      </c>
      <c r="AT558" s="9"/>
      <c r="AU558" s="232">
        <f>SUM(D558:G558)</f>
        <v>378542</v>
      </c>
      <c r="AV558" s="232">
        <f>SUM(H558:K558)</f>
        <v>365051</v>
      </c>
      <c r="AW558" s="232">
        <f>SUM(L558:O558)</f>
        <v>354524</v>
      </c>
      <c r="AX558" s="232">
        <f>SUM(P558:S558)</f>
        <v>365158</v>
      </c>
      <c r="AY558" s="232">
        <f>SUM(T558:W558)</f>
        <v>400111</v>
      </c>
      <c r="AZ558" s="232">
        <f>SUM(X558:AA558)</f>
        <v>465166</v>
      </c>
      <c r="BA558" s="232">
        <f>SUM(AB558:AE558)</f>
        <v>495042.79368334333</v>
      </c>
      <c r="BB558" s="232">
        <f>SUM(AF558:AI558)</f>
        <v>515333.21415397176</v>
      </c>
      <c r="BC558" s="33">
        <f>BC559*BC557</f>
        <v>535946.54272013064</v>
      </c>
      <c r="BD558" s="33">
        <f>BD559*BD557</f>
        <v>557384.40442893584</v>
      </c>
      <c r="BE558" s="33">
        <f>BE559*BE557</f>
        <v>579679.78060609335</v>
      </c>
      <c r="BM558"/>
      <c r="BN558"/>
      <c r="BO558"/>
      <c r="BP558"/>
      <c r="BQ558"/>
      <c r="BR558"/>
    </row>
    <row r="559" spans="1:74" s="72" customFormat="1" x14ac:dyDescent="0.2">
      <c r="A559" s="831"/>
      <c r="B559" s="9"/>
      <c r="C559" s="9" t="s">
        <v>199</v>
      </c>
      <c r="D559" s="26">
        <f t="shared" ref="D559:X559" si="1233">D558/D557</f>
        <v>5.838907697088546E-2</v>
      </c>
      <c r="E559" s="26">
        <f t="shared" si="1233"/>
        <v>5.8426925431489911E-2</v>
      </c>
      <c r="F559" s="26">
        <f t="shared" si="1233"/>
        <v>6.0090582736756007E-2</v>
      </c>
      <c r="G559" s="26">
        <f t="shared" si="1233"/>
        <v>5.3756055873365058E-2</v>
      </c>
      <c r="H559" s="26">
        <f t="shared" si="1233"/>
        <v>5.9642600878493005E-2</v>
      </c>
      <c r="I559" s="26">
        <f t="shared" si="1233"/>
        <v>5.7349375709513817E-2</v>
      </c>
      <c r="J559" s="26">
        <f t="shared" si="1233"/>
        <v>6.519094187321163E-2</v>
      </c>
      <c r="K559" s="26">
        <f t="shared" si="1233"/>
        <v>5.5790896020983693E-2</v>
      </c>
      <c r="L559" s="26">
        <f t="shared" si="1233"/>
        <v>6.0010941969754053E-2</v>
      </c>
      <c r="M559" s="26">
        <f t="shared" si="1233"/>
        <v>5.4144730812464799E-2</v>
      </c>
      <c r="N559" s="26">
        <f t="shared" si="1233"/>
        <v>5.3152181312672062E-2</v>
      </c>
      <c r="O559" s="26">
        <f t="shared" si="1233"/>
        <v>5.4035166606873478E-2</v>
      </c>
      <c r="P559" s="26">
        <f t="shared" si="1233"/>
        <v>6.344006053730164E-2</v>
      </c>
      <c r="Q559" s="26">
        <f t="shared" si="1233"/>
        <v>5.8385420714395952E-2</v>
      </c>
      <c r="R559" s="26">
        <f t="shared" si="1233"/>
        <v>5.1199422887874747E-2</v>
      </c>
      <c r="S559" s="26">
        <f t="shared" si="1233"/>
        <v>6.4029916621036034E-2</v>
      </c>
      <c r="T559" s="26">
        <f t="shared" si="1233"/>
        <v>5.7513752344321649E-2</v>
      </c>
      <c r="U559" s="26">
        <f t="shared" si="1233"/>
        <v>6.2580190840200431E-2</v>
      </c>
      <c r="V559" s="26">
        <f t="shared" si="1233"/>
        <v>5.9818227898192619E-2</v>
      </c>
      <c r="W559" s="26">
        <f t="shared" si="1233"/>
        <v>5.614408467604079E-2</v>
      </c>
      <c r="X559" s="26">
        <f t="shared" si="1233"/>
        <v>6.542994714227085E-2</v>
      </c>
      <c r="Y559" s="26">
        <f t="shared" ref="Y559:Z559" si="1234">Y558/Y557</f>
        <v>6.8624380916797678E-2</v>
      </c>
      <c r="Z559" s="26">
        <f t="shared" si="1234"/>
        <v>6.4595292120334089E-2</v>
      </c>
      <c r="AA559" s="26">
        <f t="shared" ref="AA559:AB559" si="1235">AA558/AA557</f>
        <v>6.6906146039593425E-2</v>
      </c>
      <c r="AB559" s="26">
        <f t="shared" si="1235"/>
        <v>6.5917164888777788E-2</v>
      </c>
      <c r="AC559" s="349">
        <f>Drivers!AC190</f>
        <v>7.0000000000000007E-2</v>
      </c>
      <c r="AD559" s="349">
        <f>Drivers!AD190</f>
        <v>7.0000000000000007E-2</v>
      </c>
      <c r="AE559" s="349">
        <f>Drivers!AE190</f>
        <v>7.0000000000000007E-2</v>
      </c>
      <c r="AF559" s="349">
        <f>Drivers!AF190</f>
        <v>7.0000000000000007E-2</v>
      </c>
      <c r="AG559" s="349">
        <f>Drivers!AG190</f>
        <v>7.0000000000000007E-2</v>
      </c>
      <c r="AH559" s="349">
        <f>Drivers!AH190</f>
        <v>7.0000000000000007E-2</v>
      </c>
      <c r="AI559" s="349">
        <f>Drivers!AI190</f>
        <v>7.0000000000000007E-2</v>
      </c>
      <c r="AJ559" s="349"/>
      <c r="AK559" s="349"/>
      <c r="AL559" s="349"/>
      <c r="AM559" s="349"/>
      <c r="AN559" s="349"/>
      <c r="AO559" s="349"/>
      <c r="AP559" s="349"/>
      <c r="AQ559" s="349"/>
      <c r="AR559" s="70"/>
      <c r="AS559" s="9"/>
      <c r="AT559" s="9" t="s">
        <v>199</v>
      </c>
      <c r="AU559" s="209">
        <f t="shared" ref="AU559:BA559" si="1236">AU558/AU557</f>
        <v>5.7720325980367748E-2</v>
      </c>
      <c r="AV559" s="209">
        <f t="shared" si="1236"/>
        <v>5.9418494395761592E-2</v>
      </c>
      <c r="AW559" s="209">
        <f t="shared" si="1236"/>
        <v>5.5529728626762531E-2</v>
      </c>
      <c r="AX559" s="209">
        <f t="shared" si="1236"/>
        <v>5.9507939360986417E-2</v>
      </c>
      <c r="AY559" s="209">
        <f t="shared" si="1236"/>
        <v>5.9238395713125926E-2</v>
      </c>
      <c r="AZ559" s="209">
        <f t="shared" si="1236"/>
        <v>6.6355791406803907E-2</v>
      </c>
      <c r="BA559" s="209">
        <f t="shared" si="1236"/>
        <v>6.8924281676422505E-2</v>
      </c>
      <c r="BB559" s="209">
        <f t="shared" ref="BB559" si="1237">BB558/BB557</f>
        <v>7.0000000000000007E-2</v>
      </c>
      <c r="BC559" s="349">
        <f>Drivers!BC190</f>
        <v>7.0000000000000007E-2</v>
      </c>
      <c r="BD559" s="349">
        <f>Drivers!BD190</f>
        <v>7.0000000000000007E-2</v>
      </c>
      <c r="BE559" s="349">
        <f>Drivers!BE190</f>
        <v>7.0000000000000007E-2</v>
      </c>
      <c r="BM559"/>
      <c r="BN559"/>
      <c r="BO559"/>
      <c r="BP559"/>
      <c r="BQ559"/>
      <c r="BR559"/>
    </row>
    <row r="560" spans="1:74" s="72" customFormat="1" x14ac:dyDescent="0.2">
      <c r="A560" s="831"/>
      <c r="B560" s="9"/>
      <c r="C560" s="9"/>
      <c r="D560" s="26"/>
      <c r="E560" s="26"/>
      <c r="F560" s="26"/>
      <c r="G560" s="26"/>
      <c r="H560" s="26"/>
      <c r="I560" s="26"/>
      <c r="J560" s="26"/>
      <c r="K560" s="26"/>
      <c r="L560" s="26"/>
      <c r="M560" s="26"/>
      <c r="N560" s="26"/>
      <c r="O560" s="26"/>
      <c r="P560" s="26"/>
      <c r="Q560" s="26"/>
      <c r="R560" s="26"/>
      <c r="S560" s="26"/>
      <c r="T560" s="26"/>
      <c r="U560" s="26"/>
      <c r="V560" s="26"/>
      <c r="W560" s="26"/>
      <c r="X560" s="26"/>
      <c r="Y560" s="26"/>
      <c r="Z560" s="26"/>
      <c r="AA560" s="26"/>
      <c r="AB560" s="26"/>
      <c r="AC560" s="53"/>
      <c r="AD560" s="53"/>
      <c r="AE560" s="53"/>
      <c r="AF560" s="53"/>
      <c r="AG560" s="53"/>
      <c r="AH560" s="53"/>
      <c r="AI560" s="53"/>
      <c r="AJ560" s="53"/>
      <c r="AK560" s="53"/>
      <c r="AL560" s="53"/>
      <c r="AM560" s="53"/>
      <c r="AN560" s="53"/>
      <c r="AO560" s="53"/>
      <c r="AP560" s="53"/>
      <c r="AQ560" s="53"/>
      <c r="AR560" s="70"/>
      <c r="AS560" s="9"/>
      <c r="AT560" s="9"/>
      <c r="BC560" s="53"/>
      <c r="BD560" s="53"/>
      <c r="BE560" s="53"/>
      <c r="BM560"/>
      <c r="BN560"/>
      <c r="BO560"/>
      <c r="BP560"/>
      <c r="BQ560"/>
      <c r="BR560"/>
    </row>
    <row r="561" spans="1:74" s="72" customFormat="1" x14ac:dyDescent="0.2">
      <c r="A561" s="831"/>
      <c r="B561" s="382" t="s">
        <v>272</v>
      </c>
      <c r="C561" s="53"/>
      <c r="D561" s="50">
        <f t="shared" ref="D561:X561" si="1238">D471</f>
        <v>684</v>
      </c>
      <c r="E561" s="50">
        <f t="shared" si="1238"/>
        <v>581</v>
      </c>
      <c r="F561" s="50">
        <f t="shared" si="1238"/>
        <v>685</v>
      </c>
      <c r="G561" s="50">
        <f t="shared" si="1238"/>
        <v>723</v>
      </c>
      <c r="H561" s="50">
        <f t="shared" si="1238"/>
        <v>721</v>
      </c>
      <c r="I561" s="50">
        <f t="shared" si="1238"/>
        <v>644</v>
      </c>
      <c r="J561" s="50">
        <f t="shared" si="1238"/>
        <v>583</v>
      </c>
      <c r="K561" s="50">
        <f t="shared" si="1238"/>
        <v>581</v>
      </c>
      <c r="L561" s="50">
        <f t="shared" si="1238"/>
        <v>587</v>
      </c>
      <c r="M561" s="50">
        <f t="shared" si="1238"/>
        <v>756</v>
      </c>
      <c r="N561" s="50">
        <f t="shared" si="1238"/>
        <v>641</v>
      </c>
      <c r="O561" s="50">
        <f t="shared" si="1238"/>
        <v>558</v>
      </c>
      <c r="P561" s="50">
        <f t="shared" si="1238"/>
        <v>674</v>
      </c>
      <c r="Q561" s="50">
        <f t="shared" si="1238"/>
        <v>735</v>
      </c>
      <c r="R561" s="50">
        <f t="shared" si="1238"/>
        <v>528</v>
      </c>
      <c r="S561" s="50">
        <f t="shared" si="1238"/>
        <v>621</v>
      </c>
      <c r="T561" s="50">
        <f t="shared" si="1238"/>
        <v>528</v>
      </c>
      <c r="U561" s="50">
        <f t="shared" si="1238"/>
        <v>803</v>
      </c>
      <c r="V561" s="50">
        <f t="shared" si="1238"/>
        <v>698</v>
      </c>
      <c r="W561" s="50">
        <f t="shared" si="1238"/>
        <v>645</v>
      </c>
      <c r="X561" s="50">
        <f t="shared" si="1238"/>
        <v>763</v>
      </c>
      <c r="Y561" s="50">
        <f t="shared" ref="Y561:Z561" si="1239">Y471</f>
        <v>908</v>
      </c>
      <c r="Z561" s="50">
        <f t="shared" si="1239"/>
        <v>729</v>
      </c>
      <c r="AA561" s="50">
        <f t="shared" ref="AA561:AB561" si="1240">AA471</f>
        <v>726</v>
      </c>
      <c r="AB561" s="50">
        <f t="shared" si="1240"/>
        <v>699</v>
      </c>
      <c r="AC561" s="33">
        <f t="shared" ref="AC561:AE561" si="1241">AC558*AC562</f>
        <v>817.84666089572761</v>
      </c>
      <c r="AD561" s="33">
        <f t="shared" si="1241"/>
        <v>776.95432785094124</v>
      </c>
      <c r="AE561" s="33">
        <f t="shared" si="1241"/>
        <v>738.10661145839413</v>
      </c>
      <c r="AF561" s="33">
        <f t="shared" ref="AF561:AI561" si="1242">AF558*AF562</f>
        <v>797.1551403750658</v>
      </c>
      <c r="AG561" s="33">
        <f t="shared" si="1242"/>
        <v>829.04134599006829</v>
      </c>
      <c r="AH561" s="33">
        <f t="shared" si="1242"/>
        <v>791.40550075940814</v>
      </c>
      <c r="AI561" s="33">
        <f t="shared" si="1242"/>
        <v>803.27658327079916</v>
      </c>
      <c r="AJ561" s="33"/>
      <c r="AK561" s="33"/>
      <c r="AL561" s="33"/>
      <c r="AM561" s="33"/>
      <c r="AN561" s="33"/>
      <c r="AO561" s="33"/>
      <c r="AP561" s="33"/>
      <c r="AQ561" s="33"/>
      <c r="AR561" s="70"/>
      <c r="AS561" s="382" t="s">
        <v>272</v>
      </c>
      <c r="AT561" s="53"/>
      <c r="AU561" s="232">
        <f>SUM(D561:G561)</f>
        <v>2673</v>
      </c>
      <c r="AV561" s="232">
        <f>SUM(H561:K561)</f>
        <v>2529</v>
      </c>
      <c r="AW561" s="232">
        <f>SUM(L561:O561)</f>
        <v>2542</v>
      </c>
      <c r="AX561" s="232">
        <f>SUM(P561:S561)</f>
        <v>2558</v>
      </c>
      <c r="AY561" s="232">
        <f>SUM(T561:W561)</f>
        <v>2674</v>
      </c>
      <c r="AZ561" s="232">
        <f>SUM(X561:AA561)</f>
        <v>3126</v>
      </c>
      <c r="BA561" s="232">
        <f>SUM(AB561:AE561)</f>
        <v>3031.9076002050629</v>
      </c>
      <c r="BB561" s="232">
        <f>SUM(AF561:AI561)</f>
        <v>3220.8785703953417</v>
      </c>
      <c r="BC561" s="33">
        <f>BC558*BC562</f>
        <v>3349.6658920008167</v>
      </c>
      <c r="BD561" s="33">
        <f>BD558*BD562</f>
        <v>3483.6525276808493</v>
      </c>
      <c r="BE561" s="33">
        <f>BE558*BE562</f>
        <v>3622.9986287880838</v>
      </c>
      <c r="BM561"/>
      <c r="BN561"/>
      <c r="BO561"/>
      <c r="BP561"/>
      <c r="BQ561"/>
      <c r="BR561"/>
    </row>
    <row r="562" spans="1:74" s="72" customFormat="1" x14ac:dyDescent="0.2">
      <c r="A562" s="831"/>
      <c r="B562" s="382"/>
      <c r="C562" s="9" t="s">
        <v>273</v>
      </c>
      <c r="D562" s="66">
        <f t="shared" ref="D562:X562" si="1243">D561/D558</f>
        <v>5.7857741010480367E-3</v>
      </c>
      <c r="E562" s="66">
        <f t="shared" si="1243"/>
        <v>7.273228011316692E-3</v>
      </c>
      <c r="F562" s="66">
        <f t="shared" si="1243"/>
        <v>7.0573447899280875E-3</v>
      </c>
      <c r="G562" s="66">
        <f t="shared" si="1243"/>
        <v>8.6714561569737458E-3</v>
      </c>
      <c r="H562" s="66">
        <f t="shared" si="1243"/>
        <v>6.6357428166473392E-3</v>
      </c>
      <c r="I562" s="66">
        <f t="shared" si="1243"/>
        <v>7.164790174002047E-3</v>
      </c>
      <c r="J562" s="66">
        <f t="shared" si="1243"/>
        <v>6.5534335270511796E-3</v>
      </c>
      <c r="K562" s="66">
        <f t="shared" si="1243"/>
        <v>7.4917474726635029E-3</v>
      </c>
      <c r="L562" s="66">
        <f t="shared" si="1243"/>
        <v>5.5063083345058862E-3</v>
      </c>
      <c r="M562" s="66">
        <f t="shared" si="1243"/>
        <v>7.6815997236249836E-3</v>
      </c>
      <c r="N562" s="66">
        <f t="shared" si="1243"/>
        <v>8.3662894657843562E-3</v>
      </c>
      <c r="O562" s="66">
        <f t="shared" si="1243"/>
        <v>7.6558962749536941E-3</v>
      </c>
      <c r="P562" s="66">
        <f t="shared" si="1243"/>
        <v>5.8894461823456425E-3</v>
      </c>
      <c r="Q562" s="66">
        <f t="shared" si="1243"/>
        <v>7.8425096030729832E-3</v>
      </c>
      <c r="R562" s="66">
        <f t="shared" si="1243"/>
        <v>7.5078918181042571E-3</v>
      </c>
      <c r="S562" s="66">
        <f t="shared" si="1243"/>
        <v>7.1651090342679125E-3</v>
      </c>
      <c r="T562" s="66">
        <f t="shared" si="1243"/>
        <v>5.2058684335068621E-3</v>
      </c>
      <c r="U562" s="66">
        <f t="shared" si="1243"/>
        <v>6.8923488919025626E-3</v>
      </c>
      <c r="V562" s="66">
        <f t="shared" si="1243"/>
        <v>6.5934896374525327E-3</v>
      </c>
      <c r="W562" s="66">
        <f t="shared" si="1243"/>
        <v>8.4513685975969293E-3</v>
      </c>
      <c r="X562" s="66">
        <f t="shared" si="1243"/>
        <v>5.9015531217127652E-3</v>
      </c>
      <c r="Y562" s="66">
        <f t="shared" ref="Y562:Z562" si="1244">Y561/Y558</f>
        <v>7.4989263651679822E-3</v>
      </c>
      <c r="Z562" s="66">
        <f t="shared" si="1244"/>
        <v>6.5643740882813766E-3</v>
      </c>
      <c r="AA562" s="66">
        <f t="shared" ref="AA562:AB562" si="1245">AA561/AA558</f>
        <v>6.9982648930017348E-3</v>
      </c>
      <c r="AB562" s="66">
        <f t="shared" si="1245"/>
        <v>5.6036556036556037E-3</v>
      </c>
      <c r="AC562" s="775">
        <f>Drivers!AC195</f>
        <v>6.3E-3</v>
      </c>
      <c r="AD562" s="775">
        <f>Drivers!AD195</f>
        <v>6.3E-3</v>
      </c>
      <c r="AE562" s="775">
        <f>Drivers!AE195</f>
        <v>6.3E-3</v>
      </c>
      <c r="AF562" s="775">
        <f>Drivers!AF195</f>
        <v>6.3E-3</v>
      </c>
      <c r="AG562" s="775">
        <f>Drivers!AG195</f>
        <v>6.3E-3</v>
      </c>
      <c r="AH562" s="775">
        <f>Drivers!AH195</f>
        <v>6.1999999999999998E-3</v>
      </c>
      <c r="AI562" s="775">
        <f>Drivers!AI195</f>
        <v>6.1999999999999998E-3</v>
      </c>
      <c r="AJ562" s="775"/>
      <c r="AK562" s="775"/>
      <c r="AL562" s="775"/>
      <c r="AM562" s="775"/>
      <c r="AN562" s="775"/>
      <c r="AO562" s="775"/>
      <c r="AP562" s="775"/>
      <c r="AQ562" s="775"/>
      <c r="AR562" s="70"/>
      <c r="AS562" s="382"/>
      <c r="AT562" s="9" t="s">
        <v>273</v>
      </c>
      <c r="AU562" s="66">
        <f t="shared" ref="AU562:BA562" si="1246">AU561/AU558</f>
        <v>7.0613036334145219E-3</v>
      </c>
      <c r="AV562" s="66">
        <f t="shared" si="1246"/>
        <v>6.9277991294367089E-3</v>
      </c>
      <c r="AW562" s="66">
        <f t="shared" si="1246"/>
        <v>7.1701774774063252E-3</v>
      </c>
      <c r="AX562" s="66">
        <f t="shared" si="1246"/>
        <v>7.0051867958527544E-3</v>
      </c>
      <c r="AY562" s="66">
        <f t="shared" si="1246"/>
        <v>6.6831454271439675E-3</v>
      </c>
      <c r="AZ562" s="66">
        <f t="shared" si="1246"/>
        <v>6.7201816125856146E-3</v>
      </c>
      <c r="BA562" s="66">
        <f t="shared" si="1246"/>
        <v>6.1245363812818939E-3</v>
      </c>
      <c r="BB562" s="66">
        <f t="shared" ref="BB562" si="1247">BB561/BB558</f>
        <v>6.2500892275750043E-3</v>
      </c>
      <c r="BC562" s="775">
        <f>Drivers!BC195</f>
        <v>6.2500000000000003E-3</v>
      </c>
      <c r="BD562" s="775">
        <f>Drivers!BD195</f>
        <v>6.2500000000000003E-3</v>
      </c>
      <c r="BE562" s="775">
        <f>Drivers!BE195</f>
        <v>6.2500000000000003E-3</v>
      </c>
      <c r="BM562"/>
      <c r="BN562"/>
      <c r="BO562"/>
      <c r="BP562"/>
      <c r="BQ562"/>
      <c r="BR562"/>
    </row>
    <row r="563" spans="1:74" s="72" customFormat="1" x14ac:dyDescent="0.2">
      <c r="A563" s="831"/>
      <c r="B563" s="54"/>
      <c r="C563" s="53" t="s">
        <v>947</v>
      </c>
      <c r="D563" s="55" t="s">
        <v>229</v>
      </c>
      <c r="E563" s="56">
        <f t="shared" ref="E563:AE563" si="1248">E561/D561-1</f>
        <v>-0.15058479532163738</v>
      </c>
      <c r="F563" s="56">
        <f t="shared" si="1248"/>
        <v>0.17900172117039581</v>
      </c>
      <c r="G563" s="56">
        <f t="shared" si="1248"/>
        <v>5.5474452554744591E-2</v>
      </c>
      <c r="H563" s="56">
        <f t="shared" si="1248"/>
        <v>-2.7662517289073207E-3</v>
      </c>
      <c r="I563" s="56">
        <f t="shared" si="1248"/>
        <v>-0.10679611650485432</v>
      </c>
      <c r="J563" s="56">
        <f t="shared" si="1248"/>
        <v>-9.4720496894409978E-2</v>
      </c>
      <c r="K563" s="56">
        <f t="shared" si="1248"/>
        <v>-3.4305317324184736E-3</v>
      </c>
      <c r="L563" s="56">
        <f t="shared" si="1248"/>
        <v>1.0327022375215211E-2</v>
      </c>
      <c r="M563" s="56">
        <f t="shared" si="1248"/>
        <v>0.28790459965928439</v>
      </c>
      <c r="N563" s="56">
        <f t="shared" si="1248"/>
        <v>-0.15211640211640209</v>
      </c>
      <c r="O563" s="56">
        <f t="shared" si="1248"/>
        <v>-0.1294851794071763</v>
      </c>
      <c r="P563" s="56">
        <f t="shared" si="1248"/>
        <v>0.20788530465949817</v>
      </c>
      <c r="Q563" s="56">
        <f t="shared" si="1248"/>
        <v>9.0504451038575739E-2</v>
      </c>
      <c r="R563" s="56">
        <f t="shared" si="1248"/>
        <v>-0.28163265306122454</v>
      </c>
      <c r="S563" s="56">
        <f t="shared" si="1248"/>
        <v>0.17613636363636354</v>
      </c>
      <c r="T563" s="56">
        <f t="shared" si="1248"/>
        <v>-0.14975845410628019</v>
      </c>
      <c r="U563" s="56">
        <f t="shared" si="1248"/>
        <v>0.52083333333333326</v>
      </c>
      <c r="V563" s="56">
        <f t="shared" si="1248"/>
        <v>-0.13075965130759648</v>
      </c>
      <c r="W563" s="56">
        <f t="shared" si="1248"/>
        <v>-7.5931232091690504E-2</v>
      </c>
      <c r="X563" s="56">
        <f t="shared" si="1248"/>
        <v>0.1829457364341085</v>
      </c>
      <c r="Y563" s="56">
        <f t="shared" si="1248"/>
        <v>0.19003931847968536</v>
      </c>
      <c r="Z563" s="56">
        <f t="shared" si="1248"/>
        <v>-0.19713656387665202</v>
      </c>
      <c r="AA563" s="56">
        <f t="shared" si="1248"/>
        <v>-4.1152263374485409E-3</v>
      </c>
      <c r="AB563" s="56">
        <f t="shared" si="1248"/>
        <v>-3.7190082644628086E-2</v>
      </c>
      <c r="AC563" s="56">
        <f t="shared" si="1248"/>
        <v>0.17002383533008247</v>
      </c>
      <c r="AD563" s="56">
        <f t="shared" si="1248"/>
        <v>-4.9999999999999933E-2</v>
      </c>
      <c r="AE563" s="56">
        <f t="shared" si="1248"/>
        <v>-5.0000000000000044E-2</v>
      </c>
      <c r="AF563" s="56">
        <f t="shared" ref="AF563" si="1249">AF561/AE561-1</f>
        <v>8.0000000000000293E-2</v>
      </c>
      <c r="AG563" s="56">
        <f t="shared" ref="AG563" si="1250">AG561/AF561-1</f>
        <v>3.9999999999999813E-2</v>
      </c>
      <c r="AH563" s="56">
        <f t="shared" ref="AH563" si="1251">AH561/AG561-1</f>
        <v>-4.5396825396825324E-2</v>
      </c>
      <c r="AI563" s="56">
        <f t="shared" ref="AI563" si="1252">AI561/AH561-1</f>
        <v>1.4999999999999902E-2</v>
      </c>
      <c r="AJ563" s="56"/>
      <c r="AK563" s="56"/>
      <c r="AL563" s="56"/>
      <c r="AM563" s="56"/>
      <c r="AN563" s="56"/>
      <c r="AO563" s="56"/>
      <c r="AP563" s="56"/>
      <c r="AQ563" s="56"/>
      <c r="AR563" s="70"/>
      <c r="AS563" s="54"/>
      <c r="AT563" s="53" t="s">
        <v>948</v>
      </c>
      <c r="AV563" s="279">
        <f t="shared" ref="AV563:BE563" si="1253">AV561/AU561-1</f>
        <v>-5.3872053872053849E-2</v>
      </c>
      <c r="AW563" s="279">
        <f t="shared" si="1253"/>
        <v>5.1403716884144135E-3</v>
      </c>
      <c r="AX563" s="279">
        <f t="shared" si="1253"/>
        <v>6.2942564909520549E-3</v>
      </c>
      <c r="AY563" s="279">
        <f t="shared" si="1253"/>
        <v>4.5347928068803833E-2</v>
      </c>
      <c r="AZ563" s="279">
        <f t="shared" si="1253"/>
        <v>0.16903515332834695</v>
      </c>
      <c r="BA563" s="279">
        <f t="shared" si="1253"/>
        <v>-3.0099935954874368E-2</v>
      </c>
      <c r="BB563" s="279">
        <f t="shared" si="1253"/>
        <v>6.2327417292498577E-2</v>
      </c>
      <c r="BC563" s="56">
        <f t="shared" si="1253"/>
        <v>3.9985152743484909E-2</v>
      </c>
      <c r="BD563" s="56">
        <f t="shared" si="1253"/>
        <v>4.0000000000000036E-2</v>
      </c>
      <c r="BE563" s="56">
        <f t="shared" si="1253"/>
        <v>4.0000000000000258E-2</v>
      </c>
      <c r="BM563"/>
      <c r="BN563"/>
      <c r="BO563"/>
      <c r="BP563"/>
      <c r="BQ563"/>
      <c r="BR563"/>
    </row>
    <row r="564" spans="1:74" s="72" customFormat="1" x14ac:dyDescent="0.2">
      <c r="A564" s="831"/>
      <c r="B564" s="54"/>
      <c r="C564" s="53" t="s">
        <v>948</v>
      </c>
      <c r="D564" s="55"/>
      <c r="E564" s="56"/>
      <c r="F564" s="56"/>
      <c r="G564" s="56"/>
      <c r="H564" s="56">
        <f t="shared" ref="H564:AE564" si="1254">H561/D561-1</f>
        <v>5.4093567251461971E-2</v>
      </c>
      <c r="I564" s="56">
        <f t="shared" si="1254"/>
        <v>0.10843373493975905</v>
      </c>
      <c r="J564" s="56">
        <f t="shared" si="1254"/>
        <v>-0.14890510948905111</v>
      </c>
      <c r="K564" s="56">
        <f t="shared" si="1254"/>
        <v>-0.19640387275242044</v>
      </c>
      <c r="L564" s="56">
        <f t="shared" si="1254"/>
        <v>-0.18585298196948685</v>
      </c>
      <c r="M564" s="56">
        <f t="shared" si="1254"/>
        <v>0.17391304347826098</v>
      </c>
      <c r="N564" s="56">
        <f t="shared" si="1254"/>
        <v>9.9485420240137179E-2</v>
      </c>
      <c r="O564" s="56">
        <f t="shared" si="1254"/>
        <v>-3.9586919104991347E-2</v>
      </c>
      <c r="P564" s="56">
        <f t="shared" si="1254"/>
        <v>0.14821124361158433</v>
      </c>
      <c r="Q564" s="56">
        <f t="shared" si="1254"/>
        <v>-2.777777777777779E-2</v>
      </c>
      <c r="R564" s="56">
        <f t="shared" si="1254"/>
        <v>-0.17628705148205925</v>
      </c>
      <c r="S564" s="56">
        <f t="shared" si="1254"/>
        <v>0.11290322580645151</v>
      </c>
      <c r="T564" s="56">
        <f t="shared" si="1254"/>
        <v>-0.21661721068249262</v>
      </c>
      <c r="U564" s="56">
        <f t="shared" si="1254"/>
        <v>9.2517006802721014E-2</v>
      </c>
      <c r="V564" s="56">
        <f t="shared" si="1254"/>
        <v>0.32196969696969702</v>
      </c>
      <c r="W564" s="56">
        <f t="shared" si="1254"/>
        <v>3.8647342995169032E-2</v>
      </c>
      <c r="X564" s="56">
        <f t="shared" si="1254"/>
        <v>0.44507575757575757</v>
      </c>
      <c r="Y564" s="56">
        <f t="shared" si="1254"/>
        <v>0.13075965130759659</v>
      </c>
      <c r="Z564" s="56">
        <f t="shared" si="1254"/>
        <v>4.4412607449856756E-2</v>
      </c>
      <c r="AA564" s="56">
        <f t="shared" si="1254"/>
        <v>0.12558139534883717</v>
      </c>
      <c r="AB564" s="56">
        <f t="shared" si="1254"/>
        <v>-8.3879423328964586E-2</v>
      </c>
      <c r="AC564" s="56">
        <f t="shared" si="1254"/>
        <v>-9.9287818396775807E-2</v>
      </c>
      <c r="AD564" s="56">
        <f t="shared" si="1254"/>
        <v>6.578097098894542E-2</v>
      </c>
      <c r="AE564" s="56">
        <f t="shared" si="1254"/>
        <v>1.6675773358669543E-2</v>
      </c>
      <c r="AF564" s="56">
        <f t="shared" ref="AF564" si="1255">AF561/AB561-1</f>
        <v>0.14042223229623141</v>
      </c>
      <c r="AG564" s="56">
        <f t="shared" ref="AG564" si="1256">AG561/AC561-1</f>
        <v>1.3687999999999922E-2</v>
      </c>
      <c r="AH564" s="56">
        <f t="shared" ref="AH564" si="1257">AH561/AD561-1</f>
        <v>1.8599771428571499E-2</v>
      </c>
      <c r="AI564" s="56">
        <f t="shared" ref="AI564" si="1258">AI561/AE561-1</f>
        <v>8.8293439999999945E-2</v>
      </c>
      <c r="AJ564" s="56"/>
      <c r="AK564" s="56"/>
      <c r="AL564" s="56"/>
      <c r="AM564" s="56"/>
      <c r="AN564" s="56"/>
      <c r="AO564" s="56"/>
      <c r="AP564" s="56"/>
      <c r="AQ564" s="56"/>
      <c r="AR564" s="70"/>
      <c r="AS564" s="54"/>
      <c r="AT564" s="53" t="s">
        <v>948</v>
      </c>
      <c r="AV564" s="279">
        <f t="shared" ref="AV564:BE564" si="1259">AV561/AU561-1</f>
        <v>-5.3872053872053849E-2</v>
      </c>
      <c r="AW564" s="279">
        <f t="shared" si="1259"/>
        <v>5.1403716884144135E-3</v>
      </c>
      <c r="AX564" s="279">
        <f t="shared" si="1259"/>
        <v>6.2942564909520549E-3</v>
      </c>
      <c r="AY564" s="279">
        <f t="shared" si="1259"/>
        <v>4.5347928068803833E-2</v>
      </c>
      <c r="AZ564" s="279">
        <f t="shared" si="1259"/>
        <v>0.16903515332834695</v>
      </c>
      <c r="BA564" s="279">
        <f t="shared" si="1259"/>
        <v>-3.0099935954874368E-2</v>
      </c>
      <c r="BB564" s="279">
        <f t="shared" si="1259"/>
        <v>6.2327417292498577E-2</v>
      </c>
      <c r="BC564" s="56">
        <f t="shared" si="1259"/>
        <v>3.9985152743484909E-2</v>
      </c>
      <c r="BD564" s="56">
        <f t="shared" si="1259"/>
        <v>4.0000000000000036E-2</v>
      </c>
      <c r="BE564" s="56">
        <f t="shared" si="1259"/>
        <v>4.0000000000000258E-2</v>
      </c>
      <c r="BM564"/>
      <c r="BN564"/>
      <c r="BO564"/>
      <c r="BP564"/>
      <c r="BQ564"/>
      <c r="BR564"/>
    </row>
    <row r="565" spans="1:74" s="72" customFormat="1" x14ac:dyDescent="0.2">
      <c r="A565" s="831"/>
      <c r="B565" s="364"/>
      <c r="C565" s="9"/>
      <c r="D565" s="26"/>
      <c r="E565" s="26"/>
      <c r="F565" s="26"/>
      <c r="G565" s="26"/>
      <c r="H565" s="26"/>
      <c r="I565" s="26"/>
      <c r="J565" s="26"/>
      <c r="K565" s="26"/>
      <c r="L565" s="26"/>
      <c r="M565" s="26"/>
      <c r="N565" s="26"/>
      <c r="O565" s="26"/>
      <c r="P565" s="26"/>
      <c r="Q565" s="26"/>
      <c r="R565" s="26"/>
      <c r="S565" s="26"/>
      <c r="T565" s="26"/>
      <c r="U565" s="26"/>
      <c r="V565" s="26"/>
      <c r="W565" s="26"/>
      <c r="X565" s="53"/>
      <c r="Y565" s="53"/>
      <c r="Z565" s="53"/>
      <c r="AA565" s="53"/>
      <c r="AB565" s="53"/>
      <c r="AC565" s="53"/>
      <c r="AD565" s="53"/>
      <c r="AE565" s="53"/>
      <c r="AF565" s="53"/>
      <c r="AG565" s="53"/>
      <c r="AH565" s="53"/>
      <c r="AI565" s="53"/>
      <c r="AJ565" s="53"/>
      <c r="AK565" s="53"/>
      <c r="AL565" s="53"/>
      <c r="AM565" s="53"/>
      <c r="AN565" s="53"/>
      <c r="AO565" s="53"/>
      <c r="AP565" s="53"/>
      <c r="AQ565" s="53"/>
      <c r="AR565" s="70"/>
      <c r="AS565" s="364"/>
      <c r="AT565" s="9"/>
      <c r="BM565"/>
      <c r="BN565"/>
      <c r="BO565"/>
      <c r="BP565"/>
      <c r="BQ565"/>
      <c r="BR565"/>
    </row>
    <row r="566" spans="1:74" s="72" customFormat="1" x14ac:dyDescent="0.2">
      <c r="A566" s="831"/>
      <c r="B566" s="574" t="s">
        <v>965</v>
      </c>
      <c r="C566" s="12"/>
      <c r="D566" s="58"/>
      <c r="E566" s="58"/>
      <c r="F566" s="58"/>
      <c r="G566" s="58"/>
      <c r="H566" s="58"/>
      <c r="I566" s="58"/>
      <c r="J566" s="58"/>
      <c r="K566" s="58"/>
      <c r="L566" s="58"/>
      <c r="M566" s="58"/>
      <c r="N566" s="58"/>
      <c r="O566" s="58"/>
      <c r="P566" s="58"/>
      <c r="Q566" s="58"/>
      <c r="R566" s="58"/>
      <c r="S566" s="58"/>
      <c r="T566" s="58"/>
      <c r="U566" s="58"/>
      <c r="V566" s="58"/>
      <c r="W566" s="58"/>
      <c r="X566" s="58"/>
      <c r="Y566" s="58"/>
      <c r="Z566" s="58"/>
      <c r="AA566" s="58"/>
      <c r="AB566" s="58"/>
      <c r="AC566" s="57"/>
      <c r="AD566" s="57"/>
      <c r="AE566" s="57"/>
      <c r="AF566" s="57"/>
      <c r="AG566" s="57"/>
      <c r="AH566" s="57"/>
      <c r="AI566" s="57"/>
      <c r="AJ566" s="57"/>
      <c r="AK566" s="57"/>
      <c r="AL566" s="57"/>
      <c r="AM566" s="57"/>
      <c r="AN566" s="57"/>
      <c r="AO566" s="57"/>
      <c r="AP566" s="57"/>
      <c r="AQ566" s="57"/>
      <c r="AR566" s="70"/>
      <c r="AS566" s="574" t="s">
        <v>965</v>
      </c>
      <c r="AT566" s="12"/>
      <c r="AU566" s="58"/>
      <c r="AV566" s="58"/>
      <c r="AW566" s="58"/>
      <c r="AX566" s="58"/>
      <c r="AY566" s="58"/>
      <c r="AZ566" s="58"/>
      <c r="BA566" s="58"/>
      <c r="BB566" s="58"/>
      <c r="BC566" s="58"/>
      <c r="BD566" s="58"/>
      <c r="BE566" s="58"/>
      <c r="BF566" s="23"/>
      <c r="BG566" s="23"/>
      <c r="BH566" s="23"/>
      <c r="BI566" s="23"/>
      <c r="BJ566" s="23"/>
      <c r="BK566" s="23"/>
      <c r="BL566" s="23"/>
      <c r="BM566"/>
      <c r="BN566"/>
      <c r="BO566"/>
      <c r="BP566"/>
      <c r="BQ566"/>
      <c r="BR566"/>
      <c r="BS566" s="38"/>
      <c r="BT566" s="38"/>
      <c r="BU566" s="38"/>
      <c r="BV566" s="38"/>
    </row>
    <row r="567" spans="1:74" s="72" customFormat="1" x14ac:dyDescent="0.2">
      <c r="A567" s="831"/>
      <c r="B567" s="382" t="s">
        <v>966</v>
      </c>
      <c r="C567" s="15"/>
      <c r="D567" s="256" t="s">
        <v>229</v>
      </c>
      <c r="E567" s="23">
        <f>Model!E472/Model!D472-1</f>
        <v>2.3933402705515139E-2</v>
      </c>
      <c r="F567" s="23">
        <f>Model!F472/Model!E472-1</f>
        <v>6.6056910569105787E-2</v>
      </c>
      <c r="G567" s="23">
        <f>Model!G472/Model!F472-1</f>
        <v>5.7197330791229684E-2</v>
      </c>
      <c r="H567" s="23">
        <f>Model!H472/Model!G472-1</f>
        <v>5.5004508566276034E-2</v>
      </c>
      <c r="I567" s="23">
        <f>Model!I472/Model!H472-1</f>
        <v>-1.025641025641022E-2</v>
      </c>
      <c r="J567" s="23">
        <f>Model!J472/Model!I472-1</f>
        <v>-0.18393782383419688</v>
      </c>
      <c r="K567" s="23">
        <f>Model!K472/Model!J472-1</f>
        <v>0.21481481481481479</v>
      </c>
      <c r="L567" s="23">
        <f>Model!L472/Model!K472-1</f>
        <v>-7.6655052264808399E-2</v>
      </c>
      <c r="M567" s="23">
        <f>Model!M472/Model!L472-1</f>
        <v>0.26886792452830188</v>
      </c>
      <c r="N567" s="23">
        <f>Model!N472/Model!M472-1</f>
        <v>-6.6914498141263934E-2</v>
      </c>
      <c r="O567" s="23">
        <f>Model!O472/Model!N472-1</f>
        <v>-0.14741035856573703</v>
      </c>
      <c r="P567" s="23">
        <f>Model!P472/Model!O472-1</f>
        <v>0.12149532710280364</v>
      </c>
      <c r="Q567" s="23">
        <f>Model!Q472/Model!P472-1</f>
        <v>7.333333333333325E-2</v>
      </c>
      <c r="R567" s="23">
        <f>Model!R472/Model!Q472-1</f>
        <v>-0.27018633540372672</v>
      </c>
      <c r="S567" s="23">
        <f>Model!S472/Model!R472-1</f>
        <v>0.20106382978723403</v>
      </c>
      <c r="T567" s="23">
        <f>Model!T472/Model!S472-1</f>
        <v>-0.22674933569530553</v>
      </c>
      <c r="U567" s="23">
        <f>Model!U472/Model!T472-1</f>
        <v>0.39175257731958757</v>
      </c>
      <c r="V567" s="23">
        <f>Model!V472/Model!U472-1</f>
        <v>-0.10864197530864195</v>
      </c>
      <c r="W567" s="23">
        <f>Model!W472/Model!V472-1</f>
        <v>4.4321329639889218E-2</v>
      </c>
      <c r="X567" s="23">
        <f>Model!X472/Model!W472-1</f>
        <v>0.11582670203359857</v>
      </c>
      <c r="Y567" s="23">
        <f>Model!Y472/Model!X472-1</f>
        <v>0.21632329635499215</v>
      </c>
      <c r="Z567" s="23">
        <f>Model!Z472/Model!Y472-1</f>
        <v>-0.16612377850162863</v>
      </c>
      <c r="AA567" s="23">
        <f>Model!AA472/Model!Z472-1</f>
        <v>1.0156250000000089E-2</v>
      </c>
      <c r="AB567" s="23">
        <f>Model!AB472/Model!AA472-1</f>
        <v>-0.1260634184068059</v>
      </c>
      <c r="AC567" s="23">
        <f>Model!AC472/Model!AB472-1</f>
        <v>0.15132058037852003</v>
      </c>
      <c r="AD567" s="23">
        <f>Model!AD472/Model!AC472-1</f>
        <v>-1.0027166986698588E-2</v>
      </c>
      <c r="AE567" s="23">
        <f>Model!AE472/Model!AD472-1</f>
        <v>1.5666818892750012E-3</v>
      </c>
      <c r="AF567" s="23">
        <f>Model!AF472/Model!AE472-1</f>
        <v>6.8266980522167175E-2</v>
      </c>
      <c r="AG567" s="23">
        <f>Model!AG472/Model!AF472-1</f>
        <v>1.8907083706431793E-2</v>
      </c>
      <c r="AH567" s="23">
        <f>Model!AH472/Model!AG472-1</f>
        <v>-2.8257341290024218E-2</v>
      </c>
      <c r="AI567" s="23">
        <f>Model!AI472/Model!AH472-1</f>
        <v>7.3741560910067783E-3</v>
      </c>
      <c r="AJ567" s="23"/>
      <c r="AK567" s="23"/>
      <c r="AL567" s="23"/>
      <c r="AM567" s="23"/>
      <c r="AN567" s="23"/>
      <c r="AO567" s="23"/>
      <c r="AP567" s="23"/>
      <c r="AQ567" s="23"/>
      <c r="AR567" s="70"/>
      <c r="AS567" s="382" t="s">
        <v>966</v>
      </c>
      <c r="AT567" s="15"/>
      <c r="AU567" s="256" t="s">
        <v>229</v>
      </c>
      <c r="AV567" s="23">
        <f>Model!AV472/Model!AU472-1</f>
        <v>7.7504265171825404E-2</v>
      </c>
      <c r="AW567" s="23">
        <f>Model!AW472/Model!AV472-1</f>
        <v>6.9893689210585919E-2</v>
      </c>
      <c r="AX567" s="23">
        <f>Model!AX472/Model!AW472-1</f>
        <v>-3.6575052854122658E-2</v>
      </c>
      <c r="AY567" s="23">
        <f>Model!AY472/Model!AX472-1</f>
        <v>-5.5957867017774832E-2</v>
      </c>
      <c r="AZ567" s="23">
        <f>Model!AZ472/Model!AY472-1</f>
        <v>0.24825662482566258</v>
      </c>
      <c r="BA567" s="23">
        <f>Model!BA472/Model!AZ472-1</f>
        <v>-6.7243195994342031E-2</v>
      </c>
      <c r="BB567" s="23">
        <f>Model!BB472/Model!BA472-1</f>
        <v>0.10223327721990194</v>
      </c>
      <c r="BC567" s="23">
        <f>Model!BC472/Model!BB472-1</f>
        <v>6.8121139399424324E-2</v>
      </c>
      <c r="BD567" s="23">
        <f>Model!BD472/Model!BC472-1</f>
        <v>6.1815991346446442E-2</v>
      </c>
      <c r="BE567" s="23">
        <f>Model!BE472/Model!BD472-1</f>
        <v>4.572490063464274E-2</v>
      </c>
      <c r="BF567" s="23"/>
      <c r="BG567" s="23"/>
      <c r="BH567" s="23"/>
      <c r="BI567" s="23"/>
      <c r="BJ567" s="23"/>
      <c r="BK567" s="23"/>
      <c r="BL567" s="23"/>
      <c r="BM567"/>
      <c r="BN567"/>
      <c r="BO567"/>
      <c r="BP567"/>
      <c r="BQ567"/>
      <c r="BR567"/>
      <c r="BS567" s="38"/>
      <c r="BT567" s="38"/>
      <c r="BU567" s="38"/>
      <c r="BV567" s="38"/>
    </row>
    <row r="568" spans="1:74" s="72" customFormat="1" x14ac:dyDescent="0.2">
      <c r="A568" s="831"/>
      <c r="B568" s="382" t="s">
        <v>967</v>
      </c>
      <c r="C568" s="895"/>
      <c r="D568" s="256" t="s">
        <v>229</v>
      </c>
      <c r="E568" s="26">
        <f>(Model!E481+Model!E482)/(Model!D481+Model!D482)-1</f>
        <v>-0.39562318345016245</v>
      </c>
      <c r="F568" s="26">
        <f>(Model!F481+Model!F482)/(Model!E481+Model!E482)-1</f>
        <v>0.21753889674681748</v>
      </c>
      <c r="G568" s="26">
        <f>(Model!G481+Model!G482)/(Model!F481+Model!F482)-1</f>
        <v>-0.23001858736059477</v>
      </c>
      <c r="H568" s="26">
        <f>(Model!H481+Model!H482)/(Model!G481+Model!G482)-1</f>
        <v>0.6704888352444176</v>
      </c>
      <c r="I568" s="26">
        <f>(Model!I481+Model!I482)/(Model!H481+Model!H482)-1</f>
        <v>-0.20357658959537572</v>
      </c>
      <c r="J568" s="26">
        <f>(Model!J481+Model!J482)/(Model!I481+Model!I482)-1</f>
        <v>-0.19573599455658874</v>
      </c>
      <c r="K568" s="26">
        <f>(Model!K481+Model!K482)/(Model!J481+Model!J482)-1</f>
        <v>-0.1675126903553299</v>
      </c>
      <c r="L568" s="26">
        <f>(Model!L481+Model!L482)/(Model!K481+Model!K482)-1</f>
        <v>0.62669376693766932</v>
      </c>
      <c r="M568" s="26">
        <f>(Model!M481+Model!M482)/(Model!L481+Model!L482)-1</f>
        <v>-0.22303206997084546</v>
      </c>
      <c r="N568" s="26">
        <f>(Model!N481+Model!N482)/(Model!M481+Model!M482)-1</f>
        <v>2.3586169927633405E-2</v>
      </c>
      <c r="O568" s="26">
        <f>(Model!O481+Model!O482)/(Model!N481+Model!N482)-1</f>
        <v>-0.33411887928777162</v>
      </c>
      <c r="P568" s="26">
        <f>(Model!P481+Model!P482)/(Model!O481+Model!O482)-1</f>
        <v>0.70939834840739291</v>
      </c>
      <c r="Q568" s="26">
        <f>(Model!Q481+Model!Q482)/(Model!P481+Model!P482)-1</f>
        <v>-0.15435932827237175</v>
      </c>
      <c r="R568" s="26">
        <f>(Model!R481+Model!R482)/(Model!Q481+Model!Q482)-1</f>
        <v>-3.4276387377584316E-2</v>
      </c>
      <c r="S568" s="26">
        <f>(Model!S481+Model!S482)/(Model!R481+Model!R482)-1</f>
        <v>-0.20985915492957752</v>
      </c>
      <c r="T568" s="26">
        <f>(Model!T481+Model!T482)/(Model!S481+Model!S482)-1</f>
        <v>0.33618538324420677</v>
      </c>
      <c r="U568" s="26">
        <f>(Model!U481+Model!U482)/(Model!T481+Model!T482)-1</f>
        <v>0.12273212379935972</v>
      </c>
      <c r="V568" s="26">
        <f>(Model!V481+Model!V482)/(Model!U481+Model!U482)-1</f>
        <v>-3.3507604562737603E-2</v>
      </c>
      <c r="W568" s="26">
        <f>(Model!W481+Model!W482)/(Model!V481+Model!V482)-1</f>
        <v>-0.10449963117777228</v>
      </c>
      <c r="X568" s="26">
        <f>(Model!X481+Model!X482)/(Model!W481+Model!W482)-1</f>
        <v>0.2300933552992861</v>
      </c>
      <c r="Y568" s="26">
        <f>(Model!Y481+Model!Y482)/(Model!X481+Model!X482)-1</f>
        <v>-0.10736607142857146</v>
      </c>
      <c r="Z568" s="26">
        <f>(Model!Z481+Model!Z482)/(Model!Y481+Model!Y482)-1</f>
        <v>-6.9517379344836261E-2</v>
      </c>
      <c r="AA568" s="26">
        <f>(Model!AA481+Model!AA482)/(Model!Z481+Model!Z482)-1</f>
        <v>-0.1857027680730986</v>
      </c>
      <c r="AB568" s="26">
        <f>(Model!AB481+Model!AB482)/(Model!AA481+Model!AA482)-1</f>
        <v>0.49207920792079207</v>
      </c>
      <c r="AC568" s="26">
        <f>(Model!AC481+Model!AC482)/(Model!AB481+Model!AB482)-1</f>
        <v>-4.6301703163016961E-2</v>
      </c>
      <c r="AD568" s="26">
        <f>(Model!AD481+Model!AD482)/(Model!AC481+Model!AC482)-1</f>
        <v>-7.5235349644105387E-2</v>
      </c>
      <c r="AE568" s="26">
        <f>(Model!AE481+Model!AE482)/(Model!AD481+Model!AD482)-1</f>
        <v>-0.16222587829297164</v>
      </c>
      <c r="AF568" s="26">
        <f>(Model!AF481+Model!AF482)/(Model!AE481+Model!AE482)-1</f>
        <v>0.42667133671013402</v>
      </c>
      <c r="AG568" s="26">
        <f>(Model!AG481+Model!AG482)/(Model!AF481+Model!AF482)-1</f>
        <v>-1.2938365951767894E-2</v>
      </c>
      <c r="AH568" s="26">
        <f>(Model!AH481+Model!AH482)/(Model!AG481+Model!AG482)-1</f>
        <v>-7.628778141046344E-2</v>
      </c>
      <c r="AI568" s="26">
        <f>(Model!AI481+Model!AI482)/(Model!AH481+Model!AH482)-1</f>
        <v>-0.16218492732650458</v>
      </c>
      <c r="AJ568" s="26"/>
      <c r="AK568" s="26"/>
      <c r="AL568" s="26"/>
      <c r="AM568" s="26"/>
      <c r="AN568" s="26"/>
      <c r="AO568" s="26"/>
      <c r="AP568" s="26"/>
      <c r="AQ568" s="26"/>
      <c r="AR568" s="70"/>
      <c r="AS568" s="382" t="s">
        <v>967</v>
      </c>
      <c r="AT568" s="895"/>
      <c r="AU568" s="241" t="s">
        <v>229</v>
      </c>
      <c r="AV568" s="26">
        <f>(Model!AV481+Model!AV482)/(Model!AU481+Model!AU482)-1</f>
        <v>-3.2878484884131254E-2</v>
      </c>
      <c r="AW568" s="26">
        <f>(Model!AW481+Model!AW482)/(Model!AV481+Model!AV482)-1</f>
        <v>-9.4143404488232107E-2</v>
      </c>
      <c r="AX568" s="26">
        <f>(Model!AX481+Model!AX482)/(Model!AW481+Model!AW482)-1</f>
        <v>-3.4709634105404508E-2</v>
      </c>
      <c r="AY568" s="26">
        <f>(Model!AY481+Model!AY482)/(Model!AX481+Model!AX482)-1</f>
        <v>8.9511754068716032E-2</v>
      </c>
      <c r="AZ568" s="26">
        <f>(Model!AZ481+Model!AZ482)/(Model!AY481+Model!AY482)-1</f>
        <v>-2.7768911586338985E-2</v>
      </c>
      <c r="BA568" s="26">
        <f>(Model!BA481+Model!BA482)/(Model!AZ481+Model!AZ482)-1</f>
        <v>6.1089297439264501E-2</v>
      </c>
      <c r="BB568" s="26">
        <f>(Model!BB481+Model!BB482)/(Model!BA481+Model!BA482)-1</f>
        <v>8.0135535095378518E-2</v>
      </c>
      <c r="BC568" s="26">
        <f>(Model!BC481+Model!BC482)/(Model!BB481+Model!BB482)-1</f>
        <v>7.8095875597089082E-2</v>
      </c>
      <c r="BD568" s="26">
        <f>(Model!BD481+Model!BD482)/(Model!BC481+Model!BC482)-1</f>
        <v>7.0000000000000062E-2</v>
      </c>
      <c r="BE568" s="26">
        <f>(Model!BE481+Model!BE482)/(Model!BD481+Model!BD482)-1</f>
        <v>6.999999999999984E-2</v>
      </c>
      <c r="BM568"/>
      <c r="BN568"/>
      <c r="BO568"/>
      <c r="BP568"/>
      <c r="BQ568"/>
      <c r="BR568"/>
    </row>
    <row r="569" spans="1:74" s="72" customFormat="1" x14ac:dyDescent="0.2">
      <c r="A569" s="831"/>
      <c r="B569" s="382"/>
      <c r="C569" s="895"/>
      <c r="D569" s="26"/>
      <c r="E569" s="26"/>
      <c r="F569" s="26"/>
      <c r="G569" s="26"/>
      <c r="H569" s="26"/>
      <c r="I569" s="26"/>
      <c r="J569" s="26"/>
      <c r="K569" s="26"/>
      <c r="L569" s="26"/>
      <c r="M569" s="26"/>
      <c r="N569" s="26"/>
      <c r="O569" s="26"/>
      <c r="P569" s="26"/>
      <c r="Q569" s="26"/>
      <c r="R569" s="26"/>
      <c r="S569" s="26"/>
      <c r="T569" s="26"/>
      <c r="U569" s="26"/>
      <c r="V569" s="26"/>
      <c r="W569" s="26"/>
      <c r="X569" s="53"/>
      <c r="Y569" s="53"/>
      <c r="Z569" s="53"/>
      <c r="AA569" s="53"/>
      <c r="AB569" s="53"/>
      <c r="AC569" s="53"/>
      <c r="AD569" s="53"/>
      <c r="AE569" s="53"/>
      <c r="AF569" s="53"/>
      <c r="AG569" s="53"/>
      <c r="AH569" s="53"/>
      <c r="AI569" s="53"/>
      <c r="AJ569" s="53"/>
      <c r="AK569" s="53"/>
      <c r="AL569" s="53"/>
      <c r="AM569" s="53"/>
      <c r="AN569" s="53"/>
      <c r="AO569" s="53"/>
      <c r="AP569" s="53"/>
      <c r="AQ569" s="53"/>
      <c r="AR569" s="70"/>
      <c r="AS569" s="382"/>
      <c r="AT569" s="895"/>
      <c r="BM569"/>
      <c r="BN569"/>
      <c r="BO569"/>
      <c r="BP569"/>
      <c r="BQ569"/>
      <c r="BR569"/>
    </row>
    <row r="570" spans="1:74" s="72" customFormat="1" x14ac:dyDescent="0.2">
      <c r="A570" s="831"/>
      <c r="B570" s="382" t="s">
        <v>968</v>
      </c>
      <c r="C570" s="895"/>
      <c r="D570" s="256" t="s">
        <v>229</v>
      </c>
      <c r="E570" s="256" t="s">
        <v>229</v>
      </c>
      <c r="F570" s="256" t="s">
        <v>229</v>
      </c>
      <c r="G570" s="256" t="s">
        <v>229</v>
      </c>
      <c r="H570" s="26">
        <f>Model!H472/Model!D472-1</f>
        <v>0.21748178980228938</v>
      </c>
      <c r="I570" s="26">
        <f>Model!I472/Model!E472-1</f>
        <v>0.17682926829268286</v>
      </c>
      <c r="J570" s="26">
        <f>Model!J472/Model!F472-1</f>
        <v>-9.914204003813154E-2</v>
      </c>
      <c r="K570" s="26">
        <f>Model!K472/Model!G472-1</f>
        <v>3.5166816952209246E-2</v>
      </c>
      <c r="L570" s="26">
        <f>Model!L472/Model!H472-1</f>
        <v>-9.4017094017094016E-2</v>
      </c>
      <c r="M570" s="26">
        <f>Model!M472/Model!I472-1</f>
        <v>0.16148531951640765</v>
      </c>
      <c r="N570" s="26">
        <f>Model!N472/Model!J472-1</f>
        <v>0.32804232804232814</v>
      </c>
      <c r="O570" s="26">
        <f>Model!O472/Model!K472-1</f>
        <v>-6.7944250871080136E-2</v>
      </c>
      <c r="P570" s="26">
        <f>Model!P472/Model!L472-1</f>
        <v>0.13207547169811318</v>
      </c>
      <c r="Q570" s="26">
        <f>Model!Q472/Model!M472-1</f>
        <v>-4.2379182156133788E-2</v>
      </c>
      <c r="R570" s="26">
        <f>Model!R472/Model!N472-1</f>
        <v>-0.25099601593625498</v>
      </c>
      <c r="S570" s="26">
        <f>Model!S472/Model!O472-1</f>
        <v>5.5140186915887845E-2</v>
      </c>
      <c r="T570" s="26">
        <f>Model!T472/Model!P472-1</f>
        <v>-0.27249999999999996</v>
      </c>
      <c r="U570" s="26">
        <f>Model!U472/Model!Q472-1</f>
        <v>-5.6677018633540355E-2</v>
      </c>
      <c r="V570" s="26">
        <f>Model!V472/Model!R472-1</f>
        <v>0.15212765957446805</v>
      </c>
      <c r="W570" s="26">
        <f>Model!W472/Model!S472-1</f>
        <v>1.771479185119551E-3</v>
      </c>
      <c r="X570" s="26">
        <f>Model!X472/Model!T472-1</f>
        <v>0.44558991981672391</v>
      </c>
      <c r="Y570" s="26">
        <f>Model!Y472/Model!U472-1</f>
        <v>0.26337448559670773</v>
      </c>
      <c r="Z570" s="26">
        <f>Model!Z472/Model!V472-1</f>
        <v>0.18190212373037862</v>
      </c>
      <c r="AA570" s="26">
        <f>Model!AA472/Model!W472-1</f>
        <v>0.14323607427055696</v>
      </c>
      <c r="AB570" s="26">
        <f>Model!AB472/Model!X472-1</f>
        <v>-0.10459587955625993</v>
      </c>
      <c r="AC570" s="26">
        <f>Model!AC472/Model!Y472-1</f>
        <v>-0.15244804180604066</v>
      </c>
      <c r="AD570" s="26">
        <f>Model!AD472/Model!Z472-1</f>
        <v>6.2085853360478449E-3</v>
      </c>
      <c r="AE570" s="26">
        <f>Model!AE472/Model!AA472-1</f>
        <v>-2.3474149632526364E-3</v>
      </c>
      <c r="AF570" s="26">
        <f>Model!AF472/Model!AB472-1</f>
        <v>0.2194927378877447</v>
      </c>
      <c r="AG570" s="26">
        <f>Model!AG472/Model!AC472-1</f>
        <v>7.9238754469116213E-2</v>
      </c>
      <c r="AH570" s="26">
        <f>Model!AH472/Model!AD472-1</f>
        <v>5.936476403951052E-2</v>
      </c>
      <c r="AI570" s="26">
        <f>Model!AI472/Model!AE472-1</f>
        <v>6.550737406102014E-2</v>
      </c>
      <c r="AJ570" s="26"/>
      <c r="AK570" s="26"/>
      <c r="AL570" s="26"/>
      <c r="AM570" s="26"/>
      <c r="AN570" s="26"/>
      <c r="AO570" s="26"/>
      <c r="AP570" s="26"/>
      <c r="AQ570" s="26"/>
      <c r="AR570" s="70"/>
      <c r="AS570" s="382" t="s">
        <v>968</v>
      </c>
      <c r="AT570" s="895"/>
      <c r="AU570" s="256" t="s">
        <v>229</v>
      </c>
      <c r="AV570" s="23">
        <f>Model!AV472/Model!AU472-1</f>
        <v>7.7504265171825404E-2</v>
      </c>
      <c r="AW570" s="23">
        <f>Model!AW472/Model!AV472-1</f>
        <v>6.9893689210585919E-2</v>
      </c>
      <c r="AX570" s="23">
        <f>Model!AX472/Model!AW472-1</f>
        <v>-3.6575052854122658E-2</v>
      </c>
      <c r="AY570" s="23">
        <f>Model!AY472/Model!AX472-1</f>
        <v>-5.5957867017774832E-2</v>
      </c>
      <c r="AZ570" s="23">
        <f>Model!AZ472/Model!AY472-1</f>
        <v>0.24825662482566258</v>
      </c>
      <c r="BA570" s="23">
        <f>Model!BA472/Model!AZ472-1</f>
        <v>-6.7243195994342031E-2</v>
      </c>
      <c r="BB570" s="23">
        <f>Model!BB472/Model!BA472-1</f>
        <v>0.10223327721990194</v>
      </c>
      <c r="BC570" s="23">
        <f>Model!BC472/Model!BB472-1</f>
        <v>6.8121139399424324E-2</v>
      </c>
      <c r="BD570" s="23">
        <f>Model!BD472/Model!BC472-1</f>
        <v>6.1815991346446442E-2</v>
      </c>
      <c r="BE570" s="23">
        <f>Model!BE472/Model!BD472-1</f>
        <v>4.572490063464274E-2</v>
      </c>
      <c r="BM570"/>
      <c r="BN570"/>
      <c r="BO570"/>
      <c r="BP570"/>
      <c r="BQ570"/>
      <c r="BR570"/>
    </row>
    <row r="571" spans="1:74" s="72" customFormat="1" x14ac:dyDescent="0.2">
      <c r="A571" s="831"/>
      <c r="B571" s="382" t="s">
        <v>969</v>
      </c>
      <c r="C571" s="895"/>
      <c r="D571" s="256" t="s">
        <v>229</v>
      </c>
      <c r="E571" s="256" t="s">
        <v>229</v>
      </c>
      <c r="F571" s="256" t="s">
        <v>229</v>
      </c>
      <c r="G571" s="256" t="s">
        <v>229</v>
      </c>
      <c r="H571" s="26">
        <f>(Model!H481+Model!H482)/(Model!D481+Model!D482)-1</f>
        <v>-5.351342109762347E-2</v>
      </c>
      <c r="I571" s="26">
        <f>(Model!I481+Model!I482)/(Model!E481+Model!E482)-1</f>
        <v>0.24724186704384721</v>
      </c>
      <c r="J571" s="26">
        <f>(Model!J481+Model!J482)/(Model!F481+Model!F482)-1</f>
        <v>-0.1761152416356877</v>
      </c>
      <c r="K571" s="26">
        <f>(Model!K481+Model!K482)/(Model!G481+Model!G482)-1</f>
        <v>-0.10923355461677731</v>
      </c>
      <c r="L571" s="26">
        <f>(Model!L481+Model!L482)/(Model!H481+Model!H482)-1</f>
        <v>-0.13258670520231219</v>
      </c>
      <c r="M571" s="26">
        <f>(Model!M481+Model!M482)/(Model!I481+Model!I482)-1</f>
        <v>-0.15377636652302107</v>
      </c>
      <c r="N571" s="26">
        <f>(Model!N481+Model!N482)/(Model!J481+Model!J482)-1</f>
        <v>7.6988155668358704E-2</v>
      </c>
      <c r="O571" s="26">
        <f>(Model!O481+Model!O482)/(Model!K481+Model!K482)-1</f>
        <v>-0.13855013550135498</v>
      </c>
      <c r="P571" s="26">
        <f>(Model!P481+Model!P482)/(Model!L481+Model!L482)-1</f>
        <v>-9.4752186588921261E-2</v>
      </c>
      <c r="Q571" s="26">
        <f>(Model!Q481+Model!Q482)/(Model!M481+Model!M482)-1</f>
        <v>-1.4741356204770795E-2</v>
      </c>
      <c r="R571" s="26">
        <f>(Model!R481+Model!R482)/(Model!N481+Model!N482)-1</f>
        <v>-7.0437287247970715E-2</v>
      </c>
      <c r="S571" s="26">
        <f>(Model!S481+Model!S482)/(Model!O481+Model!O482)-1</f>
        <v>0.10302791977978765</v>
      </c>
      <c r="T571" s="26">
        <f>(Model!T481+Model!T482)/(Model!P481+Model!P482)-1</f>
        <v>-0.13779618127444215</v>
      </c>
      <c r="U571" s="26">
        <f>(Model!U481+Model!U482)/(Model!Q481+Model!Q482)-1</f>
        <v>0.14472252448313383</v>
      </c>
      <c r="V571" s="26">
        <f>(Model!V481+Model!V482)/(Model!R481+Model!R482)-1</f>
        <v>0.1456338028169013</v>
      </c>
      <c r="W571" s="26">
        <f>(Model!W481+Model!W482)/(Model!S481+Model!S482)-1</f>
        <v>0.29839572192513364</v>
      </c>
      <c r="X571" s="26">
        <f>(Model!X481+Model!X482)/(Model!T481+Model!T482)-1</f>
        <v>0.19530416221985059</v>
      </c>
      <c r="Y571" s="26">
        <f>(Model!Y481+Model!Y482)/(Model!U481+Model!U482)-1</f>
        <v>-4.9667300380228152E-2</v>
      </c>
      <c r="Z571" s="26">
        <f>(Model!Z481+Model!Z482)/(Model!V481+Model!V482)-1</f>
        <v>-8.507499385296291E-2</v>
      </c>
      <c r="AA571" s="26">
        <f>(Model!AA481+Model!AA482)/(Model!W481+Model!W482)-1</f>
        <v>-0.16803953871499178</v>
      </c>
      <c r="AB571" s="26">
        <f>(Model!AB481+Model!AB482)/(Model!X481+Model!X482)-1</f>
        <v>9.151785714285765E-3</v>
      </c>
      <c r="AC571" s="26">
        <f>(Model!AC481+Model!AC482)/(Model!Y481+Model!Y482)-1</f>
        <v>7.8187046761690526E-2</v>
      </c>
      <c r="AD571" s="26">
        <f>(Model!AD481+Model!AD482)/(Model!Z481+Model!Z482)-1</f>
        <v>7.1561408223595802E-2</v>
      </c>
      <c r="AE571" s="26">
        <f>(Model!AE481+Model!AE482)/(Model!AA481+Model!AA482)-1</f>
        <v>0.10245544554455455</v>
      </c>
      <c r="AF571" s="26">
        <f>(Model!AF481+Model!AF482)/(Model!AB481+Model!AB482)-1</f>
        <v>5.4127405441274146E-2</v>
      </c>
      <c r="AG571" s="26">
        <f>(Model!AG481+Model!AG482)/(Model!AC481+Model!AC482)-1</f>
        <v>9.1004065710038162E-2</v>
      </c>
      <c r="AH571" s="26">
        <f>(Model!AH481+Model!AH482)/(Model!AD481+Model!AD482)-1</f>
        <v>8.9762444573744382E-2</v>
      </c>
      <c r="AI571" s="26">
        <f>(Model!AI481+Model!AI482)/(Model!AE481+Model!AE482)-1</f>
        <v>8.9815712900097155E-2</v>
      </c>
      <c r="AJ571" s="26"/>
      <c r="AK571" s="26"/>
      <c r="AL571" s="26"/>
      <c r="AM571" s="26"/>
      <c r="AN571" s="26"/>
      <c r="AO571" s="26"/>
      <c r="AP571" s="26"/>
      <c r="AQ571" s="26"/>
      <c r="AR571" s="70"/>
      <c r="AS571" s="382" t="s">
        <v>969</v>
      </c>
      <c r="AT571" s="895"/>
      <c r="AU571" s="241" t="s">
        <v>229</v>
      </c>
      <c r="AV571" s="26">
        <f>(Model!AV481+Model!AV482)/(Model!AU481+Model!AU482)-1</f>
        <v>-3.2878484884131254E-2</v>
      </c>
      <c r="AW571" s="26">
        <f>(Model!AW481+Model!AW482)/(Model!AV481+Model!AV482)-1</f>
        <v>-9.4143404488232107E-2</v>
      </c>
      <c r="AX571" s="26">
        <f>(Model!AX481+Model!AX482)/(Model!AW481+Model!AW482)-1</f>
        <v>-3.4709634105404508E-2</v>
      </c>
      <c r="AY571" s="26">
        <f>(Model!AY481+Model!AY482)/(Model!AX481+Model!AX482)-1</f>
        <v>8.9511754068716032E-2</v>
      </c>
      <c r="AZ571" s="26">
        <f>(Model!AZ481+Model!AZ482)/(Model!AY481+Model!AY482)-1</f>
        <v>-2.7768911586338985E-2</v>
      </c>
      <c r="BA571" s="26">
        <f>(Model!BA481+Model!BA482)/(Model!AZ481+Model!AZ482)-1</f>
        <v>6.1089297439264501E-2</v>
      </c>
      <c r="BB571" s="26">
        <f>(Model!BB481+Model!BB482)/(Model!BA481+Model!BA482)-1</f>
        <v>8.0135535095378518E-2</v>
      </c>
      <c r="BC571" s="26">
        <f>(Model!BC481+Model!BC482)/(Model!BB481+Model!BB482)-1</f>
        <v>7.8095875597089082E-2</v>
      </c>
      <c r="BD571" s="26">
        <f>(Model!BD481+Model!BD482)/(Model!BC481+Model!BC482)-1</f>
        <v>7.0000000000000062E-2</v>
      </c>
      <c r="BE571" s="26">
        <f>(Model!BE481+Model!BE482)/(Model!BD481+Model!BD482)-1</f>
        <v>6.999999999999984E-2</v>
      </c>
      <c r="BM571"/>
      <c r="BN571"/>
      <c r="BO571"/>
      <c r="BP571"/>
      <c r="BQ571"/>
      <c r="BR571"/>
    </row>
    <row r="572" spans="1:74" s="72" customFormat="1" x14ac:dyDescent="0.2">
      <c r="A572" s="831"/>
      <c r="B572" s="364"/>
      <c r="C572" s="895"/>
      <c r="D572" s="26"/>
      <c r="E572" s="26"/>
      <c r="F572" s="26"/>
      <c r="G572" s="26"/>
      <c r="H572" s="26"/>
      <c r="I572" s="26"/>
      <c r="J572" s="26"/>
      <c r="K572" s="26"/>
      <c r="L572" s="26"/>
      <c r="M572" s="26"/>
      <c r="N572" s="26"/>
      <c r="O572" s="26"/>
      <c r="P572" s="26"/>
      <c r="Q572" s="26"/>
      <c r="R572" s="26"/>
      <c r="S572" s="26"/>
      <c r="T572" s="26"/>
      <c r="U572" s="26"/>
      <c r="V572" s="26"/>
      <c r="W572" s="26"/>
      <c r="X572" s="53"/>
      <c r="Y572" s="53"/>
      <c r="Z572" s="53"/>
      <c r="AA572" s="53"/>
      <c r="AB572" s="53"/>
      <c r="AC572" s="53"/>
      <c r="AD572" s="53"/>
      <c r="AE572" s="53"/>
      <c r="AF572" s="53"/>
      <c r="AG572" s="53"/>
      <c r="AH572" s="53"/>
      <c r="AI572" s="53"/>
      <c r="AJ572" s="53"/>
      <c r="AK572" s="53"/>
      <c r="AL572" s="53"/>
      <c r="AM572" s="53"/>
      <c r="AN572" s="53"/>
      <c r="AO572" s="53"/>
      <c r="AP572" s="53"/>
      <c r="AQ572" s="53"/>
      <c r="AR572" s="70"/>
      <c r="AS572" s="364"/>
      <c r="AT572" s="895"/>
      <c r="BM572"/>
      <c r="BN572"/>
      <c r="BO572"/>
      <c r="BP572"/>
      <c r="BQ572"/>
      <c r="BR572"/>
    </row>
    <row r="573" spans="1:74" x14ac:dyDescent="0.2">
      <c r="B573" s="11" t="s">
        <v>246</v>
      </c>
      <c r="C573" s="11"/>
      <c r="D573" s="178"/>
      <c r="E573" s="178"/>
      <c r="F573" s="178"/>
      <c r="G573" s="178"/>
      <c r="H573" s="178"/>
      <c r="I573" s="178"/>
      <c r="J573" s="178"/>
      <c r="K573" s="178"/>
      <c r="L573" s="178"/>
      <c r="M573" s="178"/>
      <c r="N573" s="178"/>
      <c r="O573" s="178"/>
      <c r="P573" s="178"/>
      <c r="Q573" s="178"/>
      <c r="R573" s="178"/>
      <c r="S573" s="178"/>
      <c r="T573" s="178"/>
      <c r="U573" s="178"/>
      <c r="V573" s="178"/>
      <c r="W573" s="178"/>
      <c r="X573" s="178"/>
      <c r="Y573" s="12"/>
      <c r="Z573" s="12"/>
      <c r="AA573" s="190"/>
      <c r="AB573" s="190"/>
      <c r="AC573" s="190"/>
      <c r="AD573" s="190"/>
      <c r="AE573" s="190"/>
      <c r="AF573" s="190"/>
      <c r="AG573" s="190"/>
      <c r="AH573" s="190"/>
      <c r="AI573" s="190"/>
      <c r="AJ573" s="190"/>
      <c r="AK573" s="190"/>
      <c r="AL573" s="190"/>
      <c r="AM573" s="190"/>
      <c r="AN573" s="190"/>
      <c r="AO573" s="190"/>
      <c r="AP573" s="190"/>
      <c r="AQ573" s="190"/>
      <c r="AS573" s="11" t="s">
        <v>246</v>
      </c>
      <c r="AT573" s="11"/>
      <c r="AU573" s="12"/>
      <c r="AV573" s="12"/>
      <c r="AW573" s="12"/>
      <c r="AX573" s="12"/>
      <c r="AY573" s="12"/>
      <c r="AZ573" s="12"/>
      <c r="BA573" s="12"/>
      <c r="BB573" s="12"/>
      <c r="BC573" s="12"/>
      <c r="BD573" s="12"/>
      <c r="BE573" s="12"/>
    </row>
    <row r="574" spans="1:74" x14ac:dyDescent="0.2">
      <c r="B574" s="319" t="s">
        <v>7</v>
      </c>
      <c r="C574" s="319"/>
      <c r="D574" s="553">
        <v>1017</v>
      </c>
      <c r="E574" s="553">
        <v>953</v>
      </c>
      <c r="F574" s="553">
        <v>915</v>
      </c>
      <c r="G574" s="553">
        <v>966</v>
      </c>
      <c r="H574" s="553">
        <v>1046</v>
      </c>
      <c r="I574" s="553">
        <v>1019</v>
      </c>
      <c r="J574" s="553">
        <v>994</v>
      </c>
      <c r="K574" s="553">
        <v>939</v>
      </c>
      <c r="L574" s="553">
        <v>1017</v>
      </c>
      <c r="M574" s="553">
        <v>995</v>
      </c>
      <c r="N574" s="553">
        <v>1018</v>
      </c>
      <c r="O574" s="553">
        <v>978</v>
      </c>
      <c r="P574" s="553">
        <v>998</v>
      </c>
      <c r="Q574" s="553">
        <v>991</v>
      </c>
      <c r="R574" s="553">
        <v>959</v>
      </c>
      <c r="S574" s="553">
        <v>927</v>
      </c>
      <c r="T574" s="553">
        <v>1004</v>
      </c>
      <c r="U574" s="553">
        <v>956</v>
      </c>
      <c r="V574" s="553">
        <v>929</v>
      </c>
      <c r="W574" s="553">
        <v>969</v>
      </c>
      <c r="X574" s="553">
        <v>1024</v>
      </c>
      <c r="Y574" s="553">
        <v>1106</v>
      </c>
      <c r="Z574" s="553">
        <v>1100</v>
      </c>
      <c r="AA574" s="553">
        <v>1088</v>
      </c>
      <c r="AB574" s="553">
        <v>1213</v>
      </c>
      <c r="AC574" s="277" t="s">
        <v>226</v>
      </c>
      <c r="AD574" s="277" t="s">
        <v>226</v>
      </c>
      <c r="AE574" s="277" t="s">
        <v>226</v>
      </c>
      <c r="AF574" s="277" t="s">
        <v>226</v>
      </c>
      <c r="AG574" s="277" t="s">
        <v>226</v>
      </c>
      <c r="AH574" s="277" t="s">
        <v>226</v>
      </c>
      <c r="AI574" s="277" t="s">
        <v>226</v>
      </c>
      <c r="AJ574" s="277"/>
      <c r="AK574" s="277"/>
      <c r="AL574" s="277"/>
      <c r="AM574" s="277"/>
      <c r="AN574" s="277"/>
      <c r="AO574" s="277"/>
      <c r="AP574" s="277"/>
      <c r="AQ574" s="277"/>
      <c r="AS574" s="319" t="s">
        <v>7</v>
      </c>
      <c r="AT574" s="319"/>
      <c r="AU574" s="232">
        <f>SUM(D574:G574)</f>
        <v>3851</v>
      </c>
      <c r="AV574" s="232">
        <f>SUM(H574:K574)</f>
        <v>3998</v>
      </c>
      <c r="AW574" s="232">
        <f>SUM(L574:O574)</f>
        <v>4008</v>
      </c>
      <c r="AX574" s="232">
        <f>SUM(P574:S574)</f>
        <v>3875</v>
      </c>
      <c r="AY574" s="232">
        <f>SUM(T574:W574)</f>
        <v>3858</v>
      </c>
      <c r="AZ574" s="252" t="s">
        <v>226</v>
      </c>
      <c r="BA574" s="252" t="s">
        <v>226</v>
      </c>
      <c r="BB574" s="252" t="s">
        <v>226</v>
      </c>
      <c r="BC574" s="252" t="s">
        <v>226</v>
      </c>
      <c r="BD574" s="252" t="s">
        <v>226</v>
      </c>
      <c r="BE574" s="252" t="s">
        <v>226</v>
      </c>
    </row>
    <row r="575" spans="1:74" x14ac:dyDescent="0.2">
      <c r="B575" s="319" t="s">
        <v>8</v>
      </c>
      <c r="C575" s="319"/>
      <c r="D575" s="553">
        <v>678</v>
      </c>
      <c r="E575" s="553">
        <v>723</v>
      </c>
      <c r="F575" s="553">
        <v>645</v>
      </c>
      <c r="G575" s="553">
        <v>667</v>
      </c>
      <c r="H575" s="553">
        <v>674</v>
      </c>
      <c r="I575" s="553">
        <v>677</v>
      </c>
      <c r="J575" s="553">
        <v>616</v>
      </c>
      <c r="K575" s="553">
        <v>625</v>
      </c>
      <c r="L575" s="553">
        <v>629</v>
      </c>
      <c r="M575" s="553">
        <v>655</v>
      </c>
      <c r="N575" s="553">
        <v>631</v>
      </c>
      <c r="O575" s="553">
        <v>623</v>
      </c>
      <c r="P575" s="553">
        <v>613</v>
      </c>
      <c r="Q575" s="553">
        <v>663</v>
      </c>
      <c r="R575" s="553">
        <v>594</v>
      </c>
      <c r="S575" s="553">
        <v>573</v>
      </c>
      <c r="T575" s="553">
        <v>597</v>
      </c>
      <c r="U575" s="553">
        <v>638</v>
      </c>
      <c r="V575" s="553">
        <v>610</v>
      </c>
      <c r="W575" s="553">
        <v>592</v>
      </c>
      <c r="X575" s="553">
        <v>635</v>
      </c>
      <c r="Y575" s="553">
        <v>674</v>
      </c>
      <c r="Z575" s="553">
        <v>688</v>
      </c>
      <c r="AA575" s="553">
        <v>671</v>
      </c>
      <c r="AB575" s="553">
        <v>694</v>
      </c>
      <c r="AC575" s="277" t="s">
        <v>226</v>
      </c>
      <c r="AD575" s="277" t="s">
        <v>226</v>
      </c>
      <c r="AE575" s="277" t="s">
        <v>226</v>
      </c>
      <c r="AF575" s="277" t="s">
        <v>226</v>
      </c>
      <c r="AG575" s="277" t="s">
        <v>226</v>
      </c>
      <c r="AH575" s="277" t="s">
        <v>226</v>
      </c>
      <c r="AI575" s="277" t="s">
        <v>226</v>
      </c>
      <c r="AJ575" s="277"/>
      <c r="AK575" s="277"/>
      <c r="AL575" s="277"/>
      <c r="AM575" s="277"/>
      <c r="AN575" s="277"/>
      <c r="AO575" s="277"/>
      <c r="AP575" s="277"/>
      <c r="AQ575" s="277"/>
      <c r="AS575" s="319" t="s">
        <v>8</v>
      </c>
      <c r="AT575" s="319"/>
      <c r="AU575" s="232">
        <f>SUM(D575:G575)</f>
        <v>2713</v>
      </c>
      <c r="AV575" s="232">
        <f>SUM(H575:K575)</f>
        <v>2592</v>
      </c>
      <c r="AW575" s="232">
        <f>SUM(L575:O575)</f>
        <v>2538</v>
      </c>
      <c r="AX575" s="232">
        <f>SUM(P575:S575)</f>
        <v>2443</v>
      </c>
      <c r="AY575" s="232">
        <f>SUM(T575:W575)</f>
        <v>2437</v>
      </c>
      <c r="AZ575" s="252" t="s">
        <v>226</v>
      </c>
      <c r="BA575" s="252" t="s">
        <v>226</v>
      </c>
      <c r="BB575" s="252" t="s">
        <v>226</v>
      </c>
      <c r="BC575" s="252" t="s">
        <v>226</v>
      </c>
      <c r="BD575" s="252" t="s">
        <v>226</v>
      </c>
      <c r="BE575" s="252" t="s">
        <v>226</v>
      </c>
    </row>
    <row r="576" spans="1:74" x14ac:dyDescent="0.2">
      <c r="B576" s="319" t="s">
        <v>65</v>
      </c>
      <c r="C576" s="319"/>
      <c r="D576" s="553">
        <v>811</v>
      </c>
      <c r="E576" s="553">
        <v>793</v>
      </c>
      <c r="F576" s="553">
        <v>1000</v>
      </c>
      <c r="G576" s="553">
        <v>1014</v>
      </c>
      <c r="H576" s="553">
        <v>1085</v>
      </c>
      <c r="I576" s="553">
        <v>983</v>
      </c>
      <c r="J576" s="553">
        <v>842</v>
      </c>
      <c r="K576" s="553">
        <v>952</v>
      </c>
      <c r="L576" s="553">
        <v>957</v>
      </c>
      <c r="M576" s="553">
        <v>1257</v>
      </c>
      <c r="N576" s="553">
        <v>1047</v>
      </c>
      <c r="O576" s="553">
        <v>1008</v>
      </c>
      <c r="P576" s="553">
        <v>1134</v>
      </c>
      <c r="Q576" s="553">
        <v>1120</v>
      </c>
      <c r="R576" s="553">
        <v>828</v>
      </c>
      <c r="S576" s="553">
        <v>1028</v>
      </c>
      <c r="T576" s="553">
        <v>740</v>
      </c>
      <c r="U576" s="553">
        <v>1029</v>
      </c>
      <c r="V576" s="553">
        <v>917</v>
      </c>
      <c r="W576" s="553">
        <v>969</v>
      </c>
      <c r="X576" s="553">
        <v>1110</v>
      </c>
      <c r="Y576" s="553">
        <v>1243</v>
      </c>
      <c r="Z576" s="553">
        <v>1163</v>
      </c>
      <c r="AA576" s="553">
        <v>1145</v>
      </c>
      <c r="AB576" s="553">
        <v>985</v>
      </c>
      <c r="AC576" s="277" t="s">
        <v>226</v>
      </c>
      <c r="AD576" s="277" t="s">
        <v>226</v>
      </c>
      <c r="AE576" s="277" t="s">
        <v>226</v>
      </c>
      <c r="AF576" s="277" t="s">
        <v>226</v>
      </c>
      <c r="AG576" s="277" t="s">
        <v>226</v>
      </c>
      <c r="AH576" s="277" t="s">
        <v>226</v>
      </c>
      <c r="AI576" s="277" t="s">
        <v>226</v>
      </c>
      <c r="AJ576" s="277"/>
      <c r="AK576" s="277"/>
      <c r="AL576" s="277"/>
      <c r="AM576" s="277"/>
      <c r="AN576" s="277"/>
      <c r="AO576" s="277"/>
      <c r="AP576" s="277"/>
      <c r="AQ576" s="277"/>
      <c r="AS576" s="319" t="s">
        <v>65</v>
      </c>
      <c r="AT576" s="319"/>
      <c r="AU576" s="232">
        <f>SUM(D576:G576)</f>
        <v>3618</v>
      </c>
      <c r="AV576" s="232">
        <f>SUM(H576:K576)</f>
        <v>3862</v>
      </c>
      <c r="AW576" s="232">
        <f>SUM(L576:O576)</f>
        <v>4269</v>
      </c>
      <c r="AX576" s="232">
        <f>SUM(P576:S576)</f>
        <v>4110</v>
      </c>
      <c r="AY576" s="232">
        <f>SUM(T576:W576)</f>
        <v>3655</v>
      </c>
      <c r="AZ576" s="252" t="s">
        <v>226</v>
      </c>
      <c r="BA576" s="252" t="s">
        <v>226</v>
      </c>
      <c r="BB576" s="252" t="s">
        <v>226</v>
      </c>
      <c r="BC576" s="252" t="s">
        <v>226</v>
      </c>
      <c r="BD576" s="252" t="s">
        <v>226</v>
      </c>
      <c r="BE576" s="252" t="s">
        <v>226</v>
      </c>
    </row>
    <row r="577" spans="1:70" x14ac:dyDescent="0.2">
      <c r="B577" s="319" t="s">
        <v>9</v>
      </c>
      <c r="C577" s="319"/>
      <c r="D577" s="553">
        <v>1978</v>
      </c>
      <c r="E577" s="553">
        <v>1471</v>
      </c>
      <c r="F577" s="553">
        <v>773</v>
      </c>
      <c r="G577" s="553">
        <v>85</v>
      </c>
      <c r="H577" s="553">
        <v>2466</v>
      </c>
      <c r="I577" s="553">
        <v>2442</v>
      </c>
      <c r="J577" s="553">
        <v>854</v>
      </c>
      <c r="K577" s="553">
        <v>697</v>
      </c>
      <c r="L577" s="553">
        <v>2598</v>
      </c>
      <c r="M577" s="553">
        <v>1572</v>
      </c>
      <c r="N577" s="553">
        <v>1394</v>
      </c>
      <c r="O577" s="553">
        <v>330</v>
      </c>
      <c r="P577" s="553">
        <v>2198</v>
      </c>
      <c r="Q577" s="553">
        <v>1794</v>
      </c>
      <c r="R577" s="553">
        <v>1211</v>
      </c>
      <c r="S577" s="553">
        <v>621</v>
      </c>
      <c r="T577" s="553">
        <v>1576</v>
      </c>
      <c r="U577" s="553">
        <v>1912</v>
      </c>
      <c r="V577" s="553">
        <v>2064</v>
      </c>
      <c r="W577" s="553">
        <v>1783</v>
      </c>
      <c r="X577" s="553">
        <v>2731</v>
      </c>
      <c r="Y577" s="553">
        <v>2151</v>
      </c>
      <c r="Z577" s="553">
        <v>1827</v>
      </c>
      <c r="AA577" s="553">
        <v>1303</v>
      </c>
      <c r="AB577" s="553">
        <v>2884</v>
      </c>
      <c r="AC577" s="277" t="s">
        <v>226</v>
      </c>
      <c r="AD577" s="277" t="s">
        <v>226</v>
      </c>
      <c r="AE577" s="277" t="s">
        <v>226</v>
      </c>
      <c r="AF577" s="277" t="s">
        <v>226</v>
      </c>
      <c r="AG577" s="277" t="s">
        <v>226</v>
      </c>
      <c r="AH577" s="277" t="s">
        <v>226</v>
      </c>
      <c r="AI577" s="277" t="s">
        <v>226</v>
      </c>
      <c r="AJ577" s="277"/>
      <c r="AK577" s="277"/>
      <c r="AL577" s="277"/>
      <c r="AM577" s="277"/>
      <c r="AN577" s="277"/>
      <c r="AO577" s="277"/>
      <c r="AP577" s="277"/>
      <c r="AQ577" s="277"/>
      <c r="AS577" s="319" t="s">
        <v>9</v>
      </c>
      <c r="AT577" s="319"/>
      <c r="AU577" s="232">
        <f>SUM(D577:G577)</f>
        <v>4307</v>
      </c>
      <c r="AV577" s="232">
        <f>SUM(H577:K577)</f>
        <v>6459</v>
      </c>
      <c r="AW577" s="232">
        <f>SUM(L577:O577)</f>
        <v>5894</v>
      </c>
      <c r="AX577" s="232">
        <f>SUM(P577:S577)</f>
        <v>5824</v>
      </c>
      <c r="AY577" s="232">
        <f>SUM(T577:W577)</f>
        <v>7335</v>
      </c>
      <c r="AZ577" s="252" t="s">
        <v>226</v>
      </c>
      <c r="BA577" s="252" t="s">
        <v>226</v>
      </c>
      <c r="BB577" s="252" t="s">
        <v>226</v>
      </c>
      <c r="BC577" s="252" t="s">
        <v>226</v>
      </c>
      <c r="BD577" s="252" t="s">
        <v>226</v>
      </c>
      <c r="BE577" s="252" t="s">
        <v>226</v>
      </c>
    </row>
    <row r="578" spans="1:70" x14ac:dyDescent="0.2">
      <c r="B578" s="319" t="s">
        <v>16</v>
      </c>
      <c r="C578" s="319"/>
      <c r="D578" s="537">
        <v>-286</v>
      </c>
      <c r="E578" s="537">
        <v>430</v>
      </c>
      <c r="F578" s="537">
        <v>60</v>
      </c>
      <c r="G578" s="537">
        <v>70</v>
      </c>
      <c r="H578" s="537">
        <v>444</v>
      </c>
      <c r="I578" s="537">
        <v>486</v>
      </c>
      <c r="J578" s="537">
        <v>177</v>
      </c>
      <c r="K578" s="537">
        <v>-80</v>
      </c>
      <c r="L578" s="537">
        <v>207</v>
      </c>
      <c r="M578" s="537">
        <v>135</v>
      </c>
      <c r="N578" s="537">
        <v>262</v>
      </c>
      <c r="O578" s="537">
        <v>188</v>
      </c>
      <c r="P578" s="537">
        <v>258</v>
      </c>
      <c r="Q578" s="537">
        <v>195</v>
      </c>
      <c r="R578" s="537">
        <v>904</v>
      </c>
      <c r="S578" s="537">
        <v>55</v>
      </c>
      <c r="T578" s="537">
        <v>-7</v>
      </c>
      <c r="U578" s="537">
        <v>46</v>
      </c>
      <c r="V578" s="537">
        <v>-125</v>
      </c>
      <c r="W578" s="537">
        <v>-66</v>
      </c>
      <c r="X578" s="537">
        <v>1</v>
      </c>
      <c r="Y578" s="537">
        <v>246</v>
      </c>
      <c r="Z578" s="537">
        <v>704</v>
      </c>
      <c r="AA578" s="537">
        <v>228</v>
      </c>
      <c r="AB578" s="537">
        <v>418</v>
      </c>
      <c r="AC578" s="278" t="s">
        <v>226</v>
      </c>
      <c r="AD578" s="278" t="s">
        <v>226</v>
      </c>
      <c r="AE578" s="278" t="s">
        <v>226</v>
      </c>
      <c r="AF578" s="278" t="s">
        <v>226</v>
      </c>
      <c r="AG578" s="278" t="s">
        <v>226</v>
      </c>
      <c r="AH578" s="278" t="s">
        <v>226</v>
      </c>
      <c r="AI578" s="278" t="s">
        <v>226</v>
      </c>
      <c r="AJ578" s="1762"/>
      <c r="AK578" s="1762"/>
      <c r="AL578" s="1762"/>
      <c r="AM578" s="1762"/>
      <c r="AN578" s="1762"/>
      <c r="AO578" s="1762"/>
      <c r="AP578" s="1762"/>
      <c r="AQ578" s="1762"/>
      <c r="AS578" s="319" t="s">
        <v>16</v>
      </c>
      <c r="AT578" s="319"/>
      <c r="AU578" s="41">
        <f>SUM(D578:G578)</f>
        <v>274</v>
      </c>
      <c r="AV578" s="41">
        <f>SUM(H578:K578)</f>
        <v>1027</v>
      </c>
      <c r="AW578" s="41">
        <f>SUM(L578:O578)</f>
        <v>792</v>
      </c>
      <c r="AX578" s="41">
        <f>SUM(P578:S578)</f>
        <v>1412</v>
      </c>
      <c r="AY578" s="41">
        <f>SUM(T578:W578)</f>
        <v>-152</v>
      </c>
      <c r="AZ578" s="259" t="s">
        <v>226</v>
      </c>
      <c r="BA578" s="259" t="s">
        <v>226</v>
      </c>
      <c r="BB578" s="259" t="s">
        <v>226</v>
      </c>
      <c r="BC578" s="259" t="s">
        <v>226</v>
      </c>
      <c r="BD578" s="259" t="s">
        <v>226</v>
      </c>
      <c r="BE578" s="259" t="s">
        <v>226</v>
      </c>
    </row>
    <row r="579" spans="1:70" x14ac:dyDescent="0.2">
      <c r="B579" s="554" t="s">
        <v>293</v>
      </c>
      <c r="C579" s="319"/>
      <c r="D579" s="385">
        <f t="shared" ref="D579:X579" si="1260">SUM(D574:D578)</f>
        <v>4198</v>
      </c>
      <c r="E579" s="385">
        <f t="shared" si="1260"/>
        <v>4370</v>
      </c>
      <c r="F579" s="385">
        <f t="shared" si="1260"/>
        <v>3393</v>
      </c>
      <c r="G579" s="385">
        <f t="shared" si="1260"/>
        <v>2802</v>
      </c>
      <c r="H579" s="385">
        <f t="shared" si="1260"/>
        <v>5715</v>
      </c>
      <c r="I579" s="385">
        <f t="shared" si="1260"/>
        <v>5607</v>
      </c>
      <c r="J579" s="385">
        <f t="shared" si="1260"/>
        <v>3483</v>
      </c>
      <c r="K579" s="385">
        <f t="shared" si="1260"/>
        <v>3133</v>
      </c>
      <c r="L579" s="385">
        <f t="shared" si="1260"/>
        <v>5408</v>
      </c>
      <c r="M579" s="385">
        <f t="shared" si="1260"/>
        <v>4614</v>
      </c>
      <c r="N579" s="385">
        <f t="shared" si="1260"/>
        <v>4352</v>
      </c>
      <c r="O579" s="385">
        <f t="shared" si="1260"/>
        <v>3127</v>
      </c>
      <c r="P579" s="385">
        <f t="shared" si="1260"/>
        <v>5201</v>
      </c>
      <c r="Q579" s="385">
        <f t="shared" si="1260"/>
        <v>4763</v>
      </c>
      <c r="R579" s="385">
        <f t="shared" si="1260"/>
        <v>4496</v>
      </c>
      <c r="S579" s="385">
        <f t="shared" si="1260"/>
        <v>3204</v>
      </c>
      <c r="T579" s="385">
        <f t="shared" si="1260"/>
        <v>3910</v>
      </c>
      <c r="U579" s="385">
        <f t="shared" si="1260"/>
        <v>4581</v>
      </c>
      <c r="V579" s="385">
        <f t="shared" si="1260"/>
        <v>4395</v>
      </c>
      <c r="W579" s="385">
        <f t="shared" si="1260"/>
        <v>4247</v>
      </c>
      <c r="X579" s="385">
        <f t="shared" si="1260"/>
        <v>5501</v>
      </c>
      <c r="Y579" s="385">
        <f t="shared" ref="Y579:Z579" si="1261">SUM(Y574:Y578)</f>
        <v>5420</v>
      </c>
      <c r="Z579" s="385">
        <f t="shared" si="1261"/>
        <v>5482</v>
      </c>
      <c r="AA579" s="385">
        <f t="shared" ref="AA579:AB579" si="1262">SUM(AA574:AA578)</f>
        <v>4435</v>
      </c>
      <c r="AB579" s="385">
        <f t="shared" si="1262"/>
        <v>6194</v>
      </c>
      <c r="AC579" s="34">
        <f t="shared" ref="AC579:AE579" si="1263">AC582-AC510</f>
        <v>6197.0701599373169</v>
      </c>
      <c r="AD579" s="34">
        <f t="shared" si="1263"/>
        <v>5825.3338287917841</v>
      </c>
      <c r="AE579" s="34">
        <f t="shared" si="1263"/>
        <v>5054.7181648503229</v>
      </c>
      <c r="AF579" s="34">
        <f t="shared" ref="AF579:AI579" si="1264">AF582-AF510</f>
        <v>6570.5818000603185</v>
      </c>
      <c r="AG579" s="34">
        <f t="shared" si="1264"/>
        <v>6408.8943361316506</v>
      </c>
      <c r="AH579" s="34">
        <f t="shared" si="1264"/>
        <v>5844.3844130483812</v>
      </c>
      <c r="AI579" s="34">
        <f t="shared" si="1264"/>
        <v>4968.7529631164607</v>
      </c>
      <c r="AJ579" s="34"/>
      <c r="AK579" s="34"/>
      <c r="AL579" s="34"/>
      <c r="AM579" s="34"/>
      <c r="AN579" s="34"/>
      <c r="AO579" s="34"/>
      <c r="AP579" s="34"/>
      <c r="AQ579" s="34"/>
      <c r="AS579" s="554" t="s">
        <v>293</v>
      </c>
      <c r="AT579" s="319"/>
      <c r="AU579" s="232">
        <f>SUM(AU574:AU578)</f>
        <v>14763</v>
      </c>
      <c r="AV579" s="232">
        <f>SUM(AV574:AV578)</f>
        <v>17938</v>
      </c>
      <c r="AW579" s="232">
        <f>SUM(AW574:AW578)</f>
        <v>17501</v>
      </c>
      <c r="AX579" s="232">
        <f>SUM(AX574:AX578)</f>
        <v>17664</v>
      </c>
      <c r="AY579" s="232">
        <f>SUM(AY574:AY578)</f>
        <v>17133</v>
      </c>
      <c r="AZ579" s="232">
        <f t="shared" ref="AZ579:BE579" si="1265">AZ511</f>
        <v>20838</v>
      </c>
      <c r="BA579" s="232">
        <f t="shared" si="1265"/>
        <v>23271.122153579425</v>
      </c>
      <c r="BB579" s="232">
        <f t="shared" ref="BB579" si="1266">BB511</f>
        <v>23792.613512356813</v>
      </c>
      <c r="BC579" s="232">
        <f t="shared" si="1265"/>
        <v>24646.057318400886</v>
      </c>
      <c r="BD579" s="232">
        <f t="shared" si="1265"/>
        <v>25557.451397939269</v>
      </c>
      <c r="BE579" s="232">
        <f t="shared" si="1265"/>
        <v>26589.363696241533</v>
      </c>
    </row>
    <row r="580" spans="1:70" x14ac:dyDescent="0.2">
      <c r="B580" s="554"/>
      <c r="C580" s="319"/>
      <c r="D580" s="385"/>
      <c r="E580" s="385"/>
      <c r="F580" s="385"/>
      <c r="G580" s="385"/>
      <c r="H580" s="385"/>
      <c r="I580" s="385"/>
      <c r="J580" s="385"/>
      <c r="K580" s="385"/>
      <c r="L580" s="385"/>
      <c r="M580" s="385"/>
      <c r="N580" s="385"/>
      <c r="O580" s="385"/>
      <c r="P580" s="385"/>
      <c r="Q580" s="385"/>
      <c r="R580" s="385"/>
      <c r="S580" s="385"/>
      <c r="T580" s="385"/>
      <c r="U580" s="385"/>
      <c r="V580" s="385"/>
      <c r="W580" s="385"/>
      <c r="X580" s="385"/>
      <c r="Y580" s="385"/>
      <c r="Z580" s="385"/>
      <c r="AA580" s="385"/>
      <c r="AB580" s="385"/>
      <c r="AC580" s="70"/>
      <c r="AD580" s="70"/>
      <c r="AE580" s="70"/>
      <c r="AF580" s="70"/>
      <c r="AG580" s="70"/>
      <c r="AH580" s="70"/>
      <c r="AI580" s="70"/>
      <c r="AJ580" s="70"/>
      <c r="AK580" s="70"/>
      <c r="AL580" s="70"/>
      <c r="AM580" s="70"/>
      <c r="AN580" s="70"/>
      <c r="AO580" s="70"/>
      <c r="AP580" s="70"/>
      <c r="AQ580" s="70"/>
      <c r="AS580" s="554"/>
      <c r="AT580" s="319"/>
    </row>
    <row r="581" spans="1:70" x14ac:dyDescent="0.2">
      <c r="B581" s="555" t="s">
        <v>292</v>
      </c>
      <c r="C581" s="319"/>
      <c r="D581" s="556">
        <v>3930</v>
      </c>
      <c r="E581" s="556">
        <v>3897</v>
      </c>
      <c r="F581" s="556">
        <v>4064</v>
      </c>
      <c r="G581" s="556">
        <v>4217</v>
      </c>
      <c r="H581" s="556">
        <v>3876</v>
      </c>
      <c r="I581" s="556">
        <v>3987</v>
      </c>
      <c r="J581" s="556">
        <v>3846</v>
      </c>
      <c r="K581" s="556">
        <v>3933</v>
      </c>
      <c r="L581" s="556">
        <v>3858</v>
      </c>
      <c r="M581" s="556">
        <v>3857</v>
      </c>
      <c r="N581" s="556">
        <v>4050</v>
      </c>
      <c r="O581" s="556">
        <v>4096</v>
      </c>
      <c r="P581" s="556">
        <v>3761</v>
      </c>
      <c r="Q581" s="556">
        <v>4006</v>
      </c>
      <c r="R581" s="556">
        <v>3985</v>
      </c>
      <c r="S581" s="556">
        <v>3916</v>
      </c>
      <c r="T581" s="556">
        <v>3985</v>
      </c>
      <c r="U581" s="556">
        <v>4108</v>
      </c>
      <c r="V581" s="556">
        <v>4064</v>
      </c>
      <c r="W581" s="556">
        <v>3937</v>
      </c>
      <c r="X581" s="556">
        <v>3818</v>
      </c>
      <c r="Y581" s="556">
        <v>4001</v>
      </c>
      <c r="Z581" s="556">
        <v>3948</v>
      </c>
      <c r="AA581" s="556">
        <v>3869</v>
      </c>
      <c r="AB581" s="556">
        <v>3654</v>
      </c>
      <c r="AC581" s="278" t="s">
        <v>226</v>
      </c>
      <c r="AD581" s="278" t="s">
        <v>226</v>
      </c>
      <c r="AE581" s="278" t="s">
        <v>226</v>
      </c>
      <c r="AF581" s="278" t="s">
        <v>226</v>
      </c>
      <c r="AG581" s="278" t="s">
        <v>226</v>
      </c>
      <c r="AH581" s="278" t="s">
        <v>226</v>
      </c>
      <c r="AI581" s="278" t="s">
        <v>226</v>
      </c>
      <c r="AJ581" s="1762"/>
      <c r="AK581" s="1762"/>
      <c r="AL581" s="1762"/>
      <c r="AM581" s="1762"/>
      <c r="AN581" s="1762"/>
      <c r="AO581" s="1762"/>
      <c r="AP581" s="1762"/>
      <c r="AQ581" s="1762"/>
      <c r="AS581" s="555" t="s">
        <v>292</v>
      </c>
      <c r="AT581" s="319"/>
      <c r="AU581" s="41">
        <f>SUM(D581:G581)</f>
        <v>16108</v>
      </c>
      <c r="AV581" s="41">
        <f>SUM(H581:K581)</f>
        <v>15642</v>
      </c>
      <c r="AW581" s="41">
        <f>SUM(L581:O581)</f>
        <v>15861</v>
      </c>
      <c r="AX581" s="41">
        <f>SUM(P581:S581)</f>
        <v>15668</v>
      </c>
      <c r="AY581" s="41">
        <f>SUM(T581:W581)</f>
        <v>16094</v>
      </c>
      <c r="AZ581" s="259" t="s">
        <v>226</v>
      </c>
      <c r="BA581" s="259" t="s">
        <v>226</v>
      </c>
      <c r="BB581" s="259" t="s">
        <v>226</v>
      </c>
      <c r="BC581" s="259" t="s">
        <v>226</v>
      </c>
      <c r="BD581" s="259" t="s">
        <v>226</v>
      </c>
      <c r="BE581" s="259" t="s">
        <v>226</v>
      </c>
    </row>
    <row r="582" spans="1:70" x14ac:dyDescent="0.2">
      <c r="B582" s="316" t="s">
        <v>545</v>
      </c>
      <c r="C582" s="387"/>
      <c r="D582" s="320">
        <f t="shared" ref="D582:X582" si="1267">D581+D579</f>
        <v>8128</v>
      </c>
      <c r="E582" s="320">
        <f t="shared" si="1267"/>
        <v>8267</v>
      </c>
      <c r="F582" s="320">
        <f t="shared" si="1267"/>
        <v>7457</v>
      </c>
      <c r="G582" s="320">
        <f t="shared" si="1267"/>
        <v>7019</v>
      </c>
      <c r="H582" s="320">
        <f t="shared" si="1267"/>
        <v>9591</v>
      </c>
      <c r="I582" s="320">
        <f t="shared" si="1267"/>
        <v>9594</v>
      </c>
      <c r="J582" s="320">
        <f t="shared" si="1267"/>
        <v>7329</v>
      </c>
      <c r="K582" s="320">
        <f t="shared" si="1267"/>
        <v>7066</v>
      </c>
      <c r="L582" s="320">
        <f t="shared" si="1267"/>
        <v>9266</v>
      </c>
      <c r="M582" s="320">
        <f t="shared" si="1267"/>
        <v>8471</v>
      </c>
      <c r="N582" s="320">
        <f t="shared" si="1267"/>
        <v>8402</v>
      </c>
      <c r="O582" s="320">
        <f t="shared" si="1267"/>
        <v>7223</v>
      </c>
      <c r="P582" s="320">
        <f t="shared" si="1267"/>
        <v>8962</v>
      </c>
      <c r="Q582" s="320">
        <f t="shared" si="1267"/>
        <v>8769</v>
      </c>
      <c r="R582" s="320">
        <f t="shared" si="1267"/>
        <v>8481</v>
      </c>
      <c r="S582" s="320">
        <f t="shared" si="1267"/>
        <v>7120</v>
      </c>
      <c r="T582" s="320">
        <f t="shared" si="1267"/>
        <v>7895</v>
      </c>
      <c r="U582" s="320">
        <f t="shared" si="1267"/>
        <v>8689</v>
      </c>
      <c r="V582" s="320">
        <f t="shared" si="1267"/>
        <v>8459</v>
      </c>
      <c r="W582" s="320">
        <f t="shared" si="1267"/>
        <v>8184</v>
      </c>
      <c r="X582" s="320">
        <f t="shared" si="1267"/>
        <v>9319</v>
      </c>
      <c r="Y582" s="320">
        <f t="shared" ref="Y582:Z582" si="1268">Y581+Y579</f>
        <v>9421</v>
      </c>
      <c r="Z582" s="320">
        <f t="shared" si="1268"/>
        <v>9430</v>
      </c>
      <c r="AA582" s="320">
        <f t="shared" ref="AA582:AB582" si="1269">AA581+AA579</f>
        <v>8304</v>
      </c>
      <c r="AB582" s="320">
        <f t="shared" si="1269"/>
        <v>9848</v>
      </c>
      <c r="AC582" s="122">
        <f t="shared" ref="AC582:AE582" si="1270">AC489</f>
        <v>10162.645721581153</v>
      </c>
      <c r="AD582" s="122">
        <f t="shared" si="1270"/>
        <v>9938.8558633123321</v>
      </c>
      <c r="AE582" s="122">
        <f t="shared" si="1270"/>
        <v>9364.6277029544326</v>
      </c>
      <c r="AF582" s="122">
        <f t="shared" ref="AF582:AI582" si="1271">AF489</f>
        <v>10960.716556468811</v>
      </c>
      <c r="AG582" s="122">
        <f t="shared" si="1271"/>
        <v>10982.787590201242</v>
      </c>
      <c r="AH582" s="122">
        <f t="shared" si="1271"/>
        <v>10679.896847251401</v>
      </c>
      <c r="AI582" s="122">
        <f t="shared" si="1271"/>
        <v>10023.299747680656</v>
      </c>
      <c r="AJ582" s="122"/>
      <c r="AK582" s="122"/>
      <c r="AL582" s="122"/>
      <c r="AM582" s="122"/>
      <c r="AN582" s="122"/>
      <c r="AO582" s="122"/>
      <c r="AP582" s="122"/>
      <c r="AQ582" s="122"/>
      <c r="AS582" s="316" t="s">
        <v>251</v>
      </c>
      <c r="AT582" s="387"/>
      <c r="AU582" s="122">
        <f>SUM(AU579:AU581)</f>
        <v>30871</v>
      </c>
      <c r="AV582" s="122">
        <f>SUM(AV579:AV581)</f>
        <v>33580</v>
      </c>
      <c r="AW582" s="122">
        <f>SUM(AW579:AW581)</f>
        <v>33362</v>
      </c>
      <c r="AX582" s="122">
        <f>SUM(AX579:AX581)</f>
        <v>33332</v>
      </c>
      <c r="AY582" s="122">
        <f>SUM(AY579:AY581)</f>
        <v>33227</v>
      </c>
      <c r="AZ582" s="122">
        <f t="shared" ref="AZ582:BE582" si="1272">AZ489</f>
        <v>36474</v>
      </c>
      <c r="BA582" s="122">
        <f t="shared" si="1272"/>
        <v>39314.129287847914</v>
      </c>
      <c r="BB582" s="122">
        <f t="shared" ref="BB582" si="1273">BB489</f>
        <v>42646.700741602115</v>
      </c>
      <c r="BC582" s="122">
        <f t="shared" si="1272"/>
        <v>45556.306651665109</v>
      </c>
      <c r="BD582" s="122">
        <f t="shared" si="1272"/>
        <v>48361.686776581846</v>
      </c>
      <c r="BE582" s="122">
        <f t="shared" si="1272"/>
        <v>51217.937905175517</v>
      </c>
    </row>
    <row r="583" spans="1:70" x14ac:dyDescent="0.2">
      <c r="B583" s="316"/>
      <c r="C583" s="387"/>
      <c r="D583" s="385"/>
      <c r="E583" s="385"/>
      <c r="F583" s="385"/>
      <c r="G583" s="385"/>
      <c r="H583" s="15"/>
      <c r="I583" s="15"/>
      <c r="J583" s="70"/>
      <c r="K583" s="70"/>
      <c r="L583" s="70"/>
      <c r="M583" s="70"/>
      <c r="N583" s="70"/>
      <c r="O583" s="70"/>
      <c r="P583" s="70"/>
      <c r="Q583" s="70"/>
      <c r="R583" s="70"/>
      <c r="S583" s="70"/>
      <c r="T583" s="70"/>
      <c r="U583" s="70"/>
      <c r="V583" s="70"/>
      <c r="W583" s="70"/>
      <c r="X583" s="70"/>
      <c r="Y583" s="70"/>
      <c r="Z583" s="70"/>
      <c r="AA583" s="70"/>
      <c r="AB583" s="70"/>
      <c r="AS583" s="316"/>
      <c r="AT583" s="387"/>
    </row>
    <row r="584" spans="1:70" s="324" customFormat="1" x14ac:dyDescent="0.2">
      <c r="A584" s="411"/>
      <c r="B584" s="557" t="s">
        <v>262</v>
      </c>
      <c r="C584" s="558"/>
      <c r="D584" s="559"/>
      <c r="E584" s="559"/>
      <c r="F584" s="559"/>
      <c r="G584" s="559"/>
      <c r="H584" s="559"/>
      <c r="I584" s="559"/>
      <c r="J584" s="559"/>
      <c r="K584" s="559"/>
      <c r="L584" s="559"/>
      <c r="M584" s="559"/>
      <c r="N584" s="559"/>
      <c r="O584" s="559"/>
      <c r="P584" s="559"/>
      <c r="Q584" s="559"/>
      <c r="R584" s="559"/>
      <c r="S584" s="559"/>
      <c r="T584" s="559"/>
      <c r="U584" s="559"/>
      <c r="V584" s="559"/>
      <c r="W584" s="559"/>
      <c r="X584" s="559"/>
      <c r="Y584" s="559"/>
      <c r="Z584" s="559"/>
      <c r="AA584" s="559"/>
      <c r="AB584" s="559"/>
      <c r="AR584" s="70"/>
      <c r="AS584" s="557" t="s">
        <v>262</v>
      </c>
      <c r="AT584" s="558"/>
      <c r="BF584" s="70"/>
      <c r="BG584" s="70"/>
      <c r="BH584" s="70"/>
      <c r="BI584" s="70"/>
      <c r="BJ584" s="70"/>
      <c r="BK584" s="70"/>
      <c r="BL584" s="70"/>
      <c r="BM584"/>
      <c r="BN584"/>
      <c r="BO584"/>
      <c r="BP584"/>
      <c r="BQ584"/>
      <c r="BR584"/>
    </row>
    <row r="585" spans="1:70" x14ac:dyDescent="0.2">
      <c r="B585" s="327"/>
      <c r="C585" s="362" t="s">
        <v>76</v>
      </c>
      <c r="D585" s="560">
        <v>2728</v>
      </c>
      <c r="E585" s="560">
        <v>2632</v>
      </c>
      <c r="F585" s="560">
        <v>2480</v>
      </c>
      <c r="G585" s="560">
        <v>2420</v>
      </c>
      <c r="H585" s="560">
        <v>3702</v>
      </c>
      <c r="I585" s="560">
        <v>3143</v>
      </c>
      <c r="J585" s="560">
        <v>2534</v>
      </c>
      <c r="K585" s="560">
        <v>2346</v>
      </c>
      <c r="L585" s="560">
        <v>3739</v>
      </c>
      <c r="M585" s="560">
        <v>3327</v>
      </c>
      <c r="N585" s="560">
        <v>3383</v>
      </c>
      <c r="O585" s="560">
        <v>2544</v>
      </c>
      <c r="P585" s="560">
        <v>3248</v>
      </c>
      <c r="Q585" s="560">
        <v>3305</v>
      </c>
      <c r="R585" s="560">
        <v>3282</v>
      </c>
      <c r="S585" s="560">
        <v>2705</v>
      </c>
      <c r="T585" s="560">
        <v>2980</v>
      </c>
      <c r="U585" s="560">
        <v>3393</v>
      </c>
      <c r="V585" s="560">
        <v>3191</v>
      </c>
      <c r="W585" s="560">
        <v>2949</v>
      </c>
      <c r="X585" s="560">
        <v>3522</v>
      </c>
      <c r="Y585" s="560">
        <v>3646</v>
      </c>
      <c r="Z585" s="560">
        <v>3709</v>
      </c>
      <c r="AA585" s="560">
        <v>3046</v>
      </c>
      <c r="AB585" s="560">
        <v>3265</v>
      </c>
      <c r="AC585" s="277" t="s">
        <v>226</v>
      </c>
      <c r="AD585" s="277" t="s">
        <v>226</v>
      </c>
      <c r="AE585" s="277" t="s">
        <v>226</v>
      </c>
      <c r="AF585" s="277" t="s">
        <v>226</v>
      </c>
      <c r="AG585" s="277" t="s">
        <v>226</v>
      </c>
      <c r="AH585" s="277" t="s">
        <v>226</v>
      </c>
      <c r="AI585" s="277" t="s">
        <v>226</v>
      </c>
      <c r="AJ585" s="277"/>
      <c r="AK585" s="277"/>
      <c r="AL585" s="277"/>
      <c r="AM585" s="277"/>
      <c r="AN585" s="277"/>
      <c r="AO585" s="277"/>
      <c r="AP585" s="277"/>
      <c r="AQ585" s="277"/>
      <c r="AS585" s="327"/>
      <c r="AT585" s="362" t="s">
        <v>76</v>
      </c>
      <c r="AU585" s="232">
        <f>SUM(D585:G585)</f>
        <v>10260</v>
      </c>
      <c r="AV585" s="232">
        <f>SUM(H585:K585)</f>
        <v>11725</v>
      </c>
      <c r="AW585" s="232">
        <f>SUM(L585:O585)</f>
        <v>12993</v>
      </c>
      <c r="AX585" s="232">
        <f>SUM(P585:S585)</f>
        <v>12540</v>
      </c>
      <c r="AY585" s="232">
        <f>SUM(T585:W585)</f>
        <v>12513</v>
      </c>
      <c r="AZ585" s="252" t="s">
        <v>226</v>
      </c>
      <c r="BA585" s="252" t="s">
        <v>226</v>
      </c>
      <c r="BB585" s="252" t="s">
        <v>226</v>
      </c>
      <c r="BC585" s="252" t="s">
        <v>226</v>
      </c>
      <c r="BD585" s="252" t="s">
        <v>226</v>
      </c>
      <c r="BE585" s="252" t="s">
        <v>226</v>
      </c>
    </row>
    <row r="586" spans="1:70" x14ac:dyDescent="0.2">
      <c r="B586" s="327"/>
      <c r="C586" s="362" t="s">
        <v>27</v>
      </c>
      <c r="D586" s="560">
        <v>3505</v>
      </c>
      <c r="E586" s="560">
        <v>2527</v>
      </c>
      <c r="F586" s="560">
        <v>2750</v>
      </c>
      <c r="G586" s="560">
        <v>2381</v>
      </c>
      <c r="H586" s="560">
        <v>2938</v>
      </c>
      <c r="I586" s="560">
        <v>2818</v>
      </c>
      <c r="J586" s="560">
        <v>2363</v>
      </c>
      <c r="K586" s="560">
        <v>2081</v>
      </c>
      <c r="L586" s="560">
        <v>2750</v>
      </c>
      <c r="M586" s="560">
        <v>2433</v>
      </c>
      <c r="N586" s="560">
        <v>2530</v>
      </c>
      <c r="O586" s="560">
        <v>2073</v>
      </c>
      <c r="P586" s="560">
        <v>2998</v>
      </c>
      <c r="Q586" s="560">
        <v>2383</v>
      </c>
      <c r="R586" s="560">
        <v>2198</v>
      </c>
      <c r="S586" s="560">
        <v>2077</v>
      </c>
      <c r="T586" s="560">
        <v>2167</v>
      </c>
      <c r="U586" s="560">
        <v>2577</v>
      </c>
      <c r="V586" s="560">
        <v>2506</v>
      </c>
      <c r="W586" s="560">
        <v>2605</v>
      </c>
      <c r="X586" s="560">
        <v>2854</v>
      </c>
      <c r="Y586" s="560">
        <v>2881</v>
      </c>
      <c r="Z586" s="560">
        <v>2703</v>
      </c>
      <c r="AA586" s="560">
        <v>2441</v>
      </c>
      <c r="AB586" s="560">
        <v>3167</v>
      </c>
      <c r="AC586" s="277" t="s">
        <v>226</v>
      </c>
      <c r="AD586" s="277" t="s">
        <v>226</v>
      </c>
      <c r="AE586" s="277" t="s">
        <v>226</v>
      </c>
      <c r="AF586" s="277" t="s">
        <v>226</v>
      </c>
      <c r="AG586" s="277" t="s">
        <v>226</v>
      </c>
      <c r="AH586" s="277" t="s">
        <v>226</v>
      </c>
      <c r="AI586" s="277" t="s">
        <v>226</v>
      </c>
      <c r="AJ586" s="277"/>
      <c r="AK586" s="277"/>
      <c r="AL586" s="277"/>
      <c r="AM586" s="277"/>
      <c r="AN586" s="277"/>
      <c r="AO586" s="277"/>
      <c r="AP586" s="277"/>
      <c r="AQ586" s="277"/>
      <c r="AS586" s="327"/>
      <c r="AT586" s="362" t="s">
        <v>27</v>
      </c>
      <c r="AU586" s="232">
        <f>SUM(D586:G586)</f>
        <v>11163</v>
      </c>
      <c r="AV586" s="232">
        <f>SUM(H586:K586)</f>
        <v>10200</v>
      </c>
      <c r="AW586" s="232">
        <f>SUM(L586:O586)</f>
        <v>9786</v>
      </c>
      <c r="AX586" s="232">
        <f>SUM(P586:S586)</f>
        <v>9656</v>
      </c>
      <c r="AY586" s="232">
        <f>SUM(T586:W586)</f>
        <v>9855</v>
      </c>
      <c r="AZ586" s="252" t="s">
        <v>226</v>
      </c>
      <c r="BA586" s="252" t="s">
        <v>226</v>
      </c>
      <c r="BB586" s="252" t="s">
        <v>226</v>
      </c>
      <c r="BC586" s="252" t="s">
        <v>226</v>
      </c>
      <c r="BD586" s="252" t="s">
        <v>226</v>
      </c>
      <c r="BE586" s="252" t="s">
        <v>226</v>
      </c>
    </row>
    <row r="587" spans="1:70" x14ac:dyDescent="0.2">
      <c r="B587" s="327"/>
      <c r="C587" s="362" t="s">
        <v>5</v>
      </c>
      <c r="D587" s="560">
        <v>1209</v>
      </c>
      <c r="E587" s="560">
        <v>1195</v>
      </c>
      <c r="F587" s="560">
        <v>1250</v>
      </c>
      <c r="G587" s="560">
        <v>1176</v>
      </c>
      <c r="H587" s="560">
        <v>1259</v>
      </c>
      <c r="I587" s="560">
        <v>1232</v>
      </c>
      <c r="J587" s="560">
        <v>1137</v>
      </c>
      <c r="K587" s="560">
        <v>1172</v>
      </c>
      <c r="L587" s="560">
        <v>1148</v>
      </c>
      <c r="M587" s="560">
        <v>1150</v>
      </c>
      <c r="N587" s="560">
        <v>1018</v>
      </c>
      <c r="O587" s="560">
        <v>955</v>
      </c>
      <c r="P587" s="560">
        <v>980</v>
      </c>
      <c r="Q587" s="560">
        <v>987</v>
      </c>
      <c r="R587" s="560">
        <v>1032</v>
      </c>
      <c r="S587" s="560">
        <v>937</v>
      </c>
      <c r="T587" s="560">
        <v>962</v>
      </c>
      <c r="U587" s="560">
        <v>1022</v>
      </c>
      <c r="V587" s="560">
        <v>999</v>
      </c>
      <c r="W587" s="560">
        <v>994</v>
      </c>
      <c r="X587" s="560">
        <v>1169</v>
      </c>
      <c r="Y587" s="560">
        <v>1086</v>
      </c>
      <c r="Z587" s="560">
        <v>1099</v>
      </c>
      <c r="AA587" s="560">
        <v>1031</v>
      </c>
      <c r="AB587" s="560">
        <v>1210</v>
      </c>
      <c r="AC587" s="277" t="s">
        <v>226</v>
      </c>
      <c r="AD587" s="277" t="s">
        <v>226</v>
      </c>
      <c r="AE587" s="277" t="s">
        <v>226</v>
      </c>
      <c r="AF587" s="277" t="s">
        <v>226</v>
      </c>
      <c r="AG587" s="277" t="s">
        <v>226</v>
      </c>
      <c r="AH587" s="277" t="s">
        <v>226</v>
      </c>
      <c r="AI587" s="277" t="s">
        <v>226</v>
      </c>
      <c r="AJ587" s="277"/>
      <c r="AK587" s="277"/>
      <c r="AL587" s="277"/>
      <c r="AM587" s="277"/>
      <c r="AN587" s="277"/>
      <c r="AO587" s="277"/>
      <c r="AP587" s="277"/>
      <c r="AQ587" s="277"/>
      <c r="AS587" s="327"/>
      <c r="AT587" s="362" t="s">
        <v>5</v>
      </c>
      <c r="AU587" s="232">
        <f>SUM(D587:G587)</f>
        <v>4830</v>
      </c>
      <c r="AV587" s="232">
        <f>SUM(H587:K587)</f>
        <v>4800</v>
      </c>
      <c r="AW587" s="232">
        <f>SUM(L587:O587)</f>
        <v>4271</v>
      </c>
      <c r="AX587" s="232">
        <f>SUM(P587:S587)</f>
        <v>3936</v>
      </c>
      <c r="AY587" s="232">
        <f>SUM(T587:W587)</f>
        <v>3977</v>
      </c>
      <c r="AZ587" s="252" t="s">
        <v>226</v>
      </c>
      <c r="BA587" s="252" t="s">
        <v>226</v>
      </c>
      <c r="BB587" s="252" t="s">
        <v>226</v>
      </c>
      <c r="BC587" s="252" t="s">
        <v>226</v>
      </c>
      <c r="BD587" s="252" t="s">
        <v>226</v>
      </c>
      <c r="BE587" s="252" t="s">
        <v>226</v>
      </c>
    </row>
    <row r="588" spans="1:70" x14ac:dyDescent="0.2">
      <c r="B588" s="321"/>
      <c r="C588" s="362" t="s">
        <v>77</v>
      </c>
      <c r="D588" s="560">
        <v>2062</v>
      </c>
      <c r="E588" s="560">
        <v>1715</v>
      </c>
      <c r="F588" s="560">
        <v>1776</v>
      </c>
      <c r="G588" s="560">
        <v>1552</v>
      </c>
      <c r="H588" s="560">
        <v>2002</v>
      </c>
      <c r="I588" s="560">
        <v>1939</v>
      </c>
      <c r="J588" s="560">
        <v>1627</v>
      </c>
      <c r="K588" s="560">
        <v>1632</v>
      </c>
      <c r="L588" s="560">
        <v>1636</v>
      </c>
      <c r="M588" s="560">
        <v>1593</v>
      </c>
      <c r="N588" s="560">
        <v>1787</v>
      </c>
      <c r="O588" s="560">
        <v>1639</v>
      </c>
      <c r="P588" s="560">
        <v>1805</v>
      </c>
      <c r="Q588" s="560">
        <v>1791</v>
      </c>
      <c r="R588" s="560">
        <v>1748</v>
      </c>
      <c r="S588" s="560">
        <v>1587</v>
      </c>
      <c r="T588" s="560">
        <v>1786</v>
      </c>
      <c r="U588" s="560">
        <v>1697</v>
      </c>
      <c r="V588" s="560">
        <v>1763</v>
      </c>
      <c r="W588" s="560">
        <v>1636</v>
      </c>
      <c r="X588" s="560">
        <v>1774</v>
      </c>
      <c r="Y588" s="560">
        <v>1808</v>
      </c>
      <c r="Z588" s="560">
        <v>1919</v>
      </c>
      <c r="AA588" s="560">
        <v>1786</v>
      </c>
      <c r="AB588" s="560">
        <v>2206</v>
      </c>
      <c r="AC588" s="278" t="s">
        <v>226</v>
      </c>
      <c r="AD588" s="278" t="s">
        <v>226</v>
      </c>
      <c r="AE588" s="278" t="s">
        <v>226</v>
      </c>
      <c r="AF588" s="278" t="s">
        <v>226</v>
      </c>
      <c r="AG588" s="278" t="s">
        <v>226</v>
      </c>
      <c r="AH588" s="278" t="s">
        <v>226</v>
      </c>
      <c r="AI588" s="278" t="s">
        <v>226</v>
      </c>
      <c r="AJ588" s="1762"/>
      <c r="AK588" s="1762"/>
      <c r="AL588" s="1762"/>
      <c r="AM588" s="1762"/>
      <c r="AN588" s="1762"/>
      <c r="AO588" s="1762"/>
      <c r="AP588" s="1762"/>
      <c r="AQ588" s="1762"/>
      <c r="AS588" s="321"/>
      <c r="AT588" s="362" t="s">
        <v>77</v>
      </c>
      <c r="AU588" s="41">
        <f>SUM(D588:G588)</f>
        <v>7105</v>
      </c>
      <c r="AV588" s="41">
        <f>SUM(H588:K588)</f>
        <v>7200</v>
      </c>
      <c r="AW588" s="41">
        <f>SUM(L588:O588)</f>
        <v>6655</v>
      </c>
      <c r="AX588" s="41">
        <f>SUM(P588:S588)</f>
        <v>6931</v>
      </c>
      <c r="AY588" s="41">
        <f>SUM(T588:W588)</f>
        <v>6882</v>
      </c>
      <c r="AZ588" s="259" t="s">
        <v>226</v>
      </c>
      <c r="BA588" s="259" t="s">
        <v>226</v>
      </c>
      <c r="BB588" s="259" t="s">
        <v>226</v>
      </c>
      <c r="BC588" s="259" t="s">
        <v>226</v>
      </c>
      <c r="BD588" s="259" t="s">
        <v>226</v>
      </c>
      <c r="BE588" s="259" t="s">
        <v>226</v>
      </c>
    </row>
    <row r="589" spans="1:70" x14ac:dyDescent="0.2">
      <c r="B589" s="319" t="s">
        <v>1001</v>
      </c>
      <c r="C589" s="15"/>
      <c r="D589" s="518">
        <f t="shared" ref="D589:X589" si="1274">SUM(D585:D588)</f>
        <v>9504</v>
      </c>
      <c r="E589" s="518">
        <f t="shared" si="1274"/>
        <v>8069</v>
      </c>
      <c r="F589" s="518">
        <f t="shared" si="1274"/>
        <v>8256</v>
      </c>
      <c r="G589" s="518">
        <f t="shared" si="1274"/>
        <v>7529</v>
      </c>
      <c r="H589" s="518">
        <f t="shared" si="1274"/>
        <v>9901</v>
      </c>
      <c r="I589" s="518">
        <f t="shared" si="1274"/>
        <v>9132</v>
      </c>
      <c r="J589" s="518">
        <f t="shared" si="1274"/>
        <v>7661</v>
      </c>
      <c r="K589" s="518">
        <f t="shared" si="1274"/>
        <v>7231</v>
      </c>
      <c r="L589" s="518">
        <f t="shared" si="1274"/>
        <v>9273</v>
      </c>
      <c r="M589" s="518">
        <f t="shared" si="1274"/>
        <v>8503</v>
      </c>
      <c r="N589" s="518">
        <f t="shared" si="1274"/>
        <v>8718</v>
      </c>
      <c r="O589" s="518">
        <f t="shared" si="1274"/>
        <v>7211</v>
      </c>
      <c r="P589" s="518">
        <f t="shared" si="1274"/>
        <v>9031</v>
      </c>
      <c r="Q589" s="518">
        <f t="shared" si="1274"/>
        <v>8466</v>
      </c>
      <c r="R589" s="518">
        <f t="shared" si="1274"/>
        <v>8260</v>
      </c>
      <c r="S589" s="518">
        <f t="shared" si="1274"/>
        <v>7306</v>
      </c>
      <c r="T589" s="518">
        <f t="shared" si="1274"/>
        <v>7895</v>
      </c>
      <c r="U589" s="518">
        <f t="shared" si="1274"/>
        <v>8689</v>
      </c>
      <c r="V589" s="518">
        <f t="shared" si="1274"/>
        <v>8459</v>
      </c>
      <c r="W589" s="518">
        <f t="shared" si="1274"/>
        <v>8184</v>
      </c>
      <c r="X589" s="518">
        <f t="shared" si="1274"/>
        <v>9319</v>
      </c>
      <c r="Y589" s="518">
        <f t="shared" ref="Y589:Z589" si="1275">SUM(Y585:Y588)</f>
        <v>9421</v>
      </c>
      <c r="Z589" s="518">
        <f t="shared" si="1275"/>
        <v>9430</v>
      </c>
      <c r="AA589" s="518">
        <f t="shared" ref="AA589:AB589" si="1276">SUM(AA585:AA588)</f>
        <v>8304</v>
      </c>
      <c r="AB589" s="518">
        <f t="shared" si="1276"/>
        <v>9848</v>
      </c>
      <c r="AC589" s="34">
        <f t="shared" ref="AC589:AE589" si="1277">AC489</f>
        <v>10162.645721581153</v>
      </c>
      <c r="AD589" s="34">
        <f t="shared" si="1277"/>
        <v>9938.8558633123321</v>
      </c>
      <c r="AE589" s="34">
        <f t="shared" si="1277"/>
        <v>9364.6277029544326</v>
      </c>
      <c r="AF589" s="34">
        <f t="shared" ref="AF589:AI589" si="1278">AF489</f>
        <v>10960.716556468811</v>
      </c>
      <c r="AG589" s="34">
        <f t="shared" si="1278"/>
        <v>10982.787590201242</v>
      </c>
      <c r="AH589" s="34">
        <f t="shared" si="1278"/>
        <v>10679.896847251401</v>
      </c>
      <c r="AI589" s="34">
        <f t="shared" si="1278"/>
        <v>10023.299747680656</v>
      </c>
      <c r="AJ589" s="34"/>
      <c r="AK589" s="34"/>
      <c r="AL589" s="34"/>
      <c r="AM589" s="34"/>
      <c r="AN589" s="34"/>
      <c r="AO589" s="34"/>
      <c r="AP589" s="34"/>
      <c r="AQ589" s="34"/>
      <c r="AS589" s="319" t="s">
        <v>607</v>
      </c>
      <c r="AT589" s="15"/>
      <c r="AU589" s="34">
        <f>SUM(AU585:AU588)</f>
        <v>33358</v>
      </c>
      <c r="AV589" s="34">
        <f>SUM(AV585:AV588)</f>
        <v>33925</v>
      </c>
      <c r="AW589" s="34">
        <f>SUM(AW585:AW588)</f>
        <v>33705</v>
      </c>
      <c r="AX589" s="34">
        <f>SUM(AX585:AX588)</f>
        <v>33063</v>
      </c>
      <c r="AY589" s="34">
        <f>SUM(AY585:AY588)</f>
        <v>33227</v>
      </c>
      <c r="AZ589" s="34">
        <f t="shared" ref="AZ589:BE589" si="1279">AZ489</f>
        <v>36474</v>
      </c>
      <c r="BA589" s="34">
        <f t="shared" si="1279"/>
        <v>39314.129287847914</v>
      </c>
      <c r="BB589" s="34">
        <f t="shared" ref="BB589" si="1280">BB489</f>
        <v>42646.700741602115</v>
      </c>
      <c r="BC589" s="34">
        <f t="shared" si="1279"/>
        <v>45556.306651665109</v>
      </c>
      <c r="BD589" s="34">
        <f t="shared" si="1279"/>
        <v>48361.686776581846</v>
      </c>
      <c r="BE589" s="34">
        <f t="shared" si="1279"/>
        <v>51217.937905175517</v>
      </c>
    </row>
    <row r="590" spans="1:70" x14ac:dyDescent="0.2">
      <c r="B590" s="15"/>
      <c r="C590" s="321" t="s">
        <v>256</v>
      </c>
      <c r="D590" s="198">
        <f>D1567</f>
        <v>-1376</v>
      </c>
      <c r="E590" s="198">
        <f t="shared" ref="E590:AE590" si="1281">E1567</f>
        <v>198</v>
      </c>
      <c r="F590" s="198">
        <f t="shared" si="1281"/>
        <v>-799</v>
      </c>
      <c r="G590" s="198">
        <f t="shared" si="1281"/>
        <v>-510</v>
      </c>
      <c r="H590" s="198">
        <f t="shared" si="1281"/>
        <v>-310</v>
      </c>
      <c r="I590" s="198">
        <f t="shared" si="1281"/>
        <v>462</v>
      </c>
      <c r="J590" s="198">
        <f t="shared" si="1281"/>
        <v>-332</v>
      </c>
      <c r="K590" s="198">
        <f t="shared" si="1281"/>
        <v>-165</v>
      </c>
      <c r="L590" s="198">
        <f t="shared" si="1281"/>
        <v>-7</v>
      </c>
      <c r="M590" s="198">
        <f t="shared" si="1281"/>
        <v>-32</v>
      </c>
      <c r="N590" s="198">
        <f t="shared" si="1281"/>
        <v>-316</v>
      </c>
      <c r="O590" s="198">
        <f t="shared" si="1281"/>
        <v>12</v>
      </c>
      <c r="P590" s="198">
        <f t="shared" si="1281"/>
        <v>-69</v>
      </c>
      <c r="Q590" s="198">
        <f t="shared" si="1281"/>
        <v>303</v>
      </c>
      <c r="R590" s="198">
        <f t="shared" si="1281"/>
        <v>221</v>
      </c>
      <c r="S590" s="198">
        <f t="shared" si="1281"/>
        <v>-186</v>
      </c>
      <c r="T590" s="198">
        <f t="shared" si="1281"/>
        <v>0</v>
      </c>
      <c r="U590" s="198">
        <f t="shared" si="1281"/>
        <v>0</v>
      </c>
      <c r="V590" s="198">
        <f t="shared" si="1281"/>
        <v>0</v>
      </c>
      <c r="W590" s="198">
        <f t="shared" si="1281"/>
        <v>0</v>
      </c>
      <c r="X590" s="198">
        <f>X1567</f>
        <v>0</v>
      </c>
      <c r="Y590" s="198">
        <f>Y1567</f>
        <v>0</v>
      </c>
      <c r="Z590" s="198">
        <f>Z1567</f>
        <v>0</v>
      </c>
      <c r="AA590" s="198">
        <f>AA1567</f>
        <v>0</v>
      </c>
      <c r="AB590" s="198">
        <f>AB1567</f>
        <v>0</v>
      </c>
      <c r="AC590" s="198">
        <f t="shared" si="1281"/>
        <v>0</v>
      </c>
      <c r="AD590" s="198">
        <f t="shared" si="1281"/>
        <v>0</v>
      </c>
      <c r="AE590" s="198">
        <f t="shared" si="1281"/>
        <v>0</v>
      </c>
      <c r="AF590" s="198">
        <f t="shared" ref="AF590:AI590" si="1282">AF1567</f>
        <v>0</v>
      </c>
      <c r="AG590" s="198">
        <f t="shared" si="1282"/>
        <v>0</v>
      </c>
      <c r="AH590" s="198">
        <f t="shared" si="1282"/>
        <v>0</v>
      </c>
      <c r="AI590" s="198">
        <f t="shared" si="1282"/>
        <v>0</v>
      </c>
      <c r="AJ590" s="153"/>
      <c r="AK590" s="153"/>
      <c r="AL590" s="153"/>
      <c r="AM590" s="153"/>
      <c r="AN590" s="153"/>
      <c r="AO590" s="153"/>
      <c r="AP590" s="153"/>
      <c r="AQ590" s="153"/>
      <c r="AS590" s="15"/>
      <c r="AT590" s="321" t="s">
        <v>256</v>
      </c>
      <c r="AU590" s="198">
        <f>SUM(D590:G590)</f>
        <v>-2487</v>
      </c>
      <c r="AV590" s="198">
        <f>SUM(H590:K590)</f>
        <v>-345</v>
      </c>
      <c r="AW590" s="198">
        <f>SUM(L590:O590)</f>
        <v>-343</v>
      </c>
      <c r="AX590" s="198">
        <f>SUM(P590:S590)</f>
        <v>269</v>
      </c>
      <c r="AY590" s="198">
        <f>SUM(T590:W590)</f>
        <v>0</v>
      </c>
      <c r="AZ590" s="198">
        <f>SUM(X590:AA590)</f>
        <v>0</v>
      </c>
      <c r="BA590" s="198">
        <f>SUM(AB590:AE590)</f>
        <v>0</v>
      </c>
      <c r="BB590" s="198">
        <f>SUM(AF590:AI590)</f>
        <v>0</v>
      </c>
      <c r="BC590" s="198">
        <f t="shared" ref="BC590:BE590" si="1283">BC1567</f>
        <v>0</v>
      </c>
      <c r="BD590" s="198">
        <f t="shared" si="1283"/>
        <v>0</v>
      </c>
      <c r="BE590" s="198">
        <f t="shared" si="1283"/>
        <v>0</v>
      </c>
    </row>
    <row r="591" spans="1:70" x14ac:dyDescent="0.2">
      <c r="B591" s="318" t="s">
        <v>1000</v>
      </c>
      <c r="C591" s="321"/>
      <c r="D591" s="385">
        <f t="shared" ref="D591:AE591" si="1284">D589+D590</f>
        <v>8128</v>
      </c>
      <c r="E591" s="385">
        <f t="shared" si="1284"/>
        <v>8267</v>
      </c>
      <c r="F591" s="385">
        <f t="shared" si="1284"/>
        <v>7457</v>
      </c>
      <c r="G591" s="385">
        <f t="shared" si="1284"/>
        <v>7019</v>
      </c>
      <c r="H591" s="385">
        <f t="shared" si="1284"/>
        <v>9591</v>
      </c>
      <c r="I591" s="385">
        <f t="shared" si="1284"/>
        <v>9594</v>
      </c>
      <c r="J591" s="385">
        <f t="shared" si="1284"/>
        <v>7329</v>
      </c>
      <c r="K591" s="385">
        <f t="shared" si="1284"/>
        <v>7066</v>
      </c>
      <c r="L591" s="385">
        <f t="shared" si="1284"/>
        <v>9266</v>
      </c>
      <c r="M591" s="385">
        <f t="shared" si="1284"/>
        <v>8471</v>
      </c>
      <c r="N591" s="385">
        <f t="shared" si="1284"/>
        <v>8402</v>
      </c>
      <c r="O591" s="385">
        <f t="shared" si="1284"/>
        <v>7223</v>
      </c>
      <c r="P591" s="385">
        <f t="shared" si="1284"/>
        <v>8962</v>
      </c>
      <c r="Q591" s="385">
        <f t="shared" si="1284"/>
        <v>8769</v>
      </c>
      <c r="R591" s="385">
        <f t="shared" si="1284"/>
        <v>8481</v>
      </c>
      <c r="S591" s="385">
        <f t="shared" si="1284"/>
        <v>7120</v>
      </c>
      <c r="T591" s="385">
        <f t="shared" si="1284"/>
        <v>7895</v>
      </c>
      <c r="U591" s="385">
        <f t="shared" si="1284"/>
        <v>8689</v>
      </c>
      <c r="V591" s="385">
        <f t="shared" si="1284"/>
        <v>8459</v>
      </c>
      <c r="W591" s="385">
        <f t="shared" si="1284"/>
        <v>8184</v>
      </c>
      <c r="X591" s="385">
        <f t="shared" si="1284"/>
        <v>9319</v>
      </c>
      <c r="Y591" s="385">
        <f t="shared" ref="Y591:Z591" si="1285">Y589+Y590</f>
        <v>9421</v>
      </c>
      <c r="Z591" s="385">
        <f t="shared" si="1285"/>
        <v>9430</v>
      </c>
      <c r="AA591" s="385">
        <f t="shared" ref="AA591:AB591" si="1286">AA589+AA590</f>
        <v>8304</v>
      </c>
      <c r="AB591" s="385">
        <f t="shared" si="1286"/>
        <v>9848</v>
      </c>
      <c r="AC591" s="153">
        <f t="shared" si="1284"/>
        <v>10162.645721581153</v>
      </c>
      <c r="AD591" s="153">
        <f t="shared" si="1284"/>
        <v>9938.8558633123321</v>
      </c>
      <c r="AE591" s="153">
        <f t="shared" si="1284"/>
        <v>9364.6277029544326</v>
      </c>
      <c r="AF591" s="153">
        <f t="shared" ref="AF591:AI591" si="1287">AF589+AF590</f>
        <v>10960.716556468811</v>
      </c>
      <c r="AG591" s="153">
        <f t="shared" si="1287"/>
        <v>10982.787590201242</v>
      </c>
      <c r="AH591" s="153">
        <f t="shared" si="1287"/>
        <v>10679.896847251401</v>
      </c>
      <c r="AI591" s="153">
        <f t="shared" si="1287"/>
        <v>10023.299747680656</v>
      </c>
      <c r="AJ591" s="153"/>
      <c r="AK591" s="153"/>
      <c r="AL591" s="153"/>
      <c r="AM591" s="153"/>
      <c r="AN591" s="153"/>
      <c r="AO591" s="153"/>
      <c r="AP591" s="153"/>
      <c r="AQ591" s="153"/>
      <c r="AS591" s="318" t="s">
        <v>545</v>
      </c>
      <c r="AT591" s="321"/>
      <c r="AU591" s="153">
        <f t="shared" ref="AU591:BD591" si="1288">AU589+AU590</f>
        <v>30871</v>
      </c>
      <c r="AV591" s="153">
        <f t="shared" si="1288"/>
        <v>33580</v>
      </c>
      <c r="AW591" s="153">
        <f t="shared" si="1288"/>
        <v>33362</v>
      </c>
      <c r="AX591" s="153">
        <f t="shared" si="1288"/>
        <v>33332</v>
      </c>
      <c r="AY591" s="153">
        <f t="shared" si="1288"/>
        <v>33227</v>
      </c>
      <c r="AZ591" s="153">
        <f t="shared" si="1288"/>
        <v>36474</v>
      </c>
      <c r="BA591" s="153">
        <f t="shared" si="1288"/>
        <v>39314.129287847914</v>
      </c>
      <c r="BB591" s="153">
        <f t="shared" ref="BB591" si="1289">BB589+BB590</f>
        <v>42646.700741602115</v>
      </c>
      <c r="BC591" s="153">
        <f t="shared" si="1288"/>
        <v>45556.306651665109</v>
      </c>
      <c r="BD591" s="153">
        <f t="shared" si="1288"/>
        <v>48361.686776581846</v>
      </c>
      <c r="BE591" s="153">
        <f t="shared" ref="BE591" si="1290">BE589+BE590</f>
        <v>51217.937905175517</v>
      </c>
    </row>
    <row r="592" spans="1:70" x14ac:dyDescent="0.2">
      <c r="A592" s="830"/>
      <c r="B592" s="369"/>
      <c r="C592" s="382"/>
      <c r="D592" s="379"/>
      <c r="E592" s="379"/>
      <c r="F592" s="379"/>
      <c r="G592" s="379"/>
      <c r="H592" s="379"/>
      <c r="I592" s="379"/>
      <c r="J592" s="379"/>
      <c r="K592" s="379"/>
      <c r="L592" s="379"/>
      <c r="M592" s="379"/>
      <c r="N592" s="379"/>
      <c r="O592" s="379"/>
      <c r="P592" s="379"/>
      <c r="Q592" s="379"/>
      <c r="R592" s="379"/>
      <c r="S592" s="379"/>
      <c r="T592" s="379"/>
      <c r="U592" s="379"/>
      <c r="V592" s="379"/>
      <c r="W592" s="379"/>
      <c r="X592" s="70"/>
      <c r="Y592" s="70"/>
      <c r="Z592" s="70"/>
      <c r="AA592" s="70"/>
      <c r="AB592" s="70"/>
      <c r="AC592" s="70"/>
      <c r="AD592" s="70"/>
      <c r="AE592" s="70"/>
      <c r="AF592" s="70"/>
      <c r="AG592" s="70"/>
      <c r="AH592" s="70"/>
      <c r="AI592" s="70"/>
      <c r="AJ592" s="70"/>
      <c r="AK592" s="70"/>
      <c r="AL592" s="70"/>
      <c r="AM592" s="70"/>
      <c r="AN592" s="70"/>
      <c r="AO592" s="70"/>
      <c r="AP592" s="70"/>
      <c r="AQ592" s="70"/>
      <c r="AS592" s="369"/>
      <c r="AT592" s="382"/>
    </row>
    <row r="593" spans="1:70" s="190" customFormat="1" x14ac:dyDescent="0.2">
      <c r="A593" s="411"/>
      <c r="B593" s="340" t="s">
        <v>263</v>
      </c>
      <c r="C593" s="388"/>
      <c r="D593" s="561"/>
      <c r="E593" s="561"/>
      <c r="F593" s="561"/>
      <c r="G593" s="561"/>
      <c r="H593" s="561"/>
      <c r="I593" s="561"/>
      <c r="J593" s="561"/>
      <c r="K593" s="561"/>
      <c r="L593" s="561"/>
      <c r="M593" s="561"/>
      <c r="N593" s="561"/>
      <c r="O593" s="561"/>
      <c r="P593" s="561"/>
      <c r="Q593" s="561"/>
      <c r="R593" s="561"/>
      <c r="S593" s="561"/>
      <c r="T593" s="561"/>
      <c r="U593" s="561"/>
      <c r="V593" s="561"/>
      <c r="W593" s="561"/>
      <c r="X593" s="12"/>
      <c r="Y593" s="12"/>
      <c r="Z593" s="12"/>
      <c r="AA593" s="12"/>
      <c r="AB593" s="12"/>
      <c r="AR593" s="70"/>
      <c r="AS593" s="340" t="s">
        <v>263</v>
      </c>
      <c r="AT593" s="388"/>
      <c r="BF593" s="70"/>
      <c r="BG593" s="70"/>
      <c r="BH593" s="70"/>
      <c r="BI593" s="70"/>
      <c r="BJ593" s="70"/>
      <c r="BK593" s="70"/>
      <c r="BL593" s="70"/>
      <c r="BM593"/>
      <c r="BN593"/>
      <c r="BO593"/>
      <c r="BP593"/>
      <c r="BQ593"/>
      <c r="BR593"/>
    </row>
    <row r="594" spans="1:70" x14ac:dyDescent="0.2">
      <c r="B594" s="327"/>
      <c r="C594" s="362" t="s">
        <v>76</v>
      </c>
      <c r="D594" s="560">
        <v>625</v>
      </c>
      <c r="E594" s="560">
        <v>551</v>
      </c>
      <c r="F594" s="560">
        <v>649</v>
      </c>
      <c r="G594" s="560">
        <v>508</v>
      </c>
      <c r="H594" s="560">
        <v>1301</v>
      </c>
      <c r="I594" s="560">
        <v>854</v>
      </c>
      <c r="J594" s="560">
        <v>577</v>
      </c>
      <c r="K594" s="560">
        <v>471</v>
      </c>
      <c r="L594" s="560">
        <v>1364</v>
      </c>
      <c r="M594" s="560">
        <v>1143</v>
      </c>
      <c r="N594" s="560">
        <v>955</v>
      </c>
      <c r="O594" s="560">
        <v>653</v>
      </c>
      <c r="P594" s="560">
        <v>927</v>
      </c>
      <c r="Q594" s="560">
        <v>937</v>
      </c>
      <c r="R594" s="560">
        <v>887</v>
      </c>
      <c r="S594" s="560">
        <v>465</v>
      </c>
      <c r="T594" s="560">
        <v>546</v>
      </c>
      <c r="U594" s="560">
        <v>1005</v>
      </c>
      <c r="V594" s="560">
        <v>1067</v>
      </c>
      <c r="W594" s="560">
        <v>877</v>
      </c>
      <c r="X594" s="560">
        <v>1077</v>
      </c>
      <c r="Y594" s="560">
        <v>1088</v>
      </c>
      <c r="Z594" s="560">
        <v>1298</v>
      </c>
      <c r="AA594" s="560">
        <v>-1108</v>
      </c>
      <c r="AB594" s="560">
        <v>857</v>
      </c>
      <c r="AC594" s="277" t="s">
        <v>226</v>
      </c>
      <c r="AD594" s="277" t="s">
        <v>226</v>
      </c>
      <c r="AE594" s="277" t="s">
        <v>226</v>
      </c>
      <c r="AF594" s="277" t="s">
        <v>226</v>
      </c>
      <c r="AG594" s="277" t="s">
        <v>226</v>
      </c>
      <c r="AH594" s="277" t="s">
        <v>226</v>
      </c>
      <c r="AI594" s="277" t="s">
        <v>226</v>
      </c>
      <c r="AJ594" s="277"/>
      <c r="AK594" s="277"/>
      <c r="AL594" s="277"/>
      <c r="AM594" s="277"/>
      <c r="AN594" s="277"/>
      <c r="AO594" s="277"/>
      <c r="AP594" s="277"/>
      <c r="AQ594" s="277"/>
      <c r="AS594" s="327"/>
      <c r="AT594" s="362" t="s">
        <v>76</v>
      </c>
      <c r="AU594" s="232">
        <f>SUM(D594:G594)</f>
        <v>2333</v>
      </c>
      <c r="AV594" s="232">
        <f>SUM(H594:K594)</f>
        <v>3203</v>
      </c>
      <c r="AW594" s="232">
        <f>SUM(L594:O594)</f>
        <v>4115</v>
      </c>
      <c r="AX594" s="232">
        <f>SUM(P594:S594)</f>
        <v>3216</v>
      </c>
      <c r="AY594" s="232">
        <f>SUM(T594:W594)</f>
        <v>3495</v>
      </c>
      <c r="AZ594" s="252" t="s">
        <v>226</v>
      </c>
      <c r="BA594" s="252" t="s">
        <v>226</v>
      </c>
      <c r="BB594" s="252" t="s">
        <v>226</v>
      </c>
      <c r="BC594" s="252" t="s">
        <v>226</v>
      </c>
      <c r="BD594" s="252" t="s">
        <v>226</v>
      </c>
      <c r="BE594" s="252" t="s">
        <v>226</v>
      </c>
    </row>
    <row r="595" spans="1:70" x14ac:dyDescent="0.2">
      <c r="B595" s="327"/>
      <c r="C595" s="362" t="s">
        <v>27</v>
      </c>
      <c r="D595" s="560">
        <v>1215</v>
      </c>
      <c r="E595" s="560">
        <v>666</v>
      </c>
      <c r="F595" s="560">
        <v>830</v>
      </c>
      <c r="G595" s="560">
        <v>465</v>
      </c>
      <c r="H595" s="560">
        <v>775</v>
      </c>
      <c r="I595" s="560">
        <v>876</v>
      </c>
      <c r="J595" s="560">
        <v>516</v>
      </c>
      <c r="K595" s="560">
        <v>422</v>
      </c>
      <c r="L595" s="560">
        <v>763</v>
      </c>
      <c r="M595" s="560">
        <v>565</v>
      </c>
      <c r="N595" s="560">
        <v>660</v>
      </c>
      <c r="O595" s="560">
        <v>242</v>
      </c>
      <c r="P595" s="560">
        <v>998</v>
      </c>
      <c r="Q595" s="560">
        <v>579</v>
      </c>
      <c r="R595" s="560">
        <v>372</v>
      </c>
      <c r="S595" s="560">
        <v>196</v>
      </c>
      <c r="T595" s="560">
        <v>374</v>
      </c>
      <c r="U595" s="560">
        <v>695</v>
      </c>
      <c r="V595" s="560">
        <v>649</v>
      </c>
      <c r="W595" s="560">
        <v>647</v>
      </c>
      <c r="X595" s="560">
        <v>862</v>
      </c>
      <c r="Y595" s="560">
        <v>786</v>
      </c>
      <c r="Z595" s="560">
        <v>753</v>
      </c>
      <c r="AA595" s="560">
        <v>431</v>
      </c>
      <c r="AB595" s="560">
        <v>1113</v>
      </c>
      <c r="AC595" s="277" t="s">
        <v>226</v>
      </c>
      <c r="AD595" s="277" t="s">
        <v>226</v>
      </c>
      <c r="AE595" s="277" t="s">
        <v>226</v>
      </c>
      <c r="AF595" s="277" t="s">
        <v>226</v>
      </c>
      <c r="AG595" s="277" t="s">
        <v>226</v>
      </c>
      <c r="AH595" s="277" t="s">
        <v>226</v>
      </c>
      <c r="AI595" s="277" t="s">
        <v>226</v>
      </c>
      <c r="AJ595" s="277"/>
      <c r="AK595" s="277"/>
      <c r="AL595" s="277"/>
      <c r="AM595" s="277"/>
      <c r="AN595" s="277"/>
      <c r="AO595" s="277"/>
      <c r="AP595" s="277"/>
      <c r="AQ595" s="277"/>
      <c r="AS595" s="327"/>
      <c r="AT595" s="362" t="s">
        <v>27</v>
      </c>
      <c r="AU595" s="232">
        <f>SUM(D595:G595)</f>
        <v>3176</v>
      </c>
      <c r="AV595" s="232">
        <f>SUM(H595:K595)</f>
        <v>2589</v>
      </c>
      <c r="AW595" s="232">
        <f>SUM(L595:O595)</f>
        <v>2230</v>
      </c>
      <c r="AX595" s="232">
        <f>SUM(P595:S595)</f>
        <v>2145</v>
      </c>
      <c r="AY595" s="232">
        <f>SUM(T595:W595)</f>
        <v>2365</v>
      </c>
      <c r="AZ595" s="252" t="s">
        <v>226</v>
      </c>
      <c r="BA595" s="252" t="s">
        <v>226</v>
      </c>
      <c r="BB595" s="252" t="s">
        <v>226</v>
      </c>
      <c r="BC595" s="252" t="s">
        <v>226</v>
      </c>
      <c r="BD595" s="252" t="s">
        <v>226</v>
      </c>
      <c r="BE595" s="252" t="s">
        <v>226</v>
      </c>
    </row>
    <row r="596" spans="1:70" x14ac:dyDescent="0.2">
      <c r="B596" s="327"/>
      <c r="C596" s="362" t="s">
        <v>5</v>
      </c>
      <c r="D596" s="560">
        <v>513</v>
      </c>
      <c r="E596" s="560">
        <v>504</v>
      </c>
      <c r="F596" s="560">
        <v>513</v>
      </c>
      <c r="G596" s="560">
        <v>374</v>
      </c>
      <c r="H596" s="560">
        <v>483</v>
      </c>
      <c r="I596" s="560">
        <v>529</v>
      </c>
      <c r="J596" s="560">
        <v>461</v>
      </c>
      <c r="K596" s="560">
        <v>209</v>
      </c>
      <c r="L596" s="560">
        <v>402</v>
      </c>
      <c r="M596" s="560">
        <v>461</v>
      </c>
      <c r="N596" s="560">
        <v>330</v>
      </c>
      <c r="O596" s="560">
        <v>288</v>
      </c>
      <c r="P596" s="560">
        <v>381</v>
      </c>
      <c r="Q596" s="560">
        <v>409</v>
      </c>
      <c r="R596" s="560">
        <v>380</v>
      </c>
      <c r="S596" s="560">
        <v>176</v>
      </c>
      <c r="T596" s="560">
        <v>330</v>
      </c>
      <c r="U596" s="560">
        <v>392</v>
      </c>
      <c r="V596" s="560">
        <v>389</v>
      </c>
      <c r="W596" s="560">
        <v>343</v>
      </c>
      <c r="X596" s="560">
        <v>482</v>
      </c>
      <c r="Y596" s="560">
        <v>341</v>
      </c>
      <c r="Z596" s="560">
        <v>388</v>
      </c>
      <c r="AA596" s="560">
        <v>333</v>
      </c>
      <c r="AB596" s="560">
        <v>491</v>
      </c>
      <c r="AC596" s="277" t="s">
        <v>226</v>
      </c>
      <c r="AD596" s="277" t="s">
        <v>226</v>
      </c>
      <c r="AE596" s="277" t="s">
        <v>226</v>
      </c>
      <c r="AF596" s="277" t="s">
        <v>226</v>
      </c>
      <c r="AG596" s="277" t="s">
        <v>226</v>
      </c>
      <c r="AH596" s="277" t="s">
        <v>226</v>
      </c>
      <c r="AI596" s="277" t="s">
        <v>226</v>
      </c>
      <c r="AJ596" s="277"/>
      <c r="AK596" s="277"/>
      <c r="AL596" s="277"/>
      <c r="AM596" s="277"/>
      <c r="AN596" s="277"/>
      <c r="AO596" s="277"/>
      <c r="AP596" s="277"/>
      <c r="AQ596" s="277"/>
      <c r="AS596" s="327"/>
      <c r="AT596" s="362" t="s">
        <v>5</v>
      </c>
      <c r="AU596" s="232">
        <f>SUM(D596:G596)</f>
        <v>1904</v>
      </c>
      <c r="AV596" s="232">
        <f>SUM(H596:K596)</f>
        <v>1682</v>
      </c>
      <c r="AW596" s="232">
        <f>SUM(L596:O596)</f>
        <v>1481</v>
      </c>
      <c r="AX596" s="232">
        <f>SUM(P596:S596)</f>
        <v>1346</v>
      </c>
      <c r="AY596" s="232">
        <f>SUM(T596:W596)</f>
        <v>1454</v>
      </c>
      <c r="AZ596" s="252" t="s">
        <v>226</v>
      </c>
      <c r="BA596" s="252" t="s">
        <v>226</v>
      </c>
      <c r="BB596" s="252" t="s">
        <v>226</v>
      </c>
      <c r="BC596" s="252" t="s">
        <v>226</v>
      </c>
      <c r="BD596" s="252" t="s">
        <v>226</v>
      </c>
      <c r="BE596" s="252" t="s">
        <v>226</v>
      </c>
    </row>
    <row r="597" spans="1:70" x14ac:dyDescent="0.2">
      <c r="B597" s="321"/>
      <c r="C597" s="362" t="s">
        <v>77</v>
      </c>
      <c r="D597" s="560">
        <v>666</v>
      </c>
      <c r="E597" s="560">
        <v>436</v>
      </c>
      <c r="F597" s="560">
        <v>509</v>
      </c>
      <c r="G597" s="560">
        <v>367</v>
      </c>
      <c r="H597" s="560">
        <v>693</v>
      </c>
      <c r="I597" s="560">
        <v>618</v>
      </c>
      <c r="J597" s="560">
        <v>421</v>
      </c>
      <c r="K597" s="560">
        <v>478</v>
      </c>
      <c r="L597" s="560">
        <v>481</v>
      </c>
      <c r="M597" s="560">
        <v>448</v>
      </c>
      <c r="N597" s="560">
        <v>631</v>
      </c>
      <c r="O597" s="560">
        <v>514</v>
      </c>
      <c r="P597" s="560">
        <v>643</v>
      </c>
      <c r="Q597" s="560">
        <v>630</v>
      </c>
      <c r="R597" s="560">
        <v>535</v>
      </c>
      <c r="S597" s="560">
        <v>423</v>
      </c>
      <c r="T597" s="560">
        <v>619</v>
      </c>
      <c r="U597" s="560">
        <v>523</v>
      </c>
      <c r="V597" s="560">
        <v>555</v>
      </c>
      <c r="W597" s="560">
        <v>514</v>
      </c>
      <c r="X597" s="560">
        <v>590</v>
      </c>
      <c r="Y597" s="560">
        <v>565</v>
      </c>
      <c r="Z597" s="560">
        <v>623</v>
      </c>
      <c r="AA597" s="560">
        <v>557</v>
      </c>
      <c r="AB597" s="560">
        <v>868</v>
      </c>
      <c r="AC597" s="278" t="s">
        <v>226</v>
      </c>
      <c r="AD597" s="278" t="s">
        <v>226</v>
      </c>
      <c r="AE597" s="278" t="s">
        <v>226</v>
      </c>
      <c r="AF597" s="278" t="s">
        <v>226</v>
      </c>
      <c r="AG597" s="278" t="s">
        <v>226</v>
      </c>
      <c r="AH597" s="278" t="s">
        <v>226</v>
      </c>
      <c r="AI597" s="278" t="s">
        <v>226</v>
      </c>
      <c r="AJ597" s="1762"/>
      <c r="AK597" s="1762"/>
      <c r="AL597" s="1762"/>
      <c r="AM597" s="1762"/>
      <c r="AN597" s="1762"/>
      <c r="AO597" s="1762"/>
      <c r="AP597" s="1762"/>
      <c r="AQ597" s="1762"/>
      <c r="AS597" s="321"/>
      <c r="AT597" s="362" t="s">
        <v>77</v>
      </c>
      <c r="AU597" s="41">
        <f>SUM(D597:G597)</f>
        <v>1978</v>
      </c>
      <c r="AV597" s="41">
        <f>SUM(H597:K597)</f>
        <v>2210</v>
      </c>
      <c r="AW597" s="41">
        <f>SUM(L597:O597)</f>
        <v>2074</v>
      </c>
      <c r="AX597" s="41">
        <f>SUM(P597:S597)</f>
        <v>2231</v>
      </c>
      <c r="AY597" s="41">
        <f>SUM(T597:W597)</f>
        <v>2211</v>
      </c>
      <c r="AZ597" s="259" t="s">
        <v>226</v>
      </c>
      <c r="BA597" s="259" t="s">
        <v>226</v>
      </c>
      <c r="BB597" s="259" t="s">
        <v>226</v>
      </c>
      <c r="BC597" s="259" t="s">
        <v>226</v>
      </c>
      <c r="BD597" s="259" t="s">
        <v>226</v>
      </c>
      <c r="BE597" s="259" t="s">
        <v>226</v>
      </c>
    </row>
    <row r="598" spans="1:70" x14ac:dyDescent="0.2">
      <c r="B598" s="321" t="s">
        <v>999</v>
      </c>
      <c r="C598" s="319"/>
      <c r="D598" s="518">
        <f t="shared" ref="D598:X598" si="1291">SUM(D594:D597)</f>
        <v>3019</v>
      </c>
      <c r="E598" s="518">
        <f t="shared" si="1291"/>
        <v>2157</v>
      </c>
      <c r="F598" s="518">
        <f t="shared" si="1291"/>
        <v>2501</v>
      </c>
      <c r="G598" s="518">
        <f t="shared" si="1291"/>
        <v>1714</v>
      </c>
      <c r="H598" s="518">
        <f t="shared" si="1291"/>
        <v>3252</v>
      </c>
      <c r="I598" s="518">
        <f t="shared" si="1291"/>
        <v>2877</v>
      </c>
      <c r="J598" s="518">
        <f t="shared" si="1291"/>
        <v>1975</v>
      </c>
      <c r="K598" s="518">
        <f t="shared" si="1291"/>
        <v>1580</v>
      </c>
      <c r="L598" s="518">
        <f t="shared" si="1291"/>
        <v>3010</v>
      </c>
      <c r="M598" s="518">
        <f t="shared" si="1291"/>
        <v>2617</v>
      </c>
      <c r="N598" s="518">
        <f t="shared" si="1291"/>
        <v>2576</v>
      </c>
      <c r="O598" s="518">
        <f t="shared" si="1291"/>
        <v>1697</v>
      </c>
      <c r="P598" s="518">
        <f t="shared" si="1291"/>
        <v>2949</v>
      </c>
      <c r="Q598" s="518">
        <f t="shared" si="1291"/>
        <v>2555</v>
      </c>
      <c r="R598" s="518">
        <f t="shared" si="1291"/>
        <v>2174</v>
      </c>
      <c r="S598" s="518">
        <f t="shared" si="1291"/>
        <v>1260</v>
      </c>
      <c r="T598" s="518">
        <f t="shared" si="1291"/>
        <v>1869</v>
      </c>
      <c r="U598" s="518">
        <f t="shared" si="1291"/>
        <v>2615</v>
      </c>
      <c r="V598" s="518">
        <f t="shared" si="1291"/>
        <v>2660</v>
      </c>
      <c r="W598" s="518">
        <f t="shared" si="1291"/>
        <v>2381</v>
      </c>
      <c r="X598" s="518">
        <f t="shared" si="1291"/>
        <v>3011</v>
      </c>
      <c r="Y598" s="518">
        <f t="shared" ref="Y598:Z598" si="1292">SUM(Y594:Y597)</f>
        <v>2780</v>
      </c>
      <c r="Z598" s="518">
        <f t="shared" si="1292"/>
        <v>3062</v>
      </c>
      <c r="AA598" s="518">
        <f t="shared" ref="AA598:AB598" si="1293">SUM(AA594:AA597)</f>
        <v>213</v>
      </c>
      <c r="AB598" s="518">
        <f t="shared" si="1293"/>
        <v>3329</v>
      </c>
      <c r="AC598" s="50">
        <f t="shared" ref="AC598:AE598" si="1294">AC600-AC599</f>
        <v>3224.3608415464378</v>
      </c>
      <c r="AD598" s="50">
        <f t="shared" si="1294"/>
        <v>3208.4001687720211</v>
      </c>
      <c r="AE598" s="50">
        <f t="shared" si="1294"/>
        <v>3062.4407161870877</v>
      </c>
      <c r="AF598" s="50">
        <f t="shared" ref="AF598:AI598" si="1295">AF600-AF599</f>
        <v>3606.3676929789513</v>
      </c>
      <c r="AG598" s="50">
        <f t="shared" si="1295"/>
        <v>3677.6633822161211</v>
      </c>
      <c r="AH598" s="50">
        <f t="shared" si="1295"/>
        <v>3548.6821340368165</v>
      </c>
      <c r="AI598" s="50">
        <f t="shared" si="1295"/>
        <v>3334.1711487902289</v>
      </c>
      <c r="AJ598" s="50"/>
      <c r="AK598" s="50"/>
      <c r="AL598" s="50"/>
      <c r="AM598" s="50"/>
      <c r="AN598" s="50"/>
      <c r="AO598" s="50"/>
      <c r="AP598" s="50"/>
      <c r="AQ598" s="50"/>
      <c r="AS598" s="321" t="s">
        <v>257</v>
      </c>
      <c r="AT598" s="319"/>
      <c r="AU598" s="232">
        <f>SUM(AU594:AU597)</f>
        <v>9391</v>
      </c>
      <c r="AV598" s="232">
        <f>SUM(AV594:AV597)</f>
        <v>9684</v>
      </c>
      <c r="AW598" s="232">
        <f>SUM(AW594:AW597)</f>
        <v>9900</v>
      </c>
      <c r="AX598" s="232">
        <f>SUM(AX594:AX597)</f>
        <v>8938</v>
      </c>
      <c r="AY598" s="232">
        <f>SUM(AY594:AY597)</f>
        <v>9525</v>
      </c>
      <c r="AZ598" s="232">
        <f t="shared" ref="AZ598:BE598" si="1296">AZ600-AZ599</f>
        <v>10667</v>
      </c>
      <c r="BA598" s="232">
        <f t="shared" si="1296"/>
        <v>10832</v>
      </c>
      <c r="BB598" s="232">
        <f t="shared" ref="BB598" si="1297">BB600-BB599</f>
        <v>11234</v>
      </c>
      <c r="BC598" s="232">
        <f t="shared" si="1296"/>
        <v>9066</v>
      </c>
      <c r="BD598" s="232">
        <f t="shared" si="1296"/>
        <v>9384</v>
      </c>
      <c r="BE598" s="232">
        <f t="shared" si="1296"/>
        <v>9828.3608415464369</v>
      </c>
    </row>
    <row r="599" spans="1:70" x14ac:dyDescent="0.2">
      <c r="A599" s="830"/>
      <c r="B599" s="369"/>
      <c r="C599" s="369" t="s">
        <v>256</v>
      </c>
      <c r="D599" s="454">
        <f>D1572</f>
        <v>-854</v>
      </c>
      <c r="E599" s="454">
        <f t="shared" ref="E599:AE599" si="1298">E1572</f>
        <v>126</v>
      </c>
      <c r="F599" s="454">
        <f t="shared" si="1298"/>
        <v>-499</v>
      </c>
      <c r="G599" s="454">
        <f t="shared" si="1298"/>
        <v>-316</v>
      </c>
      <c r="H599" s="454">
        <f t="shared" si="1298"/>
        <v>-192</v>
      </c>
      <c r="I599" s="454">
        <f t="shared" si="1298"/>
        <v>284</v>
      </c>
      <c r="J599" s="454">
        <f t="shared" si="1298"/>
        <v>-206</v>
      </c>
      <c r="K599" s="454">
        <f t="shared" si="1298"/>
        <v>-100</v>
      </c>
      <c r="L599" s="454">
        <f t="shared" si="1298"/>
        <v>-4</v>
      </c>
      <c r="M599" s="454">
        <f t="shared" si="1298"/>
        <v>-20</v>
      </c>
      <c r="N599" s="454">
        <f t="shared" si="1298"/>
        <v>-194</v>
      </c>
      <c r="O599" s="454">
        <f t="shared" si="1298"/>
        <v>7</v>
      </c>
      <c r="P599" s="454">
        <f t="shared" si="1298"/>
        <v>-44</v>
      </c>
      <c r="Q599" s="454">
        <f t="shared" si="1298"/>
        <v>190</v>
      </c>
      <c r="R599" s="454">
        <f t="shared" si="1298"/>
        <v>143</v>
      </c>
      <c r="S599" s="454">
        <f t="shared" si="1298"/>
        <v>-117</v>
      </c>
      <c r="T599" s="454">
        <f t="shared" si="1298"/>
        <v>0</v>
      </c>
      <c r="U599" s="454">
        <f t="shared" si="1298"/>
        <v>0</v>
      </c>
      <c r="V599" s="454">
        <f t="shared" si="1298"/>
        <v>0</v>
      </c>
      <c r="W599" s="454">
        <f t="shared" si="1298"/>
        <v>0</v>
      </c>
      <c r="X599" s="454">
        <f>X1572</f>
        <v>0</v>
      </c>
      <c r="Y599" s="454">
        <f>Y1572</f>
        <v>0</v>
      </c>
      <c r="Z599" s="454">
        <f>Z1572</f>
        <v>0</v>
      </c>
      <c r="AA599" s="454">
        <f>AA1572</f>
        <v>0</v>
      </c>
      <c r="AB599" s="454">
        <f>AB1572</f>
        <v>0</v>
      </c>
      <c r="AC599" s="454">
        <f t="shared" si="1298"/>
        <v>0</v>
      </c>
      <c r="AD599" s="454">
        <f t="shared" si="1298"/>
        <v>0</v>
      </c>
      <c r="AE599" s="454">
        <f t="shared" si="1298"/>
        <v>0</v>
      </c>
      <c r="AF599" s="454">
        <f t="shared" ref="AF599:AI599" si="1299">AF1572</f>
        <v>0</v>
      </c>
      <c r="AG599" s="454">
        <f t="shared" si="1299"/>
        <v>0</v>
      </c>
      <c r="AH599" s="454">
        <f t="shared" si="1299"/>
        <v>0</v>
      </c>
      <c r="AI599" s="454">
        <f t="shared" si="1299"/>
        <v>0</v>
      </c>
      <c r="AJ599" s="454"/>
      <c r="AK599" s="454"/>
      <c r="AL599" s="454"/>
      <c r="AM599" s="454"/>
      <c r="AN599" s="454"/>
      <c r="AO599" s="454"/>
      <c r="AP599" s="454"/>
      <c r="AQ599" s="454"/>
      <c r="AS599" s="369"/>
      <c r="AT599" s="369" t="s">
        <v>256</v>
      </c>
      <c r="AU599" s="41">
        <f>SUM(D599:G599)</f>
        <v>-1543</v>
      </c>
      <c r="AV599" s="41">
        <f>SUM(H599:K599)</f>
        <v>-214</v>
      </c>
      <c r="AW599" s="41">
        <f>SUM(L599:O599)</f>
        <v>-211</v>
      </c>
      <c r="AX599" s="41">
        <f>SUM(P599:S599)</f>
        <v>172</v>
      </c>
      <c r="AY599" s="41">
        <f>SUM(T599:W599)</f>
        <v>0</v>
      </c>
      <c r="AZ599" s="41">
        <f>SUM(X599:AA599)</f>
        <v>0</v>
      </c>
      <c r="BA599" s="41">
        <f>SUM(AB599:AE599)</f>
        <v>0</v>
      </c>
      <c r="BB599" s="41">
        <f>SUM(AF599:AI599)</f>
        <v>0</v>
      </c>
      <c r="BC599" s="41">
        <f t="shared" ref="BC599:BE599" si="1300">BC1572</f>
        <v>0</v>
      </c>
      <c r="BD599" s="41">
        <f t="shared" si="1300"/>
        <v>0</v>
      </c>
      <c r="BE599" s="41">
        <f t="shared" si="1300"/>
        <v>0</v>
      </c>
    </row>
    <row r="600" spans="1:70" x14ac:dyDescent="0.2">
      <c r="B600" s="319" t="s">
        <v>1002</v>
      </c>
      <c r="C600" s="321"/>
      <c r="D600" s="385">
        <f t="shared" ref="D600:X600" si="1301">D598+D599</f>
        <v>2165</v>
      </c>
      <c r="E600" s="385">
        <f t="shared" si="1301"/>
        <v>2283</v>
      </c>
      <c r="F600" s="385">
        <f t="shared" si="1301"/>
        <v>2002</v>
      </c>
      <c r="G600" s="385">
        <f t="shared" si="1301"/>
        <v>1398</v>
      </c>
      <c r="H600" s="385">
        <f t="shared" si="1301"/>
        <v>3060</v>
      </c>
      <c r="I600" s="385">
        <f t="shared" si="1301"/>
        <v>3161</v>
      </c>
      <c r="J600" s="385">
        <f t="shared" si="1301"/>
        <v>1769</v>
      </c>
      <c r="K600" s="385">
        <f t="shared" si="1301"/>
        <v>1480</v>
      </c>
      <c r="L600" s="385">
        <f t="shared" si="1301"/>
        <v>3006</v>
      </c>
      <c r="M600" s="385">
        <f t="shared" si="1301"/>
        <v>2597</v>
      </c>
      <c r="N600" s="385">
        <f t="shared" si="1301"/>
        <v>2382</v>
      </c>
      <c r="O600" s="385">
        <f t="shared" si="1301"/>
        <v>1704</v>
      </c>
      <c r="P600" s="385">
        <f t="shared" si="1301"/>
        <v>2905</v>
      </c>
      <c r="Q600" s="385">
        <f t="shared" si="1301"/>
        <v>2745</v>
      </c>
      <c r="R600" s="385">
        <f t="shared" si="1301"/>
        <v>2317</v>
      </c>
      <c r="S600" s="385">
        <f t="shared" si="1301"/>
        <v>1143</v>
      </c>
      <c r="T600" s="385">
        <f t="shared" si="1301"/>
        <v>1869</v>
      </c>
      <c r="U600" s="385">
        <f t="shared" si="1301"/>
        <v>2615</v>
      </c>
      <c r="V600" s="385">
        <f t="shared" si="1301"/>
        <v>2660</v>
      </c>
      <c r="W600" s="385">
        <f t="shared" si="1301"/>
        <v>2381</v>
      </c>
      <c r="X600" s="385">
        <f t="shared" si="1301"/>
        <v>3011</v>
      </c>
      <c r="Y600" s="385">
        <f t="shared" ref="Y600:Z600" si="1302">Y598+Y599</f>
        <v>2780</v>
      </c>
      <c r="Z600" s="385">
        <f t="shared" si="1302"/>
        <v>3062</v>
      </c>
      <c r="AA600" s="385">
        <f t="shared" ref="AA600:AB600" si="1303">AA598+AA599</f>
        <v>213</v>
      </c>
      <c r="AB600" s="385">
        <f t="shared" si="1303"/>
        <v>3329</v>
      </c>
      <c r="AC600" s="50">
        <f t="shared" ref="AC600:AE600" si="1304">AC506</f>
        <v>3224.3608415464378</v>
      </c>
      <c r="AD600" s="50">
        <f t="shared" si="1304"/>
        <v>3208.4001687720211</v>
      </c>
      <c r="AE600" s="50">
        <f t="shared" si="1304"/>
        <v>3062.4407161870877</v>
      </c>
      <c r="AF600" s="50">
        <f t="shared" ref="AF600:AI600" si="1305">AF506</f>
        <v>3606.3676929789513</v>
      </c>
      <c r="AG600" s="50">
        <f t="shared" si="1305"/>
        <v>3677.6633822161211</v>
      </c>
      <c r="AH600" s="50">
        <f t="shared" si="1305"/>
        <v>3548.6821340368165</v>
      </c>
      <c r="AI600" s="50">
        <f t="shared" si="1305"/>
        <v>3334.1711487902289</v>
      </c>
      <c r="AJ600" s="50"/>
      <c r="AK600" s="50"/>
      <c r="AL600" s="50"/>
      <c r="AM600" s="50"/>
      <c r="AN600" s="50"/>
      <c r="AO600" s="50"/>
      <c r="AP600" s="50"/>
      <c r="AQ600" s="50"/>
      <c r="AS600" s="325" t="s">
        <v>80</v>
      </c>
      <c r="AT600" s="321"/>
      <c r="AU600" s="41">
        <f>SUM(D600:G600)</f>
        <v>7848</v>
      </c>
      <c r="AV600" s="41">
        <f>SUM(H600:K600)</f>
        <v>9470</v>
      </c>
      <c r="AW600" s="41">
        <f>SUM(L600:O600)</f>
        <v>9689</v>
      </c>
      <c r="AX600" s="41">
        <f>SUM(P600:S600)</f>
        <v>9110</v>
      </c>
      <c r="AY600" s="41">
        <f>SUM(T600:W600)</f>
        <v>9525</v>
      </c>
      <c r="AZ600" s="41">
        <f t="shared" ref="AZ600:BE600" si="1306">SUM(U600:X600)</f>
        <v>10667</v>
      </c>
      <c r="BA600" s="41">
        <f t="shared" si="1306"/>
        <v>10832</v>
      </c>
      <c r="BB600" s="41">
        <f t="shared" si="1306"/>
        <v>11234</v>
      </c>
      <c r="BC600" s="41">
        <f t="shared" si="1306"/>
        <v>9066</v>
      </c>
      <c r="BD600" s="41">
        <f t="shared" si="1306"/>
        <v>9384</v>
      </c>
      <c r="BE600" s="41">
        <f t="shared" si="1306"/>
        <v>9828.3608415464369</v>
      </c>
    </row>
    <row r="601" spans="1:70" x14ac:dyDescent="0.2">
      <c r="A601" s="830"/>
      <c r="B601" s="369"/>
      <c r="C601" s="382"/>
      <c r="D601" s="379"/>
      <c r="E601" s="379"/>
      <c r="F601" s="379"/>
      <c r="G601" s="379"/>
      <c r="H601" s="379"/>
      <c r="I601" s="379"/>
      <c r="J601" s="379"/>
      <c r="K601" s="379"/>
      <c r="L601" s="379"/>
      <c r="M601" s="379"/>
      <c r="N601" s="379"/>
      <c r="O601" s="379"/>
      <c r="P601" s="379"/>
      <c r="Q601" s="379"/>
      <c r="R601" s="379"/>
      <c r="S601" s="379"/>
      <c r="T601" s="379"/>
      <c r="U601" s="379"/>
      <c r="V601" s="379"/>
      <c r="W601" s="379"/>
      <c r="X601" s="379"/>
      <c r="Y601" s="379"/>
      <c r="Z601" s="379"/>
      <c r="AA601" s="379"/>
      <c r="AB601" s="379"/>
      <c r="AC601" s="71"/>
      <c r="AD601" s="71"/>
      <c r="AE601" s="71"/>
      <c r="AF601" s="71"/>
      <c r="AG601" s="71"/>
      <c r="AH601" s="71"/>
      <c r="AI601" s="71"/>
      <c r="AJ601" s="71"/>
      <c r="AK601" s="71"/>
      <c r="AL601" s="71"/>
      <c r="AM601" s="71"/>
      <c r="AN601" s="71"/>
      <c r="AO601" s="71"/>
      <c r="AP601" s="71"/>
      <c r="AQ601" s="71"/>
      <c r="AS601" s="369"/>
      <c r="AT601" s="382"/>
    </row>
    <row r="602" spans="1:70" s="190" customFormat="1" x14ac:dyDescent="0.2">
      <c r="A602" s="411"/>
      <c r="B602" s="340" t="s">
        <v>678</v>
      </c>
      <c r="C602" s="388"/>
      <c r="D602" s="561"/>
      <c r="E602" s="561"/>
      <c r="F602" s="561"/>
      <c r="G602" s="561"/>
      <c r="H602" s="561"/>
      <c r="I602" s="561"/>
      <c r="J602" s="561"/>
      <c r="K602" s="561"/>
      <c r="L602" s="561"/>
      <c r="M602" s="561"/>
      <c r="N602" s="561"/>
      <c r="O602" s="561"/>
      <c r="P602" s="561"/>
      <c r="Q602" s="561"/>
      <c r="R602" s="561"/>
      <c r="S602" s="561"/>
      <c r="T602" s="561"/>
      <c r="U602" s="561"/>
      <c r="V602" s="561"/>
      <c r="W602" s="561"/>
      <c r="X602" s="561"/>
      <c r="Y602" s="561"/>
      <c r="Z602" s="561"/>
      <c r="AA602" s="12"/>
      <c r="AB602" s="12"/>
      <c r="AC602" s="12"/>
      <c r="AD602" s="12"/>
      <c r="AE602" s="12"/>
      <c r="AF602" s="12"/>
      <c r="AG602" s="12"/>
      <c r="AH602" s="12"/>
      <c r="AI602" s="12"/>
      <c r="AJ602" s="12"/>
      <c r="AK602" s="12"/>
      <c r="AL602" s="12"/>
      <c r="AM602" s="12"/>
      <c r="AN602" s="12"/>
      <c r="AO602" s="12"/>
      <c r="AP602" s="12"/>
      <c r="AQ602" s="12"/>
      <c r="AR602" s="70"/>
      <c r="AS602" s="340" t="s">
        <v>678</v>
      </c>
      <c r="AT602" s="388"/>
      <c r="BF602" s="70"/>
      <c r="BG602" s="70"/>
      <c r="BH602" s="70"/>
      <c r="BI602" s="70"/>
      <c r="BJ602" s="70"/>
      <c r="BK602" s="70"/>
      <c r="BL602" s="70"/>
      <c r="BM602"/>
      <c r="BN602"/>
      <c r="BO602"/>
      <c r="BP602"/>
      <c r="BQ602"/>
      <c r="BR602"/>
    </row>
    <row r="603" spans="1:70" x14ac:dyDescent="0.2">
      <c r="B603" s="327"/>
      <c r="C603" s="362" t="s">
        <v>76</v>
      </c>
      <c r="D603" s="560">
        <v>77</v>
      </c>
      <c r="E603" s="560">
        <v>83</v>
      </c>
      <c r="F603" s="560">
        <v>91</v>
      </c>
      <c r="G603" s="560">
        <v>91</v>
      </c>
      <c r="H603" s="560">
        <v>91</v>
      </c>
      <c r="I603" s="560">
        <v>97</v>
      </c>
      <c r="J603" s="560">
        <v>100</v>
      </c>
      <c r="K603" s="560">
        <v>105</v>
      </c>
      <c r="L603" s="560">
        <v>108</v>
      </c>
      <c r="M603" s="560">
        <v>111</v>
      </c>
      <c r="N603" s="560">
        <v>111</v>
      </c>
      <c r="O603" s="560">
        <v>115</v>
      </c>
      <c r="P603" s="560">
        <v>117</v>
      </c>
      <c r="Q603" s="560">
        <v>121</v>
      </c>
      <c r="R603" s="560">
        <v>127</v>
      </c>
      <c r="S603" s="560">
        <v>130</v>
      </c>
      <c r="T603" s="560">
        <v>133</v>
      </c>
      <c r="U603" s="560">
        <v>138</v>
      </c>
      <c r="V603" s="560">
        <v>145</v>
      </c>
      <c r="W603" s="560">
        <v>149</v>
      </c>
      <c r="X603" s="560">
        <v>146</v>
      </c>
      <c r="Y603" s="560">
        <v>150</v>
      </c>
      <c r="Z603" s="560">
        <v>152</v>
      </c>
      <c r="AA603" s="560">
        <v>157</v>
      </c>
      <c r="AB603" s="560">
        <v>160</v>
      </c>
      <c r="AC603" s="144" t="s">
        <v>226</v>
      </c>
      <c r="AD603" s="144" t="s">
        <v>226</v>
      </c>
      <c r="AE603" s="144" t="s">
        <v>226</v>
      </c>
      <c r="AF603" s="144" t="s">
        <v>226</v>
      </c>
      <c r="AG603" s="144" t="s">
        <v>226</v>
      </c>
      <c r="AH603" s="144" t="s">
        <v>226</v>
      </c>
      <c r="AI603" s="144" t="s">
        <v>226</v>
      </c>
      <c r="AJ603" s="144"/>
      <c r="AK603" s="144"/>
      <c r="AL603" s="144"/>
      <c r="AM603" s="144"/>
      <c r="AN603" s="144"/>
      <c r="AO603" s="144"/>
      <c r="AP603" s="144"/>
      <c r="AQ603" s="144"/>
      <c r="AS603" s="327"/>
      <c r="AT603" s="362" t="s">
        <v>76</v>
      </c>
      <c r="AU603" s="207">
        <f>AVERAGE(D603:G603)</f>
        <v>85.5</v>
      </c>
      <c r="AV603" s="207">
        <f>AVERAGE(H603:K603)</f>
        <v>98.25</v>
      </c>
      <c r="AW603" s="207">
        <f>AVERAGE(L603:O603)</f>
        <v>111.25</v>
      </c>
      <c r="AX603" s="207">
        <f>AVERAGE(P603:S603)</f>
        <v>123.75</v>
      </c>
      <c r="AY603" s="207">
        <f>AVERAGE(T603:W603)</f>
        <v>141.25</v>
      </c>
      <c r="AZ603" s="144" t="s">
        <v>226</v>
      </c>
      <c r="BA603" s="144" t="s">
        <v>226</v>
      </c>
      <c r="BB603" s="144" t="s">
        <v>226</v>
      </c>
      <c r="BC603" s="144" t="s">
        <v>226</v>
      </c>
      <c r="BD603" s="144" t="s">
        <v>226</v>
      </c>
      <c r="BE603" s="144" t="s">
        <v>226</v>
      </c>
    </row>
    <row r="604" spans="1:70" x14ac:dyDescent="0.2">
      <c r="B604" s="327"/>
      <c r="C604" s="362" t="s">
        <v>27</v>
      </c>
      <c r="D604" s="560">
        <v>53</v>
      </c>
      <c r="E604" s="560">
        <v>54</v>
      </c>
      <c r="F604" s="560">
        <v>55</v>
      </c>
      <c r="G604" s="560">
        <v>55</v>
      </c>
      <c r="H604" s="560">
        <v>56</v>
      </c>
      <c r="I604" s="560">
        <v>58</v>
      </c>
      <c r="J604" s="560">
        <v>58</v>
      </c>
      <c r="K604" s="560">
        <v>59</v>
      </c>
      <c r="L604" s="560">
        <v>60</v>
      </c>
      <c r="M604" s="560">
        <v>61</v>
      </c>
      <c r="N604" s="560">
        <v>62</v>
      </c>
      <c r="O604" s="560">
        <v>61</v>
      </c>
      <c r="P604" s="560">
        <v>60</v>
      </c>
      <c r="Q604" s="560">
        <v>64</v>
      </c>
      <c r="R604" s="560">
        <v>63</v>
      </c>
      <c r="S604" s="560">
        <v>62</v>
      </c>
      <c r="T604" s="560">
        <v>63</v>
      </c>
      <c r="U604" s="560">
        <v>67</v>
      </c>
      <c r="V604" s="560">
        <v>68</v>
      </c>
      <c r="W604" s="560">
        <v>66</v>
      </c>
      <c r="X604" s="560">
        <v>65</v>
      </c>
      <c r="Y604" s="560">
        <v>67</v>
      </c>
      <c r="Z604" s="560">
        <v>71</v>
      </c>
      <c r="AA604" s="560">
        <v>73</v>
      </c>
      <c r="AB604" s="560">
        <v>78</v>
      </c>
      <c r="AC604" s="144" t="s">
        <v>226</v>
      </c>
      <c r="AD604" s="144" t="s">
        <v>226</v>
      </c>
      <c r="AE604" s="144" t="s">
        <v>226</v>
      </c>
      <c r="AF604" s="144" t="s">
        <v>226</v>
      </c>
      <c r="AG604" s="144" t="s">
        <v>226</v>
      </c>
      <c r="AH604" s="144" t="s">
        <v>226</v>
      </c>
      <c r="AI604" s="144" t="s">
        <v>226</v>
      </c>
      <c r="AJ604" s="144"/>
      <c r="AK604" s="144"/>
      <c r="AL604" s="144"/>
      <c r="AM604" s="144"/>
      <c r="AN604" s="144"/>
      <c r="AO604" s="144"/>
      <c r="AP604" s="144"/>
      <c r="AQ604" s="144"/>
      <c r="AS604" s="327"/>
      <c r="AT604" s="362" t="s">
        <v>27</v>
      </c>
      <c r="AU604" s="207">
        <f>AVERAGE(D604:G604)</f>
        <v>54.25</v>
      </c>
      <c r="AV604" s="207">
        <f>AVERAGE(H604:K604)</f>
        <v>57.75</v>
      </c>
      <c r="AW604" s="207">
        <f>AVERAGE(L604:O604)</f>
        <v>61</v>
      </c>
      <c r="AX604" s="207">
        <f>AVERAGE(P604:S604)</f>
        <v>62.25</v>
      </c>
      <c r="AY604" s="207">
        <f>AVERAGE(T604:W604)</f>
        <v>66</v>
      </c>
      <c r="AZ604" s="144" t="s">
        <v>226</v>
      </c>
      <c r="BA604" s="144" t="s">
        <v>226</v>
      </c>
      <c r="BB604" s="144" t="s">
        <v>226</v>
      </c>
      <c r="BC604" s="144" t="s">
        <v>226</v>
      </c>
      <c r="BD604" s="144" t="s">
        <v>226</v>
      </c>
      <c r="BE604" s="144" t="s">
        <v>226</v>
      </c>
    </row>
    <row r="605" spans="1:70" x14ac:dyDescent="0.2">
      <c r="B605" s="327"/>
      <c r="C605" s="362" t="s">
        <v>5</v>
      </c>
      <c r="D605" s="560">
        <v>35</v>
      </c>
      <c r="E605" s="560">
        <v>34</v>
      </c>
      <c r="F605" s="560">
        <v>35</v>
      </c>
      <c r="G605" s="560">
        <v>37</v>
      </c>
      <c r="H605" s="560">
        <v>38</v>
      </c>
      <c r="I605" s="560">
        <v>38</v>
      </c>
      <c r="J605" s="560">
        <v>38</v>
      </c>
      <c r="K605" s="560">
        <v>39</v>
      </c>
      <c r="L605" s="560">
        <v>40</v>
      </c>
      <c r="M605" s="560">
        <v>41</v>
      </c>
      <c r="N605" s="560">
        <v>41</v>
      </c>
      <c r="O605" s="560">
        <v>39</v>
      </c>
      <c r="P605" s="560">
        <v>39</v>
      </c>
      <c r="Q605" s="560">
        <v>41</v>
      </c>
      <c r="R605" s="560">
        <v>40</v>
      </c>
      <c r="S605" s="560">
        <v>41</v>
      </c>
      <c r="T605" s="560">
        <v>39</v>
      </c>
      <c r="U605" s="560">
        <v>38</v>
      </c>
      <c r="V605" s="560">
        <v>36</v>
      </c>
      <c r="W605" s="560">
        <v>34</v>
      </c>
      <c r="X605" s="560">
        <v>34</v>
      </c>
      <c r="Y605" s="560">
        <v>35</v>
      </c>
      <c r="Z605" s="560">
        <v>34</v>
      </c>
      <c r="AA605" s="560">
        <v>33</v>
      </c>
      <c r="AB605" s="560">
        <v>34</v>
      </c>
      <c r="AC605" s="144" t="s">
        <v>226</v>
      </c>
      <c r="AD605" s="144" t="s">
        <v>226</v>
      </c>
      <c r="AE605" s="144" t="s">
        <v>226</v>
      </c>
      <c r="AF605" s="144" t="s">
        <v>226</v>
      </c>
      <c r="AG605" s="144" t="s">
        <v>226</v>
      </c>
      <c r="AH605" s="144" t="s">
        <v>226</v>
      </c>
      <c r="AI605" s="144" t="s">
        <v>226</v>
      </c>
      <c r="AJ605" s="144"/>
      <c r="AK605" s="144"/>
      <c r="AL605" s="144"/>
      <c r="AM605" s="144"/>
      <c r="AN605" s="144"/>
      <c r="AO605" s="144"/>
      <c r="AP605" s="144"/>
      <c r="AQ605" s="144"/>
      <c r="AS605" s="327"/>
      <c r="AT605" s="362" t="s">
        <v>5</v>
      </c>
      <c r="AU605" s="207">
        <f>AVERAGE(D605:G605)</f>
        <v>35.25</v>
      </c>
      <c r="AV605" s="207">
        <f>AVERAGE(H605:K605)</f>
        <v>38.25</v>
      </c>
      <c r="AW605" s="207">
        <f>AVERAGE(L605:O605)</f>
        <v>40.25</v>
      </c>
      <c r="AX605" s="207">
        <f>AVERAGE(P605:S605)</f>
        <v>40.25</v>
      </c>
      <c r="AY605" s="207">
        <f>AVERAGE(T605:W605)</f>
        <v>36.75</v>
      </c>
      <c r="AZ605" s="144" t="s">
        <v>226</v>
      </c>
      <c r="BA605" s="144" t="s">
        <v>226</v>
      </c>
      <c r="BB605" s="144" t="s">
        <v>226</v>
      </c>
      <c r="BC605" s="144" t="s">
        <v>226</v>
      </c>
      <c r="BD605" s="144" t="s">
        <v>226</v>
      </c>
      <c r="BE605" s="144" t="s">
        <v>226</v>
      </c>
    </row>
    <row r="606" spans="1:70" x14ac:dyDescent="0.2">
      <c r="B606" s="369"/>
      <c r="C606" s="383" t="s">
        <v>77</v>
      </c>
      <c r="D606" s="537">
        <v>59</v>
      </c>
      <c r="E606" s="537">
        <v>63</v>
      </c>
      <c r="F606" s="537">
        <v>64</v>
      </c>
      <c r="G606" s="537">
        <v>61</v>
      </c>
      <c r="H606" s="537">
        <v>60</v>
      </c>
      <c r="I606" s="537">
        <v>64</v>
      </c>
      <c r="J606" s="537">
        <v>67</v>
      </c>
      <c r="K606" s="537">
        <v>68</v>
      </c>
      <c r="L606" s="537">
        <v>68</v>
      </c>
      <c r="M606" s="537">
        <v>70</v>
      </c>
      <c r="N606" s="537">
        <v>69</v>
      </c>
      <c r="O606" s="537">
        <v>66</v>
      </c>
      <c r="P606" s="537">
        <v>62</v>
      </c>
      <c r="Q606" s="537">
        <v>63</v>
      </c>
      <c r="R606" s="537">
        <v>62</v>
      </c>
      <c r="S606" s="537">
        <v>61</v>
      </c>
      <c r="T606" s="537">
        <v>60</v>
      </c>
      <c r="U606" s="537">
        <v>61</v>
      </c>
      <c r="V606" s="537">
        <v>58</v>
      </c>
      <c r="W606" s="537">
        <v>55</v>
      </c>
      <c r="X606" s="537">
        <v>57</v>
      </c>
      <c r="Y606" s="537">
        <v>61</v>
      </c>
      <c r="Z606" s="537">
        <v>64</v>
      </c>
      <c r="AA606" s="537">
        <v>65</v>
      </c>
      <c r="AB606" s="537">
        <v>67</v>
      </c>
      <c r="AC606" s="197" t="s">
        <v>226</v>
      </c>
      <c r="AD606" s="197" t="s">
        <v>226</v>
      </c>
      <c r="AE606" s="197" t="s">
        <v>226</v>
      </c>
      <c r="AF606" s="197" t="s">
        <v>226</v>
      </c>
      <c r="AG606" s="197" t="s">
        <v>226</v>
      </c>
      <c r="AH606" s="197" t="s">
        <v>226</v>
      </c>
      <c r="AI606" s="197" t="s">
        <v>226</v>
      </c>
      <c r="AJ606" s="1756"/>
      <c r="AK606" s="1756"/>
      <c r="AL606" s="1756"/>
      <c r="AM606" s="1756"/>
      <c r="AN606" s="1756"/>
      <c r="AO606" s="1756"/>
      <c r="AP606" s="1756"/>
      <c r="AQ606" s="1756"/>
      <c r="AS606" s="369"/>
      <c r="AT606" s="562" t="s">
        <v>77</v>
      </c>
      <c r="AU606" s="42">
        <f>AVERAGE(D606:G606)</f>
        <v>61.75</v>
      </c>
      <c r="AV606" s="42">
        <f>AVERAGE(H606:K606)</f>
        <v>64.75</v>
      </c>
      <c r="AW606" s="42">
        <f>AVERAGE(L606:O606)</f>
        <v>68.25</v>
      </c>
      <c r="AX606" s="42">
        <f>AVERAGE(P606:S606)</f>
        <v>62</v>
      </c>
      <c r="AY606" s="42">
        <f>AVERAGE(T606:W606)</f>
        <v>58.5</v>
      </c>
      <c r="AZ606" s="197" t="s">
        <v>226</v>
      </c>
      <c r="BA606" s="197" t="s">
        <v>226</v>
      </c>
      <c r="BB606" s="197" t="s">
        <v>226</v>
      </c>
      <c r="BC606" s="197" t="s">
        <v>226</v>
      </c>
      <c r="BD606" s="197" t="s">
        <v>226</v>
      </c>
      <c r="BE606" s="197" t="s">
        <v>226</v>
      </c>
    </row>
    <row r="607" spans="1:70" x14ac:dyDescent="0.2">
      <c r="B607" s="177"/>
      <c r="C607" s="382" t="s">
        <v>282</v>
      </c>
      <c r="D607" s="379">
        <f t="shared" ref="D607:X607" si="1307">SUM(D603:D606)</f>
        <v>224</v>
      </c>
      <c r="E607" s="379">
        <f t="shared" si="1307"/>
        <v>234</v>
      </c>
      <c r="F607" s="379">
        <f t="shared" si="1307"/>
        <v>245</v>
      </c>
      <c r="G607" s="379">
        <f t="shared" si="1307"/>
        <v>244</v>
      </c>
      <c r="H607" s="379">
        <f t="shared" si="1307"/>
        <v>245</v>
      </c>
      <c r="I607" s="379">
        <f t="shared" si="1307"/>
        <v>257</v>
      </c>
      <c r="J607" s="379">
        <f t="shared" si="1307"/>
        <v>263</v>
      </c>
      <c r="K607" s="379">
        <f t="shared" si="1307"/>
        <v>271</v>
      </c>
      <c r="L607" s="379">
        <f t="shared" si="1307"/>
        <v>276</v>
      </c>
      <c r="M607" s="379">
        <f t="shared" si="1307"/>
        <v>283</v>
      </c>
      <c r="N607" s="379">
        <f t="shared" si="1307"/>
        <v>283</v>
      </c>
      <c r="O607" s="379">
        <f t="shared" si="1307"/>
        <v>281</v>
      </c>
      <c r="P607" s="379">
        <f t="shared" si="1307"/>
        <v>278</v>
      </c>
      <c r="Q607" s="379">
        <f t="shared" si="1307"/>
        <v>289</v>
      </c>
      <c r="R607" s="379">
        <f t="shared" si="1307"/>
        <v>292</v>
      </c>
      <c r="S607" s="379">
        <f t="shared" si="1307"/>
        <v>294</v>
      </c>
      <c r="T607" s="379">
        <f t="shared" si="1307"/>
        <v>295</v>
      </c>
      <c r="U607" s="379">
        <f t="shared" si="1307"/>
        <v>304</v>
      </c>
      <c r="V607" s="379">
        <f t="shared" si="1307"/>
        <v>307</v>
      </c>
      <c r="W607" s="379">
        <f t="shared" si="1307"/>
        <v>304</v>
      </c>
      <c r="X607" s="379">
        <f t="shared" si="1307"/>
        <v>302</v>
      </c>
      <c r="Y607" s="379">
        <f t="shared" ref="Y607:Z607" si="1308">SUM(Y603:Y606)</f>
        <v>313</v>
      </c>
      <c r="Z607" s="379">
        <f t="shared" si="1308"/>
        <v>321</v>
      </c>
      <c r="AA607" s="379">
        <f t="shared" ref="AA607:AB607" si="1309">SUM(AA603:AA606)</f>
        <v>328</v>
      </c>
      <c r="AB607" s="379">
        <f t="shared" si="1309"/>
        <v>339</v>
      </c>
      <c r="AC607" s="348">
        <f>AB607*(1+Drivers!AC151)</f>
        <v>345.78000000000003</v>
      </c>
      <c r="AD607" s="348">
        <f>AC607*(1+Drivers!AD151)</f>
        <v>350.9667</v>
      </c>
      <c r="AE607" s="348">
        <f>AD607*(1+Drivers!AE151)</f>
        <v>356.23120049999994</v>
      </c>
      <c r="AF607" s="348">
        <f>AE607*(1+Drivers!AF151)</f>
        <v>363.35582450999993</v>
      </c>
      <c r="AG607" s="348">
        <f>AF607*(1+Drivers!AG151)</f>
        <v>370.62294100019994</v>
      </c>
      <c r="AH607" s="348">
        <f>AG607*(1+Drivers!AH151)</f>
        <v>379.88851452520493</v>
      </c>
      <c r="AI607" s="348">
        <f>AH607*(1+Drivers!AI151)</f>
        <v>389.385727388335</v>
      </c>
      <c r="AJ607" s="348"/>
      <c r="AK607" s="348"/>
      <c r="AL607" s="348"/>
      <c r="AM607" s="348"/>
      <c r="AN607" s="348"/>
      <c r="AO607" s="348"/>
      <c r="AP607" s="348"/>
      <c r="AQ607" s="348"/>
      <c r="AS607" s="177"/>
      <c r="AT607" s="563" t="s">
        <v>282</v>
      </c>
      <c r="AU607" s="207">
        <f>AVERAGE(D607:G607)</f>
        <v>236.75</v>
      </c>
      <c r="AV607" s="207">
        <f>AVERAGE(H607:K607)</f>
        <v>259</v>
      </c>
      <c r="AW607" s="207">
        <f>AVERAGE(L607:O607)</f>
        <v>280.75</v>
      </c>
      <c r="AX607" s="207">
        <f>AVERAGE(P607:S607)</f>
        <v>288.25</v>
      </c>
      <c r="AY607" s="207">
        <f>AVERAGE(T607:W607)</f>
        <v>302.5</v>
      </c>
      <c r="AZ607" s="207">
        <f>AVERAGE(X607:AA607)</f>
        <v>316</v>
      </c>
      <c r="BA607" s="207">
        <f>AVERAGE(AB607:AE607)</f>
        <v>347.99447512499995</v>
      </c>
      <c r="BB607" s="207">
        <f>AVERAGE(AF607:AI607)</f>
        <v>375.81325185593494</v>
      </c>
      <c r="BC607" s="348">
        <f>BB607*(1+Drivers!BC151)</f>
        <v>402.12017948585043</v>
      </c>
      <c r="BD607" s="348">
        <f>BC607*(1+Drivers!BD151)</f>
        <v>430.26859204985999</v>
      </c>
      <c r="BE607" s="348">
        <f>BD607*(1+Drivers!BE151)</f>
        <v>456.08470757285158</v>
      </c>
    </row>
    <row r="608" spans="1:70" x14ac:dyDescent="0.2">
      <c r="B608" s="319"/>
      <c r="D608" s="379"/>
      <c r="E608" s="379"/>
      <c r="F608" s="379"/>
      <c r="G608" s="379"/>
      <c r="H608" s="379"/>
      <c r="I608" s="379"/>
      <c r="J608" s="379"/>
      <c r="K608" s="379"/>
      <c r="L608" s="379"/>
      <c r="M608" s="379"/>
      <c r="N608" s="379"/>
      <c r="O608" s="379"/>
      <c r="P608" s="379"/>
      <c r="Q608" s="379"/>
      <c r="R608" s="379"/>
      <c r="S608" s="379"/>
      <c r="T608" s="379"/>
      <c r="U608" s="379"/>
      <c r="V608" s="379"/>
      <c r="W608" s="379"/>
      <c r="X608" s="379"/>
      <c r="Y608" s="379"/>
      <c r="Z608" s="379"/>
      <c r="AA608" s="379"/>
      <c r="AB608" s="379"/>
      <c r="AS608" s="319"/>
      <c r="AT608" s="9"/>
    </row>
    <row r="609" spans="1:70" s="190" customFormat="1" x14ac:dyDescent="0.2">
      <c r="A609" s="411"/>
      <c r="B609" s="340" t="s">
        <v>943</v>
      </c>
      <c r="C609" s="388"/>
      <c r="D609" s="561"/>
      <c r="E609" s="561"/>
      <c r="F609" s="561"/>
      <c r="G609" s="561"/>
      <c r="H609" s="561"/>
      <c r="I609" s="561"/>
      <c r="J609" s="561"/>
      <c r="K609" s="561"/>
      <c r="L609" s="561"/>
      <c r="M609" s="561"/>
      <c r="N609" s="561"/>
      <c r="O609" s="561"/>
      <c r="P609" s="561"/>
      <c r="Q609" s="561"/>
      <c r="R609" s="561"/>
      <c r="S609" s="561"/>
      <c r="T609" s="561"/>
      <c r="U609" s="561"/>
      <c r="V609" s="561"/>
      <c r="W609" s="561"/>
      <c r="X609" s="561"/>
      <c r="Y609" s="561"/>
      <c r="Z609" s="561"/>
      <c r="AA609" s="561"/>
      <c r="AB609" s="561"/>
      <c r="AC609" s="12"/>
      <c r="AD609" s="12"/>
      <c r="AE609" s="12"/>
      <c r="AF609" s="12"/>
      <c r="AG609" s="12"/>
      <c r="AH609" s="12"/>
      <c r="AI609" s="12"/>
      <c r="AJ609" s="12"/>
      <c r="AK609" s="12"/>
      <c r="AL609" s="12"/>
      <c r="AM609" s="12"/>
      <c r="AN609" s="12"/>
      <c r="AO609" s="12"/>
      <c r="AP609" s="12"/>
      <c r="AQ609" s="12"/>
      <c r="AR609" s="70"/>
      <c r="AS609" s="340" t="s">
        <v>943</v>
      </c>
      <c r="AT609" s="388"/>
      <c r="BF609" s="70"/>
      <c r="BG609" s="70"/>
      <c r="BH609" s="70"/>
      <c r="BI609" s="70"/>
      <c r="BJ609" s="70"/>
      <c r="BK609" s="70"/>
      <c r="BL609" s="70"/>
      <c r="BM609"/>
      <c r="BN609"/>
      <c r="BO609"/>
      <c r="BP609"/>
      <c r="BQ609"/>
      <c r="BR609"/>
    </row>
    <row r="610" spans="1:70" x14ac:dyDescent="0.2">
      <c r="B610" s="327"/>
      <c r="C610" s="362" t="s">
        <v>76</v>
      </c>
      <c r="D610" s="560">
        <v>164</v>
      </c>
      <c r="E610" s="560">
        <v>158</v>
      </c>
      <c r="F610" s="560">
        <v>148</v>
      </c>
      <c r="G610" s="560">
        <v>145</v>
      </c>
      <c r="H610" s="560">
        <v>148</v>
      </c>
      <c r="I610" s="560">
        <v>151</v>
      </c>
      <c r="J610" s="560">
        <v>166</v>
      </c>
      <c r="K610" s="560">
        <v>177</v>
      </c>
      <c r="L610" s="560">
        <v>179</v>
      </c>
      <c r="M610" s="560">
        <v>176</v>
      </c>
      <c r="N610" s="560">
        <v>177</v>
      </c>
      <c r="O610" s="560">
        <v>196</v>
      </c>
      <c r="P610" s="560">
        <v>251</v>
      </c>
      <c r="Q610" s="560">
        <v>262</v>
      </c>
      <c r="R610" s="560">
        <v>261</v>
      </c>
      <c r="S610" s="560">
        <v>267</v>
      </c>
      <c r="T610" s="560">
        <v>270</v>
      </c>
      <c r="U610" s="560">
        <v>275</v>
      </c>
      <c r="V610" s="560">
        <v>276</v>
      </c>
      <c r="W610" s="560">
        <v>282</v>
      </c>
      <c r="X610" s="560">
        <v>287</v>
      </c>
      <c r="Y610" s="560">
        <v>280</v>
      </c>
      <c r="Z610" s="560">
        <v>290</v>
      </c>
      <c r="AA610" s="560">
        <v>296</v>
      </c>
      <c r="AB610" s="560">
        <v>295</v>
      </c>
      <c r="AC610" s="32" t="s">
        <v>226</v>
      </c>
      <c r="AD610" s="32" t="s">
        <v>226</v>
      </c>
      <c r="AE610" s="32" t="s">
        <v>226</v>
      </c>
      <c r="AF610" s="32" t="s">
        <v>226</v>
      </c>
      <c r="AG610" s="32" t="s">
        <v>226</v>
      </c>
      <c r="AH610" s="32" t="s">
        <v>226</v>
      </c>
      <c r="AI610" s="32" t="s">
        <v>226</v>
      </c>
      <c r="AJ610" s="32"/>
      <c r="AK610" s="32"/>
      <c r="AL610" s="32"/>
      <c r="AM610" s="32"/>
      <c r="AN610" s="32"/>
      <c r="AO610" s="32"/>
      <c r="AP610" s="32"/>
      <c r="AQ610" s="32"/>
      <c r="AS610" s="327"/>
      <c r="AT610" s="362" t="s">
        <v>76</v>
      </c>
      <c r="AU610" s="232">
        <f>G610</f>
        <v>145</v>
      </c>
      <c r="AV610" s="232">
        <f>K610</f>
        <v>177</v>
      </c>
      <c r="AW610" s="232">
        <f>O610</f>
        <v>196</v>
      </c>
      <c r="AX610" s="232">
        <f>S610</f>
        <v>267</v>
      </c>
      <c r="AY610" s="232">
        <f>W610</f>
        <v>282</v>
      </c>
      <c r="AZ610" s="252">
        <f>AA610</f>
        <v>296</v>
      </c>
      <c r="BA610" s="252" t="str">
        <f>AE610</f>
        <v>NF</v>
      </c>
      <c r="BB610" s="252" t="str">
        <f>AI610</f>
        <v>NF</v>
      </c>
      <c r="BC610" s="32" t="s">
        <v>226</v>
      </c>
      <c r="BD610" s="32" t="s">
        <v>226</v>
      </c>
      <c r="BE610" s="32" t="s">
        <v>226</v>
      </c>
    </row>
    <row r="611" spans="1:70" x14ac:dyDescent="0.2">
      <c r="B611" s="327"/>
      <c r="C611" s="362" t="s">
        <v>27</v>
      </c>
      <c r="D611" s="560">
        <v>157</v>
      </c>
      <c r="E611" s="560">
        <v>160</v>
      </c>
      <c r="F611" s="560">
        <v>175</v>
      </c>
      <c r="G611" s="560">
        <v>171</v>
      </c>
      <c r="H611" s="560">
        <v>173</v>
      </c>
      <c r="I611" s="560">
        <v>174</v>
      </c>
      <c r="J611" s="560">
        <v>182</v>
      </c>
      <c r="K611" s="560">
        <v>186</v>
      </c>
      <c r="L611" s="560">
        <v>185</v>
      </c>
      <c r="M611" s="560">
        <v>186</v>
      </c>
      <c r="N611" s="560">
        <v>179</v>
      </c>
      <c r="O611" s="560">
        <v>164</v>
      </c>
      <c r="P611" s="560">
        <v>152</v>
      </c>
      <c r="Q611" s="560">
        <v>160</v>
      </c>
      <c r="R611" s="560">
        <v>160</v>
      </c>
      <c r="S611" s="560">
        <v>154</v>
      </c>
      <c r="T611" s="560">
        <v>166</v>
      </c>
      <c r="U611" s="560">
        <v>162</v>
      </c>
      <c r="V611" s="560">
        <v>170</v>
      </c>
      <c r="W611" s="560">
        <v>164</v>
      </c>
      <c r="X611" s="560">
        <v>161</v>
      </c>
      <c r="Y611" s="560">
        <v>170</v>
      </c>
      <c r="Z611" s="560">
        <v>172</v>
      </c>
      <c r="AA611" s="560">
        <v>174</v>
      </c>
      <c r="AB611" s="560">
        <v>189</v>
      </c>
      <c r="AC611" s="32" t="s">
        <v>226</v>
      </c>
      <c r="AD611" s="32" t="s">
        <v>226</v>
      </c>
      <c r="AE611" s="32" t="s">
        <v>226</v>
      </c>
      <c r="AF611" s="32" t="s">
        <v>226</v>
      </c>
      <c r="AG611" s="32" t="s">
        <v>226</v>
      </c>
      <c r="AH611" s="32" t="s">
        <v>226</v>
      </c>
      <c r="AI611" s="32" t="s">
        <v>226</v>
      </c>
      <c r="AJ611" s="32"/>
      <c r="AK611" s="32"/>
      <c r="AL611" s="32"/>
      <c r="AM611" s="32"/>
      <c r="AN611" s="32"/>
      <c r="AO611" s="32"/>
      <c r="AP611" s="32"/>
      <c r="AQ611" s="32"/>
      <c r="AS611" s="327"/>
      <c r="AT611" s="362" t="s">
        <v>27</v>
      </c>
      <c r="AU611" s="232">
        <f>G611</f>
        <v>171</v>
      </c>
      <c r="AV611" s="232">
        <f>K611</f>
        <v>186</v>
      </c>
      <c r="AW611" s="232">
        <f>O611</f>
        <v>164</v>
      </c>
      <c r="AX611" s="232">
        <f>S611</f>
        <v>154</v>
      </c>
      <c r="AY611" s="232">
        <f>W611</f>
        <v>164</v>
      </c>
      <c r="AZ611" s="252">
        <f>AA611</f>
        <v>174</v>
      </c>
      <c r="BA611" s="252" t="str">
        <f>AE611</f>
        <v>NF</v>
      </c>
      <c r="BB611" s="252" t="str">
        <f>AI611</f>
        <v>NF</v>
      </c>
      <c r="BC611" s="32" t="s">
        <v>226</v>
      </c>
      <c r="BD611" s="32" t="s">
        <v>226</v>
      </c>
      <c r="BE611" s="32" t="s">
        <v>226</v>
      </c>
    </row>
    <row r="612" spans="1:70" x14ac:dyDescent="0.2">
      <c r="B612" s="327"/>
      <c r="C612" s="362" t="s">
        <v>5</v>
      </c>
      <c r="D612" s="560">
        <v>50</v>
      </c>
      <c r="E612" s="560">
        <v>49</v>
      </c>
      <c r="F612" s="560">
        <v>60</v>
      </c>
      <c r="G612" s="560">
        <v>55</v>
      </c>
      <c r="H612" s="560">
        <v>57</v>
      </c>
      <c r="I612" s="560">
        <v>58</v>
      </c>
      <c r="J612" s="560">
        <v>64</v>
      </c>
      <c r="K612" s="560">
        <v>61</v>
      </c>
      <c r="L612" s="560">
        <v>67</v>
      </c>
      <c r="M612" s="560">
        <v>66</v>
      </c>
      <c r="N612" s="560">
        <v>63</v>
      </c>
      <c r="O612" s="560">
        <v>55</v>
      </c>
      <c r="P612" s="560">
        <v>35</v>
      </c>
      <c r="Q612" s="560">
        <v>32</v>
      </c>
      <c r="R612" s="560">
        <v>30</v>
      </c>
      <c r="S612" s="560">
        <v>27</v>
      </c>
      <c r="T612" s="560">
        <v>28</v>
      </c>
      <c r="U612" s="560">
        <v>25</v>
      </c>
      <c r="V612" s="560">
        <v>26</v>
      </c>
      <c r="W612" s="560">
        <v>26</v>
      </c>
      <c r="X612" s="560">
        <v>28</v>
      </c>
      <c r="Y612" s="560">
        <v>27</v>
      </c>
      <c r="Z612" s="560">
        <v>26</v>
      </c>
      <c r="AA612" s="560">
        <v>25</v>
      </c>
      <c r="AB612" s="560">
        <v>26</v>
      </c>
      <c r="AC612" s="32" t="s">
        <v>226</v>
      </c>
      <c r="AD612" s="32" t="s">
        <v>226</v>
      </c>
      <c r="AE612" s="32" t="s">
        <v>226</v>
      </c>
      <c r="AF612" s="32" t="s">
        <v>226</v>
      </c>
      <c r="AG612" s="32" t="s">
        <v>226</v>
      </c>
      <c r="AH612" s="32" t="s">
        <v>226</v>
      </c>
      <c r="AI612" s="32" t="s">
        <v>226</v>
      </c>
      <c r="AJ612" s="32"/>
      <c r="AK612" s="32"/>
      <c r="AL612" s="32"/>
      <c r="AM612" s="32"/>
      <c r="AN612" s="32"/>
      <c r="AO612" s="32"/>
      <c r="AP612" s="32"/>
      <c r="AQ612" s="32"/>
      <c r="AS612" s="327"/>
      <c r="AT612" s="362" t="s">
        <v>5</v>
      </c>
      <c r="AU612" s="232">
        <f>G612</f>
        <v>55</v>
      </c>
      <c r="AV612" s="232">
        <f>K612</f>
        <v>61</v>
      </c>
      <c r="AW612" s="232">
        <f>O612</f>
        <v>55</v>
      </c>
      <c r="AX612" s="232">
        <f>S612</f>
        <v>27</v>
      </c>
      <c r="AY612" s="232">
        <f>W612</f>
        <v>26</v>
      </c>
      <c r="AZ612" s="252">
        <f>AA612</f>
        <v>25</v>
      </c>
      <c r="BA612" s="252" t="str">
        <f>AE612</f>
        <v>NF</v>
      </c>
      <c r="BB612" s="252" t="str">
        <f>AI612</f>
        <v>NF</v>
      </c>
      <c r="BC612" s="32" t="s">
        <v>226</v>
      </c>
      <c r="BD612" s="32" t="s">
        <v>226</v>
      </c>
      <c r="BE612" s="32" t="s">
        <v>226</v>
      </c>
    </row>
    <row r="613" spans="1:70" x14ac:dyDescent="0.2">
      <c r="B613" s="321"/>
      <c r="C613" s="562" t="s">
        <v>77</v>
      </c>
      <c r="D613" s="454">
        <v>144</v>
      </c>
      <c r="E613" s="454">
        <v>152</v>
      </c>
      <c r="F613" s="454">
        <v>155</v>
      </c>
      <c r="G613" s="454">
        <v>147</v>
      </c>
      <c r="H613" s="454">
        <v>141</v>
      </c>
      <c r="I613" s="454">
        <v>144</v>
      </c>
      <c r="J613" s="454">
        <v>148</v>
      </c>
      <c r="K613" s="454">
        <v>145</v>
      </c>
      <c r="L613" s="454">
        <v>139</v>
      </c>
      <c r="M613" s="454">
        <v>145</v>
      </c>
      <c r="N613" s="454">
        <v>145</v>
      </c>
      <c r="O613" s="454">
        <v>142</v>
      </c>
      <c r="P613" s="454">
        <v>135</v>
      </c>
      <c r="Q613" s="454">
        <v>136</v>
      </c>
      <c r="R613" s="454">
        <v>145</v>
      </c>
      <c r="S613" s="454">
        <v>141</v>
      </c>
      <c r="T613" s="454">
        <v>145</v>
      </c>
      <c r="U613" s="454">
        <v>147</v>
      </c>
      <c r="V613" s="454">
        <v>147</v>
      </c>
      <c r="W613" s="454">
        <v>140</v>
      </c>
      <c r="X613" s="454">
        <v>144</v>
      </c>
      <c r="Y613" s="454">
        <v>147</v>
      </c>
      <c r="Z613" s="454">
        <v>152</v>
      </c>
      <c r="AA613" s="454">
        <v>145</v>
      </c>
      <c r="AB613" s="454">
        <v>156</v>
      </c>
      <c r="AC613" s="98" t="s">
        <v>226</v>
      </c>
      <c r="AD613" s="98" t="s">
        <v>226</v>
      </c>
      <c r="AE613" s="98" t="s">
        <v>226</v>
      </c>
      <c r="AF613" s="98" t="s">
        <v>226</v>
      </c>
      <c r="AG613" s="98" t="s">
        <v>226</v>
      </c>
      <c r="AH613" s="98" t="s">
        <v>226</v>
      </c>
      <c r="AI613" s="98" t="s">
        <v>226</v>
      </c>
      <c r="AJ613" s="290"/>
      <c r="AK613" s="290"/>
      <c r="AL613" s="290"/>
      <c r="AM613" s="290"/>
      <c r="AN613" s="290"/>
      <c r="AO613" s="290"/>
      <c r="AP613" s="290"/>
      <c r="AQ613" s="290"/>
      <c r="AS613" s="321"/>
      <c r="AT613" s="562" t="s">
        <v>77</v>
      </c>
      <c r="AU613" s="41">
        <f>G613</f>
        <v>147</v>
      </c>
      <c r="AV613" s="41">
        <f>K613</f>
        <v>145</v>
      </c>
      <c r="AW613" s="41">
        <f>O613</f>
        <v>142</v>
      </c>
      <c r="AX613" s="41">
        <f>S613</f>
        <v>141</v>
      </c>
      <c r="AY613" s="41">
        <f>W613</f>
        <v>140</v>
      </c>
      <c r="AZ613" s="259">
        <f>AA613</f>
        <v>145</v>
      </c>
      <c r="BA613" s="259" t="str">
        <f>AE613</f>
        <v>NF</v>
      </c>
      <c r="BB613" s="259" t="str">
        <f>AI613</f>
        <v>NF</v>
      </c>
      <c r="BC613" s="98" t="s">
        <v>226</v>
      </c>
      <c r="BD613" s="98" t="s">
        <v>226</v>
      </c>
      <c r="BE613" s="98" t="s">
        <v>226</v>
      </c>
    </row>
    <row r="614" spans="1:70" x14ac:dyDescent="0.2">
      <c r="C614" s="563" t="s">
        <v>54</v>
      </c>
      <c r="D614" s="518">
        <f t="shared" ref="D614:X614" si="1310">SUM(D610:D613)</f>
        <v>515</v>
      </c>
      <c r="E614" s="518">
        <f t="shared" si="1310"/>
        <v>519</v>
      </c>
      <c r="F614" s="518">
        <f t="shared" si="1310"/>
        <v>538</v>
      </c>
      <c r="G614" s="518">
        <f t="shared" si="1310"/>
        <v>518</v>
      </c>
      <c r="H614" s="518">
        <f t="shared" si="1310"/>
        <v>519</v>
      </c>
      <c r="I614" s="518">
        <f t="shared" si="1310"/>
        <v>527</v>
      </c>
      <c r="J614" s="518">
        <f t="shared" si="1310"/>
        <v>560</v>
      </c>
      <c r="K614" s="518">
        <f t="shared" si="1310"/>
        <v>569</v>
      </c>
      <c r="L614" s="518">
        <f t="shared" si="1310"/>
        <v>570</v>
      </c>
      <c r="M614" s="518">
        <f t="shared" si="1310"/>
        <v>573</v>
      </c>
      <c r="N614" s="518">
        <f t="shared" si="1310"/>
        <v>564</v>
      </c>
      <c r="O614" s="518">
        <f t="shared" si="1310"/>
        <v>557</v>
      </c>
      <c r="P614" s="518">
        <f t="shared" si="1310"/>
        <v>573</v>
      </c>
      <c r="Q614" s="518">
        <f t="shared" si="1310"/>
        <v>590</v>
      </c>
      <c r="R614" s="518">
        <f t="shared" si="1310"/>
        <v>596</v>
      </c>
      <c r="S614" s="518">
        <f t="shared" si="1310"/>
        <v>589</v>
      </c>
      <c r="T614" s="518">
        <f t="shared" si="1310"/>
        <v>609</v>
      </c>
      <c r="U614" s="518">
        <f t="shared" si="1310"/>
        <v>609</v>
      </c>
      <c r="V614" s="518">
        <f t="shared" si="1310"/>
        <v>619</v>
      </c>
      <c r="W614" s="518">
        <f t="shared" si="1310"/>
        <v>612</v>
      </c>
      <c r="X614" s="518">
        <f t="shared" si="1310"/>
        <v>620</v>
      </c>
      <c r="Y614" s="518">
        <f t="shared" ref="Y614:Z614" si="1311">SUM(Y610:Y613)</f>
        <v>624</v>
      </c>
      <c r="Z614" s="518">
        <f t="shared" si="1311"/>
        <v>640</v>
      </c>
      <c r="AA614" s="518">
        <f t="shared" ref="AA614:AB614" si="1312">SUM(AA610:AA613)</f>
        <v>640</v>
      </c>
      <c r="AB614" s="518">
        <f t="shared" si="1312"/>
        <v>666</v>
      </c>
      <c r="AC614" s="50">
        <f t="shared" ref="AC614:AE614" si="1313">AC619</f>
        <v>676.06500000000005</v>
      </c>
      <c r="AD614" s="50">
        <f t="shared" si="1313"/>
        <v>686.31502499999999</v>
      </c>
      <c r="AE614" s="50">
        <f t="shared" si="1313"/>
        <v>696.75369412500004</v>
      </c>
      <c r="AF614" s="50">
        <f t="shared" ref="AF614:AI614" si="1314">AF619</f>
        <v>701.666909771625</v>
      </c>
      <c r="AG614" s="50">
        <f t="shared" si="1314"/>
        <v>706.37597994832311</v>
      </c>
      <c r="AH614" s="50">
        <f t="shared" si="1314"/>
        <v>711.11760099311357</v>
      </c>
      <c r="AI614" s="50">
        <f t="shared" si="1314"/>
        <v>716.13576604244304</v>
      </c>
      <c r="AJ614" s="50"/>
      <c r="AK614" s="50"/>
      <c r="AL614" s="50"/>
      <c r="AM614" s="50"/>
      <c r="AN614" s="50"/>
      <c r="AO614" s="50"/>
      <c r="AP614" s="50"/>
      <c r="AQ614" s="50"/>
      <c r="AS614" s="10"/>
      <c r="AT614" s="563" t="s">
        <v>54</v>
      </c>
      <c r="AU614" s="232">
        <f>SUM(AU610:AU613)</f>
        <v>518</v>
      </c>
      <c r="AV614" s="232">
        <f>SUM(AV610:AV613)</f>
        <v>569</v>
      </c>
      <c r="AW614" s="232">
        <f>SUM(AW610:AW613)</f>
        <v>557</v>
      </c>
      <c r="AX614" s="232">
        <f>SUM(AX610:AX613)</f>
        <v>589</v>
      </c>
      <c r="AY614" s="232">
        <f>SUM(AY610:AY613)</f>
        <v>612</v>
      </c>
      <c r="AZ614" s="252">
        <f>AA614</f>
        <v>640</v>
      </c>
      <c r="BA614" s="252">
        <f>AE614</f>
        <v>696.75369412500004</v>
      </c>
      <c r="BB614" s="252">
        <f>AI614</f>
        <v>716.13576604244304</v>
      </c>
      <c r="BC614" s="50">
        <f>BC619</f>
        <v>745.20125797048104</v>
      </c>
      <c r="BD614" s="50">
        <f>BD619</f>
        <v>775.58519856743919</v>
      </c>
      <c r="BE614" s="50">
        <f>BE619</f>
        <v>807.35081374821414</v>
      </c>
    </row>
    <row r="615" spans="1:70" x14ac:dyDescent="0.2">
      <c r="B615" s="319"/>
      <c r="D615" s="379"/>
      <c r="E615" s="379"/>
      <c r="F615" s="379"/>
      <c r="G615" s="379"/>
      <c r="H615" s="379"/>
      <c r="I615" s="379"/>
      <c r="J615" s="379"/>
      <c r="K615" s="379"/>
      <c r="L615" s="379"/>
      <c r="M615" s="379"/>
      <c r="N615" s="379"/>
      <c r="O615" s="379"/>
      <c r="P615" s="379"/>
      <c r="Q615" s="379"/>
      <c r="R615" s="379"/>
      <c r="S615" s="379"/>
      <c r="T615" s="379"/>
      <c r="U615" s="379"/>
      <c r="V615" s="379"/>
      <c r="W615" s="379"/>
      <c r="X615" s="379"/>
      <c r="Y615" s="379"/>
      <c r="Z615" s="379"/>
      <c r="AA615" s="379"/>
      <c r="AB615" s="379"/>
      <c r="AS615" s="319"/>
      <c r="AT615" s="9"/>
      <c r="BC615" s="9"/>
      <c r="BD615" s="1704"/>
      <c r="BE615" s="1702"/>
    </row>
    <row r="616" spans="1:70" s="525" customFormat="1" x14ac:dyDescent="0.2">
      <c r="A616" s="833"/>
      <c r="B616" s="340" t="s">
        <v>944</v>
      </c>
      <c r="C616" s="388"/>
      <c r="D616" s="564"/>
      <c r="E616" s="565"/>
      <c r="F616" s="561"/>
      <c r="G616" s="561"/>
      <c r="H616" s="561"/>
      <c r="I616" s="561"/>
      <c r="J616" s="561"/>
      <c r="K616" s="561"/>
      <c r="L616" s="561"/>
      <c r="M616" s="561"/>
      <c r="N616" s="561"/>
      <c r="O616" s="561"/>
      <c r="P616" s="561"/>
      <c r="Q616" s="561"/>
      <c r="R616" s="561"/>
      <c r="S616" s="561"/>
      <c r="T616" s="561"/>
      <c r="U616" s="561"/>
      <c r="V616" s="561"/>
      <c r="W616" s="561"/>
      <c r="X616" s="561"/>
      <c r="Y616" s="561"/>
      <c r="Z616" s="561"/>
      <c r="AA616" s="561"/>
      <c r="AB616" s="561"/>
      <c r="AR616" s="70"/>
      <c r="AS616" s="340" t="s">
        <v>944</v>
      </c>
      <c r="AT616" s="388"/>
      <c r="BF616" s="382"/>
      <c r="BG616" s="382"/>
      <c r="BH616" s="382"/>
      <c r="BI616" s="382"/>
      <c r="BJ616" s="382"/>
      <c r="BK616" s="382"/>
      <c r="BL616" s="382"/>
      <c r="BM616"/>
      <c r="BN616"/>
      <c r="BO616"/>
      <c r="BP616"/>
      <c r="BQ616"/>
      <c r="BR616"/>
    </row>
    <row r="617" spans="1:70" s="369" customFormat="1" x14ac:dyDescent="0.2">
      <c r="A617" s="411"/>
      <c r="B617" s="327"/>
      <c r="C617" s="362" t="s">
        <v>10</v>
      </c>
      <c r="D617" s="560">
        <v>321</v>
      </c>
      <c r="E617" s="560">
        <v>328</v>
      </c>
      <c r="F617" s="560">
        <v>344</v>
      </c>
      <c r="G617" s="560">
        <v>324</v>
      </c>
      <c r="H617" s="560">
        <v>334</v>
      </c>
      <c r="I617" s="560">
        <v>343</v>
      </c>
      <c r="J617" s="560">
        <v>370</v>
      </c>
      <c r="K617" s="560">
        <v>379</v>
      </c>
      <c r="L617" s="560">
        <v>381</v>
      </c>
      <c r="M617" s="560">
        <v>384</v>
      </c>
      <c r="N617" s="560">
        <v>382</v>
      </c>
      <c r="O617" s="560">
        <v>379</v>
      </c>
      <c r="P617" s="560">
        <v>388</v>
      </c>
      <c r="Q617" s="560">
        <v>399</v>
      </c>
      <c r="R617" s="560">
        <v>400</v>
      </c>
      <c r="S617" s="560">
        <v>394</v>
      </c>
      <c r="T617" s="560">
        <v>417</v>
      </c>
      <c r="U617" s="560">
        <v>407</v>
      </c>
      <c r="V617" s="560">
        <v>417</v>
      </c>
      <c r="W617" s="560">
        <v>412</v>
      </c>
      <c r="X617" s="560">
        <v>417</v>
      </c>
      <c r="Y617" s="560">
        <v>421</v>
      </c>
      <c r="Z617" s="560">
        <v>428</v>
      </c>
      <c r="AA617" s="560">
        <v>432</v>
      </c>
      <c r="AB617" s="560">
        <v>449</v>
      </c>
      <c r="AC617" s="515">
        <f t="shared" ref="AC617:AE618" si="1315">AB617*AC622/AB622</f>
        <v>457.98</v>
      </c>
      <c r="AD617" s="515">
        <f t="shared" si="1315"/>
        <v>467.13960000000003</v>
      </c>
      <c r="AE617" s="515">
        <f t="shared" si="1315"/>
        <v>476.48239200000006</v>
      </c>
      <c r="AF617" s="515">
        <f t="shared" ref="AF617:AF618" si="1316">AE617*AF622/AE622</f>
        <v>480.29425113600007</v>
      </c>
      <c r="AG617" s="515">
        <f t="shared" ref="AG617:AG618" si="1317">AF617*AG622/AF622</f>
        <v>483.89645801952008</v>
      </c>
      <c r="AH617" s="515">
        <f t="shared" ref="AH617:AH618" si="1318">AG617*AH622/AG622</f>
        <v>487.52568145466654</v>
      </c>
      <c r="AI617" s="515">
        <f t="shared" ref="AI617:AI618" si="1319">AH617*AI622/AH622</f>
        <v>491.42588690630384</v>
      </c>
      <c r="AJ617" s="515"/>
      <c r="AK617" s="515"/>
      <c r="AL617" s="515"/>
      <c r="AM617" s="515"/>
      <c r="AN617" s="515"/>
      <c r="AO617" s="515"/>
      <c r="AP617" s="515"/>
      <c r="AQ617" s="515"/>
      <c r="AR617" s="70"/>
      <c r="AS617" s="327"/>
      <c r="AT617" s="362" t="s">
        <v>10</v>
      </c>
      <c r="AU617" s="232">
        <f>G617</f>
        <v>324</v>
      </c>
      <c r="AV617" s="232">
        <f>K617</f>
        <v>379</v>
      </c>
      <c r="AW617" s="232">
        <f>O617</f>
        <v>379</v>
      </c>
      <c r="AX617" s="232">
        <f>S617</f>
        <v>394</v>
      </c>
      <c r="AY617" s="232">
        <f>W617</f>
        <v>412</v>
      </c>
      <c r="AZ617" s="232">
        <f>AA617</f>
        <v>432</v>
      </c>
      <c r="BA617" s="232">
        <f>AE617</f>
        <v>476.48239200000006</v>
      </c>
      <c r="BB617" s="232">
        <f>AI617</f>
        <v>491.42588690630384</v>
      </c>
      <c r="BC617" s="515">
        <f t="shared" ref="BC617:BE618" si="1320">BB617*BC622/BB622</f>
        <v>515.99718125161905</v>
      </c>
      <c r="BD617" s="515">
        <f t="shared" si="1320"/>
        <v>541.79704031419999</v>
      </c>
      <c r="BE617" s="515">
        <f t="shared" si="1320"/>
        <v>568.8868923299101</v>
      </c>
      <c r="BM617"/>
      <c r="BN617"/>
      <c r="BO617"/>
      <c r="BP617"/>
      <c r="BQ617"/>
      <c r="BR617"/>
    </row>
    <row r="618" spans="1:70" s="369" customFormat="1" x14ac:dyDescent="0.2">
      <c r="A618" s="411"/>
      <c r="B618" s="321"/>
      <c r="C618" s="362" t="s">
        <v>116</v>
      </c>
      <c r="D618" s="560">
        <v>194</v>
      </c>
      <c r="E618" s="560">
        <v>191</v>
      </c>
      <c r="F618" s="560">
        <v>194</v>
      </c>
      <c r="G618" s="560">
        <v>194</v>
      </c>
      <c r="H618" s="560">
        <v>185</v>
      </c>
      <c r="I618" s="560">
        <v>184</v>
      </c>
      <c r="J618" s="560">
        <v>190</v>
      </c>
      <c r="K618" s="560">
        <v>190</v>
      </c>
      <c r="L618" s="560">
        <v>189</v>
      </c>
      <c r="M618" s="560">
        <v>189</v>
      </c>
      <c r="N618" s="560">
        <v>182</v>
      </c>
      <c r="O618" s="560">
        <v>178</v>
      </c>
      <c r="P618" s="560">
        <v>185</v>
      </c>
      <c r="Q618" s="560">
        <v>191</v>
      </c>
      <c r="R618" s="560">
        <v>196</v>
      </c>
      <c r="S618" s="560">
        <v>195</v>
      </c>
      <c r="T618" s="560">
        <v>192</v>
      </c>
      <c r="U618" s="560">
        <v>202</v>
      </c>
      <c r="V618" s="560">
        <v>202</v>
      </c>
      <c r="W618" s="560">
        <v>200</v>
      </c>
      <c r="X618" s="560">
        <v>203</v>
      </c>
      <c r="Y618" s="560">
        <v>203</v>
      </c>
      <c r="Z618" s="560">
        <v>212</v>
      </c>
      <c r="AA618" s="560">
        <v>208</v>
      </c>
      <c r="AB618" s="560">
        <v>217</v>
      </c>
      <c r="AC618" s="515">
        <f t="shared" si="1315"/>
        <v>218.08499999999998</v>
      </c>
      <c r="AD618" s="515">
        <f t="shared" si="1315"/>
        <v>219.17542499999996</v>
      </c>
      <c r="AE618" s="515">
        <f t="shared" si="1315"/>
        <v>220.27130212499995</v>
      </c>
      <c r="AF618" s="515">
        <f t="shared" si="1316"/>
        <v>221.37265863562493</v>
      </c>
      <c r="AG618" s="515">
        <f t="shared" si="1317"/>
        <v>222.47952192880302</v>
      </c>
      <c r="AH618" s="515">
        <f t="shared" si="1318"/>
        <v>223.59191953844703</v>
      </c>
      <c r="AI618" s="515">
        <f t="shared" si="1319"/>
        <v>224.70987913613925</v>
      </c>
      <c r="AJ618" s="515"/>
      <c r="AK618" s="515"/>
      <c r="AL618" s="515"/>
      <c r="AM618" s="515"/>
      <c r="AN618" s="515"/>
      <c r="AO618" s="515"/>
      <c r="AP618" s="515"/>
      <c r="AQ618" s="515"/>
      <c r="AR618" s="70"/>
      <c r="AS618" s="321"/>
      <c r="AT618" s="362" t="s">
        <v>116</v>
      </c>
      <c r="AU618" s="41">
        <f>G618</f>
        <v>194</v>
      </c>
      <c r="AV618" s="41">
        <f>K618</f>
        <v>190</v>
      </c>
      <c r="AW618" s="41">
        <f>O618</f>
        <v>178</v>
      </c>
      <c r="AX618" s="41">
        <f>S618</f>
        <v>195</v>
      </c>
      <c r="AY618" s="41">
        <f>W618</f>
        <v>200</v>
      </c>
      <c r="AZ618" s="41">
        <f>AA618</f>
        <v>208</v>
      </c>
      <c r="BA618" s="41">
        <f>AE618</f>
        <v>220.27130212499995</v>
      </c>
      <c r="BB618" s="41">
        <f>AI618</f>
        <v>224.70987913613925</v>
      </c>
      <c r="BC618" s="515">
        <f t="shared" si="1320"/>
        <v>229.20407671886201</v>
      </c>
      <c r="BD618" s="515">
        <f t="shared" si="1320"/>
        <v>233.78815825323926</v>
      </c>
      <c r="BE618" s="515">
        <f t="shared" si="1320"/>
        <v>238.46392141830407</v>
      </c>
      <c r="BM618"/>
      <c r="BN618"/>
      <c r="BO618"/>
      <c r="BP618"/>
      <c r="BQ618"/>
      <c r="BR618"/>
    </row>
    <row r="619" spans="1:70" s="369" customFormat="1" x14ac:dyDescent="0.2">
      <c r="A619" s="830"/>
      <c r="C619" s="563" t="s">
        <v>54</v>
      </c>
      <c r="D619" s="518">
        <f t="shared" ref="D619:AE619" si="1321">SUM(D617:D618)</f>
        <v>515</v>
      </c>
      <c r="E619" s="518">
        <f t="shared" si="1321"/>
        <v>519</v>
      </c>
      <c r="F619" s="518">
        <f t="shared" si="1321"/>
        <v>538</v>
      </c>
      <c r="G619" s="518">
        <f t="shared" si="1321"/>
        <v>518</v>
      </c>
      <c r="H619" s="518">
        <f t="shared" si="1321"/>
        <v>519</v>
      </c>
      <c r="I619" s="518">
        <f t="shared" si="1321"/>
        <v>527</v>
      </c>
      <c r="J619" s="518">
        <f t="shared" si="1321"/>
        <v>560</v>
      </c>
      <c r="K619" s="518">
        <f t="shared" si="1321"/>
        <v>569</v>
      </c>
      <c r="L619" s="518">
        <f t="shared" si="1321"/>
        <v>570</v>
      </c>
      <c r="M619" s="518">
        <f t="shared" si="1321"/>
        <v>573</v>
      </c>
      <c r="N619" s="518">
        <f t="shared" si="1321"/>
        <v>564</v>
      </c>
      <c r="O619" s="518">
        <f t="shared" si="1321"/>
        <v>557</v>
      </c>
      <c r="P619" s="518">
        <f t="shared" si="1321"/>
        <v>573</v>
      </c>
      <c r="Q619" s="518">
        <f t="shared" si="1321"/>
        <v>590</v>
      </c>
      <c r="R619" s="518">
        <f t="shared" si="1321"/>
        <v>596</v>
      </c>
      <c r="S619" s="518">
        <f t="shared" si="1321"/>
        <v>589</v>
      </c>
      <c r="T619" s="518">
        <f t="shared" si="1321"/>
        <v>609</v>
      </c>
      <c r="U619" s="518">
        <f t="shared" si="1321"/>
        <v>609</v>
      </c>
      <c r="V619" s="518">
        <f t="shared" si="1321"/>
        <v>619</v>
      </c>
      <c r="W619" s="518">
        <f t="shared" si="1321"/>
        <v>612</v>
      </c>
      <c r="X619" s="518">
        <f t="shared" si="1321"/>
        <v>620</v>
      </c>
      <c r="Y619" s="518">
        <f t="shared" ref="Y619:Z619" si="1322">SUM(Y617:Y618)</f>
        <v>624</v>
      </c>
      <c r="Z619" s="518">
        <f t="shared" si="1322"/>
        <v>640</v>
      </c>
      <c r="AA619" s="518">
        <f t="shared" ref="AA619:AB619" si="1323">SUM(AA617:AA618)</f>
        <v>640</v>
      </c>
      <c r="AB619" s="518">
        <f t="shared" si="1323"/>
        <v>666</v>
      </c>
      <c r="AC619" s="518">
        <f t="shared" si="1321"/>
        <v>676.06500000000005</v>
      </c>
      <c r="AD619" s="518">
        <f t="shared" si="1321"/>
        <v>686.31502499999999</v>
      </c>
      <c r="AE619" s="518">
        <f t="shared" si="1321"/>
        <v>696.75369412500004</v>
      </c>
      <c r="AF619" s="518">
        <f t="shared" ref="AF619:AI619" si="1324">SUM(AF617:AF618)</f>
        <v>701.666909771625</v>
      </c>
      <c r="AG619" s="518">
        <f t="shared" si="1324"/>
        <v>706.37597994832311</v>
      </c>
      <c r="AH619" s="518">
        <f t="shared" si="1324"/>
        <v>711.11760099311357</v>
      </c>
      <c r="AI619" s="518">
        <f t="shared" si="1324"/>
        <v>716.13576604244304</v>
      </c>
      <c r="AJ619" s="379"/>
      <c r="AK619" s="379"/>
      <c r="AL619" s="379"/>
      <c r="AM619" s="379"/>
      <c r="AN619" s="379"/>
      <c r="AO619" s="379"/>
      <c r="AP619" s="379"/>
      <c r="AQ619" s="379"/>
      <c r="AR619" s="70"/>
      <c r="AT619" s="563" t="s">
        <v>54</v>
      </c>
      <c r="AU619" s="566">
        <f t="shared" ref="AU619:BD619" si="1325">SUM(AU617:AU618)</f>
        <v>518</v>
      </c>
      <c r="AV619" s="566">
        <f t="shared" si="1325"/>
        <v>569</v>
      </c>
      <c r="AW619" s="566">
        <f t="shared" si="1325"/>
        <v>557</v>
      </c>
      <c r="AX619" s="566">
        <f t="shared" si="1325"/>
        <v>589</v>
      </c>
      <c r="AY619" s="566">
        <f t="shared" si="1325"/>
        <v>612</v>
      </c>
      <c r="AZ619" s="566">
        <f t="shared" si="1325"/>
        <v>640</v>
      </c>
      <c r="BA619" s="566">
        <f t="shared" si="1325"/>
        <v>696.75369412500004</v>
      </c>
      <c r="BB619" s="566">
        <f t="shared" ref="BB619" si="1326">SUM(BB617:BB618)</f>
        <v>716.13576604244304</v>
      </c>
      <c r="BC619" s="518">
        <f t="shared" si="1325"/>
        <v>745.20125797048104</v>
      </c>
      <c r="BD619" s="518">
        <f t="shared" si="1325"/>
        <v>775.58519856743919</v>
      </c>
      <c r="BE619" s="518">
        <f t="shared" ref="BE619" si="1327">SUM(BE617:BE618)</f>
        <v>807.35081374821414</v>
      </c>
      <c r="BM619"/>
      <c r="BN619"/>
      <c r="BO619"/>
      <c r="BP619"/>
      <c r="BQ619"/>
      <c r="BR619"/>
    </row>
    <row r="620" spans="1:70" s="369" customFormat="1" x14ac:dyDescent="0.2">
      <c r="A620" s="411"/>
      <c r="B620" s="321"/>
      <c r="C620" s="319"/>
      <c r="D620" s="378"/>
      <c r="E620" s="378"/>
      <c r="F620" s="378"/>
      <c r="G620" s="378"/>
      <c r="H620" s="378"/>
      <c r="I620" s="378"/>
      <c r="J620" s="378"/>
      <c r="K620" s="378"/>
      <c r="L620" s="378"/>
      <c r="M620" s="378"/>
      <c r="N620" s="378"/>
      <c r="O620" s="378"/>
      <c r="P620" s="378"/>
      <c r="Q620" s="378"/>
      <c r="R620" s="378"/>
      <c r="S620" s="378"/>
      <c r="T620" s="378"/>
      <c r="U620" s="378"/>
      <c r="V620" s="378"/>
      <c r="W620" s="378"/>
      <c r="X620" s="378"/>
      <c r="Y620" s="378"/>
      <c r="Z620" s="378"/>
      <c r="AA620" s="378"/>
      <c r="AB620" s="378"/>
      <c r="AC620" s="414"/>
      <c r="AD620" s="413"/>
      <c r="AE620" s="413"/>
      <c r="AF620" s="413"/>
      <c r="AG620" s="413"/>
      <c r="AH620" s="413"/>
      <c r="AI620" s="414"/>
      <c r="AJ620" s="414"/>
      <c r="AK620" s="414"/>
      <c r="AL620" s="414"/>
      <c r="AM620" s="414"/>
      <c r="AN620" s="414"/>
      <c r="AO620" s="414"/>
      <c r="AP620" s="414"/>
      <c r="AQ620" s="414"/>
      <c r="AR620" s="70"/>
      <c r="AS620" s="321"/>
      <c r="AT620" s="319"/>
      <c r="AU620" s="415"/>
      <c r="AV620" s="351"/>
      <c r="AW620" s="378"/>
      <c r="AX620" s="416"/>
      <c r="AY620" s="378"/>
      <c r="BA620" s="382"/>
      <c r="BB620" s="382"/>
      <c r="BC620" s="351"/>
      <c r="BD620" s="351"/>
      <c r="BE620" s="351"/>
      <c r="BM620"/>
      <c r="BN620"/>
      <c r="BO620"/>
      <c r="BP620"/>
      <c r="BQ620"/>
      <c r="BR620"/>
    </row>
    <row r="621" spans="1:70" s="572" customFormat="1" x14ac:dyDescent="0.2">
      <c r="A621" s="411"/>
      <c r="B621" s="340" t="s">
        <v>945</v>
      </c>
      <c r="C621" s="388"/>
      <c r="D621" s="567"/>
      <c r="E621" s="567"/>
      <c r="F621" s="567"/>
      <c r="G621" s="567"/>
      <c r="H621" s="567"/>
      <c r="I621" s="567"/>
      <c r="J621" s="567"/>
      <c r="K621" s="567"/>
      <c r="L621" s="567"/>
      <c r="M621" s="567"/>
      <c r="N621" s="567"/>
      <c r="O621" s="567"/>
      <c r="P621" s="567"/>
      <c r="Q621" s="567"/>
      <c r="R621" s="567"/>
      <c r="S621" s="567"/>
      <c r="T621" s="567"/>
      <c r="U621" s="567"/>
      <c r="V621" s="567"/>
      <c r="W621" s="567"/>
      <c r="X621" s="567"/>
      <c r="Y621" s="567"/>
      <c r="Z621" s="567"/>
      <c r="AA621" s="567"/>
      <c r="AB621" s="567"/>
      <c r="AC621" s="569"/>
      <c r="AD621" s="568"/>
      <c r="AE621" s="568"/>
      <c r="AF621" s="568"/>
      <c r="AG621" s="568"/>
      <c r="AH621" s="568"/>
      <c r="AI621" s="569"/>
      <c r="AJ621" s="569"/>
      <c r="AK621" s="569"/>
      <c r="AL621" s="569"/>
      <c r="AM621" s="569"/>
      <c r="AN621" s="569"/>
      <c r="AO621" s="569"/>
      <c r="AP621" s="569"/>
      <c r="AQ621" s="569"/>
      <c r="AR621" s="70"/>
      <c r="AS621" s="340" t="s">
        <v>945</v>
      </c>
      <c r="AT621" s="388"/>
      <c r="AU621" s="570"/>
      <c r="AV621" s="368"/>
      <c r="AW621" s="567"/>
      <c r="AX621" s="571"/>
      <c r="AY621" s="567"/>
      <c r="BA621" s="525"/>
      <c r="BB621" s="525"/>
      <c r="BC621" s="368"/>
      <c r="BD621" s="368"/>
      <c r="BE621" s="368"/>
      <c r="BF621" s="369"/>
      <c r="BG621" s="369"/>
      <c r="BH621" s="369"/>
      <c r="BI621" s="369"/>
      <c r="BJ621" s="369"/>
      <c r="BK621" s="369"/>
      <c r="BL621" s="369"/>
      <c r="BM621"/>
      <c r="BN621"/>
      <c r="BO621"/>
      <c r="BP621"/>
      <c r="BQ621"/>
      <c r="BR621"/>
    </row>
    <row r="622" spans="1:70" s="369" customFormat="1" x14ac:dyDescent="0.2">
      <c r="A622" s="411"/>
      <c r="B622" s="325"/>
      <c r="C622" s="362" t="s">
        <v>10</v>
      </c>
      <c r="D622" s="573" t="s">
        <v>229</v>
      </c>
      <c r="E622" s="379">
        <f t="shared" ref="E622:AB622" si="1328">AVERAGE(D617:E617)</f>
        <v>324.5</v>
      </c>
      <c r="F622" s="379">
        <f t="shared" si="1328"/>
        <v>336</v>
      </c>
      <c r="G622" s="379">
        <f t="shared" si="1328"/>
        <v>334</v>
      </c>
      <c r="H622" s="379">
        <f t="shared" si="1328"/>
        <v>329</v>
      </c>
      <c r="I622" s="379">
        <f t="shared" si="1328"/>
        <v>338.5</v>
      </c>
      <c r="J622" s="379">
        <f t="shared" si="1328"/>
        <v>356.5</v>
      </c>
      <c r="K622" s="379">
        <f t="shared" si="1328"/>
        <v>374.5</v>
      </c>
      <c r="L622" s="379">
        <f t="shared" si="1328"/>
        <v>380</v>
      </c>
      <c r="M622" s="379">
        <f t="shared" si="1328"/>
        <v>382.5</v>
      </c>
      <c r="N622" s="379">
        <f t="shared" si="1328"/>
        <v>383</v>
      </c>
      <c r="O622" s="379">
        <f t="shared" si="1328"/>
        <v>380.5</v>
      </c>
      <c r="P622" s="379">
        <f t="shared" si="1328"/>
        <v>383.5</v>
      </c>
      <c r="Q622" s="379">
        <f t="shared" si="1328"/>
        <v>393.5</v>
      </c>
      <c r="R622" s="379">
        <f t="shared" si="1328"/>
        <v>399.5</v>
      </c>
      <c r="S622" s="379">
        <f t="shared" si="1328"/>
        <v>397</v>
      </c>
      <c r="T622" s="379">
        <f t="shared" si="1328"/>
        <v>405.5</v>
      </c>
      <c r="U622" s="379">
        <f t="shared" si="1328"/>
        <v>412</v>
      </c>
      <c r="V622" s="379">
        <f t="shared" si="1328"/>
        <v>412</v>
      </c>
      <c r="W622" s="379">
        <f t="shared" si="1328"/>
        <v>414.5</v>
      </c>
      <c r="X622" s="379">
        <f t="shared" si="1328"/>
        <v>414.5</v>
      </c>
      <c r="Y622" s="379">
        <f t="shared" si="1328"/>
        <v>419</v>
      </c>
      <c r="Z622" s="379">
        <f t="shared" si="1328"/>
        <v>424.5</v>
      </c>
      <c r="AA622" s="379">
        <f t="shared" si="1328"/>
        <v>430</v>
      </c>
      <c r="AB622" s="379">
        <f t="shared" si="1328"/>
        <v>440.5</v>
      </c>
      <c r="AC622" s="348">
        <f>AB622*(1+Drivers!AC160)</f>
        <v>449.31</v>
      </c>
      <c r="AD622" s="348">
        <f>AC622*(1+Drivers!AD160)</f>
        <v>458.2962</v>
      </c>
      <c r="AE622" s="348">
        <f>AD622*(1+Drivers!AE160)</f>
        <v>467.46212400000002</v>
      </c>
      <c r="AF622" s="348">
        <f>AE622*(1+Drivers!AF160)</f>
        <v>471.20182099200002</v>
      </c>
      <c r="AG622" s="348">
        <f>AF622*(1+Drivers!AG160)</f>
        <v>474.73583464944005</v>
      </c>
      <c r="AH622" s="348">
        <f>AG622*(1+Drivers!AH160)</f>
        <v>478.29635340931088</v>
      </c>
      <c r="AI622" s="348">
        <f>AH622*(1+Drivers!AI160)</f>
        <v>482.12272423658538</v>
      </c>
      <c r="AJ622" s="348"/>
      <c r="AK622" s="348"/>
      <c r="AL622" s="348"/>
      <c r="AM622" s="348"/>
      <c r="AN622" s="348"/>
      <c r="AO622" s="348"/>
      <c r="AP622" s="348"/>
      <c r="AQ622" s="348"/>
      <c r="AR622" s="70"/>
      <c r="AS622" s="325"/>
      <c r="AT622" s="362" t="s">
        <v>10</v>
      </c>
      <c r="AU622" s="235">
        <f>AVERAGE(D622:G622)</f>
        <v>331.5</v>
      </c>
      <c r="AV622" s="235">
        <f>AVERAGE(H622:K622)</f>
        <v>349.625</v>
      </c>
      <c r="AW622" s="235">
        <f>AVERAGE(L622:O622)</f>
        <v>381.5</v>
      </c>
      <c r="AX622" s="235">
        <f>AVERAGE(P622:S622)</f>
        <v>393.375</v>
      </c>
      <c r="AY622" s="235">
        <f>AVERAGE(T622:W622)</f>
        <v>411</v>
      </c>
      <c r="AZ622" s="235">
        <f>AVERAGE(X622:AA622)</f>
        <v>422</v>
      </c>
      <c r="BA622" s="235">
        <f>AVERAGE(AB622:AE622)</f>
        <v>453.89208099999996</v>
      </c>
      <c r="BB622" s="235">
        <f>AVERAGE(AF622:AI622)</f>
        <v>476.58918332183407</v>
      </c>
      <c r="BC622" s="348">
        <f>BB622*(1+Drivers!BC160)</f>
        <v>500.41864248792581</v>
      </c>
      <c r="BD622" s="348">
        <f>BC622*(1+Drivers!BD160)</f>
        <v>525.43957461232208</v>
      </c>
      <c r="BE622" s="348">
        <f>BD622*(1+Drivers!BE160)</f>
        <v>551.71155334293826</v>
      </c>
      <c r="BM622"/>
      <c r="BN622"/>
      <c r="BO622"/>
      <c r="BP622"/>
      <c r="BQ622"/>
      <c r="BR622"/>
    </row>
    <row r="623" spans="1:70" s="369" customFormat="1" x14ac:dyDescent="0.2">
      <c r="A623" s="411"/>
      <c r="B623" s="321"/>
      <c r="C623" s="362" t="s">
        <v>116</v>
      </c>
      <c r="D623" s="573" t="s">
        <v>229</v>
      </c>
      <c r="E623" s="379">
        <f t="shared" ref="E623:AB623" si="1329">AVERAGE(D618:E618)</f>
        <v>192.5</v>
      </c>
      <c r="F623" s="379">
        <f t="shared" si="1329"/>
        <v>192.5</v>
      </c>
      <c r="G623" s="379">
        <f t="shared" si="1329"/>
        <v>194</v>
      </c>
      <c r="H623" s="379">
        <f t="shared" si="1329"/>
        <v>189.5</v>
      </c>
      <c r="I623" s="379">
        <f t="shared" si="1329"/>
        <v>184.5</v>
      </c>
      <c r="J623" s="379">
        <f t="shared" si="1329"/>
        <v>187</v>
      </c>
      <c r="K623" s="379">
        <f t="shared" si="1329"/>
        <v>190</v>
      </c>
      <c r="L623" s="379">
        <f t="shared" si="1329"/>
        <v>189.5</v>
      </c>
      <c r="M623" s="379">
        <f t="shared" si="1329"/>
        <v>189</v>
      </c>
      <c r="N623" s="379">
        <f t="shared" si="1329"/>
        <v>185.5</v>
      </c>
      <c r="O623" s="379">
        <f t="shared" si="1329"/>
        <v>180</v>
      </c>
      <c r="P623" s="379">
        <f t="shared" si="1329"/>
        <v>181.5</v>
      </c>
      <c r="Q623" s="379">
        <f t="shared" si="1329"/>
        <v>188</v>
      </c>
      <c r="R623" s="379">
        <f t="shared" si="1329"/>
        <v>193.5</v>
      </c>
      <c r="S623" s="379">
        <f t="shared" si="1329"/>
        <v>195.5</v>
      </c>
      <c r="T623" s="379">
        <f t="shared" si="1329"/>
        <v>193.5</v>
      </c>
      <c r="U623" s="379">
        <f t="shared" si="1329"/>
        <v>197</v>
      </c>
      <c r="V623" s="379">
        <f t="shared" si="1329"/>
        <v>202</v>
      </c>
      <c r="W623" s="379">
        <f t="shared" si="1329"/>
        <v>201</v>
      </c>
      <c r="X623" s="379">
        <f t="shared" si="1329"/>
        <v>201.5</v>
      </c>
      <c r="Y623" s="379">
        <f t="shared" si="1329"/>
        <v>203</v>
      </c>
      <c r="Z623" s="379">
        <f t="shared" si="1329"/>
        <v>207.5</v>
      </c>
      <c r="AA623" s="379">
        <f t="shared" si="1329"/>
        <v>210</v>
      </c>
      <c r="AB623" s="379">
        <f t="shared" si="1329"/>
        <v>212.5</v>
      </c>
      <c r="AC623" s="348">
        <f>AB623*(1+Drivers!AC161)</f>
        <v>213.56249999999997</v>
      </c>
      <c r="AD623" s="348">
        <f>AC623*(1+Drivers!AD161)</f>
        <v>214.63031249999995</v>
      </c>
      <c r="AE623" s="348">
        <f>AD623*(1+Drivers!AE161)</f>
        <v>215.70346406249993</v>
      </c>
      <c r="AF623" s="348">
        <f>AE623*(1+Drivers!AF161)</f>
        <v>216.7819813828124</v>
      </c>
      <c r="AG623" s="348">
        <f>AF623*(1+Drivers!AG161)</f>
        <v>217.86589128972645</v>
      </c>
      <c r="AH623" s="348">
        <f>AG623*(1+Drivers!AH161)</f>
        <v>218.95522074617506</v>
      </c>
      <c r="AI623" s="348">
        <f>AH623*(1+Drivers!AI161)</f>
        <v>220.04999684990591</v>
      </c>
      <c r="AJ623" s="348"/>
      <c r="AK623" s="348"/>
      <c r="AL623" s="348"/>
      <c r="AM623" s="348"/>
      <c r="AN623" s="348"/>
      <c r="AO623" s="348"/>
      <c r="AP623" s="348"/>
      <c r="AQ623" s="348"/>
      <c r="AR623" s="70"/>
      <c r="AS623" s="321"/>
      <c r="AT623" s="362" t="s">
        <v>116</v>
      </c>
      <c r="AU623" s="236">
        <f>AVERAGE(D623:G623)</f>
        <v>193</v>
      </c>
      <c r="AV623" s="236">
        <f>AVERAGE(H623:K623)</f>
        <v>187.75</v>
      </c>
      <c r="AW623" s="236">
        <f>AVERAGE(L623:O623)</f>
        <v>186</v>
      </c>
      <c r="AX623" s="236">
        <f>AVERAGE(P623:S623)</f>
        <v>189.625</v>
      </c>
      <c r="AY623" s="236">
        <f>AVERAGE(T623:W623)</f>
        <v>198.375</v>
      </c>
      <c r="AZ623" s="236">
        <f>AVERAGE(X623:AA623)</f>
        <v>205.5</v>
      </c>
      <c r="BA623" s="236">
        <f>AVERAGE(AB623:AE623)</f>
        <v>214.09906914062498</v>
      </c>
      <c r="BB623" s="236">
        <f>AVERAGE(AF623:AI623)</f>
        <v>218.41327256715496</v>
      </c>
      <c r="BC623" s="348">
        <f>BB623*(1+Drivers!BC161)</f>
        <v>222.78153801849805</v>
      </c>
      <c r="BD623" s="348">
        <f>BC623*(1+Drivers!BD161)</f>
        <v>227.23716877886801</v>
      </c>
      <c r="BE623" s="348">
        <f>BD623*(1+Drivers!BE161)</f>
        <v>231.78191215444537</v>
      </c>
      <c r="BM623"/>
      <c r="BN623"/>
      <c r="BO623"/>
      <c r="BP623"/>
      <c r="BQ623"/>
      <c r="BR623"/>
    </row>
    <row r="624" spans="1:70" x14ac:dyDescent="0.2">
      <c r="C624" s="156" t="s">
        <v>54</v>
      </c>
      <c r="D624" s="156"/>
      <c r="E624" s="518">
        <f t="shared" ref="E624:AE624" si="1330">SUM(E622:E623)</f>
        <v>517</v>
      </c>
      <c r="F624" s="518">
        <f t="shared" si="1330"/>
        <v>528.5</v>
      </c>
      <c r="G624" s="518">
        <f t="shared" si="1330"/>
        <v>528</v>
      </c>
      <c r="H624" s="518">
        <f t="shared" si="1330"/>
        <v>518.5</v>
      </c>
      <c r="I624" s="518">
        <f t="shared" si="1330"/>
        <v>523</v>
      </c>
      <c r="J624" s="518">
        <f t="shared" si="1330"/>
        <v>543.5</v>
      </c>
      <c r="K624" s="518">
        <f t="shared" si="1330"/>
        <v>564.5</v>
      </c>
      <c r="L624" s="518">
        <f t="shared" si="1330"/>
        <v>569.5</v>
      </c>
      <c r="M624" s="518">
        <f t="shared" si="1330"/>
        <v>571.5</v>
      </c>
      <c r="N624" s="518">
        <f t="shared" si="1330"/>
        <v>568.5</v>
      </c>
      <c r="O624" s="518">
        <f t="shared" si="1330"/>
        <v>560.5</v>
      </c>
      <c r="P624" s="518">
        <f t="shared" si="1330"/>
        <v>565</v>
      </c>
      <c r="Q624" s="518">
        <f t="shared" si="1330"/>
        <v>581.5</v>
      </c>
      <c r="R624" s="518">
        <f t="shared" si="1330"/>
        <v>593</v>
      </c>
      <c r="S624" s="518">
        <f t="shared" si="1330"/>
        <v>592.5</v>
      </c>
      <c r="T624" s="518">
        <f t="shared" si="1330"/>
        <v>599</v>
      </c>
      <c r="U624" s="518">
        <f t="shared" si="1330"/>
        <v>609</v>
      </c>
      <c r="V624" s="518">
        <f t="shared" si="1330"/>
        <v>614</v>
      </c>
      <c r="W624" s="518">
        <f t="shared" si="1330"/>
        <v>615.5</v>
      </c>
      <c r="X624" s="518">
        <f t="shared" si="1330"/>
        <v>616</v>
      </c>
      <c r="Y624" s="518">
        <f t="shared" ref="Y624:Z624" si="1331">SUM(Y622:Y623)</f>
        <v>622</v>
      </c>
      <c r="Z624" s="518">
        <f t="shared" si="1331"/>
        <v>632</v>
      </c>
      <c r="AA624" s="518">
        <f t="shared" ref="AA624:AB624" si="1332">SUM(AA622:AA623)</f>
        <v>640</v>
      </c>
      <c r="AB624" s="518">
        <f t="shared" si="1332"/>
        <v>653</v>
      </c>
      <c r="AC624" s="518">
        <f t="shared" si="1330"/>
        <v>662.87249999999995</v>
      </c>
      <c r="AD624" s="518">
        <f t="shared" si="1330"/>
        <v>672.92651249999994</v>
      </c>
      <c r="AE624" s="518">
        <f t="shared" si="1330"/>
        <v>683.16558806249998</v>
      </c>
      <c r="AF624" s="518">
        <f t="shared" ref="AF624:AI624" si="1333">SUM(AF622:AF623)</f>
        <v>687.9838023748124</v>
      </c>
      <c r="AG624" s="518">
        <f t="shared" si="1333"/>
        <v>692.6017259391665</v>
      </c>
      <c r="AH624" s="518">
        <f t="shared" si="1333"/>
        <v>697.25157415548597</v>
      </c>
      <c r="AI624" s="518">
        <f t="shared" si="1333"/>
        <v>702.17272108649126</v>
      </c>
      <c r="AJ624" s="379"/>
      <c r="AK624" s="379"/>
      <c r="AL624" s="379"/>
      <c r="AM624" s="379"/>
      <c r="AN624" s="379"/>
      <c r="AO624" s="379"/>
      <c r="AP624" s="379"/>
      <c r="AQ624" s="379"/>
      <c r="AS624" s="10"/>
      <c r="AT624" s="156" t="s">
        <v>54</v>
      </c>
      <c r="AU624" s="235">
        <f>AVERAGE(D624:G624)</f>
        <v>524.5</v>
      </c>
      <c r="AV624" s="235">
        <f>AVERAGE(H624:K624)</f>
        <v>537.375</v>
      </c>
      <c r="AW624" s="235">
        <f>AVERAGE(L624:O624)</f>
        <v>567.5</v>
      </c>
      <c r="AX624" s="235">
        <f>AVERAGE(P624:S624)</f>
        <v>583</v>
      </c>
      <c r="AY624" s="235">
        <f>AVERAGE(T624:W624)</f>
        <v>609.375</v>
      </c>
      <c r="AZ624" s="235">
        <f>AVERAGE(X624:AA624)</f>
        <v>627.5</v>
      </c>
      <c r="BA624" s="235">
        <f>AVERAGE(AB624:AE624)</f>
        <v>667.991150140625</v>
      </c>
      <c r="BB624" s="235">
        <f>AVERAGE(AF624:AI624)</f>
        <v>695.00245588898906</v>
      </c>
      <c r="BC624" s="518">
        <f>SUM(BC622:BC623)</f>
        <v>723.20018050642386</v>
      </c>
      <c r="BD624" s="518">
        <f>SUM(BD622:BD623)</f>
        <v>752.67674339119003</v>
      </c>
      <c r="BE624" s="518">
        <f>SUM(BE622:BE623)</f>
        <v>783.49346549738357</v>
      </c>
    </row>
    <row r="625" spans="1:74" s="369" customFormat="1" x14ac:dyDescent="0.2">
      <c r="A625" s="411"/>
      <c r="B625" s="321"/>
      <c r="C625" s="319"/>
      <c r="D625" s="378"/>
      <c r="E625" s="378"/>
      <c r="F625" s="378"/>
      <c r="G625" s="378"/>
      <c r="H625" s="378"/>
      <c r="I625" s="378"/>
      <c r="J625" s="378"/>
      <c r="K625" s="378"/>
      <c r="L625" s="378"/>
      <c r="M625" s="378"/>
      <c r="N625" s="378"/>
      <c r="O625" s="378"/>
      <c r="P625" s="378"/>
      <c r="Q625" s="378"/>
      <c r="R625" s="378"/>
      <c r="S625" s="378"/>
      <c r="T625" s="378"/>
      <c r="U625" s="378"/>
      <c r="V625" s="378"/>
      <c r="W625" s="378"/>
      <c r="X625" s="321"/>
      <c r="Y625" s="321"/>
      <c r="Z625" s="321"/>
      <c r="AA625" s="321"/>
      <c r="AB625" s="321"/>
      <c r="AC625" s="414"/>
      <c r="AD625" s="413"/>
      <c r="AE625" s="413"/>
      <c r="AF625" s="413"/>
      <c r="AG625" s="413"/>
      <c r="AH625" s="413"/>
      <c r="AI625" s="414"/>
      <c r="AJ625" s="414"/>
      <c r="AK625" s="414"/>
      <c r="AL625" s="414"/>
      <c r="AM625" s="414"/>
      <c r="AN625" s="414"/>
      <c r="AO625" s="414"/>
      <c r="AP625" s="414"/>
      <c r="AQ625" s="414"/>
      <c r="AR625" s="70"/>
      <c r="AS625" s="321"/>
      <c r="AT625" s="319"/>
      <c r="AU625" s="415"/>
      <c r="AV625" s="351"/>
      <c r="AW625" s="378"/>
      <c r="AX625" s="416"/>
      <c r="AY625" s="378"/>
      <c r="BA625" s="382"/>
      <c r="BB625" s="382"/>
      <c r="BM625"/>
      <c r="BN625"/>
      <c r="BO625"/>
      <c r="BP625"/>
      <c r="BQ625"/>
      <c r="BR625"/>
    </row>
    <row r="626" spans="1:74" s="572" customFormat="1" x14ac:dyDescent="0.2">
      <c r="A626" s="411"/>
      <c r="B626" s="340" t="s">
        <v>1239</v>
      </c>
      <c r="C626" s="388"/>
      <c r="D626" s="567"/>
      <c r="E626" s="567"/>
      <c r="F626" s="567"/>
      <c r="G626" s="567"/>
      <c r="H626" s="567"/>
      <c r="I626" s="567"/>
      <c r="J626" s="567"/>
      <c r="K626" s="567"/>
      <c r="L626" s="567"/>
      <c r="M626" s="567"/>
      <c r="N626" s="567"/>
      <c r="O626" s="567"/>
      <c r="P626" s="567"/>
      <c r="Q626" s="567"/>
      <c r="R626" s="567"/>
      <c r="S626" s="567"/>
      <c r="T626" s="567"/>
      <c r="U626" s="567"/>
      <c r="V626" s="567"/>
      <c r="W626" s="567"/>
      <c r="X626" s="567"/>
      <c r="Y626" s="567"/>
      <c r="Z626" s="567"/>
      <c r="AA626" s="567"/>
      <c r="AB626" s="567"/>
      <c r="AC626" s="569"/>
      <c r="AD626" s="568"/>
      <c r="AE626" s="568"/>
      <c r="AF626" s="568"/>
      <c r="AG626" s="568"/>
      <c r="AH626" s="568"/>
      <c r="AI626" s="569"/>
      <c r="AJ626" s="569"/>
      <c r="AK626" s="569"/>
      <c r="AL626" s="569"/>
      <c r="AM626" s="569"/>
      <c r="AN626" s="569"/>
      <c r="AO626" s="569"/>
      <c r="AP626" s="569"/>
      <c r="AQ626" s="569"/>
      <c r="AR626" s="70"/>
      <c r="AS626" s="340" t="s">
        <v>945</v>
      </c>
      <c r="AT626" s="388"/>
      <c r="AU626" s="570"/>
      <c r="AV626" s="368"/>
      <c r="AW626" s="567"/>
      <c r="AX626" s="571"/>
      <c r="AY626" s="567"/>
      <c r="BA626" s="525"/>
      <c r="BB626" s="525"/>
      <c r="BC626" s="368"/>
      <c r="BD626" s="368"/>
      <c r="BE626" s="368"/>
      <c r="BF626" s="369"/>
      <c r="BG626" s="369"/>
      <c r="BH626" s="369"/>
      <c r="BI626" s="369"/>
      <c r="BJ626" s="369"/>
      <c r="BK626" s="369"/>
      <c r="BL626" s="369"/>
      <c r="BM626"/>
      <c r="BN626"/>
      <c r="BO626"/>
      <c r="BP626"/>
      <c r="BQ626"/>
      <c r="BR626"/>
    </row>
    <row r="627" spans="1:74" s="369" customFormat="1" x14ac:dyDescent="0.2">
      <c r="A627" s="411"/>
      <c r="B627" s="321"/>
      <c r="C627" s="319"/>
      <c r="D627" s="378"/>
      <c r="E627" s="378"/>
      <c r="F627" s="378"/>
      <c r="G627" s="378"/>
      <c r="H627" s="378"/>
      <c r="I627" s="378"/>
      <c r="J627" s="378"/>
      <c r="K627" s="378"/>
      <c r="L627" s="378"/>
      <c r="M627" s="378"/>
      <c r="N627" s="378"/>
      <c r="O627" s="378"/>
      <c r="P627" s="378"/>
      <c r="Q627" s="378"/>
      <c r="R627" s="378"/>
      <c r="S627" s="378"/>
      <c r="T627" s="378"/>
      <c r="U627" s="378"/>
      <c r="V627" s="378"/>
      <c r="W627" s="378"/>
      <c r="X627" s="321"/>
      <c r="Y627" s="321"/>
      <c r="Z627" s="321"/>
      <c r="AA627" s="321"/>
      <c r="AB627" s="321"/>
      <c r="AC627" s="414"/>
      <c r="AD627" s="413"/>
      <c r="AE627" s="413"/>
      <c r="AF627" s="413"/>
      <c r="AG627" s="413"/>
      <c r="AH627" s="413"/>
      <c r="AI627" s="414"/>
      <c r="AJ627" s="414"/>
      <c r="AK627" s="414"/>
      <c r="AL627" s="414"/>
      <c r="AM627" s="414"/>
      <c r="AN627" s="414"/>
      <c r="AO627" s="414"/>
      <c r="AP627" s="414"/>
      <c r="AQ627" s="414"/>
      <c r="AR627" s="70"/>
      <c r="AS627" s="321"/>
      <c r="AT627" s="319"/>
      <c r="AU627" s="415"/>
      <c r="AV627" s="351"/>
      <c r="AW627" s="378"/>
      <c r="AX627" s="416"/>
      <c r="AY627" s="378"/>
      <c r="BA627" s="382"/>
      <c r="BB627" s="382"/>
      <c r="BM627"/>
      <c r="BN627"/>
      <c r="BO627"/>
      <c r="BP627"/>
      <c r="BQ627"/>
      <c r="BR627"/>
    </row>
    <row r="628" spans="1:74" s="369" customFormat="1" x14ac:dyDescent="0.2">
      <c r="A628" s="411"/>
      <c r="B628" s="321"/>
      <c r="C628" s="319" t="s">
        <v>66</v>
      </c>
      <c r="D628" s="598">
        <v>1222</v>
      </c>
      <c r="E628" s="598">
        <v>1249</v>
      </c>
      <c r="F628" s="598">
        <v>1247</v>
      </c>
      <c r="G628" s="598">
        <v>1250</v>
      </c>
      <c r="H628" s="598">
        <v>1246</v>
      </c>
      <c r="I628" s="598">
        <v>1280</v>
      </c>
      <c r="J628" s="598">
        <v>1253</v>
      </c>
      <c r="K628" s="598">
        <v>1272</v>
      </c>
      <c r="L628" s="598">
        <v>1288</v>
      </c>
      <c r="M628" s="598">
        <v>1296</v>
      </c>
      <c r="N628" s="598">
        <v>1284</v>
      </c>
      <c r="O628" s="598">
        <v>1304</v>
      </c>
      <c r="P628" s="598">
        <v>1280</v>
      </c>
      <c r="Q628" s="598">
        <v>1285</v>
      </c>
      <c r="R628" s="598">
        <v>1265</v>
      </c>
      <c r="S628" s="598">
        <v>1258</v>
      </c>
      <c r="T628" s="598">
        <v>1272</v>
      </c>
      <c r="U628" s="598">
        <v>1300</v>
      </c>
      <c r="V628" s="598">
        <v>1310</v>
      </c>
      <c r="W628" s="598">
        <v>1310</v>
      </c>
      <c r="X628" s="598">
        <v>1318</v>
      </c>
      <c r="Y628" s="598">
        <v>1360</v>
      </c>
      <c r="Z628" s="598">
        <v>1369</v>
      </c>
      <c r="AA628" s="598">
        <v>1385</v>
      </c>
      <c r="AB628" s="598">
        <v>1388</v>
      </c>
      <c r="AC628" s="458">
        <f>AB628*(1+Drivers!AC155)</f>
        <v>1401.88</v>
      </c>
      <c r="AD628" s="458">
        <f>AC628*(1+Drivers!AD155)</f>
        <v>1415.8988000000002</v>
      </c>
      <c r="AE628" s="458">
        <f>AD628*(1+Drivers!AE155)</f>
        <v>1430.0577880000001</v>
      </c>
      <c r="AF628" s="458">
        <f>AE628*(1+Drivers!AF155)</f>
        <v>1451.5086548199999</v>
      </c>
      <c r="AG628" s="458">
        <f>AF628*(1+Drivers!AG155)</f>
        <v>1473.2812846422999</v>
      </c>
      <c r="AH628" s="458">
        <f>AG628*(1+Drivers!AH155)</f>
        <v>1499.8003477658613</v>
      </c>
      <c r="AI628" s="458">
        <f>AH628*(1+Drivers!AI155)</f>
        <v>1529.7963547211784</v>
      </c>
      <c r="AJ628" s="458"/>
      <c r="AK628" s="458"/>
      <c r="AL628" s="458"/>
      <c r="AM628" s="458"/>
      <c r="AN628" s="458"/>
      <c r="AO628" s="458"/>
      <c r="AP628" s="458"/>
      <c r="AQ628" s="458"/>
      <c r="AR628" s="70"/>
      <c r="AS628" s="321"/>
      <c r="AT628" s="319" t="s">
        <v>66</v>
      </c>
      <c r="AU628" s="235">
        <f>AVERAGE(D628:G628)</f>
        <v>1242</v>
      </c>
      <c r="AV628" s="235">
        <f>AVERAGE(H628:K628)</f>
        <v>1262.75</v>
      </c>
      <c r="AW628" s="235">
        <f>AVERAGE(L628:O628)</f>
        <v>1293</v>
      </c>
      <c r="AX628" s="235">
        <f>AVERAGE(P628:S628)</f>
        <v>1272</v>
      </c>
      <c r="AY628" s="235">
        <f>AVERAGE(T628:W628)</f>
        <v>1298</v>
      </c>
      <c r="AZ628" s="235">
        <f>AVERAGE(X628:AA628)</f>
        <v>1358</v>
      </c>
      <c r="BA628" s="235">
        <f>AVERAGE(AB628:AE628)</f>
        <v>1408.959147</v>
      </c>
      <c r="BB628" s="235">
        <f>AVERAGE(AF628:AI628)</f>
        <v>1488.5966604873349</v>
      </c>
      <c r="BC628" s="458">
        <f>BB628*(1+Drivers!BC155)</f>
        <v>1577.9124601165752</v>
      </c>
      <c r="BD628" s="458">
        <f>BC628*(1+Drivers!BD155)</f>
        <v>1672.5872077235697</v>
      </c>
      <c r="BE628" s="458">
        <f>BD628*(1+Drivers!BE155)</f>
        <v>1772.942440186984</v>
      </c>
      <c r="BM628"/>
      <c r="BN628"/>
      <c r="BO628"/>
      <c r="BP628"/>
      <c r="BQ628"/>
      <c r="BR628"/>
    </row>
    <row r="629" spans="1:74" s="369" customFormat="1" x14ac:dyDescent="0.2">
      <c r="A629" s="411"/>
      <c r="B629" s="321"/>
      <c r="C629" s="319"/>
      <c r="D629" s="378"/>
      <c r="E629" s="378"/>
      <c r="F629" s="378"/>
      <c r="G629" s="378"/>
      <c r="H629" s="378"/>
      <c r="I629" s="378"/>
      <c r="J629" s="378"/>
      <c r="K629" s="378"/>
      <c r="L629" s="378"/>
      <c r="M629" s="378"/>
      <c r="N629" s="378"/>
      <c r="O629" s="378"/>
      <c r="P629" s="378"/>
      <c r="Q629" s="378"/>
      <c r="R629" s="378"/>
      <c r="S629" s="378"/>
      <c r="T629" s="378"/>
      <c r="U629" s="378"/>
      <c r="V629" s="378"/>
      <c r="W629" s="378"/>
      <c r="X629" s="321"/>
      <c r="Y629" s="321"/>
      <c r="Z629" s="321"/>
      <c r="AA629" s="321"/>
      <c r="AB629" s="321"/>
      <c r="AC629" s="414"/>
      <c r="AD629" s="413"/>
      <c r="AE629" s="413"/>
      <c r="AF629" s="413"/>
      <c r="AG629" s="413"/>
      <c r="AH629" s="413"/>
      <c r="AI629" s="414"/>
      <c r="AJ629" s="414"/>
      <c r="AK629" s="414"/>
      <c r="AL629" s="414"/>
      <c r="AM629" s="414"/>
      <c r="AN629" s="414"/>
      <c r="AO629" s="414"/>
      <c r="AP629" s="414"/>
      <c r="AQ629" s="414"/>
      <c r="AR629" s="70"/>
      <c r="AS629" s="321"/>
      <c r="AT629" s="319"/>
      <c r="AU629" s="415"/>
      <c r="AV629" s="351"/>
      <c r="AW629" s="378"/>
      <c r="AX629" s="416"/>
      <c r="AY629" s="378"/>
      <c r="BA629" s="382"/>
      <c r="BB629" s="382"/>
      <c r="BM629"/>
      <c r="BN629"/>
      <c r="BO629"/>
      <c r="BP629"/>
      <c r="BQ629"/>
      <c r="BR629"/>
    </row>
    <row r="630" spans="1:74" s="572" customFormat="1" x14ac:dyDescent="0.2">
      <c r="A630" s="411"/>
      <c r="B630" s="340" t="s">
        <v>1198</v>
      </c>
      <c r="C630" s="388"/>
      <c r="D630" s="567"/>
      <c r="E630" s="567"/>
      <c r="F630" s="567"/>
      <c r="G630" s="567"/>
      <c r="H630" s="567"/>
      <c r="I630" s="567"/>
      <c r="J630" s="567"/>
      <c r="K630" s="567"/>
      <c r="L630" s="567"/>
      <c r="M630" s="567"/>
      <c r="N630" s="567"/>
      <c r="O630" s="567"/>
      <c r="P630" s="567"/>
      <c r="Q630" s="567"/>
      <c r="R630" s="567"/>
      <c r="S630" s="567"/>
      <c r="T630" s="567"/>
      <c r="U630" s="567"/>
      <c r="V630" s="567"/>
      <c r="W630" s="567"/>
      <c r="X630" s="567"/>
      <c r="Y630" s="367"/>
      <c r="Z630" s="367"/>
      <c r="AA630" s="367"/>
      <c r="AB630" s="367"/>
      <c r="AC630" s="569"/>
      <c r="AD630" s="568"/>
      <c r="AE630" s="568"/>
      <c r="AF630" s="568"/>
      <c r="AG630" s="568"/>
      <c r="AH630" s="568"/>
      <c r="AI630" s="569"/>
      <c r="AJ630" s="569"/>
      <c r="AK630" s="569"/>
      <c r="AL630" s="569"/>
      <c r="AM630" s="569"/>
      <c r="AN630" s="569"/>
      <c r="AO630" s="569"/>
      <c r="AP630" s="569"/>
      <c r="AQ630" s="569"/>
      <c r="AR630" s="70"/>
      <c r="AS630" s="340" t="s">
        <v>945</v>
      </c>
      <c r="AT630" s="388"/>
      <c r="AU630" s="570"/>
      <c r="AV630" s="368"/>
      <c r="AW630" s="567"/>
      <c r="AX630" s="571"/>
      <c r="AY630" s="567"/>
      <c r="BA630" s="525"/>
      <c r="BB630" s="525"/>
      <c r="BC630" s="368"/>
      <c r="BD630" s="368"/>
      <c r="BE630" s="368"/>
      <c r="BF630" s="369"/>
      <c r="BG630" s="369"/>
      <c r="BH630" s="369"/>
      <c r="BI630" s="369"/>
      <c r="BJ630" s="369"/>
      <c r="BK630" s="369"/>
      <c r="BL630" s="369"/>
      <c r="BM630"/>
      <c r="BN630"/>
      <c r="BO630"/>
      <c r="BP630"/>
      <c r="BQ630"/>
      <c r="BR630"/>
    </row>
    <row r="631" spans="1:74" s="369" customFormat="1" x14ac:dyDescent="0.2">
      <c r="A631" s="411"/>
      <c r="B631" s="321"/>
      <c r="C631" s="319"/>
      <c r="D631" s="378"/>
      <c r="E631" s="378"/>
      <c r="F631" s="378"/>
      <c r="G631" s="378"/>
      <c r="H631" s="378"/>
      <c r="I631" s="378"/>
      <c r="J631" s="378"/>
      <c r="K631" s="378"/>
      <c r="L631" s="378"/>
      <c r="M631" s="378"/>
      <c r="N631" s="378"/>
      <c r="O631" s="378"/>
      <c r="P631" s="378"/>
      <c r="Q631" s="378"/>
      <c r="R631" s="378"/>
      <c r="S631" s="378"/>
      <c r="T631" s="378"/>
      <c r="U631" s="378"/>
      <c r="V631" s="378"/>
      <c r="W631" s="378"/>
      <c r="X631" s="321"/>
      <c r="Y631" s="321"/>
      <c r="Z631" s="321"/>
      <c r="AA631" s="321"/>
      <c r="AB631" s="321"/>
      <c r="AC631" s="414"/>
      <c r="AD631" s="413"/>
      <c r="AE631" s="413"/>
      <c r="AF631" s="413"/>
      <c r="AG631" s="413"/>
      <c r="AH631" s="413"/>
      <c r="AI631" s="414"/>
      <c r="AJ631" s="414"/>
      <c r="AK631" s="414"/>
      <c r="AL631" s="414"/>
      <c r="AM631" s="414"/>
      <c r="AN631" s="414"/>
      <c r="AO631" s="414"/>
      <c r="AP631" s="414"/>
      <c r="AQ631" s="414"/>
      <c r="AR631" s="70"/>
      <c r="AS631" s="321"/>
      <c r="AT631" s="319"/>
      <c r="AU631" s="415"/>
      <c r="AV631" s="351"/>
      <c r="AW631" s="378"/>
      <c r="AX631" s="416"/>
      <c r="AY631" s="378"/>
      <c r="BA631" s="382"/>
      <c r="BB631" s="382"/>
      <c r="BM631"/>
      <c r="BN631"/>
      <c r="BO631"/>
      <c r="BP631"/>
      <c r="BQ631"/>
      <c r="BR631"/>
    </row>
    <row r="632" spans="1:74" s="369" customFormat="1" x14ac:dyDescent="0.2">
      <c r="A632" s="411"/>
      <c r="B632" s="321"/>
      <c r="C632" s="319" t="s">
        <v>751</v>
      </c>
      <c r="D632" s="378"/>
      <c r="E632" s="378"/>
      <c r="F632" s="378"/>
      <c r="G632" s="378"/>
      <c r="H632" s="378"/>
      <c r="I632" s="378"/>
      <c r="J632" s="378"/>
      <c r="K632" s="378"/>
      <c r="L632" s="560">
        <v>67000</v>
      </c>
      <c r="M632" s="560">
        <v>67000</v>
      </c>
      <c r="N632" s="560">
        <v>67000</v>
      </c>
      <c r="O632" s="560">
        <v>67000</v>
      </c>
      <c r="P632" s="560">
        <v>76000</v>
      </c>
      <c r="Q632" s="560">
        <v>76000</v>
      </c>
      <c r="R632" s="560">
        <v>76000</v>
      </c>
      <c r="S632" s="560">
        <v>76000</v>
      </c>
      <c r="T632" s="560">
        <v>80000</v>
      </c>
      <c r="U632" s="560">
        <v>80000</v>
      </c>
      <c r="V632" s="560">
        <v>80000</v>
      </c>
      <c r="W632" s="560">
        <v>80000</v>
      </c>
      <c r="X632" s="560">
        <v>82000</v>
      </c>
      <c r="Y632" s="560">
        <v>82000</v>
      </c>
      <c r="Z632" s="560">
        <v>82000</v>
      </c>
      <c r="AA632" s="560">
        <v>82000</v>
      </c>
      <c r="AB632" s="560">
        <v>82000</v>
      </c>
      <c r="AC632" s="560">
        <f>AB632</f>
        <v>82000</v>
      </c>
      <c r="AD632" s="560">
        <f t="shared" ref="AD632:AE632" si="1334">AC632</f>
        <v>82000</v>
      </c>
      <c r="AE632" s="560">
        <f t="shared" si="1334"/>
        <v>82000</v>
      </c>
      <c r="AF632" s="348">
        <f>ROUND(AF633*AF628*1000,-3)</f>
        <v>87000</v>
      </c>
      <c r="AG632" s="560">
        <f t="shared" ref="AG632" si="1335">AF632</f>
        <v>87000</v>
      </c>
      <c r="AH632" s="560">
        <f t="shared" ref="AH632" si="1336">AG632</f>
        <v>87000</v>
      </c>
      <c r="AI632" s="560">
        <f t="shared" ref="AI632" si="1337">AH632</f>
        <v>87000</v>
      </c>
      <c r="AJ632" s="560"/>
      <c r="AK632" s="560"/>
      <c r="AL632" s="560"/>
      <c r="AM632" s="560"/>
      <c r="AN632" s="560"/>
      <c r="AO632" s="560"/>
      <c r="AP632" s="560"/>
      <c r="AQ632" s="560"/>
      <c r="AR632" s="70"/>
      <c r="AS632" s="321"/>
      <c r="AT632" s="319" t="s">
        <v>751</v>
      </c>
      <c r="AU632" s="235"/>
      <c r="AV632" s="235"/>
      <c r="AW632" s="847">
        <f>AVERAGE(L632:O632)</f>
        <v>67000</v>
      </c>
      <c r="AX632" s="847">
        <f>AVERAGE(P632:S632)</f>
        <v>76000</v>
      </c>
      <c r="AY632" s="847">
        <f>AVERAGE(T632:W632)</f>
        <v>80000</v>
      </c>
      <c r="AZ632" s="847">
        <f>AVERAGE(X632:AA632)</f>
        <v>82000</v>
      </c>
      <c r="BA632" s="847">
        <f>AVERAGE(AB632:AE632)</f>
        <v>82000</v>
      </c>
      <c r="BB632" s="847">
        <f>AVERAGE(AF632:AI632)</f>
        <v>87000</v>
      </c>
      <c r="BC632" s="348">
        <f>ROUND(BC633*BC628*1000,-3)</f>
        <v>92000</v>
      </c>
      <c r="BD632" s="348">
        <f>ROUND(BD633*BD628*1000,-3)</f>
        <v>97000</v>
      </c>
      <c r="BE632" s="348">
        <f>ROUND(BE633*BE628*1000,-3)</f>
        <v>103000</v>
      </c>
      <c r="BM632"/>
      <c r="BN632"/>
      <c r="BO632"/>
      <c r="BP632"/>
      <c r="BQ632"/>
      <c r="BR632"/>
    </row>
    <row r="633" spans="1:74" s="369" customFormat="1" x14ac:dyDescent="0.2">
      <c r="A633" s="411"/>
      <c r="B633" s="321"/>
      <c r="C633" s="319" t="s">
        <v>1241</v>
      </c>
      <c r="D633" s="378"/>
      <c r="E633" s="378"/>
      <c r="F633" s="378"/>
      <c r="G633" s="378"/>
      <c r="H633" s="378"/>
      <c r="I633" s="378"/>
      <c r="J633" s="378"/>
      <c r="K633" s="378"/>
      <c r="L633" s="1192">
        <f>L632/L628/1000</f>
        <v>5.2018633540372672E-2</v>
      </c>
      <c r="M633" s="1192">
        <f t="shared" ref="M633:Y633" si="1338">M632/M628/1000</f>
        <v>5.1697530864197531E-2</v>
      </c>
      <c r="N633" s="1192">
        <f t="shared" si="1338"/>
        <v>5.2180685358255451E-2</v>
      </c>
      <c r="O633" s="1192">
        <f t="shared" si="1338"/>
        <v>5.1380368098159511E-2</v>
      </c>
      <c r="P633" s="1192">
        <f t="shared" si="1338"/>
        <v>5.9374999999999997E-2</v>
      </c>
      <c r="Q633" s="1192">
        <f t="shared" si="1338"/>
        <v>5.9143968871595336E-2</v>
      </c>
      <c r="R633" s="1192">
        <f t="shared" si="1338"/>
        <v>6.007905138339921E-2</v>
      </c>
      <c r="S633" s="1192">
        <f t="shared" si="1338"/>
        <v>6.0413354531001585E-2</v>
      </c>
      <c r="T633" s="1192">
        <f t="shared" si="1338"/>
        <v>6.2893081761006289E-2</v>
      </c>
      <c r="U633" s="1192">
        <f t="shared" si="1338"/>
        <v>6.1538461538461542E-2</v>
      </c>
      <c r="V633" s="1192">
        <f t="shared" si="1338"/>
        <v>6.106870229007634E-2</v>
      </c>
      <c r="W633" s="1192">
        <f t="shared" si="1338"/>
        <v>6.106870229007634E-2</v>
      </c>
      <c r="X633" s="1192">
        <f t="shared" si="1338"/>
        <v>6.2215477996965099E-2</v>
      </c>
      <c r="Y633" s="1192">
        <f t="shared" si="1338"/>
        <v>6.0294117647058824E-2</v>
      </c>
      <c r="Z633" s="1192">
        <f t="shared" ref="Z633:AA633" si="1339">Z632/Z628/1000</f>
        <v>5.989773557341125E-2</v>
      </c>
      <c r="AA633" s="1192">
        <f t="shared" si="1339"/>
        <v>5.92057761732852E-2</v>
      </c>
      <c r="AB633" s="1192">
        <f t="shared" ref="AB633" si="1340">AB632/AB628/1000</f>
        <v>5.9077809798270889E-2</v>
      </c>
      <c r="AC633" s="1192">
        <f t="shared" ref="AC633" si="1341">AC632/AC628/1000</f>
        <v>5.8492880988387022E-2</v>
      </c>
      <c r="AD633" s="1192">
        <f t="shared" ref="AD633" si="1342">AD632/AD628/1000</f>
        <v>5.7913743552858436E-2</v>
      </c>
      <c r="AE633" s="1192">
        <f t="shared" ref="AE633:AI633" si="1343">AE632/AE628/1000</f>
        <v>5.7340340151344989E-2</v>
      </c>
      <c r="AF633" s="1193">
        <f>Drivers!AF157</f>
        <v>0.06</v>
      </c>
      <c r="AG633" s="1192">
        <f t="shared" si="1343"/>
        <v>5.9051859890504793E-2</v>
      </c>
      <c r="AH633" s="1192">
        <f t="shared" si="1343"/>
        <v>5.8007720914051861E-2</v>
      </c>
      <c r="AI633" s="1192">
        <f t="shared" si="1343"/>
        <v>5.6870314621619469E-2</v>
      </c>
      <c r="AJ633" s="1192"/>
      <c r="AK633" s="1192"/>
      <c r="AL633" s="1192"/>
      <c r="AM633" s="1192"/>
      <c r="AN633" s="1192"/>
      <c r="AO633" s="1192"/>
      <c r="AP633" s="1192"/>
      <c r="AQ633" s="1192"/>
      <c r="AR633" s="70"/>
      <c r="AS633" s="321"/>
      <c r="AT633" s="319" t="s">
        <v>1241</v>
      </c>
      <c r="AU633" s="235"/>
      <c r="AV633" s="235"/>
      <c r="AW633" s="1192">
        <f t="shared" ref="AW633" si="1344">AW632/AW628/1000</f>
        <v>5.1817478731631866E-2</v>
      </c>
      <c r="AX633" s="1192">
        <f t="shared" ref="AX633" si="1345">AX632/AX628/1000</f>
        <v>5.9748427672955975E-2</v>
      </c>
      <c r="AY633" s="1192">
        <f t="shared" ref="AY633" si="1346">AY632/AY628/1000</f>
        <v>6.1633281972265024E-2</v>
      </c>
      <c r="AZ633" s="1192">
        <f t="shared" ref="AZ633" si="1347">AZ632/AZ628/1000</f>
        <v>6.0382916053019146E-2</v>
      </c>
      <c r="BA633" s="1192">
        <f t="shared" ref="BA633:BB633" si="1348">BA632/BA628/1000</f>
        <v>5.8198990492092671E-2</v>
      </c>
      <c r="BB633" s="1192">
        <f t="shared" si="1348"/>
        <v>5.8444306849054765E-2</v>
      </c>
      <c r="BC633" s="1193">
        <f>Drivers!BC157</f>
        <v>5.8000000000000003E-2</v>
      </c>
      <c r="BD633" s="1193">
        <f>Drivers!BD157</f>
        <v>5.8000000000000003E-2</v>
      </c>
      <c r="BE633" s="1193">
        <f>Drivers!BE157</f>
        <v>5.8000000000000003E-2</v>
      </c>
      <c r="BM633"/>
      <c r="BN633"/>
      <c r="BO633"/>
      <c r="BP633"/>
      <c r="BQ633"/>
      <c r="BR633"/>
    </row>
    <row r="634" spans="1:74" x14ac:dyDescent="0.2">
      <c r="Z634" s="1688"/>
      <c r="AS634" s="10"/>
      <c r="AT634" s="9"/>
    </row>
    <row r="635" spans="1:74" x14ac:dyDescent="0.2">
      <c r="A635" s="411" t="s">
        <v>194</v>
      </c>
      <c r="B635" s="13" t="s">
        <v>139</v>
      </c>
      <c r="C635" s="13"/>
      <c r="D635" s="14"/>
      <c r="E635" s="14"/>
      <c r="F635" s="14"/>
      <c r="G635" s="14"/>
      <c r="H635" s="14"/>
      <c r="I635" s="14"/>
      <c r="J635" s="14"/>
      <c r="K635" s="14"/>
      <c r="L635" s="14"/>
      <c r="M635" s="14"/>
      <c r="N635" s="14"/>
      <c r="O635" s="14"/>
      <c r="P635" s="14"/>
      <c r="Q635" s="14"/>
      <c r="R635" s="14"/>
      <c r="S635" s="14"/>
      <c r="T635" s="14"/>
      <c r="U635" s="14"/>
      <c r="V635" s="14"/>
      <c r="W635" s="14"/>
      <c r="X635" s="14"/>
      <c r="Y635" s="14"/>
      <c r="Z635" s="14"/>
      <c r="AA635" s="14"/>
      <c r="AB635" s="14"/>
      <c r="AC635" s="14"/>
      <c r="AD635" s="14"/>
      <c r="AE635" s="14"/>
      <c r="AF635" s="14"/>
      <c r="AG635" s="14"/>
      <c r="AH635" s="14"/>
      <c r="AI635" s="14"/>
      <c r="AJ635" s="14"/>
      <c r="AK635" s="14"/>
      <c r="AL635" s="14"/>
      <c r="AM635" s="14"/>
      <c r="AN635" s="14"/>
      <c r="AO635" s="14"/>
      <c r="AP635" s="14"/>
      <c r="AQ635" s="14"/>
      <c r="AS635" s="13" t="s">
        <v>139</v>
      </c>
      <c r="AT635" s="13"/>
      <c r="AU635" s="14"/>
      <c r="AV635" s="14"/>
      <c r="AW635" s="14"/>
      <c r="AX635" s="14"/>
      <c r="AY635" s="14"/>
      <c r="AZ635" s="14"/>
      <c r="BA635" s="14"/>
      <c r="BB635" s="14"/>
      <c r="BC635" s="14"/>
      <c r="BD635" s="14"/>
      <c r="BE635" s="14"/>
      <c r="BF635" s="15"/>
      <c r="BG635" s="15"/>
      <c r="BH635" s="15"/>
      <c r="BI635" s="15"/>
      <c r="BJ635" s="15"/>
      <c r="BK635" s="15"/>
      <c r="BL635" s="15"/>
      <c r="BS635" s="15"/>
      <c r="BT635" s="15"/>
      <c r="BU635" s="15"/>
      <c r="BV635" s="15"/>
    </row>
    <row r="636" spans="1:74" x14ac:dyDescent="0.2">
      <c r="B636" s="577"/>
      <c r="C636" s="577"/>
      <c r="D636" s="577"/>
      <c r="E636" s="577"/>
      <c r="F636" s="577"/>
      <c r="G636" s="577"/>
      <c r="H636" s="577"/>
      <c r="I636" s="577"/>
      <c r="J636" s="577"/>
      <c r="K636" s="577"/>
      <c r="L636" s="577"/>
      <c r="M636" s="577"/>
      <c r="N636" s="577"/>
      <c r="O636" s="577"/>
      <c r="P636" s="577"/>
      <c r="Q636" s="577"/>
      <c r="R636" s="577"/>
      <c r="S636" s="577"/>
      <c r="T636" s="577"/>
      <c r="U636" s="577"/>
      <c r="V636" s="577"/>
      <c r="W636" s="387"/>
      <c r="X636" s="434"/>
      <c r="Y636" s="434"/>
      <c r="AS636" s="577"/>
      <c r="AT636" s="577"/>
    </row>
    <row r="637" spans="1:74" x14ac:dyDescent="0.2">
      <c r="B637" s="326" t="s">
        <v>188</v>
      </c>
      <c r="C637" s="578"/>
      <c r="D637" s="389"/>
      <c r="E637" s="389"/>
      <c r="F637" s="389"/>
      <c r="G637" s="389"/>
      <c r="H637" s="389"/>
      <c r="I637" s="389"/>
      <c r="J637" s="389"/>
      <c r="K637" s="389"/>
      <c r="L637" s="389"/>
      <c r="M637" s="389"/>
      <c r="N637" s="389"/>
      <c r="O637" s="389"/>
      <c r="P637" s="389"/>
      <c r="Q637" s="389"/>
      <c r="R637" s="389"/>
      <c r="S637" s="389"/>
      <c r="T637" s="389"/>
      <c r="U637" s="389"/>
      <c r="V637" s="389"/>
      <c r="W637" s="389"/>
      <c r="X637" s="389"/>
      <c r="Y637" s="389"/>
      <c r="Z637" s="389"/>
      <c r="AA637" s="389"/>
      <c r="AB637" s="389"/>
      <c r="AC637" s="389"/>
      <c r="AD637" s="389"/>
      <c r="AE637" s="389"/>
      <c r="AF637" s="389"/>
      <c r="AG637" s="389"/>
      <c r="AH637" s="389"/>
      <c r="AI637" s="389"/>
      <c r="AJ637" s="389"/>
      <c r="AK637" s="389"/>
      <c r="AL637" s="389"/>
      <c r="AM637" s="389"/>
      <c r="AN637" s="389"/>
      <c r="AO637" s="389"/>
      <c r="AP637" s="389"/>
      <c r="AQ637" s="389"/>
      <c r="AS637" s="326" t="s">
        <v>188</v>
      </c>
      <c r="AT637" s="578"/>
      <c r="AU637" s="389"/>
      <c r="AV637" s="389"/>
      <c r="AW637" s="389"/>
      <c r="AX637" s="389"/>
      <c r="AY637" s="389"/>
      <c r="AZ637" s="389"/>
      <c r="BA637" s="389"/>
      <c r="BB637" s="389"/>
      <c r="BC637" s="389"/>
      <c r="BD637" s="389"/>
      <c r="BE637" s="389"/>
      <c r="BF637" s="390"/>
      <c r="BG637" s="390"/>
      <c r="BH637" s="390"/>
      <c r="BI637" s="390"/>
      <c r="BJ637" s="390"/>
      <c r="BK637" s="390"/>
      <c r="BL637" s="390"/>
      <c r="BS637" s="390"/>
      <c r="BT637" s="390"/>
      <c r="BU637" s="390"/>
      <c r="BV637" s="390"/>
    </row>
    <row r="638" spans="1:74" x14ac:dyDescent="0.2">
      <c r="B638" s="315" t="s">
        <v>642</v>
      </c>
      <c r="C638" s="321"/>
      <c r="D638" s="560">
        <v>1274</v>
      </c>
      <c r="E638" s="560">
        <v>1068</v>
      </c>
      <c r="F638" s="560">
        <v>1097</v>
      </c>
      <c r="G638" s="560">
        <v>1032</v>
      </c>
      <c r="H638" s="560">
        <v>1203</v>
      </c>
      <c r="I638" s="560">
        <v>1230</v>
      </c>
      <c r="J638" s="560">
        <v>1142</v>
      </c>
      <c r="K638" s="560">
        <v>1293</v>
      </c>
      <c r="L638" s="560">
        <v>1378</v>
      </c>
      <c r="M638" s="560">
        <v>1454</v>
      </c>
      <c r="N638" s="560">
        <v>1304</v>
      </c>
      <c r="O638" s="560">
        <v>1198</v>
      </c>
      <c r="P638" s="560">
        <v>1411</v>
      </c>
      <c r="Q638" s="560">
        <v>1412</v>
      </c>
      <c r="R638" s="560">
        <v>1328</v>
      </c>
      <c r="S638" s="560">
        <v>1059</v>
      </c>
      <c r="T638" s="560">
        <v>890</v>
      </c>
      <c r="U638" s="560">
        <v>820</v>
      </c>
      <c r="V638" s="560">
        <v>706</v>
      </c>
      <c r="W638" s="560">
        <v>569</v>
      </c>
      <c r="X638" s="560">
        <v>558</v>
      </c>
      <c r="Y638" s="560">
        <v>497</v>
      </c>
      <c r="Z638" s="560">
        <v>516</v>
      </c>
      <c r="AA638" s="560">
        <v>429</v>
      </c>
      <c r="AB638" s="560">
        <v>538</v>
      </c>
      <c r="AC638" s="50">
        <f t="shared" ref="AC638:AE638" si="1349">AC667</f>
        <v>378.75945205479445</v>
      </c>
      <c r="AD638" s="50">
        <f t="shared" si="1349"/>
        <v>362.38724383561646</v>
      </c>
      <c r="AE638" s="50">
        <f t="shared" si="1349"/>
        <v>343.01839561643834</v>
      </c>
      <c r="AF638" s="50">
        <f t="shared" ref="AF638:AI638" si="1350">AF667</f>
        <v>313.88765819178082</v>
      </c>
      <c r="AG638" s="50">
        <f t="shared" si="1350"/>
        <v>296.9779822224657</v>
      </c>
      <c r="AH638" s="50">
        <f t="shared" si="1350"/>
        <v>283.62921743773285</v>
      </c>
      <c r="AI638" s="50">
        <f t="shared" si="1350"/>
        <v>268.07799797623289</v>
      </c>
      <c r="AJ638" s="50"/>
      <c r="AK638" s="50"/>
      <c r="AL638" s="50"/>
      <c r="AM638" s="50"/>
      <c r="AN638" s="50"/>
      <c r="AO638" s="50"/>
      <c r="AP638" s="50"/>
      <c r="AQ638" s="50"/>
      <c r="AS638" s="315" t="s">
        <v>209</v>
      </c>
      <c r="AT638" s="321"/>
      <c r="AU638" s="232">
        <f>SUM(D638:G638)</f>
        <v>4471</v>
      </c>
      <c r="AV638" s="232">
        <f>SUM(H638:K638)</f>
        <v>4868</v>
      </c>
      <c r="AW638" s="232">
        <f>SUM(L638:O638)</f>
        <v>5334</v>
      </c>
      <c r="AX638" s="232">
        <f>SUM(P638:S638)</f>
        <v>5210</v>
      </c>
      <c r="AY638" s="232">
        <f>SUM(T638:W638)</f>
        <v>2985</v>
      </c>
      <c r="AZ638" s="232">
        <f>SUM(X638:AA638)</f>
        <v>2000</v>
      </c>
      <c r="BA638" s="232">
        <f>SUM(AB638:AE638)</f>
        <v>1622.1650915068492</v>
      </c>
      <c r="BB638" s="232">
        <f>SUM(AF638:AI638)</f>
        <v>1162.5728558282121</v>
      </c>
      <c r="BC638" s="50">
        <f>BC667</f>
        <v>917.977158421068</v>
      </c>
      <c r="BD638" s="50">
        <f>BD667</f>
        <v>726.80770160797692</v>
      </c>
      <c r="BE638" s="50">
        <f>BE667</f>
        <v>576.90174620905486</v>
      </c>
    </row>
    <row r="639" spans="1:74" x14ac:dyDescent="0.2">
      <c r="B639" s="375" t="s">
        <v>294</v>
      </c>
      <c r="C639" s="376"/>
      <c r="D639" s="579">
        <f>1139-477</f>
        <v>662</v>
      </c>
      <c r="E639" s="579">
        <f>610+424</f>
        <v>1034</v>
      </c>
      <c r="F639" s="579">
        <f>-3755+4684</f>
        <v>929</v>
      </c>
      <c r="G639" s="579">
        <v>1003</v>
      </c>
      <c r="H639" s="579">
        <v>740</v>
      </c>
      <c r="I639" s="579">
        <v>1005</v>
      </c>
      <c r="J639" s="579">
        <v>1158</v>
      </c>
      <c r="K639" s="579">
        <v>978</v>
      </c>
      <c r="L639" s="579">
        <v>1196</v>
      </c>
      <c r="M639" s="579">
        <v>1020</v>
      </c>
      <c r="N639" s="579">
        <v>1218</v>
      </c>
      <c r="O639" s="579">
        <v>842</v>
      </c>
      <c r="P639" s="579">
        <v>1125</v>
      </c>
      <c r="Q639" s="579">
        <v>1161</v>
      </c>
      <c r="R639" s="579">
        <v>812</v>
      </c>
      <c r="S639" s="579">
        <v>2463</v>
      </c>
      <c r="T639" s="579">
        <v>1056</v>
      </c>
      <c r="U639" s="579">
        <v>365</v>
      </c>
      <c r="V639" s="579">
        <v>431</v>
      </c>
      <c r="W639" s="579">
        <v>292</v>
      </c>
      <c r="X639" s="579">
        <v>643</v>
      </c>
      <c r="Y639" s="579">
        <v>164</v>
      </c>
      <c r="Z639" s="579">
        <v>3</v>
      </c>
      <c r="AA639" s="579">
        <v>322</v>
      </c>
      <c r="AB639" s="579">
        <v>53</v>
      </c>
      <c r="AC639" s="172">
        <f t="shared" ref="AC639:AE639" si="1351">AC681</f>
        <v>158.86854794520548</v>
      </c>
      <c r="AD639" s="172">
        <f t="shared" si="1351"/>
        <v>152.50463178082194</v>
      </c>
      <c r="AE639" s="172">
        <f t="shared" si="1351"/>
        <v>145.30640369863013</v>
      </c>
      <c r="AF639" s="172">
        <f t="shared" ref="AF639:AI639" si="1352">AF681</f>
        <v>133.83820981232878</v>
      </c>
      <c r="AG639" s="172">
        <f t="shared" si="1352"/>
        <v>127.45305070380822</v>
      </c>
      <c r="AH639" s="172">
        <f t="shared" si="1352"/>
        <v>122.51206475435404</v>
      </c>
      <c r="AI639" s="172">
        <f t="shared" si="1352"/>
        <v>116.53946300911238</v>
      </c>
      <c r="AJ639" s="1755"/>
      <c r="AK639" s="1755"/>
      <c r="AL639" s="1755"/>
      <c r="AM639" s="1755"/>
      <c r="AN639" s="1755"/>
      <c r="AO639" s="1755"/>
      <c r="AP639" s="1755"/>
      <c r="AQ639" s="1755"/>
      <c r="AS639" s="375" t="s">
        <v>294</v>
      </c>
      <c r="AT639" s="376"/>
      <c r="AU639" s="41">
        <f>SUM(D639:G639)</f>
        <v>3628</v>
      </c>
      <c r="AV639" s="41">
        <f>SUM(H639:K639)</f>
        <v>3881</v>
      </c>
      <c r="AW639" s="41">
        <f>SUM(L639:O639)</f>
        <v>4276</v>
      </c>
      <c r="AX639" s="41">
        <f>SUM(P639:S639)</f>
        <v>5561</v>
      </c>
      <c r="AY639" s="41">
        <f>SUM(T639:W639)</f>
        <v>2144</v>
      </c>
      <c r="AZ639" s="41">
        <f>SUM(X639:AA639)</f>
        <v>1132</v>
      </c>
      <c r="BA639" s="41">
        <f>SUM(AB639:AE639)</f>
        <v>509.67958342465749</v>
      </c>
      <c r="BB639" s="41">
        <f>SUM(AF639:AI639)</f>
        <v>500.3427882796035</v>
      </c>
      <c r="BC639" s="172">
        <f>BC681</f>
        <v>401.61500680921728</v>
      </c>
      <c r="BD639" s="172">
        <f>BD681</f>
        <v>323.02564515910086</v>
      </c>
      <c r="BE639" s="172">
        <f>BE681</f>
        <v>256.4007760929133</v>
      </c>
    </row>
    <row r="640" spans="1:74" x14ac:dyDescent="0.2">
      <c r="B640" s="322" t="s">
        <v>657</v>
      </c>
      <c r="D640" s="493">
        <f t="shared" ref="D640:AE640" si="1353">SUM(D638:D639)</f>
        <v>1936</v>
      </c>
      <c r="E640" s="493">
        <f t="shared" si="1353"/>
        <v>2102</v>
      </c>
      <c r="F640" s="493">
        <f t="shared" si="1353"/>
        <v>2026</v>
      </c>
      <c r="G640" s="493">
        <f t="shared" si="1353"/>
        <v>2035</v>
      </c>
      <c r="H640" s="493">
        <f t="shared" si="1353"/>
        <v>1943</v>
      </c>
      <c r="I640" s="493">
        <f t="shared" si="1353"/>
        <v>2235</v>
      </c>
      <c r="J640" s="493">
        <f t="shared" si="1353"/>
        <v>2300</v>
      </c>
      <c r="K640" s="493">
        <f t="shared" si="1353"/>
        <v>2271</v>
      </c>
      <c r="L640" s="493">
        <f t="shared" si="1353"/>
        <v>2574</v>
      </c>
      <c r="M640" s="493">
        <f t="shared" si="1353"/>
        <v>2474</v>
      </c>
      <c r="N640" s="493">
        <f t="shared" si="1353"/>
        <v>2522</v>
      </c>
      <c r="O640" s="493">
        <f t="shared" si="1353"/>
        <v>2040</v>
      </c>
      <c r="P640" s="493">
        <f t="shared" si="1353"/>
        <v>2536</v>
      </c>
      <c r="Q640" s="493">
        <f t="shared" si="1353"/>
        <v>2573</v>
      </c>
      <c r="R640" s="493">
        <f t="shared" si="1353"/>
        <v>2140</v>
      </c>
      <c r="S640" s="493">
        <f t="shared" si="1353"/>
        <v>3522</v>
      </c>
      <c r="T640" s="493">
        <f t="shared" si="1353"/>
        <v>1946</v>
      </c>
      <c r="U640" s="493">
        <f t="shared" si="1353"/>
        <v>1185</v>
      </c>
      <c r="V640" s="493">
        <f t="shared" si="1353"/>
        <v>1137</v>
      </c>
      <c r="W640" s="493">
        <f t="shared" si="1353"/>
        <v>861</v>
      </c>
      <c r="X640" s="493">
        <f t="shared" si="1353"/>
        <v>1201</v>
      </c>
      <c r="Y640" s="493">
        <f t="shared" ref="Y640:Z640" si="1354">SUM(Y638:Y639)</f>
        <v>661</v>
      </c>
      <c r="Z640" s="493">
        <f t="shared" si="1354"/>
        <v>519</v>
      </c>
      <c r="AA640" s="493">
        <f t="shared" ref="AA640:AB640" si="1355">SUM(AA638:AA639)</f>
        <v>751</v>
      </c>
      <c r="AB640" s="493">
        <f t="shared" si="1355"/>
        <v>591</v>
      </c>
      <c r="AC640" s="493">
        <f t="shared" si="1353"/>
        <v>537.62799999999993</v>
      </c>
      <c r="AD640" s="493">
        <f t="shared" si="1353"/>
        <v>514.89187561643837</v>
      </c>
      <c r="AE640" s="493">
        <f t="shared" si="1353"/>
        <v>488.3247993150685</v>
      </c>
      <c r="AF640" s="493">
        <f t="shared" ref="AF640:AI640" si="1356">SUM(AF638:AF639)</f>
        <v>447.7258680041096</v>
      </c>
      <c r="AG640" s="493">
        <f t="shared" si="1356"/>
        <v>424.43103292627393</v>
      </c>
      <c r="AH640" s="493">
        <f t="shared" si="1356"/>
        <v>406.14128219208692</v>
      </c>
      <c r="AI640" s="493">
        <f t="shared" si="1356"/>
        <v>384.61746098534525</v>
      </c>
      <c r="AJ640" s="493"/>
      <c r="AK640" s="493"/>
      <c r="AL640" s="493"/>
      <c r="AM640" s="493"/>
      <c r="AN640" s="493"/>
      <c r="AO640" s="493"/>
      <c r="AP640" s="493"/>
      <c r="AQ640" s="493"/>
      <c r="AS640" s="322" t="s">
        <v>545</v>
      </c>
      <c r="AT640" s="9"/>
      <c r="AU640" s="493">
        <f t="shared" ref="AU640:BD640" si="1357">SUM(AU638:AU639)</f>
        <v>8099</v>
      </c>
      <c r="AV640" s="493">
        <f t="shared" si="1357"/>
        <v>8749</v>
      </c>
      <c r="AW640" s="493">
        <f t="shared" si="1357"/>
        <v>9610</v>
      </c>
      <c r="AX640" s="493">
        <f t="shared" si="1357"/>
        <v>10771</v>
      </c>
      <c r="AY640" s="493">
        <f t="shared" si="1357"/>
        <v>5129</v>
      </c>
      <c r="AZ640" s="493">
        <f t="shared" si="1357"/>
        <v>3132</v>
      </c>
      <c r="BA640" s="493">
        <f t="shared" si="1357"/>
        <v>2131.8446749315067</v>
      </c>
      <c r="BB640" s="493">
        <f t="shared" ref="BB640" si="1358">SUM(BB638:BB639)</f>
        <v>1662.9156441078158</v>
      </c>
      <c r="BC640" s="493">
        <f t="shared" si="1357"/>
        <v>1319.5921652302852</v>
      </c>
      <c r="BD640" s="493">
        <f t="shared" si="1357"/>
        <v>1049.8333467670777</v>
      </c>
      <c r="BE640" s="493">
        <f t="shared" ref="BE640" si="1359">SUM(BE638:BE639)</f>
        <v>833.30252230196811</v>
      </c>
    </row>
    <row r="641" spans="1:70" x14ac:dyDescent="0.2">
      <c r="B641" s="580"/>
      <c r="C641" s="376" t="s">
        <v>479</v>
      </c>
      <c r="D641" s="511">
        <f>D1568</f>
        <v>88</v>
      </c>
      <c r="E641" s="511">
        <f t="shared" ref="E641:W641" si="1360">E1568</f>
        <v>21</v>
      </c>
      <c r="F641" s="511">
        <f t="shared" si="1360"/>
        <v>23</v>
      </c>
      <c r="G641" s="511">
        <f t="shared" si="1360"/>
        <v>25</v>
      </c>
      <c r="H641" s="511">
        <f t="shared" si="1360"/>
        <v>-9</v>
      </c>
      <c r="I641" s="511">
        <f t="shared" si="1360"/>
        <v>15</v>
      </c>
      <c r="J641" s="511">
        <f t="shared" si="1360"/>
        <v>-4</v>
      </c>
      <c r="K641" s="511">
        <f t="shared" si="1360"/>
        <v>1</v>
      </c>
      <c r="L641" s="511">
        <f t="shared" si="1360"/>
        <v>14</v>
      </c>
      <c r="M641" s="511">
        <f t="shared" si="1360"/>
        <v>-1</v>
      </c>
      <c r="N641" s="511">
        <f t="shared" si="1360"/>
        <v>-55</v>
      </c>
      <c r="O641" s="511">
        <f t="shared" si="1360"/>
        <v>-5</v>
      </c>
      <c r="P641" s="511">
        <f t="shared" si="1360"/>
        <v>-4</v>
      </c>
      <c r="Q641" s="511">
        <f t="shared" si="1360"/>
        <v>9</v>
      </c>
      <c r="R641" s="511">
        <f t="shared" si="1360"/>
        <v>-25</v>
      </c>
      <c r="S641" s="511">
        <f t="shared" si="1360"/>
        <v>5</v>
      </c>
      <c r="T641" s="511">
        <f t="shared" si="1360"/>
        <v>0</v>
      </c>
      <c r="U641" s="511">
        <f t="shared" si="1360"/>
        <v>0</v>
      </c>
      <c r="V641" s="511">
        <f t="shared" si="1360"/>
        <v>0</v>
      </c>
      <c r="W641" s="511">
        <f t="shared" si="1360"/>
        <v>0</v>
      </c>
      <c r="X641" s="511">
        <f>X1568</f>
        <v>0</v>
      </c>
      <c r="Y641" s="511">
        <f>Y1568</f>
        <v>0</v>
      </c>
      <c r="Z641" s="511">
        <f>Z1568</f>
        <v>0</v>
      </c>
      <c r="AA641" s="511">
        <f>AA1568</f>
        <v>0</v>
      </c>
      <c r="AB641" s="511">
        <f>AB1568</f>
        <v>0</v>
      </c>
      <c r="AC641" s="511">
        <f t="shared" ref="AC641:AE641" si="1361">AC1568</f>
        <v>0</v>
      </c>
      <c r="AD641" s="511">
        <f t="shared" si="1361"/>
        <v>0</v>
      </c>
      <c r="AE641" s="511">
        <f t="shared" si="1361"/>
        <v>0</v>
      </c>
      <c r="AF641" s="511">
        <f t="shared" ref="AF641:AI641" si="1362">AF1568</f>
        <v>0</v>
      </c>
      <c r="AG641" s="511">
        <f t="shared" si="1362"/>
        <v>0</v>
      </c>
      <c r="AH641" s="511">
        <f t="shared" si="1362"/>
        <v>0</v>
      </c>
      <c r="AI641" s="511">
        <f t="shared" si="1362"/>
        <v>0</v>
      </c>
      <c r="AJ641" s="385"/>
      <c r="AK641" s="385"/>
      <c r="AL641" s="385"/>
      <c r="AM641" s="385"/>
      <c r="AN641" s="385"/>
      <c r="AO641" s="385"/>
      <c r="AP641" s="385"/>
      <c r="AQ641" s="385"/>
      <c r="AS641" s="580"/>
      <c r="AT641" s="376" t="s">
        <v>479</v>
      </c>
      <c r="AU641" s="41">
        <f>SUM(D641:G641)</f>
        <v>157</v>
      </c>
      <c r="AV641" s="41">
        <f>SUM(H641:K641)</f>
        <v>3</v>
      </c>
      <c r="AW641" s="41">
        <f>SUM(L641:O641)</f>
        <v>-47</v>
      </c>
      <c r="AX641" s="41">
        <f>SUM(P641:S641)</f>
        <v>-15</v>
      </c>
      <c r="AY641" s="41">
        <f>SUM(T641:W641)</f>
        <v>0</v>
      </c>
      <c r="AZ641" s="41">
        <f>SUM(X641:AA641)</f>
        <v>0</v>
      </c>
      <c r="BA641" s="41">
        <f>SUM(AB641:AE641)</f>
        <v>0</v>
      </c>
      <c r="BB641" s="41">
        <f>SUM(AF641:AI641)</f>
        <v>0</v>
      </c>
      <c r="BC641" s="511">
        <f>BC1568</f>
        <v>0</v>
      </c>
      <c r="BD641" s="511">
        <f>BD1568</f>
        <v>0</v>
      </c>
      <c r="BE641" s="511">
        <f>BE1568</f>
        <v>0</v>
      </c>
    </row>
    <row r="642" spans="1:70" x14ac:dyDescent="0.2">
      <c r="B642" s="325" t="s">
        <v>656</v>
      </c>
      <c r="C642" s="321"/>
      <c r="D642" s="493">
        <f t="shared" ref="D642:AE642" si="1363">D640-D641</f>
        <v>1848</v>
      </c>
      <c r="E642" s="493">
        <f t="shared" si="1363"/>
        <v>2081</v>
      </c>
      <c r="F642" s="493">
        <f t="shared" si="1363"/>
        <v>2003</v>
      </c>
      <c r="G642" s="493">
        <f t="shared" si="1363"/>
        <v>2010</v>
      </c>
      <c r="H642" s="493">
        <f t="shared" si="1363"/>
        <v>1952</v>
      </c>
      <c r="I642" s="493">
        <f t="shared" si="1363"/>
        <v>2220</v>
      </c>
      <c r="J642" s="493">
        <f t="shared" si="1363"/>
        <v>2304</v>
      </c>
      <c r="K642" s="493">
        <f t="shared" si="1363"/>
        <v>2270</v>
      </c>
      <c r="L642" s="493">
        <f t="shared" si="1363"/>
        <v>2560</v>
      </c>
      <c r="M642" s="493">
        <f t="shared" si="1363"/>
        <v>2475</v>
      </c>
      <c r="N642" s="493">
        <f t="shared" si="1363"/>
        <v>2577</v>
      </c>
      <c r="O642" s="493">
        <f t="shared" si="1363"/>
        <v>2045</v>
      </c>
      <c r="P642" s="493">
        <f t="shared" si="1363"/>
        <v>2540</v>
      </c>
      <c r="Q642" s="493">
        <f t="shared" si="1363"/>
        <v>2564</v>
      </c>
      <c r="R642" s="493">
        <f t="shared" si="1363"/>
        <v>2165</v>
      </c>
      <c r="S642" s="493">
        <f t="shared" si="1363"/>
        <v>3517</v>
      </c>
      <c r="T642" s="493">
        <f t="shared" si="1363"/>
        <v>1946</v>
      </c>
      <c r="U642" s="493">
        <f t="shared" si="1363"/>
        <v>1185</v>
      </c>
      <c r="V642" s="493">
        <f t="shared" si="1363"/>
        <v>1137</v>
      </c>
      <c r="W642" s="493">
        <f t="shared" si="1363"/>
        <v>861</v>
      </c>
      <c r="X642" s="493">
        <f t="shared" si="1363"/>
        <v>1201</v>
      </c>
      <c r="Y642" s="493">
        <f t="shared" ref="Y642:Z642" si="1364">Y640-Y641</f>
        <v>661</v>
      </c>
      <c r="Z642" s="493">
        <f t="shared" si="1364"/>
        <v>519</v>
      </c>
      <c r="AA642" s="493">
        <f t="shared" ref="AA642:AB642" si="1365">AA640-AA641</f>
        <v>751</v>
      </c>
      <c r="AB642" s="493">
        <f t="shared" si="1365"/>
        <v>591</v>
      </c>
      <c r="AC642" s="493">
        <f t="shared" si="1363"/>
        <v>537.62799999999993</v>
      </c>
      <c r="AD642" s="493">
        <f t="shared" si="1363"/>
        <v>514.89187561643837</v>
      </c>
      <c r="AE642" s="493">
        <f t="shared" si="1363"/>
        <v>488.3247993150685</v>
      </c>
      <c r="AF642" s="493">
        <f t="shared" ref="AF642:AI642" si="1366">AF640-AF641</f>
        <v>447.7258680041096</v>
      </c>
      <c r="AG642" s="493">
        <f t="shared" si="1366"/>
        <v>424.43103292627393</v>
      </c>
      <c r="AH642" s="493">
        <f t="shared" si="1366"/>
        <v>406.14128219208692</v>
      </c>
      <c r="AI642" s="493">
        <f t="shared" si="1366"/>
        <v>384.61746098534525</v>
      </c>
      <c r="AJ642" s="493"/>
      <c r="AK642" s="493"/>
      <c r="AL642" s="493"/>
      <c r="AM642" s="493"/>
      <c r="AN642" s="493"/>
      <c r="AO642" s="493"/>
      <c r="AP642" s="493"/>
      <c r="AQ642" s="493"/>
      <c r="AS642" s="325" t="s">
        <v>544</v>
      </c>
      <c r="AT642" s="321"/>
      <c r="AU642" s="493">
        <f t="shared" ref="AU642:BD642" si="1367">AU640-AU641</f>
        <v>7942</v>
      </c>
      <c r="AV642" s="493">
        <f t="shared" si="1367"/>
        <v>8746</v>
      </c>
      <c r="AW642" s="493">
        <f t="shared" si="1367"/>
        <v>9657</v>
      </c>
      <c r="AX642" s="493">
        <f t="shared" si="1367"/>
        <v>10786</v>
      </c>
      <c r="AY642" s="493">
        <f t="shared" si="1367"/>
        <v>5129</v>
      </c>
      <c r="AZ642" s="493">
        <f t="shared" si="1367"/>
        <v>3132</v>
      </c>
      <c r="BA642" s="493">
        <f t="shared" si="1367"/>
        <v>2131.8446749315067</v>
      </c>
      <c r="BB642" s="493">
        <f t="shared" ref="BB642" si="1368">BB640-BB641</f>
        <v>1662.9156441078158</v>
      </c>
      <c r="BC642" s="493">
        <f t="shared" si="1367"/>
        <v>1319.5921652302852</v>
      </c>
      <c r="BD642" s="493">
        <f t="shared" si="1367"/>
        <v>1049.8333467670777</v>
      </c>
      <c r="BE642" s="493">
        <f t="shared" ref="BE642" si="1369">BE640-BE641</f>
        <v>833.30252230196811</v>
      </c>
    </row>
    <row r="643" spans="1:70" x14ac:dyDescent="0.2">
      <c r="B643" s="9"/>
      <c r="C643" s="316"/>
      <c r="D643" s="493"/>
      <c r="E643" s="493"/>
      <c r="F643" s="493"/>
      <c r="G643" s="493"/>
      <c r="H643" s="493"/>
      <c r="I643" s="493"/>
      <c r="J643" s="493"/>
      <c r="K643" s="493"/>
      <c r="L643" s="493"/>
      <c r="M643" s="493"/>
      <c r="N643" s="493"/>
      <c r="O643" s="493"/>
      <c r="P643" s="493"/>
      <c r="Q643" s="493"/>
      <c r="R643" s="493"/>
      <c r="S643" s="493"/>
      <c r="T643" s="493"/>
      <c r="U643" s="493"/>
      <c r="V643" s="493"/>
      <c r="W643" s="493"/>
      <c r="X643" s="493"/>
      <c r="Y643" s="493"/>
      <c r="Z643" s="493"/>
      <c r="AA643" s="493"/>
      <c r="AB643" s="493"/>
      <c r="AS643" s="9"/>
      <c r="AT643" s="316"/>
      <c r="BC643" s="9"/>
      <c r="BD643" s="1704"/>
      <c r="BE643" s="1702"/>
    </row>
    <row r="644" spans="1:70" x14ac:dyDescent="0.2">
      <c r="B644" s="322" t="s">
        <v>23</v>
      </c>
      <c r="C644" s="387"/>
      <c r="D644" s="560">
        <v>2605</v>
      </c>
      <c r="E644" s="560">
        <v>2423</v>
      </c>
      <c r="F644" s="560">
        <v>2546</v>
      </c>
      <c r="G644" s="560">
        <v>3397</v>
      </c>
      <c r="H644" s="560">
        <v>2685</v>
      </c>
      <c r="I644" s="560">
        <v>2633</v>
      </c>
      <c r="J644" s="560">
        <v>2365</v>
      </c>
      <c r="K644" s="560">
        <v>2483</v>
      </c>
      <c r="L644" s="560">
        <v>2708</v>
      </c>
      <c r="M644" s="560">
        <v>5947</v>
      </c>
      <c r="N644" s="560">
        <v>3383</v>
      </c>
      <c r="O644" s="560">
        <v>4849</v>
      </c>
      <c r="P644" s="560">
        <v>1930</v>
      </c>
      <c r="Q644" s="560">
        <v>1747</v>
      </c>
      <c r="R644" s="560">
        <v>1726</v>
      </c>
      <c r="S644" s="560">
        <v>1926</v>
      </c>
      <c r="T644" s="560">
        <v>1250</v>
      </c>
      <c r="U644" s="560">
        <v>1309</v>
      </c>
      <c r="V644" s="560">
        <v>1288</v>
      </c>
      <c r="W644" s="560">
        <v>1130</v>
      </c>
      <c r="X644" s="560">
        <v>1134</v>
      </c>
      <c r="Y644" s="560">
        <v>996</v>
      </c>
      <c r="Z644" s="560">
        <v>827</v>
      </c>
      <c r="AA644" s="560">
        <v>857</v>
      </c>
      <c r="AB644" s="560">
        <v>741</v>
      </c>
      <c r="AC644" s="420">
        <f>AC642*Drivers!AC244</f>
        <v>709.66895999999997</v>
      </c>
      <c r="AD644" s="420">
        <f>AD642*Drivers!AD244</f>
        <v>684.80619456986312</v>
      </c>
      <c r="AE644" s="420">
        <f>AE642*Drivers!AE244</f>
        <v>664.12172706849321</v>
      </c>
      <c r="AF644" s="420">
        <f>AF642*Drivers!AF244</f>
        <v>582.04362840534247</v>
      </c>
      <c r="AG644" s="420">
        <f>AG642*Drivers!AG244</f>
        <v>551.76034280415615</v>
      </c>
      <c r="AH644" s="420">
        <f>AH642*Drivers!AH244</f>
        <v>527.98366684971302</v>
      </c>
      <c r="AI644" s="420">
        <f>AI642*Drivers!AI244</f>
        <v>500.00269928094883</v>
      </c>
      <c r="AJ644" s="420"/>
      <c r="AK644" s="420"/>
      <c r="AL644" s="420"/>
      <c r="AM644" s="420"/>
      <c r="AN644" s="420"/>
      <c r="AO644" s="420"/>
      <c r="AP644" s="420"/>
      <c r="AQ644" s="420"/>
      <c r="AS644" s="322" t="s">
        <v>23</v>
      </c>
      <c r="AT644" s="387"/>
      <c r="AU644" s="232">
        <f>SUM(D644:G644)</f>
        <v>10971</v>
      </c>
      <c r="AV644" s="232">
        <f>SUM(H644:K644)</f>
        <v>10166</v>
      </c>
      <c r="AW644" s="232">
        <f>SUM(L644:O644)</f>
        <v>16887</v>
      </c>
      <c r="AX644" s="232">
        <f>SUM(P644:S644)</f>
        <v>7329</v>
      </c>
      <c r="AY644" s="232">
        <f>SUM(T644:W644)</f>
        <v>4977</v>
      </c>
      <c r="AZ644" s="232">
        <f>SUM(X644:AA644)</f>
        <v>3814</v>
      </c>
      <c r="BA644" s="232">
        <f>SUM(AB644:AE644)</f>
        <v>2799.5968816383565</v>
      </c>
      <c r="BB644" s="232">
        <f>SUM(AF644:AI644)</f>
        <v>2161.7903373401605</v>
      </c>
      <c r="BC644" s="420">
        <f>BC642*Drivers!BC244</f>
        <v>1715.4698147993709</v>
      </c>
      <c r="BD644" s="420">
        <f>BD642*Drivers!BD244</f>
        <v>1364.7833507972011</v>
      </c>
      <c r="BE644" s="420">
        <f>BE642*Drivers!BE244</f>
        <v>1083.2932789925585</v>
      </c>
    </row>
    <row r="645" spans="1:70" x14ac:dyDescent="0.2">
      <c r="B645" s="322"/>
      <c r="C645" s="387"/>
      <c r="D645" s="560"/>
      <c r="E645" s="560"/>
      <c r="F645" s="560"/>
      <c r="G645" s="560"/>
      <c r="H645" s="560"/>
      <c r="I645" s="560"/>
      <c r="J645" s="560"/>
      <c r="K645" s="560"/>
      <c r="L645" s="560"/>
      <c r="M645" s="560"/>
      <c r="N645" s="560"/>
      <c r="O645" s="560"/>
      <c r="P645" s="560"/>
      <c r="Q645" s="560"/>
      <c r="R645" s="560"/>
      <c r="S645" s="560"/>
      <c r="T645" s="560"/>
      <c r="U645" s="560"/>
      <c r="V645" s="560"/>
      <c r="Y645" s="1215"/>
      <c r="Z645" s="1688"/>
      <c r="AA645" s="1742"/>
      <c r="AB645" s="1785"/>
      <c r="AS645" s="322"/>
      <c r="AT645" s="387"/>
      <c r="BC645" s="9"/>
      <c r="BD645" s="1704"/>
      <c r="BE645" s="1702"/>
    </row>
    <row r="646" spans="1:70" x14ac:dyDescent="0.2">
      <c r="B646" s="322" t="s">
        <v>295</v>
      </c>
      <c r="C646" s="387"/>
      <c r="D646" s="69">
        <f t="shared" ref="D646:AE646" si="1370">D642-D644</f>
        <v>-757</v>
      </c>
      <c r="E646" s="69">
        <f t="shared" si="1370"/>
        <v>-342</v>
      </c>
      <c r="F646" s="69">
        <f t="shared" si="1370"/>
        <v>-543</v>
      </c>
      <c r="G646" s="69">
        <f t="shared" si="1370"/>
        <v>-1387</v>
      </c>
      <c r="H646" s="69">
        <f t="shared" si="1370"/>
        <v>-733</v>
      </c>
      <c r="I646" s="69">
        <f t="shared" si="1370"/>
        <v>-413</v>
      </c>
      <c r="J646" s="69">
        <f t="shared" si="1370"/>
        <v>-61</v>
      </c>
      <c r="K646" s="69">
        <f t="shared" si="1370"/>
        <v>-213</v>
      </c>
      <c r="L646" s="69">
        <f t="shared" si="1370"/>
        <v>-148</v>
      </c>
      <c r="M646" s="69">
        <f t="shared" si="1370"/>
        <v>-3472</v>
      </c>
      <c r="N646" s="69">
        <f t="shared" si="1370"/>
        <v>-806</v>
      </c>
      <c r="O646" s="69">
        <f t="shared" si="1370"/>
        <v>-2804</v>
      </c>
      <c r="P646" s="69">
        <f t="shared" si="1370"/>
        <v>610</v>
      </c>
      <c r="Q646" s="69">
        <f t="shared" si="1370"/>
        <v>817</v>
      </c>
      <c r="R646" s="69">
        <f t="shared" si="1370"/>
        <v>439</v>
      </c>
      <c r="S646" s="69">
        <f t="shared" si="1370"/>
        <v>1591</v>
      </c>
      <c r="T646" s="69">
        <f t="shared" si="1370"/>
        <v>696</v>
      </c>
      <c r="U646" s="69">
        <f t="shared" si="1370"/>
        <v>-124</v>
      </c>
      <c r="V646" s="69">
        <f t="shared" si="1370"/>
        <v>-151</v>
      </c>
      <c r="W646" s="69">
        <f t="shared" si="1370"/>
        <v>-269</v>
      </c>
      <c r="X646" s="69">
        <f t="shared" si="1370"/>
        <v>67</v>
      </c>
      <c r="Y646" s="69">
        <f t="shared" ref="Y646:Z646" si="1371">Y642-Y644</f>
        <v>-335</v>
      </c>
      <c r="Z646" s="69">
        <f t="shared" si="1371"/>
        <v>-308</v>
      </c>
      <c r="AA646" s="69">
        <f t="shared" ref="AA646:AB646" si="1372">AA642-AA644</f>
        <v>-106</v>
      </c>
      <c r="AB646" s="69">
        <f t="shared" si="1372"/>
        <v>-150</v>
      </c>
      <c r="AC646" s="69">
        <f t="shared" si="1370"/>
        <v>-172.04096000000004</v>
      </c>
      <c r="AD646" s="69">
        <f t="shared" si="1370"/>
        <v>-169.91431895342475</v>
      </c>
      <c r="AE646" s="69">
        <f t="shared" si="1370"/>
        <v>-175.79692775342471</v>
      </c>
      <c r="AF646" s="69">
        <f t="shared" ref="AF646:AI646" si="1373">AF642-AF644</f>
        <v>-134.31776040123287</v>
      </c>
      <c r="AG646" s="69">
        <f t="shared" si="1373"/>
        <v>-127.32930987788222</v>
      </c>
      <c r="AH646" s="69">
        <f t="shared" si="1373"/>
        <v>-121.8423846576261</v>
      </c>
      <c r="AI646" s="69">
        <f t="shared" si="1373"/>
        <v>-115.38523829560359</v>
      </c>
      <c r="AJ646" s="69"/>
      <c r="AK646" s="69"/>
      <c r="AL646" s="69"/>
      <c r="AM646" s="69"/>
      <c r="AN646" s="69"/>
      <c r="AO646" s="69"/>
      <c r="AP646" s="69"/>
      <c r="AQ646" s="69"/>
      <c r="AS646" s="322" t="s">
        <v>295</v>
      </c>
      <c r="AT646" s="387"/>
      <c r="AU646" s="69">
        <f t="shared" ref="AU646:BD646" si="1374">AU642-AU644</f>
        <v>-3029</v>
      </c>
      <c r="AV646" s="69">
        <f t="shared" si="1374"/>
        <v>-1420</v>
      </c>
      <c r="AW646" s="69">
        <f t="shared" si="1374"/>
        <v>-7230</v>
      </c>
      <c r="AX646" s="69">
        <f t="shared" si="1374"/>
        <v>3457</v>
      </c>
      <c r="AY646" s="69">
        <f t="shared" si="1374"/>
        <v>152</v>
      </c>
      <c r="AZ646" s="69">
        <f t="shared" si="1374"/>
        <v>-682</v>
      </c>
      <c r="BA646" s="69">
        <f t="shared" si="1374"/>
        <v>-667.75220670684985</v>
      </c>
      <c r="BB646" s="69">
        <f t="shared" ref="BB646" si="1375">BB642-BB644</f>
        <v>-498.87469323234473</v>
      </c>
      <c r="BC646" s="69">
        <f t="shared" si="1374"/>
        <v>-395.87764956908563</v>
      </c>
      <c r="BD646" s="69">
        <f t="shared" si="1374"/>
        <v>-314.95000403012341</v>
      </c>
      <c r="BE646" s="69">
        <f t="shared" ref="BE646" si="1376">BE642-BE644</f>
        <v>-249.99075669059039</v>
      </c>
    </row>
    <row r="647" spans="1:70" x14ac:dyDescent="0.2">
      <c r="B647" s="322"/>
      <c r="C647" s="387"/>
      <c r="D647" s="560"/>
      <c r="E647" s="560"/>
      <c r="F647" s="560"/>
      <c r="G647" s="560"/>
      <c r="H647" s="560"/>
      <c r="I647" s="560"/>
      <c r="J647" s="560"/>
      <c r="K647" s="560"/>
      <c r="L647" s="560"/>
      <c r="M647" s="560"/>
      <c r="N647" s="560"/>
      <c r="O647" s="560"/>
      <c r="P647" s="560"/>
      <c r="Q647" s="560"/>
      <c r="R647" s="560"/>
      <c r="S647" s="560"/>
      <c r="T647" s="560"/>
      <c r="U647" s="560"/>
      <c r="V647" s="560"/>
      <c r="W647" s="560"/>
      <c r="X647" s="560"/>
      <c r="Y647" s="560"/>
      <c r="Z647" s="560"/>
      <c r="AA647" s="560"/>
      <c r="AB647" s="560"/>
      <c r="AS647" s="322"/>
      <c r="AT647" s="387"/>
      <c r="BC647" s="9"/>
      <c r="BD647" s="1704"/>
      <c r="BE647" s="1702"/>
    </row>
    <row r="648" spans="1:70" x14ac:dyDescent="0.2">
      <c r="B648" s="322" t="s">
        <v>252</v>
      </c>
      <c r="C648" s="387"/>
      <c r="D648" s="560">
        <v>1519</v>
      </c>
      <c r="E648" s="560">
        <v>1410</v>
      </c>
      <c r="F648" s="560">
        <v>1319</v>
      </c>
      <c r="G648" s="560">
        <v>1376</v>
      </c>
      <c r="H648" s="560">
        <v>930</v>
      </c>
      <c r="I648" s="560">
        <v>594</v>
      </c>
      <c r="J648" s="560">
        <v>279</v>
      </c>
      <c r="K648" s="560">
        <v>518</v>
      </c>
      <c r="L648" s="560">
        <v>485</v>
      </c>
      <c r="M648" s="560">
        <v>472</v>
      </c>
      <c r="N648" s="560">
        <v>501</v>
      </c>
      <c r="O648" s="560">
        <v>451</v>
      </c>
      <c r="P648" s="560">
        <v>461</v>
      </c>
      <c r="Q648" s="560">
        <v>311</v>
      </c>
      <c r="R648" s="560">
        <v>243</v>
      </c>
      <c r="S648" s="560">
        <v>467</v>
      </c>
      <c r="T648" s="560">
        <v>170</v>
      </c>
      <c r="U648" s="560">
        <v>-98</v>
      </c>
      <c r="V648" s="560">
        <v>18</v>
      </c>
      <c r="W648" s="560">
        <v>-21</v>
      </c>
      <c r="X648" s="560">
        <v>52</v>
      </c>
      <c r="Y648" s="560">
        <v>-132</v>
      </c>
      <c r="Z648" s="560">
        <v>-50</v>
      </c>
      <c r="AA648" s="560">
        <v>-45</v>
      </c>
      <c r="AB648" s="560">
        <v>-7</v>
      </c>
      <c r="AC648" s="50">
        <f t="shared" ref="AC648:AE649" si="1377">AC1235</f>
        <v>52.605479452054794</v>
      </c>
      <c r="AD648" s="50">
        <f t="shared" si="1377"/>
        <v>50.33156164383562</v>
      </c>
      <c r="AE648" s="50">
        <f t="shared" si="1377"/>
        <v>47.641443835616442</v>
      </c>
      <c r="AF648" s="50">
        <f t="shared" ref="AF648:AI648" si="1378">AF1235</f>
        <v>43.595508082191778</v>
      </c>
      <c r="AG648" s="50">
        <f t="shared" si="1378"/>
        <v>41.246941975342466</v>
      </c>
      <c r="AH648" s="50">
        <f t="shared" si="1378"/>
        <v>39.392946866351785</v>
      </c>
      <c r="AI648" s="50">
        <f t="shared" si="1378"/>
        <v>37.233055274476797</v>
      </c>
      <c r="AJ648" s="50"/>
      <c r="AK648" s="50"/>
      <c r="AL648" s="50"/>
      <c r="AM648" s="50"/>
      <c r="AN648" s="50"/>
      <c r="AO648" s="50"/>
      <c r="AP648" s="50"/>
      <c r="AQ648" s="50"/>
      <c r="AS648" s="322" t="s">
        <v>252</v>
      </c>
      <c r="AT648" s="387"/>
      <c r="AU648" s="232">
        <f>SUM(D648:G648)</f>
        <v>5624</v>
      </c>
      <c r="AV648" s="232">
        <f>SUM(H648:K648)</f>
        <v>2321</v>
      </c>
      <c r="AW648" s="232">
        <f>SUM(L648:O648)</f>
        <v>1909</v>
      </c>
      <c r="AX648" s="232">
        <f>SUM(P648:S648)</f>
        <v>1482</v>
      </c>
      <c r="AY648" s="232">
        <f>SUM(T648:W648)</f>
        <v>69</v>
      </c>
      <c r="AZ648" s="232">
        <f>SUM(X648:AA648)</f>
        <v>-175</v>
      </c>
      <c r="BA648" s="232">
        <f>SUM(AB648:AE648)</f>
        <v>143.57848493150686</v>
      </c>
      <c r="BB648" s="232">
        <f>SUM(AF648:AI648)</f>
        <v>161.46845219836285</v>
      </c>
      <c r="BC648" s="50">
        <f t="shared" ref="BC648:BD649" si="1379">BC1235</f>
        <v>127.49682755848167</v>
      </c>
      <c r="BD648" s="50">
        <f t="shared" si="1379"/>
        <v>100.94551411221903</v>
      </c>
      <c r="BE648" s="50">
        <f t="shared" ref="BE648" si="1380">BE1235</f>
        <v>80.125242529035404</v>
      </c>
    </row>
    <row r="649" spans="1:70" x14ac:dyDescent="0.2">
      <c r="B649" s="322"/>
      <c r="C649" s="322" t="s">
        <v>224</v>
      </c>
      <c r="D649" s="560">
        <v>1875</v>
      </c>
      <c r="E649" s="560">
        <v>1481</v>
      </c>
      <c r="F649" s="560">
        <v>1965</v>
      </c>
      <c r="G649" s="560">
        <v>1139</v>
      </c>
      <c r="H649" s="560">
        <v>1088</v>
      </c>
      <c r="I649" s="560">
        <v>892</v>
      </c>
      <c r="J649" s="560">
        <v>791</v>
      </c>
      <c r="K649" s="560">
        <v>896</v>
      </c>
      <c r="L649" s="560">
        <v>663</v>
      </c>
      <c r="M649" s="560">
        <v>529</v>
      </c>
      <c r="N649" s="560">
        <v>485</v>
      </c>
      <c r="O649" s="560">
        <v>505</v>
      </c>
      <c r="P649" s="560">
        <v>468</v>
      </c>
      <c r="Q649" s="560">
        <v>334</v>
      </c>
      <c r="R649" s="560">
        <v>273</v>
      </c>
      <c r="S649" s="560">
        <v>261</v>
      </c>
      <c r="T649" s="560">
        <v>142</v>
      </c>
      <c r="U649" s="560">
        <v>101</v>
      </c>
      <c r="V649" s="560">
        <v>131</v>
      </c>
      <c r="W649" s="560">
        <v>61</v>
      </c>
      <c r="X649" s="560">
        <v>81</v>
      </c>
      <c r="Y649" s="560">
        <v>24</v>
      </c>
      <c r="Z649" s="560">
        <v>29</v>
      </c>
      <c r="AA649" s="560">
        <v>15</v>
      </c>
      <c r="AB649" s="560">
        <v>26</v>
      </c>
      <c r="AC649" s="50">
        <f t="shared" si="1377"/>
        <v>52.605479452054794</v>
      </c>
      <c r="AD649" s="50">
        <f t="shared" si="1377"/>
        <v>50.33156164383562</v>
      </c>
      <c r="AE649" s="50">
        <f t="shared" si="1377"/>
        <v>47.641443835616442</v>
      </c>
      <c r="AF649" s="50">
        <f t="shared" ref="AF649:AI649" si="1381">AF1236</f>
        <v>43.595508082191778</v>
      </c>
      <c r="AG649" s="50">
        <f t="shared" si="1381"/>
        <v>41.246941975342466</v>
      </c>
      <c r="AH649" s="50">
        <f t="shared" si="1381"/>
        <v>39.392946866351785</v>
      </c>
      <c r="AI649" s="50">
        <f t="shared" si="1381"/>
        <v>37.233055274476797</v>
      </c>
      <c r="AJ649" s="50"/>
      <c r="AK649" s="50"/>
      <c r="AL649" s="50"/>
      <c r="AM649" s="50"/>
      <c r="AN649" s="50"/>
      <c r="AO649" s="50"/>
      <c r="AP649" s="50"/>
      <c r="AQ649" s="50"/>
      <c r="AS649" s="322"/>
      <c r="AT649" s="322" t="s">
        <v>224</v>
      </c>
      <c r="AU649" s="232">
        <f>SUM(D649:G649)</f>
        <v>6460</v>
      </c>
      <c r="AV649" s="232">
        <f>SUM(H649:K649)</f>
        <v>3667</v>
      </c>
      <c r="AW649" s="232">
        <f>SUM(L649:O649)</f>
        <v>2182</v>
      </c>
      <c r="AX649" s="232">
        <f>SUM(P649:S649)</f>
        <v>1336</v>
      </c>
      <c r="AY649" s="232">
        <f>SUM(T649:W649)</f>
        <v>435</v>
      </c>
      <c r="AZ649" s="232">
        <f>SUM(X649:AA649)</f>
        <v>149</v>
      </c>
      <c r="BA649" s="232">
        <f>SUM(AB649:AE649)</f>
        <v>176.57848493150686</v>
      </c>
      <c r="BB649" s="232">
        <f>SUM(AF649:AI649)</f>
        <v>161.46845219836285</v>
      </c>
      <c r="BC649" s="50">
        <f t="shared" si="1379"/>
        <v>127.49682755848167</v>
      </c>
      <c r="BD649" s="50">
        <f t="shared" si="1379"/>
        <v>100.94551411221903</v>
      </c>
      <c r="BE649" s="50">
        <f t="shared" ref="BE649" si="1382">BE1236</f>
        <v>80.125242529035404</v>
      </c>
    </row>
    <row r="650" spans="1:70" x14ac:dyDescent="0.2">
      <c r="B650" s="322"/>
      <c r="C650" s="322" t="s">
        <v>243</v>
      </c>
      <c r="D650" s="69">
        <f t="shared" ref="D650:AE650" si="1383">D648-D649</f>
        <v>-356</v>
      </c>
      <c r="E650" s="69">
        <f t="shared" si="1383"/>
        <v>-71</v>
      </c>
      <c r="F650" s="69">
        <f t="shared" si="1383"/>
        <v>-646</v>
      </c>
      <c r="G650" s="69">
        <f t="shared" si="1383"/>
        <v>237</v>
      </c>
      <c r="H650" s="69">
        <f t="shared" si="1383"/>
        <v>-158</v>
      </c>
      <c r="I650" s="69">
        <f t="shared" si="1383"/>
        <v>-298</v>
      </c>
      <c r="J650" s="69">
        <f t="shared" si="1383"/>
        <v>-512</v>
      </c>
      <c r="K650" s="69">
        <f t="shared" si="1383"/>
        <v>-378</v>
      </c>
      <c r="L650" s="69">
        <f t="shared" si="1383"/>
        <v>-178</v>
      </c>
      <c r="M650" s="69">
        <f t="shared" si="1383"/>
        <v>-57</v>
      </c>
      <c r="N650" s="69">
        <f t="shared" si="1383"/>
        <v>16</v>
      </c>
      <c r="O650" s="69">
        <f t="shared" si="1383"/>
        <v>-54</v>
      </c>
      <c r="P650" s="69">
        <f t="shared" si="1383"/>
        <v>-7</v>
      </c>
      <c r="Q650" s="69">
        <f t="shared" si="1383"/>
        <v>-23</v>
      </c>
      <c r="R650" s="69">
        <f t="shared" si="1383"/>
        <v>-30</v>
      </c>
      <c r="S650" s="69">
        <f t="shared" si="1383"/>
        <v>206</v>
      </c>
      <c r="T650" s="69">
        <f t="shared" si="1383"/>
        <v>28</v>
      </c>
      <c r="U650" s="69">
        <f t="shared" si="1383"/>
        <v>-199</v>
      </c>
      <c r="V650" s="69">
        <f t="shared" si="1383"/>
        <v>-113</v>
      </c>
      <c r="W650" s="69">
        <f t="shared" si="1383"/>
        <v>-82</v>
      </c>
      <c r="X650" s="69">
        <f t="shared" si="1383"/>
        <v>-29</v>
      </c>
      <c r="Y650" s="69">
        <f t="shared" ref="Y650:Z650" si="1384">Y648-Y649</f>
        <v>-156</v>
      </c>
      <c r="Z650" s="69">
        <f t="shared" si="1384"/>
        <v>-79</v>
      </c>
      <c r="AA650" s="69">
        <f t="shared" ref="AA650:AB650" si="1385">AA648-AA649</f>
        <v>-60</v>
      </c>
      <c r="AB650" s="69">
        <f t="shared" si="1385"/>
        <v>-33</v>
      </c>
      <c r="AC650" s="69">
        <f t="shared" si="1383"/>
        <v>0</v>
      </c>
      <c r="AD650" s="69">
        <f t="shared" si="1383"/>
        <v>0</v>
      </c>
      <c r="AE650" s="69">
        <f t="shared" si="1383"/>
        <v>0</v>
      </c>
      <c r="AF650" s="69">
        <f t="shared" ref="AF650:AI650" si="1386">AF648-AF649</f>
        <v>0</v>
      </c>
      <c r="AG650" s="69">
        <f t="shared" si="1386"/>
        <v>0</v>
      </c>
      <c r="AH650" s="69">
        <f t="shared" si="1386"/>
        <v>0</v>
      </c>
      <c r="AI650" s="69">
        <f t="shared" si="1386"/>
        <v>0</v>
      </c>
      <c r="AJ650" s="69"/>
      <c r="AK650" s="69"/>
      <c r="AL650" s="69"/>
      <c r="AM650" s="69"/>
      <c r="AN650" s="69"/>
      <c r="AO650" s="69"/>
      <c r="AP650" s="69"/>
      <c r="AQ650" s="69"/>
      <c r="AS650" s="322"/>
      <c r="AT650" s="322" t="s">
        <v>243</v>
      </c>
      <c r="AU650" s="232">
        <f>SUM(D650:G650)</f>
        <v>-836</v>
      </c>
      <c r="AV650" s="232">
        <f>SUM(H650:K650)</f>
        <v>-1346</v>
      </c>
      <c r="AW650" s="232">
        <f>SUM(L650:O650)</f>
        <v>-273</v>
      </c>
      <c r="AX650" s="232">
        <f>SUM(P650:S650)</f>
        <v>146</v>
      </c>
      <c r="AY650" s="232">
        <f>SUM(T650:W650)</f>
        <v>-366</v>
      </c>
      <c r="AZ650" s="232">
        <f>SUM(X650:AA650)</f>
        <v>-324</v>
      </c>
      <c r="BA650" s="232">
        <f>SUM(AB650:AE650)</f>
        <v>-33</v>
      </c>
      <c r="BB650" s="232">
        <f>SUM(AF650:AI650)</f>
        <v>0</v>
      </c>
      <c r="BC650" s="69">
        <f>BC648-BC649</f>
        <v>0</v>
      </c>
      <c r="BD650" s="69">
        <f>BD648-BD649</f>
        <v>0</v>
      </c>
      <c r="BE650" s="69">
        <f>BE648-BE649</f>
        <v>0</v>
      </c>
    </row>
    <row r="651" spans="1:70" x14ac:dyDescent="0.2">
      <c r="B651" s="322"/>
      <c r="C651" s="322"/>
      <c r="D651" s="69"/>
      <c r="E651" s="69">
        <f>-2155-E641</f>
        <v>-2176</v>
      </c>
      <c r="F651" s="69"/>
      <c r="G651" s="69"/>
      <c r="H651" s="69"/>
      <c r="I651" s="69"/>
      <c r="J651" s="69"/>
      <c r="K651" s="69"/>
      <c r="L651" s="69"/>
      <c r="M651" s="69"/>
      <c r="N651" s="69"/>
      <c r="O651" s="69"/>
      <c r="P651" s="69"/>
      <c r="Q651" s="69"/>
      <c r="R651" s="69"/>
      <c r="S651" s="69"/>
      <c r="T651" s="69"/>
      <c r="U651" s="69"/>
      <c r="V651" s="69"/>
      <c r="W651" s="69"/>
      <c r="X651" s="69"/>
      <c r="Y651" s="69"/>
      <c r="Z651" s="69"/>
      <c r="AA651" s="69"/>
      <c r="AB651" s="69"/>
      <c r="AS651" s="322"/>
      <c r="AT651" s="322"/>
      <c r="BC651" s="9"/>
      <c r="BD651" s="1704"/>
      <c r="BE651" s="1702"/>
    </row>
    <row r="652" spans="1:70" x14ac:dyDescent="0.2">
      <c r="A652" s="830"/>
      <c r="B652" s="581" t="s">
        <v>548</v>
      </c>
      <c r="C652" s="582"/>
      <c r="D652" s="493">
        <f t="shared" ref="D652:AE652" si="1387">D646-D648</f>
        <v>-2276</v>
      </c>
      <c r="E652" s="493">
        <f t="shared" si="1387"/>
        <v>-1752</v>
      </c>
      <c r="F652" s="493">
        <f t="shared" si="1387"/>
        <v>-1862</v>
      </c>
      <c r="G652" s="493">
        <f t="shared" si="1387"/>
        <v>-2763</v>
      </c>
      <c r="H652" s="493">
        <f t="shared" si="1387"/>
        <v>-1663</v>
      </c>
      <c r="I652" s="493">
        <f t="shared" si="1387"/>
        <v>-1007</v>
      </c>
      <c r="J652" s="493">
        <f t="shared" si="1387"/>
        <v>-340</v>
      </c>
      <c r="K652" s="493">
        <f t="shared" si="1387"/>
        <v>-731</v>
      </c>
      <c r="L652" s="493">
        <f t="shared" si="1387"/>
        <v>-633</v>
      </c>
      <c r="M652" s="493">
        <f t="shared" si="1387"/>
        <v>-3944</v>
      </c>
      <c r="N652" s="493">
        <f t="shared" si="1387"/>
        <v>-1307</v>
      </c>
      <c r="O652" s="493">
        <f t="shared" si="1387"/>
        <v>-3255</v>
      </c>
      <c r="P652" s="493">
        <f t="shared" si="1387"/>
        <v>149</v>
      </c>
      <c r="Q652" s="493">
        <f t="shared" si="1387"/>
        <v>506</v>
      </c>
      <c r="R652" s="493">
        <f t="shared" si="1387"/>
        <v>196</v>
      </c>
      <c r="S652" s="493">
        <f t="shared" si="1387"/>
        <v>1124</v>
      </c>
      <c r="T652" s="493">
        <f t="shared" si="1387"/>
        <v>526</v>
      </c>
      <c r="U652" s="493">
        <f t="shared" si="1387"/>
        <v>-26</v>
      </c>
      <c r="V652" s="493">
        <f t="shared" si="1387"/>
        <v>-169</v>
      </c>
      <c r="W652" s="493">
        <f t="shared" si="1387"/>
        <v>-248</v>
      </c>
      <c r="X652" s="493">
        <f t="shared" si="1387"/>
        <v>15</v>
      </c>
      <c r="Y652" s="493">
        <f t="shared" ref="Y652:Z652" si="1388">Y646-Y648</f>
        <v>-203</v>
      </c>
      <c r="Z652" s="493">
        <f t="shared" si="1388"/>
        <v>-258</v>
      </c>
      <c r="AA652" s="493">
        <f t="shared" ref="AA652:AB652" si="1389">AA646-AA648</f>
        <v>-61</v>
      </c>
      <c r="AB652" s="493">
        <f t="shared" si="1389"/>
        <v>-143</v>
      </c>
      <c r="AC652" s="493">
        <f t="shared" si="1387"/>
        <v>-224.64643945205484</v>
      </c>
      <c r="AD652" s="493">
        <f t="shared" si="1387"/>
        <v>-220.24588059726037</v>
      </c>
      <c r="AE652" s="493">
        <f t="shared" si="1387"/>
        <v>-223.43837158904114</v>
      </c>
      <c r="AF652" s="493">
        <f t="shared" ref="AF652:AI652" si="1390">AF646-AF648</f>
        <v>-177.91326848342464</v>
      </c>
      <c r="AG652" s="493">
        <f t="shared" si="1390"/>
        <v>-168.57625185322468</v>
      </c>
      <c r="AH652" s="493">
        <f t="shared" si="1390"/>
        <v>-161.23533152397789</v>
      </c>
      <c r="AI652" s="493">
        <f t="shared" si="1390"/>
        <v>-152.61829357008037</v>
      </c>
      <c r="AJ652" s="493"/>
      <c r="AK652" s="493"/>
      <c r="AL652" s="493"/>
      <c r="AM652" s="493"/>
      <c r="AN652" s="493"/>
      <c r="AO652" s="493"/>
      <c r="AP652" s="493"/>
      <c r="AQ652" s="493"/>
      <c r="AS652" s="581" t="s">
        <v>548</v>
      </c>
      <c r="AT652" s="582"/>
      <c r="AU652" s="232">
        <f>SUM(D652:G652)</f>
        <v>-8653</v>
      </c>
      <c r="AV652" s="232">
        <f>SUM(H652:K652)</f>
        <v>-3741</v>
      </c>
      <c r="AW652" s="232">
        <f>SUM(L652:O652)</f>
        <v>-9139</v>
      </c>
      <c r="AX652" s="232">
        <f>SUM(P652:S652)</f>
        <v>1975</v>
      </c>
      <c r="AY652" s="232">
        <f>SUM(T652:W652)</f>
        <v>83</v>
      </c>
      <c r="AZ652" s="232">
        <f>SUM(X652:AA652)</f>
        <v>-507</v>
      </c>
      <c r="BA652" s="232">
        <f>SUM(AB652:AE652)</f>
        <v>-811.33069163835637</v>
      </c>
      <c r="BB652" s="232">
        <f>SUM(AF652:AI652)</f>
        <v>-660.34314543070764</v>
      </c>
      <c r="BC652" s="493">
        <f>BC646-BC648</f>
        <v>-523.37447712756727</v>
      </c>
      <c r="BD652" s="493">
        <f>BD646-BD648</f>
        <v>-415.89551814234244</v>
      </c>
      <c r="BE652" s="493">
        <f>BE646-BE648</f>
        <v>-330.11599921962579</v>
      </c>
    </row>
    <row r="653" spans="1:70" x14ac:dyDescent="0.2">
      <c r="A653" s="830"/>
      <c r="B653" s="581"/>
      <c r="C653" s="581" t="s">
        <v>132</v>
      </c>
      <c r="D653" s="69">
        <f t="shared" ref="D653:X653" si="1391">D652-D658</f>
        <v>-737</v>
      </c>
      <c r="E653" s="69">
        <f t="shared" si="1391"/>
        <v>-826</v>
      </c>
      <c r="F653" s="69">
        <f t="shared" si="1391"/>
        <v>-705</v>
      </c>
      <c r="G653" s="69">
        <f t="shared" si="1391"/>
        <v>-987</v>
      </c>
      <c r="H653" s="69">
        <f t="shared" si="1391"/>
        <v>-734</v>
      </c>
      <c r="I653" s="69">
        <f t="shared" si="1391"/>
        <v>-278</v>
      </c>
      <c r="J653" s="69">
        <f t="shared" si="1391"/>
        <v>-133</v>
      </c>
      <c r="K653" s="69">
        <f t="shared" si="1391"/>
        <v>-83</v>
      </c>
      <c r="L653" s="69">
        <f t="shared" si="1391"/>
        <v>-166</v>
      </c>
      <c r="M653" s="69">
        <f t="shared" si="1391"/>
        <v>-90</v>
      </c>
      <c r="N653" s="69">
        <f t="shared" si="1391"/>
        <v>-16</v>
      </c>
      <c r="O653" s="69">
        <f t="shared" si="1391"/>
        <v>-254</v>
      </c>
      <c r="P653" s="69">
        <f t="shared" si="1391"/>
        <v>-99</v>
      </c>
      <c r="Q653" s="69">
        <f t="shared" si="1391"/>
        <v>-26</v>
      </c>
      <c r="R653" s="69">
        <f t="shared" si="1391"/>
        <v>-157</v>
      </c>
      <c r="S653" s="69">
        <f t="shared" si="1391"/>
        <v>185</v>
      </c>
      <c r="T653" s="69">
        <f t="shared" si="1391"/>
        <v>81</v>
      </c>
      <c r="U653" s="69">
        <f t="shared" si="1391"/>
        <v>-173</v>
      </c>
      <c r="V653" s="69">
        <f t="shared" si="1391"/>
        <v>-146</v>
      </c>
      <c r="W653" s="69">
        <f t="shared" si="1391"/>
        <v>-233</v>
      </c>
      <c r="X653" s="69">
        <f t="shared" si="1391"/>
        <v>-94</v>
      </c>
      <c r="Y653" s="69">
        <f t="shared" ref="Y653:Z653" si="1392">Y652-Y658</f>
        <v>-178</v>
      </c>
      <c r="Z653" s="69">
        <f t="shared" si="1392"/>
        <v>-163</v>
      </c>
      <c r="AA653" s="69">
        <f t="shared" ref="AA653:AB653" si="1393">AA652-AA658</f>
        <v>-3095</v>
      </c>
      <c r="AB653" s="69">
        <f t="shared" si="1393"/>
        <v>-69</v>
      </c>
      <c r="AC653" s="69">
        <f t="shared" ref="AC653:AE653" si="1394">AC790-AC501-AC124-AC753</f>
        <v>-53.095088841822999</v>
      </c>
      <c r="AD653" s="69">
        <f t="shared" si="1394"/>
        <v>-81.711600593578638</v>
      </c>
      <c r="AE653" s="69">
        <f t="shared" si="1394"/>
        <v>-85.505688628189162</v>
      </c>
      <c r="AF653" s="69">
        <f t="shared" ref="AF653:AI653" si="1395">AF790-AF501-AF124-AF753</f>
        <v>-26.447611915865636</v>
      </c>
      <c r="AG653" s="69">
        <f t="shared" si="1395"/>
        <v>-32.296183208562368</v>
      </c>
      <c r="AH653" s="69">
        <f t="shared" si="1395"/>
        <v>-31.815839363537421</v>
      </c>
      <c r="AI653" s="69">
        <f t="shared" si="1395"/>
        <v>-35.329124138075542</v>
      </c>
      <c r="AJ653" s="69"/>
      <c r="AK653" s="69"/>
      <c r="AL653" s="69"/>
      <c r="AM653" s="69"/>
      <c r="AN653" s="69"/>
      <c r="AO653" s="69"/>
      <c r="AP653" s="69"/>
      <c r="AQ653" s="69"/>
      <c r="AS653" s="581"/>
      <c r="AT653" s="581" t="s">
        <v>132</v>
      </c>
      <c r="AU653" s="69">
        <f t="shared" ref="AU653:BA653" si="1396">AU652-AU658</f>
        <v>-3255</v>
      </c>
      <c r="AV653" s="69">
        <f t="shared" si="1396"/>
        <v>-1228</v>
      </c>
      <c r="AW653" s="69">
        <f t="shared" si="1396"/>
        <v>-526</v>
      </c>
      <c r="AX653" s="69">
        <f t="shared" si="1396"/>
        <v>-97</v>
      </c>
      <c r="AY653" s="69">
        <f t="shared" si="1396"/>
        <v>-471</v>
      </c>
      <c r="AZ653" s="69">
        <f t="shared" si="1396"/>
        <v>-3530</v>
      </c>
      <c r="BA653" s="69">
        <f t="shared" si="1396"/>
        <v>-289.31237806359081</v>
      </c>
      <c r="BB653" s="69">
        <f t="shared" ref="BB653" si="1397">BB652-BB658</f>
        <v>-125.88875862604095</v>
      </c>
      <c r="BC653" s="69">
        <f>BC790-BC501-BC124-BC753</f>
        <v>-79.132413874600957</v>
      </c>
      <c r="BD653" s="69">
        <f>BD790-BD501-BD124-BD753</f>
        <v>-45.747387098334571</v>
      </c>
      <c r="BE653" s="69">
        <f>BE790-BE501-BE124-BE753</f>
        <v>-25.66938974141317</v>
      </c>
    </row>
    <row r="654" spans="1:70" s="72" customFormat="1" x14ac:dyDescent="0.2">
      <c r="A654" s="834"/>
      <c r="B654" s="73"/>
      <c r="C654" s="74" t="s">
        <v>254</v>
      </c>
      <c r="D654" s="75">
        <f t="shared" ref="D654:AE654" si="1398">D653/D652</f>
        <v>0.32381370826010547</v>
      </c>
      <c r="E654" s="75">
        <f t="shared" si="1398"/>
        <v>0.47146118721461189</v>
      </c>
      <c r="F654" s="75">
        <f t="shared" si="1398"/>
        <v>0.378625134264232</v>
      </c>
      <c r="G654" s="75">
        <f t="shared" si="1398"/>
        <v>0.35722041259500542</v>
      </c>
      <c r="H654" s="75">
        <f t="shared" si="1398"/>
        <v>0.44137101623571856</v>
      </c>
      <c r="I654" s="75">
        <f t="shared" si="1398"/>
        <v>0.27606752730883816</v>
      </c>
      <c r="J654" s="75">
        <f t="shared" si="1398"/>
        <v>0.39117647058823529</v>
      </c>
      <c r="K654" s="75">
        <f t="shared" si="1398"/>
        <v>0.11354309165526676</v>
      </c>
      <c r="L654" s="75">
        <f t="shared" si="1398"/>
        <v>0.26224328593996843</v>
      </c>
      <c r="M654" s="75">
        <f t="shared" si="1398"/>
        <v>2.281947261663286E-2</v>
      </c>
      <c r="N654" s="75">
        <f t="shared" si="1398"/>
        <v>1.224177505738332E-2</v>
      </c>
      <c r="O654" s="75">
        <f t="shared" si="1398"/>
        <v>7.8033794162826423E-2</v>
      </c>
      <c r="P654" s="75">
        <f t="shared" si="1398"/>
        <v>-0.66442953020134232</v>
      </c>
      <c r="Q654" s="75">
        <f t="shared" si="1398"/>
        <v>-5.1383399209486168E-2</v>
      </c>
      <c r="R654" s="75">
        <f t="shared" si="1398"/>
        <v>-0.80102040816326525</v>
      </c>
      <c r="S654" s="75">
        <f t="shared" si="1398"/>
        <v>0.16459074733096085</v>
      </c>
      <c r="T654" s="75">
        <f t="shared" si="1398"/>
        <v>0.15399239543726237</v>
      </c>
      <c r="U654" s="75">
        <f t="shared" si="1398"/>
        <v>6.6538461538461542</v>
      </c>
      <c r="V654" s="75">
        <f t="shared" si="1398"/>
        <v>0.86390532544378695</v>
      </c>
      <c r="W654" s="75">
        <f t="shared" si="1398"/>
        <v>0.93951612903225812</v>
      </c>
      <c r="X654" s="75">
        <f t="shared" si="1398"/>
        <v>-6.2666666666666666</v>
      </c>
      <c r="Y654" s="75">
        <f t="shared" ref="Y654:Z654" si="1399">Y653/Y652</f>
        <v>0.87684729064039413</v>
      </c>
      <c r="Z654" s="75">
        <f t="shared" si="1399"/>
        <v>0.63178294573643412</v>
      </c>
      <c r="AA654" s="75">
        <f t="shared" ref="AA654:AB654" si="1400">AA653/AA652</f>
        <v>50.73770491803279</v>
      </c>
      <c r="AB654" s="75">
        <f t="shared" si="1400"/>
        <v>0.4825174825174825</v>
      </c>
      <c r="AC654" s="75">
        <f t="shared" si="1398"/>
        <v>0.23634956766432444</v>
      </c>
      <c r="AD654" s="75">
        <f t="shared" si="1398"/>
        <v>0.37100172031365131</v>
      </c>
      <c r="AE654" s="75">
        <f t="shared" si="1398"/>
        <v>0.38268130948186213</v>
      </c>
      <c r="AF654" s="75">
        <f t="shared" ref="AF654:AI654" si="1401">AF653/AF652</f>
        <v>0.14865452217988812</v>
      </c>
      <c r="AG654" s="75">
        <f t="shared" si="1401"/>
        <v>0.19158204583099811</v>
      </c>
      <c r="AH654" s="75">
        <f t="shared" si="1401"/>
        <v>0.19732548110155354</v>
      </c>
      <c r="AI654" s="75">
        <f t="shared" si="1401"/>
        <v>0.23148682449298164</v>
      </c>
      <c r="AJ654" s="75"/>
      <c r="AK654" s="75"/>
      <c r="AL654" s="75"/>
      <c r="AM654" s="75"/>
      <c r="AN654" s="75"/>
      <c r="AO654" s="75"/>
      <c r="AP654" s="75"/>
      <c r="AQ654" s="75"/>
      <c r="AR654" s="70"/>
      <c r="AS654" s="73"/>
      <c r="AT654" s="74" t="s">
        <v>254</v>
      </c>
      <c r="AU654" s="75">
        <f t="shared" ref="AU654:BD654" si="1402">AU653/AU652</f>
        <v>0.37617011441118686</v>
      </c>
      <c r="AV654" s="75">
        <f t="shared" si="1402"/>
        <v>0.32825447741245656</v>
      </c>
      <c r="AW654" s="75">
        <f t="shared" si="1402"/>
        <v>5.7555531239741768E-2</v>
      </c>
      <c r="AX654" s="75">
        <f t="shared" si="1402"/>
        <v>-4.9113924050632911E-2</v>
      </c>
      <c r="AY654" s="75">
        <f t="shared" si="1402"/>
        <v>-5.6746987951807233</v>
      </c>
      <c r="AZ654" s="75">
        <f t="shared" si="1402"/>
        <v>6.9625246548323467</v>
      </c>
      <c r="BA654" s="75">
        <f t="shared" si="1402"/>
        <v>0.35658995899608997</v>
      </c>
      <c r="BB654" s="75">
        <f t="shared" ref="BB654" si="1403">BB653/BB652</f>
        <v>0.1906414255938558</v>
      </c>
      <c r="BC654" s="75">
        <f t="shared" si="1402"/>
        <v>0.15119654727701448</v>
      </c>
      <c r="BD654" s="75">
        <f t="shared" si="1402"/>
        <v>0.10999730726282385</v>
      </c>
      <c r="BE654" s="75">
        <f t="shared" ref="BE654" si="1404">BE653/BE652</f>
        <v>7.7758696343388542E-2</v>
      </c>
      <c r="BM654"/>
      <c r="BN654"/>
      <c r="BO654"/>
      <c r="BP654"/>
      <c r="BQ654"/>
      <c r="BR654"/>
    </row>
    <row r="655" spans="1:70" s="72" customFormat="1" x14ac:dyDescent="0.2">
      <c r="A655" s="834"/>
      <c r="B655" s="73"/>
      <c r="C655" s="74"/>
      <c r="D655" s="909"/>
      <c r="E655" s="909"/>
      <c r="F655" s="909"/>
      <c r="G655" s="909"/>
      <c r="H655" s="909"/>
      <c r="I655" s="909"/>
      <c r="J655" s="909"/>
      <c r="K655" s="909"/>
      <c r="L655" s="909"/>
      <c r="M655" s="909"/>
      <c r="N655" s="909"/>
      <c r="O655" s="909"/>
      <c r="P655" s="909"/>
      <c r="Q655" s="909"/>
      <c r="R655" s="909"/>
      <c r="S655" s="909"/>
      <c r="T655" s="909"/>
      <c r="U655" s="909"/>
      <c r="V655" s="909"/>
      <c r="W655" s="909"/>
      <c r="X655" s="909"/>
      <c r="Y655" s="909"/>
      <c r="Z655" s="909"/>
      <c r="AA655" s="909"/>
      <c r="AB655" s="909"/>
      <c r="AC655" s="73"/>
      <c r="AD655" s="73"/>
      <c r="AE655" s="73"/>
      <c r="AF655" s="73"/>
      <c r="AG655" s="73"/>
      <c r="AH655" s="73"/>
      <c r="AI655" s="73"/>
      <c r="AJ655" s="73"/>
      <c r="AK655" s="73"/>
      <c r="AL655" s="73"/>
      <c r="AM655" s="73"/>
      <c r="AN655" s="73"/>
      <c r="AO655" s="73"/>
      <c r="AP655" s="73"/>
      <c r="AQ655" s="73"/>
      <c r="AR655" s="70"/>
      <c r="AS655" s="73"/>
      <c r="AT655" s="74"/>
      <c r="AU655" s="232"/>
      <c r="AV655" s="232"/>
      <c r="AW655" s="232"/>
      <c r="AX655" s="232"/>
      <c r="AY655" s="232"/>
      <c r="AZ655" s="232"/>
      <c r="BA655" s="232"/>
      <c r="BB655" s="232"/>
      <c r="BC655" s="73"/>
      <c r="BD655" s="73"/>
      <c r="BE655" s="73"/>
      <c r="BM655"/>
      <c r="BN655"/>
      <c r="BO655"/>
      <c r="BP655"/>
      <c r="BQ655"/>
      <c r="BR655"/>
    </row>
    <row r="656" spans="1:70" x14ac:dyDescent="0.2">
      <c r="B656" s="322" t="s">
        <v>606</v>
      </c>
      <c r="C656" s="387"/>
      <c r="D656" s="560">
        <f>-1177-308</f>
        <v>-1485</v>
      </c>
      <c r="E656" s="560">
        <f>-1186+274</f>
        <v>-912</v>
      </c>
      <c r="F656" s="560">
        <f>-3458+2315</f>
        <v>-1143</v>
      </c>
      <c r="G656" s="560">
        <v>-1761</v>
      </c>
      <c r="H656" s="560">
        <v>-935</v>
      </c>
      <c r="I656" s="560">
        <v>-720</v>
      </c>
      <c r="J656" s="560">
        <f>-33-176</f>
        <v>-209</v>
      </c>
      <c r="K656" s="560">
        <v>-648</v>
      </c>
      <c r="L656" s="560">
        <f>-669+210</f>
        <v>-459</v>
      </c>
      <c r="M656" s="560">
        <v>-3854</v>
      </c>
      <c r="N656" s="560">
        <v>-1325</v>
      </c>
      <c r="O656" s="560">
        <v>-3004</v>
      </c>
      <c r="P656" s="560">
        <v>245</v>
      </c>
      <c r="Q656" s="560">
        <v>538</v>
      </c>
      <c r="R656" s="560">
        <v>337</v>
      </c>
      <c r="S656" s="560">
        <v>942</v>
      </c>
      <c r="T656" s="560">
        <v>445</v>
      </c>
      <c r="U656" s="560">
        <v>147</v>
      </c>
      <c r="V656" s="560">
        <v>-23</v>
      </c>
      <c r="W656" s="560">
        <v>-15</v>
      </c>
      <c r="X656" s="560">
        <v>109</v>
      </c>
      <c r="Y656" s="560">
        <v>-25</v>
      </c>
      <c r="Z656" s="560">
        <v>-95</v>
      </c>
      <c r="AA656" s="560">
        <f>-19560+22594</f>
        <v>3034</v>
      </c>
      <c r="AB656" s="560">
        <v>-74</v>
      </c>
      <c r="AC656" s="50">
        <f t="shared" ref="AC656:AE656" si="1405">AC652-AC653</f>
        <v>-171.55135061023185</v>
      </c>
      <c r="AD656" s="50">
        <f t="shared" si="1405"/>
        <v>-138.53428000368172</v>
      </c>
      <c r="AE656" s="50">
        <f t="shared" si="1405"/>
        <v>-137.93268296085199</v>
      </c>
      <c r="AF656" s="50">
        <f t="shared" ref="AF656:AI656" si="1406">AF652-AF653</f>
        <v>-151.46565656755899</v>
      </c>
      <c r="AG656" s="50">
        <f t="shared" si="1406"/>
        <v>-136.28006864466232</v>
      </c>
      <c r="AH656" s="50">
        <f t="shared" si="1406"/>
        <v>-129.41949216044048</v>
      </c>
      <c r="AI656" s="50">
        <f t="shared" si="1406"/>
        <v>-117.28916943200483</v>
      </c>
      <c r="AJ656" s="50"/>
      <c r="AK656" s="50"/>
      <c r="AL656" s="50"/>
      <c r="AM656" s="50"/>
      <c r="AN656" s="50"/>
      <c r="AO656" s="50"/>
      <c r="AP656" s="50"/>
      <c r="AQ656" s="50"/>
      <c r="AS656" s="322" t="s">
        <v>606</v>
      </c>
      <c r="AT656" s="387"/>
      <c r="AU656" s="232">
        <f>SUM(D656:G656)</f>
        <v>-5301</v>
      </c>
      <c r="AV656" s="232">
        <f>SUM(H656:K656)</f>
        <v>-2512</v>
      </c>
      <c r="AW656" s="232">
        <f>SUM(L656:O656)</f>
        <v>-8642</v>
      </c>
      <c r="AX656" s="232">
        <f>SUM(P656:S656)</f>
        <v>2062</v>
      </c>
      <c r="AY656" s="232">
        <f>SUM(T656:W656)</f>
        <v>554</v>
      </c>
      <c r="AZ656" s="232">
        <f>SUM(X656:AA656)</f>
        <v>3023</v>
      </c>
      <c r="BA656" s="232">
        <f>SUM(AB656:AE656)</f>
        <v>-522.01831357476556</v>
      </c>
      <c r="BB656" s="232">
        <f>SUM(AF656:AI656)</f>
        <v>-534.45438680466668</v>
      </c>
      <c r="BC656" s="50">
        <f>BC652-BC653</f>
        <v>-444.24206325296632</v>
      </c>
      <c r="BD656" s="50">
        <f>BD652-BD653</f>
        <v>-370.14813104400787</v>
      </c>
      <c r="BE656" s="50">
        <f>BE652-BE653</f>
        <v>-304.44660947821262</v>
      </c>
    </row>
    <row r="657" spans="1:74" x14ac:dyDescent="0.2">
      <c r="C657" s="376" t="s">
        <v>883</v>
      </c>
      <c r="D657" s="172">
        <f>D1573</f>
        <v>54</v>
      </c>
      <c r="E657" s="172">
        <f t="shared" ref="E657:AE657" si="1407">E1573</f>
        <v>14</v>
      </c>
      <c r="F657" s="172">
        <f t="shared" si="1407"/>
        <v>14</v>
      </c>
      <c r="G657" s="172">
        <f t="shared" si="1407"/>
        <v>15</v>
      </c>
      <c r="H657" s="172">
        <f t="shared" si="1407"/>
        <v>-6</v>
      </c>
      <c r="I657" s="172">
        <f t="shared" si="1407"/>
        <v>9</v>
      </c>
      <c r="J657" s="172">
        <f t="shared" si="1407"/>
        <v>-2</v>
      </c>
      <c r="K657" s="172">
        <f t="shared" si="1407"/>
        <v>0</v>
      </c>
      <c r="L657" s="172">
        <f t="shared" si="1407"/>
        <v>8</v>
      </c>
      <c r="M657" s="172">
        <f t="shared" si="1407"/>
        <v>0</v>
      </c>
      <c r="N657" s="172">
        <f t="shared" si="1407"/>
        <v>-34</v>
      </c>
      <c r="O657" s="172">
        <f t="shared" si="1407"/>
        <v>-3</v>
      </c>
      <c r="P657" s="172">
        <f t="shared" si="1407"/>
        <v>-3</v>
      </c>
      <c r="Q657" s="172">
        <f t="shared" si="1407"/>
        <v>6</v>
      </c>
      <c r="R657" s="172">
        <f t="shared" si="1407"/>
        <v>-16</v>
      </c>
      <c r="S657" s="172">
        <f t="shared" si="1407"/>
        <v>3</v>
      </c>
      <c r="T657" s="172">
        <f t="shared" si="1407"/>
        <v>0</v>
      </c>
      <c r="U657" s="172">
        <f t="shared" si="1407"/>
        <v>0</v>
      </c>
      <c r="V657" s="172">
        <f t="shared" si="1407"/>
        <v>0</v>
      </c>
      <c r="W657" s="172">
        <f t="shared" si="1407"/>
        <v>0</v>
      </c>
      <c r="X657" s="172">
        <f>X1573</f>
        <v>0</v>
      </c>
      <c r="Y657" s="172">
        <f>Y1573</f>
        <v>0</v>
      </c>
      <c r="Z657" s="172">
        <f>Z1573</f>
        <v>0</v>
      </c>
      <c r="AA657" s="172">
        <f>AA1573</f>
        <v>0</v>
      </c>
      <c r="AB657" s="172">
        <f>AB1573</f>
        <v>0</v>
      </c>
      <c r="AC657" s="172">
        <f t="shared" si="1407"/>
        <v>0</v>
      </c>
      <c r="AD657" s="172">
        <f t="shared" si="1407"/>
        <v>0</v>
      </c>
      <c r="AE657" s="172">
        <f t="shared" si="1407"/>
        <v>0</v>
      </c>
      <c r="AF657" s="172">
        <f t="shared" ref="AF657:AI657" si="1408">AF1573</f>
        <v>0</v>
      </c>
      <c r="AG657" s="172">
        <f t="shared" si="1408"/>
        <v>0</v>
      </c>
      <c r="AH657" s="172">
        <f t="shared" si="1408"/>
        <v>0</v>
      </c>
      <c r="AI657" s="172">
        <f t="shared" si="1408"/>
        <v>0</v>
      </c>
      <c r="AJ657" s="1755"/>
      <c r="AK657" s="1755"/>
      <c r="AL657" s="1755"/>
      <c r="AM657" s="1755"/>
      <c r="AN657" s="1755"/>
      <c r="AO657" s="1755"/>
      <c r="AP657" s="1755"/>
      <c r="AQ657" s="1755"/>
      <c r="AS657" s="10"/>
      <c r="AT657" s="376" t="s">
        <v>883</v>
      </c>
      <c r="AU657" s="41">
        <f>SUM(D657:G657)</f>
        <v>97</v>
      </c>
      <c r="AV657" s="41">
        <f>SUM(H657:K657)</f>
        <v>1</v>
      </c>
      <c r="AW657" s="41">
        <f>SUM(L657:O657)</f>
        <v>-29</v>
      </c>
      <c r="AX657" s="41">
        <f>SUM(P657:S657)</f>
        <v>-10</v>
      </c>
      <c r="AY657" s="259">
        <f>SUM(T657:W657)</f>
        <v>0</v>
      </c>
      <c r="AZ657" s="259">
        <f>SUM(X657:AA657)</f>
        <v>0</v>
      </c>
      <c r="BA657" s="259">
        <f>SUM(AB657:AE657)</f>
        <v>0</v>
      </c>
      <c r="BB657" s="259">
        <f>SUM(AF657:AI657)</f>
        <v>0</v>
      </c>
      <c r="BC657" s="259">
        <f>BC1573</f>
        <v>0</v>
      </c>
      <c r="BD657" s="259">
        <f>BD1573</f>
        <v>0</v>
      </c>
      <c r="BE657" s="259">
        <f>BE1573</f>
        <v>0</v>
      </c>
    </row>
    <row r="658" spans="1:74" x14ac:dyDescent="0.2">
      <c r="B658" s="316" t="s">
        <v>535</v>
      </c>
      <c r="C658" s="321"/>
      <c r="D658" s="184">
        <f t="shared" ref="D658:X658" si="1409">D656-D657</f>
        <v>-1539</v>
      </c>
      <c r="E658" s="184">
        <f t="shared" si="1409"/>
        <v>-926</v>
      </c>
      <c r="F658" s="184">
        <f t="shared" si="1409"/>
        <v>-1157</v>
      </c>
      <c r="G658" s="184">
        <f t="shared" si="1409"/>
        <v>-1776</v>
      </c>
      <c r="H658" s="184">
        <f t="shared" si="1409"/>
        <v>-929</v>
      </c>
      <c r="I658" s="184">
        <f t="shared" si="1409"/>
        <v>-729</v>
      </c>
      <c r="J658" s="184">
        <f t="shared" si="1409"/>
        <v>-207</v>
      </c>
      <c r="K658" s="184">
        <f t="shared" si="1409"/>
        <v>-648</v>
      </c>
      <c r="L658" s="184">
        <f t="shared" si="1409"/>
        <v>-467</v>
      </c>
      <c r="M658" s="184">
        <f t="shared" si="1409"/>
        <v>-3854</v>
      </c>
      <c r="N658" s="184">
        <f t="shared" si="1409"/>
        <v>-1291</v>
      </c>
      <c r="O658" s="184">
        <f t="shared" si="1409"/>
        <v>-3001</v>
      </c>
      <c r="P658" s="184">
        <f t="shared" si="1409"/>
        <v>248</v>
      </c>
      <c r="Q658" s="184">
        <f t="shared" si="1409"/>
        <v>532</v>
      </c>
      <c r="R658" s="184">
        <f t="shared" si="1409"/>
        <v>353</v>
      </c>
      <c r="S658" s="184">
        <f t="shared" si="1409"/>
        <v>939</v>
      </c>
      <c r="T658" s="184">
        <f t="shared" si="1409"/>
        <v>445</v>
      </c>
      <c r="U658" s="184">
        <f t="shared" si="1409"/>
        <v>147</v>
      </c>
      <c r="V658" s="184">
        <f t="shared" si="1409"/>
        <v>-23</v>
      </c>
      <c r="W658" s="184">
        <f t="shared" si="1409"/>
        <v>-15</v>
      </c>
      <c r="X658" s="184">
        <f t="shared" si="1409"/>
        <v>109</v>
      </c>
      <c r="Y658" s="184">
        <f t="shared" ref="Y658:Z658" si="1410">Y656-Y657</f>
        <v>-25</v>
      </c>
      <c r="Z658" s="184">
        <f t="shared" si="1410"/>
        <v>-95</v>
      </c>
      <c r="AA658" s="184">
        <f t="shared" ref="AA658:AB658" si="1411">AA656-AA657</f>
        <v>3034</v>
      </c>
      <c r="AB658" s="184">
        <f t="shared" si="1411"/>
        <v>-74</v>
      </c>
      <c r="AC658" s="184">
        <f t="shared" ref="AC658:AE658" si="1412">AC652-AC653</f>
        <v>-171.55135061023185</v>
      </c>
      <c r="AD658" s="184">
        <f t="shared" si="1412"/>
        <v>-138.53428000368172</v>
      </c>
      <c r="AE658" s="184">
        <f t="shared" si="1412"/>
        <v>-137.93268296085199</v>
      </c>
      <c r="AF658" s="184">
        <f t="shared" ref="AF658:AI658" si="1413">AF652-AF653</f>
        <v>-151.46565656755899</v>
      </c>
      <c r="AG658" s="184">
        <f t="shared" si="1413"/>
        <v>-136.28006864466232</v>
      </c>
      <c r="AH658" s="184">
        <f t="shared" si="1413"/>
        <v>-129.41949216044048</v>
      </c>
      <c r="AI658" s="184">
        <f t="shared" si="1413"/>
        <v>-117.28916943200483</v>
      </c>
      <c r="AJ658" s="184"/>
      <c r="AK658" s="184"/>
      <c r="AL658" s="184"/>
      <c r="AM658" s="184"/>
      <c r="AN658" s="184"/>
      <c r="AO658" s="184"/>
      <c r="AP658" s="184"/>
      <c r="AQ658" s="184"/>
      <c r="AS658" s="316" t="s">
        <v>535</v>
      </c>
      <c r="AT658" s="321"/>
      <c r="AU658" s="184">
        <f t="shared" ref="AU658:BA658" si="1414">AU656-AU657</f>
        <v>-5398</v>
      </c>
      <c r="AV658" s="184">
        <f t="shared" si="1414"/>
        <v>-2513</v>
      </c>
      <c r="AW658" s="184">
        <f t="shared" si="1414"/>
        <v>-8613</v>
      </c>
      <c r="AX658" s="184">
        <f t="shared" si="1414"/>
        <v>2072</v>
      </c>
      <c r="AY658" s="184">
        <f t="shared" si="1414"/>
        <v>554</v>
      </c>
      <c r="AZ658" s="184">
        <f t="shared" si="1414"/>
        <v>3023</v>
      </c>
      <c r="BA658" s="184">
        <f t="shared" si="1414"/>
        <v>-522.01831357476556</v>
      </c>
      <c r="BB658" s="184">
        <f t="shared" ref="BB658" si="1415">BB656-BB657</f>
        <v>-534.45438680466668</v>
      </c>
      <c r="BC658" s="184">
        <f>BC652-BC653</f>
        <v>-444.24206325296632</v>
      </c>
      <c r="BD658" s="184">
        <f>BD652-BD653</f>
        <v>-370.14813104400787</v>
      </c>
      <c r="BE658" s="184">
        <f>BE652-BE653</f>
        <v>-304.44660947821262</v>
      </c>
    </row>
    <row r="659" spans="1:74" x14ac:dyDescent="0.2">
      <c r="B659" s="316"/>
      <c r="C659" s="321"/>
      <c r="D659" s="440"/>
      <c r="E659" s="440"/>
      <c r="F659" s="440"/>
      <c r="G659" s="440"/>
      <c r="H659" s="440"/>
      <c r="I659" s="440"/>
      <c r="J659" s="440"/>
      <c r="K659" s="440"/>
      <c r="L659" s="440"/>
      <c r="M659" s="440"/>
      <c r="N659" s="440"/>
      <c r="O659" s="440"/>
      <c r="P659" s="440"/>
      <c r="Q659" s="440"/>
      <c r="R659" s="440"/>
      <c r="S659" s="440"/>
      <c r="T659" s="440"/>
      <c r="U659" s="440"/>
      <c r="V659" s="440"/>
      <c r="W659" s="440"/>
      <c r="X659" s="440"/>
      <c r="Y659" s="440"/>
      <c r="Z659" s="440"/>
      <c r="AA659" s="440"/>
      <c r="AB659" s="440"/>
      <c r="AC659" s="15"/>
      <c r="AD659" s="15"/>
      <c r="AE659" s="15"/>
      <c r="AF659" s="15"/>
      <c r="AG659" s="15"/>
      <c r="AH659" s="15"/>
      <c r="AI659" s="15"/>
      <c r="AJ659" s="15"/>
      <c r="AK659" s="15"/>
      <c r="AL659" s="15"/>
      <c r="AM659" s="15"/>
      <c r="AN659" s="15"/>
      <c r="AO659" s="15"/>
      <c r="AP659" s="15"/>
      <c r="AQ659" s="15"/>
      <c r="AS659" s="316"/>
      <c r="AT659" s="321"/>
    </row>
    <row r="660" spans="1:74" x14ac:dyDescent="0.2">
      <c r="B660" s="340" t="s">
        <v>296</v>
      </c>
      <c r="C660" s="388"/>
      <c r="D660" s="525"/>
      <c r="E660" s="525"/>
      <c r="F660" s="525"/>
      <c r="G660" s="525"/>
      <c r="H660" s="583"/>
      <c r="I660" s="583"/>
      <c r="J660" s="583"/>
      <c r="K660" s="583"/>
      <c r="L660" s="583"/>
      <c r="M660" s="583"/>
      <c r="N660" s="583"/>
      <c r="O660" s="583"/>
      <c r="P660" s="583"/>
      <c r="Q660" s="583"/>
      <c r="R660" s="583"/>
      <c r="S660" s="583"/>
      <c r="T660" s="583"/>
      <c r="U660" s="583"/>
      <c r="V660" s="583"/>
      <c r="W660" s="583"/>
      <c r="X660" s="583"/>
      <c r="Y660" s="583"/>
      <c r="Z660" s="583"/>
      <c r="AA660" s="583"/>
      <c r="AB660" s="583"/>
      <c r="AC660" s="12"/>
      <c r="AD660" s="12"/>
      <c r="AE660" s="12"/>
      <c r="AF660" s="12"/>
      <c r="AG660" s="12"/>
      <c r="AH660" s="12"/>
      <c r="AI660" s="12"/>
      <c r="AJ660" s="12"/>
      <c r="AK660" s="12"/>
      <c r="AL660" s="12"/>
      <c r="AM660" s="12"/>
      <c r="AN660" s="12"/>
      <c r="AO660" s="12"/>
      <c r="AP660" s="12"/>
      <c r="AQ660" s="12"/>
      <c r="AS660" s="340" t="s">
        <v>296</v>
      </c>
      <c r="AT660" s="388"/>
      <c r="AU660" s="389"/>
      <c r="AV660" s="389"/>
      <c r="AW660" s="389"/>
      <c r="AX660" s="389"/>
      <c r="AY660" s="389"/>
      <c r="AZ660" s="389"/>
      <c r="BA660" s="389"/>
      <c r="BB660" s="389"/>
      <c r="BC660" s="389"/>
      <c r="BD660" s="389"/>
      <c r="BE660" s="389"/>
      <c r="BF660" s="390"/>
      <c r="BG660" s="390"/>
      <c r="BH660" s="390"/>
      <c r="BI660" s="390"/>
      <c r="BJ660" s="390"/>
      <c r="BK660" s="390"/>
      <c r="BL660" s="390"/>
      <c r="BS660" s="390"/>
      <c r="BT660" s="390"/>
      <c r="BU660" s="390"/>
      <c r="BV660" s="390"/>
    </row>
    <row r="661" spans="1:74" x14ac:dyDescent="0.2">
      <c r="B661" s="65" t="s">
        <v>559</v>
      </c>
      <c r="Y661" s="1215"/>
      <c r="Z661" s="1688"/>
      <c r="AA661" s="1742"/>
      <c r="AB661" s="1785"/>
      <c r="AS661" s="65" t="s">
        <v>559</v>
      </c>
      <c r="AT661" s="9"/>
    </row>
    <row r="662" spans="1:74" x14ac:dyDescent="0.2">
      <c r="B662" s="319"/>
      <c r="C662" s="319" t="s">
        <v>298</v>
      </c>
      <c r="D662" s="560">
        <v>385</v>
      </c>
      <c r="E662" s="560">
        <v>407</v>
      </c>
      <c r="F662" s="560">
        <v>434</v>
      </c>
      <c r="G662" s="560">
        <v>423</v>
      </c>
      <c r="H662" s="560">
        <v>457</v>
      </c>
      <c r="I662" s="560">
        <v>422</v>
      </c>
      <c r="J662" s="560">
        <v>437</v>
      </c>
      <c r="K662" s="560">
        <v>451</v>
      </c>
      <c r="L662" s="560">
        <v>464</v>
      </c>
      <c r="M662" s="560">
        <v>439</v>
      </c>
      <c r="N662" s="560">
        <v>419</v>
      </c>
      <c r="O662" s="560">
        <v>413</v>
      </c>
      <c r="P662" s="560">
        <v>343</v>
      </c>
      <c r="Q662" s="560">
        <v>301</v>
      </c>
      <c r="R662" s="560">
        <v>277</v>
      </c>
      <c r="S662" s="560">
        <v>246</v>
      </c>
      <c r="T662" s="560">
        <v>258</v>
      </c>
      <c r="U662" s="560">
        <v>178</v>
      </c>
      <c r="V662" s="560">
        <v>150</v>
      </c>
      <c r="W662" s="560">
        <v>114</v>
      </c>
      <c r="X662" s="560">
        <v>103</v>
      </c>
      <c r="Y662" s="560">
        <v>60</v>
      </c>
      <c r="Z662" s="560">
        <v>77</v>
      </c>
      <c r="AA662" s="560">
        <v>78</v>
      </c>
      <c r="AB662" s="560">
        <v>88</v>
      </c>
      <c r="AC662" s="144" t="s">
        <v>226</v>
      </c>
      <c r="AD662" s="144" t="s">
        <v>226</v>
      </c>
      <c r="AE662" s="144" t="s">
        <v>226</v>
      </c>
      <c r="AF662" s="144" t="s">
        <v>226</v>
      </c>
      <c r="AG662" s="144" t="s">
        <v>226</v>
      </c>
      <c r="AH662" s="144" t="s">
        <v>226</v>
      </c>
      <c r="AI662" s="144" t="s">
        <v>226</v>
      </c>
      <c r="AJ662" s="144"/>
      <c r="AK662" s="144"/>
      <c r="AL662" s="144"/>
      <c r="AM662" s="144"/>
      <c r="AN662" s="144"/>
      <c r="AO662" s="144"/>
      <c r="AP662" s="144"/>
      <c r="AQ662" s="144"/>
      <c r="AS662" s="319"/>
      <c r="AT662" s="319" t="s">
        <v>298</v>
      </c>
      <c r="AU662" s="232">
        <f>SUM(D662:G662)</f>
        <v>1649</v>
      </c>
      <c r="AV662" s="232">
        <f>SUM(H662:K662)</f>
        <v>1767</v>
      </c>
      <c r="AW662" s="232">
        <f>SUM(L662:O662)</f>
        <v>1735</v>
      </c>
      <c r="AX662" s="232">
        <f>SUM(P662:S662)</f>
        <v>1167</v>
      </c>
      <c r="AY662" s="232">
        <f>SUM(T662:W662)</f>
        <v>700</v>
      </c>
      <c r="AZ662" s="252" t="s">
        <v>226</v>
      </c>
      <c r="BA662" s="252" t="s">
        <v>226</v>
      </c>
      <c r="BB662" s="252" t="s">
        <v>226</v>
      </c>
      <c r="BC662" s="252" t="s">
        <v>226</v>
      </c>
      <c r="BD662" s="252" t="s">
        <v>226</v>
      </c>
      <c r="BE662" s="252" t="s">
        <v>226</v>
      </c>
    </row>
    <row r="663" spans="1:74" x14ac:dyDescent="0.2">
      <c r="A663" s="830"/>
      <c r="B663" s="580"/>
      <c r="C663" s="580" t="s">
        <v>16</v>
      </c>
      <c r="D663" s="584">
        <f t="shared" ref="D663:X663" si="1416">D664-D662</f>
        <v>283</v>
      </c>
      <c r="E663" s="584">
        <f t="shared" si="1416"/>
        <v>254</v>
      </c>
      <c r="F663" s="584">
        <f t="shared" si="1416"/>
        <v>267</v>
      </c>
      <c r="G663" s="584">
        <f t="shared" si="1416"/>
        <v>266</v>
      </c>
      <c r="H663" s="584">
        <f t="shared" si="1416"/>
        <v>300</v>
      </c>
      <c r="I663" s="584">
        <f t="shared" si="1416"/>
        <v>325</v>
      </c>
      <c r="J663" s="584">
        <f t="shared" si="1416"/>
        <v>342</v>
      </c>
      <c r="K663" s="584">
        <f t="shared" si="1416"/>
        <v>368</v>
      </c>
      <c r="L663" s="584">
        <f t="shared" si="1416"/>
        <v>398</v>
      </c>
      <c r="M663" s="584">
        <f t="shared" si="1416"/>
        <v>420</v>
      </c>
      <c r="N663" s="584">
        <f t="shared" si="1416"/>
        <v>441</v>
      </c>
      <c r="O663" s="584">
        <f t="shared" si="1416"/>
        <v>447</v>
      </c>
      <c r="P663" s="584">
        <f t="shared" si="1416"/>
        <v>485</v>
      </c>
      <c r="Q663" s="584">
        <f t="shared" si="1416"/>
        <v>485</v>
      </c>
      <c r="R663" s="584">
        <f t="shared" si="1416"/>
        <v>492</v>
      </c>
      <c r="S663" s="584">
        <f t="shared" si="1416"/>
        <v>283</v>
      </c>
      <c r="T663" s="584">
        <f t="shared" si="1416"/>
        <v>81</v>
      </c>
      <c r="U663" s="584">
        <f t="shared" si="1416"/>
        <v>118</v>
      </c>
      <c r="V663" s="584">
        <f t="shared" si="1416"/>
        <v>81</v>
      </c>
      <c r="W663" s="584">
        <f t="shared" si="1416"/>
        <v>84</v>
      </c>
      <c r="X663" s="584">
        <f t="shared" si="1416"/>
        <v>101</v>
      </c>
      <c r="Y663" s="584">
        <f t="shared" ref="Y663:Z663" si="1417">Y664-Y662</f>
        <v>50</v>
      </c>
      <c r="Z663" s="584">
        <f t="shared" si="1417"/>
        <v>91</v>
      </c>
      <c r="AA663" s="584">
        <f t="shared" ref="AA663:AB663" si="1418">AA664-AA662</f>
        <v>96</v>
      </c>
      <c r="AB663" s="584">
        <f t="shared" si="1418"/>
        <v>81</v>
      </c>
      <c r="AC663" s="197" t="s">
        <v>226</v>
      </c>
      <c r="AD663" s="197" t="s">
        <v>226</v>
      </c>
      <c r="AE663" s="197" t="s">
        <v>226</v>
      </c>
      <c r="AF663" s="197" t="s">
        <v>226</v>
      </c>
      <c r="AG663" s="197" t="s">
        <v>226</v>
      </c>
      <c r="AH663" s="197" t="s">
        <v>226</v>
      </c>
      <c r="AI663" s="197" t="s">
        <v>226</v>
      </c>
      <c r="AJ663" s="1756"/>
      <c r="AK663" s="1756"/>
      <c r="AL663" s="1756"/>
      <c r="AM663" s="1756"/>
      <c r="AN663" s="1756"/>
      <c r="AO663" s="1756"/>
      <c r="AP663" s="1756"/>
      <c r="AQ663" s="1756"/>
      <c r="AS663" s="580"/>
      <c r="AT663" s="580" t="s">
        <v>16</v>
      </c>
      <c r="AU663" s="41">
        <f>SUM(D663:G663)</f>
        <v>1070</v>
      </c>
      <c r="AV663" s="41">
        <f>SUM(H663:K663)</f>
        <v>1335</v>
      </c>
      <c r="AW663" s="41">
        <f>SUM(L663:O663)</f>
        <v>1706</v>
      </c>
      <c r="AX663" s="41">
        <f>SUM(P663:S663)</f>
        <v>1745</v>
      </c>
      <c r="AY663" s="41">
        <f>SUM(T663:W663)</f>
        <v>364</v>
      </c>
      <c r="AZ663" s="259" t="s">
        <v>226</v>
      </c>
      <c r="BA663" s="259" t="s">
        <v>226</v>
      </c>
      <c r="BB663" s="259" t="s">
        <v>226</v>
      </c>
      <c r="BC663" s="259" t="s">
        <v>226</v>
      </c>
      <c r="BD663" s="259" t="s">
        <v>226</v>
      </c>
      <c r="BE663" s="259" t="s">
        <v>226</v>
      </c>
    </row>
    <row r="664" spans="1:74" x14ac:dyDescent="0.2">
      <c r="B664" s="319" t="s">
        <v>297</v>
      </c>
      <c r="C664" s="15"/>
      <c r="D664" s="560">
        <v>668</v>
      </c>
      <c r="E664" s="560">
        <v>661</v>
      </c>
      <c r="F664" s="560">
        <v>701</v>
      </c>
      <c r="G664" s="560">
        <v>689</v>
      </c>
      <c r="H664" s="560">
        <v>757</v>
      </c>
      <c r="I664" s="560">
        <v>747</v>
      </c>
      <c r="J664" s="560">
        <v>779</v>
      </c>
      <c r="K664" s="560">
        <v>819</v>
      </c>
      <c r="L664" s="560">
        <v>862</v>
      </c>
      <c r="M664" s="560">
        <v>859</v>
      </c>
      <c r="N664" s="560">
        <v>860</v>
      </c>
      <c r="O664" s="560">
        <v>860</v>
      </c>
      <c r="P664" s="560">
        <v>828</v>
      </c>
      <c r="Q664" s="560">
        <v>786</v>
      </c>
      <c r="R664" s="560">
        <v>769</v>
      </c>
      <c r="S664" s="560">
        <v>529</v>
      </c>
      <c r="T664" s="560">
        <v>339</v>
      </c>
      <c r="U664" s="560">
        <v>296</v>
      </c>
      <c r="V664" s="560">
        <v>231</v>
      </c>
      <c r="W664" s="560">
        <v>198</v>
      </c>
      <c r="X664" s="560">
        <v>204</v>
      </c>
      <c r="Y664" s="560">
        <v>110</v>
      </c>
      <c r="Z664" s="560">
        <v>168</v>
      </c>
      <c r="AA664" s="560">
        <v>174</v>
      </c>
      <c r="AB664" s="560">
        <v>169</v>
      </c>
      <c r="AC664" s="144" t="s">
        <v>226</v>
      </c>
      <c r="AD664" s="144" t="s">
        <v>226</v>
      </c>
      <c r="AE664" s="144" t="s">
        <v>226</v>
      </c>
      <c r="AF664" s="144" t="s">
        <v>226</v>
      </c>
      <c r="AG664" s="144" t="s">
        <v>226</v>
      </c>
      <c r="AH664" s="144" t="s">
        <v>226</v>
      </c>
      <c r="AI664" s="144" t="s">
        <v>226</v>
      </c>
      <c r="AJ664" s="144"/>
      <c r="AK664" s="144"/>
      <c r="AL664" s="144"/>
      <c r="AM664" s="144"/>
      <c r="AN664" s="144"/>
      <c r="AO664" s="144"/>
      <c r="AP664" s="144"/>
      <c r="AQ664" s="144"/>
      <c r="AS664" s="319" t="s">
        <v>297</v>
      </c>
      <c r="AT664" s="15"/>
      <c r="AU664" s="33">
        <f>SUM(AU662:AU663)</f>
        <v>2719</v>
      </c>
      <c r="AV664" s="33">
        <f>SUM(AV662:AV663)</f>
        <v>3102</v>
      </c>
      <c r="AW664" s="33">
        <f>SUM(AW662:AW663)</f>
        <v>3441</v>
      </c>
      <c r="AX664" s="33">
        <f>SUM(AX662:AX663)</f>
        <v>2912</v>
      </c>
      <c r="AY664" s="33">
        <f>SUM(AY662:AY663)</f>
        <v>1064</v>
      </c>
      <c r="AZ664" s="252" t="s">
        <v>226</v>
      </c>
      <c r="BA664" s="252" t="s">
        <v>226</v>
      </c>
      <c r="BB664" s="252" t="s">
        <v>226</v>
      </c>
      <c r="BC664" s="252" t="s">
        <v>226</v>
      </c>
      <c r="BD664" s="252" t="s">
        <v>226</v>
      </c>
      <c r="BE664" s="252" t="s">
        <v>226</v>
      </c>
    </row>
    <row r="665" spans="1:74" x14ac:dyDescent="0.2">
      <c r="B665" s="364" t="s">
        <v>301</v>
      </c>
      <c r="C665" s="70"/>
      <c r="D665" s="560">
        <v>865</v>
      </c>
      <c r="E665" s="560">
        <v>710</v>
      </c>
      <c r="F665" s="560">
        <v>743</v>
      </c>
      <c r="G665" s="560">
        <v>688</v>
      </c>
      <c r="H665" s="560">
        <v>664</v>
      </c>
      <c r="I665" s="560">
        <v>693</v>
      </c>
      <c r="J665" s="560">
        <v>603</v>
      </c>
      <c r="K665" s="560">
        <v>603</v>
      </c>
      <c r="L665" s="560">
        <v>537</v>
      </c>
      <c r="M665" s="560">
        <v>594</v>
      </c>
      <c r="N665" s="560">
        <v>494</v>
      </c>
      <c r="O665" s="560">
        <v>414</v>
      </c>
      <c r="P665" s="560">
        <v>435</v>
      </c>
      <c r="Q665" s="560">
        <v>416</v>
      </c>
      <c r="R665" s="560">
        <v>389</v>
      </c>
      <c r="S665" s="560">
        <v>336</v>
      </c>
      <c r="T665" s="560">
        <v>269</v>
      </c>
      <c r="U665" s="560">
        <v>259</v>
      </c>
      <c r="V665" s="560">
        <v>246</v>
      </c>
      <c r="W665" s="560">
        <v>94</v>
      </c>
      <c r="X665" s="560">
        <v>76</v>
      </c>
      <c r="Y665" s="560">
        <v>80</v>
      </c>
      <c r="Z665" s="560">
        <v>63</v>
      </c>
      <c r="AA665" s="560">
        <v>74</v>
      </c>
      <c r="AB665" s="560">
        <v>88</v>
      </c>
      <c r="AC665" s="144" t="s">
        <v>226</v>
      </c>
      <c r="AD665" s="144" t="s">
        <v>226</v>
      </c>
      <c r="AE665" s="144" t="s">
        <v>226</v>
      </c>
      <c r="AF665" s="144" t="s">
        <v>226</v>
      </c>
      <c r="AG665" s="144" t="s">
        <v>226</v>
      </c>
      <c r="AH665" s="144" t="s">
        <v>226</v>
      </c>
      <c r="AI665" s="144" t="s">
        <v>226</v>
      </c>
      <c r="AJ665" s="144"/>
      <c r="AK665" s="144"/>
      <c r="AL665" s="144"/>
      <c r="AM665" s="144"/>
      <c r="AN665" s="144"/>
      <c r="AO665" s="144"/>
      <c r="AP665" s="144"/>
      <c r="AQ665" s="144"/>
      <c r="AS665" s="364" t="s">
        <v>301</v>
      </c>
      <c r="AU665" s="232">
        <f>SUM(D665:G665)</f>
        <v>3006</v>
      </c>
      <c r="AV665" s="232">
        <f>SUM(H665:K665)</f>
        <v>2563</v>
      </c>
      <c r="AW665" s="232">
        <f>SUM(L665:O665)</f>
        <v>2039</v>
      </c>
      <c r="AX665" s="232">
        <f>SUM(P665:S665)</f>
        <v>1576</v>
      </c>
      <c r="AY665" s="232">
        <f>SUM(T665:W665)</f>
        <v>868</v>
      </c>
      <c r="AZ665" s="252" t="s">
        <v>226</v>
      </c>
      <c r="BA665" s="252" t="s">
        <v>226</v>
      </c>
      <c r="BB665" s="252" t="s">
        <v>226</v>
      </c>
      <c r="BC665" s="252" t="s">
        <v>226</v>
      </c>
      <c r="BD665" s="252" t="s">
        <v>226</v>
      </c>
      <c r="BE665" s="252" t="s">
        <v>226</v>
      </c>
    </row>
    <row r="666" spans="1:74" x14ac:dyDescent="0.2">
      <c r="A666" s="830"/>
      <c r="B666" s="585" t="s">
        <v>16</v>
      </c>
      <c r="C666" s="28"/>
      <c r="D666" s="76">
        <f t="shared" ref="D666:X666" si="1419">D667-D664-D665</f>
        <v>-259</v>
      </c>
      <c r="E666" s="76">
        <f t="shared" si="1419"/>
        <v>-303</v>
      </c>
      <c r="F666" s="76">
        <f t="shared" si="1419"/>
        <v>-347</v>
      </c>
      <c r="G666" s="76">
        <f t="shared" si="1419"/>
        <v>-345</v>
      </c>
      <c r="H666" s="76">
        <f t="shared" si="1419"/>
        <v>-218</v>
      </c>
      <c r="I666" s="76">
        <f t="shared" si="1419"/>
        <v>-210</v>
      </c>
      <c r="J666" s="76">
        <f t="shared" si="1419"/>
        <v>-240</v>
      </c>
      <c r="K666" s="76">
        <f t="shared" si="1419"/>
        <v>-129</v>
      </c>
      <c r="L666" s="76">
        <f t="shared" si="1419"/>
        <v>-21</v>
      </c>
      <c r="M666" s="76">
        <f t="shared" si="1419"/>
        <v>1</v>
      </c>
      <c r="N666" s="76">
        <f t="shared" si="1419"/>
        <v>-50</v>
      </c>
      <c r="O666" s="76">
        <f t="shared" si="1419"/>
        <v>-76</v>
      </c>
      <c r="P666" s="76">
        <f t="shared" si="1419"/>
        <v>148</v>
      </c>
      <c r="Q666" s="76">
        <f t="shared" si="1419"/>
        <v>210</v>
      </c>
      <c r="R666" s="76">
        <f t="shared" si="1419"/>
        <v>170</v>
      </c>
      <c r="S666" s="76">
        <f t="shared" si="1419"/>
        <v>194</v>
      </c>
      <c r="T666" s="76">
        <f t="shared" si="1419"/>
        <v>282</v>
      </c>
      <c r="U666" s="76">
        <f t="shared" si="1419"/>
        <v>265</v>
      </c>
      <c r="V666" s="76">
        <f t="shared" si="1419"/>
        <v>229</v>
      </c>
      <c r="W666" s="76">
        <f t="shared" si="1419"/>
        <v>277</v>
      </c>
      <c r="X666" s="76">
        <f t="shared" si="1419"/>
        <v>278</v>
      </c>
      <c r="Y666" s="76">
        <f t="shared" ref="Y666" si="1420">Y667-Y664-Y665</f>
        <v>307</v>
      </c>
      <c r="Z666" s="76">
        <f t="shared" ref="Z666:AA666" si="1421">Z667-Z664-Z665</f>
        <v>285</v>
      </c>
      <c r="AA666" s="76">
        <f t="shared" si="1421"/>
        <v>181</v>
      </c>
      <c r="AB666" s="76">
        <f t="shared" ref="AB666" si="1422">AB667-AB664-AB665</f>
        <v>281</v>
      </c>
      <c r="AC666" s="197" t="s">
        <v>226</v>
      </c>
      <c r="AD666" s="197" t="s">
        <v>226</v>
      </c>
      <c r="AE666" s="197" t="s">
        <v>226</v>
      </c>
      <c r="AF666" s="197" t="s">
        <v>226</v>
      </c>
      <c r="AG666" s="197" t="s">
        <v>226</v>
      </c>
      <c r="AH666" s="197" t="s">
        <v>226</v>
      </c>
      <c r="AI666" s="197" t="s">
        <v>226</v>
      </c>
      <c r="AJ666" s="1756"/>
      <c r="AK666" s="1756"/>
      <c r="AL666" s="1756"/>
      <c r="AM666" s="1756"/>
      <c r="AN666" s="1756"/>
      <c r="AO666" s="1756"/>
      <c r="AP666" s="1756"/>
      <c r="AQ666" s="1756"/>
      <c r="AS666" s="585" t="s">
        <v>16</v>
      </c>
      <c r="AT666" s="28"/>
      <c r="AU666" s="41">
        <f>SUM(D666:G666)</f>
        <v>-1254</v>
      </c>
      <c r="AV666" s="41">
        <f>SUM(H666:K666)</f>
        <v>-797</v>
      </c>
      <c r="AW666" s="41">
        <f>SUM(L666:O666)</f>
        <v>-146</v>
      </c>
      <c r="AX666" s="41">
        <f>SUM(P666:S666)</f>
        <v>722</v>
      </c>
      <c r="AY666" s="41">
        <f>SUM(T666:W666)</f>
        <v>1053</v>
      </c>
      <c r="AZ666" s="259" t="s">
        <v>226</v>
      </c>
      <c r="BA666" s="259" t="s">
        <v>226</v>
      </c>
      <c r="BB666" s="259" t="s">
        <v>226</v>
      </c>
      <c r="BC666" s="259" t="s">
        <v>226</v>
      </c>
      <c r="BD666" s="259" t="s">
        <v>226</v>
      </c>
      <c r="BE666" s="259" t="s">
        <v>226</v>
      </c>
    </row>
    <row r="667" spans="1:74" x14ac:dyDescent="0.2">
      <c r="B667" s="319" t="s">
        <v>658</v>
      </c>
      <c r="D667" s="586">
        <f t="shared" ref="D667:X667" si="1423">D638</f>
        <v>1274</v>
      </c>
      <c r="E667" s="586">
        <f t="shared" si="1423"/>
        <v>1068</v>
      </c>
      <c r="F667" s="586">
        <f t="shared" si="1423"/>
        <v>1097</v>
      </c>
      <c r="G667" s="586">
        <f t="shared" si="1423"/>
        <v>1032</v>
      </c>
      <c r="H667" s="586">
        <f t="shared" si="1423"/>
        <v>1203</v>
      </c>
      <c r="I667" s="586">
        <f t="shared" si="1423"/>
        <v>1230</v>
      </c>
      <c r="J667" s="586">
        <f t="shared" si="1423"/>
        <v>1142</v>
      </c>
      <c r="K667" s="586">
        <f t="shared" si="1423"/>
        <v>1293</v>
      </c>
      <c r="L667" s="586">
        <f t="shared" si="1423"/>
        <v>1378</v>
      </c>
      <c r="M667" s="586">
        <f t="shared" si="1423"/>
        <v>1454</v>
      </c>
      <c r="N667" s="586">
        <f t="shared" si="1423"/>
        <v>1304</v>
      </c>
      <c r="O667" s="586">
        <f t="shared" si="1423"/>
        <v>1198</v>
      </c>
      <c r="P667" s="586">
        <f t="shared" si="1423"/>
        <v>1411</v>
      </c>
      <c r="Q667" s="586">
        <f t="shared" si="1423"/>
        <v>1412</v>
      </c>
      <c r="R667" s="586">
        <f t="shared" si="1423"/>
        <v>1328</v>
      </c>
      <c r="S667" s="586">
        <f t="shared" si="1423"/>
        <v>1059</v>
      </c>
      <c r="T667" s="586">
        <f t="shared" si="1423"/>
        <v>890</v>
      </c>
      <c r="U667" s="586">
        <f t="shared" si="1423"/>
        <v>820</v>
      </c>
      <c r="V667" s="586">
        <f t="shared" si="1423"/>
        <v>706</v>
      </c>
      <c r="W667" s="586">
        <f t="shared" si="1423"/>
        <v>569</v>
      </c>
      <c r="X667" s="586">
        <f t="shared" si="1423"/>
        <v>558</v>
      </c>
      <c r="Y667" s="586">
        <f t="shared" ref="Y667" si="1424">Y638</f>
        <v>497</v>
      </c>
      <c r="Z667" s="586">
        <f t="shared" ref="Z667:AA667" si="1425">Z638</f>
        <v>516</v>
      </c>
      <c r="AA667" s="586">
        <f t="shared" si="1425"/>
        <v>429</v>
      </c>
      <c r="AB667" s="586">
        <f t="shared" ref="AB667" si="1426">AB638</f>
        <v>538</v>
      </c>
      <c r="AC667" s="50">
        <f t="shared" ref="AC667:AE667" si="1427">AC676*(AC698*1000)/AC1</f>
        <v>378.75945205479445</v>
      </c>
      <c r="AD667" s="50">
        <f t="shared" si="1427"/>
        <v>362.38724383561646</v>
      </c>
      <c r="AE667" s="50">
        <f t="shared" si="1427"/>
        <v>343.01839561643834</v>
      </c>
      <c r="AF667" s="50">
        <f t="shared" ref="AF667:AI667" si="1428">AF676*(AF698*1000)/AF1</f>
        <v>313.88765819178082</v>
      </c>
      <c r="AG667" s="50">
        <f t="shared" si="1428"/>
        <v>296.9779822224657</v>
      </c>
      <c r="AH667" s="50">
        <f t="shared" si="1428"/>
        <v>283.62921743773285</v>
      </c>
      <c r="AI667" s="50">
        <f t="shared" si="1428"/>
        <v>268.07799797623289</v>
      </c>
      <c r="AJ667" s="50"/>
      <c r="AK667" s="50"/>
      <c r="AL667" s="50"/>
      <c r="AM667" s="50"/>
      <c r="AN667" s="50"/>
      <c r="AO667" s="50"/>
      <c r="AP667" s="50"/>
      <c r="AQ667" s="50"/>
      <c r="AS667" s="319" t="s">
        <v>299</v>
      </c>
      <c r="AT667" s="9"/>
      <c r="AU667" s="232">
        <f>SUM(D667:G667)</f>
        <v>4471</v>
      </c>
      <c r="AV667" s="232">
        <f>SUM(H667:K667)</f>
        <v>4868</v>
      </c>
      <c r="AW667" s="232">
        <f>SUM(L667:O667)</f>
        <v>5334</v>
      </c>
      <c r="AX667" s="232">
        <f>SUM(P667:S667)</f>
        <v>5210</v>
      </c>
      <c r="AY667" s="232">
        <f>SUM(T667:W667)</f>
        <v>2985</v>
      </c>
      <c r="AZ667" s="232">
        <f>SUM(X667:AA667)</f>
        <v>2000</v>
      </c>
      <c r="BA667" s="232">
        <f>SUM(AB667:AE667)</f>
        <v>1622.1650915068492</v>
      </c>
      <c r="BB667" s="232">
        <f>SUM(AF667:AI667)</f>
        <v>1162.5728558282121</v>
      </c>
      <c r="BC667" s="50">
        <f>BC676*(BC698*1000)/BC1</f>
        <v>917.977158421068</v>
      </c>
      <c r="BD667" s="50">
        <f>BD676*(BD698*1000)/BD1</f>
        <v>726.80770160797692</v>
      </c>
      <c r="BE667" s="50">
        <f>BE676*(BE698*1000)/BE1</f>
        <v>576.90174620905486</v>
      </c>
    </row>
    <row r="668" spans="1:74" x14ac:dyDescent="0.2">
      <c r="B668" s="319"/>
      <c r="D668" s="586"/>
      <c r="E668" s="586"/>
      <c r="F668" s="586"/>
      <c r="G668" s="586"/>
      <c r="H668" s="586"/>
      <c r="I668" s="586"/>
      <c r="J668" s="586"/>
      <c r="K668" s="586"/>
      <c r="L668" s="586"/>
      <c r="M668" s="586"/>
      <c r="N668" s="586"/>
      <c r="O668" s="586"/>
      <c r="P668" s="586"/>
      <c r="Q668" s="586"/>
      <c r="R668" s="586"/>
      <c r="S668" s="586"/>
      <c r="T668" s="586"/>
      <c r="U668" s="586"/>
      <c r="V668" s="586"/>
      <c r="W668" s="586"/>
      <c r="X668" s="586"/>
      <c r="Y668" s="586"/>
      <c r="Z668" s="586"/>
      <c r="AA668" s="586"/>
      <c r="AB668" s="586"/>
      <c r="AS668" s="319"/>
      <c r="AT668" s="9"/>
      <c r="BC668" s="9"/>
      <c r="BD668" s="1704"/>
      <c r="BE668" s="1702"/>
    </row>
    <row r="669" spans="1:74" x14ac:dyDescent="0.2">
      <c r="B669" s="326" t="s">
        <v>659</v>
      </c>
      <c r="C669" s="388"/>
      <c r="D669" s="409"/>
      <c r="E669" s="409"/>
      <c r="F669" s="409"/>
      <c r="G669" s="409"/>
      <c r="H669" s="388"/>
      <c r="I669" s="410"/>
      <c r="J669" s="410"/>
      <c r="K669" s="367"/>
      <c r="L669" s="388"/>
      <c r="M669" s="410"/>
      <c r="N669" s="410"/>
      <c r="O669" s="367"/>
      <c r="P669" s="388"/>
      <c r="Q669" s="410"/>
      <c r="R669" s="410"/>
      <c r="S669" s="367"/>
      <c r="T669" s="388"/>
      <c r="U669" s="410"/>
      <c r="V669" s="410"/>
      <c r="W669" s="367"/>
      <c r="X669" s="367"/>
      <c r="Y669" s="367"/>
      <c r="Z669" s="367"/>
      <c r="AA669" s="367"/>
      <c r="AB669" s="367"/>
      <c r="AC669" s="12"/>
      <c r="AD669" s="12"/>
      <c r="AE669" s="12"/>
      <c r="AF669" s="12"/>
      <c r="AG669" s="12"/>
      <c r="AH669" s="12"/>
      <c r="AI669" s="12"/>
      <c r="AJ669" s="12"/>
      <c r="AK669" s="12"/>
      <c r="AL669" s="12"/>
      <c r="AM669" s="12"/>
      <c r="AN669" s="12"/>
      <c r="AO669" s="12"/>
      <c r="AP669" s="12"/>
      <c r="AQ669" s="12"/>
      <c r="AS669" s="326" t="s">
        <v>302</v>
      </c>
      <c r="AT669" s="388"/>
      <c r="AU669" s="389"/>
      <c r="AV669" s="389"/>
      <c r="AW669" s="389"/>
      <c r="AX669" s="389"/>
      <c r="AY669" s="389"/>
      <c r="AZ669" s="389"/>
      <c r="BA669" s="389"/>
      <c r="BB669" s="389"/>
      <c r="BC669" s="12"/>
      <c r="BD669" s="12"/>
      <c r="BE669" s="12"/>
      <c r="BF669" s="390"/>
      <c r="BG669" s="390"/>
      <c r="BH669" s="390"/>
      <c r="BI669" s="390"/>
      <c r="BJ669" s="390"/>
      <c r="BK669" s="390"/>
      <c r="BL669" s="390"/>
      <c r="BS669" s="390"/>
      <c r="BT669" s="390"/>
      <c r="BU669" s="390"/>
      <c r="BV669" s="390"/>
    </row>
    <row r="670" spans="1:74" x14ac:dyDescent="0.2">
      <c r="B670" s="65" t="s">
        <v>559</v>
      </c>
      <c r="Y670" s="1215"/>
      <c r="Z670" s="1688"/>
      <c r="AA670" s="1742"/>
      <c r="AB670" s="1785"/>
      <c r="AS670" s="65" t="s">
        <v>559</v>
      </c>
      <c r="AT670" s="9"/>
      <c r="BC670" s="9"/>
      <c r="BD670" s="1704"/>
      <c r="BE670" s="1702"/>
    </row>
    <row r="671" spans="1:74" x14ac:dyDescent="0.2">
      <c r="B671" s="319"/>
      <c r="C671" s="319" t="s">
        <v>298</v>
      </c>
      <c r="D671" s="587">
        <f t="shared" ref="D671:X671" si="1429">D662/(D690*1000)*D$1</f>
        <v>1.4471603163191949E-2</v>
      </c>
      <c r="E671" s="587">
        <f t="shared" si="1429"/>
        <v>1.6048480930833869E-2</v>
      </c>
      <c r="F671" s="587">
        <f t="shared" si="1429"/>
        <v>1.7440052700922266E-2</v>
      </c>
      <c r="G671" s="587">
        <f t="shared" si="1429"/>
        <v>1.7902173913043478E-2</v>
      </c>
      <c r="H671" s="587">
        <f t="shared" si="1429"/>
        <v>2.0366910866910864E-2</v>
      </c>
      <c r="I671" s="587">
        <f t="shared" si="1429"/>
        <v>1.9913380736910149E-2</v>
      </c>
      <c r="J671" s="587">
        <f t="shared" si="1429"/>
        <v>2.1946202531645566E-2</v>
      </c>
      <c r="K671" s="587">
        <f t="shared" si="1429"/>
        <v>2.3857246376811591E-2</v>
      </c>
      <c r="L671" s="587">
        <f t="shared" si="1429"/>
        <v>2.6135802469135803E-2</v>
      </c>
      <c r="M671" s="587">
        <f t="shared" si="1429"/>
        <v>2.5519190953973564E-2</v>
      </c>
      <c r="N671" s="587">
        <f t="shared" si="1429"/>
        <v>2.5574414715719061E-2</v>
      </c>
      <c r="O671" s="587">
        <f t="shared" si="1429"/>
        <v>2.6427945301542771E-2</v>
      </c>
      <c r="P671" s="587">
        <f t="shared" si="1429"/>
        <v>2.440448343079922E-2</v>
      </c>
      <c r="Q671" s="587">
        <f t="shared" si="1429"/>
        <v>2.3217455621301775E-2</v>
      </c>
      <c r="R671" s="587">
        <f t="shared" si="1429"/>
        <v>2.1979347826086952E-2</v>
      </c>
      <c r="S671" s="587">
        <f t="shared" si="1429"/>
        <v>2.0765494912118408E-2</v>
      </c>
      <c r="T671" s="587">
        <f t="shared" si="1429"/>
        <v>2.8274395903823694E-2</v>
      </c>
      <c r="U671" s="587">
        <f t="shared" si="1429"/>
        <v>2.0751075011944578E-2</v>
      </c>
      <c r="V671" s="587">
        <f t="shared" si="1429"/>
        <v>1.8532271131514986E-2</v>
      </c>
      <c r="W671" s="587">
        <f t="shared" si="1429"/>
        <v>1.5373618275607959E-2</v>
      </c>
      <c r="X671" s="587">
        <f t="shared" si="1429"/>
        <v>1.5471193415637859E-2</v>
      </c>
      <c r="Y671" s="587">
        <f t="shared" ref="Y671" si="1430">Y662/(Y690*1000)*Y$1</f>
        <v>9.9036765703432363E-3</v>
      </c>
      <c r="Z671" s="587">
        <f t="shared" ref="Z671" si="1431">Z662/(Z690*1000)*Z$1</f>
        <v>1.3823037576234506E-2</v>
      </c>
      <c r="AA671" s="587">
        <f t="shared" ref="AA671" si="1432">AA662/(AA690*1000)*AA$1</f>
        <v>1.509544008483563E-2</v>
      </c>
      <c r="AB671" s="587">
        <f t="shared" ref="AB671" si="1433">AB662/(AB690*1000)*AB$1</f>
        <v>1.8491652274035694E-2</v>
      </c>
      <c r="AC671" s="905" t="s">
        <v>226</v>
      </c>
      <c r="AD671" s="905" t="s">
        <v>226</v>
      </c>
      <c r="AE671" s="905" t="s">
        <v>226</v>
      </c>
      <c r="AF671" s="905" t="s">
        <v>226</v>
      </c>
      <c r="AG671" s="905" t="s">
        <v>226</v>
      </c>
      <c r="AH671" s="905" t="s">
        <v>226</v>
      </c>
      <c r="AI671" s="905" t="s">
        <v>226</v>
      </c>
      <c r="AJ671" s="905"/>
      <c r="AK671" s="905"/>
      <c r="AL671" s="905"/>
      <c r="AM671" s="905"/>
      <c r="AN671" s="905"/>
      <c r="AO671" s="905"/>
      <c r="AP671" s="905"/>
      <c r="AQ671" s="905"/>
      <c r="AS671" s="319"/>
      <c r="AT671" s="319" t="s">
        <v>298</v>
      </c>
      <c r="AU671" s="587">
        <f t="shared" ref="AU671:AY673" si="1434">AU662/(AU690*1000)*AU$1</f>
        <v>1.6407960199004975E-2</v>
      </c>
      <c r="AV671" s="587">
        <f t="shared" si="1434"/>
        <v>2.1418181818181819E-2</v>
      </c>
      <c r="AW671" s="587">
        <f t="shared" si="1434"/>
        <v>2.5895522388059703E-2</v>
      </c>
      <c r="AX671" s="587">
        <f t="shared" si="1434"/>
        <v>2.2660194174757283E-2</v>
      </c>
      <c r="AY671" s="587">
        <f t="shared" si="1434"/>
        <v>2.1068472535741158E-2</v>
      </c>
      <c r="AZ671" s="905" t="s">
        <v>226</v>
      </c>
      <c r="BA671" s="905" t="s">
        <v>226</v>
      </c>
      <c r="BB671" s="905" t="s">
        <v>226</v>
      </c>
      <c r="BC671" s="905" t="s">
        <v>226</v>
      </c>
      <c r="BD671" s="905" t="s">
        <v>226</v>
      </c>
      <c r="BE671" s="905" t="s">
        <v>226</v>
      </c>
    </row>
    <row r="672" spans="1:74" x14ac:dyDescent="0.2">
      <c r="B672" s="580"/>
      <c r="C672" s="580" t="s">
        <v>16</v>
      </c>
      <c r="D672" s="589">
        <f t="shared" ref="D672:X672" si="1435">D663/(D691*1000)*D$1</f>
        <v>7.5881318681318685E-2</v>
      </c>
      <c r="E672" s="589">
        <f t="shared" si="1435"/>
        <v>6.810549450549451E-2</v>
      </c>
      <c r="F672" s="589">
        <f t="shared" si="1435"/>
        <v>7.5871118012422356E-2</v>
      </c>
      <c r="G672" s="589">
        <f t="shared" si="1435"/>
        <v>7.5586956521739121E-2</v>
      </c>
      <c r="H672" s="589">
        <f t="shared" si="1435"/>
        <v>0.10138888888888889</v>
      </c>
      <c r="I672" s="589">
        <f t="shared" si="1435"/>
        <v>0.10863095238095238</v>
      </c>
      <c r="J672" s="589">
        <f t="shared" si="1435"/>
        <v>0.11307065217391303</v>
      </c>
      <c r="K672" s="589">
        <f t="shared" si="1435"/>
        <v>0.12166666666666665</v>
      </c>
      <c r="L672" s="589">
        <f t="shared" si="1435"/>
        <v>0.13450925925925925</v>
      </c>
      <c r="M672" s="589">
        <f t="shared" si="1435"/>
        <v>0.14038461538461539</v>
      </c>
      <c r="N672" s="589">
        <f t="shared" si="1435"/>
        <v>0.14580163043478259</v>
      </c>
      <c r="O672" s="589">
        <f t="shared" si="1435"/>
        <v>0.14778532608695649</v>
      </c>
      <c r="P672" s="589">
        <f t="shared" si="1435"/>
        <v>0.16391203703703702</v>
      </c>
      <c r="Q672" s="589">
        <f t="shared" si="1435"/>
        <v>0.48633241758241758</v>
      </c>
      <c r="R672" s="589">
        <f t="shared" si="1435"/>
        <v>0.65065217391304342</v>
      </c>
      <c r="S672" s="589">
        <f t="shared" si="1435"/>
        <v>0.5613858695652173</v>
      </c>
      <c r="T672" s="589">
        <f t="shared" si="1435"/>
        <v>0.12065934065934084</v>
      </c>
      <c r="U672" s="589">
        <f t="shared" si="1435"/>
        <v>0.17577533577533561</v>
      </c>
      <c r="V672" s="589">
        <f t="shared" si="1435"/>
        <v>0.10069972826086969</v>
      </c>
      <c r="W672" s="589">
        <f t="shared" si="1435"/>
        <v>0.13366956521739129</v>
      </c>
      <c r="X672" s="589">
        <f t="shared" si="1435"/>
        <v>0.15754273504273497</v>
      </c>
      <c r="Y672" s="589">
        <f t="shared" ref="Y672" si="1436">Y663/(Y691*1000)*Y$1</f>
        <v>0.12534340659340676</v>
      </c>
      <c r="Z672" s="589">
        <f t="shared" ref="Z672" si="1437">Z663/(Z691*1000)*Z$1</f>
        <v>0.20057367149758482</v>
      </c>
      <c r="AA672" s="589">
        <f t="shared" ref="AA672" si="1438">AA663/(AA691*1000)*AA$1</f>
        <v>0.27204968944099406</v>
      </c>
      <c r="AB672" s="589">
        <f t="shared" ref="AB672" si="1439">AB663/(AB691*1000)*AB$1</f>
        <v>0.25269230769230755</v>
      </c>
      <c r="AC672" s="906" t="s">
        <v>226</v>
      </c>
      <c r="AD672" s="906" t="s">
        <v>226</v>
      </c>
      <c r="AE672" s="906" t="s">
        <v>226</v>
      </c>
      <c r="AF672" s="906" t="s">
        <v>226</v>
      </c>
      <c r="AG672" s="906" t="s">
        <v>226</v>
      </c>
      <c r="AH672" s="906" t="s">
        <v>226</v>
      </c>
      <c r="AI672" s="906" t="s">
        <v>226</v>
      </c>
      <c r="AJ672" s="1763"/>
      <c r="AK672" s="1763"/>
      <c r="AL672" s="1763"/>
      <c r="AM672" s="1763"/>
      <c r="AN672" s="1763"/>
      <c r="AO672" s="1763"/>
      <c r="AP672" s="1763"/>
      <c r="AQ672" s="1763"/>
      <c r="AS672" s="580"/>
      <c r="AT672" s="580" t="s">
        <v>16</v>
      </c>
      <c r="AU672" s="589">
        <f t="shared" si="1434"/>
        <v>7.379310344827586E-2</v>
      </c>
      <c r="AV672" s="589">
        <f t="shared" si="1434"/>
        <v>0.11125</v>
      </c>
      <c r="AW672" s="589">
        <f t="shared" si="1434"/>
        <v>0.14216666666666666</v>
      </c>
      <c r="AX672" s="589">
        <f t="shared" si="1434"/>
        <v>0.33238095238095239</v>
      </c>
      <c r="AY672" s="589">
        <f t="shared" si="1434"/>
        <v>0.13117117117117125</v>
      </c>
      <c r="AZ672" s="906" t="s">
        <v>226</v>
      </c>
      <c r="BA672" s="906" t="s">
        <v>226</v>
      </c>
      <c r="BB672" s="906" t="s">
        <v>226</v>
      </c>
      <c r="BC672" s="906" t="s">
        <v>226</v>
      </c>
      <c r="BD672" s="906" t="s">
        <v>226</v>
      </c>
      <c r="BE672" s="906" t="s">
        <v>226</v>
      </c>
    </row>
    <row r="673" spans="2:74" s="70" customFormat="1" x14ac:dyDescent="0.2">
      <c r="B673" s="319" t="s">
        <v>297</v>
      </c>
      <c r="C673" s="15"/>
      <c r="D673" s="590">
        <f t="shared" ref="D673:X673" si="1440">D664/(D692*1000)*D1</f>
        <v>2.2021978021978021E-2</v>
      </c>
      <c r="E673" s="590">
        <f t="shared" si="1440"/>
        <v>2.2722457030149336E-2</v>
      </c>
      <c r="F673" s="590">
        <f t="shared" si="1440"/>
        <v>2.4679299730665641E-2</v>
      </c>
      <c r="G673" s="590">
        <f t="shared" si="1440"/>
        <v>2.5379830917874397E-2</v>
      </c>
      <c r="H673" s="590">
        <f t="shared" si="1440"/>
        <v>2.9806364617044227E-2</v>
      </c>
      <c r="I673" s="590">
        <f t="shared" si="1440"/>
        <v>3.0888750424832898E-2</v>
      </c>
      <c r="J673" s="590">
        <f t="shared" si="1440"/>
        <v>3.3962613473483033E-2</v>
      </c>
      <c r="K673" s="590">
        <f t="shared" si="1440"/>
        <v>3.7348200899550224E-2</v>
      </c>
      <c r="L673" s="590">
        <f t="shared" si="1440"/>
        <v>4.1617724867724866E-2</v>
      </c>
      <c r="M673" s="590">
        <f t="shared" si="1440"/>
        <v>4.2536290869624203E-2</v>
      </c>
      <c r="N673" s="590">
        <f t="shared" si="1440"/>
        <v>4.4311123658949743E-2</v>
      </c>
      <c r="O673" s="590">
        <f t="shared" si="1440"/>
        <v>4.6107520564042298E-2</v>
      </c>
      <c r="P673" s="590">
        <f t="shared" si="1440"/>
        <v>4.8666666666666664E-2</v>
      </c>
      <c r="Q673" s="590">
        <f t="shared" si="1440"/>
        <v>5.629709576138147E-2</v>
      </c>
      <c r="R673" s="590">
        <f t="shared" si="1440"/>
        <v>5.7564602132895812E-2</v>
      </c>
      <c r="S673" s="590">
        <f t="shared" si="1440"/>
        <v>4.2831632653061225E-2</v>
      </c>
      <c r="T673" s="590">
        <f t="shared" si="1440"/>
        <v>3.4605343894683997E-2</v>
      </c>
      <c r="U673" s="590">
        <f t="shared" si="1440"/>
        <v>3.200283587380362E-2</v>
      </c>
      <c r="V673" s="590">
        <f t="shared" si="1440"/>
        <v>2.5959837877671334E-2</v>
      </c>
      <c r="W673" s="590">
        <f t="shared" si="1440"/>
        <v>2.4615489130434782E-2</v>
      </c>
      <c r="X673" s="590">
        <f t="shared" si="1440"/>
        <v>2.7950450450450449E-2</v>
      </c>
      <c r="Y673" s="590">
        <f t="shared" ref="Y673" si="1441">Y664/(Y692*1000)*Y1</f>
        <v>1.7035088463659892E-2</v>
      </c>
      <c r="Z673" s="590">
        <f t="shared" ref="Z673" si="1442">Z664/(Z692*1000)*Z1</f>
        <v>2.7887938875750407E-2</v>
      </c>
      <c r="AA673" s="590">
        <f t="shared" ref="AA673" si="1443">AA664/(AA692*1000)*AA1</f>
        <v>3.1521739130434781E-2</v>
      </c>
      <c r="AB673" s="590">
        <f t="shared" ref="AB673" si="1444">AB664/(AB692*1000)*AB1</f>
        <v>3.3271305285868392E-2</v>
      </c>
      <c r="AC673" s="905" t="s">
        <v>226</v>
      </c>
      <c r="AD673" s="905" t="s">
        <v>226</v>
      </c>
      <c r="AE673" s="905" t="s">
        <v>226</v>
      </c>
      <c r="AF673" s="905" t="s">
        <v>226</v>
      </c>
      <c r="AG673" s="905" t="s">
        <v>226</v>
      </c>
      <c r="AH673" s="905" t="s">
        <v>226</v>
      </c>
      <c r="AI673" s="905" t="s">
        <v>226</v>
      </c>
      <c r="AJ673" s="905"/>
      <c r="AK673" s="905"/>
      <c r="AL673" s="905"/>
      <c r="AM673" s="905"/>
      <c r="AN673" s="905"/>
      <c r="AO673" s="905"/>
      <c r="AP673" s="905"/>
      <c r="AQ673" s="905"/>
      <c r="AS673" s="319" t="s">
        <v>297</v>
      </c>
      <c r="AT673" s="15"/>
      <c r="AU673" s="590">
        <f t="shared" si="1434"/>
        <v>2.3643478260869565E-2</v>
      </c>
      <c r="AV673" s="590">
        <f t="shared" si="1434"/>
        <v>3.2825396825396827E-2</v>
      </c>
      <c r="AW673" s="590">
        <f t="shared" si="1434"/>
        <v>4.3556962025316455E-2</v>
      </c>
      <c r="AX673" s="590">
        <f t="shared" si="1434"/>
        <v>5.1312775330396479E-2</v>
      </c>
      <c r="AY673" s="590">
        <f t="shared" si="1434"/>
        <v>2.9555555555555557E-2</v>
      </c>
      <c r="AZ673" s="905" t="s">
        <v>226</v>
      </c>
      <c r="BA673" s="905" t="s">
        <v>226</v>
      </c>
      <c r="BB673" s="905" t="s">
        <v>226</v>
      </c>
      <c r="BC673" s="905" t="s">
        <v>226</v>
      </c>
      <c r="BD673" s="905" t="s">
        <v>226</v>
      </c>
      <c r="BE673" s="905" t="s">
        <v>226</v>
      </c>
      <c r="BM673"/>
      <c r="BN673"/>
      <c r="BO673"/>
      <c r="BP673"/>
      <c r="BQ673"/>
      <c r="BR673"/>
    </row>
    <row r="674" spans="2:74" s="70" customFormat="1" x14ac:dyDescent="0.2">
      <c r="B674" s="364" t="s">
        <v>301</v>
      </c>
      <c r="D674" s="587">
        <f t="shared" ref="D674:X674" si="1445">D665/(D694*1000)*D1</f>
        <v>0.11596703296703297</v>
      </c>
      <c r="E674" s="587">
        <f t="shared" si="1445"/>
        <v>0.10090474896128607</v>
      </c>
      <c r="F674" s="587">
        <f t="shared" si="1445"/>
        <v>0.10670930780097317</v>
      </c>
      <c r="G674" s="587">
        <f t="shared" si="1445"/>
        <v>0.10212848799480857</v>
      </c>
      <c r="H674" s="587">
        <f t="shared" si="1445"/>
        <v>0.1043755383290267</v>
      </c>
      <c r="I674" s="587">
        <f t="shared" si="1445"/>
        <v>0.11486013986013986</v>
      </c>
      <c r="J674" s="587">
        <f t="shared" si="1445"/>
        <v>0.11501619983277592</v>
      </c>
      <c r="K674" s="587">
        <f t="shared" si="1445"/>
        <v>0.11501619983277592</v>
      </c>
      <c r="L674" s="587">
        <f t="shared" si="1445"/>
        <v>0.11054991539763112</v>
      </c>
      <c r="M674" s="587">
        <f t="shared" si="1445"/>
        <v>0.11972499861947097</v>
      </c>
      <c r="N674" s="587">
        <f t="shared" si="1445"/>
        <v>0.10537050023375408</v>
      </c>
      <c r="O674" s="587">
        <f t="shared" si="1445"/>
        <v>0.11097972972972972</v>
      </c>
      <c r="P674" s="587">
        <f t="shared" si="1445"/>
        <v>0.13675710594315246</v>
      </c>
      <c r="Q674" s="587">
        <f t="shared" si="1445"/>
        <v>0.16854256854256855</v>
      </c>
      <c r="R674" s="587">
        <f t="shared" si="1445"/>
        <v>0.17537672924901185</v>
      </c>
      <c r="S674" s="587">
        <f t="shared" si="1445"/>
        <v>0.16060764798323726</v>
      </c>
      <c r="T674" s="587">
        <f t="shared" si="1445"/>
        <v>0.16147941610628178</v>
      </c>
      <c r="U674" s="587">
        <f t="shared" si="1445"/>
        <v>0.17076923076923076</v>
      </c>
      <c r="V674" s="587">
        <f t="shared" si="1445"/>
        <v>0.18123188405797103</v>
      </c>
      <c r="W674" s="587">
        <f t="shared" si="1445"/>
        <v>0.15581521739130436</v>
      </c>
      <c r="X674" s="587">
        <f t="shared" si="1445"/>
        <v>0.14677248677248675</v>
      </c>
      <c r="Y674" s="587">
        <f t="shared" ref="Y674" si="1446">Y665/(Y694*1000)*Y1</f>
        <v>0.16888374783111626</v>
      </c>
      <c r="Z674" s="587">
        <f t="shared" ref="Z674" si="1447">Z665/(Z694*1000)*Z1</f>
        <v>0.13155034324942791</v>
      </c>
      <c r="AA674" s="587">
        <f t="shared" ref="AA674" si="1448">AA665/(AA694*1000)*AA1</f>
        <v>0.17269820971867006</v>
      </c>
      <c r="AB674" s="587">
        <f t="shared" ref="AB674" si="1449">AB665/(AB694*1000)*AB1</f>
        <v>0.2099346405228758</v>
      </c>
      <c r="AC674" s="905" t="s">
        <v>226</v>
      </c>
      <c r="AD674" s="905" t="s">
        <v>226</v>
      </c>
      <c r="AE674" s="905" t="s">
        <v>226</v>
      </c>
      <c r="AF674" s="905" t="s">
        <v>226</v>
      </c>
      <c r="AG674" s="905" t="s">
        <v>226</v>
      </c>
      <c r="AH674" s="905" t="s">
        <v>226</v>
      </c>
      <c r="AI674" s="905" t="s">
        <v>226</v>
      </c>
      <c r="AJ674" s="905"/>
      <c r="AK674" s="905"/>
      <c r="AL674" s="905"/>
      <c r="AM674" s="905"/>
      <c r="AN674" s="905"/>
      <c r="AO674" s="905"/>
      <c r="AP674" s="905"/>
      <c r="AQ674" s="905"/>
      <c r="AS674" s="364" t="s">
        <v>301</v>
      </c>
      <c r="AU674" s="587">
        <f>AU665/(AU694*1000)*AU1</f>
        <v>0.10659574468085106</v>
      </c>
      <c r="AV674" s="587">
        <f>AV665/(AV694*1000)*AV1</f>
        <v>0.11192139737991266</v>
      </c>
      <c r="AW674" s="587">
        <f>AW665/(AW694*1000)*AW1</f>
        <v>0.11172602739726027</v>
      </c>
      <c r="AX674" s="587">
        <f>AX665/(AX694*1000)*AX1</f>
        <v>0.15799498746867166</v>
      </c>
      <c r="AY674" s="587">
        <f>AY665/(AY694*1000)*AY1</f>
        <v>0.16854368932038835</v>
      </c>
      <c r="AZ674" s="905" t="s">
        <v>226</v>
      </c>
      <c r="BA674" s="905" t="s">
        <v>226</v>
      </c>
      <c r="BB674" s="905" t="s">
        <v>226</v>
      </c>
      <c r="BC674" s="905" t="s">
        <v>226</v>
      </c>
      <c r="BD674" s="905" t="s">
        <v>226</v>
      </c>
      <c r="BE674" s="905" t="s">
        <v>226</v>
      </c>
      <c r="BM674"/>
      <c r="BN674"/>
      <c r="BO674"/>
      <c r="BP674"/>
      <c r="BQ674"/>
      <c r="BR674"/>
    </row>
    <row r="675" spans="2:74" s="70" customFormat="1" x14ac:dyDescent="0.2">
      <c r="B675" s="10"/>
      <c r="C675" s="9"/>
      <c r="D675" s="9"/>
      <c r="E675" s="9"/>
      <c r="F675" s="9"/>
      <c r="G675" s="9"/>
      <c r="H675" s="9"/>
      <c r="I675" s="9"/>
      <c r="J675" s="9"/>
      <c r="K675" s="9"/>
      <c r="L675" s="9"/>
      <c r="M675" s="9"/>
      <c r="N675" s="9"/>
      <c r="O675" s="9"/>
      <c r="P675" s="9"/>
      <c r="Q675" s="9"/>
      <c r="R675" s="9"/>
      <c r="S675" s="9"/>
      <c r="T675" s="9"/>
      <c r="U675" s="9"/>
      <c r="V675" s="9"/>
      <c r="W675" s="9"/>
      <c r="X675" s="9"/>
      <c r="Y675" s="1215"/>
      <c r="Z675" s="1688"/>
      <c r="AA675" s="1742"/>
      <c r="AB675" s="1785"/>
      <c r="AC675" s="9"/>
      <c r="AD675" s="9"/>
      <c r="AE675" s="1740"/>
      <c r="AF675" s="1740"/>
      <c r="AG675" s="1740"/>
      <c r="AH675" s="1740"/>
      <c r="AI675" s="1707"/>
      <c r="AJ675" s="1740"/>
      <c r="AK675" s="1740"/>
      <c r="AL675" s="1740"/>
      <c r="AM675" s="1740"/>
      <c r="AN675" s="1740"/>
      <c r="AO675" s="1740"/>
      <c r="AP675" s="1740"/>
      <c r="AQ675" s="1740"/>
      <c r="AS675" s="10"/>
      <c r="AT675" s="9"/>
      <c r="AU675" s="9"/>
      <c r="AV675" s="9"/>
      <c r="AW675" s="9"/>
      <c r="AX675" s="9"/>
      <c r="AY675" s="9"/>
      <c r="AZ675" s="9"/>
      <c r="BA675" s="9"/>
      <c r="BB675" s="1707"/>
      <c r="BC675" s="9"/>
      <c r="BD675" s="1704"/>
      <c r="BE675" s="1702"/>
      <c r="BM675"/>
      <c r="BN675"/>
      <c r="BO675"/>
      <c r="BP675"/>
      <c r="BQ675"/>
      <c r="BR675"/>
    </row>
    <row r="676" spans="2:74" s="70" customFormat="1" x14ac:dyDescent="0.2">
      <c r="B676" s="35" t="s">
        <v>972</v>
      </c>
      <c r="C676" s="9"/>
      <c r="D676" s="108" t="s">
        <v>229</v>
      </c>
      <c r="E676" s="66">
        <f t="shared" ref="E676:X676" si="1450">E667/(E698*1000)*E1</f>
        <v>2.9350683481192529E-2</v>
      </c>
      <c r="F676" s="66">
        <f t="shared" si="1450"/>
        <v>3.0787669657234871E-2</v>
      </c>
      <c r="G676" s="66">
        <f t="shared" si="1450"/>
        <v>3.023243900877249E-2</v>
      </c>
      <c r="H676" s="66">
        <f t="shared" si="1450"/>
        <v>3.7630800874148343E-2</v>
      </c>
      <c r="I676" s="66">
        <f t="shared" si="1450"/>
        <v>4.0438659700954782E-2</v>
      </c>
      <c r="J676" s="66">
        <f t="shared" si="1450"/>
        <v>4.0219803546961537E-2</v>
      </c>
      <c r="K676" s="66">
        <f t="shared" si="1450"/>
        <v>4.7236067739610858E-2</v>
      </c>
      <c r="L676" s="66">
        <f t="shared" si="1450"/>
        <v>5.3581548950676454E-2</v>
      </c>
      <c r="M676" s="66">
        <f t="shared" si="1450"/>
        <v>5.8290634902329046E-2</v>
      </c>
      <c r="N676" s="66">
        <f t="shared" si="1450"/>
        <v>5.468793087599963E-2</v>
      </c>
      <c r="O676" s="66">
        <f t="shared" si="1450"/>
        <v>5.3554194733619102E-2</v>
      </c>
      <c r="P676" s="66">
        <f t="shared" si="1450"/>
        <v>6.9955854387394739E-2</v>
      </c>
      <c r="Q676" s="66">
        <f t="shared" si="1450"/>
        <v>8.5745896798129967E-2</v>
      </c>
      <c r="R676" s="66">
        <f t="shared" si="1450"/>
        <v>8.504754886479278E-2</v>
      </c>
      <c r="S676" s="66">
        <f t="shared" si="1450"/>
        <v>7.3132591667612656E-2</v>
      </c>
      <c r="T676" s="66">
        <f t="shared" si="1450"/>
        <v>7.7228919947366553E-2</v>
      </c>
      <c r="U676" s="66">
        <f t="shared" si="1450"/>
        <v>7.581659719590754E-2</v>
      </c>
      <c r="V676" s="66">
        <f t="shared" si="1450"/>
        <v>6.8671202296162442E-2</v>
      </c>
      <c r="W676" s="66">
        <f t="shared" si="1450"/>
        <v>6.5707704928377603E-2</v>
      </c>
      <c r="X676" s="66">
        <f t="shared" si="1450"/>
        <v>7.1388012618296512E-2</v>
      </c>
      <c r="Y676" s="66">
        <f t="shared" ref="Y676" si="1451">Y667/(Y698*1000)*Y1</f>
        <v>7.1707249584947438E-2</v>
      </c>
      <c r="Z676" s="66">
        <f t="shared" ref="Z676" si="1452">Z667/(Z698*1000)*Z1</f>
        <v>7.9347826086956535E-2</v>
      </c>
      <c r="AA676" s="66">
        <f t="shared" ref="AA676" si="1453">AA667/(AA698*1000)*AA1</f>
        <v>7.2119104642593954E-2</v>
      </c>
      <c r="AB676" s="66">
        <f t="shared" ref="AB676" si="1454">AB667/(AB698*1000)*AB1</f>
        <v>9.7842551071250616E-2</v>
      </c>
      <c r="AC676" s="591">
        <f>Drivers!AC228</f>
        <v>7.1999999999999995E-2</v>
      </c>
      <c r="AD676" s="591">
        <f>Drivers!AD228</f>
        <v>7.1999999999999995E-2</v>
      </c>
      <c r="AE676" s="591">
        <f>Drivers!AE228</f>
        <v>7.1999999999999995E-2</v>
      </c>
      <c r="AF676" s="591">
        <f>Drivers!AF228</f>
        <v>7.1999999999999995E-2</v>
      </c>
      <c r="AG676" s="591">
        <f>Drivers!AG228</f>
        <v>7.1999999999999995E-2</v>
      </c>
      <c r="AH676" s="591">
        <f>Drivers!AH228</f>
        <v>7.1999999999999995E-2</v>
      </c>
      <c r="AI676" s="591">
        <f>Drivers!AI228</f>
        <v>7.1999999999999995E-2</v>
      </c>
      <c r="AJ676" s="591"/>
      <c r="AK676" s="591"/>
      <c r="AL676" s="591"/>
      <c r="AM676" s="591"/>
      <c r="AN676" s="591"/>
      <c r="AO676" s="591"/>
      <c r="AP676" s="591"/>
      <c r="AQ676" s="591"/>
      <c r="AS676" s="35" t="s">
        <v>972</v>
      </c>
      <c r="AT676" s="9"/>
      <c r="AU676" s="66">
        <f t="shared" ref="AU676:BA676" si="1455">AU667/(AU698*1000)*AU1</f>
        <v>3.1641896673743806E-2</v>
      </c>
      <c r="AV676" s="66">
        <f t="shared" si="1455"/>
        <v>4.1175724254599283E-2</v>
      </c>
      <c r="AW676" s="66">
        <f t="shared" si="1455"/>
        <v>5.5032241423781263E-2</v>
      </c>
      <c r="AX676" s="66">
        <f t="shared" si="1455"/>
        <v>7.797942001870907E-2</v>
      </c>
      <c r="AY676" s="66">
        <f t="shared" si="1455"/>
        <v>7.2276029055690069E-2</v>
      </c>
      <c r="AZ676" s="66">
        <f t="shared" si="1455"/>
        <v>7.3461891643709837E-2</v>
      </c>
      <c r="BA676" s="66">
        <f t="shared" si="1455"/>
        <v>7.8870573178984077E-2</v>
      </c>
      <c r="BB676" s="66">
        <f t="shared" ref="BB676" si="1456">BB667/(BB698*1000)*BB1</f>
        <v>7.1958046525156527E-2</v>
      </c>
      <c r="BC676" s="591">
        <f>Drivers!BC228</f>
        <v>7.1999999999999995E-2</v>
      </c>
      <c r="BD676" s="591">
        <f>Drivers!BD228</f>
        <v>7.1999999999999995E-2</v>
      </c>
      <c r="BE676" s="591">
        <f>Drivers!BE228</f>
        <v>7.1999999999999995E-2</v>
      </c>
      <c r="BM676"/>
      <c r="BN676"/>
      <c r="BO676"/>
      <c r="BP676"/>
      <c r="BQ676"/>
      <c r="BR676"/>
    </row>
    <row r="677" spans="2:74" s="70" customFormat="1" x14ac:dyDescent="0.2">
      <c r="B677" s="319"/>
      <c r="C677" s="9"/>
      <c r="D677" s="586"/>
      <c r="E677" s="586"/>
      <c r="F677" s="586"/>
      <c r="G677" s="586"/>
      <c r="H677" s="586"/>
      <c r="I677" s="586"/>
      <c r="J677" s="586"/>
      <c r="K677" s="586"/>
      <c r="L677" s="586"/>
      <c r="M677" s="586"/>
      <c r="N677" s="586"/>
      <c r="O677" s="586"/>
      <c r="P677" s="586"/>
      <c r="Q677" s="586"/>
      <c r="R677" s="586"/>
      <c r="S677" s="586"/>
      <c r="T677" s="586"/>
      <c r="U677" s="586"/>
      <c r="V677" s="586"/>
      <c r="W677" s="586"/>
      <c r="X677" s="586"/>
      <c r="Y677" s="586"/>
      <c r="Z677" s="586"/>
      <c r="AA677" s="586"/>
      <c r="AB677" s="586"/>
      <c r="AC677" s="9"/>
      <c r="AD677" s="9"/>
      <c r="AE677" s="1740"/>
      <c r="AF677" s="1740"/>
      <c r="AG677" s="1740"/>
      <c r="AH677" s="1740"/>
      <c r="AI677" s="1707"/>
      <c r="AJ677" s="1740"/>
      <c r="AK677" s="1740"/>
      <c r="AL677" s="1740"/>
      <c r="AM677" s="1740"/>
      <c r="AN677" s="1740"/>
      <c r="AO677" s="1740"/>
      <c r="AP677" s="1740"/>
      <c r="AQ677" s="1740"/>
      <c r="AS677" s="319"/>
      <c r="AT677" s="9"/>
      <c r="BC677" s="9"/>
      <c r="BD677" s="1704"/>
      <c r="BE677" s="1702"/>
      <c r="BM677"/>
      <c r="BN677"/>
      <c r="BO677"/>
      <c r="BP677"/>
      <c r="BQ677"/>
      <c r="BR677"/>
    </row>
    <row r="678" spans="2:74" s="70" customFormat="1" x14ac:dyDescent="0.2">
      <c r="B678" s="340" t="s">
        <v>300</v>
      </c>
      <c r="C678" s="12"/>
      <c r="D678" s="592"/>
      <c r="E678" s="592"/>
      <c r="F678" s="592"/>
      <c r="G678" s="592"/>
      <c r="H678" s="592"/>
      <c r="I678" s="592"/>
      <c r="J678" s="592"/>
      <c r="K678" s="592"/>
      <c r="L678" s="592"/>
      <c r="M678" s="592"/>
      <c r="N678" s="592"/>
      <c r="O678" s="592"/>
      <c r="P678" s="592"/>
      <c r="Q678" s="592"/>
      <c r="R678" s="592"/>
      <c r="S678" s="592"/>
      <c r="T678" s="592"/>
      <c r="U678" s="592"/>
      <c r="V678" s="592"/>
      <c r="W678" s="592"/>
      <c r="X678" s="592"/>
      <c r="Y678" s="592"/>
      <c r="Z678" s="592"/>
      <c r="AA678" s="592"/>
      <c r="AB678" s="12"/>
      <c r="AC678" s="12"/>
      <c r="AD678" s="12"/>
      <c r="AE678" s="12"/>
      <c r="AF678" s="12"/>
      <c r="AG678" s="12"/>
      <c r="AH678" s="12"/>
      <c r="AI678" s="12"/>
      <c r="AJ678" s="12"/>
      <c r="AK678" s="12"/>
      <c r="AL678" s="12"/>
      <c r="AM678" s="12"/>
      <c r="AN678" s="12"/>
      <c r="AO678" s="12"/>
      <c r="AP678" s="12"/>
      <c r="AQ678" s="12"/>
      <c r="AS678" s="340" t="s">
        <v>300</v>
      </c>
      <c r="AT678" s="12"/>
      <c r="AU678" s="389"/>
      <c r="AV678" s="389"/>
      <c r="AW678" s="389"/>
      <c r="AX678" s="389"/>
      <c r="AY678" s="389"/>
      <c r="AZ678" s="389"/>
      <c r="BA678" s="389"/>
      <c r="BB678" s="389"/>
      <c r="BC678" s="12"/>
      <c r="BD678" s="12"/>
      <c r="BE678" s="12"/>
      <c r="BF678" s="390"/>
      <c r="BG678" s="390"/>
      <c r="BH678" s="390"/>
      <c r="BI678" s="390"/>
      <c r="BJ678" s="390"/>
      <c r="BK678" s="390"/>
      <c r="BL678" s="390"/>
      <c r="BM678"/>
      <c r="BN678"/>
      <c r="BO678"/>
      <c r="BP678"/>
      <c r="BQ678"/>
      <c r="BR678"/>
      <c r="BS678" s="390"/>
      <c r="BT678" s="390"/>
      <c r="BU678" s="390"/>
      <c r="BV678" s="390"/>
    </row>
    <row r="679" spans="2:74" s="70" customFormat="1" x14ac:dyDescent="0.2">
      <c r="B679" s="319"/>
      <c r="C679" s="9" t="s">
        <v>303</v>
      </c>
      <c r="D679" s="560">
        <v>77.3</v>
      </c>
      <c r="E679" s="560">
        <v>-124.2</v>
      </c>
      <c r="F679" s="560">
        <v>81.3</v>
      </c>
      <c r="G679" s="560">
        <v>77.599999999999994</v>
      </c>
      <c r="H679" s="560">
        <v>78.8</v>
      </c>
      <c r="I679" s="560">
        <v>98.7</v>
      </c>
      <c r="J679" s="560">
        <v>25.1</v>
      </c>
      <c r="K679" s="560">
        <v>53.5</v>
      </c>
      <c r="L679" s="560">
        <v>27.2</v>
      </c>
      <c r="M679" s="560">
        <v>34.6</v>
      </c>
      <c r="N679" s="560">
        <v>81.5</v>
      </c>
      <c r="O679" s="560">
        <v>96.8</v>
      </c>
      <c r="P679" s="560">
        <v>96.2</v>
      </c>
      <c r="Q679" s="560">
        <v>61.3</v>
      </c>
      <c r="R679" s="560">
        <v>49.6</v>
      </c>
      <c r="S679" s="560">
        <v>5</v>
      </c>
      <c r="T679" s="560">
        <v>118.4</v>
      </c>
      <c r="U679" s="560">
        <v>19.399999999999999</v>
      </c>
      <c r="V679" s="560">
        <v>17</v>
      </c>
      <c r="W679" s="560">
        <v>17.899999999999999</v>
      </c>
      <c r="X679" s="560">
        <v>-265.39999999999998</v>
      </c>
      <c r="Y679" s="560">
        <v>29.5</v>
      </c>
      <c r="Z679" s="560">
        <v>20.8</v>
      </c>
      <c r="AA679" s="560">
        <v>23.5</v>
      </c>
      <c r="AB679" s="560">
        <v>8.5</v>
      </c>
      <c r="AC679" s="32" t="s">
        <v>226</v>
      </c>
      <c r="AD679" s="32" t="s">
        <v>226</v>
      </c>
      <c r="AE679" s="32" t="s">
        <v>226</v>
      </c>
      <c r="AF679" s="32" t="s">
        <v>226</v>
      </c>
      <c r="AG679" s="32" t="s">
        <v>226</v>
      </c>
      <c r="AH679" s="32" t="s">
        <v>226</v>
      </c>
      <c r="AI679" s="32" t="s">
        <v>226</v>
      </c>
      <c r="AJ679" s="32"/>
      <c r="AK679" s="32"/>
      <c r="AL679" s="32"/>
      <c r="AM679" s="32"/>
      <c r="AN679" s="32"/>
      <c r="AO679" s="32"/>
      <c r="AP679" s="32"/>
      <c r="AQ679" s="32"/>
      <c r="AS679" s="319"/>
      <c r="AT679" s="9" t="s">
        <v>303</v>
      </c>
      <c r="AU679" s="232">
        <f>SUM(D679:G679)</f>
        <v>111.99999999999999</v>
      </c>
      <c r="AV679" s="232">
        <f>SUM(H679:K679)</f>
        <v>256.10000000000002</v>
      </c>
      <c r="AW679" s="232">
        <f>SUM(L679:O679)</f>
        <v>240.10000000000002</v>
      </c>
      <c r="AX679" s="232">
        <f>SUM(P679:S679)</f>
        <v>212.1</v>
      </c>
      <c r="AY679" s="232">
        <f>SUM(T679:W679)</f>
        <v>172.70000000000002</v>
      </c>
      <c r="AZ679" s="32" t="s">
        <v>226</v>
      </c>
      <c r="BA679" s="32" t="s">
        <v>226</v>
      </c>
      <c r="BB679" s="32" t="s">
        <v>226</v>
      </c>
      <c r="BC679" s="32" t="s">
        <v>226</v>
      </c>
      <c r="BD679" s="32" t="s">
        <v>226</v>
      </c>
      <c r="BE679" s="32" t="s">
        <v>226</v>
      </c>
      <c r="BM679"/>
      <c r="BN679"/>
      <c r="BO679"/>
      <c r="BP679"/>
      <c r="BQ679"/>
      <c r="BR679"/>
    </row>
    <row r="680" spans="2:74" s="70" customFormat="1" x14ac:dyDescent="0.2">
      <c r="B680" s="580"/>
      <c r="C680" s="25" t="s">
        <v>16</v>
      </c>
      <c r="D680" s="584">
        <f t="shared" ref="D680:X680" si="1457">D681-D679</f>
        <v>584.70000000000005</v>
      </c>
      <c r="E680" s="584">
        <f t="shared" si="1457"/>
        <v>1158.2</v>
      </c>
      <c r="F680" s="584">
        <f t="shared" si="1457"/>
        <v>847.7</v>
      </c>
      <c r="G680" s="584">
        <f t="shared" si="1457"/>
        <v>925.4</v>
      </c>
      <c r="H680" s="584">
        <f t="shared" si="1457"/>
        <v>661.2</v>
      </c>
      <c r="I680" s="584">
        <f t="shared" si="1457"/>
        <v>906.3</v>
      </c>
      <c r="J680" s="584">
        <f t="shared" si="1457"/>
        <v>1132.9000000000001</v>
      </c>
      <c r="K680" s="584">
        <f t="shared" si="1457"/>
        <v>924.5</v>
      </c>
      <c r="L680" s="584">
        <f t="shared" si="1457"/>
        <v>1168.8</v>
      </c>
      <c r="M680" s="584">
        <f t="shared" si="1457"/>
        <v>985.4</v>
      </c>
      <c r="N680" s="584">
        <f t="shared" si="1457"/>
        <v>1136.5</v>
      </c>
      <c r="O680" s="584">
        <f t="shared" si="1457"/>
        <v>745.2</v>
      </c>
      <c r="P680" s="584">
        <f t="shared" si="1457"/>
        <v>1028.8</v>
      </c>
      <c r="Q680" s="584">
        <f t="shared" si="1457"/>
        <v>1099.7</v>
      </c>
      <c r="R680" s="584">
        <f t="shared" si="1457"/>
        <v>762.4</v>
      </c>
      <c r="S680" s="584">
        <f t="shared" si="1457"/>
        <v>2458</v>
      </c>
      <c r="T680" s="584">
        <f t="shared" si="1457"/>
        <v>937.6</v>
      </c>
      <c r="U680" s="584">
        <f t="shared" si="1457"/>
        <v>345.6</v>
      </c>
      <c r="V680" s="584">
        <f t="shared" si="1457"/>
        <v>414</v>
      </c>
      <c r="W680" s="584">
        <f t="shared" si="1457"/>
        <v>274.10000000000002</v>
      </c>
      <c r="X680" s="584">
        <f t="shared" si="1457"/>
        <v>908.4</v>
      </c>
      <c r="Y680" s="584">
        <f t="shared" ref="Y680:Z680" si="1458">Y681-Y679</f>
        <v>134.5</v>
      </c>
      <c r="Z680" s="584">
        <f t="shared" si="1458"/>
        <v>-17.8</v>
      </c>
      <c r="AA680" s="584">
        <f t="shared" ref="AA680:AB680" si="1459">AA681-AA679</f>
        <v>298.5</v>
      </c>
      <c r="AB680" s="584">
        <f t="shared" si="1459"/>
        <v>44.5</v>
      </c>
      <c r="AC680" s="98" t="s">
        <v>226</v>
      </c>
      <c r="AD680" s="98" t="s">
        <v>226</v>
      </c>
      <c r="AE680" s="98" t="s">
        <v>226</v>
      </c>
      <c r="AF680" s="98" t="s">
        <v>226</v>
      </c>
      <c r="AG680" s="98" t="s">
        <v>226</v>
      </c>
      <c r="AH680" s="98" t="s">
        <v>226</v>
      </c>
      <c r="AI680" s="98" t="s">
        <v>226</v>
      </c>
      <c r="AJ680" s="290"/>
      <c r="AK680" s="290"/>
      <c r="AL680" s="290"/>
      <c r="AM680" s="290"/>
      <c r="AN680" s="290"/>
      <c r="AO680" s="290"/>
      <c r="AP680" s="290"/>
      <c r="AQ680" s="290"/>
      <c r="AS680" s="580"/>
      <c r="AT680" s="25" t="s">
        <v>16</v>
      </c>
      <c r="AU680" s="41">
        <f>SUM(D680:G680)</f>
        <v>3516.0000000000005</v>
      </c>
      <c r="AV680" s="41">
        <f>SUM(H680:K680)</f>
        <v>3624.9</v>
      </c>
      <c r="AW680" s="41">
        <f>SUM(L680:O680)</f>
        <v>4035.8999999999996</v>
      </c>
      <c r="AX680" s="41">
        <f>SUM(P680:S680)</f>
        <v>5348.9</v>
      </c>
      <c r="AY680" s="41">
        <f>SUM(T680:W680)</f>
        <v>1971.3000000000002</v>
      </c>
      <c r="AZ680" s="98" t="s">
        <v>226</v>
      </c>
      <c r="BA680" s="98" t="s">
        <v>226</v>
      </c>
      <c r="BB680" s="98" t="s">
        <v>226</v>
      </c>
      <c r="BC680" s="98" t="s">
        <v>226</v>
      </c>
      <c r="BD680" s="98" t="s">
        <v>226</v>
      </c>
      <c r="BE680" s="98" t="s">
        <v>226</v>
      </c>
      <c r="BM680"/>
      <c r="BN680"/>
      <c r="BO680"/>
      <c r="BP680"/>
      <c r="BQ680"/>
      <c r="BR680"/>
    </row>
    <row r="681" spans="2:74" s="70" customFormat="1" x14ac:dyDescent="0.2">
      <c r="B681" s="319" t="s">
        <v>304</v>
      </c>
      <c r="C681" s="9"/>
      <c r="D681" s="586">
        <f t="shared" ref="D681:X681" si="1460">D639</f>
        <v>662</v>
      </c>
      <c r="E681" s="586">
        <f t="shared" si="1460"/>
        <v>1034</v>
      </c>
      <c r="F681" s="586">
        <f t="shared" si="1460"/>
        <v>929</v>
      </c>
      <c r="G681" s="586">
        <f t="shared" si="1460"/>
        <v>1003</v>
      </c>
      <c r="H681" s="586">
        <f t="shared" si="1460"/>
        <v>740</v>
      </c>
      <c r="I681" s="586">
        <f t="shared" si="1460"/>
        <v>1005</v>
      </c>
      <c r="J681" s="586">
        <f t="shared" si="1460"/>
        <v>1158</v>
      </c>
      <c r="K681" s="586">
        <f t="shared" si="1460"/>
        <v>978</v>
      </c>
      <c r="L681" s="586">
        <f t="shared" si="1460"/>
        <v>1196</v>
      </c>
      <c r="M681" s="586">
        <f t="shared" si="1460"/>
        <v>1020</v>
      </c>
      <c r="N681" s="586">
        <f t="shared" si="1460"/>
        <v>1218</v>
      </c>
      <c r="O681" s="586">
        <f t="shared" si="1460"/>
        <v>842</v>
      </c>
      <c r="P681" s="586">
        <f t="shared" si="1460"/>
        <v>1125</v>
      </c>
      <c r="Q681" s="586">
        <f t="shared" si="1460"/>
        <v>1161</v>
      </c>
      <c r="R681" s="586">
        <f t="shared" si="1460"/>
        <v>812</v>
      </c>
      <c r="S681" s="586">
        <f t="shared" si="1460"/>
        <v>2463</v>
      </c>
      <c r="T681" s="586">
        <f t="shared" si="1460"/>
        <v>1056</v>
      </c>
      <c r="U681" s="586">
        <f t="shared" si="1460"/>
        <v>365</v>
      </c>
      <c r="V681" s="586">
        <f t="shared" si="1460"/>
        <v>431</v>
      </c>
      <c r="W681" s="586">
        <f t="shared" si="1460"/>
        <v>292</v>
      </c>
      <c r="X681" s="586">
        <f t="shared" si="1460"/>
        <v>643</v>
      </c>
      <c r="Y681" s="586">
        <f t="shared" ref="Y681:Z681" si="1461">Y639</f>
        <v>164</v>
      </c>
      <c r="Z681" s="586">
        <f t="shared" si="1461"/>
        <v>3</v>
      </c>
      <c r="AA681" s="586">
        <f t="shared" ref="AA681:AB681" si="1462">AA639</f>
        <v>322</v>
      </c>
      <c r="AB681" s="586">
        <f t="shared" si="1462"/>
        <v>53</v>
      </c>
      <c r="AC681" s="33">
        <f t="shared" ref="AC681:AE681" si="1463">(AC698*1000)*AC683/AC1</f>
        <v>158.86854794520548</v>
      </c>
      <c r="AD681" s="33">
        <f t="shared" si="1463"/>
        <v>152.50463178082194</v>
      </c>
      <c r="AE681" s="33">
        <f t="shared" si="1463"/>
        <v>145.30640369863013</v>
      </c>
      <c r="AF681" s="33">
        <f t="shared" ref="AF681:AI681" si="1464">(AF698*1000)*AF683/AF1</f>
        <v>133.83820981232878</v>
      </c>
      <c r="AG681" s="33">
        <f t="shared" si="1464"/>
        <v>127.45305070380822</v>
      </c>
      <c r="AH681" s="33">
        <f t="shared" si="1464"/>
        <v>122.51206475435404</v>
      </c>
      <c r="AI681" s="33">
        <f t="shared" si="1464"/>
        <v>116.53946300911238</v>
      </c>
      <c r="AJ681" s="33"/>
      <c r="AK681" s="33"/>
      <c r="AL681" s="33"/>
      <c r="AM681" s="33"/>
      <c r="AN681" s="33"/>
      <c r="AO681" s="33"/>
      <c r="AP681" s="33"/>
      <c r="AQ681" s="33"/>
      <c r="AS681" s="319" t="s">
        <v>304</v>
      </c>
      <c r="AT681" s="9"/>
      <c r="AU681" s="232">
        <f t="shared" ref="AU681:BA681" si="1465">AU639</f>
        <v>3628</v>
      </c>
      <c r="AV681" s="232">
        <f t="shared" si="1465"/>
        <v>3881</v>
      </c>
      <c r="AW681" s="232">
        <f t="shared" si="1465"/>
        <v>4276</v>
      </c>
      <c r="AX681" s="232">
        <f t="shared" si="1465"/>
        <v>5561</v>
      </c>
      <c r="AY681" s="232">
        <f t="shared" si="1465"/>
        <v>2144</v>
      </c>
      <c r="AZ681" s="232">
        <f t="shared" si="1465"/>
        <v>1132</v>
      </c>
      <c r="BA681" s="232">
        <f t="shared" si="1465"/>
        <v>509.67958342465749</v>
      </c>
      <c r="BB681" s="232">
        <f t="shared" ref="BB681" si="1466">BB639</f>
        <v>500.3427882796035</v>
      </c>
      <c r="BC681" s="33">
        <f>(BC698*1000)*BC683/BC1</f>
        <v>401.61500680921728</v>
      </c>
      <c r="BD681" s="33">
        <f>(BD698*1000)*BD683/BD1</f>
        <v>323.02564515910086</v>
      </c>
      <c r="BE681" s="33">
        <f>(BE698*1000)*BE683/BE1</f>
        <v>256.4007760929133</v>
      </c>
      <c r="BM681"/>
      <c r="BN681"/>
      <c r="BO681"/>
      <c r="BP681"/>
      <c r="BQ681"/>
      <c r="BR681"/>
    </row>
    <row r="682" spans="2:74" s="70" customFormat="1" x14ac:dyDescent="0.2">
      <c r="B682" s="319"/>
      <c r="C682" s="9"/>
      <c r="D682" s="586"/>
      <c r="E682" s="586"/>
      <c r="F682" s="586"/>
      <c r="G682" s="586"/>
      <c r="H682" s="586"/>
      <c r="I682" s="586"/>
      <c r="J682" s="586"/>
      <c r="K682" s="586"/>
      <c r="L682" s="586"/>
      <c r="M682" s="586"/>
      <c r="N682" s="586"/>
      <c r="O682" s="586"/>
      <c r="P682" s="586"/>
      <c r="Q682" s="586"/>
      <c r="R682" s="586"/>
      <c r="S682" s="586"/>
      <c r="T682" s="586"/>
      <c r="U682" s="586"/>
      <c r="V682" s="586"/>
      <c r="W682" s="586"/>
      <c r="X682" s="586"/>
      <c r="Y682" s="586"/>
      <c r="Z682" s="586"/>
      <c r="AA682" s="586"/>
      <c r="AB682" s="586"/>
      <c r="AC682" s="9"/>
      <c r="AD682" s="9"/>
      <c r="AE682" s="1740"/>
      <c r="AF682" s="1740"/>
      <c r="AG682" s="1740"/>
      <c r="AH682" s="1740"/>
      <c r="AI682" s="1707"/>
      <c r="AJ682" s="1740"/>
      <c r="AK682" s="1740"/>
      <c r="AL682" s="1740"/>
      <c r="AM682" s="1740"/>
      <c r="AN682" s="1740"/>
      <c r="AO682" s="1740"/>
      <c r="AP682" s="1740"/>
      <c r="AQ682" s="1740"/>
      <c r="AS682" s="319"/>
      <c r="AT682" s="9"/>
      <c r="BC682" s="9"/>
      <c r="BD682" s="1704"/>
      <c r="BE682" s="1702"/>
      <c r="BM682"/>
      <c r="BN682"/>
      <c r="BO682"/>
      <c r="BP682"/>
      <c r="BQ682"/>
      <c r="BR682"/>
    </row>
    <row r="683" spans="2:74" s="70" customFormat="1" x14ac:dyDescent="0.2">
      <c r="B683" s="35" t="s">
        <v>970</v>
      </c>
      <c r="C683" s="9"/>
      <c r="D683" s="108" t="s">
        <v>229</v>
      </c>
      <c r="E683" s="66">
        <f t="shared" ref="E683:X683" si="1467">E681/(E698*1000)*E1</f>
        <v>2.8416298426547824E-2</v>
      </c>
      <c r="F683" s="66">
        <f t="shared" si="1467"/>
        <v>2.6072693811824244E-2</v>
      </c>
      <c r="G683" s="66">
        <f t="shared" si="1467"/>
        <v>2.9382884036626752E-2</v>
      </c>
      <c r="H683" s="66">
        <f t="shared" si="1467"/>
        <v>2.3147791061404636E-2</v>
      </c>
      <c r="I683" s="66">
        <f t="shared" si="1467"/>
        <v>3.3041343901999642E-2</v>
      </c>
      <c r="J683" s="66">
        <f t="shared" si="1467"/>
        <v>4.0783303421524919E-2</v>
      </c>
      <c r="K683" s="66">
        <f t="shared" si="1467"/>
        <v>3.5728441028104727E-2</v>
      </c>
      <c r="L683" s="66">
        <f t="shared" si="1467"/>
        <v>4.6504740598700328E-2</v>
      </c>
      <c r="M683" s="66">
        <f t="shared" si="1467"/>
        <v>4.0891642091042381E-2</v>
      </c>
      <c r="N683" s="66">
        <f t="shared" si="1467"/>
        <v>5.108121150841069E-2</v>
      </c>
      <c r="O683" s="66">
        <f t="shared" si="1467"/>
        <v>3.7639926515615429E-2</v>
      </c>
      <c r="P683" s="66">
        <f t="shared" si="1467"/>
        <v>5.5776283618581904E-2</v>
      </c>
      <c r="Q683" s="66">
        <f t="shared" si="1467"/>
        <v>7.0503531290813659E-2</v>
      </c>
      <c r="R683" s="66">
        <f t="shared" si="1467"/>
        <v>5.2001965119135345E-2</v>
      </c>
      <c r="S683" s="66">
        <f t="shared" si="1467"/>
        <v>0.17009024860937674</v>
      </c>
      <c r="T683" s="66">
        <f t="shared" si="1467"/>
        <v>9.1633415128560755E-2</v>
      </c>
      <c r="U683" s="66">
        <f t="shared" si="1467"/>
        <v>3.3747631678666158E-2</v>
      </c>
      <c r="V683" s="66">
        <f t="shared" si="1467"/>
        <v>4.1922504517912192E-2</v>
      </c>
      <c r="W683" s="66">
        <f t="shared" si="1467"/>
        <v>3.3719946993121731E-2</v>
      </c>
      <c r="X683" s="66">
        <f t="shared" si="1467"/>
        <v>8.2262530669470729E-2</v>
      </c>
      <c r="Y683" s="66">
        <f t="shared" ref="Y683:Z683" si="1468">Y681/(Y698*1000)*Y1</f>
        <v>2.366194956123014E-2</v>
      </c>
      <c r="Z683" s="66">
        <f t="shared" si="1468"/>
        <v>4.6132457027300307E-4</v>
      </c>
      <c r="AA683" s="66">
        <f t="shared" ref="AA683:AB683" si="1469">AA681/(AA698*1000)*AA1</f>
        <v>5.413135593220339E-2</v>
      </c>
      <c r="AB683" s="66">
        <f t="shared" si="1469"/>
        <v>9.6387643248629796E-3</v>
      </c>
      <c r="AC683" s="591">
        <f>Drivers!AC229</f>
        <v>3.0200000000000001E-2</v>
      </c>
      <c r="AD683" s="591">
        <f>Drivers!AD229</f>
        <v>3.0300000000000001E-2</v>
      </c>
      <c r="AE683" s="591">
        <f>Drivers!AE229</f>
        <v>3.0499999999999999E-2</v>
      </c>
      <c r="AF683" s="591">
        <f>Drivers!AF229</f>
        <v>3.0700000000000002E-2</v>
      </c>
      <c r="AG683" s="591">
        <f>Drivers!AG229</f>
        <v>3.09E-2</v>
      </c>
      <c r="AH683" s="591">
        <f>Drivers!AH229</f>
        <v>3.1099999999999999E-2</v>
      </c>
      <c r="AI683" s="591">
        <f>Drivers!AI229</f>
        <v>3.1300000000000001E-2</v>
      </c>
      <c r="AJ683" s="591"/>
      <c r="AK683" s="591"/>
      <c r="AL683" s="591"/>
      <c r="AM683" s="591"/>
      <c r="AN683" s="591"/>
      <c r="AO683" s="591"/>
      <c r="AP683" s="591"/>
      <c r="AQ683" s="591"/>
      <c r="AS683" s="35" t="s">
        <v>970</v>
      </c>
      <c r="AT683" s="9"/>
      <c r="AU683" s="66">
        <f t="shared" ref="AU683:BA683" si="1470">AU681/(AU698*1000)*AU1</f>
        <v>2.56758669497523E-2</v>
      </c>
      <c r="AV683" s="66">
        <f t="shared" si="1470"/>
        <v>3.2827236202156905E-2</v>
      </c>
      <c r="AW683" s="66">
        <f t="shared" si="1470"/>
        <v>4.4116584988393083E-2</v>
      </c>
      <c r="AX683" s="66">
        <f t="shared" si="1470"/>
        <v>8.3232927970065484E-2</v>
      </c>
      <c r="AY683" s="66">
        <f t="shared" si="1470"/>
        <v>5.1912832929782084E-2</v>
      </c>
      <c r="AZ683" s="66">
        <f t="shared" si="1470"/>
        <v>4.1579430670339763E-2</v>
      </c>
      <c r="BA683" s="66">
        <f t="shared" si="1470"/>
        <v>2.4780906143768315E-2</v>
      </c>
      <c r="BB683" s="66">
        <f t="shared" ref="BB683" si="1471">BB681/(BB698*1000)*BB1</f>
        <v>3.0968974939554538E-2</v>
      </c>
      <c r="BC683" s="591">
        <f>Drivers!BC229</f>
        <v>3.15E-2</v>
      </c>
      <c r="BD683" s="591">
        <f>Drivers!BD229</f>
        <v>3.2000000000000001E-2</v>
      </c>
      <c r="BE683" s="591">
        <f>Drivers!BE229</f>
        <v>3.2000000000000001E-2</v>
      </c>
      <c r="BM683"/>
      <c r="BN683"/>
      <c r="BO683"/>
      <c r="BP683"/>
      <c r="BQ683"/>
      <c r="BR683"/>
    </row>
    <row r="684" spans="2:74" s="70" customFormat="1" x14ac:dyDescent="0.2">
      <c r="B684" s="35" t="s">
        <v>971</v>
      </c>
      <c r="C684" s="9"/>
      <c r="D684" s="108" t="s">
        <v>229</v>
      </c>
      <c r="E684" s="66">
        <f t="shared" ref="E684:AE684" si="1472">E642/(E698*1000)*E1</f>
        <v>5.7189861726930385E-2</v>
      </c>
      <c r="F684" s="66">
        <f t="shared" si="1472"/>
        <v>5.6214860823556478E-2</v>
      </c>
      <c r="G684" s="66">
        <f t="shared" si="1472"/>
        <v>5.8882948069411536E-2</v>
      </c>
      <c r="H684" s="66">
        <f t="shared" si="1472"/>
        <v>6.1060119124137634E-2</v>
      </c>
      <c r="I684" s="66">
        <f t="shared" si="1472"/>
        <v>7.2986849216357411E-2</v>
      </c>
      <c r="J684" s="66">
        <f t="shared" si="1472"/>
        <v>8.1143981937127296E-2</v>
      </c>
      <c r="K684" s="66">
        <f t="shared" si="1472"/>
        <v>8.2927976619425081E-2</v>
      </c>
      <c r="L684" s="66">
        <f t="shared" si="1472"/>
        <v>9.9541919676147839E-2</v>
      </c>
      <c r="M684" s="66">
        <f t="shared" si="1472"/>
        <v>9.9222366838558729E-2</v>
      </c>
      <c r="N684" s="66">
        <f t="shared" si="1472"/>
        <v>0.10807576523577533</v>
      </c>
      <c r="O684" s="66">
        <f t="shared" si="1472"/>
        <v>9.1417636252296389E-2</v>
      </c>
      <c r="P684" s="66">
        <f t="shared" si="1472"/>
        <v>0.12593045368106492</v>
      </c>
      <c r="Q684" s="66">
        <f t="shared" si="1472"/>
        <v>0.15570288908668925</v>
      </c>
      <c r="R684" s="66">
        <f t="shared" si="1472"/>
        <v>0.13865055970803944</v>
      </c>
      <c r="S684" s="66">
        <f t="shared" si="1472"/>
        <v>0.24287754947591475</v>
      </c>
      <c r="T684" s="66">
        <f t="shared" si="1472"/>
        <v>0.16886233507592729</v>
      </c>
      <c r="U684" s="66">
        <f t="shared" si="1472"/>
        <v>0.1095642288745737</v>
      </c>
      <c r="V684" s="66">
        <f t="shared" si="1472"/>
        <v>0.11059370681407463</v>
      </c>
      <c r="W684" s="66">
        <f t="shared" si="1472"/>
        <v>9.9427651921499327E-2</v>
      </c>
      <c r="X684" s="66">
        <f t="shared" si="1472"/>
        <v>0.15365054328776726</v>
      </c>
      <c r="Y684" s="66">
        <f t="shared" ref="Y684:Z684" si="1473">Y642/(Y698*1000)*Y1</f>
        <v>9.5369199146177572E-2</v>
      </c>
      <c r="Z684" s="66">
        <f t="shared" si="1473"/>
        <v>7.980915065722953E-2</v>
      </c>
      <c r="AA684" s="66">
        <f t="shared" ref="AA684:AB684" si="1474">AA642/(AA698*1000)*AA1</f>
        <v>0.12625046057479736</v>
      </c>
      <c r="AB684" s="66">
        <f t="shared" si="1474"/>
        <v>0.10748131539611359</v>
      </c>
      <c r="AC684" s="66">
        <f t="shared" si="1472"/>
        <v>0.10219999999999999</v>
      </c>
      <c r="AD684" s="66">
        <f t="shared" si="1472"/>
        <v>0.1023</v>
      </c>
      <c r="AE684" s="66">
        <f t="shared" si="1472"/>
        <v>0.10249999999999999</v>
      </c>
      <c r="AF684" s="66">
        <f t="shared" ref="AF684:AI684" si="1475">AF642/(AF698*1000)*AF1</f>
        <v>0.1027</v>
      </c>
      <c r="AG684" s="66">
        <f t="shared" si="1475"/>
        <v>0.10289999999999999</v>
      </c>
      <c r="AH684" s="66">
        <f t="shared" si="1475"/>
        <v>0.1031</v>
      </c>
      <c r="AI684" s="66">
        <f t="shared" si="1475"/>
        <v>0.10329999999999998</v>
      </c>
      <c r="AJ684" s="66"/>
      <c r="AK684" s="66"/>
      <c r="AL684" s="66"/>
      <c r="AM684" s="66"/>
      <c r="AN684" s="66"/>
      <c r="AO684" s="66"/>
      <c r="AP684" s="66"/>
      <c r="AQ684" s="66"/>
      <c r="AS684" s="35" t="s">
        <v>971</v>
      </c>
      <c r="AT684" s="9"/>
      <c r="AU684" s="66">
        <f t="shared" ref="AU684:BD684" si="1476">AU642/(AU698*1000)*AU1</f>
        <v>5.6206652512384998E-2</v>
      </c>
      <c r="AV684" s="66">
        <f t="shared" si="1476"/>
        <v>7.3977585113131739E-2</v>
      </c>
      <c r="AW684" s="66">
        <f t="shared" si="1476"/>
        <v>9.9633737425844707E-2</v>
      </c>
      <c r="AX684" s="66">
        <f t="shared" si="1476"/>
        <v>0.16143685687558465</v>
      </c>
      <c r="AY684" s="66">
        <f t="shared" si="1476"/>
        <v>0.12418886198547216</v>
      </c>
      <c r="AZ684" s="66">
        <f t="shared" si="1476"/>
        <v>0.11504132231404961</v>
      </c>
      <c r="BA684" s="66">
        <f t="shared" si="1476"/>
        <v>0.1036514793227524</v>
      </c>
      <c r="BB684" s="66">
        <f t="shared" ref="BB684" si="1477">BB642/(BB698*1000)*BB1</f>
        <v>0.10292702146471108</v>
      </c>
      <c r="BC684" s="66">
        <f t="shared" si="1476"/>
        <v>0.10349999999999999</v>
      </c>
      <c r="BD684" s="66">
        <f t="shared" si="1476"/>
        <v>0.10399999999999998</v>
      </c>
      <c r="BE684" s="66">
        <f t="shared" ref="BE684" si="1478">BE642/(BE698*1000)*BE1</f>
        <v>0.104</v>
      </c>
      <c r="BM684"/>
      <c r="BN684"/>
      <c r="BO684"/>
      <c r="BP684"/>
      <c r="BQ684"/>
      <c r="BR684"/>
    </row>
    <row r="685" spans="2:74" s="70" customFormat="1" x14ac:dyDescent="0.2">
      <c r="B685" s="382"/>
      <c r="C685" s="382"/>
      <c r="D685" s="587"/>
      <c r="E685" s="593"/>
      <c r="F685" s="593"/>
      <c r="G685" s="593"/>
      <c r="H685" s="593"/>
      <c r="I685" s="593"/>
      <c r="J685" s="594"/>
      <c r="K685" s="594"/>
      <c r="L685" s="382"/>
      <c r="M685" s="594"/>
      <c r="N685" s="594"/>
      <c r="O685" s="594"/>
      <c r="P685" s="382"/>
      <c r="Q685" s="594"/>
      <c r="R685" s="594"/>
      <c r="S685" s="594"/>
      <c r="T685" s="382"/>
      <c r="U685" s="594"/>
      <c r="V685" s="594"/>
      <c r="W685" s="594"/>
      <c r="X685" s="9"/>
      <c r="Y685" s="1215"/>
      <c r="Z685" s="1688"/>
      <c r="AA685" s="1742"/>
      <c r="AB685" s="1785"/>
      <c r="AC685" s="9"/>
      <c r="AD685" s="9"/>
      <c r="AE685" s="1740"/>
      <c r="AF685" s="1740"/>
      <c r="AG685" s="1740"/>
      <c r="AH685" s="1740"/>
      <c r="AI685" s="1707"/>
      <c r="AJ685" s="1740"/>
      <c r="AK685" s="1740"/>
      <c r="AL685" s="1740"/>
      <c r="AM685" s="1740"/>
      <c r="AN685" s="1740"/>
      <c r="AO685" s="1740"/>
      <c r="AP685" s="1740"/>
      <c r="AQ685" s="1740"/>
      <c r="AS685" s="382"/>
      <c r="AT685" s="382"/>
      <c r="BC685" s="9"/>
      <c r="BD685" s="1704"/>
      <c r="BE685" s="1702"/>
      <c r="BM685"/>
      <c r="BN685"/>
      <c r="BO685"/>
      <c r="BP685"/>
      <c r="BQ685"/>
      <c r="BR685"/>
    </row>
    <row r="686" spans="2:74" s="70" customFormat="1" x14ac:dyDescent="0.2">
      <c r="B686" s="574" t="s">
        <v>225</v>
      </c>
      <c r="C686" s="525"/>
      <c r="D686" s="595"/>
      <c r="E686" s="596"/>
      <c r="F686" s="596"/>
      <c r="G686" s="596"/>
      <c r="H686" s="596"/>
      <c r="I686" s="596"/>
      <c r="J686" s="597"/>
      <c r="K686" s="597"/>
      <c r="L686" s="525"/>
      <c r="M686" s="597"/>
      <c r="N686" s="597"/>
      <c r="O686" s="597"/>
      <c r="P686" s="525"/>
      <c r="Q686" s="597"/>
      <c r="R686" s="597"/>
      <c r="S686" s="597"/>
      <c r="T686" s="525"/>
      <c r="U686" s="597"/>
      <c r="V686" s="597"/>
      <c r="W686" s="597"/>
      <c r="X686" s="12"/>
      <c r="Y686" s="12"/>
      <c r="Z686" s="12"/>
      <c r="AA686" s="12"/>
      <c r="AB686" s="12"/>
      <c r="AC686" s="12"/>
      <c r="AD686" s="12"/>
      <c r="AE686" s="12"/>
      <c r="AF686" s="12"/>
      <c r="AG686" s="12"/>
      <c r="AH686" s="12"/>
      <c r="AI686" s="12"/>
      <c r="AJ686" s="12"/>
      <c r="AK686" s="12"/>
      <c r="AL686" s="12"/>
      <c r="AM686" s="12"/>
      <c r="AN686" s="12"/>
      <c r="AO686" s="12"/>
      <c r="AP686" s="12"/>
      <c r="AQ686" s="12"/>
      <c r="AS686" s="574" t="s">
        <v>225</v>
      </c>
      <c r="AT686" s="525"/>
      <c r="AU686" s="389"/>
      <c r="AV686" s="389"/>
      <c r="AW686" s="389"/>
      <c r="AX686" s="389"/>
      <c r="AY686" s="389"/>
      <c r="AZ686" s="389"/>
      <c r="BA686" s="389"/>
      <c r="BB686" s="389"/>
      <c r="BC686" s="12"/>
      <c r="BD686" s="12"/>
      <c r="BE686" s="12"/>
      <c r="BF686" s="390"/>
      <c r="BG686" s="390"/>
      <c r="BH686" s="390"/>
      <c r="BI686" s="390"/>
      <c r="BJ686" s="390"/>
      <c r="BK686" s="390"/>
      <c r="BL686" s="390"/>
      <c r="BM686"/>
      <c r="BN686"/>
      <c r="BO686"/>
      <c r="BP686"/>
      <c r="BQ686"/>
      <c r="BR686"/>
      <c r="BS686" s="390"/>
      <c r="BT686" s="390"/>
      <c r="BU686" s="390"/>
      <c r="BV686" s="390"/>
    </row>
    <row r="687" spans="2:74" s="70" customFormat="1" x14ac:dyDescent="0.2">
      <c r="B687" s="325" t="s">
        <v>297</v>
      </c>
      <c r="C687" s="9"/>
      <c r="D687" s="9"/>
      <c r="E687" s="9"/>
      <c r="F687" s="9"/>
      <c r="G687" s="9"/>
      <c r="H687" s="9"/>
      <c r="I687" s="9"/>
      <c r="J687" s="9"/>
      <c r="K687" s="9"/>
      <c r="L687" s="9"/>
      <c r="M687" s="9"/>
      <c r="N687" s="9"/>
      <c r="O687" s="9"/>
      <c r="P687" s="9"/>
      <c r="Q687" s="9"/>
      <c r="R687" s="9"/>
      <c r="S687" s="9"/>
      <c r="T687" s="9"/>
      <c r="U687" s="9"/>
      <c r="V687" s="9"/>
      <c r="W687" s="9"/>
      <c r="X687" s="9"/>
      <c r="Y687" s="1215"/>
      <c r="Z687" s="1688"/>
      <c r="AA687" s="1742"/>
      <c r="AB687" s="1785"/>
      <c r="AC687" s="9"/>
      <c r="AD687" s="9"/>
      <c r="AE687" s="1740"/>
      <c r="AF687" s="1740"/>
      <c r="AG687" s="1740"/>
      <c r="AH687" s="1740"/>
      <c r="AI687" s="1707"/>
      <c r="AJ687" s="1740"/>
      <c r="AK687" s="1740"/>
      <c r="AL687" s="1740"/>
      <c r="AM687" s="1740"/>
      <c r="AN687" s="1740"/>
      <c r="AO687" s="1740"/>
      <c r="AP687" s="1740"/>
      <c r="AQ687" s="1740"/>
      <c r="AS687" s="325" t="s">
        <v>297</v>
      </c>
      <c r="AT687" s="9"/>
      <c r="BC687" s="9"/>
      <c r="BD687" s="1704"/>
      <c r="BE687" s="1702"/>
      <c r="BM687"/>
      <c r="BN687"/>
      <c r="BO687"/>
      <c r="BP687"/>
      <c r="BQ687"/>
      <c r="BR687"/>
    </row>
    <row r="688" spans="2:74" s="70" customFormat="1" x14ac:dyDescent="0.2">
      <c r="B688" s="10"/>
      <c r="C688" s="382" t="s">
        <v>103</v>
      </c>
      <c r="D688" s="598">
        <v>67</v>
      </c>
      <c r="E688" s="598">
        <v>64</v>
      </c>
      <c r="F688" s="598">
        <v>62</v>
      </c>
      <c r="G688" s="598">
        <v>59</v>
      </c>
      <c r="H688" s="598">
        <v>57</v>
      </c>
      <c r="I688" s="598">
        <v>53</v>
      </c>
      <c r="J688" s="598">
        <v>48</v>
      </c>
      <c r="K688" s="598">
        <v>46</v>
      </c>
      <c r="L688" s="598">
        <v>44</v>
      </c>
      <c r="M688" s="598">
        <v>42</v>
      </c>
      <c r="N688" s="598">
        <v>39</v>
      </c>
      <c r="O688" s="598">
        <v>37</v>
      </c>
      <c r="P688" s="598">
        <v>33</v>
      </c>
      <c r="Q688" s="598">
        <v>29</v>
      </c>
      <c r="R688" s="598">
        <v>28</v>
      </c>
      <c r="S688" s="598">
        <v>26</v>
      </c>
      <c r="T688" s="598">
        <v>18.100000000000001</v>
      </c>
      <c r="U688" s="598">
        <v>16.5</v>
      </c>
      <c r="V688" s="598">
        <v>15.5</v>
      </c>
      <c r="W688" s="598">
        <v>13.9</v>
      </c>
      <c r="X688" s="598">
        <v>12.3</v>
      </c>
      <c r="Y688" s="598">
        <v>11.4</v>
      </c>
      <c r="Z688" s="598">
        <v>10.199999999999999</v>
      </c>
      <c r="AA688" s="598">
        <v>9.4</v>
      </c>
      <c r="AB688" s="598">
        <v>9</v>
      </c>
      <c r="AC688" s="188">
        <f t="shared" ref="AC688:AE689" si="1479">AB688*AC$690/AB$690</f>
        <v>8.5500000000000007</v>
      </c>
      <c r="AD688" s="188">
        <f t="shared" si="1479"/>
        <v>8.1225000000000005</v>
      </c>
      <c r="AE688" s="188">
        <f t="shared" si="1479"/>
        <v>7.7163750000000011</v>
      </c>
      <c r="AF688" s="188">
        <f t="shared" ref="AF688:AF689" si="1480">AE688*AF$690/AE$690</f>
        <v>7.2533925000000012</v>
      </c>
      <c r="AG688" s="188">
        <f t="shared" ref="AG688:AG689" si="1481">AF688*AG$690/AF$690</f>
        <v>6.8181889500000015</v>
      </c>
      <c r="AH688" s="188">
        <f t="shared" ref="AH688:AH689" si="1482">AG688*AH$690/AG$690</f>
        <v>6.477279502500001</v>
      </c>
      <c r="AI688" s="188">
        <f t="shared" ref="AI688:AI689" si="1483">AH688*AI$690/AH$690</f>
        <v>6.1534155273750004</v>
      </c>
      <c r="AJ688" s="188"/>
      <c r="AK688" s="188"/>
      <c r="AL688" s="188"/>
      <c r="AM688" s="188"/>
      <c r="AN688" s="188"/>
      <c r="AO688" s="188"/>
      <c r="AP688" s="188"/>
      <c r="AQ688" s="188"/>
      <c r="AS688" s="10"/>
      <c r="AT688" s="382" t="s">
        <v>103</v>
      </c>
      <c r="AU688" s="235">
        <f>AVERAGE(D688:G688)</f>
        <v>63</v>
      </c>
      <c r="AV688" s="235">
        <f>AVERAGE(H688:K688)</f>
        <v>51</v>
      </c>
      <c r="AW688" s="235">
        <f>AVERAGE(L688:O688)</f>
        <v>40.5</v>
      </c>
      <c r="AX688" s="235">
        <f>AVERAGE(P688:S688)</f>
        <v>29</v>
      </c>
      <c r="AY688" s="235">
        <f>AVERAGE(T688:W688)</f>
        <v>16</v>
      </c>
      <c r="AZ688" s="235">
        <f>AVERAGE(X688:AA688)</f>
        <v>10.825000000000001</v>
      </c>
      <c r="BA688" s="235">
        <f>AVERAGE(AB688:AE688)</f>
        <v>8.3472187499999997</v>
      </c>
      <c r="BB688" s="235">
        <f>AVERAGE(AF688:AI688)</f>
        <v>6.6755691199687508</v>
      </c>
      <c r="BC688" s="188">
        <f t="shared" ref="BC688:BE689" si="1484">BB688*BC$690/BB$690</f>
        <v>5.3404552959750013</v>
      </c>
      <c r="BD688" s="188">
        <f t="shared" si="1484"/>
        <v>4.2723642367800014</v>
      </c>
      <c r="BE688" s="188">
        <f t="shared" si="1484"/>
        <v>3.4178913894240011</v>
      </c>
      <c r="BM688"/>
      <c r="BN688"/>
      <c r="BO688"/>
      <c r="BP688"/>
      <c r="BQ688"/>
      <c r="BR688"/>
    </row>
    <row r="689" spans="1:74" x14ac:dyDescent="0.2">
      <c r="A689" s="830"/>
      <c r="C689" s="580" t="s">
        <v>104</v>
      </c>
      <c r="D689" s="598">
        <v>40</v>
      </c>
      <c r="E689" s="598">
        <v>38</v>
      </c>
      <c r="F689" s="598">
        <v>37</v>
      </c>
      <c r="G689" s="598">
        <v>35</v>
      </c>
      <c r="H689" s="598">
        <v>34</v>
      </c>
      <c r="I689" s="598">
        <v>32</v>
      </c>
      <c r="J689" s="598">
        <v>31</v>
      </c>
      <c r="K689" s="598">
        <v>29</v>
      </c>
      <c r="L689" s="598">
        <v>28</v>
      </c>
      <c r="M689" s="598">
        <v>27</v>
      </c>
      <c r="N689" s="598">
        <v>26</v>
      </c>
      <c r="O689" s="598">
        <v>25</v>
      </c>
      <c r="P689" s="598">
        <v>24</v>
      </c>
      <c r="Q689" s="598">
        <v>23</v>
      </c>
      <c r="R689" s="598">
        <v>22</v>
      </c>
      <c r="S689" s="598">
        <v>21</v>
      </c>
      <c r="T689" s="598">
        <v>18.600000000000001</v>
      </c>
      <c r="U689" s="598">
        <v>18</v>
      </c>
      <c r="V689" s="598">
        <v>16.7</v>
      </c>
      <c r="W689" s="598">
        <v>15.6</v>
      </c>
      <c r="X689" s="598">
        <v>14.7</v>
      </c>
      <c r="Y689" s="598">
        <v>12.9</v>
      </c>
      <c r="Z689" s="598">
        <v>11.9</v>
      </c>
      <c r="AA689" s="598">
        <v>11.1</v>
      </c>
      <c r="AB689" s="598">
        <v>10.3</v>
      </c>
      <c r="AC689" s="203">
        <f t="shared" si="1479"/>
        <v>9.7850000000000001</v>
      </c>
      <c r="AD689" s="203">
        <f t="shared" si="1479"/>
        <v>9.29575</v>
      </c>
      <c r="AE689" s="203">
        <f t="shared" si="1479"/>
        <v>8.8309625</v>
      </c>
      <c r="AF689" s="203">
        <f t="shared" si="1480"/>
        <v>8.3011047500000004</v>
      </c>
      <c r="AG689" s="203">
        <f t="shared" si="1481"/>
        <v>7.8030384649999993</v>
      </c>
      <c r="AH689" s="203">
        <f t="shared" si="1482"/>
        <v>7.4128865417499998</v>
      </c>
      <c r="AI689" s="203">
        <f t="shared" si="1483"/>
        <v>7.0422422146624992</v>
      </c>
      <c r="AJ689" s="244"/>
      <c r="AK689" s="244"/>
      <c r="AL689" s="244"/>
      <c r="AM689" s="244"/>
      <c r="AN689" s="244"/>
      <c r="AO689" s="244"/>
      <c r="AP689" s="244"/>
      <c r="AQ689" s="244"/>
      <c r="AS689" s="10"/>
      <c r="AT689" s="580" t="s">
        <v>104</v>
      </c>
      <c r="AU689" s="236">
        <f>AVERAGE(D689:G689)</f>
        <v>37.5</v>
      </c>
      <c r="AV689" s="236">
        <f>AVERAGE(H689:K689)</f>
        <v>31.5</v>
      </c>
      <c r="AW689" s="236">
        <f>AVERAGE(L689:O689)</f>
        <v>26.5</v>
      </c>
      <c r="AX689" s="236">
        <f>AVERAGE(P689:S689)</f>
        <v>22.5</v>
      </c>
      <c r="AY689" s="236">
        <f>AVERAGE(T689:W689)</f>
        <v>17.224999999999998</v>
      </c>
      <c r="AZ689" s="236">
        <f>AVERAGE(X689:AA689)</f>
        <v>12.65</v>
      </c>
      <c r="BA689" s="236">
        <f>AVERAGE(AB689:AE689)</f>
        <v>9.5529281249999993</v>
      </c>
      <c r="BB689" s="236">
        <f>AVERAGE(AF689:AI689)</f>
        <v>7.6398179928531249</v>
      </c>
      <c r="BC689" s="203">
        <f t="shared" si="1484"/>
        <v>6.1118543942825001</v>
      </c>
      <c r="BD689" s="203">
        <f t="shared" si="1484"/>
        <v>4.8894835154259999</v>
      </c>
      <c r="BE689" s="203">
        <f t="shared" si="1484"/>
        <v>3.9115868123407997</v>
      </c>
    </row>
    <row r="690" spans="1:74" x14ac:dyDescent="0.2">
      <c r="A690" s="830"/>
      <c r="B690" s="563" t="s">
        <v>298</v>
      </c>
      <c r="D690" s="204">
        <f t="shared" ref="D690:X690" si="1485">SUM(D688:D689)</f>
        <v>107</v>
      </c>
      <c r="E690" s="204">
        <f t="shared" si="1485"/>
        <v>102</v>
      </c>
      <c r="F690" s="204">
        <f t="shared" si="1485"/>
        <v>99</v>
      </c>
      <c r="G690" s="204">
        <f t="shared" si="1485"/>
        <v>94</v>
      </c>
      <c r="H690" s="204">
        <f t="shared" si="1485"/>
        <v>91</v>
      </c>
      <c r="I690" s="204">
        <f t="shared" si="1485"/>
        <v>85</v>
      </c>
      <c r="J690" s="204">
        <f t="shared" si="1485"/>
        <v>79</v>
      </c>
      <c r="K690" s="204">
        <f t="shared" si="1485"/>
        <v>75</v>
      </c>
      <c r="L690" s="204">
        <f t="shared" si="1485"/>
        <v>72</v>
      </c>
      <c r="M690" s="204">
        <f t="shared" si="1485"/>
        <v>69</v>
      </c>
      <c r="N690" s="204">
        <f t="shared" si="1485"/>
        <v>65</v>
      </c>
      <c r="O690" s="204">
        <f t="shared" si="1485"/>
        <v>62</v>
      </c>
      <c r="P690" s="204">
        <f t="shared" si="1485"/>
        <v>57</v>
      </c>
      <c r="Q690" s="204">
        <f t="shared" si="1485"/>
        <v>52</v>
      </c>
      <c r="R690" s="204">
        <f t="shared" si="1485"/>
        <v>50</v>
      </c>
      <c r="S690" s="204">
        <f t="shared" si="1485"/>
        <v>47</v>
      </c>
      <c r="T690" s="204">
        <f t="shared" si="1485"/>
        <v>36.700000000000003</v>
      </c>
      <c r="U690" s="204">
        <f t="shared" si="1485"/>
        <v>34.5</v>
      </c>
      <c r="V690" s="204">
        <f t="shared" si="1485"/>
        <v>32.200000000000003</v>
      </c>
      <c r="W690" s="204">
        <f t="shared" si="1485"/>
        <v>29.5</v>
      </c>
      <c r="X690" s="204">
        <f t="shared" si="1485"/>
        <v>27</v>
      </c>
      <c r="Y690" s="204">
        <f t="shared" ref="Y690:Z690" si="1486">SUM(Y688:Y689)</f>
        <v>24.3</v>
      </c>
      <c r="Z690" s="204">
        <f t="shared" si="1486"/>
        <v>22.1</v>
      </c>
      <c r="AA690" s="204">
        <f t="shared" ref="AA690:AB690" si="1487">SUM(AA688:AA689)</f>
        <v>20.5</v>
      </c>
      <c r="AB690" s="204">
        <f t="shared" si="1487"/>
        <v>19.3</v>
      </c>
      <c r="AC690" s="458">
        <f>AB690*(1+Drivers!AC233)</f>
        <v>18.335000000000001</v>
      </c>
      <c r="AD690" s="458">
        <f>AC690*(1+Drivers!AD233)</f>
        <v>17.41825</v>
      </c>
      <c r="AE690" s="458">
        <f>AD690*(1+Drivers!AE233)</f>
        <v>16.547337500000001</v>
      </c>
      <c r="AF690" s="458">
        <f>AE690*(1+Drivers!AF233)</f>
        <v>15.554497250000001</v>
      </c>
      <c r="AG690" s="458">
        <f>AF690*(1+Drivers!AG233)</f>
        <v>14.621227415</v>
      </c>
      <c r="AH690" s="458">
        <f>AG690*(1+Drivers!AH233)</f>
        <v>13.89016604425</v>
      </c>
      <c r="AI690" s="458">
        <f>AH690*(1+Drivers!AI233)</f>
        <v>13.195657742037499</v>
      </c>
      <c r="AJ690" s="458"/>
      <c r="AK690" s="458"/>
      <c r="AL690" s="458"/>
      <c r="AM690" s="458"/>
      <c r="AN690" s="458"/>
      <c r="AO690" s="458"/>
      <c r="AP690" s="458"/>
      <c r="AQ690" s="458"/>
      <c r="AS690" s="563" t="s">
        <v>298</v>
      </c>
      <c r="AT690" s="9"/>
      <c r="AU690" s="235">
        <f>AVERAGE(D690:G690)</f>
        <v>100.5</v>
      </c>
      <c r="AV690" s="235">
        <f>AVERAGE(H690:K690)</f>
        <v>82.5</v>
      </c>
      <c r="AW690" s="235">
        <f>AVERAGE(L690:O690)</f>
        <v>67</v>
      </c>
      <c r="AX690" s="235">
        <f>AVERAGE(P690:S690)</f>
        <v>51.5</v>
      </c>
      <c r="AY690" s="235">
        <f>AVERAGE(T690:W690)</f>
        <v>33.225000000000001</v>
      </c>
      <c r="AZ690" s="235">
        <f>AVERAGE(X690:AA690)</f>
        <v>23.475000000000001</v>
      </c>
      <c r="BA690" s="235">
        <f>AVERAGE(AB690:AE690)</f>
        <v>17.900146875000001</v>
      </c>
      <c r="BB690" s="235">
        <f>AVERAGE(AF690:AI690)</f>
        <v>14.315387112821874</v>
      </c>
      <c r="BC690" s="458">
        <f>BB690*(1+Drivers!BC233)</f>
        <v>11.452309690257501</v>
      </c>
      <c r="BD690" s="458">
        <f>BC690*(1+Drivers!BD233)</f>
        <v>9.1618477522060005</v>
      </c>
      <c r="BE690" s="458">
        <f>BD690*(1+Drivers!BE233)</f>
        <v>7.3294782017648004</v>
      </c>
    </row>
    <row r="691" spans="1:74" x14ac:dyDescent="0.2">
      <c r="A691" s="830"/>
      <c r="B691" s="157"/>
      <c r="C691" s="25" t="s">
        <v>16</v>
      </c>
      <c r="D691" s="205">
        <f t="shared" ref="D691:X691" si="1488">D692-D690</f>
        <v>15</v>
      </c>
      <c r="E691" s="205">
        <f t="shared" si="1488"/>
        <v>15</v>
      </c>
      <c r="F691" s="205">
        <f t="shared" si="1488"/>
        <v>14</v>
      </c>
      <c r="G691" s="205">
        <f t="shared" si="1488"/>
        <v>14</v>
      </c>
      <c r="H691" s="205">
        <f t="shared" si="1488"/>
        <v>12</v>
      </c>
      <c r="I691" s="205">
        <f t="shared" si="1488"/>
        <v>12</v>
      </c>
      <c r="J691" s="205">
        <f t="shared" si="1488"/>
        <v>12</v>
      </c>
      <c r="K691" s="205">
        <f t="shared" si="1488"/>
        <v>12</v>
      </c>
      <c r="L691" s="205">
        <f t="shared" si="1488"/>
        <v>12</v>
      </c>
      <c r="M691" s="205">
        <f t="shared" si="1488"/>
        <v>12</v>
      </c>
      <c r="N691" s="205">
        <f t="shared" si="1488"/>
        <v>12</v>
      </c>
      <c r="O691" s="205">
        <f t="shared" si="1488"/>
        <v>12</v>
      </c>
      <c r="P691" s="205">
        <f t="shared" si="1488"/>
        <v>12</v>
      </c>
      <c r="Q691" s="205">
        <f t="shared" si="1488"/>
        <v>4</v>
      </c>
      <c r="R691" s="205">
        <f t="shared" si="1488"/>
        <v>3</v>
      </c>
      <c r="S691" s="205">
        <f t="shared" si="1488"/>
        <v>2</v>
      </c>
      <c r="T691" s="205">
        <f t="shared" si="1488"/>
        <v>2.6999999999999957</v>
      </c>
      <c r="U691" s="205">
        <f t="shared" si="1488"/>
        <v>2.7000000000000028</v>
      </c>
      <c r="V691" s="205">
        <f t="shared" si="1488"/>
        <v>3.1999999999999957</v>
      </c>
      <c r="W691" s="205">
        <f t="shared" si="1488"/>
        <v>2.5</v>
      </c>
      <c r="X691" s="205">
        <f t="shared" si="1488"/>
        <v>2.6000000000000014</v>
      </c>
      <c r="Y691" s="205">
        <f t="shared" ref="Y691:Z691" si="1489">Y692-Y690</f>
        <v>1.5999999999999979</v>
      </c>
      <c r="Z691" s="205">
        <f t="shared" si="1489"/>
        <v>1.7999999999999972</v>
      </c>
      <c r="AA691" s="205">
        <f t="shared" ref="AA691:AB691" si="1490">AA692-AA690</f>
        <v>1.3999999999999986</v>
      </c>
      <c r="AB691" s="205">
        <f t="shared" si="1490"/>
        <v>1.3000000000000007</v>
      </c>
      <c r="AC691" s="475">
        <f>AB691*(1+Drivers!AC234)</f>
        <v>1.2350000000000005</v>
      </c>
      <c r="AD691" s="475">
        <f>AC691*(1+Drivers!AD234)</f>
        <v>1.1732500000000006</v>
      </c>
      <c r="AE691" s="475">
        <f>AD691*(1+Drivers!AE234)</f>
        <v>1.1145875000000005</v>
      </c>
      <c r="AF691" s="475">
        <f>AE691*(1+Drivers!AF234)</f>
        <v>1.0477122500000005</v>
      </c>
      <c r="AG691" s="475">
        <f>AF691*(1+Drivers!AG234)</f>
        <v>0.9848495150000004</v>
      </c>
      <c r="AH691" s="475">
        <f>AG691*(1+Drivers!AH234)</f>
        <v>0.93560703925000033</v>
      </c>
      <c r="AI691" s="475">
        <f>AH691*(1+Drivers!AI234)</f>
        <v>0.88882668728750025</v>
      </c>
      <c r="AJ691" s="787"/>
      <c r="AK691" s="787"/>
      <c r="AL691" s="787"/>
      <c r="AM691" s="787"/>
      <c r="AN691" s="787"/>
      <c r="AO691" s="787"/>
      <c r="AP691" s="787"/>
      <c r="AQ691" s="787"/>
      <c r="AS691" s="157"/>
      <c r="AT691" s="25" t="s">
        <v>16</v>
      </c>
      <c r="AU691" s="236">
        <f>AVERAGE(D691:G691)</f>
        <v>14.5</v>
      </c>
      <c r="AV691" s="236">
        <f>AVERAGE(H691:K691)</f>
        <v>12</v>
      </c>
      <c r="AW691" s="236">
        <f>AVERAGE(L691:O691)</f>
        <v>12</v>
      </c>
      <c r="AX691" s="236">
        <f>AVERAGE(P691:S691)</f>
        <v>5.25</v>
      </c>
      <c r="AY691" s="236">
        <f>AVERAGE(T691:W691)</f>
        <v>2.7749999999999986</v>
      </c>
      <c r="AZ691" s="236">
        <f>AVERAGE(X691:AA691)</f>
        <v>1.8499999999999988</v>
      </c>
      <c r="BA691" s="236">
        <f>AVERAGE(AB691:AE691)</f>
        <v>1.2057093750000005</v>
      </c>
      <c r="BB691" s="236">
        <f>AVERAGE(AF691:AI691)</f>
        <v>0.96424887288437533</v>
      </c>
      <c r="BC691" s="475">
        <f>BB691*(1+Drivers!BC234)</f>
        <v>0.77139909830750031</v>
      </c>
      <c r="BD691" s="475">
        <f>BC691*(1+Drivers!BD234)</f>
        <v>0.61711927864600025</v>
      </c>
      <c r="BE691" s="475">
        <f>BD691*(1+Drivers!BE234)</f>
        <v>0.49369542291680024</v>
      </c>
    </row>
    <row r="692" spans="1:74" x14ac:dyDescent="0.2">
      <c r="B692" s="319" t="s">
        <v>513</v>
      </c>
      <c r="D692" s="598">
        <v>122</v>
      </c>
      <c r="E692" s="598">
        <v>117</v>
      </c>
      <c r="F692" s="598">
        <v>113</v>
      </c>
      <c r="G692" s="598">
        <v>108</v>
      </c>
      <c r="H692" s="598">
        <v>103</v>
      </c>
      <c r="I692" s="598">
        <v>97</v>
      </c>
      <c r="J692" s="598">
        <v>91</v>
      </c>
      <c r="K692" s="598">
        <v>87</v>
      </c>
      <c r="L692" s="598">
        <v>84</v>
      </c>
      <c r="M692" s="598">
        <v>81</v>
      </c>
      <c r="N692" s="598">
        <v>77</v>
      </c>
      <c r="O692" s="598">
        <v>74</v>
      </c>
      <c r="P692" s="598">
        <v>69</v>
      </c>
      <c r="Q692" s="598">
        <v>56</v>
      </c>
      <c r="R692" s="598">
        <v>53</v>
      </c>
      <c r="S692" s="598">
        <v>49</v>
      </c>
      <c r="T692" s="598">
        <v>39.4</v>
      </c>
      <c r="U692" s="598">
        <v>37.200000000000003</v>
      </c>
      <c r="V692" s="598">
        <v>35.4</v>
      </c>
      <c r="W692" s="598">
        <v>32</v>
      </c>
      <c r="X692" s="598">
        <v>29.6</v>
      </c>
      <c r="Y692" s="598">
        <v>25.9</v>
      </c>
      <c r="Z692" s="598">
        <v>23.9</v>
      </c>
      <c r="AA692" s="598">
        <v>21.9</v>
      </c>
      <c r="AB692" s="598">
        <v>20.6</v>
      </c>
      <c r="AC692" s="188">
        <f t="shared" ref="AC692:AE692" si="1491">SUM(AC690:AC691)</f>
        <v>19.57</v>
      </c>
      <c r="AD692" s="188">
        <f t="shared" si="1491"/>
        <v>18.5915</v>
      </c>
      <c r="AE692" s="188">
        <f t="shared" si="1491"/>
        <v>17.661925</v>
      </c>
      <c r="AF692" s="188">
        <f t="shared" ref="AF692:AI692" si="1492">SUM(AF690:AF691)</f>
        <v>16.602209500000001</v>
      </c>
      <c r="AG692" s="188">
        <f t="shared" si="1492"/>
        <v>15.60607693</v>
      </c>
      <c r="AH692" s="188">
        <f t="shared" si="1492"/>
        <v>14.8257730835</v>
      </c>
      <c r="AI692" s="188">
        <f t="shared" si="1492"/>
        <v>14.084484429324998</v>
      </c>
      <c r="AJ692" s="188"/>
      <c r="AK692" s="188"/>
      <c r="AL692" s="188"/>
      <c r="AM692" s="188"/>
      <c r="AN692" s="188"/>
      <c r="AO692" s="188"/>
      <c r="AP692" s="188"/>
      <c r="AQ692" s="188"/>
      <c r="AS692" s="319" t="s">
        <v>513</v>
      </c>
      <c r="AT692" s="9"/>
      <c r="AU692" s="235">
        <f>AVERAGE(D692:G692)</f>
        <v>115</v>
      </c>
      <c r="AV692" s="235">
        <f>AVERAGE(H692:K692)</f>
        <v>94.5</v>
      </c>
      <c r="AW692" s="235">
        <f>AVERAGE(L692:O692)</f>
        <v>79</v>
      </c>
      <c r="AX692" s="235">
        <f>AVERAGE(P692:S692)</f>
        <v>56.75</v>
      </c>
      <c r="AY692" s="235">
        <f>AVERAGE(T692:W692)</f>
        <v>36</v>
      </c>
      <c r="AZ692" s="235">
        <f>AVERAGE(X692:AA692)</f>
        <v>25.325000000000003</v>
      </c>
      <c r="BA692" s="235">
        <f>AVERAGE(AB692:AE692)</f>
        <v>19.105856249999999</v>
      </c>
      <c r="BB692" s="235">
        <f>AVERAGE(AF692:AI692)</f>
        <v>15.27963598570625</v>
      </c>
      <c r="BC692" s="188">
        <f>SUM(BC690:BC691)</f>
        <v>12.223708788565</v>
      </c>
      <c r="BD692" s="188">
        <f>SUM(BD690:BD691)</f>
        <v>9.7789670308520016</v>
      </c>
      <c r="BE692" s="188">
        <f>SUM(BE690:BE691)</f>
        <v>7.8231736246816004</v>
      </c>
    </row>
    <row r="693" spans="1:74" x14ac:dyDescent="0.2">
      <c r="D693" s="188"/>
      <c r="E693" s="188"/>
      <c r="F693" s="188"/>
      <c r="G693" s="188"/>
      <c r="H693" s="188"/>
      <c r="I693" s="188"/>
      <c r="J693" s="188"/>
      <c r="K693" s="188"/>
      <c r="L693" s="188"/>
      <c r="M693" s="188"/>
      <c r="N693" s="188"/>
      <c r="O693" s="188"/>
      <c r="P693" s="188"/>
      <c r="Q693" s="188"/>
      <c r="R693" s="188"/>
      <c r="S693" s="188"/>
      <c r="T693" s="188"/>
      <c r="U693" s="188"/>
      <c r="V693" s="188"/>
      <c r="W693" s="188"/>
      <c r="X693" s="188"/>
      <c r="Y693" s="188"/>
      <c r="Z693" s="188"/>
      <c r="AA693" s="188"/>
      <c r="AB693" s="188"/>
      <c r="AC693" s="188"/>
      <c r="AD693" s="188"/>
      <c r="AE693" s="188"/>
      <c r="AF693" s="188"/>
      <c r="AG693" s="188"/>
      <c r="AH693" s="188"/>
      <c r="AI693" s="188"/>
      <c r="AJ693" s="188"/>
      <c r="AK693" s="188"/>
      <c r="AL693" s="188"/>
      <c r="AM693" s="188"/>
      <c r="AN693" s="188"/>
      <c r="AO693" s="188"/>
      <c r="AP693" s="188"/>
      <c r="AQ693" s="188"/>
      <c r="AS693" s="10"/>
      <c r="AT693" s="9"/>
      <c r="BC693" s="188"/>
      <c r="BD693" s="188"/>
      <c r="BE693" s="188"/>
    </row>
    <row r="694" spans="1:74" x14ac:dyDescent="0.2">
      <c r="B694" s="325" t="s">
        <v>301</v>
      </c>
      <c r="D694" s="598">
        <v>30</v>
      </c>
      <c r="E694" s="598">
        <v>28.3</v>
      </c>
      <c r="F694" s="598">
        <v>27.7</v>
      </c>
      <c r="G694" s="598">
        <v>26.8</v>
      </c>
      <c r="H694" s="598">
        <v>25.8</v>
      </c>
      <c r="I694" s="598">
        <v>24.2</v>
      </c>
      <c r="J694" s="598">
        <v>20.8</v>
      </c>
      <c r="K694" s="598">
        <v>20.8</v>
      </c>
      <c r="L694" s="598">
        <v>19.7</v>
      </c>
      <c r="M694" s="598">
        <v>19.899999999999999</v>
      </c>
      <c r="N694" s="598">
        <v>18.600000000000001</v>
      </c>
      <c r="O694" s="598">
        <v>14.8</v>
      </c>
      <c r="P694" s="598">
        <v>12.9</v>
      </c>
      <c r="Q694" s="598">
        <v>9.9</v>
      </c>
      <c r="R694" s="598">
        <v>8.8000000000000007</v>
      </c>
      <c r="S694" s="598">
        <v>8.3000000000000007</v>
      </c>
      <c r="T694" s="598">
        <v>6.7</v>
      </c>
      <c r="U694" s="598">
        <v>6.1</v>
      </c>
      <c r="V694" s="598">
        <v>5.4</v>
      </c>
      <c r="W694" s="598">
        <v>2.4</v>
      </c>
      <c r="X694" s="598">
        <v>2.1</v>
      </c>
      <c r="Y694" s="598">
        <v>1.9</v>
      </c>
      <c r="Z694" s="598">
        <v>1.9</v>
      </c>
      <c r="AA694" s="598">
        <v>1.7</v>
      </c>
      <c r="AB694" s="598">
        <v>1.7</v>
      </c>
      <c r="AC694" s="458">
        <f>AB694*(1+Drivers!AC237)</f>
        <v>1.53</v>
      </c>
      <c r="AD694" s="458">
        <f>AC694*(1+Drivers!AD237)</f>
        <v>1.377</v>
      </c>
      <c r="AE694" s="458">
        <f>AD694*(1+Drivers!AE237)</f>
        <v>1.2393000000000001</v>
      </c>
      <c r="AF694" s="458">
        <f>AE694*(1+Drivers!AF237)</f>
        <v>1.0781910000000001</v>
      </c>
      <c r="AG694" s="458">
        <f>AF694*(1+Drivers!AG237)</f>
        <v>0.9380261700000001</v>
      </c>
      <c r="AH694" s="458">
        <f>AG694*(1+Drivers!AH237)</f>
        <v>0.80295040152000008</v>
      </c>
      <c r="AI694" s="458">
        <f>AH694*(1+Drivers!AI237)</f>
        <v>0.68732554370112009</v>
      </c>
      <c r="AJ694" s="458"/>
      <c r="AK694" s="458"/>
      <c r="AL694" s="458"/>
      <c r="AM694" s="458"/>
      <c r="AN694" s="458"/>
      <c r="AO694" s="458"/>
      <c r="AP694" s="458"/>
      <c r="AQ694" s="458"/>
      <c r="AS694" s="325" t="s">
        <v>301</v>
      </c>
      <c r="AT694" s="9"/>
      <c r="AU694" s="235">
        <f>AVERAGE(D694:G694)</f>
        <v>28.2</v>
      </c>
      <c r="AV694" s="235">
        <f>AVERAGE(H694:K694)</f>
        <v>22.9</v>
      </c>
      <c r="AW694" s="235">
        <f>AVERAGE(L694:O694)</f>
        <v>18.25</v>
      </c>
      <c r="AX694" s="235">
        <f>AVERAGE(P694:S694)</f>
        <v>9.9750000000000014</v>
      </c>
      <c r="AY694" s="235">
        <f>AVERAGE(T694:W694)</f>
        <v>5.15</v>
      </c>
      <c r="AZ694" s="235">
        <f>AVERAGE(X694:AA694)</f>
        <v>1.9000000000000001</v>
      </c>
      <c r="BA694" s="235">
        <f>AVERAGE(AB694:AE694)</f>
        <v>1.4615750000000001</v>
      </c>
      <c r="BB694" s="235">
        <f>AVERAGE(AF694:AI694)</f>
        <v>0.87662327880528002</v>
      </c>
      <c r="BC694" s="458">
        <f>BB694*(1+Drivers!BC237)</f>
        <v>0.52597396728316803</v>
      </c>
      <c r="BD694" s="458">
        <f>BC694*(1+Drivers!BD237)</f>
        <v>0.31558438036990083</v>
      </c>
      <c r="BE694" s="458">
        <f>BD694*(1+Drivers!BE237)</f>
        <v>0.18935062822194049</v>
      </c>
    </row>
    <row r="695" spans="1:74" x14ac:dyDescent="0.2">
      <c r="Y695" s="1215"/>
      <c r="Z695" s="1688"/>
      <c r="AA695" s="1742"/>
      <c r="AB695" s="1785"/>
      <c r="AS695" s="10"/>
      <c r="AT695" s="9"/>
      <c r="BC695" s="9"/>
      <c r="BD695" s="1704"/>
      <c r="BE695" s="1702"/>
    </row>
    <row r="696" spans="1:74" x14ac:dyDescent="0.2">
      <c r="B696" s="364" t="s">
        <v>523</v>
      </c>
      <c r="D696" s="139" t="s">
        <v>229</v>
      </c>
      <c r="E696" s="83">
        <f t="shared" ref="E696:AB696" si="1493">AVERAGE(D710:E710)</f>
        <v>1.0499999999999972</v>
      </c>
      <c r="F696" s="83">
        <f t="shared" si="1493"/>
        <v>1.0500000000000043</v>
      </c>
      <c r="G696" s="83">
        <f t="shared" si="1493"/>
        <v>1.0000000000000071</v>
      </c>
      <c r="H696" s="83">
        <f t="shared" si="1493"/>
        <v>0.85000000000000142</v>
      </c>
      <c r="I696" s="83">
        <f t="shared" si="1493"/>
        <v>0.79999999999999716</v>
      </c>
      <c r="J696" s="83">
        <f t="shared" si="1493"/>
        <v>0.85000000000000142</v>
      </c>
      <c r="K696" s="83">
        <f t="shared" si="1493"/>
        <v>0.80000000000000426</v>
      </c>
      <c r="L696" s="83">
        <f t="shared" si="1493"/>
        <v>0.60000000000000853</v>
      </c>
      <c r="M696" s="83">
        <f t="shared" si="1493"/>
        <v>-0.84999999999998721</v>
      </c>
      <c r="N696" s="83">
        <f t="shared" si="1493"/>
        <v>-0.99999999999999289</v>
      </c>
      <c r="O696" s="83">
        <f t="shared" si="1493"/>
        <v>-4.9999999999997158E-2</v>
      </c>
      <c r="P696" s="83">
        <f t="shared" si="1493"/>
        <v>-0.10000000000000497</v>
      </c>
      <c r="Q696" s="83">
        <f t="shared" si="1493"/>
        <v>0.14999999999999503</v>
      </c>
      <c r="R696" s="83">
        <f t="shared" si="1493"/>
        <v>0.15000000000000568</v>
      </c>
      <c r="S696" s="83">
        <f t="shared" si="1493"/>
        <v>0.15000000000000568</v>
      </c>
      <c r="T696" s="83">
        <f t="shared" si="1493"/>
        <v>0.25</v>
      </c>
      <c r="U696" s="83">
        <f t="shared" si="1493"/>
        <v>0.19999999999999929</v>
      </c>
      <c r="V696" s="83">
        <f t="shared" si="1493"/>
        <v>0.10000000000000142</v>
      </c>
      <c r="W696" s="83">
        <f t="shared" si="1493"/>
        <v>5.0000000000000711E-2</v>
      </c>
      <c r="X696" s="83">
        <f t="shared" si="1493"/>
        <v>0</v>
      </c>
      <c r="Y696" s="83">
        <f t="shared" si="1493"/>
        <v>0</v>
      </c>
      <c r="Z696" s="83">
        <f t="shared" si="1493"/>
        <v>0</v>
      </c>
      <c r="AA696" s="83">
        <f t="shared" si="1493"/>
        <v>0</v>
      </c>
      <c r="AB696" s="83">
        <f t="shared" si="1493"/>
        <v>0</v>
      </c>
      <c r="AC696" s="458">
        <f>AB696*(1+Drivers!AC239)</f>
        <v>0</v>
      </c>
      <c r="AD696" s="458">
        <f>AC696*(1+Drivers!AD239)</f>
        <v>0</v>
      </c>
      <c r="AE696" s="458">
        <f>AD696*(1+Drivers!AE239)</f>
        <v>0</v>
      </c>
      <c r="AF696" s="458">
        <f>AE696*(1+Drivers!AF239)</f>
        <v>0</v>
      </c>
      <c r="AG696" s="458">
        <f>AF696*(1+Drivers!AG239)</f>
        <v>0</v>
      </c>
      <c r="AH696" s="458">
        <f>AG696*(1+Drivers!AH239)</f>
        <v>0</v>
      </c>
      <c r="AI696" s="458">
        <f>AH696*(1+Drivers!AI239)</f>
        <v>0</v>
      </c>
      <c r="AJ696" s="458"/>
      <c r="AK696" s="458"/>
      <c r="AL696" s="458"/>
      <c r="AM696" s="458"/>
      <c r="AN696" s="458"/>
      <c r="AO696" s="458"/>
      <c r="AP696" s="458"/>
      <c r="AQ696" s="458"/>
      <c r="AS696" s="364" t="s">
        <v>523</v>
      </c>
      <c r="AT696" s="9"/>
      <c r="AU696" s="235">
        <f>AVERAGE(D696:G696)</f>
        <v>1.0333333333333361</v>
      </c>
      <c r="AV696" s="235">
        <f>AVERAGE(H696:K696)</f>
        <v>0.82500000000000107</v>
      </c>
      <c r="AW696" s="235">
        <f>AVERAGE(L696:O696)</f>
        <v>-0.32499999999999218</v>
      </c>
      <c r="AX696" s="235">
        <f>AVERAGE(P696:S696)</f>
        <v>8.7500000000000355E-2</v>
      </c>
      <c r="AY696" s="235">
        <f>AVERAGE(T696:W696)</f>
        <v>0.15000000000000036</v>
      </c>
      <c r="AZ696" s="235">
        <f>AVERAGE(X696:AA696)</f>
        <v>0</v>
      </c>
      <c r="BA696" s="235">
        <f>AVERAGE(AB696:AE696)</f>
        <v>0</v>
      </c>
      <c r="BB696" s="235">
        <f>AVERAGE(AF696:AI696)</f>
        <v>0</v>
      </c>
      <c r="BC696" s="458">
        <f>BB696*(1+Drivers!BC239)</f>
        <v>0</v>
      </c>
      <c r="BD696" s="458">
        <f>BC696*(1+Drivers!BD239)</f>
        <v>0</v>
      </c>
      <c r="BE696" s="458">
        <f>BD696*(1+Drivers!BE239)</f>
        <v>0</v>
      </c>
    </row>
    <row r="697" spans="1:74" x14ac:dyDescent="0.2">
      <c r="D697" s="22"/>
      <c r="Y697" s="1215"/>
      <c r="Z697" s="1688"/>
      <c r="AA697" s="1742"/>
      <c r="AB697" s="1785"/>
      <c r="AS697" s="10"/>
      <c r="AT697" s="9"/>
      <c r="BC697" s="9"/>
      <c r="BD697" s="1704"/>
      <c r="BE697" s="1702"/>
    </row>
    <row r="698" spans="1:74" x14ac:dyDescent="0.2">
      <c r="B698" s="364" t="s">
        <v>258</v>
      </c>
      <c r="C698" s="382"/>
      <c r="D698" s="599" t="s">
        <v>229</v>
      </c>
      <c r="E698" s="600">
        <f t="shared" ref="E698:AE698" si="1494">E692+E694+E696</f>
        <v>146.35000000000002</v>
      </c>
      <c r="F698" s="600">
        <f t="shared" si="1494"/>
        <v>141.75</v>
      </c>
      <c r="G698" s="600">
        <f t="shared" si="1494"/>
        <v>135.80000000000001</v>
      </c>
      <c r="H698" s="600">
        <f t="shared" si="1494"/>
        <v>129.65</v>
      </c>
      <c r="I698" s="600">
        <f t="shared" si="1494"/>
        <v>122</v>
      </c>
      <c r="J698" s="600">
        <f t="shared" si="1494"/>
        <v>112.65</v>
      </c>
      <c r="K698" s="600">
        <f t="shared" si="1494"/>
        <v>108.6</v>
      </c>
      <c r="L698" s="600">
        <f t="shared" si="1494"/>
        <v>104.30000000000001</v>
      </c>
      <c r="M698" s="600">
        <f t="shared" si="1494"/>
        <v>100.05000000000001</v>
      </c>
      <c r="N698" s="600">
        <f t="shared" si="1494"/>
        <v>94.6</v>
      </c>
      <c r="O698" s="600">
        <f t="shared" si="1494"/>
        <v>88.75</v>
      </c>
      <c r="P698" s="600">
        <f t="shared" si="1494"/>
        <v>81.8</v>
      </c>
      <c r="Q698" s="600">
        <f t="shared" si="1494"/>
        <v>66.05</v>
      </c>
      <c r="R698" s="600">
        <f t="shared" si="1494"/>
        <v>61.95</v>
      </c>
      <c r="S698" s="600">
        <f t="shared" si="1494"/>
        <v>57.45</v>
      </c>
      <c r="T698" s="600">
        <f t="shared" si="1494"/>
        <v>46.35</v>
      </c>
      <c r="U698" s="600">
        <f t="shared" si="1494"/>
        <v>43.5</v>
      </c>
      <c r="V698" s="600">
        <f t="shared" si="1494"/>
        <v>40.9</v>
      </c>
      <c r="W698" s="600">
        <f t="shared" si="1494"/>
        <v>34.450000000000003</v>
      </c>
      <c r="X698" s="600">
        <f t="shared" si="1494"/>
        <v>31.700000000000003</v>
      </c>
      <c r="Y698" s="600">
        <f t="shared" ref="Y698:Z698" si="1495">Y692+Y694+Y696</f>
        <v>27.799999999999997</v>
      </c>
      <c r="Z698" s="600">
        <f t="shared" si="1495"/>
        <v>25.799999999999997</v>
      </c>
      <c r="AA698" s="600">
        <f t="shared" ref="AA698:AB698" si="1496">AA692+AA694+AA696</f>
        <v>23.599999999999998</v>
      </c>
      <c r="AB698" s="600">
        <f t="shared" si="1496"/>
        <v>22.3</v>
      </c>
      <c r="AC698" s="600">
        <f t="shared" si="1494"/>
        <v>21.1</v>
      </c>
      <c r="AD698" s="600">
        <f t="shared" si="1494"/>
        <v>19.968499999999999</v>
      </c>
      <c r="AE698" s="600">
        <f t="shared" si="1494"/>
        <v>18.901225</v>
      </c>
      <c r="AF698" s="600">
        <f t="shared" ref="AF698:AI698" si="1497">AF692+AF694+AF696</f>
        <v>17.680400500000001</v>
      </c>
      <c r="AG698" s="600">
        <f t="shared" si="1497"/>
        <v>16.544103100000001</v>
      </c>
      <c r="AH698" s="600">
        <f t="shared" si="1497"/>
        <v>15.62872348502</v>
      </c>
      <c r="AI698" s="600">
        <f t="shared" si="1497"/>
        <v>14.771809973026119</v>
      </c>
      <c r="AJ698" s="600"/>
      <c r="AK698" s="600"/>
      <c r="AL698" s="600"/>
      <c r="AM698" s="600"/>
      <c r="AN698" s="600"/>
      <c r="AO698" s="600"/>
      <c r="AP698" s="600"/>
      <c r="AQ698" s="600"/>
      <c r="AS698" s="364" t="s">
        <v>258</v>
      </c>
      <c r="AT698" s="382"/>
      <c r="AU698" s="235">
        <f>AVERAGE(D698:G698)</f>
        <v>141.30000000000001</v>
      </c>
      <c r="AV698" s="235">
        <f>AVERAGE(H698:K698)</f>
        <v>118.22499999999999</v>
      </c>
      <c r="AW698" s="235">
        <f>AVERAGE(L698:O698)</f>
        <v>96.925000000000011</v>
      </c>
      <c r="AX698" s="235">
        <f>AVERAGE(P698:S698)</f>
        <v>66.8125</v>
      </c>
      <c r="AY698" s="235">
        <f>AVERAGE(T698:W698)</f>
        <v>41.3</v>
      </c>
      <c r="AZ698" s="235">
        <f>AVERAGE(X698:AA698)</f>
        <v>27.224999999999998</v>
      </c>
      <c r="BA698" s="235">
        <f>AVERAGE(AB698:AE698)</f>
        <v>20.567431250000002</v>
      </c>
      <c r="BB698" s="235">
        <f>AVERAGE(AF698:AI698)</f>
        <v>16.156259264511533</v>
      </c>
      <c r="BC698" s="600">
        <f>BC692+BC694+BC696</f>
        <v>12.749682755848168</v>
      </c>
      <c r="BD698" s="600">
        <f>BD692+BD694+BD696</f>
        <v>10.094551411221902</v>
      </c>
      <c r="BE698" s="600">
        <f>BE692+BE694+BE696</f>
        <v>8.0125242529035408</v>
      </c>
    </row>
    <row r="699" spans="1:74" x14ac:dyDescent="0.2">
      <c r="B699" s="382"/>
      <c r="C699" s="382"/>
      <c r="D699" s="601"/>
      <c r="E699" s="601"/>
      <c r="F699" s="601"/>
      <c r="G699" s="601"/>
      <c r="H699" s="382"/>
      <c r="I699" s="594"/>
      <c r="J699" s="594"/>
      <c r="K699" s="594"/>
      <c r="L699" s="382"/>
      <c r="M699" s="594"/>
      <c r="N699" s="594"/>
      <c r="O699" s="594"/>
      <c r="P699" s="382"/>
      <c r="Q699" s="594"/>
      <c r="R699" s="594"/>
      <c r="S699" s="594"/>
      <c r="T699" s="382"/>
      <c r="U699" s="594"/>
      <c r="V699" s="594"/>
      <c r="W699" s="594"/>
      <c r="X699" s="904"/>
      <c r="Y699" s="904"/>
      <c r="Z699" s="904"/>
      <c r="AA699" s="904"/>
      <c r="AB699" s="904"/>
      <c r="AS699" s="382"/>
      <c r="AT699" s="382"/>
      <c r="BC699" s="9"/>
      <c r="BD699" s="1704"/>
      <c r="BE699" s="1702"/>
    </row>
    <row r="700" spans="1:74" x14ac:dyDescent="0.2">
      <c r="B700" s="574" t="s">
        <v>212</v>
      </c>
      <c r="C700" s="525"/>
      <c r="D700" s="409"/>
      <c r="E700" s="409"/>
      <c r="F700" s="409"/>
      <c r="G700" s="409"/>
      <c r="H700" s="525"/>
      <c r="I700" s="597"/>
      <c r="J700" s="597"/>
      <c r="K700" s="597"/>
      <c r="L700" s="525"/>
      <c r="M700" s="597"/>
      <c r="N700" s="597"/>
      <c r="O700" s="597"/>
      <c r="P700" s="525"/>
      <c r="Q700" s="597"/>
      <c r="R700" s="597"/>
      <c r="S700" s="597"/>
      <c r="T700" s="525"/>
      <c r="U700" s="597"/>
      <c r="V700" s="597"/>
      <c r="W700" s="597"/>
      <c r="X700" s="597"/>
      <c r="Y700" s="597"/>
      <c r="Z700" s="597"/>
      <c r="AA700" s="12"/>
      <c r="AB700" s="12"/>
      <c r="AC700" s="12"/>
      <c r="AD700" s="12"/>
      <c r="AE700" s="12"/>
      <c r="AF700" s="12"/>
      <c r="AG700" s="12"/>
      <c r="AH700" s="12"/>
      <c r="AI700" s="12"/>
      <c r="AJ700" s="12"/>
      <c r="AK700" s="12"/>
      <c r="AL700" s="12"/>
      <c r="AM700" s="12"/>
      <c r="AN700" s="12"/>
      <c r="AO700" s="12"/>
      <c r="AP700" s="12"/>
      <c r="AQ700" s="12"/>
      <c r="AS700" s="574" t="s">
        <v>212</v>
      </c>
      <c r="AT700" s="525"/>
      <c r="AU700" s="389"/>
      <c r="AV700" s="389"/>
      <c r="AW700" s="389"/>
      <c r="AX700" s="389"/>
      <c r="AY700" s="389"/>
      <c r="AZ700" s="389"/>
      <c r="BA700" s="389"/>
      <c r="BB700" s="389"/>
      <c r="BC700" s="12"/>
      <c r="BD700" s="12"/>
      <c r="BE700" s="12"/>
      <c r="BF700" s="390"/>
      <c r="BG700" s="390"/>
      <c r="BH700" s="390"/>
      <c r="BI700" s="390"/>
      <c r="BJ700" s="390"/>
      <c r="BK700" s="390"/>
      <c r="BL700" s="390"/>
      <c r="BS700" s="390"/>
      <c r="BT700" s="390"/>
      <c r="BU700" s="390"/>
      <c r="BV700" s="390"/>
    </row>
    <row r="701" spans="1:74" x14ac:dyDescent="0.2">
      <c r="B701" s="325" t="s">
        <v>297</v>
      </c>
      <c r="Y701" s="1215"/>
      <c r="Z701" s="1688"/>
      <c r="AB701" s="1785"/>
      <c r="AS701" s="325" t="s">
        <v>297</v>
      </c>
      <c r="AT701" s="9"/>
      <c r="BC701" s="9"/>
      <c r="BD701" s="1704"/>
      <c r="BE701" s="1702"/>
    </row>
    <row r="702" spans="1:74" x14ac:dyDescent="0.2">
      <c r="C702" s="382" t="s">
        <v>103</v>
      </c>
      <c r="D702" s="598">
        <v>65</v>
      </c>
      <c r="E702" s="598">
        <v>62.6</v>
      </c>
      <c r="F702" s="598">
        <v>59.9</v>
      </c>
      <c r="G702" s="598">
        <v>57.7</v>
      </c>
      <c r="H702" s="598">
        <v>53.5</v>
      </c>
      <c r="I702" s="598">
        <v>48.6</v>
      </c>
      <c r="J702" s="598">
        <v>46.5</v>
      </c>
      <c r="K702" s="598">
        <v>44.6</v>
      </c>
      <c r="L702" s="598">
        <v>43.2</v>
      </c>
      <c r="M702" s="598">
        <v>40</v>
      </c>
      <c r="N702" s="598">
        <v>37.5</v>
      </c>
      <c r="O702" s="598">
        <v>34.4</v>
      </c>
      <c r="P702" s="598">
        <v>29.8</v>
      </c>
      <c r="Q702" s="598">
        <v>28.6</v>
      </c>
      <c r="R702" s="598">
        <v>26.4</v>
      </c>
      <c r="S702" s="598">
        <v>18.7</v>
      </c>
      <c r="T702" s="598">
        <v>17.600000000000001</v>
      </c>
      <c r="U702" s="598">
        <v>15.8</v>
      </c>
      <c r="V702" s="598">
        <v>14.8</v>
      </c>
      <c r="W702" s="598">
        <v>13.4</v>
      </c>
      <c r="X702" s="598">
        <v>12.3</v>
      </c>
      <c r="Y702" s="598">
        <v>11</v>
      </c>
      <c r="Z702" s="598">
        <v>10.1</v>
      </c>
      <c r="AA702" s="598">
        <v>9.3000000000000007</v>
      </c>
      <c r="AB702" s="598">
        <v>8.1</v>
      </c>
      <c r="AC702" s="188">
        <f t="shared" ref="AC702:AE703" si="1498">AB702*AC688/AB688</f>
        <v>7.6950000000000012</v>
      </c>
      <c r="AD702" s="188">
        <f t="shared" si="1498"/>
        <v>7.3102500000000008</v>
      </c>
      <c r="AE702" s="188">
        <f t="shared" si="1498"/>
        <v>6.9447375000000013</v>
      </c>
      <c r="AF702" s="188">
        <f t="shared" ref="AF702:AF703" si="1499">AE702*AF688/AE688</f>
        <v>6.5280532500000019</v>
      </c>
      <c r="AG702" s="188">
        <f t="shared" ref="AG702:AG703" si="1500">AF702*AG688/AF688</f>
        <v>6.1363700550000022</v>
      </c>
      <c r="AH702" s="188">
        <f t="shared" ref="AH702:AH703" si="1501">AG702*AH688/AG688</f>
        <v>5.8295515522500017</v>
      </c>
      <c r="AI702" s="188">
        <f t="shared" ref="AI702:AI703" si="1502">AH702*AI688/AH688</f>
        <v>5.5380739746375012</v>
      </c>
      <c r="AJ702" s="188"/>
      <c r="AK702" s="188"/>
      <c r="AL702" s="188"/>
      <c r="AM702" s="188"/>
      <c r="AN702" s="188"/>
      <c r="AO702" s="188"/>
      <c r="AP702" s="188"/>
      <c r="AQ702" s="188"/>
      <c r="AS702" s="10"/>
      <c r="AT702" s="382" t="s">
        <v>103</v>
      </c>
      <c r="AU702" s="235">
        <f>G702</f>
        <v>57.7</v>
      </c>
      <c r="AV702" s="235">
        <f>K702</f>
        <v>44.6</v>
      </c>
      <c r="AW702" s="235">
        <f>O702</f>
        <v>34.4</v>
      </c>
      <c r="AX702" s="235">
        <f>S702</f>
        <v>18.7</v>
      </c>
      <c r="AY702" s="235">
        <f>W702</f>
        <v>13.4</v>
      </c>
      <c r="AZ702" s="235">
        <f>AA702</f>
        <v>9.3000000000000007</v>
      </c>
      <c r="BA702" s="235">
        <f>AE702</f>
        <v>6.9447375000000013</v>
      </c>
      <c r="BB702" s="235">
        <f>AI702</f>
        <v>5.5380739746375012</v>
      </c>
      <c r="BC702" s="188">
        <f t="shared" ref="BC702:BE703" si="1503">BB702*BC688/BB688</f>
        <v>4.4304591797100015</v>
      </c>
      <c r="BD702" s="188">
        <f t="shared" si="1503"/>
        <v>3.5443673437680014</v>
      </c>
      <c r="BE702" s="188">
        <f t="shared" si="1503"/>
        <v>2.835493875014401</v>
      </c>
    </row>
    <row r="703" spans="1:74" x14ac:dyDescent="0.2">
      <c r="C703" s="580" t="s">
        <v>104</v>
      </c>
      <c r="D703" s="602">
        <v>38.6</v>
      </c>
      <c r="E703" s="602">
        <v>37.200000000000003</v>
      </c>
      <c r="F703" s="602">
        <v>35.4</v>
      </c>
      <c r="G703" s="602">
        <v>34.1</v>
      </c>
      <c r="H703" s="602">
        <v>32.6</v>
      </c>
      <c r="I703" s="602">
        <v>31.2</v>
      </c>
      <c r="J703" s="602">
        <v>29.8</v>
      </c>
      <c r="K703" s="602">
        <v>28.7</v>
      </c>
      <c r="L703" s="602">
        <v>27.7</v>
      </c>
      <c r="M703" s="602">
        <v>26.9</v>
      </c>
      <c r="N703" s="602">
        <v>25.9</v>
      </c>
      <c r="O703" s="602">
        <v>24.9</v>
      </c>
      <c r="P703" s="602">
        <v>23.8</v>
      </c>
      <c r="Q703" s="602">
        <v>22.7</v>
      </c>
      <c r="R703" s="602">
        <v>21.5</v>
      </c>
      <c r="S703" s="602">
        <v>19.100000000000001</v>
      </c>
      <c r="T703" s="602">
        <v>18.3</v>
      </c>
      <c r="U703" s="602">
        <v>17.3</v>
      </c>
      <c r="V703" s="602">
        <v>16.100000000000001</v>
      </c>
      <c r="W703" s="602">
        <v>15</v>
      </c>
      <c r="X703" s="602">
        <v>13.4</v>
      </c>
      <c r="Y703" s="602">
        <v>12.4</v>
      </c>
      <c r="Z703" s="602">
        <v>11.5</v>
      </c>
      <c r="AA703" s="602">
        <v>10.6</v>
      </c>
      <c r="AB703" s="602">
        <v>9.9</v>
      </c>
      <c r="AC703" s="203">
        <f t="shared" si="1498"/>
        <v>9.4050000000000011</v>
      </c>
      <c r="AD703" s="203">
        <f t="shared" si="1498"/>
        <v>8.9347500000000011</v>
      </c>
      <c r="AE703" s="203">
        <f t="shared" si="1498"/>
        <v>8.4880125000000017</v>
      </c>
      <c r="AF703" s="203">
        <f t="shared" si="1499"/>
        <v>7.9787317500000023</v>
      </c>
      <c r="AG703" s="203">
        <f t="shared" si="1500"/>
        <v>7.5000078450000016</v>
      </c>
      <c r="AH703" s="203">
        <f t="shared" si="1501"/>
        <v>7.125007452750002</v>
      </c>
      <c r="AI703" s="203">
        <f t="shared" si="1502"/>
        <v>6.7687570801125014</v>
      </c>
      <c r="AJ703" s="244"/>
      <c r="AK703" s="244"/>
      <c r="AL703" s="244"/>
      <c r="AM703" s="244"/>
      <c r="AN703" s="244"/>
      <c r="AO703" s="244"/>
      <c r="AP703" s="244"/>
      <c r="AQ703" s="244"/>
      <c r="AS703" s="10"/>
      <c r="AT703" s="580" t="s">
        <v>104</v>
      </c>
      <c r="AU703" s="236">
        <f>G703</f>
        <v>34.1</v>
      </c>
      <c r="AV703" s="236">
        <f>K703</f>
        <v>28.7</v>
      </c>
      <c r="AW703" s="236">
        <f>O703</f>
        <v>24.9</v>
      </c>
      <c r="AX703" s="236">
        <f>S703</f>
        <v>19.100000000000001</v>
      </c>
      <c r="AY703" s="236">
        <f>W703</f>
        <v>15</v>
      </c>
      <c r="AZ703" s="236">
        <f>AA703</f>
        <v>10.6</v>
      </c>
      <c r="BA703" s="236">
        <f>AE703</f>
        <v>8.4880125000000017</v>
      </c>
      <c r="BB703" s="236">
        <f>AI703</f>
        <v>6.7687570801125014</v>
      </c>
      <c r="BC703" s="203">
        <f t="shared" si="1503"/>
        <v>5.4150056640900006</v>
      </c>
      <c r="BD703" s="203">
        <f t="shared" si="1503"/>
        <v>4.3320045312720001</v>
      </c>
      <c r="BE703" s="203">
        <f t="shared" si="1503"/>
        <v>3.4656036250175997</v>
      </c>
    </row>
    <row r="704" spans="1:74" x14ac:dyDescent="0.2">
      <c r="B704" s="563" t="s">
        <v>298</v>
      </c>
      <c r="D704" s="77">
        <f t="shared" ref="D704:AE704" si="1504">SUM(D702:D703)</f>
        <v>103.6</v>
      </c>
      <c r="E704" s="77">
        <f t="shared" si="1504"/>
        <v>99.800000000000011</v>
      </c>
      <c r="F704" s="77">
        <f t="shared" si="1504"/>
        <v>95.3</v>
      </c>
      <c r="G704" s="77">
        <f t="shared" si="1504"/>
        <v>91.800000000000011</v>
      </c>
      <c r="H704" s="77">
        <f t="shared" si="1504"/>
        <v>86.1</v>
      </c>
      <c r="I704" s="77">
        <f t="shared" si="1504"/>
        <v>79.8</v>
      </c>
      <c r="J704" s="77">
        <f t="shared" si="1504"/>
        <v>76.3</v>
      </c>
      <c r="K704" s="77">
        <f t="shared" si="1504"/>
        <v>73.3</v>
      </c>
      <c r="L704" s="77">
        <f t="shared" si="1504"/>
        <v>70.900000000000006</v>
      </c>
      <c r="M704" s="77">
        <f t="shared" si="1504"/>
        <v>66.900000000000006</v>
      </c>
      <c r="N704" s="77">
        <f t="shared" si="1504"/>
        <v>63.4</v>
      </c>
      <c r="O704" s="77">
        <f t="shared" si="1504"/>
        <v>59.3</v>
      </c>
      <c r="P704" s="77">
        <f t="shared" si="1504"/>
        <v>53.6</v>
      </c>
      <c r="Q704" s="77">
        <f t="shared" si="1504"/>
        <v>51.3</v>
      </c>
      <c r="R704" s="77">
        <f t="shared" si="1504"/>
        <v>47.9</v>
      </c>
      <c r="S704" s="77">
        <f t="shared" si="1504"/>
        <v>37.799999999999997</v>
      </c>
      <c r="T704" s="77">
        <f t="shared" si="1504"/>
        <v>35.900000000000006</v>
      </c>
      <c r="U704" s="77">
        <f t="shared" si="1504"/>
        <v>33.1</v>
      </c>
      <c r="V704" s="77">
        <f t="shared" si="1504"/>
        <v>30.900000000000002</v>
      </c>
      <c r="W704" s="77">
        <f t="shared" si="1504"/>
        <v>28.4</v>
      </c>
      <c r="X704" s="77">
        <f t="shared" si="1504"/>
        <v>25.700000000000003</v>
      </c>
      <c r="Y704" s="77">
        <f t="shared" ref="Y704:Z704" si="1505">SUM(Y702:Y703)</f>
        <v>23.4</v>
      </c>
      <c r="Z704" s="77">
        <f t="shared" si="1505"/>
        <v>21.6</v>
      </c>
      <c r="AA704" s="77">
        <f t="shared" ref="AA704:AB704" si="1506">SUM(AA702:AA703)</f>
        <v>19.899999999999999</v>
      </c>
      <c r="AB704" s="77">
        <f t="shared" si="1506"/>
        <v>18</v>
      </c>
      <c r="AC704" s="188">
        <f t="shared" si="1504"/>
        <v>17.100000000000001</v>
      </c>
      <c r="AD704" s="188">
        <f t="shared" si="1504"/>
        <v>16.245000000000001</v>
      </c>
      <c r="AE704" s="188">
        <f t="shared" si="1504"/>
        <v>15.432750000000002</v>
      </c>
      <c r="AF704" s="188">
        <f t="shared" ref="AF704:AI704" si="1507">SUM(AF702:AF703)</f>
        <v>14.506785000000004</v>
      </c>
      <c r="AG704" s="188">
        <f t="shared" si="1507"/>
        <v>13.636377900000003</v>
      </c>
      <c r="AH704" s="188">
        <f t="shared" si="1507"/>
        <v>12.954559005000004</v>
      </c>
      <c r="AI704" s="188">
        <f t="shared" si="1507"/>
        <v>12.306831054750003</v>
      </c>
      <c r="AJ704" s="188"/>
      <c r="AK704" s="188"/>
      <c r="AL704" s="188"/>
      <c r="AM704" s="188"/>
      <c r="AN704" s="188"/>
      <c r="AO704" s="188"/>
      <c r="AP704" s="188"/>
      <c r="AQ704" s="188"/>
      <c r="AS704" s="563" t="s">
        <v>298</v>
      </c>
      <c r="AT704" s="9"/>
      <c r="AU704" s="235">
        <f t="shared" ref="AU704:BD704" si="1508">SUM(AU702:AU703)</f>
        <v>91.800000000000011</v>
      </c>
      <c r="AV704" s="235">
        <f t="shared" si="1508"/>
        <v>73.3</v>
      </c>
      <c r="AW704" s="235">
        <f t="shared" si="1508"/>
        <v>59.3</v>
      </c>
      <c r="AX704" s="235">
        <f t="shared" si="1508"/>
        <v>37.799999999999997</v>
      </c>
      <c r="AY704" s="235">
        <f t="shared" si="1508"/>
        <v>28.4</v>
      </c>
      <c r="AZ704" s="235">
        <f t="shared" si="1508"/>
        <v>19.899999999999999</v>
      </c>
      <c r="BA704" s="235">
        <f t="shared" si="1508"/>
        <v>15.432750000000002</v>
      </c>
      <c r="BB704" s="235">
        <f t="shared" ref="BB704" si="1509">SUM(BB702:BB703)</f>
        <v>12.306831054750003</v>
      </c>
      <c r="BC704" s="188">
        <f t="shared" si="1508"/>
        <v>9.8454648438000021</v>
      </c>
      <c r="BD704" s="188">
        <f t="shared" si="1508"/>
        <v>7.876371875040002</v>
      </c>
      <c r="BE704" s="188">
        <f t="shared" ref="BE704" si="1510">SUM(BE702:BE703)</f>
        <v>6.3010975000320002</v>
      </c>
    </row>
    <row r="705" spans="1:74" x14ac:dyDescent="0.2">
      <c r="B705" s="157"/>
      <c r="C705" s="25" t="s">
        <v>16</v>
      </c>
      <c r="D705" s="205">
        <f t="shared" ref="D705:X705" si="1511">D706-D704</f>
        <v>15.300000000000011</v>
      </c>
      <c r="E705" s="205">
        <f t="shared" si="1511"/>
        <v>14.799999999999983</v>
      </c>
      <c r="F705" s="205">
        <f t="shared" si="1511"/>
        <v>13.799999999999997</v>
      </c>
      <c r="G705" s="205">
        <f t="shared" si="1511"/>
        <v>13.299999999999983</v>
      </c>
      <c r="H705" s="205">
        <f t="shared" si="1511"/>
        <v>12.200000000000003</v>
      </c>
      <c r="I705" s="205">
        <f t="shared" si="1511"/>
        <v>11.900000000000006</v>
      </c>
      <c r="J705" s="205">
        <f t="shared" si="1511"/>
        <v>12</v>
      </c>
      <c r="K705" s="205">
        <f t="shared" si="1511"/>
        <v>12</v>
      </c>
      <c r="L705" s="205">
        <f t="shared" si="1511"/>
        <v>11.399999999999991</v>
      </c>
      <c r="M705" s="205">
        <f t="shared" si="1511"/>
        <v>11.599999999999994</v>
      </c>
      <c r="N705" s="205">
        <f t="shared" si="1511"/>
        <v>11.500000000000007</v>
      </c>
      <c r="O705" s="205">
        <f t="shared" si="1511"/>
        <v>11.5</v>
      </c>
      <c r="P705" s="205">
        <f t="shared" si="1511"/>
        <v>3</v>
      </c>
      <c r="Q705" s="205">
        <f t="shared" si="1511"/>
        <v>2.9000000000000057</v>
      </c>
      <c r="R705" s="205">
        <f t="shared" si="1511"/>
        <v>2.8000000000000043</v>
      </c>
      <c r="S705" s="205">
        <f t="shared" si="1511"/>
        <v>2.7000000000000028</v>
      </c>
      <c r="T705" s="205">
        <f t="shared" si="1511"/>
        <v>2.6999999999999957</v>
      </c>
      <c r="U705" s="205">
        <f t="shared" si="1511"/>
        <v>2.6000000000000014</v>
      </c>
      <c r="V705" s="205">
        <f t="shared" si="1511"/>
        <v>2.4999999999999964</v>
      </c>
      <c r="W705" s="205">
        <f t="shared" si="1511"/>
        <v>2.4000000000000021</v>
      </c>
      <c r="X705" s="205">
        <f t="shared" si="1511"/>
        <v>1.4999999999999964</v>
      </c>
      <c r="Y705" s="205">
        <f t="shared" ref="Y705:Z705" si="1512">Y706-Y704</f>
        <v>1.5</v>
      </c>
      <c r="Z705" s="205">
        <f t="shared" si="1512"/>
        <v>1.3999999999999986</v>
      </c>
      <c r="AA705" s="205">
        <f t="shared" ref="AA705:AB705" si="1513">AA706-AA704</f>
        <v>1.3000000000000007</v>
      </c>
      <c r="AB705" s="205">
        <f t="shared" si="1513"/>
        <v>1.3000000000000007</v>
      </c>
      <c r="AC705" s="203">
        <f t="shared" ref="AC705:AE705" si="1514">AB705*AC691/AB691</f>
        <v>1.2350000000000005</v>
      </c>
      <c r="AD705" s="203">
        <f t="shared" si="1514"/>
        <v>1.1732500000000006</v>
      </c>
      <c r="AE705" s="203">
        <f t="shared" si="1514"/>
        <v>1.1145875000000005</v>
      </c>
      <c r="AF705" s="203">
        <f t="shared" ref="AF705" si="1515">AE705*AF691/AE691</f>
        <v>1.0477122500000005</v>
      </c>
      <c r="AG705" s="203">
        <f t="shared" ref="AG705" si="1516">AF705*AG691/AF691</f>
        <v>0.98484951500000051</v>
      </c>
      <c r="AH705" s="203">
        <f t="shared" ref="AH705" si="1517">AG705*AH691/AG691</f>
        <v>0.93560703925000033</v>
      </c>
      <c r="AI705" s="203">
        <f t="shared" ref="AI705" si="1518">AH705*AI691/AH691</f>
        <v>0.88882668728750025</v>
      </c>
      <c r="AJ705" s="244"/>
      <c r="AK705" s="244"/>
      <c r="AL705" s="244"/>
      <c r="AM705" s="244"/>
      <c r="AN705" s="244"/>
      <c r="AO705" s="244"/>
      <c r="AP705" s="244"/>
      <c r="AQ705" s="244"/>
      <c r="AS705" s="157"/>
      <c r="AT705" s="25" t="s">
        <v>16</v>
      </c>
      <c r="AU705" s="236">
        <f>G705</f>
        <v>13.299999999999983</v>
      </c>
      <c r="AV705" s="236">
        <f>K705</f>
        <v>12</v>
      </c>
      <c r="AW705" s="236">
        <f>O705</f>
        <v>11.5</v>
      </c>
      <c r="AX705" s="236">
        <f>S705</f>
        <v>2.7000000000000028</v>
      </c>
      <c r="AY705" s="236">
        <f>W705</f>
        <v>2.4000000000000021</v>
      </c>
      <c r="AZ705" s="236">
        <f>AA705</f>
        <v>1.3000000000000007</v>
      </c>
      <c r="BA705" s="236">
        <f>AE705</f>
        <v>1.1145875000000005</v>
      </c>
      <c r="BB705" s="236">
        <f>AI705</f>
        <v>0.88882668728750025</v>
      </c>
      <c r="BC705" s="203">
        <f>BB705*BC691/BB691</f>
        <v>0.71106134983000024</v>
      </c>
      <c r="BD705" s="203">
        <f>BC705*BD691/BC691</f>
        <v>0.56884907986400024</v>
      </c>
      <c r="BE705" s="203">
        <f>BD705*BE691/BD691</f>
        <v>0.45507926389120018</v>
      </c>
    </row>
    <row r="706" spans="1:74" x14ac:dyDescent="0.2">
      <c r="B706" s="319" t="s">
        <v>513</v>
      </c>
      <c r="D706" s="598">
        <v>118.9</v>
      </c>
      <c r="E706" s="598">
        <v>114.6</v>
      </c>
      <c r="F706" s="598">
        <v>109.1</v>
      </c>
      <c r="G706" s="598">
        <v>105.1</v>
      </c>
      <c r="H706" s="598">
        <v>98.3</v>
      </c>
      <c r="I706" s="598">
        <v>91.7</v>
      </c>
      <c r="J706" s="598">
        <v>88.3</v>
      </c>
      <c r="K706" s="598">
        <v>85.3</v>
      </c>
      <c r="L706" s="598">
        <v>82.3</v>
      </c>
      <c r="M706" s="598">
        <v>78.5</v>
      </c>
      <c r="N706" s="598">
        <v>74.900000000000006</v>
      </c>
      <c r="O706" s="598">
        <v>70.8</v>
      </c>
      <c r="P706" s="598">
        <v>56.6</v>
      </c>
      <c r="Q706" s="598">
        <v>54.2</v>
      </c>
      <c r="R706" s="598">
        <v>50.7</v>
      </c>
      <c r="S706" s="598">
        <v>40.5</v>
      </c>
      <c r="T706" s="598">
        <v>38.6</v>
      </c>
      <c r="U706" s="598">
        <v>35.700000000000003</v>
      </c>
      <c r="V706" s="598">
        <v>33.4</v>
      </c>
      <c r="W706" s="598">
        <v>30.8</v>
      </c>
      <c r="X706" s="598">
        <v>27.2</v>
      </c>
      <c r="Y706" s="598">
        <v>24.9</v>
      </c>
      <c r="Z706" s="598">
        <v>23</v>
      </c>
      <c r="AA706" s="598">
        <v>21.2</v>
      </c>
      <c r="AB706" s="598">
        <v>19.3</v>
      </c>
      <c r="AC706" s="188">
        <f t="shared" ref="AC706:AE706" si="1519">SUM(AC704:AC705)</f>
        <v>18.335000000000001</v>
      </c>
      <c r="AD706" s="188">
        <f t="shared" si="1519"/>
        <v>17.41825</v>
      </c>
      <c r="AE706" s="188">
        <f t="shared" si="1519"/>
        <v>16.547337500000001</v>
      </c>
      <c r="AF706" s="188">
        <f t="shared" ref="AF706:AI706" si="1520">SUM(AF704:AF705)</f>
        <v>15.554497250000004</v>
      </c>
      <c r="AG706" s="188">
        <f t="shared" si="1520"/>
        <v>14.621227415000003</v>
      </c>
      <c r="AH706" s="188">
        <f t="shared" si="1520"/>
        <v>13.890166044250003</v>
      </c>
      <c r="AI706" s="188">
        <f t="shared" si="1520"/>
        <v>13.195657742037502</v>
      </c>
      <c r="AJ706" s="188"/>
      <c r="AK706" s="188"/>
      <c r="AL706" s="188"/>
      <c r="AM706" s="188"/>
      <c r="AN706" s="188"/>
      <c r="AO706" s="188"/>
      <c r="AP706" s="188"/>
      <c r="AQ706" s="188"/>
      <c r="AS706" s="319" t="s">
        <v>513</v>
      </c>
      <c r="AT706" s="9"/>
      <c r="AU706" s="235">
        <f t="shared" ref="AU706:BD706" si="1521">SUM(AU704:AU705)</f>
        <v>105.1</v>
      </c>
      <c r="AV706" s="235">
        <f t="shared" si="1521"/>
        <v>85.3</v>
      </c>
      <c r="AW706" s="235">
        <f t="shared" si="1521"/>
        <v>70.8</v>
      </c>
      <c r="AX706" s="235">
        <f t="shared" si="1521"/>
        <v>40.5</v>
      </c>
      <c r="AY706" s="235">
        <f t="shared" si="1521"/>
        <v>30.8</v>
      </c>
      <c r="AZ706" s="235">
        <f t="shared" si="1521"/>
        <v>21.2</v>
      </c>
      <c r="BA706" s="235">
        <f t="shared" si="1521"/>
        <v>16.547337500000001</v>
      </c>
      <c r="BB706" s="235">
        <f t="shared" ref="BB706" si="1522">SUM(BB704:BB705)</f>
        <v>13.195657742037502</v>
      </c>
      <c r="BC706" s="188">
        <f t="shared" si="1521"/>
        <v>10.556526193630003</v>
      </c>
      <c r="BD706" s="188">
        <f t="shared" si="1521"/>
        <v>8.445220954904002</v>
      </c>
      <c r="BE706" s="188">
        <f t="shared" ref="BE706" si="1523">SUM(BE704:BE705)</f>
        <v>6.7561767639232002</v>
      </c>
    </row>
    <row r="707" spans="1:74" x14ac:dyDescent="0.2">
      <c r="B707" s="382"/>
      <c r="D707" s="69"/>
      <c r="E707" s="69"/>
      <c r="F707" s="69"/>
      <c r="G707" s="69"/>
      <c r="H707" s="69"/>
      <c r="I707" s="69"/>
      <c r="J707" s="69"/>
      <c r="K707" s="69"/>
      <c r="L707" s="69"/>
      <c r="M707" s="69"/>
      <c r="N707" s="69"/>
      <c r="O707" s="69"/>
      <c r="P707" s="69"/>
      <c r="Q707" s="69"/>
      <c r="R707" s="69"/>
      <c r="S707" s="69"/>
      <c r="T707" s="69"/>
      <c r="U707" s="69"/>
      <c r="V707" s="69"/>
      <c r="W707" s="69"/>
      <c r="X707" s="69"/>
      <c r="Y707" s="69"/>
      <c r="Z707" s="69"/>
      <c r="AA707" s="69"/>
      <c r="AB707" s="69"/>
      <c r="AC707" s="188"/>
      <c r="AD707" s="188"/>
      <c r="AE707" s="188"/>
      <c r="AF707" s="188"/>
      <c r="AG707" s="188"/>
      <c r="AH707" s="188"/>
      <c r="AI707" s="188"/>
      <c r="AJ707" s="188"/>
      <c r="AK707" s="188"/>
      <c r="AL707" s="188"/>
      <c r="AM707" s="188"/>
      <c r="AN707" s="188"/>
      <c r="AO707" s="188"/>
      <c r="AP707" s="188"/>
      <c r="AQ707" s="188"/>
      <c r="AS707" s="382"/>
      <c r="AT707" s="9"/>
      <c r="AU707" s="235"/>
      <c r="AV707" s="235"/>
      <c r="AW707" s="235"/>
      <c r="AX707" s="235"/>
      <c r="AY707" s="235"/>
      <c r="AZ707" s="235"/>
      <c r="BA707" s="235"/>
      <c r="BB707" s="235"/>
      <c r="BC707" s="188"/>
      <c r="BD707" s="188"/>
      <c r="BE707" s="188"/>
    </row>
    <row r="708" spans="1:74" x14ac:dyDescent="0.2">
      <c r="B708" s="325" t="s">
        <v>301</v>
      </c>
      <c r="D708" s="598">
        <v>29.4</v>
      </c>
      <c r="E708" s="598">
        <v>28.1</v>
      </c>
      <c r="F708" s="598">
        <v>27.8</v>
      </c>
      <c r="G708" s="598">
        <v>26.6</v>
      </c>
      <c r="H708" s="598">
        <v>24.9</v>
      </c>
      <c r="I708" s="598">
        <v>21</v>
      </c>
      <c r="J708" s="598">
        <v>21.2</v>
      </c>
      <c r="K708" s="598">
        <v>20.7</v>
      </c>
      <c r="L708" s="598">
        <v>20.100000000000001</v>
      </c>
      <c r="M708" s="598">
        <v>19.899999999999999</v>
      </c>
      <c r="N708" s="598">
        <v>15.4</v>
      </c>
      <c r="O708" s="598">
        <v>14.4</v>
      </c>
      <c r="P708" s="598">
        <v>10.199999999999999</v>
      </c>
      <c r="Q708" s="598">
        <v>9.4</v>
      </c>
      <c r="R708" s="598">
        <v>8.6999999999999993</v>
      </c>
      <c r="S708" s="598">
        <v>8.1999999999999993</v>
      </c>
      <c r="T708" s="598">
        <v>6.4</v>
      </c>
      <c r="U708" s="598">
        <v>5.5</v>
      </c>
      <c r="V708" s="598">
        <v>5.5</v>
      </c>
      <c r="W708" s="598">
        <v>2.4</v>
      </c>
      <c r="X708" s="598">
        <v>2.1</v>
      </c>
      <c r="Y708" s="598">
        <v>1.8</v>
      </c>
      <c r="Z708" s="598">
        <v>1.7</v>
      </c>
      <c r="AA708" s="598">
        <v>1.6</v>
      </c>
      <c r="AB708" s="598">
        <v>1.7</v>
      </c>
      <c r="AC708" s="188">
        <f t="shared" ref="AC708:AE708" si="1524">AB708*AC694/AB694</f>
        <v>1.53</v>
      </c>
      <c r="AD708" s="188">
        <f t="shared" si="1524"/>
        <v>1.3769999999999998</v>
      </c>
      <c r="AE708" s="188">
        <f t="shared" si="1524"/>
        <v>1.2392999999999998</v>
      </c>
      <c r="AF708" s="188">
        <f t="shared" ref="AF708" si="1525">AE708*AF694/AE694</f>
        <v>1.0781909999999999</v>
      </c>
      <c r="AG708" s="188">
        <f t="shared" ref="AG708" si="1526">AF708*AG694/AF694</f>
        <v>0.93802616999999988</v>
      </c>
      <c r="AH708" s="188">
        <f t="shared" ref="AH708" si="1527">AG708*AH694/AG694</f>
        <v>0.80295040151999986</v>
      </c>
      <c r="AI708" s="188">
        <f t="shared" ref="AI708" si="1528">AH708*AI694/AH694</f>
        <v>0.68732554370111998</v>
      </c>
      <c r="AJ708" s="188"/>
      <c r="AK708" s="188"/>
      <c r="AL708" s="188"/>
      <c r="AM708" s="188"/>
      <c r="AN708" s="188"/>
      <c r="AO708" s="188"/>
      <c r="AP708" s="188"/>
      <c r="AQ708" s="188"/>
      <c r="AS708" s="325" t="s">
        <v>301</v>
      </c>
      <c r="AT708" s="9"/>
      <c r="AU708" s="235">
        <f>G708</f>
        <v>26.6</v>
      </c>
      <c r="AV708" s="235">
        <f>K708</f>
        <v>20.7</v>
      </c>
      <c r="AW708" s="235">
        <f>O708</f>
        <v>14.4</v>
      </c>
      <c r="AX708" s="235">
        <f>S708</f>
        <v>8.1999999999999993</v>
      </c>
      <c r="AY708" s="235">
        <f>W708</f>
        <v>2.4</v>
      </c>
      <c r="AZ708" s="235">
        <f>AA708</f>
        <v>1.6</v>
      </c>
      <c r="BA708" s="235">
        <f>AE708</f>
        <v>1.2392999999999998</v>
      </c>
      <c r="BB708" s="235">
        <f>AI708</f>
        <v>0.68732554370111998</v>
      </c>
      <c r="BC708" s="188">
        <f>BB708*BC694/BB694</f>
        <v>0.41239532622067199</v>
      </c>
      <c r="BD708" s="188">
        <f>BC708*BD694/BC694</f>
        <v>0.24743719573240319</v>
      </c>
      <c r="BE708" s="188">
        <f>BD708*BE694/BD694</f>
        <v>0.14846231743944191</v>
      </c>
    </row>
    <row r="709" spans="1:74" x14ac:dyDescent="0.2">
      <c r="Y709" s="1215"/>
      <c r="Z709" s="1688"/>
      <c r="AA709" s="1742"/>
      <c r="AB709" s="1785"/>
      <c r="AC709" s="188"/>
      <c r="AD709" s="188"/>
      <c r="AE709" s="188"/>
      <c r="AF709" s="188"/>
      <c r="AG709" s="188"/>
      <c r="AH709" s="188"/>
      <c r="AI709" s="188"/>
      <c r="AJ709" s="188"/>
      <c r="AK709" s="188"/>
      <c r="AL709" s="188"/>
      <c r="AM709" s="188"/>
      <c r="AN709" s="188"/>
      <c r="AO709" s="188"/>
      <c r="AP709" s="188"/>
      <c r="AQ709" s="188"/>
      <c r="AS709" s="10"/>
      <c r="AT709" s="9"/>
      <c r="AU709" s="235"/>
      <c r="AV709" s="235"/>
      <c r="AW709" s="235"/>
      <c r="AX709" s="235"/>
      <c r="AY709" s="235"/>
      <c r="AZ709" s="235"/>
      <c r="BA709" s="235"/>
      <c r="BB709" s="235"/>
      <c r="BC709" s="188"/>
      <c r="BD709" s="188"/>
      <c r="BE709" s="188"/>
    </row>
    <row r="710" spans="1:74" x14ac:dyDescent="0.2">
      <c r="B710" s="364" t="s">
        <v>523</v>
      </c>
      <c r="D710" s="83">
        <f t="shared" ref="D710:X710" si="1529">D712-D708-D706</f>
        <v>1.0999999999999943</v>
      </c>
      <c r="E710" s="83">
        <f t="shared" si="1529"/>
        <v>1</v>
      </c>
      <c r="F710" s="83">
        <f t="shared" si="1529"/>
        <v>1.1000000000000085</v>
      </c>
      <c r="G710" s="83">
        <f t="shared" si="1529"/>
        <v>0.90000000000000568</v>
      </c>
      <c r="H710" s="83">
        <f t="shared" si="1529"/>
        <v>0.79999999999999716</v>
      </c>
      <c r="I710" s="83">
        <f t="shared" si="1529"/>
        <v>0.79999999999999716</v>
      </c>
      <c r="J710" s="83">
        <f t="shared" si="1529"/>
        <v>0.90000000000000568</v>
      </c>
      <c r="K710" s="83">
        <f t="shared" si="1529"/>
        <v>0.70000000000000284</v>
      </c>
      <c r="L710" s="83">
        <f t="shared" si="1529"/>
        <v>0.50000000000001421</v>
      </c>
      <c r="M710" s="83">
        <f t="shared" si="1529"/>
        <v>-2.1999999999999886</v>
      </c>
      <c r="N710" s="83">
        <f t="shared" si="1529"/>
        <v>0.20000000000000284</v>
      </c>
      <c r="O710" s="83">
        <f t="shared" si="1529"/>
        <v>-0.29999999999999716</v>
      </c>
      <c r="P710" s="83">
        <f t="shared" si="1529"/>
        <v>9.999999999998721E-2</v>
      </c>
      <c r="Q710" s="83">
        <f t="shared" si="1529"/>
        <v>0.20000000000000284</v>
      </c>
      <c r="R710" s="83">
        <f t="shared" si="1529"/>
        <v>0.10000000000000853</v>
      </c>
      <c r="S710" s="83">
        <f t="shared" si="1529"/>
        <v>0.20000000000000284</v>
      </c>
      <c r="T710" s="83">
        <f t="shared" si="1529"/>
        <v>0.29999999999999716</v>
      </c>
      <c r="U710" s="83">
        <f t="shared" si="1529"/>
        <v>0.10000000000000142</v>
      </c>
      <c r="V710" s="83">
        <f t="shared" si="1529"/>
        <v>0.10000000000000142</v>
      </c>
      <c r="W710" s="83">
        <f t="shared" si="1529"/>
        <v>0</v>
      </c>
      <c r="X710" s="83">
        <f t="shared" si="1529"/>
        <v>0</v>
      </c>
      <c r="Y710" s="83">
        <f t="shared" ref="Y710:Z710" si="1530">Y712-Y708-Y706</f>
        <v>0</v>
      </c>
      <c r="Z710" s="83">
        <f t="shared" si="1530"/>
        <v>0</v>
      </c>
      <c r="AA710" s="83">
        <f t="shared" ref="AA710:AB710" si="1531">AA712-AA708-AA706</f>
        <v>0</v>
      </c>
      <c r="AB710" s="83">
        <f t="shared" si="1531"/>
        <v>0</v>
      </c>
      <c r="AC710" s="219" t="str">
        <f t="shared" ref="AC710:AE710" si="1532">IFERROR(AB710*AC696/AB696,"NA")</f>
        <v>NA</v>
      </c>
      <c r="AD710" s="219" t="str">
        <f t="shared" si="1532"/>
        <v>NA</v>
      </c>
      <c r="AE710" s="219" t="str">
        <f t="shared" si="1532"/>
        <v>NA</v>
      </c>
      <c r="AF710" s="219" t="str">
        <f t="shared" ref="AF710" si="1533">IFERROR(AE710*AF696/AE696,"NA")</f>
        <v>NA</v>
      </c>
      <c r="AG710" s="219" t="str">
        <f t="shared" ref="AG710" si="1534">IFERROR(AF710*AG696/AF696,"NA")</f>
        <v>NA</v>
      </c>
      <c r="AH710" s="219" t="str">
        <f t="shared" ref="AH710" si="1535">IFERROR(AG710*AH696/AG696,"NA")</f>
        <v>NA</v>
      </c>
      <c r="AI710" s="219" t="str">
        <f t="shared" ref="AI710" si="1536">IFERROR(AH710*AI696/AH696,"NA")</f>
        <v>NA</v>
      </c>
      <c r="AJ710" s="219"/>
      <c r="AK710" s="219"/>
      <c r="AL710" s="219"/>
      <c r="AM710" s="219"/>
      <c r="AN710" s="219"/>
      <c r="AO710" s="219"/>
      <c r="AP710" s="219"/>
      <c r="AQ710" s="219"/>
      <c r="AS710" s="364" t="s">
        <v>523</v>
      </c>
      <c r="AT710" s="9"/>
      <c r="AU710" s="235">
        <f>G710</f>
        <v>0.90000000000000568</v>
      </c>
      <c r="AV710" s="235">
        <f>K710</f>
        <v>0.70000000000000284</v>
      </c>
      <c r="AW710" s="235">
        <f>O710</f>
        <v>-0.29999999999999716</v>
      </c>
      <c r="AX710" s="235">
        <f>S710</f>
        <v>0.20000000000000284</v>
      </c>
      <c r="AY710" s="235">
        <f>W710</f>
        <v>0</v>
      </c>
      <c r="AZ710" s="253">
        <f>AA710</f>
        <v>0</v>
      </c>
      <c r="BA710" s="253" t="str">
        <f>AE710</f>
        <v>NA</v>
      </c>
      <c r="BB710" s="253" t="str">
        <f>AI710</f>
        <v>NA</v>
      </c>
      <c r="BC710" s="219" t="str">
        <f>IFERROR(BB710*BC696/BB696,"NA")</f>
        <v>NA</v>
      </c>
      <c r="BD710" s="219" t="str">
        <f>IFERROR(BC710*BD696/BC696,"NA")</f>
        <v>NA</v>
      </c>
      <c r="BE710" s="219" t="str">
        <f>IFERROR(BD710*BE696/BD696,"NA")</f>
        <v>NA</v>
      </c>
    </row>
    <row r="711" spans="1:74" x14ac:dyDescent="0.2">
      <c r="Y711" s="1215"/>
      <c r="Z711" s="1688"/>
      <c r="AA711" s="1742"/>
      <c r="AB711" s="1785"/>
      <c r="AC711" s="188"/>
      <c r="AD711" s="188"/>
      <c r="AE711" s="188"/>
      <c r="AF711" s="188"/>
      <c r="AG711" s="188"/>
      <c r="AH711" s="188"/>
      <c r="AI711" s="188"/>
      <c r="AJ711" s="188"/>
      <c r="AK711" s="188"/>
      <c r="AL711" s="188"/>
      <c r="AM711" s="188"/>
      <c r="AN711" s="188"/>
      <c r="AO711" s="188"/>
      <c r="AP711" s="188"/>
      <c r="AQ711" s="188"/>
      <c r="AS711" s="10"/>
      <c r="AT711" s="9"/>
      <c r="AU711" s="235"/>
      <c r="AV711" s="235"/>
      <c r="AW711" s="235"/>
      <c r="AX711" s="235"/>
      <c r="AY711" s="235"/>
      <c r="AZ711" s="253"/>
      <c r="BA711" s="253"/>
      <c r="BB711" s="253"/>
      <c r="BC711" s="219"/>
      <c r="BD711" s="219"/>
      <c r="BE711" s="219"/>
    </row>
    <row r="712" spans="1:74" x14ac:dyDescent="0.2">
      <c r="B712" s="364" t="s">
        <v>258</v>
      </c>
      <c r="C712" s="382"/>
      <c r="D712" s="603">
        <f t="shared" ref="D712:X712" si="1537">D997</f>
        <v>149.4</v>
      </c>
      <c r="E712" s="603">
        <f t="shared" si="1537"/>
        <v>143.69999999999999</v>
      </c>
      <c r="F712" s="603">
        <f t="shared" si="1537"/>
        <v>138</v>
      </c>
      <c r="G712" s="603">
        <f t="shared" si="1537"/>
        <v>132.6</v>
      </c>
      <c r="H712" s="603">
        <f t="shared" si="1537"/>
        <v>123.99999999999999</v>
      </c>
      <c r="I712" s="603">
        <f t="shared" si="1537"/>
        <v>113.5</v>
      </c>
      <c r="J712" s="603">
        <f t="shared" si="1537"/>
        <v>110.4</v>
      </c>
      <c r="K712" s="603">
        <f t="shared" si="1537"/>
        <v>106.7</v>
      </c>
      <c r="L712" s="603">
        <f t="shared" si="1537"/>
        <v>102.9</v>
      </c>
      <c r="M712" s="603">
        <f t="shared" si="1537"/>
        <v>96.2</v>
      </c>
      <c r="N712" s="603">
        <f t="shared" si="1537"/>
        <v>90.500000000000014</v>
      </c>
      <c r="O712" s="603">
        <f t="shared" si="1537"/>
        <v>84.9</v>
      </c>
      <c r="P712" s="603">
        <f t="shared" si="1537"/>
        <v>66.899999999999991</v>
      </c>
      <c r="Q712" s="603">
        <f t="shared" si="1537"/>
        <v>63.800000000000004</v>
      </c>
      <c r="R712" s="603">
        <f t="shared" si="1537"/>
        <v>59.500000000000007</v>
      </c>
      <c r="S712" s="603">
        <f t="shared" si="1537"/>
        <v>48.900000000000006</v>
      </c>
      <c r="T712" s="603">
        <f t="shared" si="1537"/>
        <v>45.3</v>
      </c>
      <c r="U712" s="603">
        <f t="shared" si="1537"/>
        <v>41.300000000000004</v>
      </c>
      <c r="V712" s="603">
        <f t="shared" si="1537"/>
        <v>39</v>
      </c>
      <c r="W712" s="603">
        <f t="shared" si="1537"/>
        <v>33.200000000000003</v>
      </c>
      <c r="X712" s="603">
        <f t="shared" si="1537"/>
        <v>29.3</v>
      </c>
      <c r="Y712" s="603">
        <f t="shared" ref="Y712:Z712" si="1538">Y997</f>
        <v>26.7</v>
      </c>
      <c r="Z712" s="603">
        <f t="shared" si="1538"/>
        <v>24.7</v>
      </c>
      <c r="AA712" s="603">
        <f t="shared" ref="AA712:AB712" si="1539">AA997</f>
        <v>22.8</v>
      </c>
      <c r="AB712" s="603">
        <f t="shared" si="1539"/>
        <v>21</v>
      </c>
      <c r="AC712" s="219" t="str">
        <f t="shared" ref="AC712:AE712" si="1540">IFERROR(SUM(AC710+AC708+AC706),"NA")</f>
        <v>NA</v>
      </c>
      <c r="AD712" s="219" t="str">
        <f t="shared" si="1540"/>
        <v>NA</v>
      </c>
      <c r="AE712" s="219" t="str">
        <f t="shared" si="1540"/>
        <v>NA</v>
      </c>
      <c r="AF712" s="219" t="str">
        <f t="shared" ref="AF712:AI712" si="1541">IFERROR(SUM(AF710+AF708+AF706),"NA")</f>
        <v>NA</v>
      </c>
      <c r="AG712" s="219" t="str">
        <f t="shared" si="1541"/>
        <v>NA</v>
      </c>
      <c r="AH712" s="219" t="str">
        <f t="shared" si="1541"/>
        <v>NA</v>
      </c>
      <c r="AI712" s="219" t="str">
        <f t="shared" si="1541"/>
        <v>NA</v>
      </c>
      <c r="AJ712" s="219"/>
      <c r="AK712" s="219"/>
      <c r="AL712" s="219"/>
      <c r="AM712" s="219"/>
      <c r="AN712" s="219"/>
      <c r="AO712" s="219"/>
      <c r="AP712" s="219"/>
      <c r="AQ712" s="219"/>
      <c r="AS712" s="364" t="s">
        <v>258</v>
      </c>
      <c r="AT712" s="382"/>
      <c r="AU712" s="235">
        <f>G712</f>
        <v>132.6</v>
      </c>
      <c r="AV712" s="235">
        <f>K712</f>
        <v>106.7</v>
      </c>
      <c r="AW712" s="235">
        <f>O712</f>
        <v>84.9</v>
      </c>
      <c r="AX712" s="235">
        <f>S712</f>
        <v>48.900000000000006</v>
      </c>
      <c r="AY712" s="235">
        <f>W712</f>
        <v>33.200000000000003</v>
      </c>
      <c r="AZ712" s="253">
        <f>AA712</f>
        <v>22.8</v>
      </c>
      <c r="BA712" s="253" t="str">
        <f>AE712</f>
        <v>NA</v>
      </c>
      <c r="BB712" s="253" t="str">
        <f>AI712</f>
        <v>NA</v>
      </c>
      <c r="BC712" s="219" t="str">
        <f>IFERROR(SUM(BC710+BC708+BC706),"NA")</f>
        <v>NA</v>
      </c>
      <c r="BD712" s="219" t="str">
        <f>IFERROR(SUM(BD710+BD708+BD706),"NA")</f>
        <v>NA</v>
      </c>
      <c r="BE712" s="219" t="str">
        <f>IFERROR(SUM(BE710+BE708+BE706),"NA")</f>
        <v>NA</v>
      </c>
    </row>
    <row r="713" spans="1:74" x14ac:dyDescent="0.2">
      <c r="B713" s="382"/>
      <c r="C713" s="382"/>
      <c r="D713" s="601"/>
      <c r="E713" s="601"/>
      <c r="F713" s="601"/>
      <c r="G713" s="601"/>
      <c r="H713" s="382"/>
      <c r="I713" s="594"/>
      <c r="J713" s="594"/>
      <c r="K713" s="594"/>
      <c r="L713" s="382"/>
      <c r="M713" s="594"/>
      <c r="N713" s="594"/>
      <c r="O713" s="594"/>
      <c r="P713" s="382"/>
      <c r="Q713" s="594"/>
      <c r="R713" s="594"/>
      <c r="S713" s="594"/>
      <c r="T713" s="382"/>
      <c r="U713" s="594"/>
      <c r="V713" s="594"/>
      <c r="W713" s="594"/>
      <c r="X713" s="594"/>
      <c r="Y713" s="594"/>
      <c r="Z713" s="594"/>
      <c r="AA713" s="594"/>
      <c r="AB713" s="594"/>
      <c r="AS713" s="382"/>
      <c r="AT713" s="382"/>
    </row>
    <row r="714" spans="1:74" s="160" customFormat="1" x14ac:dyDescent="0.2">
      <c r="A714" s="829"/>
      <c r="B714" s="574" t="s">
        <v>224</v>
      </c>
      <c r="C714" s="574"/>
      <c r="D714" s="409"/>
      <c r="E714" s="409"/>
      <c r="F714" s="409"/>
      <c r="G714" s="409"/>
      <c r="H714" s="574"/>
      <c r="I714" s="604"/>
      <c r="J714" s="604"/>
      <c r="K714" s="604"/>
      <c r="L714" s="574"/>
      <c r="M714" s="604"/>
      <c r="N714" s="604"/>
      <c r="O714" s="604"/>
      <c r="P714" s="574"/>
      <c r="Q714" s="604"/>
      <c r="R714" s="604"/>
      <c r="S714" s="604"/>
      <c r="T714" s="574"/>
      <c r="U714" s="604"/>
      <c r="V714" s="604"/>
      <c r="W714" s="604"/>
      <c r="X714" s="604"/>
      <c r="Y714" s="604"/>
      <c r="Z714" s="604"/>
      <c r="AA714" s="604"/>
      <c r="AB714" s="158"/>
      <c r="AC714" s="158"/>
      <c r="AD714" s="158"/>
      <c r="AE714" s="158"/>
      <c r="AF714" s="158"/>
      <c r="AG714" s="158"/>
      <c r="AH714" s="158"/>
      <c r="AI714" s="158"/>
      <c r="AJ714" s="158"/>
      <c r="AK714" s="158"/>
      <c r="AL714" s="158"/>
      <c r="AM714" s="158"/>
      <c r="AN714" s="158"/>
      <c r="AO714" s="158"/>
      <c r="AP714" s="158"/>
      <c r="AQ714" s="158"/>
      <c r="AR714" s="70"/>
      <c r="AS714" s="574" t="s">
        <v>224</v>
      </c>
      <c r="AT714" s="574"/>
      <c r="AU714" s="389"/>
      <c r="AV714" s="389"/>
      <c r="AW714" s="389"/>
      <c r="AX714" s="389"/>
      <c r="AY714" s="389"/>
      <c r="AZ714" s="389"/>
      <c r="BA714" s="389"/>
      <c r="BB714" s="389"/>
      <c r="BC714" s="389"/>
      <c r="BD714" s="389"/>
      <c r="BE714" s="389"/>
      <c r="BF714" s="390"/>
      <c r="BG714" s="390"/>
      <c r="BH714" s="390"/>
      <c r="BI714" s="390"/>
      <c r="BJ714" s="390"/>
      <c r="BK714" s="390"/>
      <c r="BL714" s="390"/>
      <c r="BM714"/>
      <c r="BN714"/>
      <c r="BO714"/>
      <c r="BP714"/>
      <c r="BQ714"/>
      <c r="BR714"/>
      <c r="BS714" s="390"/>
      <c r="BT714" s="390"/>
      <c r="BU714" s="390"/>
      <c r="BV714" s="390"/>
    </row>
    <row r="715" spans="1:74" s="160" customFormat="1" x14ac:dyDescent="0.2">
      <c r="A715" s="829"/>
      <c r="B715" s="325" t="s">
        <v>297</v>
      </c>
      <c r="C715" s="9"/>
      <c r="D715" s="601"/>
      <c r="E715" s="601"/>
      <c r="F715" s="601"/>
      <c r="G715" s="601"/>
      <c r="H715" s="364"/>
      <c r="I715" s="605"/>
      <c r="J715" s="605"/>
      <c r="K715" s="605"/>
      <c r="L715" s="364"/>
      <c r="M715" s="605"/>
      <c r="N715" s="605"/>
      <c r="O715" s="605"/>
      <c r="P715" s="364"/>
      <c r="Q715" s="605"/>
      <c r="R715" s="605"/>
      <c r="S715" s="605"/>
      <c r="T715" s="364"/>
      <c r="U715" s="605"/>
      <c r="V715" s="605"/>
      <c r="W715" s="605"/>
      <c r="X715" s="605"/>
      <c r="Y715" s="605"/>
      <c r="Z715" s="605"/>
      <c r="AA715" s="605"/>
      <c r="AB715" s="605"/>
      <c r="AC715" s="59"/>
      <c r="AD715" s="59"/>
      <c r="AE715" s="59"/>
      <c r="AF715" s="59"/>
      <c r="AG715" s="59"/>
      <c r="AH715" s="59"/>
      <c r="AI715" s="59"/>
      <c r="AJ715" s="59"/>
      <c r="AK715" s="59"/>
      <c r="AL715" s="59"/>
      <c r="AM715" s="59"/>
      <c r="AN715" s="59"/>
      <c r="AO715" s="59"/>
      <c r="AP715" s="59"/>
      <c r="AQ715" s="59"/>
      <c r="AR715" s="70"/>
      <c r="AS715" s="325" t="s">
        <v>297</v>
      </c>
      <c r="AT715" s="9"/>
      <c r="BM715"/>
      <c r="BN715"/>
      <c r="BO715"/>
      <c r="BP715"/>
      <c r="BQ715"/>
      <c r="BR715"/>
    </row>
    <row r="716" spans="1:74" s="160" customFormat="1" x14ac:dyDescent="0.2">
      <c r="A716" s="829"/>
      <c r="B716" s="10"/>
      <c r="C716" s="382" t="s">
        <v>103</v>
      </c>
      <c r="D716" s="560">
        <v>745</v>
      </c>
      <c r="E716" s="560">
        <v>426</v>
      </c>
      <c r="F716" s="560">
        <v>622</v>
      </c>
      <c r="G716" s="560">
        <v>367</v>
      </c>
      <c r="H716" s="560">
        <v>318</v>
      </c>
      <c r="I716" s="560">
        <v>279</v>
      </c>
      <c r="J716" s="560">
        <v>211</v>
      </c>
      <c r="K716" s="560">
        <v>297</v>
      </c>
      <c r="L716" s="560">
        <v>190</v>
      </c>
      <c r="M716" s="560">
        <v>91</v>
      </c>
      <c r="N716" s="560">
        <v>137</v>
      </c>
      <c r="O716" s="560">
        <v>117</v>
      </c>
      <c r="P716" s="560">
        <v>103</v>
      </c>
      <c r="Q716" s="560">
        <v>101</v>
      </c>
      <c r="R716" s="560">
        <v>84</v>
      </c>
      <c r="S716" s="560">
        <v>65</v>
      </c>
      <c r="T716" s="560">
        <v>1</v>
      </c>
      <c r="U716" s="560">
        <v>-12</v>
      </c>
      <c r="V716" s="560">
        <v>7</v>
      </c>
      <c r="W716" s="560">
        <v>-23</v>
      </c>
      <c r="X716" s="560">
        <v>7</v>
      </c>
      <c r="Y716" s="560">
        <v>-26</v>
      </c>
      <c r="Z716" s="560">
        <v>1</v>
      </c>
      <c r="AA716" s="560">
        <v>-1</v>
      </c>
      <c r="AB716" s="560">
        <v>3</v>
      </c>
      <c r="AC716" s="32" t="s">
        <v>226</v>
      </c>
      <c r="AD716" s="32" t="s">
        <v>226</v>
      </c>
      <c r="AE716" s="32" t="s">
        <v>226</v>
      </c>
      <c r="AF716" s="32" t="s">
        <v>226</v>
      </c>
      <c r="AG716" s="32" t="s">
        <v>226</v>
      </c>
      <c r="AH716" s="32" t="s">
        <v>226</v>
      </c>
      <c r="AI716" s="32" t="s">
        <v>226</v>
      </c>
      <c r="AJ716" s="32"/>
      <c r="AK716" s="32"/>
      <c r="AL716" s="32"/>
      <c r="AM716" s="32"/>
      <c r="AN716" s="32"/>
      <c r="AO716" s="32"/>
      <c r="AP716" s="32"/>
      <c r="AQ716" s="32"/>
      <c r="AR716" s="70"/>
      <c r="AS716" s="10"/>
      <c r="AT716" s="382" t="s">
        <v>103</v>
      </c>
      <c r="AU716" s="232">
        <f>SUM(D716:G716)</f>
        <v>2160</v>
      </c>
      <c r="AV716" s="232">
        <f>SUM(H716:K716)</f>
        <v>1105</v>
      </c>
      <c r="AW716" s="232">
        <f>SUM(L716:O716)</f>
        <v>535</v>
      </c>
      <c r="AX716" s="232">
        <f>SUM(P716:S716)</f>
        <v>353</v>
      </c>
      <c r="AY716" s="232">
        <f>SUM(T716:W716)</f>
        <v>-27</v>
      </c>
      <c r="AZ716" s="32" t="s">
        <v>226</v>
      </c>
      <c r="BA716" s="32" t="s">
        <v>226</v>
      </c>
      <c r="BB716" s="32" t="s">
        <v>226</v>
      </c>
      <c r="BC716" s="32" t="s">
        <v>226</v>
      </c>
      <c r="BD716" s="32" t="s">
        <v>226</v>
      </c>
      <c r="BE716" s="32" t="s">
        <v>226</v>
      </c>
      <c r="BM716"/>
      <c r="BN716"/>
      <c r="BO716"/>
      <c r="BP716"/>
      <c r="BQ716"/>
      <c r="BR716"/>
    </row>
    <row r="717" spans="1:74" s="160" customFormat="1" x14ac:dyDescent="0.2">
      <c r="A717" s="829"/>
      <c r="B717" s="10"/>
      <c r="C717" s="580" t="s">
        <v>104</v>
      </c>
      <c r="D717" s="579">
        <v>561</v>
      </c>
      <c r="E717" s="579">
        <v>448</v>
      </c>
      <c r="F717" s="579">
        <v>863</v>
      </c>
      <c r="G717" s="579">
        <v>355</v>
      </c>
      <c r="H717" s="579">
        <v>312</v>
      </c>
      <c r="I717" s="579">
        <v>274</v>
      </c>
      <c r="J717" s="579">
        <v>212</v>
      </c>
      <c r="K717" s="579">
        <v>269</v>
      </c>
      <c r="L717" s="579">
        <v>140</v>
      </c>
      <c r="M717" s="579">
        <v>114</v>
      </c>
      <c r="N717" s="579">
        <v>98</v>
      </c>
      <c r="O717" s="579">
        <v>87</v>
      </c>
      <c r="P717" s="579">
        <v>81</v>
      </c>
      <c r="Q717" s="579">
        <v>70</v>
      </c>
      <c r="R717" s="579">
        <v>61</v>
      </c>
      <c r="S717" s="579">
        <v>56</v>
      </c>
      <c r="T717" s="579">
        <v>42</v>
      </c>
      <c r="U717" s="579">
        <v>13</v>
      </c>
      <c r="V717" s="579">
        <v>23</v>
      </c>
      <c r="W717" s="579">
        <v>25</v>
      </c>
      <c r="X717" s="579">
        <v>10</v>
      </c>
      <c r="Y717" s="579">
        <v>14</v>
      </c>
      <c r="Z717" s="579">
        <v>23</v>
      </c>
      <c r="AA717" s="579">
        <v>8</v>
      </c>
      <c r="AB717" s="579">
        <v>7</v>
      </c>
      <c r="AC717" s="98" t="s">
        <v>226</v>
      </c>
      <c r="AD717" s="98" t="s">
        <v>226</v>
      </c>
      <c r="AE717" s="98" t="s">
        <v>226</v>
      </c>
      <c r="AF717" s="98" t="s">
        <v>226</v>
      </c>
      <c r="AG717" s="98" t="s">
        <v>226</v>
      </c>
      <c r="AH717" s="98" t="s">
        <v>226</v>
      </c>
      <c r="AI717" s="98" t="s">
        <v>226</v>
      </c>
      <c r="AJ717" s="290"/>
      <c r="AK717" s="290"/>
      <c r="AL717" s="290"/>
      <c r="AM717" s="290"/>
      <c r="AN717" s="290"/>
      <c r="AO717" s="290"/>
      <c r="AP717" s="290"/>
      <c r="AQ717" s="290"/>
      <c r="AR717" s="70"/>
      <c r="AS717" s="10"/>
      <c r="AT717" s="580" t="s">
        <v>104</v>
      </c>
      <c r="AU717" s="41">
        <f>SUM(D717:G717)</f>
        <v>2227</v>
      </c>
      <c r="AV717" s="41">
        <f>SUM(H717:K717)</f>
        <v>1067</v>
      </c>
      <c r="AW717" s="41">
        <f>SUM(L717:O717)</f>
        <v>439</v>
      </c>
      <c r="AX717" s="41">
        <f>SUM(P717:S717)</f>
        <v>268</v>
      </c>
      <c r="AY717" s="41">
        <f>SUM(T717:W717)</f>
        <v>103</v>
      </c>
      <c r="AZ717" s="98" t="s">
        <v>226</v>
      </c>
      <c r="BA717" s="98" t="s">
        <v>226</v>
      </c>
      <c r="BB717" s="98" t="s">
        <v>226</v>
      </c>
      <c r="BC717" s="98" t="s">
        <v>226</v>
      </c>
      <c r="BD717" s="98" t="s">
        <v>226</v>
      </c>
      <c r="BE717" s="98" t="s">
        <v>226</v>
      </c>
      <c r="BM717"/>
      <c r="BN717"/>
      <c r="BO717"/>
      <c r="BP717"/>
      <c r="BQ717"/>
      <c r="BR717"/>
    </row>
    <row r="718" spans="1:74" s="160" customFormat="1" x14ac:dyDescent="0.2">
      <c r="A718" s="829"/>
      <c r="B718" s="563" t="s">
        <v>298</v>
      </c>
      <c r="C718" s="9"/>
      <c r="D718" s="69">
        <f t="shared" ref="D718:X718" si="1542">SUM(D716:D717)</f>
        <v>1306</v>
      </c>
      <c r="E718" s="69">
        <f t="shared" si="1542"/>
        <v>874</v>
      </c>
      <c r="F718" s="69">
        <f t="shared" si="1542"/>
        <v>1485</v>
      </c>
      <c r="G718" s="69">
        <f t="shared" si="1542"/>
        <v>722</v>
      </c>
      <c r="H718" s="69">
        <f t="shared" si="1542"/>
        <v>630</v>
      </c>
      <c r="I718" s="69">
        <f t="shared" si="1542"/>
        <v>553</v>
      </c>
      <c r="J718" s="69">
        <f t="shared" si="1542"/>
        <v>423</v>
      </c>
      <c r="K718" s="69">
        <f t="shared" si="1542"/>
        <v>566</v>
      </c>
      <c r="L718" s="69">
        <f t="shared" si="1542"/>
        <v>330</v>
      </c>
      <c r="M718" s="69">
        <f t="shared" si="1542"/>
        <v>205</v>
      </c>
      <c r="N718" s="69">
        <f t="shared" si="1542"/>
        <v>235</v>
      </c>
      <c r="O718" s="69">
        <f t="shared" si="1542"/>
        <v>204</v>
      </c>
      <c r="P718" s="69">
        <f t="shared" si="1542"/>
        <v>184</v>
      </c>
      <c r="Q718" s="69">
        <f t="shared" si="1542"/>
        <v>171</v>
      </c>
      <c r="R718" s="69">
        <f t="shared" si="1542"/>
        <v>145</v>
      </c>
      <c r="S718" s="69">
        <f t="shared" si="1542"/>
        <v>121</v>
      </c>
      <c r="T718" s="69">
        <f t="shared" si="1542"/>
        <v>43</v>
      </c>
      <c r="U718" s="69">
        <f t="shared" si="1542"/>
        <v>1</v>
      </c>
      <c r="V718" s="69">
        <f t="shared" si="1542"/>
        <v>30</v>
      </c>
      <c r="W718" s="69">
        <f t="shared" si="1542"/>
        <v>2</v>
      </c>
      <c r="X718" s="69">
        <f t="shared" si="1542"/>
        <v>17</v>
      </c>
      <c r="Y718" s="69">
        <f t="shared" ref="Y718:Z718" si="1543">SUM(Y716:Y717)</f>
        <v>-12</v>
      </c>
      <c r="Z718" s="69">
        <f t="shared" si="1543"/>
        <v>24</v>
      </c>
      <c r="AA718" s="69">
        <f t="shared" ref="AA718:AB718" si="1544">SUM(AA716:AA717)</f>
        <v>7</v>
      </c>
      <c r="AB718" s="69">
        <f t="shared" si="1544"/>
        <v>10</v>
      </c>
      <c r="AC718" s="32" t="s">
        <v>226</v>
      </c>
      <c r="AD718" s="32" t="s">
        <v>226</v>
      </c>
      <c r="AE718" s="32" t="s">
        <v>226</v>
      </c>
      <c r="AF718" s="32" t="s">
        <v>226</v>
      </c>
      <c r="AG718" s="32" t="s">
        <v>226</v>
      </c>
      <c r="AH718" s="32" t="s">
        <v>226</v>
      </c>
      <c r="AI718" s="32" t="s">
        <v>226</v>
      </c>
      <c r="AJ718" s="32"/>
      <c r="AK718" s="32"/>
      <c r="AL718" s="32"/>
      <c r="AM718" s="32"/>
      <c r="AN718" s="32"/>
      <c r="AO718" s="32"/>
      <c r="AP718" s="32"/>
      <c r="AQ718" s="32"/>
      <c r="AR718" s="70"/>
      <c r="AS718" s="563" t="s">
        <v>298</v>
      </c>
      <c r="AT718" s="9"/>
      <c r="AU718" s="232">
        <f>SUM(AU716:AU717)</f>
        <v>4387</v>
      </c>
      <c r="AV718" s="232">
        <f>SUM(AV716:AV717)</f>
        <v>2172</v>
      </c>
      <c r="AW718" s="232">
        <f>SUM(AW716:AW717)</f>
        <v>974</v>
      </c>
      <c r="AX718" s="232">
        <f>SUM(AX716:AX717)</f>
        <v>621</v>
      </c>
      <c r="AY718" s="232">
        <f>SUM(AY716:AY717)</f>
        <v>76</v>
      </c>
      <c r="AZ718" s="32" t="s">
        <v>226</v>
      </c>
      <c r="BA718" s="32" t="s">
        <v>226</v>
      </c>
      <c r="BB718" s="32" t="s">
        <v>226</v>
      </c>
      <c r="BC718" s="32" t="s">
        <v>226</v>
      </c>
      <c r="BD718" s="32" t="s">
        <v>226</v>
      </c>
      <c r="BE718" s="32" t="s">
        <v>226</v>
      </c>
      <c r="BM718"/>
      <c r="BN718"/>
      <c r="BO718"/>
      <c r="BP718"/>
      <c r="BQ718"/>
      <c r="BR718"/>
    </row>
    <row r="719" spans="1:74" s="160" customFormat="1" x14ac:dyDescent="0.2">
      <c r="A719" s="829"/>
      <c r="B719" s="157"/>
      <c r="C719" s="25" t="s">
        <v>16</v>
      </c>
      <c r="D719" s="606">
        <f t="shared" ref="D719:X719" si="1545">D720-D718</f>
        <v>276</v>
      </c>
      <c r="E719" s="606">
        <f t="shared" si="1545"/>
        <v>262</v>
      </c>
      <c r="F719" s="606">
        <f t="shared" si="1545"/>
        <v>218</v>
      </c>
      <c r="G719" s="606">
        <f t="shared" si="1545"/>
        <v>194</v>
      </c>
      <c r="H719" s="606">
        <f t="shared" si="1545"/>
        <v>205</v>
      </c>
      <c r="I719" s="606">
        <f t="shared" si="1545"/>
        <v>171</v>
      </c>
      <c r="J719" s="606">
        <f t="shared" si="1545"/>
        <v>133</v>
      </c>
      <c r="K719" s="606">
        <f t="shared" si="1545"/>
        <v>147</v>
      </c>
      <c r="L719" s="606">
        <f t="shared" si="1545"/>
        <v>144</v>
      </c>
      <c r="M719" s="606">
        <f t="shared" si="1545"/>
        <v>151</v>
      </c>
      <c r="N719" s="606">
        <f t="shared" si="1545"/>
        <v>134</v>
      </c>
      <c r="O719" s="606">
        <f t="shared" si="1545"/>
        <v>155</v>
      </c>
      <c r="P719" s="606">
        <f t="shared" si="1545"/>
        <v>179</v>
      </c>
      <c r="Q719" s="606">
        <f t="shared" si="1545"/>
        <v>22</v>
      </c>
      <c r="R719" s="606">
        <f t="shared" si="1545"/>
        <v>21</v>
      </c>
      <c r="S719" s="606">
        <f t="shared" si="1545"/>
        <v>20</v>
      </c>
      <c r="T719" s="606">
        <f t="shared" si="1545"/>
        <v>22</v>
      </c>
      <c r="U719" s="606">
        <f t="shared" si="1545"/>
        <v>23</v>
      </c>
      <c r="V719" s="606">
        <f t="shared" si="1545"/>
        <v>22</v>
      </c>
      <c r="W719" s="606">
        <f t="shared" si="1545"/>
        <v>26</v>
      </c>
      <c r="X719" s="606">
        <f t="shared" si="1545"/>
        <v>26</v>
      </c>
      <c r="Y719" s="606">
        <f t="shared" ref="Y719:Z719" si="1546">Y720-Y718</f>
        <v>6</v>
      </c>
      <c r="Z719" s="606">
        <f t="shared" si="1546"/>
        <v>3</v>
      </c>
      <c r="AA719" s="606">
        <f t="shared" ref="AA719:AB719" si="1547">AA720-AA718</f>
        <v>3</v>
      </c>
      <c r="AB719" s="606">
        <f t="shared" si="1547"/>
        <v>2</v>
      </c>
      <c r="AC719" s="98" t="s">
        <v>226</v>
      </c>
      <c r="AD719" s="98" t="s">
        <v>226</v>
      </c>
      <c r="AE719" s="98" t="s">
        <v>226</v>
      </c>
      <c r="AF719" s="98" t="s">
        <v>226</v>
      </c>
      <c r="AG719" s="98" t="s">
        <v>226</v>
      </c>
      <c r="AH719" s="98" t="s">
        <v>226</v>
      </c>
      <c r="AI719" s="98" t="s">
        <v>226</v>
      </c>
      <c r="AJ719" s="290"/>
      <c r="AK719" s="290"/>
      <c r="AL719" s="290"/>
      <c r="AM719" s="290"/>
      <c r="AN719" s="290"/>
      <c r="AO719" s="290"/>
      <c r="AP719" s="290"/>
      <c r="AQ719" s="290"/>
      <c r="AR719" s="70"/>
      <c r="AS719" s="157"/>
      <c r="AT719" s="25" t="s">
        <v>16</v>
      </c>
      <c r="AU719" s="41">
        <f>SUM(D719:G719)</f>
        <v>950</v>
      </c>
      <c r="AV719" s="41">
        <f>SUM(H719:K719)</f>
        <v>656</v>
      </c>
      <c r="AW719" s="41">
        <f>SUM(L719:O719)</f>
        <v>584</v>
      </c>
      <c r="AX719" s="41">
        <f>SUM(P719:S719)</f>
        <v>242</v>
      </c>
      <c r="AY719" s="41">
        <f>SUM(T719:W719)</f>
        <v>93</v>
      </c>
      <c r="AZ719" s="98" t="s">
        <v>226</v>
      </c>
      <c r="BA719" s="98" t="s">
        <v>226</v>
      </c>
      <c r="BB719" s="98" t="s">
        <v>226</v>
      </c>
      <c r="BC719" s="98" t="s">
        <v>226</v>
      </c>
      <c r="BD719" s="98" t="s">
        <v>226</v>
      </c>
      <c r="BE719" s="98" t="s">
        <v>226</v>
      </c>
      <c r="BM719"/>
      <c r="BN719"/>
      <c r="BO719"/>
      <c r="BP719"/>
      <c r="BQ719"/>
      <c r="BR719"/>
    </row>
    <row r="720" spans="1:74" s="160" customFormat="1" x14ac:dyDescent="0.2">
      <c r="A720" s="829"/>
      <c r="B720" s="319" t="s">
        <v>513</v>
      </c>
      <c r="C720" s="9"/>
      <c r="D720" s="560">
        <v>1582</v>
      </c>
      <c r="E720" s="560">
        <v>1136</v>
      </c>
      <c r="F720" s="560">
        <v>1703</v>
      </c>
      <c r="G720" s="560">
        <v>916</v>
      </c>
      <c r="H720" s="560">
        <v>835</v>
      </c>
      <c r="I720" s="560">
        <v>724</v>
      </c>
      <c r="J720" s="560">
        <v>556</v>
      </c>
      <c r="K720" s="560">
        <v>713</v>
      </c>
      <c r="L720" s="560">
        <v>474</v>
      </c>
      <c r="M720" s="560">
        <v>356</v>
      </c>
      <c r="N720" s="560">
        <v>369</v>
      </c>
      <c r="O720" s="560">
        <v>359</v>
      </c>
      <c r="P720" s="560">
        <v>363</v>
      </c>
      <c r="Q720" s="560">
        <v>193</v>
      </c>
      <c r="R720" s="560">
        <v>166</v>
      </c>
      <c r="S720" s="560">
        <v>141</v>
      </c>
      <c r="T720" s="560">
        <v>65</v>
      </c>
      <c r="U720" s="560">
        <v>24</v>
      </c>
      <c r="V720" s="560">
        <v>52</v>
      </c>
      <c r="W720" s="560">
        <v>28</v>
      </c>
      <c r="X720" s="560">
        <v>43</v>
      </c>
      <c r="Y720" s="560">
        <v>-6</v>
      </c>
      <c r="Z720" s="560">
        <v>27</v>
      </c>
      <c r="AA720" s="560">
        <v>10</v>
      </c>
      <c r="AB720" s="560">
        <v>12</v>
      </c>
      <c r="AC720" s="32" t="s">
        <v>226</v>
      </c>
      <c r="AD720" s="32" t="s">
        <v>226</v>
      </c>
      <c r="AE720" s="32" t="s">
        <v>226</v>
      </c>
      <c r="AF720" s="32" t="s">
        <v>226</v>
      </c>
      <c r="AG720" s="32" t="s">
        <v>226</v>
      </c>
      <c r="AH720" s="32" t="s">
        <v>226</v>
      </c>
      <c r="AI720" s="32" t="s">
        <v>226</v>
      </c>
      <c r="AJ720" s="32"/>
      <c r="AK720" s="32"/>
      <c r="AL720" s="32"/>
      <c r="AM720" s="32"/>
      <c r="AN720" s="32"/>
      <c r="AO720" s="32"/>
      <c r="AP720" s="32"/>
      <c r="AQ720" s="32"/>
      <c r="AR720" s="70"/>
      <c r="AS720" s="319" t="s">
        <v>513</v>
      </c>
      <c r="AT720" s="9"/>
      <c r="AU720" s="232">
        <f>SUM(AU718:AU719)</f>
        <v>5337</v>
      </c>
      <c r="AV720" s="232">
        <f>SUM(AV718:AV719)</f>
        <v>2828</v>
      </c>
      <c r="AW720" s="232">
        <f>SUM(AW718:AW719)</f>
        <v>1558</v>
      </c>
      <c r="AX720" s="232">
        <f>SUM(AX718:AX719)</f>
        <v>863</v>
      </c>
      <c r="AY720" s="232">
        <f>SUM(AY718:AY719)</f>
        <v>169</v>
      </c>
      <c r="AZ720" s="32" t="s">
        <v>226</v>
      </c>
      <c r="BA720" s="32" t="s">
        <v>226</v>
      </c>
      <c r="BB720" s="32" t="s">
        <v>226</v>
      </c>
      <c r="BC720" s="32" t="s">
        <v>226</v>
      </c>
      <c r="BD720" s="32" t="s">
        <v>226</v>
      </c>
      <c r="BE720" s="32" t="s">
        <v>226</v>
      </c>
      <c r="BM720"/>
      <c r="BN720"/>
      <c r="BO720"/>
      <c r="BP720"/>
      <c r="BQ720"/>
      <c r="BR720"/>
    </row>
    <row r="721" spans="1:74" s="160" customFormat="1" x14ac:dyDescent="0.2">
      <c r="A721" s="829"/>
      <c r="B721" s="382"/>
      <c r="C721" s="9"/>
      <c r="D721" s="601"/>
      <c r="E721" s="601"/>
      <c r="F721" s="601"/>
      <c r="G721" s="601"/>
      <c r="H721" s="364"/>
      <c r="I721" s="605"/>
      <c r="J721" s="605"/>
      <c r="K721" s="605"/>
      <c r="L721" s="364"/>
      <c r="M721" s="605"/>
      <c r="N721" s="605"/>
      <c r="O721" s="605"/>
      <c r="P721" s="364"/>
      <c r="Q721" s="605"/>
      <c r="R721" s="605"/>
      <c r="S721" s="605"/>
      <c r="T721" s="364"/>
      <c r="U721" s="605"/>
      <c r="V721" s="605"/>
      <c r="W721" s="605"/>
      <c r="X721" s="605"/>
      <c r="Y721" s="605"/>
      <c r="Z721" s="605"/>
      <c r="AA721" s="605"/>
      <c r="AB721" s="605"/>
      <c r="AC721" s="32"/>
      <c r="AD721" s="32"/>
      <c r="AE721" s="32"/>
      <c r="AF721" s="32"/>
      <c r="AG721" s="32"/>
      <c r="AH721" s="32"/>
      <c r="AI721" s="32"/>
      <c r="AJ721" s="32"/>
      <c r="AK721" s="32"/>
      <c r="AL721" s="32"/>
      <c r="AM721" s="32"/>
      <c r="AN721" s="32"/>
      <c r="AO721" s="32"/>
      <c r="AP721" s="32"/>
      <c r="AQ721" s="32"/>
      <c r="AR721" s="70"/>
      <c r="AS721" s="382"/>
      <c r="AT721" s="9"/>
      <c r="AZ721" s="32"/>
      <c r="BA721" s="32"/>
      <c r="BB721" s="32"/>
      <c r="BC721" s="32"/>
      <c r="BD721" s="32"/>
      <c r="BE721" s="32"/>
      <c r="BM721"/>
      <c r="BN721"/>
      <c r="BO721"/>
      <c r="BP721"/>
      <c r="BQ721"/>
      <c r="BR721"/>
    </row>
    <row r="722" spans="1:74" s="160" customFormat="1" x14ac:dyDescent="0.2">
      <c r="A722" s="829"/>
      <c r="B722" s="325" t="s">
        <v>301</v>
      </c>
      <c r="C722" s="9"/>
      <c r="D722" s="560">
        <v>310</v>
      </c>
      <c r="E722" s="560">
        <v>303</v>
      </c>
      <c r="F722" s="560">
        <v>280</v>
      </c>
      <c r="G722" s="560">
        <v>257</v>
      </c>
      <c r="H722" s="560">
        <v>244</v>
      </c>
      <c r="I722" s="560">
        <v>174</v>
      </c>
      <c r="J722" s="560">
        <v>204</v>
      </c>
      <c r="K722" s="560">
        <v>195</v>
      </c>
      <c r="L722" s="560">
        <v>176</v>
      </c>
      <c r="M722" s="560">
        <v>170</v>
      </c>
      <c r="N722" s="560">
        <v>143</v>
      </c>
      <c r="O722" s="560">
        <v>116</v>
      </c>
      <c r="P722" s="560">
        <v>112</v>
      </c>
      <c r="Q722" s="560">
        <v>116</v>
      </c>
      <c r="R722" s="560">
        <v>93</v>
      </c>
      <c r="S722" s="560">
        <v>122</v>
      </c>
      <c r="T722" s="560">
        <v>78</v>
      </c>
      <c r="U722" s="560">
        <v>77</v>
      </c>
      <c r="V722" s="560">
        <v>82</v>
      </c>
      <c r="W722" s="560">
        <v>32</v>
      </c>
      <c r="X722" s="560">
        <v>26</v>
      </c>
      <c r="Y722" s="560">
        <v>24</v>
      </c>
      <c r="Z722" s="560">
        <v>25</v>
      </c>
      <c r="AA722" s="560">
        <v>7</v>
      </c>
      <c r="AB722" s="560">
        <v>23</v>
      </c>
      <c r="AC722" s="32" t="s">
        <v>226</v>
      </c>
      <c r="AD722" s="32" t="s">
        <v>226</v>
      </c>
      <c r="AE722" s="32" t="s">
        <v>226</v>
      </c>
      <c r="AF722" s="32" t="s">
        <v>226</v>
      </c>
      <c r="AG722" s="32" t="s">
        <v>226</v>
      </c>
      <c r="AH722" s="32" t="s">
        <v>226</v>
      </c>
      <c r="AI722" s="32" t="s">
        <v>226</v>
      </c>
      <c r="AJ722" s="32"/>
      <c r="AK722" s="32"/>
      <c r="AL722" s="32"/>
      <c r="AM722" s="32"/>
      <c r="AN722" s="32"/>
      <c r="AO722" s="32"/>
      <c r="AP722" s="32"/>
      <c r="AQ722" s="32"/>
      <c r="AR722" s="70"/>
      <c r="AS722" s="325" t="s">
        <v>301</v>
      </c>
      <c r="AT722" s="9"/>
      <c r="AU722" s="232">
        <f>SUM(D722:G722)</f>
        <v>1150</v>
      </c>
      <c r="AV722" s="232">
        <f>SUM(H722:K722)</f>
        <v>817</v>
      </c>
      <c r="AW722" s="232">
        <f>SUM(L722:O722)</f>
        <v>605</v>
      </c>
      <c r="AX722" s="232">
        <f>SUM(P722:S722)</f>
        <v>443</v>
      </c>
      <c r="AY722" s="232">
        <f>SUM(T722:W722)</f>
        <v>269</v>
      </c>
      <c r="AZ722" s="32" t="s">
        <v>226</v>
      </c>
      <c r="BA722" s="32" t="s">
        <v>226</v>
      </c>
      <c r="BB722" s="32" t="s">
        <v>226</v>
      </c>
      <c r="BC722" s="32" t="s">
        <v>226</v>
      </c>
      <c r="BD722" s="32" t="s">
        <v>226</v>
      </c>
      <c r="BE722" s="32" t="s">
        <v>226</v>
      </c>
      <c r="BM722"/>
      <c r="BN722"/>
      <c r="BO722"/>
      <c r="BP722"/>
      <c r="BQ722"/>
      <c r="BR722"/>
    </row>
    <row r="723" spans="1:74" s="160" customFormat="1" x14ac:dyDescent="0.2">
      <c r="A723" s="829"/>
      <c r="B723" s="364" t="s">
        <v>562</v>
      </c>
      <c r="C723" s="71"/>
      <c r="D723" s="600">
        <f t="shared" ref="D723:X723" si="1548">D725-D722-D720</f>
        <v>-17</v>
      </c>
      <c r="E723" s="600">
        <f t="shared" si="1548"/>
        <v>42</v>
      </c>
      <c r="F723" s="600">
        <f t="shared" si="1548"/>
        <v>-18</v>
      </c>
      <c r="G723" s="600">
        <f t="shared" si="1548"/>
        <v>-34</v>
      </c>
      <c r="H723" s="600">
        <f t="shared" si="1548"/>
        <v>9</v>
      </c>
      <c r="I723" s="600">
        <f t="shared" si="1548"/>
        <v>-6</v>
      </c>
      <c r="J723" s="600">
        <f t="shared" si="1548"/>
        <v>31</v>
      </c>
      <c r="K723" s="600">
        <f t="shared" si="1548"/>
        <v>-12</v>
      </c>
      <c r="L723" s="600">
        <f t="shared" si="1548"/>
        <v>13</v>
      </c>
      <c r="M723" s="600">
        <f t="shared" si="1548"/>
        <v>3</v>
      </c>
      <c r="N723" s="600">
        <f t="shared" si="1548"/>
        <v>-27</v>
      </c>
      <c r="O723" s="600">
        <f t="shared" si="1548"/>
        <v>30</v>
      </c>
      <c r="P723" s="600">
        <f t="shared" si="1548"/>
        <v>-7</v>
      </c>
      <c r="Q723" s="600">
        <f t="shared" si="1548"/>
        <v>25</v>
      </c>
      <c r="R723" s="600">
        <f t="shared" si="1548"/>
        <v>14</v>
      </c>
      <c r="S723" s="600">
        <f t="shared" si="1548"/>
        <v>-2</v>
      </c>
      <c r="T723" s="600">
        <f t="shared" si="1548"/>
        <v>-1</v>
      </c>
      <c r="U723" s="600">
        <f t="shared" si="1548"/>
        <v>0</v>
      </c>
      <c r="V723" s="600">
        <f t="shared" si="1548"/>
        <v>-3</v>
      </c>
      <c r="W723" s="600">
        <f t="shared" si="1548"/>
        <v>1</v>
      </c>
      <c r="X723" s="600">
        <f t="shared" si="1548"/>
        <v>12</v>
      </c>
      <c r="Y723" s="600">
        <f t="shared" ref="Y723:Z723" si="1549">Y725-Y722-Y720</f>
        <v>6</v>
      </c>
      <c r="Z723" s="600">
        <f t="shared" si="1549"/>
        <v>-23</v>
      </c>
      <c r="AA723" s="600">
        <f t="shared" ref="AA723:AB723" si="1550">AA725-AA722-AA720</f>
        <v>-2</v>
      </c>
      <c r="AB723" s="600">
        <f t="shared" si="1550"/>
        <v>-9</v>
      </c>
      <c r="AC723" s="32" t="s">
        <v>226</v>
      </c>
      <c r="AD723" s="32" t="s">
        <v>226</v>
      </c>
      <c r="AE723" s="32" t="s">
        <v>226</v>
      </c>
      <c r="AF723" s="32" t="s">
        <v>226</v>
      </c>
      <c r="AG723" s="32" t="s">
        <v>226</v>
      </c>
      <c r="AH723" s="32" t="s">
        <v>226</v>
      </c>
      <c r="AI723" s="32" t="s">
        <v>226</v>
      </c>
      <c r="AJ723" s="32"/>
      <c r="AK723" s="32"/>
      <c r="AL723" s="32"/>
      <c r="AM723" s="32"/>
      <c r="AN723" s="32"/>
      <c r="AO723" s="32"/>
      <c r="AP723" s="32"/>
      <c r="AQ723" s="32"/>
      <c r="AR723" s="70"/>
      <c r="AS723" s="364" t="s">
        <v>562</v>
      </c>
      <c r="AT723" s="71"/>
      <c r="AU723" s="232">
        <f>SUM(D723:G723)</f>
        <v>-27</v>
      </c>
      <c r="AV723" s="232">
        <f>SUM(H723:K723)</f>
        <v>22</v>
      </c>
      <c r="AW723" s="232">
        <f>SUM(L723:O723)</f>
        <v>19</v>
      </c>
      <c r="AX723" s="232">
        <f>SUM(P723:S723)</f>
        <v>30</v>
      </c>
      <c r="AY723" s="232">
        <f>SUM(T723:W723)</f>
        <v>-3</v>
      </c>
      <c r="AZ723" s="32" t="s">
        <v>226</v>
      </c>
      <c r="BA723" s="32" t="s">
        <v>226</v>
      </c>
      <c r="BB723" s="32" t="s">
        <v>226</v>
      </c>
      <c r="BC723" s="32" t="s">
        <v>226</v>
      </c>
      <c r="BD723" s="32" t="s">
        <v>226</v>
      </c>
      <c r="BE723" s="32" t="s">
        <v>226</v>
      </c>
      <c r="BM723"/>
      <c r="BN723"/>
      <c r="BO723"/>
      <c r="BP723"/>
      <c r="BQ723"/>
      <c r="BR723"/>
    </row>
    <row r="724" spans="1:74" x14ac:dyDescent="0.2">
      <c r="Y724" s="1215"/>
      <c r="Z724" s="1688"/>
      <c r="AA724" s="1742"/>
      <c r="AB724" s="1785"/>
      <c r="AS724" s="10"/>
      <c r="AT724" s="9"/>
    </row>
    <row r="725" spans="1:74" s="160" customFormat="1" x14ac:dyDescent="0.2">
      <c r="A725" s="829"/>
      <c r="B725" s="364" t="s">
        <v>258</v>
      </c>
      <c r="C725" s="382"/>
      <c r="D725" s="607">
        <f t="shared" ref="D725:X725" si="1551">D1236</f>
        <v>1875</v>
      </c>
      <c r="E725" s="607">
        <f t="shared" si="1551"/>
        <v>1481</v>
      </c>
      <c r="F725" s="607">
        <f t="shared" si="1551"/>
        <v>1965</v>
      </c>
      <c r="G725" s="607">
        <f t="shared" si="1551"/>
        <v>1139</v>
      </c>
      <c r="H725" s="607">
        <f t="shared" si="1551"/>
        <v>1088</v>
      </c>
      <c r="I725" s="607">
        <f t="shared" si="1551"/>
        <v>892</v>
      </c>
      <c r="J725" s="607">
        <f t="shared" si="1551"/>
        <v>791</v>
      </c>
      <c r="K725" s="607">
        <f t="shared" si="1551"/>
        <v>896</v>
      </c>
      <c r="L725" s="607">
        <f t="shared" si="1551"/>
        <v>663</v>
      </c>
      <c r="M725" s="607">
        <f t="shared" si="1551"/>
        <v>529</v>
      </c>
      <c r="N725" s="607">
        <f t="shared" si="1551"/>
        <v>485</v>
      </c>
      <c r="O725" s="607">
        <f t="shared" si="1551"/>
        <v>505</v>
      </c>
      <c r="P725" s="607">
        <f t="shared" si="1551"/>
        <v>468</v>
      </c>
      <c r="Q725" s="607">
        <f t="shared" si="1551"/>
        <v>334</v>
      </c>
      <c r="R725" s="607">
        <f t="shared" si="1551"/>
        <v>273</v>
      </c>
      <c r="S725" s="607">
        <f t="shared" si="1551"/>
        <v>261</v>
      </c>
      <c r="T725" s="607">
        <f t="shared" si="1551"/>
        <v>142</v>
      </c>
      <c r="U725" s="607">
        <f t="shared" si="1551"/>
        <v>101</v>
      </c>
      <c r="V725" s="607">
        <f t="shared" si="1551"/>
        <v>131</v>
      </c>
      <c r="W725" s="607">
        <f t="shared" si="1551"/>
        <v>61</v>
      </c>
      <c r="X725" s="607">
        <f t="shared" si="1551"/>
        <v>81</v>
      </c>
      <c r="Y725" s="607">
        <f t="shared" ref="Y725:Z725" si="1552">Y1236</f>
        <v>24</v>
      </c>
      <c r="Z725" s="607">
        <f t="shared" si="1552"/>
        <v>29</v>
      </c>
      <c r="AA725" s="607">
        <f t="shared" ref="AA725:AB725" si="1553">AA1236</f>
        <v>15</v>
      </c>
      <c r="AB725" s="607">
        <f t="shared" si="1553"/>
        <v>26</v>
      </c>
      <c r="AC725" s="122">
        <f t="shared" ref="AC725:AE725" si="1554">AC649</f>
        <v>52.605479452054794</v>
      </c>
      <c r="AD725" s="122">
        <f t="shared" si="1554"/>
        <v>50.33156164383562</v>
      </c>
      <c r="AE725" s="122">
        <f t="shared" si="1554"/>
        <v>47.641443835616442</v>
      </c>
      <c r="AF725" s="122">
        <f t="shared" ref="AF725:AI725" si="1555">AF649</f>
        <v>43.595508082191778</v>
      </c>
      <c r="AG725" s="122">
        <f t="shared" si="1555"/>
        <v>41.246941975342466</v>
      </c>
      <c r="AH725" s="122">
        <f t="shared" si="1555"/>
        <v>39.392946866351785</v>
      </c>
      <c r="AI725" s="122">
        <f t="shared" si="1555"/>
        <v>37.233055274476797</v>
      </c>
      <c r="AJ725" s="122"/>
      <c r="AK725" s="122"/>
      <c r="AL725" s="122"/>
      <c r="AM725" s="122"/>
      <c r="AN725" s="122"/>
      <c r="AO725" s="122"/>
      <c r="AP725" s="122"/>
      <c r="AQ725" s="122"/>
      <c r="AR725" s="70"/>
      <c r="AS725" s="364" t="s">
        <v>258</v>
      </c>
      <c r="AT725" s="382"/>
      <c r="AU725" s="233">
        <f>SUM(AU720:AU723)</f>
        <v>6460</v>
      </c>
      <c r="AV725" s="233">
        <f>SUM(AV720:AV723)</f>
        <v>3667</v>
      </c>
      <c r="AW725" s="233">
        <f>SUM(AW720:AW723)</f>
        <v>2182</v>
      </c>
      <c r="AX725" s="233">
        <f>SUM(AX720:AX723)</f>
        <v>1336</v>
      </c>
      <c r="AY725" s="233">
        <f>SUM(AY720:AY723)</f>
        <v>435</v>
      </c>
      <c r="AZ725" s="122">
        <f t="shared" ref="AZ725:BE725" si="1556">AZ649</f>
        <v>149</v>
      </c>
      <c r="BA725" s="122">
        <f t="shared" si="1556"/>
        <v>176.57848493150686</v>
      </c>
      <c r="BB725" s="122">
        <f t="shared" ref="BB725" si="1557">BB649</f>
        <v>161.46845219836285</v>
      </c>
      <c r="BC725" s="122">
        <f t="shared" si="1556"/>
        <v>127.49682755848167</v>
      </c>
      <c r="BD725" s="122">
        <f t="shared" si="1556"/>
        <v>100.94551411221903</v>
      </c>
      <c r="BE725" s="122">
        <f t="shared" si="1556"/>
        <v>80.125242529035404</v>
      </c>
      <c r="BF725" s="390"/>
      <c r="BG725" s="390"/>
      <c r="BH725" s="390"/>
      <c r="BI725" s="390"/>
      <c r="BJ725" s="390"/>
      <c r="BK725" s="390"/>
      <c r="BL725" s="390"/>
      <c r="BM725"/>
      <c r="BN725"/>
      <c r="BO725"/>
      <c r="BP725"/>
      <c r="BQ725"/>
      <c r="BR725"/>
      <c r="BS725" s="390"/>
      <c r="BT725" s="390"/>
      <c r="BU725" s="390"/>
      <c r="BV725" s="390"/>
    </row>
    <row r="726" spans="1:74" x14ac:dyDescent="0.2">
      <c r="B726" s="382"/>
      <c r="C726" s="382"/>
      <c r="D726" s="601"/>
      <c r="E726" s="601"/>
      <c r="F726" s="601"/>
      <c r="G726" s="601"/>
      <c r="H726" s="382"/>
      <c r="I726" s="594"/>
      <c r="J726" s="594"/>
      <c r="K726" s="594"/>
      <c r="L726" s="382"/>
      <c r="M726" s="594"/>
      <c r="N726" s="594"/>
      <c r="O726" s="594"/>
      <c r="P726" s="382"/>
      <c r="Q726" s="594"/>
      <c r="R726" s="594"/>
      <c r="S726" s="594"/>
      <c r="T726" s="382"/>
      <c r="U726" s="594"/>
      <c r="V726" s="594"/>
      <c r="W726" s="594"/>
      <c r="X726" s="594"/>
      <c r="Y726" s="594"/>
      <c r="Z726" s="594"/>
      <c r="AA726" s="594"/>
      <c r="AB726" s="594"/>
      <c r="AS726" s="382"/>
      <c r="AT726" s="382"/>
    </row>
    <row r="727" spans="1:74" s="160" customFormat="1" x14ac:dyDescent="0.2">
      <c r="A727" s="829"/>
      <c r="B727" s="574" t="s">
        <v>213</v>
      </c>
      <c r="C727" s="574"/>
      <c r="D727" s="409"/>
      <c r="E727" s="409"/>
      <c r="F727" s="409"/>
      <c r="G727" s="409"/>
      <c r="H727" s="574"/>
      <c r="I727" s="604"/>
      <c r="J727" s="604"/>
      <c r="K727" s="604"/>
      <c r="L727" s="574"/>
      <c r="M727" s="604"/>
      <c r="N727" s="604"/>
      <c r="O727" s="604"/>
      <c r="P727" s="574"/>
      <c r="Q727" s="604"/>
      <c r="R727" s="604"/>
      <c r="S727" s="604"/>
      <c r="T727" s="574"/>
      <c r="U727" s="604"/>
      <c r="V727" s="604"/>
      <c r="W727" s="604"/>
      <c r="X727" s="604"/>
      <c r="Y727" s="604"/>
      <c r="Z727" s="604"/>
      <c r="AA727" s="604"/>
      <c r="AB727" s="604"/>
      <c r="AC727" s="158"/>
      <c r="AD727" s="158"/>
      <c r="AE727" s="158"/>
      <c r="AF727" s="158"/>
      <c r="AG727" s="158"/>
      <c r="AH727" s="158"/>
      <c r="AI727" s="158"/>
      <c r="AJ727" s="158"/>
      <c r="AK727" s="158"/>
      <c r="AL727" s="158"/>
      <c r="AM727" s="158"/>
      <c r="AN727" s="158"/>
      <c r="AO727" s="158"/>
      <c r="AP727" s="158"/>
      <c r="AQ727" s="158"/>
      <c r="AR727" s="70"/>
      <c r="AS727" s="574" t="s">
        <v>213</v>
      </c>
      <c r="AT727" s="574"/>
      <c r="AU727" s="389"/>
      <c r="AV727" s="389"/>
      <c r="AW727" s="389"/>
      <c r="AX727" s="389"/>
      <c r="AY727" s="389"/>
      <c r="AZ727" s="389"/>
      <c r="BA727" s="389"/>
      <c r="BB727" s="389"/>
      <c r="BC727" s="389"/>
      <c r="BD727" s="389"/>
      <c r="BE727" s="389"/>
      <c r="BF727" s="390"/>
      <c r="BG727" s="390"/>
      <c r="BH727" s="390"/>
      <c r="BI727" s="390"/>
      <c r="BJ727" s="390"/>
      <c r="BK727" s="390"/>
      <c r="BL727" s="390"/>
      <c r="BM727"/>
      <c r="BN727"/>
      <c r="BO727"/>
      <c r="BP727"/>
      <c r="BQ727"/>
      <c r="BR727"/>
      <c r="BS727" s="390"/>
      <c r="BT727" s="390"/>
      <c r="BU727" s="390"/>
      <c r="BV727" s="390"/>
    </row>
    <row r="728" spans="1:74" s="160" customFormat="1" x14ac:dyDescent="0.2">
      <c r="A728" s="829"/>
      <c r="B728" s="325" t="s">
        <v>297</v>
      </c>
      <c r="C728" s="9"/>
      <c r="D728" s="19"/>
      <c r="E728" s="19"/>
      <c r="F728" s="19"/>
      <c r="G728" s="19"/>
      <c r="H728" s="19"/>
      <c r="I728" s="19"/>
      <c r="J728" s="19"/>
      <c r="K728" s="19"/>
      <c r="L728" s="19"/>
      <c r="M728" s="19"/>
      <c r="N728" s="19"/>
      <c r="O728" s="19"/>
      <c r="P728" s="19"/>
      <c r="Q728" s="19"/>
      <c r="R728" s="19"/>
      <c r="S728" s="19"/>
      <c r="T728" s="19"/>
      <c r="U728" s="19"/>
      <c r="V728" s="19"/>
      <c r="W728" s="19"/>
      <c r="X728" s="19"/>
      <c r="Y728" s="19"/>
      <c r="Z728" s="19"/>
      <c r="AA728" s="19"/>
      <c r="AB728" s="19"/>
      <c r="AC728" s="19"/>
      <c r="AD728" s="19"/>
      <c r="AE728" s="19"/>
      <c r="AF728" s="19"/>
      <c r="AG728" s="19"/>
      <c r="AH728" s="19"/>
      <c r="AI728" s="19"/>
      <c r="AJ728" s="19"/>
      <c r="AK728" s="19"/>
      <c r="AL728" s="19"/>
      <c r="AM728" s="19"/>
      <c r="AN728" s="19"/>
      <c r="AO728" s="19"/>
      <c r="AP728" s="19"/>
      <c r="AQ728" s="19"/>
      <c r="AR728" s="70"/>
      <c r="AS728" s="325" t="s">
        <v>297</v>
      </c>
      <c r="AT728" s="9"/>
      <c r="BM728"/>
      <c r="BN728"/>
      <c r="BO728"/>
      <c r="BP728"/>
      <c r="BQ728"/>
      <c r="BR728"/>
    </row>
    <row r="729" spans="1:74" s="160" customFormat="1" x14ac:dyDescent="0.2">
      <c r="A729" s="829"/>
      <c r="B729" s="10"/>
      <c r="C729" s="382" t="s">
        <v>103</v>
      </c>
      <c r="D729" s="587">
        <f t="shared" ref="D729:X729" si="1558">D716/(D688*1000)*D$1</f>
        <v>4.4721994423486962E-2</v>
      </c>
      <c r="E729" s="587">
        <f t="shared" si="1558"/>
        <v>2.6771291208791209E-2</v>
      </c>
      <c r="F729" s="587">
        <f t="shared" si="1558"/>
        <v>3.9910939691444602E-2</v>
      </c>
      <c r="G729" s="587">
        <f t="shared" si="1558"/>
        <v>2.4746131171702282E-2</v>
      </c>
      <c r="H729" s="587">
        <f t="shared" si="1558"/>
        <v>2.2625730994152046E-2</v>
      </c>
      <c r="I729" s="587">
        <f t="shared" si="1558"/>
        <v>2.1114451586149698E-2</v>
      </c>
      <c r="J729" s="587">
        <f t="shared" si="1558"/>
        <v>1.7439990942028985E-2</v>
      </c>
      <c r="K729" s="587">
        <f t="shared" si="1558"/>
        <v>2.5615548204158786E-2</v>
      </c>
      <c r="L729" s="587">
        <f t="shared" si="1558"/>
        <v>1.7512626262626261E-2</v>
      </c>
      <c r="M729" s="587">
        <f t="shared" si="1558"/>
        <v>8.6904761904761894E-3</v>
      </c>
      <c r="N729" s="587">
        <f t="shared" si="1558"/>
        <v>1.3936733556298772E-2</v>
      </c>
      <c r="O729" s="587">
        <f t="shared" si="1558"/>
        <v>1.2545534665099882E-2</v>
      </c>
      <c r="P729" s="587">
        <f t="shared" si="1558"/>
        <v>1.2658249158249157E-2</v>
      </c>
      <c r="Q729" s="587">
        <f t="shared" si="1558"/>
        <v>1.3969306555513452E-2</v>
      </c>
      <c r="R729" s="587">
        <f t="shared" si="1558"/>
        <v>1.1902173913043478E-2</v>
      </c>
      <c r="S729" s="587">
        <f t="shared" si="1558"/>
        <v>9.9184782608695652E-3</v>
      </c>
      <c r="T729" s="587">
        <f t="shared" si="1558"/>
        <v>2.2220873049602332E-4</v>
      </c>
      <c r="U729" s="587">
        <f t="shared" si="1558"/>
        <v>-2.9250749250749248E-3</v>
      </c>
      <c r="V729" s="587">
        <f t="shared" si="1558"/>
        <v>1.796633941093969E-3</v>
      </c>
      <c r="W729" s="587">
        <f t="shared" si="1558"/>
        <v>-6.5827338129496402E-3</v>
      </c>
      <c r="X729" s="587">
        <f t="shared" si="1558"/>
        <v>2.3080397470641371E-3</v>
      </c>
      <c r="Y729" s="587">
        <f t="shared" ref="Y729:Z729" si="1559">Y716/(Y688*1000)*Y$1</f>
        <v>-9.1478696741854621E-3</v>
      </c>
      <c r="Z729" s="587">
        <f t="shared" si="1559"/>
        <v>3.8895993179880644E-4</v>
      </c>
      <c r="AA729" s="587">
        <f t="shared" ref="AA729" si="1560">AA716/(AA688*1000)*AA$1</f>
        <v>-4.2206290471785381E-4</v>
      </c>
      <c r="AB729" s="587">
        <f t="shared" ref="AB729" si="1561">AB716/(AB688*1000)*AB$1</f>
        <v>1.3518518518518517E-3</v>
      </c>
      <c r="AC729" s="32" t="s">
        <v>226</v>
      </c>
      <c r="AD729" s="32" t="s">
        <v>226</v>
      </c>
      <c r="AE729" s="32" t="s">
        <v>226</v>
      </c>
      <c r="AF729" s="32" t="s">
        <v>226</v>
      </c>
      <c r="AG729" s="32" t="s">
        <v>226</v>
      </c>
      <c r="AH729" s="32" t="s">
        <v>226</v>
      </c>
      <c r="AI729" s="32" t="s">
        <v>226</v>
      </c>
      <c r="AJ729" s="32"/>
      <c r="AK729" s="32"/>
      <c r="AL729" s="32"/>
      <c r="AM729" s="32"/>
      <c r="AN729" s="32"/>
      <c r="AO729" s="32"/>
      <c r="AP729" s="32"/>
      <c r="AQ729" s="32"/>
      <c r="AR729" s="70"/>
      <c r="AS729" s="10"/>
      <c r="AT729" s="382" t="s">
        <v>103</v>
      </c>
      <c r="AU729" s="587">
        <f t="shared" ref="AU729:AY730" si="1562">AU716/(AU688*1000)*AU$1</f>
        <v>3.4285714285714287E-2</v>
      </c>
      <c r="AV729" s="587">
        <f t="shared" si="1562"/>
        <v>2.1666666666666667E-2</v>
      </c>
      <c r="AW729" s="587">
        <f t="shared" si="1562"/>
        <v>1.3209876543209877E-2</v>
      </c>
      <c r="AX729" s="587">
        <f t="shared" si="1562"/>
        <v>1.2172413793103447E-2</v>
      </c>
      <c r="AY729" s="587">
        <f t="shared" si="1562"/>
        <v>-1.6875E-3</v>
      </c>
      <c r="AZ729" s="32" t="s">
        <v>226</v>
      </c>
      <c r="BA729" s="32" t="s">
        <v>226</v>
      </c>
      <c r="BB729" s="32" t="s">
        <v>226</v>
      </c>
      <c r="BC729" s="32" t="s">
        <v>226</v>
      </c>
      <c r="BD729" s="32" t="s">
        <v>226</v>
      </c>
      <c r="BE729" s="32" t="s">
        <v>226</v>
      </c>
      <c r="BM729"/>
      <c r="BN729"/>
      <c r="BO729"/>
      <c r="BP729"/>
      <c r="BQ729"/>
      <c r="BR729"/>
    </row>
    <row r="730" spans="1:74" s="160" customFormat="1" x14ac:dyDescent="0.2">
      <c r="A730" s="829"/>
      <c r="B730" s="10"/>
      <c r="C730" s="580" t="s">
        <v>104</v>
      </c>
      <c r="D730" s="589">
        <f t="shared" ref="D730:X730" si="1563">D717/(D689*1000)*D$1</f>
        <v>5.6408241758241752E-2</v>
      </c>
      <c r="E730" s="589">
        <f t="shared" si="1563"/>
        <v>4.7417004048582997E-2</v>
      </c>
      <c r="F730" s="589">
        <f t="shared" si="1563"/>
        <v>9.2790246768507639E-2</v>
      </c>
      <c r="G730" s="589">
        <f t="shared" si="1563"/>
        <v>4.0350931677018635E-2</v>
      </c>
      <c r="H730" s="589">
        <f t="shared" si="1563"/>
        <v>3.7215686274509802E-2</v>
      </c>
      <c r="I730" s="589">
        <f t="shared" si="1563"/>
        <v>3.4344093406593411E-2</v>
      </c>
      <c r="J730" s="589">
        <f t="shared" si="1563"/>
        <v>2.7131837307152875E-2</v>
      </c>
      <c r="K730" s="589">
        <f t="shared" si="1563"/>
        <v>3.6800974512743626E-2</v>
      </c>
      <c r="L730" s="589">
        <f t="shared" si="1563"/>
        <v>2.0277777777777777E-2</v>
      </c>
      <c r="M730" s="589">
        <f t="shared" si="1563"/>
        <v>1.6935286935286932E-2</v>
      </c>
      <c r="N730" s="589">
        <f t="shared" si="1563"/>
        <v>1.495401337792642E-2</v>
      </c>
      <c r="O730" s="589">
        <f t="shared" si="1563"/>
        <v>1.3806521739130434E-2</v>
      </c>
      <c r="P730" s="589">
        <f t="shared" si="1563"/>
        <v>1.36875E-2</v>
      </c>
      <c r="Q730" s="589">
        <f t="shared" si="1563"/>
        <v>1.2207357859531772E-2</v>
      </c>
      <c r="R730" s="589">
        <f t="shared" si="1563"/>
        <v>1.1000494071146243E-2</v>
      </c>
      <c r="S730" s="589">
        <f t="shared" si="1563"/>
        <v>1.0579710144927534E-2</v>
      </c>
      <c r="T730" s="589">
        <f t="shared" si="1563"/>
        <v>9.0818858560794049E-3</v>
      </c>
      <c r="U730" s="589">
        <f t="shared" si="1563"/>
        <v>2.9047619047619048E-3</v>
      </c>
      <c r="V730" s="589">
        <f t="shared" si="1563"/>
        <v>5.4790419161676648E-3</v>
      </c>
      <c r="W730" s="589">
        <f t="shared" si="1563"/>
        <v>6.3754180602006681E-3</v>
      </c>
      <c r="X730" s="589">
        <f t="shared" si="1563"/>
        <v>2.7588813303099013E-3</v>
      </c>
      <c r="Y730" s="589">
        <f t="shared" ref="Y730:Z730" si="1564">Y717/(Y689*1000)*Y$1</f>
        <v>4.3530113297555149E-3</v>
      </c>
      <c r="Z730" s="589">
        <f t="shared" si="1564"/>
        <v>7.6680672268907559E-3</v>
      </c>
      <c r="AA730" s="589">
        <f t="shared" ref="AA730" si="1565">AA717/(AA689*1000)*AA$1</f>
        <v>2.8593811202506851E-3</v>
      </c>
      <c r="AB730" s="589">
        <f t="shared" ref="AB730" si="1566">AB717/(AB689*1000)*AB$1</f>
        <v>2.756202804746494E-3</v>
      </c>
      <c r="AC730" s="98" t="s">
        <v>226</v>
      </c>
      <c r="AD730" s="98" t="s">
        <v>226</v>
      </c>
      <c r="AE730" s="98" t="s">
        <v>226</v>
      </c>
      <c r="AF730" s="98" t="s">
        <v>226</v>
      </c>
      <c r="AG730" s="98" t="s">
        <v>226</v>
      </c>
      <c r="AH730" s="98" t="s">
        <v>226</v>
      </c>
      <c r="AI730" s="98" t="s">
        <v>226</v>
      </c>
      <c r="AJ730" s="290"/>
      <c r="AK730" s="290"/>
      <c r="AL730" s="290"/>
      <c r="AM730" s="290"/>
      <c r="AN730" s="290"/>
      <c r="AO730" s="290"/>
      <c r="AP730" s="290"/>
      <c r="AQ730" s="290"/>
      <c r="AR730" s="70"/>
      <c r="AS730" s="10"/>
      <c r="AT730" s="580" t="s">
        <v>104</v>
      </c>
      <c r="AU730" s="589">
        <f t="shared" si="1562"/>
        <v>5.9386666666666664E-2</v>
      </c>
      <c r="AV730" s="589">
        <f t="shared" si="1562"/>
        <v>3.3873015873015874E-2</v>
      </c>
      <c r="AW730" s="589">
        <f t="shared" si="1562"/>
        <v>1.6566037735849058E-2</v>
      </c>
      <c r="AX730" s="589">
        <f t="shared" si="1562"/>
        <v>1.1911111111111112E-2</v>
      </c>
      <c r="AY730" s="589">
        <f t="shared" si="1562"/>
        <v>5.97968069666183E-3</v>
      </c>
      <c r="AZ730" s="98" t="s">
        <v>226</v>
      </c>
      <c r="BA730" s="98" t="s">
        <v>226</v>
      </c>
      <c r="BB730" s="98" t="s">
        <v>226</v>
      </c>
      <c r="BC730" s="98" t="s">
        <v>226</v>
      </c>
      <c r="BD730" s="98" t="s">
        <v>226</v>
      </c>
      <c r="BE730" s="98" t="s">
        <v>226</v>
      </c>
      <c r="BM730"/>
      <c r="BN730"/>
      <c r="BO730"/>
      <c r="BP730"/>
      <c r="BQ730"/>
      <c r="BR730"/>
    </row>
    <row r="731" spans="1:74" s="160" customFormat="1" x14ac:dyDescent="0.2">
      <c r="A731" s="829"/>
      <c r="B731" s="563" t="s">
        <v>298</v>
      </c>
      <c r="C731" s="9"/>
      <c r="D731" s="587">
        <f t="shared" ref="D731:X731" si="1567">SUM(D716:D717)/(SUM(D688:D689)*1000)*D1</f>
        <v>4.9090685015918664E-2</v>
      </c>
      <c r="E731" s="587">
        <f t="shared" si="1567"/>
        <v>3.4462831286360698E-2</v>
      </c>
      <c r="F731" s="587">
        <f t="shared" si="1567"/>
        <v>5.9673913043478258E-2</v>
      </c>
      <c r="G731" s="587">
        <f t="shared" si="1567"/>
        <v>3.0556429232192414E-2</v>
      </c>
      <c r="H731" s="587">
        <f t="shared" si="1567"/>
        <v>2.8076923076923076E-2</v>
      </c>
      <c r="I731" s="587">
        <f t="shared" si="1567"/>
        <v>2.6095022624434389E-2</v>
      </c>
      <c r="J731" s="587">
        <f t="shared" si="1567"/>
        <v>2.1243120528343422E-2</v>
      </c>
      <c r="K731" s="587">
        <f t="shared" si="1567"/>
        <v>2.9940579710144924E-2</v>
      </c>
      <c r="L731" s="587">
        <f t="shared" si="1567"/>
        <v>1.8587962962962962E-2</v>
      </c>
      <c r="M731" s="587">
        <f t="shared" si="1567"/>
        <v>1.1916706481923873E-2</v>
      </c>
      <c r="N731" s="587">
        <f t="shared" si="1567"/>
        <v>1.4343645484949831E-2</v>
      </c>
      <c r="O731" s="587">
        <f t="shared" si="1567"/>
        <v>1.3053997194950911E-2</v>
      </c>
      <c r="P731" s="587">
        <f t="shared" si="1567"/>
        <v>1.3091617933723196E-2</v>
      </c>
      <c r="Q731" s="587">
        <f t="shared" si="1567"/>
        <v>1.3189983093829247E-2</v>
      </c>
      <c r="R731" s="587">
        <f t="shared" si="1567"/>
        <v>1.1505434782608693E-2</v>
      </c>
      <c r="S731" s="587">
        <f t="shared" si="1567"/>
        <v>1.0213922294172062E-2</v>
      </c>
      <c r="T731" s="587">
        <f t="shared" si="1567"/>
        <v>4.7123993173039495E-3</v>
      </c>
      <c r="U731" s="587">
        <f t="shared" si="1567"/>
        <v>1.1657907310081222E-4</v>
      </c>
      <c r="V731" s="587">
        <f t="shared" si="1567"/>
        <v>3.7064542263029968E-3</v>
      </c>
      <c r="W731" s="587">
        <f t="shared" si="1567"/>
        <v>2.6971260132645539E-4</v>
      </c>
      <c r="X731" s="587">
        <f t="shared" si="1567"/>
        <v>2.553497942386831E-3</v>
      </c>
      <c r="Y731" s="587">
        <f t="shared" ref="Y731:Z731" si="1568">SUM(Y716:Y717)/(SUM(Y688:Y689)*1000)*Y1</f>
        <v>-1.9807353140686474E-3</v>
      </c>
      <c r="Z731" s="587">
        <f t="shared" si="1568"/>
        <v>4.3084792445406252E-3</v>
      </c>
      <c r="AA731" s="587">
        <f t="shared" ref="AA731" si="1569">SUM(AA716:AA717)/(SUM(AA688:AA689)*1000)*AA1</f>
        <v>1.3547189819724283E-3</v>
      </c>
      <c r="AB731" s="587">
        <f t="shared" ref="AB731" si="1570">SUM(AB716:AB717)/(SUM(AB688:AB689)*1000)*AB1</f>
        <v>2.1013241220495106E-3</v>
      </c>
      <c r="AC731" s="32" t="s">
        <v>226</v>
      </c>
      <c r="AD731" s="32" t="s">
        <v>226</v>
      </c>
      <c r="AE731" s="32" t="s">
        <v>226</v>
      </c>
      <c r="AF731" s="32" t="s">
        <v>226</v>
      </c>
      <c r="AG731" s="32" t="s">
        <v>226</v>
      </c>
      <c r="AH731" s="32" t="s">
        <v>226</v>
      </c>
      <c r="AI731" s="32" t="s">
        <v>226</v>
      </c>
      <c r="AJ731" s="32"/>
      <c r="AK731" s="32"/>
      <c r="AL731" s="32"/>
      <c r="AM731" s="32"/>
      <c r="AN731" s="32"/>
      <c r="AO731" s="32"/>
      <c r="AP731" s="32"/>
      <c r="AQ731" s="32"/>
      <c r="AR731" s="70"/>
      <c r="AS731" s="563" t="s">
        <v>298</v>
      </c>
      <c r="AT731" s="9"/>
      <c r="AU731" s="587">
        <f>SUM(AU716:AU717)/(SUM(AU688:AU689)*1000)*AU$1</f>
        <v>4.3651741293532338E-2</v>
      </c>
      <c r="AV731" s="587">
        <f>SUM(AV716:AV717)/(SUM(AV688:AV689)*1000)*AV$1</f>
        <v>2.6327272727272727E-2</v>
      </c>
      <c r="AW731" s="587">
        <f>SUM(AW716:AW717)/(SUM(AW688:AW689)*1000)*AW$1</f>
        <v>1.4537313432835821E-2</v>
      </c>
      <c r="AX731" s="587">
        <f>SUM(AX716:AX717)/(SUM(AX688:AX689)*1000)*AX$1</f>
        <v>1.2058252427184467E-2</v>
      </c>
      <c r="AY731" s="587">
        <f>SUM(AY716:AY717)/(SUM(AY688:AY689)*1000)*AY$1</f>
        <v>2.2874341610233263E-3</v>
      </c>
      <c r="AZ731" s="32" t="s">
        <v>226</v>
      </c>
      <c r="BA731" s="32" t="s">
        <v>226</v>
      </c>
      <c r="BB731" s="32" t="s">
        <v>226</v>
      </c>
      <c r="BC731" s="32" t="s">
        <v>226</v>
      </c>
      <c r="BD731" s="32" t="s">
        <v>226</v>
      </c>
      <c r="BE731" s="32" t="s">
        <v>226</v>
      </c>
      <c r="BM731"/>
      <c r="BN731"/>
      <c r="BO731"/>
      <c r="BP731"/>
      <c r="BQ731"/>
      <c r="BR731"/>
    </row>
    <row r="732" spans="1:74" s="160" customFormat="1" x14ac:dyDescent="0.2">
      <c r="A732" s="835"/>
      <c r="B732" s="159"/>
      <c r="C732" s="28" t="s">
        <v>16</v>
      </c>
      <c r="D732" s="589">
        <f t="shared" ref="D732:X732" si="1571">D719/(D691*1000)*D$1</f>
        <v>7.4004395604395604E-2</v>
      </c>
      <c r="E732" s="589">
        <f t="shared" si="1571"/>
        <v>7.025054945054944E-2</v>
      </c>
      <c r="F732" s="589">
        <f t="shared" si="1571"/>
        <v>6.1947204968944097E-2</v>
      </c>
      <c r="G732" s="589">
        <f t="shared" si="1571"/>
        <v>5.5127329192546586E-2</v>
      </c>
      <c r="H732" s="589">
        <f t="shared" si="1571"/>
        <v>6.9282407407407404E-2</v>
      </c>
      <c r="I732" s="589">
        <f t="shared" si="1571"/>
        <v>5.715659340659341E-2</v>
      </c>
      <c r="J732" s="589">
        <f t="shared" si="1571"/>
        <v>4.3971920289855068E-2</v>
      </c>
      <c r="K732" s="589">
        <f t="shared" si="1571"/>
        <v>4.8600543478260864E-2</v>
      </c>
      <c r="L732" s="589">
        <f t="shared" si="1571"/>
        <v>4.8666666666666664E-2</v>
      </c>
      <c r="M732" s="589">
        <f t="shared" si="1571"/>
        <v>5.0471611721611721E-2</v>
      </c>
      <c r="N732" s="589">
        <f t="shared" si="1571"/>
        <v>4.4302536231884057E-2</v>
      </c>
      <c r="O732" s="589">
        <f t="shared" si="1571"/>
        <v>5.1245471014492748E-2</v>
      </c>
      <c r="P732" s="589">
        <f t="shared" si="1571"/>
        <v>6.0495370370370366E-2</v>
      </c>
      <c r="Q732" s="589">
        <f t="shared" si="1571"/>
        <v>2.206043956043956E-2</v>
      </c>
      <c r="R732" s="589">
        <f t="shared" si="1571"/>
        <v>2.7771739130434781E-2</v>
      </c>
      <c r="S732" s="589">
        <f t="shared" si="1571"/>
        <v>3.9673913043478261E-2</v>
      </c>
      <c r="T732" s="589">
        <f t="shared" si="1571"/>
        <v>3.2771672771672825E-2</v>
      </c>
      <c r="U732" s="589">
        <f t="shared" si="1571"/>
        <v>3.4261294261294227E-2</v>
      </c>
      <c r="V732" s="589">
        <f t="shared" si="1571"/>
        <v>2.7350543478260905E-2</v>
      </c>
      <c r="W732" s="589">
        <f t="shared" si="1571"/>
        <v>4.1373913043478261E-2</v>
      </c>
      <c r="X732" s="589">
        <f t="shared" si="1571"/>
        <v>4.0555555555555532E-2</v>
      </c>
      <c r="Y732" s="589">
        <f t="shared" ref="Y732:Z732" si="1572">Y719/(Y691*1000)*Y$1</f>
        <v>1.5041208791208809E-2</v>
      </c>
      <c r="Z732" s="589">
        <f t="shared" si="1572"/>
        <v>6.6123188405797194E-3</v>
      </c>
      <c r="AA732" s="589">
        <f t="shared" ref="AA732" si="1573">AA719/(AA691*1000)*AA$1</f>
        <v>8.5015527950310643E-3</v>
      </c>
      <c r="AB732" s="589">
        <f t="shared" ref="AB732" si="1574">AB719/(AB691*1000)*AB$1</f>
        <v>6.2393162393162352E-3</v>
      </c>
      <c r="AC732" s="98" t="s">
        <v>226</v>
      </c>
      <c r="AD732" s="98" t="s">
        <v>226</v>
      </c>
      <c r="AE732" s="98" t="s">
        <v>226</v>
      </c>
      <c r="AF732" s="98" t="s">
        <v>226</v>
      </c>
      <c r="AG732" s="98" t="s">
        <v>226</v>
      </c>
      <c r="AH732" s="98" t="s">
        <v>226</v>
      </c>
      <c r="AI732" s="98" t="s">
        <v>226</v>
      </c>
      <c r="AJ732" s="290"/>
      <c r="AK732" s="290"/>
      <c r="AL732" s="290"/>
      <c r="AM732" s="290"/>
      <c r="AN732" s="290"/>
      <c r="AO732" s="290"/>
      <c r="AP732" s="290"/>
      <c r="AQ732" s="290"/>
      <c r="AR732" s="70"/>
      <c r="AS732" s="159"/>
      <c r="AT732" s="28" t="s">
        <v>16</v>
      </c>
      <c r="AU732" s="589">
        <f t="shared" ref="AU732:AY733" si="1575">AU719/(AU691*1000)*AU$1</f>
        <v>6.5517241379310351E-2</v>
      </c>
      <c r="AV732" s="589">
        <f t="shared" si="1575"/>
        <v>5.4666666666666669E-2</v>
      </c>
      <c r="AW732" s="589">
        <f t="shared" si="1575"/>
        <v>4.8666666666666664E-2</v>
      </c>
      <c r="AX732" s="589">
        <f t="shared" si="1575"/>
        <v>4.6095238095238092E-2</v>
      </c>
      <c r="AY732" s="589">
        <f t="shared" si="1575"/>
        <v>3.3513513513513532E-2</v>
      </c>
      <c r="AZ732" s="98" t="s">
        <v>226</v>
      </c>
      <c r="BA732" s="98" t="s">
        <v>226</v>
      </c>
      <c r="BB732" s="98" t="s">
        <v>226</v>
      </c>
      <c r="BC732" s="98" t="s">
        <v>226</v>
      </c>
      <c r="BD732" s="98" t="s">
        <v>226</v>
      </c>
      <c r="BE732" s="98" t="s">
        <v>226</v>
      </c>
      <c r="BM732"/>
      <c r="BN732"/>
      <c r="BO732"/>
      <c r="BP732"/>
      <c r="BQ732"/>
      <c r="BR732"/>
    </row>
    <row r="733" spans="1:74" s="160" customFormat="1" x14ac:dyDescent="0.2">
      <c r="A733" s="829"/>
      <c r="B733" s="319" t="s">
        <v>513</v>
      </c>
      <c r="C733" s="9"/>
      <c r="D733" s="587">
        <f t="shared" ref="D733:X733" si="1576">D720/(D692*1000)*D$1</f>
        <v>5.2153846153846155E-2</v>
      </c>
      <c r="E733" s="587">
        <f t="shared" si="1576"/>
        <v>3.9051000281769506E-2</v>
      </c>
      <c r="F733" s="587">
        <f t="shared" si="1576"/>
        <v>5.9955559830704115E-2</v>
      </c>
      <c r="G733" s="587">
        <f t="shared" si="1576"/>
        <v>3.3741545893719811E-2</v>
      </c>
      <c r="H733" s="587">
        <f t="shared" si="1576"/>
        <v>3.2877562028047459E-2</v>
      </c>
      <c r="I733" s="587">
        <f t="shared" si="1576"/>
        <v>2.9937691174804579E-2</v>
      </c>
      <c r="J733" s="587">
        <f t="shared" si="1576"/>
        <v>2.4240324892498805E-2</v>
      </c>
      <c r="K733" s="587">
        <f t="shared" si="1576"/>
        <v>3.2514367816091953E-2</v>
      </c>
      <c r="L733" s="587">
        <f t="shared" si="1576"/>
        <v>2.2884920634920633E-2</v>
      </c>
      <c r="M733" s="587">
        <f t="shared" si="1576"/>
        <v>1.7628544295210963E-2</v>
      </c>
      <c r="N733" s="587">
        <f t="shared" si="1576"/>
        <v>1.9012563523433088E-2</v>
      </c>
      <c r="O733" s="587">
        <f t="shared" si="1576"/>
        <v>1.9247209165687423E-2</v>
      </c>
      <c r="P733" s="587">
        <f t="shared" si="1576"/>
        <v>2.1335748792270532E-2</v>
      </c>
      <c r="Q733" s="587">
        <f t="shared" si="1576"/>
        <v>1.3823587127158556E-2</v>
      </c>
      <c r="R733" s="587">
        <f t="shared" si="1576"/>
        <v>1.2426168990976209E-2</v>
      </c>
      <c r="S733" s="587">
        <f t="shared" si="1576"/>
        <v>1.1416370896184559E-2</v>
      </c>
      <c r="T733" s="587">
        <f t="shared" si="1576"/>
        <v>6.635242929659173E-3</v>
      </c>
      <c r="U733" s="587">
        <f t="shared" si="1576"/>
        <v>2.5948245303084013E-3</v>
      </c>
      <c r="V733" s="587">
        <f t="shared" si="1576"/>
        <v>5.8437730287398664E-3</v>
      </c>
      <c r="W733" s="587">
        <f t="shared" si="1576"/>
        <v>3.4809782608695651E-3</v>
      </c>
      <c r="X733" s="587">
        <f t="shared" si="1576"/>
        <v>5.8915165165165156E-3</v>
      </c>
      <c r="Y733" s="587">
        <f t="shared" ref="Y733:Z733" si="1577">Y720/(Y692*1000)*Y$1</f>
        <v>-9.2918664347235768E-4</v>
      </c>
      <c r="Z733" s="587">
        <f t="shared" si="1577"/>
        <v>4.4819901764598866E-3</v>
      </c>
      <c r="AA733" s="587">
        <f t="shared" ref="AA733" si="1578">AA720/(AA692*1000)*AA$1</f>
        <v>1.8115942028985505E-3</v>
      </c>
      <c r="AB733" s="587">
        <f t="shared" ref="AB733" si="1579">AB720/(AB692*1000)*AB$1</f>
        <v>2.3624595469255664E-3</v>
      </c>
      <c r="AC733" s="32" t="s">
        <v>226</v>
      </c>
      <c r="AD733" s="32" t="s">
        <v>226</v>
      </c>
      <c r="AE733" s="32" t="s">
        <v>226</v>
      </c>
      <c r="AF733" s="32" t="s">
        <v>226</v>
      </c>
      <c r="AG733" s="32" t="s">
        <v>226</v>
      </c>
      <c r="AH733" s="32" t="s">
        <v>226</v>
      </c>
      <c r="AI733" s="32" t="s">
        <v>226</v>
      </c>
      <c r="AJ733" s="32"/>
      <c r="AK733" s="32"/>
      <c r="AL733" s="32"/>
      <c r="AM733" s="32"/>
      <c r="AN733" s="32"/>
      <c r="AO733" s="32"/>
      <c r="AP733" s="32"/>
      <c r="AQ733" s="32"/>
      <c r="AR733" s="70"/>
      <c r="AS733" s="319" t="s">
        <v>513</v>
      </c>
      <c r="AT733" s="9"/>
      <c r="AU733" s="587">
        <f t="shared" si="1575"/>
        <v>4.6408695652173912E-2</v>
      </c>
      <c r="AV733" s="587">
        <f t="shared" si="1575"/>
        <v>2.9925925925925925E-2</v>
      </c>
      <c r="AW733" s="587">
        <f t="shared" si="1575"/>
        <v>1.9721518987341771E-2</v>
      </c>
      <c r="AX733" s="587">
        <f t="shared" si="1575"/>
        <v>1.5207048458149779E-2</v>
      </c>
      <c r="AY733" s="587">
        <f t="shared" si="1575"/>
        <v>4.6944444444444447E-3</v>
      </c>
      <c r="AZ733" s="32" t="s">
        <v>226</v>
      </c>
      <c r="BA733" s="32" t="s">
        <v>226</v>
      </c>
      <c r="BB733" s="32" t="s">
        <v>226</v>
      </c>
      <c r="BC733" s="32" t="s">
        <v>226</v>
      </c>
      <c r="BD733" s="32" t="s">
        <v>226</v>
      </c>
      <c r="BE733" s="32" t="s">
        <v>226</v>
      </c>
      <c r="BM733"/>
      <c r="BN733"/>
      <c r="BO733"/>
      <c r="BP733"/>
      <c r="BQ733"/>
      <c r="BR733"/>
    </row>
    <row r="734" spans="1:74" s="160" customFormat="1" x14ac:dyDescent="0.2">
      <c r="A734" s="829"/>
      <c r="B734" s="382"/>
      <c r="C734" s="9"/>
      <c r="D734" s="601"/>
      <c r="E734" s="601"/>
      <c r="F734" s="601"/>
      <c r="G734" s="601"/>
      <c r="H734" s="364"/>
      <c r="I734" s="605"/>
      <c r="J734" s="605"/>
      <c r="K734" s="605"/>
      <c r="L734" s="364"/>
      <c r="M734" s="605"/>
      <c r="N734" s="605"/>
      <c r="O734" s="605"/>
      <c r="P734" s="364"/>
      <c r="Q734" s="605"/>
      <c r="R734" s="605"/>
      <c r="S734" s="605"/>
      <c r="T734" s="364"/>
      <c r="U734" s="605"/>
      <c r="V734" s="605"/>
      <c r="W734" s="605"/>
      <c r="X734" s="605"/>
      <c r="Y734" s="605"/>
      <c r="Z734" s="605"/>
      <c r="AA734" s="605"/>
      <c r="AB734" s="605"/>
      <c r="AC734" s="32"/>
      <c r="AD734" s="32"/>
      <c r="AE734" s="32"/>
      <c r="AF734" s="32"/>
      <c r="AG734" s="32"/>
      <c r="AH734" s="32"/>
      <c r="AI734" s="32"/>
      <c r="AJ734" s="32"/>
      <c r="AK734" s="32"/>
      <c r="AL734" s="32"/>
      <c r="AM734" s="32"/>
      <c r="AN734" s="32"/>
      <c r="AO734" s="32"/>
      <c r="AP734" s="32"/>
      <c r="AQ734" s="32"/>
      <c r="AR734" s="70"/>
      <c r="AS734" s="382"/>
      <c r="AT734" s="9"/>
      <c r="AZ734" s="32"/>
      <c r="BA734" s="32"/>
      <c r="BB734" s="32"/>
      <c r="BC734" s="32"/>
      <c r="BD734" s="32"/>
      <c r="BE734" s="32"/>
      <c r="BM734"/>
      <c r="BN734"/>
      <c r="BO734"/>
      <c r="BP734"/>
      <c r="BQ734"/>
      <c r="BR734"/>
    </row>
    <row r="735" spans="1:74" s="160" customFormat="1" x14ac:dyDescent="0.2">
      <c r="A735" s="829"/>
      <c r="B735" s="325" t="s">
        <v>301</v>
      </c>
      <c r="C735" s="9"/>
      <c r="D735" s="587">
        <f t="shared" ref="D735:X735" si="1580">D722/(D694*1000)*D$1</f>
        <v>4.156043956043956E-2</v>
      </c>
      <c r="E735" s="587">
        <f t="shared" si="1580"/>
        <v>4.3062167514464338E-2</v>
      </c>
      <c r="F735" s="587">
        <f t="shared" si="1580"/>
        <v>4.0213467273583423E-2</v>
      </c>
      <c r="G735" s="587">
        <f t="shared" si="1580"/>
        <v>3.8149740428293319E-2</v>
      </c>
      <c r="H735" s="587">
        <f t="shared" si="1580"/>
        <v>3.8354866494401375E-2</v>
      </c>
      <c r="I735" s="587">
        <f t="shared" si="1580"/>
        <v>2.8839342475706114E-2</v>
      </c>
      <c r="J735" s="587">
        <f t="shared" si="1580"/>
        <v>3.8910953177257519E-2</v>
      </c>
      <c r="K735" s="587">
        <f t="shared" si="1580"/>
        <v>3.7194293478260865E-2</v>
      </c>
      <c r="L735" s="587">
        <f t="shared" si="1580"/>
        <v>3.6232374506486184E-2</v>
      </c>
      <c r="M735" s="587">
        <f t="shared" si="1580"/>
        <v>3.426473024462974E-2</v>
      </c>
      <c r="N735" s="587">
        <f t="shared" si="1580"/>
        <v>3.050198690977092E-2</v>
      </c>
      <c r="O735" s="587">
        <f t="shared" si="1580"/>
        <v>3.1095769682726201E-2</v>
      </c>
      <c r="P735" s="587">
        <f t="shared" si="1580"/>
        <v>3.5211024978466836E-2</v>
      </c>
      <c r="Q735" s="587">
        <f t="shared" si="1580"/>
        <v>4.6997446997446998E-2</v>
      </c>
      <c r="R735" s="587">
        <f t="shared" si="1580"/>
        <v>4.1928112648221341E-2</v>
      </c>
      <c r="S735" s="587">
        <f t="shared" si="1580"/>
        <v>5.831587218438973E-2</v>
      </c>
      <c r="T735" s="587">
        <f t="shared" si="1580"/>
        <v>4.6823027718550105E-2</v>
      </c>
      <c r="U735" s="587">
        <f t="shared" si="1580"/>
        <v>5.0769230769230768E-2</v>
      </c>
      <c r="V735" s="587">
        <f t="shared" si="1580"/>
        <v>6.0410628019323669E-2</v>
      </c>
      <c r="W735" s="587">
        <f t="shared" si="1580"/>
        <v>5.3043478260869567E-2</v>
      </c>
      <c r="X735" s="587">
        <f t="shared" si="1580"/>
        <v>5.0211640211640214E-2</v>
      </c>
      <c r="Y735" s="587">
        <f t="shared" ref="Y735:Z735" si="1581">Y722/(Y694*1000)*Y$1</f>
        <v>5.0665124349334872E-2</v>
      </c>
      <c r="Z735" s="587">
        <f t="shared" si="1581"/>
        <v>5.2202517162471387E-2</v>
      </c>
      <c r="AA735" s="587">
        <f t="shared" ref="AA735" si="1582">AA722/(AA694*1000)*AA$1</f>
        <v>1.6336317135549873E-2</v>
      </c>
      <c r="AB735" s="587">
        <f t="shared" ref="AB735" si="1583">AB722/(AB694*1000)*AB$1</f>
        <v>5.4869281045751631E-2</v>
      </c>
      <c r="AC735" s="32" t="s">
        <v>226</v>
      </c>
      <c r="AD735" s="32" t="s">
        <v>226</v>
      </c>
      <c r="AE735" s="32" t="s">
        <v>226</v>
      </c>
      <c r="AF735" s="32" t="s">
        <v>226</v>
      </c>
      <c r="AG735" s="32" t="s">
        <v>226</v>
      </c>
      <c r="AH735" s="32" t="s">
        <v>226</v>
      </c>
      <c r="AI735" s="32" t="s">
        <v>226</v>
      </c>
      <c r="AJ735" s="32"/>
      <c r="AK735" s="32"/>
      <c r="AL735" s="32"/>
      <c r="AM735" s="32"/>
      <c r="AN735" s="32"/>
      <c r="AO735" s="32"/>
      <c r="AP735" s="32"/>
      <c r="AQ735" s="32"/>
      <c r="AR735" s="70"/>
      <c r="AS735" s="325" t="s">
        <v>301</v>
      </c>
      <c r="AT735" s="9"/>
      <c r="AU735" s="587">
        <f>AU722/(AU694*1000)*AU$1</f>
        <v>4.0780141843971635E-2</v>
      </c>
      <c r="AV735" s="587">
        <f>AV722/(AV694*1000)*AV$1</f>
        <v>3.5676855895196508E-2</v>
      </c>
      <c r="AW735" s="587">
        <f>AW722/(AW694*1000)*AW$1</f>
        <v>3.3150684931506851E-2</v>
      </c>
      <c r="AX735" s="587">
        <f>AX722/(AX694*1000)*AX$1</f>
        <v>4.4411027568922297E-2</v>
      </c>
      <c r="AY735" s="587">
        <f>AY722/(AY694*1000)*AY$1</f>
        <v>5.2233009708737864E-2</v>
      </c>
      <c r="AZ735" s="32" t="s">
        <v>226</v>
      </c>
      <c r="BA735" s="32" t="s">
        <v>226</v>
      </c>
      <c r="BB735" s="32" t="s">
        <v>226</v>
      </c>
      <c r="BC735" s="32" t="s">
        <v>226</v>
      </c>
      <c r="BD735" s="32" t="s">
        <v>226</v>
      </c>
      <c r="BE735" s="32" t="s">
        <v>226</v>
      </c>
      <c r="BM735"/>
      <c r="BN735"/>
      <c r="BO735"/>
      <c r="BP735"/>
      <c r="BQ735"/>
      <c r="BR735"/>
    </row>
    <row r="736" spans="1:74" s="160" customFormat="1" x14ac:dyDescent="0.2">
      <c r="A736" s="829"/>
      <c r="B736" s="10"/>
      <c r="C736" s="9"/>
      <c r="D736" s="601"/>
      <c r="E736" s="601"/>
      <c r="F736" s="601"/>
      <c r="G736" s="601"/>
      <c r="H736" s="364"/>
      <c r="I736" s="605"/>
      <c r="J736" s="605"/>
      <c r="K736" s="605"/>
      <c r="L736" s="364"/>
      <c r="M736" s="605"/>
      <c r="N736" s="605"/>
      <c r="O736" s="605"/>
      <c r="P736" s="364"/>
      <c r="Q736" s="605"/>
      <c r="R736" s="605"/>
      <c r="S736" s="605"/>
      <c r="T736" s="364"/>
      <c r="U736" s="605"/>
      <c r="V736" s="605"/>
      <c r="W736" s="605"/>
      <c r="X736" s="605"/>
      <c r="Y736" s="605"/>
      <c r="Z736" s="605"/>
      <c r="AA736" s="605"/>
      <c r="AB736" s="605"/>
      <c r="AC736" s="19"/>
      <c r="AD736" s="19"/>
      <c r="AE736" s="19"/>
      <c r="AF736" s="19"/>
      <c r="AG736" s="19"/>
      <c r="AH736" s="19"/>
      <c r="AI736" s="19"/>
      <c r="AJ736" s="19"/>
      <c r="AK736" s="19"/>
      <c r="AL736" s="19"/>
      <c r="AM736" s="19"/>
      <c r="AN736" s="19"/>
      <c r="AO736" s="19"/>
      <c r="AP736" s="19"/>
      <c r="AQ736" s="19"/>
      <c r="AR736" s="70"/>
      <c r="AS736" s="10"/>
      <c r="AT736" s="9"/>
      <c r="BM736"/>
      <c r="BN736"/>
      <c r="BO736"/>
      <c r="BP736"/>
      <c r="BQ736"/>
      <c r="BR736"/>
    </row>
    <row r="737" spans="1:74" s="160" customFormat="1" x14ac:dyDescent="0.2">
      <c r="A737" s="829"/>
      <c r="B737" s="364" t="s">
        <v>258</v>
      </c>
      <c r="C737" s="382"/>
      <c r="D737" s="487" t="s">
        <v>229</v>
      </c>
      <c r="E737" s="587">
        <f t="shared" ref="E737:AE737" si="1584">E725/(E698*1000)*E$1</f>
        <v>4.0700713703788513E-2</v>
      </c>
      <c r="F737" s="587">
        <f t="shared" si="1584"/>
        <v>5.5148378191856452E-2</v>
      </c>
      <c r="G737" s="587">
        <f t="shared" si="1584"/>
        <v>3.3367003905999872E-2</v>
      </c>
      <c r="H737" s="587">
        <f t="shared" si="1584"/>
        <v>3.4033509020011142E-2</v>
      </c>
      <c r="I737" s="587">
        <f t="shared" si="1584"/>
        <v>2.9326247522968835E-2</v>
      </c>
      <c r="J737" s="587">
        <f t="shared" si="1584"/>
        <v>2.7858025048727298E-2</v>
      </c>
      <c r="K737" s="587">
        <f t="shared" si="1584"/>
        <v>3.2732804868284088E-2</v>
      </c>
      <c r="L737" s="587">
        <f t="shared" si="1584"/>
        <v>2.5779801853627354E-2</v>
      </c>
      <c r="M737" s="587">
        <f t="shared" si="1584"/>
        <v>2.1207528104079824E-2</v>
      </c>
      <c r="N737" s="587">
        <f t="shared" si="1584"/>
        <v>2.0340219689309675E-2</v>
      </c>
      <c r="O737" s="587">
        <f t="shared" si="1584"/>
        <v>2.2575015309246781E-2</v>
      </c>
      <c r="P737" s="587">
        <f t="shared" si="1584"/>
        <v>2.320293398533007E-2</v>
      </c>
      <c r="Q737" s="587">
        <f t="shared" si="1584"/>
        <v>2.028266963921771E-2</v>
      </c>
      <c r="R737" s="587">
        <f t="shared" si="1584"/>
        <v>1.7483419307295502E-2</v>
      </c>
      <c r="S737" s="587">
        <f t="shared" si="1584"/>
        <v>1.802417981609717E-2</v>
      </c>
      <c r="T737" s="587">
        <f t="shared" si="1584"/>
        <v>1.232191756463601E-2</v>
      </c>
      <c r="U737" s="587">
        <f t="shared" si="1584"/>
        <v>9.3383857521788551E-3</v>
      </c>
      <c r="V737" s="587">
        <f t="shared" si="1584"/>
        <v>1.2742106941639205E-2</v>
      </c>
      <c r="W737" s="587">
        <f t="shared" si="1584"/>
        <v>7.0442355019877572E-3</v>
      </c>
      <c r="X737" s="587">
        <f t="shared" si="1584"/>
        <v>1.0362776025236591E-2</v>
      </c>
      <c r="Y737" s="587">
        <f t="shared" ref="Y737:Z737" si="1585">Y725/(Y698*1000)*Y$1</f>
        <v>3.4627243260336791E-3</v>
      </c>
      <c r="Z737" s="587">
        <f t="shared" si="1585"/>
        <v>4.4594708459723626E-3</v>
      </c>
      <c r="AA737" s="587">
        <f t="shared" ref="AA737" si="1586">AA725/(AA698*1000)*AA$1</f>
        <v>2.521647015475313E-3</v>
      </c>
      <c r="AB737" s="587">
        <f t="shared" ref="AB737" si="1587">AB725/(AB698*1000)*AB$1</f>
        <v>4.7284504235176874E-3</v>
      </c>
      <c r="AC737" s="289">
        <f t="shared" si="1584"/>
        <v>0.01</v>
      </c>
      <c r="AD737" s="289">
        <f t="shared" si="1584"/>
        <v>0.01</v>
      </c>
      <c r="AE737" s="289">
        <f t="shared" si="1584"/>
        <v>1.0000000000000002E-2</v>
      </c>
      <c r="AF737" s="289">
        <f t="shared" ref="AF737:AI737" si="1588">AF725/(AF698*1000)*AF$1</f>
        <v>9.9999999999999985E-3</v>
      </c>
      <c r="AG737" s="289">
        <f t="shared" si="1588"/>
        <v>0.01</v>
      </c>
      <c r="AH737" s="289">
        <f t="shared" si="1588"/>
        <v>0.01</v>
      </c>
      <c r="AI737" s="289">
        <f t="shared" si="1588"/>
        <v>0.01</v>
      </c>
      <c r="AJ737" s="289"/>
      <c r="AK737" s="289"/>
      <c r="AL737" s="289"/>
      <c r="AM737" s="289"/>
      <c r="AN737" s="289"/>
      <c r="AO737" s="289"/>
      <c r="AP737" s="289"/>
      <c r="AQ737" s="289"/>
      <c r="AR737" s="70"/>
      <c r="AS737" s="364" t="s">
        <v>258</v>
      </c>
      <c r="AT737" s="382"/>
      <c r="AU737" s="587">
        <f t="shared" ref="AU737:BD737" si="1589">AU725/(AU698*1000)*AU$1</f>
        <v>4.5718329794762917E-2</v>
      </c>
      <c r="AV737" s="587">
        <f t="shared" si="1589"/>
        <v>3.1017128356946502E-2</v>
      </c>
      <c r="AW737" s="587">
        <f t="shared" si="1589"/>
        <v>2.2512251741036882E-2</v>
      </c>
      <c r="AX737" s="587">
        <f t="shared" si="1589"/>
        <v>1.9996258185219832E-2</v>
      </c>
      <c r="AY737" s="587">
        <f t="shared" si="1589"/>
        <v>1.0532687651331718E-2</v>
      </c>
      <c r="AZ737" s="587">
        <f t="shared" si="1589"/>
        <v>5.4729109274563826E-3</v>
      </c>
      <c r="BA737" s="587">
        <f t="shared" si="1589"/>
        <v>8.5853446055159099E-3</v>
      </c>
      <c r="BB737" s="587">
        <f t="shared" ref="BB737" si="1590">BB725/(BB698*1000)*BB$1</f>
        <v>9.9941731284939658E-3</v>
      </c>
      <c r="BC737" s="587">
        <f t="shared" si="1589"/>
        <v>0.01</v>
      </c>
      <c r="BD737" s="587">
        <f t="shared" si="1589"/>
        <v>0.01</v>
      </c>
      <c r="BE737" s="587">
        <f t="shared" ref="BE737" si="1591">BE725/(BE698*1000)*BE$1</f>
        <v>0.01</v>
      </c>
      <c r="BM737"/>
      <c r="BN737"/>
      <c r="BO737"/>
      <c r="BP737"/>
      <c r="BQ737"/>
      <c r="BR737"/>
    </row>
    <row r="738" spans="1:74" x14ac:dyDescent="0.2">
      <c r="B738" s="382"/>
      <c r="C738" s="382"/>
      <c r="D738" s="601"/>
      <c r="E738" s="601"/>
      <c r="F738" s="601"/>
      <c r="G738" s="601"/>
      <c r="H738" s="382"/>
      <c r="I738" s="594"/>
      <c r="J738" s="594"/>
      <c r="K738" s="594"/>
      <c r="L738" s="382"/>
      <c r="M738" s="594"/>
      <c r="N738" s="594"/>
      <c r="O738" s="594"/>
      <c r="P738" s="382"/>
      <c r="Q738" s="594"/>
      <c r="R738" s="594"/>
      <c r="S738" s="594"/>
      <c r="T738" s="382"/>
      <c r="U738" s="594"/>
      <c r="V738" s="594"/>
      <c r="W738" s="594"/>
      <c r="X738" s="594"/>
      <c r="Y738" s="594"/>
      <c r="Z738" s="594"/>
      <c r="AA738" s="594"/>
      <c r="AB738" s="594"/>
      <c r="AS738" s="382"/>
      <c r="AT738" s="382"/>
    </row>
    <row r="739" spans="1:74" x14ac:dyDescent="0.2">
      <c r="B739" s="608" t="s">
        <v>308</v>
      </c>
      <c r="C739" s="609"/>
      <c r="D739" s="610"/>
      <c r="E739" s="610"/>
      <c r="F739" s="610"/>
      <c r="G739" s="610"/>
      <c r="H739" s="610"/>
      <c r="I739" s="610"/>
      <c r="J739" s="610"/>
      <c r="K739" s="610"/>
      <c r="L739" s="610"/>
      <c r="M739" s="610"/>
      <c r="N739" s="610"/>
      <c r="O739" s="610"/>
      <c r="P739" s="610"/>
      <c r="Q739" s="610"/>
      <c r="R739" s="610"/>
      <c r="S739" s="610"/>
      <c r="T739" s="610"/>
      <c r="U739" s="610"/>
      <c r="V739" s="610"/>
      <c r="W739" s="610"/>
      <c r="X739" s="610"/>
      <c r="Y739" s="610"/>
      <c r="Z739" s="610"/>
      <c r="AA739" s="12"/>
      <c r="AB739" s="12"/>
      <c r="AC739" s="12"/>
      <c r="AD739" s="12"/>
      <c r="AE739" s="12"/>
      <c r="AF739" s="12"/>
      <c r="AG739" s="12"/>
      <c r="AH739" s="12"/>
      <c r="AI739" s="12"/>
      <c r="AJ739" s="12"/>
      <c r="AK739" s="12"/>
      <c r="AL739" s="12"/>
      <c r="AM739" s="12"/>
      <c r="AN739" s="12"/>
      <c r="AO739" s="12"/>
      <c r="AP739" s="12"/>
      <c r="AQ739" s="12"/>
      <c r="AS739" s="608" t="s">
        <v>308</v>
      </c>
      <c r="AT739" s="609"/>
      <c r="AU739" s="389"/>
      <c r="AV739" s="389"/>
      <c r="AW739" s="389"/>
      <c r="AX739" s="389"/>
      <c r="AY739" s="389"/>
      <c r="AZ739" s="389"/>
      <c r="BA739" s="389"/>
      <c r="BB739" s="389"/>
      <c r="BC739" s="389"/>
      <c r="BD739" s="389"/>
      <c r="BE739" s="389"/>
      <c r="BF739" s="390"/>
      <c r="BG739" s="390"/>
      <c r="BH739" s="390"/>
      <c r="BI739" s="390"/>
      <c r="BJ739" s="390"/>
      <c r="BK739" s="390"/>
      <c r="BL739" s="390"/>
      <c r="BS739" s="390"/>
      <c r="BT739" s="390"/>
      <c r="BU739" s="390"/>
      <c r="BV739" s="390"/>
    </row>
    <row r="740" spans="1:74" x14ac:dyDescent="0.2">
      <c r="B740" s="322" t="s">
        <v>305</v>
      </c>
      <c r="C740" s="611"/>
      <c r="D740" s="598">
        <v>182.3</v>
      </c>
      <c r="E740" s="598">
        <v>168.4</v>
      </c>
      <c r="F740" s="598">
        <v>155.1</v>
      </c>
      <c r="G740" s="598">
        <v>142.9</v>
      </c>
      <c r="H740" s="598">
        <v>128.80000000000001</v>
      </c>
      <c r="I740" s="598">
        <v>116.7</v>
      </c>
      <c r="J740" s="598">
        <v>106.4</v>
      </c>
      <c r="K740" s="598">
        <v>100.1</v>
      </c>
      <c r="L740" s="598">
        <v>88.4</v>
      </c>
      <c r="M740" s="598">
        <v>69.900000000000006</v>
      </c>
      <c r="N740" s="598">
        <v>56</v>
      </c>
      <c r="O740" s="598">
        <v>47.4</v>
      </c>
      <c r="P740" s="598">
        <v>43.4</v>
      </c>
      <c r="Q740" s="598">
        <v>39.200000000000003</v>
      </c>
      <c r="R740" s="598">
        <v>36.4</v>
      </c>
      <c r="S740" s="598">
        <v>34</v>
      </c>
      <c r="T740" s="598">
        <v>29.3</v>
      </c>
      <c r="U740" s="598">
        <v>28.5</v>
      </c>
      <c r="V740" s="598">
        <v>18.600000000000001</v>
      </c>
      <c r="W740" s="598">
        <v>18</v>
      </c>
      <c r="X740" s="598">
        <v>15.9</v>
      </c>
      <c r="Y740" s="598">
        <v>14.9</v>
      </c>
      <c r="Z740" s="598">
        <v>12.6</v>
      </c>
      <c r="AA740" s="598">
        <v>12.1</v>
      </c>
      <c r="AB740" s="598">
        <v>11.6</v>
      </c>
      <c r="AC740" s="290" t="s">
        <v>226</v>
      </c>
      <c r="AD740" s="290" t="s">
        <v>226</v>
      </c>
      <c r="AE740" s="290" t="s">
        <v>226</v>
      </c>
      <c r="AF740" s="290" t="s">
        <v>226</v>
      </c>
      <c r="AG740" s="290" t="s">
        <v>226</v>
      </c>
      <c r="AH740" s="290" t="s">
        <v>226</v>
      </c>
      <c r="AI740" s="290" t="s">
        <v>226</v>
      </c>
      <c r="AJ740" s="290"/>
      <c r="AK740" s="290"/>
      <c r="AL740" s="290"/>
      <c r="AM740" s="290"/>
      <c r="AN740" s="290"/>
      <c r="AO740" s="290"/>
      <c r="AP740" s="290"/>
      <c r="AQ740" s="290"/>
      <c r="AS740" s="322" t="s">
        <v>305</v>
      </c>
      <c r="AT740" s="611"/>
      <c r="AU740" s="232">
        <f>G740</f>
        <v>142.9</v>
      </c>
      <c r="AV740" s="232">
        <f>K740</f>
        <v>100.1</v>
      </c>
      <c r="AW740" s="232">
        <f>O740</f>
        <v>47.4</v>
      </c>
      <c r="AX740" s="232">
        <f>S740</f>
        <v>34</v>
      </c>
      <c r="AY740" s="232">
        <f>W740</f>
        <v>18</v>
      </c>
      <c r="AZ740" s="252">
        <f t="shared" ref="AZ740:BA742" si="1592">AA740</f>
        <v>12.1</v>
      </c>
      <c r="BA740" s="252">
        <f t="shared" si="1592"/>
        <v>11.6</v>
      </c>
      <c r="BB740" s="252" t="str">
        <f>AF740</f>
        <v>NF</v>
      </c>
      <c r="BC740" s="252" t="str">
        <f t="shared" ref="BC740:BD742" si="1593">AD740</f>
        <v>NF</v>
      </c>
      <c r="BD740" s="252" t="str">
        <f t="shared" si="1593"/>
        <v>NF</v>
      </c>
      <c r="BE740" s="252">
        <f t="shared" ref="BE740:BE742" si="1594">AR740</f>
        <v>0</v>
      </c>
    </row>
    <row r="741" spans="1:74" x14ac:dyDescent="0.2">
      <c r="B741" s="322" t="s">
        <v>307</v>
      </c>
      <c r="C741" s="611"/>
      <c r="D741" s="598"/>
      <c r="E741" s="77">
        <f t="shared" ref="E741:AB741" si="1595">AVERAGE(D740:E740)</f>
        <v>175.35000000000002</v>
      </c>
      <c r="F741" s="77">
        <f t="shared" si="1595"/>
        <v>161.75</v>
      </c>
      <c r="G741" s="77">
        <f t="shared" si="1595"/>
        <v>149</v>
      </c>
      <c r="H741" s="77">
        <f t="shared" si="1595"/>
        <v>135.85000000000002</v>
      </c>
      <c r="I741" s="77">
        <f t="shared" si="1595"/>
        <v>122.75</v>
      </c>
      <c r="J741" s="77">
        <f t="shared" si="1595"/>
        <v>111.55000000000001</v>
      </c>
      <c r="K741" s="77">
        <f t="shared" si="1595"/>
        <v>103.25</v>
      </c>
      <c r="L741" s="77">
        <f t="shared" si="1595"/>
        <v>94.25</v>
      </c>
      <c r="M741" s="77">
        <f t="shared" si="1595"/>
        <v>79.150000000000006</v>
      </c>
      <c r="N741" s="77">
        <f t="shared" si="1595"/>
        <v>62.95</v>
      </c>
      <c r="O741" s="77">
        <f t="shared" si="1595"/>
        <v>51.7</v>
      </c>
      <c r="P741" s="77">
        <f t="shared" si="1595"/>
        <v>45.4</v>
      </c>
      <c r="Q741" s="77">
        <f t="shared" si="1595"/>
        <v>41.3</v>
      </c>
      <c r="R741" s="77">
        <f t="shared" si="1595"/>
        <v>37.799999999999997</v>
      </c>
      <c r="S741" s="77">
        <f t="shared" si="1595"/>
        <v>35.200000000000003</v>
      </c>
      <c r="T741" s="77">
        <f t="shared" si="1595"/>
        <v>31.65</v>
      </c>
      <c r="U741" s="77">
        <f t="shared" si="1595"/>
        <v>28.9</v>
      </c>
      <c r="V741" s="77">
        <f t="shared" si="1595"/>
        <v>23.55</v>
      </c>
      <c r="W741" s="77">
        <f t="shared" si="1595"/>
        <v>18.3</v>
      </c>
      <c r="X741" s="77">
        <f t="shared" si="1595"/>
        <v>16.95</v>
      </c>
      <c r="Y741" s="77">
        <f t="shared" si="1595"/>
        <v>15.4</v>
      </c>
      <c r="Z741" s="77">
        <f t="shared" si="1595"/>
        <v>13.75</v>
      </c>
      <c r="AA741" s="77">
        <f t="shared" si="1595"/>
        <v>12.35</v>
      </c>
      <c r="AB741" s="77">
        <f t="shared" si="1595"/>
        <v>11.85</v>
      </c>
      <c r="AC741" s="290" t="s">
        <v>226</v>
      </c>
      <c r="AD741" s="290" t="s">
        <v>226</v>
      </c>
      <c r="AE741" s="290" t="s">
        <v>226</v>
      </c>
      <c r="AF741" s="290" t="s">
        <v>226</v>
      </c>
      <c r="AG741" s="290" t="s">
        <v>226</v>
      </c>
      <c r="AH741" s="290" t="s">
        <v>226</v>
      </c>
      <c r="AI741" s="290" t="s">
        <v>226</v>
      </c>
      <c r="AJ741" s="290"/>
      <c r="AK741" s="290"/>
      <c r="AL741" s="290"/>
      <c r="AM741" s="290"/>
      <c r="AN741" s="290"/>
      <c r="AO741" s="290"/>
      <c r="AP741" s="290"/>
      <c r="AQ741" s="290"/>
      <c r="AS741" s="322" t="s">
        <v>307</v>
      </c>
      <c r="AT741" s="611"/>
      <c r="AU741" s="235">
        <f>AVERAGE(D741:G741)</f>
        <v>162.03333333333333</v>
      </c>
      <c r="AV741" s="235">
        <f>AVERAGE(H741:K741)</f>
        <v>118.35000000000001</v>
      </c>
      <c r="AW741" s="235">
        <f>AVERAGE(L741:O741)</f>
        <v>72.012500000000003</v>
      </c>
      <c r="AX741" s="235">
        <f>AVERAGE(P741:S741)</f>
        <v>39.924999999999997</v>
      </c>
      <c r="AY741" s="235">
        <f>AVERAGE(T741:W741)</f>
        <v>25.599999999999998</v>
      </c>
      <c r="AZ741" s="252">
        <f t="shared" si="1592"/>
        <v>12.35</v>
      </c>
      <c r="BA741" s="252">
        <f t="shared" si="1592"/>
        <v>11.85</v>
      </c>
      <c r="BB741" s="252" t="str">
        <f>AF741</f>
        <v>NF</v>
      </c>
      <c r="BC741" s="252" t="str">
        <f t="shared" si="1593"/>
        <v>NF</v>
      </c>
      <c r="BD741" s="252" t="str">
        <f t="shared" si="1593"/>
        <v>NF</v>
      </c>
      <c r="BE741" s="252">
        <f t="shared" si="1594"/>
        <v>0</v>
      </c>
    </row>
    <row r="742" spans="1:74" s="382" customFormat="1" x14ac:dyDescent="0.2">
      <c r="A742" s="833"/>
      <c r="B742" s="322" t="s">
        <v>52</v>
      </c>
      <c r="C742" s="319"/>
      <c r="D742" s="598">
        <v>77.3</v>
      </c>
      <c r="E742" s="598">
        <v>-124.2</v>
      </c>
      <c r="F742" s="598">
        <v>81.3</v>
      </c>
      <c r="G742" s="598">
        <v>77.599999999999994</v>
      </c>
      <c r="H742" s="598">
        <v>78.8</v>
      </c>
      <c r="I742" s="598">
        <v>98.7</v>
      </c>
      <c r="J742" s="598">
        <v>25.1</v>
      </c>
      <c r="K742" s="598">
        <v>53.5</v>
      </c>
      <c r="L742" s="598">
        <v>27.2</v>
      </c>
      <c r="M742" s="598">
        <v>34.6</v>
      </c>
      <c r="N742" s="598">
        <v>81.5</v>
      </c>
      <c r="O742" s="598">
        <v>96.8</v>
      </c>
      <c r="P742" s="598">
        <v>96.2</v>
      </c>
      <c r="Q742" s="598">
        <v>61.3</v>
      </c>
      <c r="R742" s="598">
        <v>49.6</v>
      </c>
      <c r="S742" s="598">
        <v>5</v>
      </c>
      <c r="T742" s="598">
        <v>118.4</v>
      </c>
      <c r="U742" s="598">
        <v>19.399999999999999</v>
      </c>
      <c r="V742" s="598">
        <v>17</v>
      </c>
      <c r="W742" s="598">
        <v>17.899999999999999</v>
      </c>
      <c r="X742" s="598">
        <v>-265.39999999999998</v>
      </c>
      <c r="Y742" s="598">
        <v>29.5</v>
      </c>
      <c r="Z742" s="598">
        <v>20.8</v>
      </c>
      <c r="AA742" s="598">
        <v>23.5</v>
      </c>
      <c r="AB742" s="598">
        <v>8.5</v>
      </c>
      <c r="AC742" s="290" t="s">
        <v>226</v>
      </c>
      <c r="AD742" s="290" t="s">
        <v>226</v>
      </c>
      <c r="AE742" s="290" t="s">
        <v>226</v>
      </c>
      <c r="AF742" s="290" t="s">
        <v>226</v>
      </c>
      <c r="AG742" s="290" t="s">
        <v>226</v>
      </c>
      <c r="AH742" s="290" t="s">
        <v>226</v>
      </c>
      <c r="AI742" s="290" t="s">
        <v>226</v>
      </c>
      <c r="AJ742" s="290"/>
      <c r="AK742" s="290"/>
      <c r="AL742" s="290"/>
      <c r="AM742" s="290"/>
      <c r="AN742" s="290"/>
      <c r="AO742" s="290"/>
      <c r="AP742" s="290"/>
      <c r="AQ742" s="290"/>
      <c r="AR742" s="70"/>
      <c r="AS742" s="322" t="s">
        <v>52</v>
      </c>
      <c r="AT742" s="319"/>
      <c r="AU742" s="232">
        <f>SUM(D742:G742)</f>
        <v>111.99999999999999</v>
      </c>
      <c r="AV742" s="232">
        <f>SUM(H742:K742)</f>
        <v>256.10000000000002</v>
      </c>
      <c r="AW742" s="232">
        <f>SUM(L742:O742)</f>
        <v>240.10000000000002</v>
      </c>
      <c r="AX742" s="232">
        <f>SUM(P742:S742)</f>
        <v>212.1</v>
      </c>
      <c r="AY742" s="232">
        <f>SUM(T742:W742)</f>
        <v>172.70000000000002</v>
      </c>
      <c r="AZ742" s="252">
        <f t="shared" si="1592"/>
        <v>23.5</v>
      </c>
      <c r="BA742" s="252">
        <f t="shared" si="1592"/>
        <v>8.5</v>
      </c>
      <c r="BB742" s="252" t="str">
        <f>AF742</f>
        <v>NF</v>
      </c>
      <c r="BC742" s="252" t="str">
        <f t="shared" si="1593"/>
        <v>NF</v>
      </c>
      <c r="BD742" s="252" t="str">
        <f t="shared" si="1593"/>
        <v>NF</v>
      </c>
      <c r="BE742" s="252">
        <f t="shared" si="1594"/>
        <v>0</v>
      </c>
      <c r="BM742"/>
      <c r="BN742"/>
      <c r="BO742"/>
      <c r="BP742"/>
      <c r="BQ742"/>
      <c r="BR742"/>
    </row>
    <row r="743" spans="1:74" s="54" customFormat="1" x14ac:dyDescent="0.2">
      <c r="A743" s="836"/>
      <c r="B743" s="46"/>
      <c r="C743" s="61" t="s">
        <v>306</v>
      </c>
      <c r="D743" s="78"/>
      <c r="E743" s="79">
        <f t="shared" ref="E743:X743" si="1596">E742/(E740*1000)*E1</f>
        <v>-2.966328208608494E-3</v>
      </c>
      <c r="F743" s="79">
        <f t="shared" si="1596"/>
        <v>2.0853166260196786E-3</v>
      </c>
      <c r="G743" s="79">
        <f t="shared" si="1596"/>
        <v>2.1603432013874097E-3</v>
      </c>
      <c r="H743" s="79">
        <f t="shared" si="1596"/>
        <v>2.4811939268461003E-3</v>
      </c>
      <c r="I743" s="79">
        <f t="shared" si="1596"/>
        <v>3.3923274668775953E-3</v>
      </c>
      <c r="J743" s="79">
        <f t="shared" si="1596"/>
        <v>9.3591655769859419E-4</v>
      </c>
      <c r="K743" s="79">
        <f t="shared" si="1596"/>
        <v>2.1204339139121748E-3</v>
      </c>
      <c r="L743" s="79">
        <f t="shared" si="1596"/>
        <v>1.2478632478632478E-3</v>
      </c>
      <c r="M743" s="79">
        <f t="shared" si="1596"/>
        <v>1.9854108695310413E-3</v>
      </c>
      <c r="N743" s="79">
        <f t="shared" si="1596"/>
        <v>5.7739712732919248E-3</v>
      </c>
      <c r="O743" s="79">
        <f t="shared" si="1596"/>
        <v>8.1021830856723518E-3</v>
      </c>
      <c r="P743" s="79">
        <f t="shared" si="1596"/>
        <v>8.9895033282130065E-3</v>
      </c>
      <c r="Q743" s="79">
        <f t="shared" si="1596"/>
        <v>6.2722863870823048E-3</v>
      </c>
      <c r="R743" s="79">
        <f t="shared" si="1596"/>
        <v>5.4061156235069279E-3</v>
      </c>
      <c r="S743" s="79">
        <f t="shared" si="1596"/>
        <v>5.8343989769820965E-4</v>
      </c>
      <c r="T743" s="79">
        <f t="shared" si="1596"/>
        <v>1.6252634737276377E-2</v>
      </c>
      <c r="U743" s="79">
        <f t="shared" si="1596"/>
        <v>2.7377674956622321E-3</v>
      </c>
      <c r="V743" s="79">
        <f t="shared" si="1596"/>
        <v>3.6360448807854135E-3</v>
      </c>
      <c r="W743" s="79">
        <f t="shared" si="1596"/>
        <v>3.956159420289854E-3</v>
      </c>
      <c r="X743" s="79">
        <f t="shared" si="1596"/>
        <v>-6.7694619147449328E-2</v>
      </c>
      <c r="Y743" s="79">
        <f t="shared" ref="Y743:Z743" si="1597">Y742/(Y740*1000)*Y1</f>
        <v>7.9412198539715317E-3</v>
      </c>
      <c r="Z743" s="79">
        <f t="shared" si="1597"/>
        <v>6.5493443754313313E-3</v>
      </c>
      <c r="AA743" s="79">
        <f t="shared" ref="AA743:AB743" si="1598">AA742/(AA740*1000)*AA1</f>
        <v>7.7052641034854466E-3</v>
      </c>
      <c r="AB743" s="79">
        <f t="shared" si="1598"/>
        <v>2.9717432950191569E-3</v>
      </c>
      <c r="AC743" s="294" t="s">
        <v>229</v>
      </c>
      <c r="AD743" s="294" t="s">
        <v>229</v>
      </c>
      <c r="AE743" s="294" t="s">
        <v>229</v>
      </c>
      <c r="AF743" s="294" t="s">
        <v>229</v>
      </c>
      <c r="AG743" s="294" t="s">
        <v>229</v>
      </c>
      <c r="AH743" s="294" t="s">
        <v>229</v>
      </c>
      <c r="AI743" s="294" t="s">
        <v>229</v>
      </c>
      <c r="AJ743" s="294"/>
      <c r="AK743" s="294"/>
      <c r="AL743" s="294"/>
      <c r="AM743" s="294"/>
      <c r="AN743" s="294"/>
      <c r="AO743" s="294"/>
      <c r="AP743" s="294"/>
      <c r="AQ743" s="294"/>
      <c r="AR743" s="70"/>
      <c r="AS743" s="46"/>
      <c r="AT743" s="61" t="s">
        <v>306</v>
      </c>
      <c r="AU743" s="79">
        <f>AU742/(AU740*1000)*AU1</f>
        <v>7.8376487053883823E-4</v>
      </c>
      <c r="AV743" s="79">
        <f>AV742/(AV740*1000)*AV1</f>
        <v>2.5584415584415585E-3</v>
      </c>
      <c r="AW743" s="79">
        <f>AW742/(AW740*1000)*AW1</f>
        <v>5.065400843881857E-3</v>
      </c>
      <c r="AX743" s="79">
        <f>AX742/(AX740*1000)*AX1</f>
        <v>6.2382352941176469E-3</v>
      </c>
      <c r="AY743" s="79">
        <f>AY742/(AY740*1000)*AY1</f>
        <v>9.5944444444444454E-3</v>
      </c>
      <c r="AZ743" s="294" t="s">
        <v>229</v>
      </c>
      <c r="BA743" s="294" t="s">
        <v>229</v>
      </c>
      <c r="BB743" s="294" t="s">
        <v>229</v>
      </c>
      <c r="BC743" s="294" t="s">
        <v>229</v>
      </c>
      <c r="BD743" s="294" t="s">
        <v>229</v>
      </c>
      <c r="BE743" s="294" t="s">
        <v>229</v>
      </c>
      <c r="BM743"/>
      <c r="BN743"/>
      <c r="BO743"/>
      <c r="BP743"/>
      <c r="BQ743"/>
      <c r="BR743"/>
    </row>
    <row r="744" spans="1:74" s="54" customFormat="1" x14ac:dyDescent="0.2">
      <c r="A744" s="836"/>
      <c r="B744" s="46"/>
      <c r="C744" s="61"/>
      <c r="D744" s="78"/>
      <c r="E744" s="79"/>
      <c r="F744" s="79"/>
      <c r="G744" s="79"/>
      <c r="H744" s="79"/>
      <c r="I744" s="79"/>
      <c r="J744" s="79"/>
      <c r="K744" s="79"/>
      <c r="L744" s="79"/>
      <c r="M744" s="79"/>
      <c r="N744" s="79"/>
      <c r="O744" s="79"/>
      <c r="P744" s="79"/>
      <c r="Q744" s="79"/>
      <c r="R744" s="79"/>
      <c r="S744" s="79"/>
      <c r="T744" s="79"/>
      <c r="U744" s="79"/>
      <c r="V744" s="79"/>
      <c r="W744" s="79"/>
      <c r="X744" s="291"/>
      <c r="Y744" s="292"/>
      <c r="Z744" s="293"/>
      <c r="AA744" s="293"/>
      <c r="AB744" s="293"/>
      <c r="AC744" s="291"/>
      <c r="AD744" s="291"/>
      <c r="AE744" s="291"/>
      <c r="AF744" s="291"/>
      <c r="AG744" s="291"/>
      <c r="AH744" s="291"/>
      <c r="AI744" s="291"/>
      <c r="AJ744" s="291"/>
      <c r="AK744" s="291"/>
      <c r="AL744" s="291"/>
      <c r="AM744" s="291"/>
      <c r="AN744" s="291"/>
      <c r="AO744" s="291"/>
      <c r="AP744" s="291"/>
      <c r="AQ744" s="291"/>
      <c r="AR744" s="70"/>
      <c r="AS744" s="46"/>
      <c r="AT744" s="61"/>
      <c r="BM744"/>
      <c r="BN744"/>
      <c r="BO744"/>
      <c r="BP744"/>
      <c r="BQ744"/>
      <c r="BR744"/>
    </row>
    <row r="745" spans="1:74" x14ac:dyDescent="0.2">
      <c r="AS745" s="10"/>
      <c r="AT745" s="9"/>
    </row>
    <row r="746" spans="1:74" x14ac:dyDescent="0.2">
      <c r="A746" s="411" t="s">
        <v>194</v>
      </c>
      <c r="B746" s="13" t="s">
        <v>390</v>
      </c>
      <c r="C746" s="13"/>
      <c r="D746" s="14"/>
      <c r="E746" s="14"/>
      <c r="F746" s="14"/>
      <c r="G746" s="14"/>
      <c r="H746" s="14"/>
      <c r="I746" s="14"/>
      <c r="J746" s="14"/>
      <c r="K746" s="14"/>
      <c r="L746" s="14"/>
      <c r="M746" s="14"/>
      <c r="N746" s="14"/>
      <c r="O746" s="14"/>
      <c r="P746" s="14"/>
      <c r="Q746" s="14"/>
      <c r="R746" s="14"/>
      <c r="S746" s="14"/>
      <c r="T746" s="14"/>
      <c r="U746" s="14"/>
      <c r="V746" s="14"/>
      <c r="W746" s="14"/>
      <c r="X746" s="14"/>
      <c r="Y746" s="14"/>
      <c r="Z746" s="14"/>
      <c r="AA746" s="14"/>
      <c r="AB746" s="14"/>
      <c r="AC746" s="14"/>
      <c r="AD746" s="14"/>
      <c r="AE746" s="14"/>
      <c r="AF746" s="14"/>
      <c r="AG746" s="14"/>
      <c r="AH746" s="14"/>
      <c r="AI746" s="14"/>
      <c r="AJ746" s="14"/>
      <c r="AK746" s="14"/>
      <c r="AL746" s="14"/>
      <c r="AM746" s="14"/>
      <c r="AN746" s="14"/>
      <c r="AO746" s="14"/>
      <c r="AP746" s="14"/>
      <c r="AQ746" s="14"/>
      <c r="AS746" s="13" t="s">
        <v>390</v>
      </c>
      <c r="AT746" s="13"/>
      <c r="AU746" s="14"/>
      <c r="AV746" s="14"/>
      <c r="AW746" s="14"/>
      <c r="AX746" s="14"/>
      <c r="AY746" s="14"/>
      <c r="AZ746" s="14"/>
      <c r="BA746" s="14"/>
      <c r="BB746" s="14"/>
      <c r="BC746" s="14"/>
      <c r="BD746" s="14"/>
      <c r="BE746" s="14"/>
      <c r="BF746" s="15"/>
      <c r="BG746" s="15"/>
      <c r="BH746" s="15"/>
      <c r="BI746" s="15"/>
      <c r="BJ746" s="15"/>
      <c r="BK746" s="15"/>
      <c r="BL746" s="15"/>
    </row>
    <row r="747" spans="1:74" x14ac:dyDescent="0.2">
      <c r="AS747" s="10"/>
      <c r="AT747" s="9"/>
    </row>
    <row r="748" spans="1:74" x14ac:dyDescent="0.2">
      <c r="B748" s="302" t="s">
        <v>209</v>
      </c>
      <c r="AS748" s="302" t="s">
        <v>209</v>
      </c>
      <c r="AT748" s="1217"/>
    </row>
    <row r="749" spans="1:74" x14ac:dyDescent="0.2">
      <c r="B749" s="327" t="s">
        <v>660</v>
      </c>
      <c r="D749" s="612">
        <v>17294</v>
      </c>
      <c r="E749" s="612">
        <v>16686</v>
      </c>
      <c r="F749" s="612">
        <v>16737</v>
      </c>
      <c r="G749" s="612">
        <v>16581</v>
      </c>
      <c r="H749" s="612">
        <v>15960</v>
      </c>
      <c r="I749" s="612">
        <v>15840</v>
      </c>
      <c r="J749" s="612">
        <v>15463</v>
      </c>
      <c r="K749" s="612">
        <v>15707</v>
      </c>
      <c r="L749" s="612">
        <v>15350</v>
      </c>
      <c r="M749" s="612">
        <v>15561</v>
      </c>
      <c r="N749" s="612">
        <v>15512</v>
      </c>
      <c r="O749" s="612">
        <v>15260</v>
      </c>
      <c r="P749" s="612">
        <v>14600</v>
      </c>
      <c r="Q749" s="612">
        <v>14873</v>
      </c>
      <c r="R749" s="612">
        <v>14714</v>
      </c>
      <c r="S749" s="612">
        <v>14364</v>
      </c>
      <c r="T749" s="612">
        <v>14167</v>
      </c>
      <c r="U749" s="612">
        <v>14356</v>
      </c>
      <c r="V749" s="612">
        <v>14653</v>
      </c>
      <c r="W749" s="612">
        <v>14439</v>
      </c>
      <c r="X749" s="612">
        <v>14521</v>
      </c>
      <c r="Y749" s="612">
        <v>15294</v>
      </c>
      <c r="Z749" s="612">
        <v>15914</v>
      </c>
      <c r="AA749" s="612">
        <v>15850</v>
      </c>
      <c r="AB749" s="612">
        <v>16332</v>
      </c>
      <c r="AC749" s="144" t="s">
        <v>226</v>
      </c>
      <c r="AD749" s="144" t="s">
        <v>226</v>
      </c>
      <c r="AE749" s="144" t="s">
        <v>226</v>
      </c>
      <c r="AF749" s="144" t="s">
        <v>226</v>
      </c>
      <c r="AG749" s="144" t="s">
        <v>226</v>
      </c>
      <c r="AH749" s="144" t="s">
        <v>226</v>
      </c>
      <c r="AI749" s="144" t="s">
        <v>226</v>
      </c>
      <c r="AJ749" s="144"/>
      <c r="AK749" s="144"/>
      <c r="AL749" s="144"/>
      <c r="AM749" s="144"/>
      <c r="AN749" s="144"/>
      <c r="AO749" s="144"/>
      <c r="AP749" s="144"/>
      <c r="AQ749" s="144"/>
      <c r="AS749" s="327" t="s">
        <v>660</v>
      </c>
      <c r="AT749" s="1217"/>
      <c r="AU749" s="232">
        <f>SUM(D749:G749)</f>
        <v>67298</v>
      </c>
      <c r="AV749" s="232">
        <f>SUM(H749:K749)</f>
        <v>62970</v>
      </c>
      <c r="AW749" s="232">
        <f>SUM(L749:O749)</f>
        <v>61683</v>
      </c>
      <c r="AX749" s="232">
        <f>SUM(P749:S749)</f>
        <v>58551</v>
      </c>
      <c r="AY749" s="232">
        <f>SUM(T749:W749)</f>
        <v>57615</v>
      </c>
      <c r="AZ749" s="219" t="s">
        <v>226</v>
      </c>
      <c r="BA749" s="219" t="s">
        <v>226</v>
      </c>
      <c r="BB749" s="219" t="s">
        <v>226</v>
      </c>
      <c r="BC749" s="219" t="s">
        <v>226</v>
      </c>
      <c r="BD749" s="219" t="s">
        <v>226</v>
      </c>
      <c r="BE749" s="219" t="s">
        <v>226</v>
      </c>
    </row>
    <row r="750" spans="1:74" x14ac:dyDescent="0.2">
      <c r="B750" s="327" t="s">
        <v>661</v>
      </c>
      <c r="D750" s="613">
        <v>5578</v>
      </c>
      <c r="E750" s="613">
        <v>5343</v>
      </c>
      <c r="F750" s="613">
        <v>5026</v>
      </c>
      <c r="G750" s="613">
        <v>4665</v>
      </c>
      <c r="H750" s="613">
        <v>4330</v>
      </c>
      <c r="I750" s="613">
        <v>4158</v>
      </c>
      <c r="J750" s="613">
        <v>3952</v>
      </c>
      <c r="K750" s="613">
        <v>3737</v>
      </c>
      <c r="L750" s="613">
        <v>3591</v>
      </c>
      <c r="M750" s="613">
        <v>3615</v>
      </c>
      <c r="N750" s="613">
        <v>3325</v>
      </c>
      <c r="O750" s="613">
        <v>3159</v>
      </c>
      <c r="P750" s="613">
        <v>3028</v>
      </c>
      <c r="Q750" s="613">
        <v>3051</v>
      </c>
      <c r="R750" s="613">
        <v>2941</v>
      </c>
      <c r="S750" s="613">
        <v>2901</v>
      </c>
      <c r="T750" s="613">
        <v>2940</v>
      </c>
      <c r="U750" s="613">
        <v>3120</v>
      </c>
      <c r="V750" s="613">
        <v>3174</v>
      </c>
      <c r="W750" s="613">
        <v>3277</v>
      </c>
      <c r="X750" s="613">
        <v>3566</v>
      </c>
      <c r="Y750" s="613">
        <v>4036</v>
      </c>
      <c r="Z750" s="613">
        <v>4379</v>
      </c>
      <c r="AA750" s="613">
        <v>4537</v>
      </c>
      <c r="AB750" s="613">
        <v>5160</v>
      </c>
      <c r="AC750" s="219" t="s">
        <v>226</v>
      </c>
      <c r="AD750" s="219" t="s">
        <v>226</v>
      </c>
      <c r="AE750" s="219" t="s">
        <v>226</v>
      </c>
      <c r="AF750" s="219" t="s">
        <v>226</v>
      </c>
      <c r="AG750" s="219" t="s">
        <v>226</v>
      </c>
      <c r="AH750" s="219" t="s">
        <v>226</v>
      </c>
      <c r="AI750" s="219" t="s">
        <v>226</v>
      </c>
      <c r="AJ750" s="219"/>
      <c r="AK750" s="219"/>
      <c r="AL750" s="219"/>
      <c r="AM750" s="219"/>
      <c r="AN750" s="219"/>
      <c r="AO750" s="219"/>
      <c r="AP750" s="219"/>
      <c r="AQ750" s="219"/>
      <c r="AS750" s="327" t="s">
        <v>661</v>
      </c>
      <c r="AT750" s="1217"/>
      <c r="AU750" s="41">
        <f>SUM(D750:G750)</f>
        <v>20612</v>
      </c>
      <c r="AV750" s="41">
        <f>SUM(H750:K750)</f>
        <v>16177</v>
      </c>
      <c r="AW750" s="41">
        <f>SUM(L750:O750)</f>
        <v>13690</v>
      </c>
      <c r="AX750" s="41">
        <f>SUM(P750:S750)</f>
        <v>11921</v>
      </c>
      <c r="AY750" s="41">
        <f>SUM(T750:W750)</f>
        <v>12511</v>
      </c>
      <c r="AZ750" s="295" t="s">
        <v>226</v>
      </c>
      <c r="BA750" s="295" t="s">
        <v>226</v>
      </c>
      <c r="BB750" s="295" t="s">
        <v>226</v>
      </c>
      <c r="BC750" s="295" t="s">
        <v>226</v>
      </c>
      <c r="BD750" s="295" t="s">
        <v>226</v>
      </c>
      <c r="BE750" s="295" t="s">
        <v>226</v>
      </c>
    </row>
    <row r="751" spans="1:74" x14ac:dyDescent="0.2">
      <c r="B751" s="9"/>
      <c r="C751" s="9" t="s">
        <v>647</v>
      </c>
      <c r="D751" s="614">
        <f t="shared" ref="D751:X751" si="1599">D749-D750</f>
        <v>11716</v>
      </c>
      <c r="E751" s="614">
        <f t="shared" si="1599"/>
        <v>11343</v>
      </c>
      <c r="F751" s="614">
        <f t="shared" si="1599"/>
        <v>11711</v>
      </c>
      <c r="G751" s="614">
        <f t="shared" si="1599"/>
        <v>11916</v>
      </c>
      <c r="H751" s="614">
        <f t="shared" si="1599"/>
        <v>11630</v>
      </c>
      <c r="I751" s="614">
        <f t="shared" si="1599"/>
        <v>11682</v>
      </c>
      <c r="J751" s="614">
        <f t="shared" si="1599"/>
        <v>11511</v>
      </c>
      <c r="K751" s="614">
        <f t="shared" si="1599"/>
        <v>11970</v>
      </c>
      <c r="L751" s="614">
        <f t="shared" si="1599"/>
        <v>11759</v>
      </c>
      <c r="M751" s="614">
        <f t="shared" si="1599"/>
        <v>11946</v>
      </c>
      <c r="N751" s="614">
        <f t="shared" si="1599"/>
        <v>12187</v>
      </c>
      <c r="O751" s="614">
        <f t="shared" si="1599"/>
        <v>12101</v>
      </c>
      <c r="P751" s="614">
        <f t="shared" si="1599"/>
        <v>11572</v>
      </c>
      <c r="Q751" s="614">
        <f t="shared" si="1599"/>
        <v>11822</v>
      </c>
      <c r="R751" s="614">
        <f t="shared" si="1599"/>
        <v>11773</v>
      </c>
      <c r="S751" s="614">
        <f t="shared" si="1599"/>
        <v>11463</v>
      </c>
      <c r="T751" s="614">
        <f t="shared" si="1599"/>
        <v>11227</v>
      </c>
      <c r="U751" s="614">
        <f t="shared" si="1599"/>
        <v>11236</v>
      </c>
      <c r="V751" s="614">
        <f t="shared" si="1599"/>
        <v>11479</v>
      </c>
      <c r="W751" s="614">
        <f t="shared" si="1599"/>
        <v>11162</v>
      </c>
      <c r="X751" s="614">
        <f t="shared" si="1599"/>
        <v>10955</v>
      </c>
      <c r="Y751" s="614">
        <f t="shared" ref="Y751:Z751" si="1600">Y749-Y750</f>
        <v>11258</v>
      </c>
      <c r="Z751" s="614">
        <f t="shared" si="1600"/>
        <v>11535</v>
      </c>
      <c r="AA751" s="614">
        <f t="shared" ref="AA751:AB751" si="1601">AA749-AA750</f>
        <v>11313</v>
      </c>
      <c r="AB751" s="614">
        <f t="shared" si="1601"/>
        <v>11172</v>
      </c>
      <c r="AC751" s="614">
        <f t="shared" ref="AC751:AE751" si="1602">AC113+AC510+AC638</f>
        <v>11390.19205109589</v>
      </c>
      <c r="AD751" s="614">
        <f t="shared" si="1602"/>
        <v>11776.781325060274</v>
      </c>
      <c r="AE751" s="614">
        <f t="shared" si="1602"/>
        <v>12079.547495916329</v>
      </c>
      <c r="AF751" s="614">
        <f t="shared" ref="AF751:AI751" si="1603">AF113+AF510+AF638</f>
        <v>11949.617750800599</v>
      </c>
      <c r="AG751" s="614">
        <f t="shared" si="1603"/>
        <v>12281.404573680156</v>
      </c>
      <c r="AH751" s="614">
        <f t="shared" si="1603"/>
        <v>12767.296093749019</v>
      </c>
      <c r="AI751" s="614">
        <f t="shared" si="1603"/>
        <v>13129.351683596275</v>
      </c>
      <c r="AJ751" s="615"/>
      <c r="AK751" s="615"/>
      <c r="AL751" s="615"/>
      <c r="AM751" s="615"/>
      <c r="AN751" s="615"/>
      <c r="AO751" s="615"/>
      <c r="AP751" s="615"/>
      <c r="AQ751" s="615"/>
      <c r="AS751" s="1217"/>
      <c r="AT751" s="1217" t="s">
        <v>647</v>
      </c>
      <c r="AU751" s="232">
        <f>SUM(D751:G751)</f>
        <v>46686</v>
      </c>
      <c r="AV751" s="232">
        <f>SUM(H751:K751)</f>
        <v>46793</v>
      </c>
      <c r="AW751" s="232">
        <f>SUM(L751:O751)</f>
        <v>47993</v>
      </c>
      <c r="AX751" s="232">
        <f>SUM(P751:S751)</f>
        <v>46630</v>
      </c>
      <c r="AY751" s="232">
        <f>SUM(T751:W751)</f>
        <v>45104</v>
      </c>
      <c r="AZ751" s="232">
        <f>SUM(X751:AA751)</f>
        <v>45061</v>
      </c>
      <c r="BA751" s="232">
        <f>SUM(AB751:AE751)</f>
        <v>46418.520872072491</v>
      </c>
      <c r="BB751" s="232">
        <f>SUM(AF751:AI751)</f>
        <v>50127.67010182605</v>
      </c>
      <c r="BC751" s="615">
        <f>BC113+BC510+BC638</f>
        <v>53356.384706419296</v>
      </c>
      <c r="BD751" s="615">
        <f>BD113+BD510+BD638</f>
        <v>56484.234833184441</v>
      </c>
      <c r="BE751" s="615">
        <f>BE113+BE510+BE638</f>
        <v>59473.13775532032</v>
      </c>
    </row>
    <row r="752" spans="1:74" x14ac:dyDescent="0.2">
      <c r="B752" s="327"/>
      <c r="C752" s="327"/>
      <c r="D752" s="327"/>
      <c r="E752" s="327"/>
      <c r="F752" s="327"/>
      <c r="G752" s="327"/>
      <c r="H752" s="327"/>
      <c r="I752" s="327"/>
      <c r="J752" s="327"/>
      <c r="K752" s="327"/>
      <c r="L752" s="327"/>
      <c r="M752" s="327"/>
      <c r="N752" s="327"/>
      <c r="O752" s="327"/>
      <c r="P752" s="327"/>
      <c r="Q752" s="327"/>
      <c r="R752" s="327"/>
      <c r="S752" s="327"/>
      <c r="T752" s="327"/>
      <c r="U752" s="327"/>
      <c r="V752" s="327"/>
      <c r="W752" s="327"/>
      <c r="X752" s="327"/>
      <c r="Y752" s="327"/>
      <c r="Z752" s="327"/>
      <c r="AA752" s="327"/>
      <c r="AB752" s="327"/>
      <c r="AS752" s="327"/>
      <c r="AT752" s="327"/>
      <c r="BC752" s="71"/>
      <c r="BD752" s="71"/>
      <c r="BE752" s="71"/>
    </row>
    <row r="753" spans="1:70" x14ac:dyDescent="0.2">
      <c r="B753" s="327"/>
      <c r="C753" s="327" t="s">
        <v>622</v>
      </c>
      <c r="D753" s="616">
        <f t="shared" ref="D753:X753" si="1604">D755-D751</f>
        <v>134</v>
      </c>
      <c r="E753" s="616">
        <f t="shared" si="1604"/>
        <v>216</v>
      </c>
      <c r="F753" s="616">
        <f t="shared" si="1604"/>
        <v>169</v>
      </c>
      <c r="G753" s="616">
        <f t="shared" si="1604"/>
        <v>133</v>
      </c>
      <c r="H753" s="616">
        <f t="shared" si="1604"/>
        <v>127</v>
      </c>
      <c r="I753" s="616">
        <f t="shared" si="1604"/>
        <v>142</v>
      </c>
      <c r="J753" s="616">
        <f t="shared" si="1604"/>
        <v>125</v>
      </c>
      <c r="K753" s="616">
        <f t="shared" si="1604"/>
        <v>127</v>
      </c>
      <c r="L753" s="616">
        <f t="shared" si="1604"/>
        <v>128</v>
      </c>
      <c r="M753" s="616">
        <f t="shared" si="1604"/>
        <v>121</v>
      </c>
      <c r="N753" s="616">
        <f t="shared" si="1604"/>
        <v>124</v>
      </c>
      <c r="O753" s="616">
        <f t="shared" si="1604"/>
        <v>124</v>
      </c>
      <c r="P753" s="616">
        <f t="shared" si="1604"/>
        <v>123</v>
      </c>
      <c r="Q753" s="616">
        <f t="shared" si="1604"/>
        <v>127</v>
      </c>
      <c r="R753" s="616">
        <f t="shared" si="1604"/>
        <v>116</v>
      </c>
      <c r="S753" s="616">
        <f t="shared" si="1604"/>
        <v>128</v>
      </c>
      <c r="T753" s="616">
        <f t="shared" si="1604"/>
        <v>119</v>
      </c>
      <c r="U753" s="616">
        <f t="shared" si="1604"/>
        <v>115</v>
      </c>
      <c r="V753" s="616">
        <f t="shared" si="1604"/>
        <v>114</v>
      </c>
      <c r="W753" s="616">
        <f t="shared" si="1604"/>
        <v>113</v>
      </c>
      <c r="X753" s="616">
        <f t="shared" si="1604"/>
        <v>123</v>
      </c>
      <c r="Y753" s="616">
        <f t="shared" ref="Y753:Z753" si="1605">Y755-Y751</f>
        <v>122</v>
      </c>
      <c r="Z753" s="616">
        <f t="shared" si="1605"/>
        <v>123</v>
      </c>
      <c r="AA753" s="616">
        <f t="shared" ref="AA753:AB753" si="1606">AA755-AA751</f>
        <v>128</v>
      </c>
      <c r="AB753" s="616">
        <f t="shared" si="1606"/>
        <v>64</v>
      </c>
      <c r="AC753" s="33">
        <f t="shared" ref="AC753:AE753" si="1607">AC754*AC889/AC1</f>
        <v>76.398738742965193</v>
      </c>
      <c r="AD753" s="33">
        <f t="shared" si="1607"/>
        <v>76.257376973000945</v>
      </c>
      <c r="AE753" s="33">
        <f t="shared" si="1607"/>
        <v>78.653305092139888</v>
      </c>
      <c r="AF753" s="33">
        <f t="shared" ref="AF753:AI753" si="1608">AF754*AF889/AF1</f>
        <v>65.346784155858344</v>
      </c>
      <c r="AG753" s="33">
        <f t="shared" si="1608"/>
        <v>78.289451985081215</v>
      </c>
      <c r="AH753" s="33">
        <f t="shared" si="1608"/>
        <v>78.585621161489669</v>
      </c>
      <c r="AI753" s="33">
        <f t="shared" si="1608"/>
        <v>81.516480592714572</v>
      </c>
      <c r="AJ753" s="33"/>
      <c r="AK753" s="33"/>
      <c r="AL753" s="33"/>
      <c r="AM753" s="33"/>
      <c r="AN753" s="33"/>
      <c r="AO753" s="33"/>
      <c r="AP753" s="33"/>
      <c r="AQ753" s="33"/>
      <c r="AS753" s="327"/>
      <c r="AT753" s="327" t="s">
        <v>622</v>
      </c>
      <c r="AU753" s="616">
        <f t="shared" ref="AU753:BA753" si="1609">AU755-AU751</f>
        <v>652</v>
      </c>
      <c r="AV753" s="616">
        <f t="shared" si="1609"/>
        <v>521</v>
      </c>
      <c r="AW753" s="616">
        <f t="shared" si="1609"/>
        <v>497</v>
      </c>
      <c r="AX753" s="616">
        <f t="shared" si="1609"/>
        <v>494</v>
      </c>
      <c r="AY753" s="616">
        <f t="shared" si="1609"/>
        <v>461</v>
      </c>
      <c r="AZ753" s="616">
        <f t="shared" si="1609"/>
        <v>496</v>
      </c>
      <c r="BA753" s="616">
        <f t="shared" si="1609"/>
        <v>295.309420808102</v>
      </c>
      <c r="BB753" s="616">
        <f t="shared" ref="BB753" si="1610">BB755-BB751</f>
        <v>303.73833789513446</v>
      </c>
      <c r="BC753" s="33">
        <f>BC754*BC889/BC1</f>
        <v>311.89530675321896</v>
      </c>
      <c r="BD753" s="33">
        <f>BD754*BD889/BD1</f>
        <v>322.48836529798007</v>
      </c>
      <c r="BE753" s="33">
        <f>BE754*BE889/BE1</f>
        <v>332.97417251744196</v>
      </c>
    </row>
    <row r="754" spans="1:70" x14ac:dyDescent="0.2">
      <c r="B754" s="327"/>
      <c r="C754" s="327" t="s">
        <v>621</v>
      </c>
      <c r="D754" s="617">
        <f t="shared" ref="D754:X754" si="1611">D753/D889*D1</f>
        <v>3.2087072291688419E-4</v>
      </c>
      <c r="E754" s="617">
        <f t="shared" si="1611"/>
        <v>5.1657858455964934E-4</v>
      </c>
      <c r="F754" s="617">
        <f t="shared" si="1611"/>
        <v>4.0077163993857919E-4</v>
      </c>
      <c r="G754" s="617">
        <f t="shared" si="1611"/>
        <v>3.1756861773323827E-4</v>
      </c>
      <c r="H754" s="617">
        <f t="shared" si="1611"/>
        <v>3.1128159578706498E-4</v>
      </c>
      <c r="I754" s="617">
        <f t="shared" si="1611"/>
        <v>3.4187875880293281E-4</v>
      </c>
      <c r="J754" s="617">
        <f t="shared" si="1611"/>
        <v>3.0191839710520438E-4</v>
      </c>
      <c r="K754" s="617">
        <f t="shared" si="1611"/>
        <v>3.0202756633712483E-4</v>
      </c>
      <c r="L754" s="617">
        <f t="shared" si="1611"/>
        <v>3.1180447563557021E-4</v>
      </c>
      <c r="M754" s="617">
        <f t="shared" si="1611"/>
        <v>2.8758146527200671E-4</v>
      </c>
      <c r="N754" s="617">
        <f t="shared" si="1611"/>
        <v>2.9354012740238206E-4</v>
      </c>
      <c r="O754" s="617">
        <f t="shared" si="1611"/>
        <v>2.9629830585453502E-4</v>
      </c>
      <c r="P754" s="617">
        <f t="shared" si="1611"/>
        <v>3.0691467587431207E-4</v>
      </c>
      <c r="Q754" s="617">
        <f t="shared" si="1611"/>
        <v>3.1386514920467366E-4</v>
      </c>
      <c r="R754" s="617">
        <f t="shared" si="1611"/>
        <v>2.8724916038305173E-4</v>
      </c>
      <c r="S754" s="617">
        <f t="shared" si="1611"/>
        <v>3.2286138333497891E-4</v>
      </c>
      <c r="T754" s="617">
        <f t="shared" si="1611"/>
        <v>3.0628875497903826E-4</v>
      </c>
      <c r="U754" s="617">
        <f t="shared" si="1611"/>
        <v>2.8993824997240107E-4</v>
      </c>
      <c r="V754" s="617">
        <f t="shared" si="1611"/>
        <v>2.8151549200182668E-4</v>
      </c>
      <c r="W754" s="617">
        <f t="shared" si="1611"/>
        <v>2.7992789098680112E-4</v>
      </c>
      <c r="X754" s="617">
        <f t="shared" si="1611"/>
        <v>3.0695981380164341E-4</v>
      </c>
      <c r="Y754" s="617">
        <f t="shared" ref="Y754:Z754" si="1612">Y753/Y889*Y1</f>
        <v>2.9431776299835102E-4</v>
      </c>
      <c r="Z754" s="617">
        <f t="shared" si="1612"/>
        <v>2.8926033680302265E-4</v>
      </c>
      <c r="AA754" s="617">
        <f t="shared" ref="AA754:AB754" si="1613">AA753/AA889*AA1</f>
        <v>2.9655879069825068E-4</v>
      </c>
      <c r="AB754" s="617">
        <f t="shared" si="1613"/>
        <v>1.50185249905427E-4</v>
      </c>
      <c r="AC754" s="618">
        <f>Drivers!AC279</f>
        <v>1.7659065779901062E-4</v>
      </c>
      <c r="AD754" s="618">
        <f>Drivers!AD279</f>
        <v>1.7355620208181358E-4</v>
      </c>
      <c r="AE754" s="618">
        <f>Drivers!AE279</f>
        <v>1.779352744189504E-4</v>
      </c>
      <c r="AF754" s="618">
        <f>Drivers!AF279</f>
        <v>1.50185249905427E-4</v>
      </c>
      <c r="AG754" s="618">
        <f>Drivers!AG279</f>
        <v>1.7659065779901062E-4</v>
      </c>
      <c r="AH754" s="618">
        <f>Drivers!AH279</f>
        <v>1.7355620208181358E-4</v>
      </c>
      <c r="AI754" s="618">
        <f>Drivers!AI279</f>
        <v>1.779352744189504E-4</v>
      </c>
      <c r="AJ754" s="618"/>
      <c r="AK754" s="618"/>
      <c r="AL754" s="618"/>
      <c r="AM754" s="618"/>
      <c r="AN754" s="618"/>
      <c r="AO754" s="618"/>
      <c r="AP754" s="618"/>
      <c r="AQ754" s="618"/>
      <c r="AS754" s="327"/>
      <c r="AT754" s="327" t="s">
        <v>621</v>
      </c>
      <c r="AU754" s="617">
        <f t="shared" ref="AU754:BA754" si="1614">AU753/AU889*AU1</f>
        <v>3.8895945738962566E-4</v>
      </c>
      <c r="AV754" s="617">
        <f t="shared" si="1614"/>
        <v>3.1426097926676763E-4</v>
      </c>
      <c r="AW754" s="617">
        <f t="shared" si="1614"/>
        <v>2.9721454060843163E-4</v>
      </c>
      <c r="AX754" s="617">
        <f t="shared" si="1614"/>
        <v>3.076282144891021E-4</v>
      </c>
      <c r="AY754" s="617">
        <f t="shared" si="1614"/>
        <v>2.8926320551633089E-4</v>
      </c>
      <c r="AZ754" s="617">
        <f t="shared" si="1614"/>
        <v>2.9668957835984498E-4</v>
      </c>
      <c r="BA754" s="617">
        <f t="shared" si="1614"/>
        <v>1.6970746370465565E-4</v>
      </c>
      <c r="BB754" s="617">
        <f t="shared" ref="BB754" si="1615">BB753/BB889*BB1</f>
        <v>1.6976187297235943E-4</v>
      </c>
      <c r="BC754" s="618">
        <f>Drivers!BC279</f>
        <v>1.6976187297235943E-4</v>
      </c>
      <c r="BD754" s="618">
        <f>Drivers!BD279</f>
        <v>1.6976187297235943E-4</v>
      </c>
      <c r="BE754" s="618">
        <f>Drivers!BE279</f>
        <v>1.6976187297235943E-4</v>
      </c>
    </row>
    <row r="755" spans="1:70" s="160" customFormat="1" x14ac:dyDescent="0.2">
      <c r="A755" s="829"/>
      <c r="B755" s="59" t="s">
        <v>949</v>
      </c>
      <c r="C755" s="328"/>
      <c r="D755" s="858">
        <v>11850</v>
      </c>
      <c r="E755" s="858">
        <v>11559</v>
      </c>
      <c r="F755" s="858">
        <v>11880</v>
      </c>
      <c r="G755" s="858">
        <v>12049</v>
      </c>
      <c r="H755" s="858">
        <v>11757</v>
      </c>
      <c r="I755" s="858">
        <v>11824</v>
      </c>
      <c r="J755" s="858">
        <v>11636</v>
      </c>
      <c r="K755" s="858">
        <v>12097</v>
      </c>
      <c r="L755" s="858">
        <v>11887</v>
      </c>
      <c r="M755" s="858">
        <v>12067</v>
      </c>
      <c r="N755" s="858">
        <v>12311</v>
      </c>
      <c r="O755" s="858">
        <v>12225</v>
      </c>
      <c r="P755" s="858">
        <v>11695</v>
      </c>
      <c r="Q755" s="858">
        <v>11949</v>
      </c>
      <c r="R755" s="858">
        <v>11889</v>
      </c>
      <c r="S755" s="858">
        <v>11591</v>
      </c>
      <c r="T755" s="858">
        <v>11346</v>
      </c>
      <c r="U755" s="858">
        <v>11351</v>
      </c>
      <c r="V755" s="858">
        <v>11593</v>
      </c>
      <c r="W755" s="858">
        <v>11275</v>
      </c>
      <c r="X755" s="858">
        <v>11078</v>
      </c>
      <c r="Y755" s="858">
        <v>11380</v>
      </c>
      <c r="Z755" s="858">
        <v>11658</v>
      </c>
      <c r="AA755" s="858">
        <v>11441</v>
      </c>
      <c r="AB755" s="858">
        <v>11236</v>
      </c>
      <c r="AC755" s="99">
        <f t="shared" ref="AC755:AE755" si="1616">AC751+AC753</f>
        <v>11466.590789838856</v>
      </c>
      <c r="AD755" s="99">
        <f t="shared" si="1616"/>
        <v>11853.038702033275</v>
      </c>
      <c r="AE755" s="99">
        <f t="shared" si="1616"/>
        <v>12158.20080100847</v>
      </c>
      <c r="AF755" s="99">
        <f t="shared" ref="AF755:AI755" si="1617">AF751+AF753</f>
        <v>12014.964534956456</v>
      </c>
      <c r="AG755" s="99">
        <f t="shared" si="1617"/>
        <v>12359.694025665238</v>
      </c>
      <c r="AH755" s="99">
        <f t="shared" si="1617"/>
        <v>12845.881714910509</v>
      </c>
      <c r="AI755" s="99">
        <f t="shared" si="1617"/>
        <v>13210.868164188989</v>
      </c>
      <c r="AJ755" s="99"/>
      <c r="AK755" s="99"/>
      <c r="AL755" s="99"/>
      <c r="AM755" s="99"/>
      <c r="AN755" s="99"/>
      <c r="AO755" s="99"/>
      <c r="AP755" s="99"/>
      <c r="AQ755" s="99"/>
      <c r="AS755" s="59" t="s">
        <v>949</v>
      </c>
      <c r="AT755" s="328"/>
      <c r="AU755" s="233">
        <f>SUM(D755:G755)</f>
        <v>47338</v>
      </c>
      <c r="AV755" s="233">
        <f>SUM(H755:K755)</f>
        <v>47314</v>
      </c>
      <c r="AW755" s="233">
        <f>SUM(L755:O755)</f>
        <v>48490</v>
      </c>
      <c r="AX755" s="233">
        <f>SUM(P755:S755)</f>
        <v>47124</v>
      </c>
      <c r="AY755" s="233">
        <f>SUM(T755:W755)</f>
        <v>45565</v>
      </c>
      <c r="AZ755" s="221">
        <f>SUM(X755:AA755)</f>
        <v>45557</v>
      </c>
      <c r="BA755" s="221">
        <f>SUM(AB755:AE755)</f>
        <v>46713.830292880593</v>
      </c>
      <c r="BB755" s="221">
        <f>SUM(AF755:AI755)</f>
        <v>50431.408439721185</v>
      </c>
      <c r="BC755" s="99">
        <f>BC751+BC753</f>
        <v>53668.280013172516</v>
      </c>
      <c r="BD755" s="99">
        <f>BD751+BD753</f>
        <v>56806.723198482418</v>
      </c>
      <c r="BE755" s="99">
        <f>BE751+BE753</f>
        <v>59806.111927837759</v>
      </c>
      <c r="BM755"/>
      <c r="BN755"/>
      <c r="BO755"/>
      <c r="BP755"/>
      <c r="BQ755"/>
      <c r="BR755"/>
    </row>
    <row r="756" spans="1:70" x14ac:dyDescent="0.2">
      <c r="B756" s="327"/>
      <c r="C756" s="327"/>
      <c r="D756" s="327"/>
      <c r="E756" s="327"/>
      <c r="F756" s="327"/>
      <c r="G756" s="327"/>
      <c r="H756" s="327"/>
      <c r="I756" s="327"/>
      <c r="J756" s="327"/>
      <c r="K756" s="327"/>
      <c r="L756" s="327"/>
      <c r="M756" s="327"/>
      <c r="N756" s="327"/>
      <c r="O756" s="327"/>
      <c r="P756" s="327"/>
      <c r="Q756" s="327"/>
      <c r="R756" s="327"/>
      <c r="S756" s="327"/>
      <c r="T756" s="327"/>
      <c r="U756" s="327"/>
      <c r="V756" s="327"/>
      <c r="W756" s="327"/>
      <c r="X756" s="327"/>
      <c r="Y756" s="327"/>
      <c r="Z756" s="327"/>
      <c r="AA756" s="327"/>
      <c r="AB756" s="327"/>
      <c r="AS756" s="327"/>
      <c r="AT756" s="327"/>
      <c r="AZ756" s="232"/>
      <c r="BC756" s="71"/>
      <c r="BD756" s="71"/>
      <c r="BE756" s="71"/>
    </row>
    <row r="757" spans="1:70" x14ac:dyDescent="0.2">
      <c r="B757" s="302" t="s">
        <v>206</v>
      </c>
      <c r="C757" s="327"/>
      <c r="D757" s="327"/>
      <c r="E757" s="327"/>
      <c r="F757" s="327"/>
      <c r="G757" s="327"/>
      <c r="H757" s="327"/>
      <c r="I757" s="327"/>
      <c r="J757" s="327"/>
      <c r="K757" s="327"/>
      <c r="L757" s="327"/>
      <c r="M757" s="327"/>
      <c r="N757" s="327"/>
      <c r="O757" s="327"/>
      <c r="P757" s="327"/>
      <c r="Q757" s="327"/>
      <c r="R757" s="327"/>
      <c r="S757" s="327"/>
      <c r="T757" s="327"/>
      <c r="U757" s="327"/>
      <c r="V757" s="327"/>
      <c r="W757" s="327"/>
      <c r="X757" s="327"/>
      <c r="Y757" s="327"/>
      <c r="Z757" s="327"/>
      <c r="AA757" s="327"/>
      <c r="AB757" s="327"/>
      <c r="AS757" s="302" t="s">
        <v>206</v>
      </c>
      <c r="AT757" s="327"/>
      <c r="BC757" s="71"/>
      <c r="BD757" s="71"/>
      <c r="BE757" s="71"/>
    </row>
    <row r="758" spans="1:70" x14ac:dyDescent="0.2">
      <c r="B758" s="315" t="s">
        <v>46</v>
      </c>
      <c r="C758" s="327"/>
      <c r="D758" s="619">
        <v>3057</v>
      </c>
      <c r="E758" s="619">
        <v>2992</v>
      </c>
      <c r="F758" s="619">
        <v>3219</v>
      </c>
      <c r="G758" s="619">
        <v>3316</v>
      </c>
      <c r="H758" s="619">
        <v>3435</v>
      </c>
      <c r="I758" s="619">
        <v>3293</v>
      </c>
      <c r="J758" s="619">
        <v>3061</v>
      </c>
      <c r="K758" s="619">
        <v>3152</v>
      </c>
      <c r="L758" s="619">
        <v>3184</v>
      </c>
      <c r="M758" s="619">
        <v>3441</v>
      </c>
      <c r="N758" s="619">
        <v>3280</v>
      </c>
      <c r="O758" s="619">
        <v>3127</v>
      </c>
      <c r="P758" s="619">
        <v>3170</v>
      </c>
      <c r="Q758" s="619">
        <v>3194</v>
      </c>
      <c r="R758" s="619">
        <v>2732</v>
      </c>
      <c r="S758" s="619">
        <v>2752</v>
      </c>
      <c r="T758" s="619">
        <v>2463</v>
      </c>
      <c r="U758" s="619">
        <v>2725</v>
      </c>
      <c r="V758" s="619">
        <v>2644</v>
      </c>
      <c r="W758" s="619">
        <v>2997</v>
      </c>
      <c r="X758" s="619">
        <v>3055</v>
      </c>
      <c r="Y758" s="619">
        <v>3256</v>
      </c>
      <c r="Z758" s="619">
        <v>3241</v>
      </c>
      <c r="AA758" s="619">
        <v>3155</v>
      </c>
      <c r="AB758" s="619">
        <v>3030</v>
      </c>
      <c r="AC758" s="219" t="s">
        <v>226</v>
      </c>
      <c r="AD758" s="219" t="s">
        <v>226</v>
      </c>
      <c r="AE758" s="219" t="s">
        <v>226</v>
      </c>
      <c r="AF758" s="219" t="s">
        <v>226</v>
      </c>
      <c r="AG758" s="219" t="s">
        <v>226</v>
      </c>
      <c r="AH758" s="219" t="s">
        <v>226</v>
      </c>
      <c r="AI758" s="219" t="s">
        <v>226</v>
      </c>
      <c r="AJ758" s="219"/>
      <c r="AK758" s="219"/>
      <c r="AL758" s="219"/>
      <c r="AM758" s="219"/>
      <c r="AN758" s="219"/>
      <c r="AO758" s="219"/>
      <c r="AP758" s="219"/>
      <c r="AQ758" s="219"/>
      <c r="AS758" s="315" t="s">
        <v>46</v>
      </c>
      <c r="AT758" s="327"/>
      <c r="AU758" s="232">
        <f t="shared" ref="AU758:AU765" si="1618">SUM(D758:G758)</f>
        <v>12584</v>
      </c>
      <c r="AV758" s="232">
        <f t="shared" ref="AV758:AV765" si="1619">SUM(H758:K758)</f>
        <v>12941</v>
      </c>
      <c r="AW758" s="232">
        <f t="shared" ref="AW758:AW765" si="1620">SUM(L758:O758)</f>
        <v>13032</v>
      </c>
      <c r="AX758" s="232">
        <f t="shared" ref="AX758:AX765" si="1621">SUM(P758:S758)</f>
        <v>11848</v>
      </c>
      <c r="AY758" s="232">
        <f t="shared" ref="AY758:AY765" si="1622">SUM(T758:W758)</f>
        <v>10829</v>
      </c>
      <c r="AZ758" s="219" t="s">
        <v>226</v>
      </c>
      <c r="BA758" s="219" t="s">
        <v>226</v>
      </c>
      <c r="BB758" s="219" t="s">
        <v>226</v>
      </c>
      <c r="BC758" s="219" t="s">
        <v>226</v>
      </c>
      <c r="BD758" s="219" t="s">
        <v>226</v>
      </c>
      <c r="BE758" s="219" t="s">
        <v>226</v>
      </c>
    </row>
    <row r="759" spans="1:70" x14ac:dyDescent="0.2">
      <c r="B759" s="315" t="s">
        <v>47</v>
      </c>
      <c r="C759" s="327"/>
      <c r="D759" s="619">
        <v>2000</v>
      </c>
      <c r="E759" s="619">
        <v>1683</v>
      </c>
      <c r="F759" s="619">
        <v>1020</v>
      </c>
      <c r="G759" s="619">
        <v>277</v>
      </c>
      <c r="H759" s="619">
        <v>2504</v>
      </c>
      <c r="I759" s="619">
        <v>2684</v>
      </c>
      <c r="J759" s="619">
        <v>1149</v>
      </c>
      <c r="K759" s="619">
        <v>965</v>
      </c>
      <c r="L759" s="619">
        <v>2888</v>
      </c>
      <c r="M759" s="619">
        <v>1843</v>
      </c>
      <c r="N759" s="619">
        <v>1549</v>
      </c>
      <c r="O759" s="619">
        <v>418</v>
      </c>
      <c r="P759" s="619">
        <v>1971</v>
      </c>
      <c r="Q759" s="619">
        <v>2173</v>
      </c>
      <c r="R759" s="619">
        <v>1327</v>
      </c>
      <c r="S759" s="619">
        <v>537</v>
      </c>
      <c r="T759" s="619">
        <v>1840</v>
      </c>
      <c r="U759" s="619">
        <v>1816</v>
      </c>
      <c r="V759" s="619">
        <v>2238</v>
      </c>
      <c r="W759" s="619">
        <v>1691</v>
      </c>
      <c r="X759" s="619">
        <v>3094</v>
      </c>
      <c r="Y759" s="619">
        <v>2643</v>
      </c>
      <c r="Z759" s="619">
        <v>2248</v>
      </c>
      <c r="AA759" s="619">
        <v>1490</v>
      </c>
      <c r="AB759" s="619">
        <v>3289</v>
      </c>
      <c r="AC759" s="219" t="s">
        <v>226</v>
      </c>
      <c r="AD759" s="219" t="s">
        <v>226</v>
      </c>
      <c r="AE759" s="219" t="s">
        <v>226</v>
      </c>
      <c r="AF759" s="219" t="s">
        <v>226</v>
      </c>
      <c r="AG759" s="219" t="s">
        <v>226</v>
      </c>
      <c r="AH759" s="219" t="s">
        <v>226</v>
      </c>
      <c r="AI759" s="219" t="s">
        <v>226</v>
      </c>
      <c r="AJ759" s="219"/>
      <c r="AK759" s="219"/>
      <c r="AL759" s="219"/>
      <c r="AM759" s="219"/>
      <c r="AN759" s="219"/>
      <c r="AO759" s="219"/>
      <c r="AP759" s="219"/>
      <c r="AQ759" s="219"/>
      <c r="AS759" s="315" t="s">
        <v>47</v>
      </c>
      <c r="AT759" s="327"/>
      <c r="AU759" s="232">
        <f t="shared" si="1618"/>
        <v>4980</v>
      </c>
      <c r="AV759" s="232">
        <f t="shared" si="1619"/>
        <v>7302</v>
      </c>
      <c r="AW759" s="232">
        <f t="shared" si="1620"/>
        <v>6698</v>
      </c>
      <c r="AX759" s="232">
        <f t="shared" si="1621"/>
        <v>6008</v>
      </c>
      <c r="AY759" s="232">
        <f t="shared" si="1622"/>
        <v>7585</v>
      </c>
      <c r="AZ759" s="219" t="s">
        <v>226</v>
      </c>
      <c r="BA759" s="219" t="s">
        <v>226</v>
      </c>
      <c r="BB759" s="219" t="s">
        <v>226</v>
      </c>
      <c r="BC759" s="219" t="s">
        <v>226</v>
      </c>
      <c r="BD759" s="219" t="s">
        <v>226</v>
      </c>
      <c r="BE759" s="219" t="s">
        <v>226</v>
      </c>
    </row>
    <row r="760" spans="1:70" x14ac:dyDescent="0.2">
      <c r="B760" s="315" t="s">
        <v>69</v>
      </c>
      <c r="C760" s="327"/>
      <c r="D760" s="619">
        <v>981</v>
      </c>
      <c r="E760" s="619">
        <v>1037</v>
      </c>
      <c r="F760" s="619">
        <v>974</v>
      </c>
      <c r="G760" s="619">
        <v>1020</v>
      </c>
      <c r="H760" s="619">
        <v>1068</v>
      </c>
      <c r="I760" s="619">
        <v>1083</v>
      </c>
      <c r="J760" s="619">
        <v>968</v>
      </c>
      <c r="K760" s="619">
        <v>970</v>
      </c>
      <c r="L760" s="619">
        <v>1009</v>
      </c>
      <c r="M760" s="619">
        <v>1029</v>
      </c>
      <c r="N760" s="619">
        <v>1029</v>
      </c>
      <c r="O760" s="619">
        <v>946</v>
      </c>
      <c r="P760" s="619">
        <v>962</v>
      </c>
      <c r="Q760" s="619">
        <v>995</v>
      </c>
      <c r="R760" s="619">
        <v>870</v>
      </c>
      <c r="S760" s="619">
        <v>821</v>
      </c>
      <c r="T760" s="619">
        <v>811</v>
      </c>
      <c r="U760" s="619">
        <v>878</v>
      </c>
      <c r="V760" s="619">
        <v>862</v>
      </c>
      <c r="W760" s="619">
        <v>676</v>
      </c>
      <c r="X760" s="619">
        <v>834</v>
      </c>
      <c r="Y760" s="619">
        <v>909</v>
      </c>
      <c r="Z760" s="619">
        <v>929</v>
      </c>
      <c r="AA760" s="619">
        <v>912</v>
      </c>
      <c r="AB760" s="619">
        <v>905</v>
      </c>
      <c r="AC760" s="219" t="s">
        <v>226</v>
      </c>
      <c r="AD760" s="219" t="s">
        <v>226</v>
      </c>
      <c r="AE760" s="219" t="s">
        <v>226</v>
      </c>
      <c r="AF760" s="219" t="s">
        <v>226</v>
      </c>
      <c r="AG760" s="219" t="s">
        <v>226</v>
      </c>
      <c r="AH760" s="219" t="s">
        <v>226</v>
      </c>
      <c r="AI760" s="219" t="s">
        <v>226</v>
      </c>
      <c r="AJ760" s="219"/>
      <c r="AK760" s="219"/>
      <c r="AL760" s="219"/>
      <c r="AM760" s="219"/>
      <c r="AN760" s="219"/>
      <c r="AO760" s="219"/>
      <c r="AP760" s="219"/>
      <c r="AQ760" s="219"/>
      <c r="AS760" s="315" t="s">
        <v>69</v>
      </c>
      <c r="AT760" s="327"/>
      <c r="AU760" s="232">
        <f t="shared" si="1618"/>
        <v>4012</v>
      </c>
      <c r="AV760" s="232">
        <f t="shared" si="1619"/>
        <v>4089</v>
      </c>
      <c r="AW760" s="232">
        <f t="shared" si="1620"/>
        <v>4013</v>
      </c>
      <c r="AX760" s="232">
        <f t="shared" si="1621"/>
        <v>3648</v>
      </c>
      <c r="AY760" s="232">
        <f t="shared" si="1622"/>
        <v>3227</v>
      </c>
      <c r="AZ760" s="219" t="s">
        <v>226</v>
      </c>
      <c r="BA760" s="219" t="s">
        <v>226</v>
      </c>
      <c r="BB760" s="219" t="s">
        <v>226</v>
      </c>
      <c r="BC760" s="219" t="s">
        <v>226</v>
      </c>
      <c r="BD760" s="219" t="s">
        <v>226</v>
      </c>
      <c r="BE760" s="219" t="s">
        <v>226</v>
      </c>
    </row>
    <row r="761" spans="1:70" x14ac:dyDescent="0.2">
      <c r="B761" s="315" t="s">
        <v>107</v>
      </c>
      <c r="C761" s="327"/>
      <c r="D761" s="619">
        <v>1925</v>
      </c>
      <c r="E761" s="619">
        <v>273</v>
      </c>
      <c r="F761" s="619">
        <v>615</v>
      </c>
      <c r="G761" s="619">
        <v>438</v>
      </c>
      <c r="H761" s="619">
        <v>450</v>
      </c>
      <c r="I761" s="619">
        <v>251</v>
      </c>
      <c r="J761" s="619">
        <v>63</v>
      </c>
      <c r="K761" s="619">
        <v>-16</v>
      </c>
      <c r="L761" s="619">
        <v>128</v>
      </c>
      <c r="M761" s="619">
        <v>84</v>
      </c>
      <c r="N761" s="619">
        <v>136</v>
      </c>
      <c r="O761" s="619">
        <v>222</v>
      </c>
      <c r="P761" s="619">
        <v>307</v>
      </c>
      <c r="Q761" s="619">
        <v>183</v>
      </c>
      <c r="R761" s="619">
        <v>151</v>
      </c>
      <c r="S761" s="619">
        <v>41</v>
      </c>
      <c r="T761" s="619">
        <v>186</v>
      </c>
      <c r="U761" s="619">
        <v>200</v>
      </c>
      <c r="V761" s="619">
        <v>287</v>
      </c>
      <c r="W761" s="619">
        <v>275</v>
      </c>
      <c r="X761" s="619">
        <v>192</v>
      </c>
      <c r="Y761" s="619">
        <v>221</v>
      </c>
      <c r="Z761" s="619">
        <v>213</v>
      </c>
      <c r="AA761" s="619">
        <v>152</v>
      </c>
      <c r="AB761" s="619">
        <v>170</v>
      </c>
      <c r="AC761" s="219" t="s">
        <v>226</v>
      </c>
      <c r="AD761" s="219" t="s">
        <v>226</v>
      </c>
      <c r="AE761" s="219" t="s">
        <v>226</v>
      </c>
      <c r="AF761" s="219" t="s">
        <v>226</v>
      </c>
      <c r="AG761" s="219" t="s">
        <v>226</v>
      </c>
      <c r="AH761" s="219" t="s">
        <v>226</v>
      </c>
      <c r="AI761" s="219" t="s">
        <v>226</v>
      </c>
      <c r="AJ761" s="219"/>
      <c r="AK761" s="219"/>
      <c r="AL761" s="219"/>
      <c r="AM761" s="219"/>
      <c r="AN761" s="219"/>
      <c r="AO761" s="219"/>
      <c r="AP761" s="219"/>
      <c r="AQ761" s="219"/>
      <c r="AS761" s="315" t="s">
        <v>107</v>
      </c>
      <c r="AT761" s="327"/>
      <c r="AU761" s="232">
        <f t="shared" si="1618"/>
        <v>3251</v>
      </c>
      <c r="AV761" s="232">
        <f t="shared" si="1619"/>
        <v>748</v>
      </c>
      <c r="AW761" s="232">
        <f t="shared" si="1620"/>
        <v>570</v>
      </c>
      <c r="AX761" s="232">
        <f t="shared" si="1621"/>
        <v>682</v>
      </c>
      <c r="AY761" s="232">
        <f t="shared" si="1622"/>
        <v>948</v>
      </c>
      <c r="AZ761" s="219" t="s">
        <v>226</v>
      </c>
      <c r="BA761" s="219" t="s">
        <v>226</v>
      </c>
      <c r="BB761" s="219" t="s">
        <v>226</v>
      </c>
      <c r="BC761" s="219" t="s">
        <v>226</v>
      </c>
      <c r="BD761" s="219" t="s">
        <v>226</v>
      </c>
      <c r="BE761" s="219" t="s">
        <v>226</v>
      </c>
    </row>
    <row r="762" spans="1:70" x14ac:dyDescent="0.2">
      <c r="B762" s="315" t="s">
        <v>392</v>
      </c>
      <c r="C762" s="327"/>
      <c r="D762" s="619">
        <v>-1305</v>
      </c>
      <c r="E762" s="619">
        <v>-128</v>
      </c>
      <c r="F762" s="619">
        <v>-3470</v>
      </c>
      <c r="G762" s="619">
        <v>-68</v>
      </c>
      <c r="H762" s="619">
        <v>-261</v>
      </c>
      <c r="I762" s="619">
        <v>-162</v>
      </c>
      <c r="J762" s="619">
        <v>-39</v>
      </c>
      <c r="K762" s="619">
        <v>-73</v>
      </c>
      <c r="L762" s="619">
        <v>-201</v>
      </c>
      <c r="M762" s="619">
        <v>-37</v>
      </c>
      <c r="N762" s="619">
        <v>-91</v>
      </c>
      <c r="O762" s="619">
        <v>-95</v>
      </c>
      <c r="P762" s="619">
        <v>-72</v>
      </c>
      <c r="Q762" s="619">
        <v>-43</v>
      </c>
      <c r="R762" s="619">
        <v>-80</v>
      </c>
      <c r="S762" s="619">
        <v>-70</v>
      </c>
      <c r="T762" s="619">
        <v>-465</v>
      </c>
      <c r="U762" s="619">
        <v>-118</v>
      </c>
      <c r="V762" s="619">
        <v>-32</v>
      </c>
      <c r="W762" s="619">
        <v>-5</v>
      </c>
      <c r="X762" s="619">
        <v>-12</v>
      </c>
      <c r="Y762" s="619">
        <v>-20</v>
      </c>
      <c r="Z762" s="619">
        <v>-15</v>
      </c>
      <c r="AA762" s="619">
        <v>-16</v>
      </c>
      <c r="AB762" s="619">
        <v>-28</v>
      </c>
      <c r="AC762" s="219" t="s">
        <v>226</v>
      </c>
      <c r="AD762" s="219" t="s">
        <v>226</v>
      </c>
      <c r="AE762" s="219" t="s">
        <v>226</v>
      </c>
      <c r="AF762" s="219" t="s">
        <v>226</v>
      </c>
      <c r="AG762" s="219" t="s">
        <v>226</v>
      </c>
      <c r="AH762" s="219" t="s">
        <v>226</v>
      </c>
      <c r="AI762" s="219" t="s">
        <v>226</v>
      </c>
      <c r="AJ762" s="219"/>
      <c r="AK762" s="219"/>
      <c r="AL762" s="219"/>
      <c r="AM762" s="219"/>
      <c r="AN762" s="219"/>
      <c r="AO762" s="219"/>
      <c r="AP762" s="219"/>
      <c r="AQ762" s="219"/>
      <c r="AS762" s="315" t="s">
        <v>392</v>
      </c>
      <c r="AT762" s="327"/>
      <c r="AU762" s="232">
        <f t="shared" si="1618"/>
        <v>-4971</v>
      </c>
      <c r="AV762" s="232">
        <f t="shared" si="1619"/>
        <v>-535</v>
      </c>
      <c r="AW762" s="232">
        <f t="shared" si="1620"/>
        <v>-424</v>
      </c>
      <c r="AX762" s="232">
        <f t="shared" si="1621"/>
        <v>-265</v>
      </c>
      <c r="AY762" s="232">
        <f t="shared" si="1622"/>
        <v>-620</v>
      </c>
      <c r="AZ762" s="219" t="s">
        <v>226</v>
      </c>
      <c r="BA762" s="219" t="s">
        <v>226</v>
      </c>
      <c r="BB762" s="219" t="s">
        <v>226</v>
      </c>
      <c r="BC762" s="219" t="s">
        <v>226</v>
      </c>
      <c r="BD762" s="219" t="s">
        <v>226</v>
      </c>
      <c r="BE762" s="219" t="s">
        <v>226</v>
      </c>
    </row>
    <row r="763" spans="1:70" x14ac:dyDescent="0.2">
      <c r="B763" s="315" t="s">
        <v>45</v>
      </c>
      <c r="C763" s="327"/>
      <c r="D763" s="619">
        <v>612</v>
      </c>
      <c r="E763" s="619">
        <v>601</v>
      </c>
      <c r="F763" s="619">
        <v>597</v>
      </c>
      <c r="G763" s="619">
        <v>585</v>
      </c>
      <c r="H763" s="619">
        <v>590</v>
      </c>
      <c r="I763" s="619">
        <v>582</v>
      </c>
      <c r="J763" s="619">
        <v>556</v>
      </c>
      <c r="K763" s="619">
        <v>552</v>
      </c>
      <c r="L763" s="619">
        <v>545</v>
      </c>
      <c r="M763" s="619">
        <v>538</v>
      </c>
      <c r="N763" s="619">
        <v>530</v>
      </c>
      <c r="O763" s="619">
        <v>497</v>
      </c>
      <c r="P763" s="619">
        <v>497</v>
      </c>
      <c r="Q763" s="619">
        <v>482</v>
      </c>
      <c r="R763" s="619">
        <v>464</v>
      </c>
      <c r="S763" s="619">
        <v>402</v>
      </c>
      <c r="T763" s="619">
        <v>264</v>
      </c>
      <c r="U763" s="619">
        <v>217</v>
      </c>
      <c r="V763" s="619">
        <v>184</v>
      </c>
      <c r="W763" s="619">
        <v>171</v>
      </c>
      <c r="X763" s="619">
        <v>169</v>
      </c>
      <c r="Y763" s="619">
        <v>156</v>
      </c>
      <c r="Z763" s="619">
        <v>166</v>
      </c>
      <c r="AA763" s="619">
        <v>0</v>
      </c>
      <c r="AB763" s="619">
        <v>0</v>
      </c>
      <c r="AC763" s="219" t="s">
        <v>226</v>
      </c>
      <c r="AD763" s="219" t="s">
        <v>226</v>
      </c>
      <c r="AE763" s="219" t="s">
        <v>226</v>
      </c>
      <c r="AF763" s="219" t="s">
        <v>226</v>
      </c>
      <c r="AG763" s="219" t="s">
        <v>226</v>
      </c>
      <c r="AH763" s="219" t="s">
        <v>226</v>
      </c>
      <c r="AI763" s="219" t="s">
        <v>226</v>
      </c>
      <c r="AJ763" s="219"/>
      <c r="AK763" s="219"/>
      <c r="AL763" s="219"/>
      <c r="AM763" s="219"/>
      <c r="AN763" s="219"/>
      <c r="AO763" s="219"/>
      <c r="AP763" s="219"/>
      <c r="AQ763" s="219"/>
      <c r="AS763" s="315" t="s">
        <v>45</v>
      </c>
      <c r="AT763" s="327"/>
      <c r="AU763" s="232">
        <f t="shared" si="1618"/>
        <v>2395</v>
      </c>
      <c r="AV763" s="232">
        <f t="shared" si="1619"/>
        <v>2280</v>
      </c>
      <c r="AW763" s="232">
        <f t="shared" si="1620"/>
        <v>2110</v>
      </c>
      <c r="AX763" s="232">
        <f t="shared" si="1621"/>
        <v>1845</v>
      </c>
      <c r="AY763" s="232">
        <f t="shared" si="1622"/>
        <v>836</v>
      </c>
      <c r="AZ763" s="219" t="s">
        <v>226</v>
      </c>
      <c r="BA763" s="219" t="s">
        <v>226</v>
      </c>
      <c r="BB763" s="219" t="s">
        <v>226</v>
      </c>
      <c r="BC763" s="219" t="s">
        <v>226</v>
      </c>
      <c r="BD763" s="219" t="s">
        <v>226</v>
      </c>
      <c r="BE763" s="219" t="s">
        <v>226</v>
      </c>
    </row>
    <row r="764" spans="1:70" x14ac:dyDescent="0.2">
      <c r="B764" s="315" t="s">
        <v>117</v>
      </c>
      <c r="C764" s="327"/>
      <c r="D764" s="620">
        <f t="shared" ref="D764:X764" si="1623">D765-SUM(D758:D763)</f>
        <v>-203</v>
      </c>
      <c r="E764" s="620">
        <f t="shared" si="1623"/>
        <v>1112</v>
      </c>
      <c r="F764" s="620">
        <f t="shared" si="1623"/>
        <v>3757</v>
      </c>
      <c r="G764" s="620">
        <f t="shared" si="1623"/>
        <v>558</v>
      </c>
      <c r="H764" s="620">
        <f t="shared" si="1623"/>
        <v>902</v>
      </c>
      <c r="I764" s="620">
        <f t="shared" si="1623"/>
        <v>1179</v>
      </c>
      <c r="J764" s="620">
        <f t="shared" si="1623"/>
        <v>672</v>
      </c>
      <c r="K764" s="620">
        <f t="shared" si="1623"/>
        <v>353</v>
      </c>
      <c r="L764" s="620">
        <f t="shared" si="1623"/>
        <v>894</v>
      </c>
      <c r="M764" s="620">
        <f t="shared" si="1623"/>
        <v>581</v>
      </c>
      <c r="N764" s="620">
        <f t="shared" si="1623"/>
        <v>1069</v>
      </c>
      <c r="O764" s="620">
        <f t="shared" si="1623"/>
        <v>683</v>
      </c>
      <c r="P764" s="620">
        <f t="shared" si="1623"/>
        <v>1329</v>
      </c>
      <c r="Q764" s="620">
        <f t="shared" si="1623"/>
        <v>664</v>
      </c>
      <c r="R764" s="620">
        <f t="shared" si="1623"/>
        <v>1455</v>
      </c>
      <c r="S764" s="620">
        <f t="shared" si="1623"/>
        <v>2510</v>
      </c>
      <c r="T764" s="620">
        <f t="shared" si="1623"/>
        <v>1229</v>
      </c>
      <c r="U764" s="620">
        <f t="shared" si="1623"/>
        <v>594</v>
      </c>
      <c r="V764" s="620">
        <f t="shared" si="1623"/>
        <v>98</v>
      </c>
      <c r="W764" s="620">
        <f t="shared" si="1623"/>
        <v>45</v>
      </c>
      <c r="X764" s="620">
        <f t="shared" si="1623"/>
        <v>79</v>
      </c>
      <c r="Y764" s="620">
        <f t="shared" ref="Y764:Z764" si="1624">Y765-SUM(Y758:Y763)</f>
        <v>-268</v>
      </c>
      <c r="Z764" s="620">
        <f t="shared" si="1624"/>
        <v>102</v>
      </c>
      <c r="AA764" s="620">
        <f t="shared" ref="AA764:AB764" si="1625">AA765-SUM(AA758:AA763)</f>
        <v>498</v>
      </c>
      <c r="AB764" s="620">
        <f t="shared" si="1625"/>
        <v>334</v>
      </c>
      <c r="AC764" s="219" t="s">
        <v>226</v>
      </c>
      <c r="AD764" s="219" t="s">
        <v>226</v>
      </c>
      <c r="AE764" s="219" t="s">
        <v>226</v>
      </c>
      <c r="AF764" s="219" t="s">
        <v>226</v>
      </c>
      <c r="AG764" s="219" t="s">
        <v>226</v>
      </c>
      <c r="AH764" s="219" t="s">
        <v>226</v>
      </c>
      <c r="AI764" s="219" t="s">
        <v>226</v>
      </c>
      <c r="AJ764" s="219"/>
      <c r="AK764" s="219"/>
      <c r="AL764" s="219"/>
      <c r="AM764" s="219"/>
      <c r="AN764" s="219"/>
      <c r="AO764" s="219"/>
      <c r="AP764" s="219"/>
      <c r="AQ764" s="219"/>
      <c r="AS764" s="315" t="s">
        <v>117</v>
      </c>
      <c r="AT764" s="327"/>
      <c r="AU764" s="41">
        <f t="shared" si="1618"/>
        <v>5224</v>
      </c>
      <c r="AV764" s="41">
        <f t="shared" si="1619"/>
        <v>3106</v>
      </c>
      <c r="AW764" s="41">
        <f t="shared" si="1620"/>
        <v>3227</v>
      </c>
      <c r="AX764" s="41">
        <f t="shared" si="1621"/>
        <v>5958</v>
      </c>
      <c r="AY764" s="41">
        <f t="shared" si="1622"/>
        <v>1966</v>
      </c>
      <c r="AZ764" s="295" t="s">
        <v>226</v>
      </c>
      <c r="BA764" s="295" t="s">
        <v>226</v>
      </c>
      <c r="BB764" s="295" t="s">
        <v>226</v>
      </c>
      <c r="BC764" s="295" t="s">
        <v>226</v>
      </c>
      <c r="BD764" s="295" t="s">
        <v>226</v>
      </c>
      <c r="BE764" s="295" t="s">
        <v>226</v>
      </c>
    </row>
    <row r="765" spans="1:70" s="160" customFormat="1" x14ac:dyDescent="0.2">
      <c r="A765" s="829"/>
      <c r="B765" s="623"/>
      <c r="C765" s="328" t="s">
        <v>950</v>
      </c>
      <c r="D765" s="859">
        <f>7544-477</f>
        <v>7067</v>
      </c>
      <c r="E765" s="859">
        <f>7146+424</f>
        <v>7570</v>
      </c>
      <c r="F765" s="859">
        <f>2028+4684</f>
        <v>6712</v>
      </c>
      <c r="G765" s="859">
        <v>6126</v>
      </c>
      <c r="H765" s="859">
        <v>8688</v>
      </c>
      <c r="I765" s="859">
        <v>8910</v>
      </c>
      <c r="J765" s="859">
        <v>6430</v>
      </c>
      <c r="K765" s="859">
        <v>5903</v>
      </c>
      <c r="L765" s="859">
        <v>8447</v>
      </c>
      <c r="M765" s="859">
        <v>7479</v>
      </c>
      <c r="N765" s="859">
        <v>7502</v>
      </c>
      <c r="O765" s="859">
        <v>5798</v>
      </c>
      <c r="P765" s="859">
        <v>8164</v>
      </c>
      <c r="Q765" s="859">
        <v>7648</v>
      </c>
      <c r="R765" s="859">
        <v>6919</v>
      </c>
      <c r="S765" s="859">
        <v>6993</v>
      </c>
      <c r="T765" s="859">
        <v>6328</v>
      </c>
      <c r="U765" s="859">
        <v>6312</v>
      </c>
      <c r="V765" s="859">
        <v>6281</v>
      </c>
      <c r="W765" s="859">
        <v>5850</v>
      </c>
      <c r="X765" s="859">
        <v>7411</v>
      </c>
      <c r="Y765" s="859">
        <v>6897</v>
      </c>
      <c r="Z765" s="859">
        <v>6884</v>
      </c>
      <c r="AA765" s="859">
        <v>6191</v>
      </c>
      <c r="AB765" s="859">
        <v>7700</v>
      </c>
      <c r="AC765" s="860">
        <f t="shared" ref="AC765:AE765" si="1626">AC114+AC511+AC639</f>
        <v>7684.621510622248</v>
      </c>
      <c r="AD765" s="860">
        <f t="shared" si="1626"/>
        <v>7364.371373887675</v>
      </c>
      <c r="AE765" s="860">
        <f t="shared" si="1626"/>
        <v>6555.2403536174461</v>
      </c>
      <c r="AF765" s="860">
        <f t="shared" ref="AF765:AI765" si="1627">AF114+AF511+AF639</f>
        <v>8124.4344810617486</v>
      </c>
      <c r="AG765" s="860">
        <f t="shared" si="1627"/>
        <v>7954.0606595777845</v>
      </c>
      <c r="AH765" s="860">
        <f t="shared" si="1627"/>
        <v>7451.484256021221</v>
      </c>
      <c r="AI765" s="860">
        <f t="shared" si="1627"/>
        <v>6510.7810224544392</v>
      </c>
      <c r="AJ765" s="621"/>
      <c r="AK765" s="621"/>
      <c r="AL765" s="621"/>
      <c r="AM765" s="621"/>
      <c r="AN765" s="621"/>
      <c r="AO765" s="621"/>
      <c r="AP765" s="621"/>
      <c r="AQ765" s="621"/>
      <c r="AS765" s="623"/>
      <c r="AT765" s="328" t="s">
        <v>950</v>
      </c>
      <c r="AU765" s="233">
        <f t="shared" si="1618"/>
        <v>27475</v>
      </c>
      <c r="AV765" s="233">
        <f t="shared" si="1619"/>
        <v>29931</v>
      </c>
      <c r="AW765" s="233">
        <f t="shared" si="1620"/>
        <v>29226</v>
      </c>
      <c r="AX765" s="233">
        <f t="shared" si="1621"/>
        <v>29724</v>
      </c>
      <c r="AY765" s="233">
        <f t="shared" si="1622"/>
        <v>24771</v>
      </c>
      <c r="AZ765" s="233">
        <f>SUM(X765:AA765)</f>
        <v>27383</v>
      </c>
      <c r="BA765" s="233">
        <f>SUM(AB765:AE765)</f>
        <v>29304.23323812737</v>
      </c>
      <c r="BB765" s="233">
        <f>SUM(AF765:AI765)</f>
        <v>30040.760419115191</v>
      </c>
      <c r="BC765" s="621">
        <f>BC114+BC511+BC639</f>
        <v>31123.56323959717</v>
      </c>
      <c r="BD765" s="621">
        <f>BD114+BD511+BD639</f>
        <v>32339.499516267591</v>
      </c>
      <c r="BE765" s="621">
        <f>BE114+BE511+BE639</f>
        <v>33666.15336556836</v>
      </c>
      <c r="BM765"/>
      <c r="BN765"/>
      <c r="BO765"/>
      <c r="BP765"/>
      <c r="BQ765"/>
      <c r="BR765"/>
    </row>
    <row r="766" spans="1:70" x14ac:dyDescent="0.2">
      <c r="B766" s="315"/>
      <c r="C766" s="327"/>
      <c r="D766" s="615"/>
      <c r="E766" s="615"/>
      <c r="F766" s="615"/>
      <c r="G766" s="615"/>
      <c r="H766" s="615"/>
      <c r="I766" s="615"/>
      <c r="J766" s="615"/>
      <c r="K766" s="615"/>
      <c r="L766" s="615"/>
      <c r="M766" s="615"/>
      <c r="N766" s="615"/>
      <c r="O766" s="615"/>
      <c r="P766" s="615"/>
      <c r="Q766" s="615"/>
      <c r="R766" s="615"/>
      <c r="S766" s="615"/>
      <c r="T766" s="615"/>
      <c r="U766" s="615"/>
      <c r="V766" s="615"/>
      <c r="W766" s="615"/>
      <c r="X766" s="615"/>
      <c r="Y766" s="615"/>
      <c r="Z766" s="615"/>
      <c r="AA766" s="615"/>
      <c r="AB766" s="615"/>
      <c r="AS766" s="315"/>
      <c r="AT766" s="327"/>
      <c r="AY766" s="1092"/>
      <c r="AZ766" s="1092"/>
      <c r="BA766" s="1092"/>
      <c r="BB766" s="1092"/>
      <c r="BC766" s="9"/>
      <c r="BD766" s="1704"/>
      <c r="BE766" s="1702"/>
    </row>
    <row r="767" spans="1:70" x14ac:dyDescent="0.2">
      <c r="B767" s="328" t="s">
        <v>662</v>
      </c>
      <c r="C767" s="71"/>
      <c r="D767" s="621">
        <f t="shared" ref="D767:AE767" si="1628">D755+D765</f>
        <v>18917</v>
      </c>
      <c r="E767" s="621">
        <f t="shared" si="1628"/>
        <v>19129</v>
      </c>
      <c r="F767" s="621">
        <f t="shared" si="1628"/>
        <v>18592</v>
      </c>
      <c r="G767" s="621">
        <f t="shared" si="1628"/>
        <v>18175</v>
      </c>
      <c r="H767" s="621">
        <f t="shared" si="1628"/>
        <v>20445</v>
      </c>
      <c r="I767" s="621">
        <f t="shared" si="1628"/>
        <v>20734</v>
      </c>
      <c r="J767" s="621">
        <f t="shared" si="1628"/>
        <v>18066</v>
      </c>
      <c r="K767" s="621">
        <f t="shared" si="1628"/>
        <v>18000</v>
      </c>
      <c r="L767" s="621">
        <f t="shared" si="1628"/>
        <v>20334</v>
      </c>
      <c r="M767" s="621">
        <f t="shared" si="1628"/>
        <v>19546</v>
      </c>
      <c r="N767" s="621">
        <f t="shared" si="1628"/>
        <v>19813</v>
      </c>
      <c r="O767" s="621">
        <f t="shared" si="1628"/>
        <v>18023</v>
      </c>
      <c r="P767" s="621">
        <f t="shared" si="1628"/>
        <v>19859</v>
      </c>
      <c r="Q767" s="621">
        <f t="shared" si="1628"/>
        <v>19597</v>
      </c>
      <c r="R767" s="621">
        <f t="shared" si="1628"/>
        <v>18808</v>
      </c>
      <c r="S767" s="621">
        <f t="shared" si="1628"/>
        <v>18584</v>
      </c>
      <c r="T767" s="621">
        <f t="shared" si="1628"/>
        <v>17674</v>
      </c>
      <c r="U767" s="621">
        <f t="shared" si="1628"/>
        <v>17663</v>
      </c>
      <c r="V767" s="621">
        <f t="shared" si="1628"/>
        <v>17874</v>
      </c>
      <c r="W767" s="621">
        <f t="shared" si="1628"/>
        <v>17125</v>
      </c>
      <c r="X767" s="621">
        <f t="shared" si="1628"/>
        <v>18489</v>
      </c>
      <c r="Y767" s="621">
        <f t="shared" ref="Y767:Z767" si="1629">Y755+Y765</f>
        <v>18277</v>
      </c>
      <c r="Z767" s="621">
        <f t="shared" si="1629"/>
        <v>18542</v>
      </c>
      <c r="AA767" s="621">
        <f t="shared" ref="AA767:AB767" si="1630">AA755+AA765</f>
        <v>17632</v>
      </c>
      <c r="AB767" s="621">
        <f t="shared" si="1630"/>
        <v>18936</v>
      </c>
      <c r="AC767" s="621">
        <f t="shared" si="1628"/>
        <v>19151.212300461106</v>
      </c>
      <c r="AD767" s="621">
        <f t="shared" si="1628"/>
        <v>19217.41007592095</v>
      </c>
      <c r="AE767" s="621">
        <f t="shared" si="1628"/>
        <v>18713.441154625914</v>
      </c>
      <c r="AF767" s="621">
        <f t="shared" ref="AF767:AI767" si="1631">AF755+AF765</f>
        <v>20139.399016018204</v>
      </c>
      <c r="AG767" s="621">
        <f t="shared" si="1631"/>
        <v>20313.754685243024</v>
      </c>
      <c r="AH767" s="621">
        <f t="shared" si="1631"/>
        <v>20297.365970931729</v>
      </c>
      <c r="AI767" s="621">
        <f t="shared" si="1631"/>
        <v>19721.64918664343</v>
      </c>
      <c r="AJ767" s="621"/>
      <c r="AK767" s="621"/>
      <c r="AL767" s="621"/>
      <c r="AM767" s="621"/>
      <c r="AN767" s="621"/>
      <c r="AO767" s="621"/>
      <c r="AP767" s="621"/>
      <c r="AQ767" s="621"/>
      <c r="AS767" s="328" t="s">
        <v>662</v>
      </c>
      <c r="AT767" s="71"/>
      <c r="AU767" s="621">
        <f t="shared" ref="AU767:BD767" si="1632">AU755+AU765</f>
        <v>74813</v>
      </c>
      <c r="AV767" s="621">
        <f t="shared" si="1632"/>
        <v>77245</v>
      </c>
      <c r="AW767" s="621">
        <f t="shared" si="1632"/>
        <v>77716</v>
      </c>
      <c r="AX767" s="621">
        <f t="shared" si="1632"/>
        <v>76848</v>
      </c>
      <c r="AY767" s="621">
        <f t="shared" si="1632"/>
        <v>70336</v>
      </c>
      <c r="AZ767" s="621">
        <f t="shared" si="1632"/>
        <v>72940</v>
      </c>
      <c r="BA767" s="621">
        <f t="shared" si="1632"/>
        <v>76018.063531007967</v>
      </c>
      <c r="BB767" s="621">
        <f t="shared" ref="BB767" si="1633">BB755+BB765</f>
        <v>80472.168858836376</v>
      </c>
      <c r="BC767" s="621">
        <f t="shared" si="1632"/>
        <v>84791.843252769686</v>
      </c>
      <c r="BD767" s="621">
        <f t="shared" si="1632"/>
        <v>89146.222714750009</v>
      </c>
      <c r="BE767" s="621">
        <f t="shared" ref="BE767" si="1634">BE755+BE765</f>
        <v>93472.265293406119</v>
      </c>
    </row>
    <row r="768" spans="1:70" x14ac:dyDescent="0.2">
      <c r="B768" s="328"/>
      <c r="C768" s="70" t="s">
        <v>408</v>
      </c>
      <c r="D768" s="620">
        <f>D1569</f>
        <v>-1288</v>
      </c>
      <c r="E768" s="620">
        <f t="shared" ref="E768:W768" si="1635">E1569</f>
        <v>219</v>
      </c>
      <c r="F768" s="620">
        <f t="shared" si="1635"/>
        <v>-776</v>
      </c>
      <c r="G768" s="620">
        <f t="shared" si="1635"/>
        <v>-485</v>
      </c>
      <c r="H768" s="620">
        <f t="shared" si="1635"/>
        <v>-319</v>
      </c>
      <c r="I768" s="620">
        <f t="shared" si="1635"/>
        <v>477</v>
      </c>
      <c r="J768" s="620">
        <f t="shared" si="1635"/>
        <v>-336</v>
      </c>
      <c r="K768" s="620">
        <f t="shared" si="1635"/>
        <v>-164</v>
      </c>
      <c r="L768" s="620">
        <f t="shared" si="1635"/>
        <v>7</v>
      </c>
      <c r="M768" s="620">
        <f t="shared" si="1635"/>
        <v>-33</v>
      </c>
      <c r="N768" s="620">
        <f t="shared" si="1635"/>
        <v>-371</v>
      </c>
      <c r="O768" s="620">
        <f t="shared" si="1635"/>
        <v>7</v>
      </c>
      <c r="P768" s="620">
        <f t="shared" si="1635"/>
        <v>-73</v>
      </c>
      <c r="Q768" s="620">
        <f t="shared" si="1635"/>
        <v>312</v>
      </c>
      <c r="R768" s="620">
        <f t="shared" si="1635"/>
        <v>196</v>
      </c>
      <c r="S768" s="620">
        <f t="shared" si="1635"/>
        <v>-181</v>
      </c>
      <c r="T768" s="620">
        <f t="shared" si="1635"/>
        <v>0</v>
      </c>
      <c r="U768" s="620">
        <f t="shared" si="1635"/>
        <v>0</v>
      </c>
      <c r="V768" s="620">
        <f t="shared" si="1635"/>
        <v>0</v>
      </c>
      <c r="W768" s="620">
        <f t="shared" si="1635"/>
        <v>0</v>
      </c>
      <c r="X768" s="620">
        <f>X1569</f>
        <v>0</v>
      </c>
      <c r="Y768" s="620">
        <f>Y1569</f>
        <v>0</v>
      </c>
      <c r="Z768" s="620">
        <f>Z1569</f>
        <v>0</v>
      </c>
      <c r="AA768" s="620">
        <f>AA1569</f>
        <v>0</v>
      </c>
      <c r="AB768" s="620">
        <f>AB1569</f>
        <v>0</v>
      </c>
      <c r="AC768" s="620">
        <f t="shared" ref="AC768:AE768" si="1636">AC1569</f>
        <v>0</v>
      </c>
      <c r="AD768" s="620">
        <f t="shared" si="1636"/>
        <v>0</v>
      </c>
      <c r="AE768" s="620">
        <f t="shared" si="1636"/>
        <v>0</v>
      </c>
      <c r="AF768" s="620">
        <f t="shared" ref="AF768:AI768" si="1637">AF1569</f>
        <v>0</v>
      </c>
      <c r="AG768" s="620">
        <f t="shared" si="1637"/>
        <v>0</v>
      </c>
      <c r="AH768" s="620">
        <f t="shared" si="1637"/>
        <v>0</v>
      </c>
      <c r="AI768" s="620">
        <f t="shared" si="1637"/>
        <v>0</v>
      </c>
      <c r="AJ768" s="615"/>
      <c r="AK768" s="615"/>
      <c r="AL768" s="615"/>
      <c r="AM768" s="615"/>
      <c r="AN768" s="615"/>
      <c r="AO768" s="615"/>
      <c r="AP768" s="615"/>
      <c r="AQ768" s="615"/>
      <c r="AS768" s="328"/>
      <c r="AT768" s="70" t="s">
        <v>408</v>
      </c>
      <c r="AU768" s="232">
        <f>SUM(D768:G768)</f>
        <v>-2330</v>
      </c>
      <c r="AV768" s="232">
        <f>SUM(H768:K768)</f>
        <v>-342</v>
      </c>
      <c r="AW768" s="232">
        <f>SUM(L768:O768)</f>
        <v>-390</v>
      </c>
      <c r="AX768" s="232">
        <f>SUM(P768:S768)</f>
        <v>254</v>
      </c>
      <c r="AY768" s="232">
        <f>SUM(T768:W768)</f>
        <v>0</v>
      </c>
      <c r="AZ768" s="232">
        <f>SUM(X768:AA768)</f>
        <v>0</v>
      </c>
      <c r="BA768" s="232">
        <f>SUM(AB768:AE768)</f>
        <v>0</v>
      </c>
      <c r="BB768" s="232">
        <f>SUM(AF768:AI768)</f>
        <v>0</v>
      </c>
      <c r="BC768" s="615">
        <f>BC1569</f>
        <v>0</v>
      </c>
      <c r="BD768" s="615">
        <f>BD1569</f>
        <v>0</v>
      </c>
      <c r="BE768" s="615">
        <f>BE1569</f>
        <v>0</v>
      </c>
    </row>
    <row r="769" spans="1:70" x14ac:dyDescent="0.2">
      <c r="B769" s="328" t="s">
        <v>663</v>
      </c>
      <c r="D769" s="621">
        <f t="shared" ref="D769:AE769" si="1638">D767-D768</f>
        <v>20205</v>
      </c>
      <c r="E769" s="621">
        <f t="shared" si="1638"/>
        <v>18910</v>
      </c>
      <c r="F769" s="621">
        <f t="shared" si="1638"/>
        <v>19368</v>
      </c>
      <c r="G769" s="621">
        <f t="shared" si="1638"/>
        <v>18660</v>
      </c>
      <c r="H769" s="621">
        <f t="shared" si="1638"/>
        <v>20764</v>
      </c>
      <c r="I769" s="621">
        <f t="shared" si="1638"/>
        <v>20257</v>
      </c>
      <c r="J769" s="621">
        <f t="shared" si="1638"/>
        <v>18402</v>
      </c>
      <c r="K769" s="621">
        <f t="shared" si="1638"/>
        <v>18164</v>
      </c>
      <c r="L769" s="621">
        <f t="shared" si="1638"/>
        <v>20327</v>
      </c>
      <c r="M769" s="621">
        <f t="shared" si="1638"/>
        <v>19579</v>
      </c>
      <c r="N769" s="621">
        <f t="shared" si="1638"/>
        <v>20184</v>
      </c>
      <c r="O769" s="621">
        <f t="shared" si="1638"/>
        <v>18016</v>
      </c>
      <c r="P769" s="621">
        <f t="shared" si="1638"/>
        <v>19932</v>
      </c>
      <c r="Q769" s="621">
        <f t="shared" si="1638"/>
        <v>19285</v>
      </c>
      <c r="R769" s="621">
        <f t="shared" si="1638"/>
        <v>18612</v>
      </c>
      <c r="S769" s="621">
        <f t="shared" si="1638"/>
        <v>18765</v>
      </c>
      <c r="T769" s="621">
        <f t="shared" si="1638"/>
        <v>17674</v>
      </c>
      <c r="U769" s="621">
        <f t="shared" si="1638"/>
        <v>17663</v>
      </c>
      <c r="V769" s="621">
        <f t="shared" si="1638"/>
        <v>17874</v>
      </c>
      <c r="W769" s="621">
        <f t="shared" si="1638"/>
        <v>17125</v>
      </c>
      <c r="X769" s="621">
        <f t="shared" si="1638"/>
        <v>18489</v>
      </c>
      <c r="Y769" s="621">
        <f t="shared" ref="Y769:Z769" si="1639">Y767-Y768</f>
        <v>18277</v>
      </c>
      <c r="Z769" s="621">
        <f t="shared" si="1639"/>
        <v>18542</v>
      </c>
      <c r="AA769" s="621">
        <f t="shared" ref="AA769:AB769" si="1640">AA767-AA768</f>
        <v>17632</v>
      </c>
      <c r="AB769" s="621">
        <f t="shared" si="1640"/>
        <v>18936</v>
      </c>
      <c r="AC769" s="621">
        <f t="shared" si="1638"/>
        <v>19151.212300461106</v>
      </c>
      <c r="AD769" s="621">
        <f t="shared" si="1638"/>
        <v>19217.41007592095</v>
      </c>
      <c r="AE769" s="621">
        <f t="shared" si="1638"/>
        <v>18713.441154625914</v>
      </c>
      <c r="AF769" s="621">
        <f t="shared" ref="AF769:AI769" si="1641">AF767-AF768</f>
        <v>20139.399016018204</v>
      </c>
      <c r="AG769" s="621">
        <f t="shared" si="1641"/>
        <v>20313.754685243024</v>
      </c>
      <c r="AH769" s="621">
        <f t="shared" si="1641"/>
        <v>20297.365970931729</v>
      </c>
      <c r="AI769" s="621">
        <f t="shared" si="1641"/>
        <v>19721.64918664343</v>
      </c>
      <c r="AJ769" s="621"/>
      <c r="AK769" s="621"/>
      <c r="AL769" s="621"/>
      <c r="AM769" s="621"/>
      <c r="AN769" s="621"/>
      <c r="AO769" s="621"/>
      <c r="AP769" s="621"/>
      <c r="AQ769" s="621"/>
      <c r="AS769" s="328" t="s">
        <v>663</v>
      </c>
      <c r="AT769" s="1217"/>
      <c r="AU769" s="233">
        <f t="shared" ref="AU769:BD769" si="1642">AU767-AU768</f>
        <v>77143</v>
      </c>
      <c r="AV769" s="233">
        <f t="shared" si="1642"/>
        <v>77587</v>
      </c>
      <c r="AW769" s="233">
        <f t="shared" si="1642"/>
        <v>78106</v>
      </c>
      <c r="AX769" s="233">
        <f t="shared" si="1642"/>
        <v>76594</v>
      </c>
      <c r="AY769" s="233">
        <f t="shared" si="1642"/>
        <v>70336</v>
      </c>
      <c r="AZ769" s="233">
        <f t="shared" si="1642"/>
        <v>72940</v>
      </c>
      <c r="BA769" s="233">
        <f t="shared" si="1642"/>
        <v>76018.063531007967</v>
      </c>
      <c r="BB769" s="233">
        <f t="shared" ref="BB769" si="1643">BB767-BB768</f>
        <v>80472.168858836376</v>
      </c>
      <c r="BC769" s="621">
        <f t="shared" si="1642"/>
        <v>84791.843252769686</v>
      </c>
      <c r="BD769" s="621">
        <f t="shared" si="1642"/>
        <v>89146.222714750009</v>
      </c>
      <c r="BE769" s="621">
        <f t="shared" ref="BE769" si="1644">BE767-BE768</f>
        <v>93472.265293406119</v>
      </c>
    </row>
    <row r="770" spans="1:70" x14ac:dyDescent="0.2">
      <c r="Y770" s="1215"/>
      <c r="Z770" s="1688"/>
      <c r="AA770" s="1742"/>
      <c r="AB770" s="15"/>
      <c r="AC770" s="71"/>
      <c r="AD770" s="71"/>
      <c r="AE770" s="71"/>
      <c r="AF770" s="71"/>
      <c r="AG770" s="71"/>
      <c r="AH770" s="71"/>
      <c r="AI770" s="71"/>
      <c r="AJ770" s="71"/>
      <c r="AK770" s="71"/>
      <c r="AL770" s="71"/>
      <c r="AM770" s="71"/>
      <c r="AN770" s="71"/>
      <c r="AO770" s="71"/>
      <c r="AP770" s="71"/>
      <c r="AQ770" s="71"/>
      <c r="AS770" s="10"/>
      <c r="AT770" s="1217"/>
      <c r="BC770" s="71"/>
      <c r="BD770" s="71"/>
      <c r="BE770" s="71"/>
    </row>
    <row r="771" spans="1:70" x14ac:dyDescent="0.2">
      <c r="B771" s="110" t="s">
        <v>184</v>
      </c>
      <c r="Y771" s="1215"/>
      <c r="Z771" s="1688"/>
      <c r="AA771" s="1742"/>
      <c r="AB771" s="15"/>
      <c r="AC771" s="71"/>
      <c r="AD771" s="71"/>
      <c r="AE771" s="71"/>
      <c r="AF771" s="71"/>
      <c r="AG771" s="71"/>
      <c r="AH771" s="71"/>
      <c r="AI771" s="71"/>
      <c r="AJ771" s="71"/>
      <c r="AK771" s="71"/>
      <c r="AL771" s="71"/>
      <c r="AM771" s="71"/>
      <c r="AN771" s="71"/>
      <c r="AO771" s="71"/>
      <c r="AP771" s="71"/>
      <c r="AQ771" s="71"/>
      <c r="AS771" s="110" t="s">
        <v>184</v>
      </c>
      <c r="AT771" s="1217"/>
      <c r="BC771" s="71"/>
      <c r="BD771" s="71"/>
      <c r="BE771" s="71"/>
    </row>
    <row r="772" spans="1:70" x14ac:dyDescent="0.2">
      <c r="B772" s="315" t="s">
        <v>1</v>
      </c>
      <c r="D772" s="619">
        <v>6362</v>
      </c>
      <c r="E772" s="619">
        <v>6105</v>
      </c>
      <c r="F772" s="619">
        <v>6113</v>
      </c>
      <c r="G772" s="619">
        <v>6539</v>
      </c>
      <c r="H772" s="619">
        <v>6335</v>
      </c>
      <c r="I772" s="619">
        <v>6075</v>
      </c>
      <c r="J772" s="619">
        <v>5828</v>
      </c>
      <c r="K772" s="619">
        <v>5729</v>
      </c>
      <c r="L772" s="619">
        <v>6010</v>
      </c>
      <c r="M772" s="619">
        <v>6028</v>
      </c>
      <c r="N772" s="619">
        <v>6114</v>
      </c>
      <c r="O772" s="619">
        <v>5807</v>
      </c>
      <c r="P772" s="619">
        <v>5520</v>
      </c>
      <c r="Q772" s="619">
        <v>5483</v>
      </c>
      <c r="R772" s="619">
        <v>5321</v>
      </c>
      <c r="S772" s="619">
        <v>5445</v>
      </c>
      <c r="T772" s="619">
        <v>5556</v>
      </c>
      <c r="U772" s="619">
        <v>5229</v>
      </c>
      <c r="V772" s="619">
        <v>5203</v>
      </c>
      <c r="W772" s="619">
        <v>4982</v>
      </c>
      <c r="X772" s="619">
        <v>5534</v>
      </c>
      <c r="Y772" s="619">
        <v>5463</v>
      </c>
      <c r="Z772" s="619">
        <v>5304</v>
      </c>
      <c r="AA772" s="619">
        <v>4880</v>
      </c>
      <c r="AB772" s="619">
        <v>5807</v>
      </c>
      <c r="AC772" s="144">
        <f t="shared" ref="AC772:AE772" si="1645">AC769*AC1498</f>
        <v>5553.85156713372</v>
      </c>
      <c r="AD772" s="144">
        <f t="shared" si="1645"/>
        <v>5573.0489220170748</v>
      </c>
      <c r="AE772" s="144">
        <f t="shared" si="1645"/>
        <v>5239.7635232952562</v>
      </c>
      <c r="AF772" s="144">
        <f t="shared" ref="AF772:AI772" si="1646">AF769*AF1498</f>
        <v>5840.4257146452783</v>
      </c>
      <c r="AG772" s="144">
        <f t="shared" si="1646"/>
        <v>5586.282538441832</v>
      </c>
      <c r="AH772" s="144">
        <f t="shared" si="1646"/>
        <v>5581.775642006226</v>
      </c>
      <c r="AI772" s="144">
        <f t="shared" si="1646"/>
        <v>5423.4535263269436</v>
      </c>
      <c r="AJ772" s="144"/>
      <c r="AK772" s="144"/>
      <c r="AL772" s="144"/>
      <c r="AM772" s="144"/>
      <c r="AN772" s="144"/>
      <c r="AO772" s="144"/>
      <c r="AP772" s="144"/>
      <c r="AQ772" s="144"/>
      <c r="AS772" s="315" t="s">
        <v>1</v>
      </c>
      <c r="AT772" s="1217"/>
      <c r="AU772" s="232">
        <f>SUM(D772:G772)</f>
        <v>25119</v>
      </c>
      <c r="AV772" s="232">
        <f>SUM(H772:K772)</f>
        <v>23967</v>
      </c>
      <c r="AW772" s="232">
        <f>SUM(L772:O772)</f>
        <v>23959</v>
      </c>
      <c r="AX772" s="232">
        <f>SUM(P772:S772)</f>
        <v>21769</v>
      </c>
      <c r="AY772" s="232">
        <f>SUM(T772:W772)</f>
        <v>20970</v>
      </c>
      <c r="AZ772" s="144">
        <f>SUM(X772:AA772)</f>
        <v>21181</v>
      </c>
      <c r="BA772" s="144">
        <f>SUM(AB772:AE772)</f>
        <v>22173.66401244605</v>
      </c>
      <c r="BB772" s="144">
        <f>SUM(AF772:AI772)</f>
        <v>22431.93742142028</v>
      </c>
      <c r="BC772" s="144">
        <f>BC769*BC1498</f>
        <v>23741.716110775513</v>
      </c>
      <c r="BD772" s="144">
        <f>BD769*BD1498</f>
        <v>24960.942360130004</v>
      </c>
      <c r="BE772" s="144">
        <f>BE769*BE1498</f>
        <v>26172.234282153717</v>
      </c>
    </row>
    <row r="773" spans="1:70" x14ac:dyDescent="0.2">
      <c r="B773" s="315" t="s">
        <v>973</v>
      </c>
      <c r="C773" s="895"/>
      <c r="D773" s="619"/>
      <c r="E773" s="619"/>
      <c r="F773" s="619"/>
      <c r="G773" s="619"/>
      <c r="H773" s="619"/>
      <c r="I773" s="619"/>
      <c r="J773" s="619"/>
      <c r="K773" s="619"/>
      <c r="L773" s="619"/>
      <c r="M773" s="619"/>
      <c r="N773" s="619"/>
      <c r="O773" s="619"/>
      <c r="P773" s="619"/>
      <c r="Q773" s="619"/>
      <c r="R773" s="619"/>
      <c r="S773" s="619"/>
      <c r="T773" s="619"/>
      <c r="U773" s="619"/>
      <c r="V773" s="619"/>
      <c r="W773" s="619"/>
      <c r="X773" s="619"/>
      <c r="Y773" s="619"/>
      <c r="Z773" s="619"/>
      <c r="AA773" s="619"/>
      <c r="AB773" s="619"/>
      <c r="AC773" s="144"/>
      <c r="AD773" s="144"/>
      <c r="AE773" s="144"/>
      <c r="AF773" s="144"/>
      <c r="AG773" s="144"/>
      <c r="AH773" s="144"/>
      <c r="AI773" s="144"/>
      <c r="AJ773" s="144"/>
      <c r="AK773" s="144"/>
      <c r="AL773" s="144"/>
      <c r="AM773" s="144"/>
      <c r="AN773" s="144"/>
      <c r="AO773" s="144"/>
      <c r="AP773" s="144"/>
      <c r="AQ773" s="144"/>
      <c r="AS773" s="315" t="s">
        <v>973</v>
      </c>
      <c r="AT773" s="1217"/>
      <c r="AU773" s="232"/>
      <c r="AV773" s="232"/>
      <c r="AW773" s="232"/>
      <c r="AX773" s="232"/>
      <c r="AY773" s="232"/>
      <c r="AZ773" s="144"/>
      <c r="BA773" s="144"/>
      <c r="BB773" s="144"/>
      <c r="BC773" s="144"/>
      <c r="BD773" s="144"/>
      <c r="BE773" s="144"/>
    </row>
    <row r="774" spans="1:70" x14ac:dyDescent="0.2">
      <c r="B774" s="70"/>
      <c r="C774" s="315" t="s">
        <v>975</v>
      </c>
      <c r="D774" s="619">
        <v>794</v>
      </c>
      <c r="E774" s="619">
        <v>803</v>
      </c>
      <c r="F774" s="619">
        <v>842</v>
      </c>
      <c r="G774" s="619">
        <v>827</v>
      </c>
      <c r="H774" s="619">
        <v>844</v>
      </c>
      <c r="I774" s="619">
        <v>762</v>
      </c>
      <c r="J774" s="619">
        <v>763</v>
      </c>
      <c r="K774" s="619">
        <v>796</v>
      </c>
      <c r="L774" s="619">
        <v>805</v>
      </c>
      <c r="M774" s="619">
        <v>819</v>
      </c>
      <c r="N774" s="619">
        <v>804</v>
      </c>
      <c r="O774" s="619">
        <v>750</v>
      </c>
      <c r="P774" s="619">
        <v>709</v>
      </c>
      <c r="Q774" s="619">
        <v>737</v>
      </c>
      <c r="R774" s="619">
        <v>722</v>
      </c>
      <c r="S774" s="619">
        <v>710</v>
      </c>
      <c r="T774" s="619">
        <v>651</v>
      </c>
      <c r="U774" s="619">
        <v>642</v>
      </c>
      <c r="V774" s="619">
        <v>624</v>
      </c>
      <c r="W774" s="619">
        <v>625</v>
      </c>
      <c r="X774" s="619">
        <v>620</v>
      </c>
      <c r="Y774" s="619">
        <v>604</v>
      </c>
      <c r="Z774" s="619">
        <v>608</v>
      </c>
      <c r="AA774" s="619">
        <v>621</v>
      </c>
      <c r="AB774" s="619">
        <v>593</v>
      </c>
      <c r="AC774" s="219" t="s">
        <v>226</v>
      </c>
      <c r="AD774" s="219" t="s">
        <v>226</v>
      </c>
      <c r="AE774" s="219" t="s">
        <v>226</v>
      </c>
      <c r="AF774" s="219" t="s">
        <v>226</v>
      </c>
      <c r="AG774" s="219" t="s">
        <v>226</v>
      </c>
      <c r="AH774" s="219" t="s">
        <v>226</v>
      </c>
      <c r="AI774" s="219" t="s">
        <v>226</v>
      </c>
      <c r="AJ774" s="219"/>
      <c r="AK774" s="219"/>
      <c r="AL774" s="219"/>
      <c r="AM774" s="219"/>
      <c r="AN774" s="219"/>
      <c r="AO774" s="219"/>
      <c r="AP774" s="219"/>
      <c r="AQ774" s="219"/>
      <c r="AT774" s="315" t="s">
        <v>975</v>
      </c>
      <c r="AU774" s="232">
        <f>SUM(D774:G774)</f>
        <v>3266</v>
      </c>
      <c r="AV774" s="232">
        <f>SUM(H774:K774)</f>
        <v>3165</v>
      </c>
      <c r="AW774" s="232">
        <f>SUM(L774:O774)</f>
        <v>3178</v>
      </c>
      <c r="AX774" s="232">
        <f>SUM(P774:S774)</f>
        <v>2878</v>
      </c>
      <c r="AY774" s="232">
        <f>SUM(T774:W774)</f>
        <v>2542</v>
      </c>
      <c r="AZ774" s="219" t="s">
        <v>226</v>
      </c>
      <c r="BA774" s="219" t="s">
        <v>226</v>
      </c>
      <c r="BB774" s="219" t="s">
        <v>226</v>
      </c>
      <c r="BC774" s="219" t="s">
        <v>226</v>
      </c>
      <c r="BD774" s="219" t="s">
        <v>226</v>
      </c>
      <c r="BE774" s="219" t="s">
        <v>226</v>
      </c>
    </row>
    <row r="775" spans="1:70" x14ac:dyDescent="0.2">
      <c r="B775" s="70"/>
      <c r="C775" s="315" t="s">
        <v>18</v>
      </c>
      <c r="D775" s="619">
        <v>1362</v>
      </c>
      <c r="E775" s="619">
        <v>1462</v>
      </c>
      <c r="F775" s="619">
        <v>1440</v>
      </c>
      <c r="G775" s="619">
        <v>1565</v>
      </c>
      <c r="H775" s="619">
        <v>1530</v>
      </c>
      <c r="I775" s="619">
        <v>1486</v>
      </c>
      <c r="J775" s="619">
        <v>1568</v>
      </c>
      <c r="K775" s="619">
        <v>1552</v>
      </c>
      <c r="L775" s="619">
        <v>1530</v>
      </c>
      <c r="M775" s="619">
        <v>1619</v>
      </c>
      <c r="N775" s="619">
        <v>1630</v>
      </c>
      <c r="O775" s="619">
        <v>1657</v>
      </c>
      <c r="P775" s="619">
        <v>1600</v>
      </c>
      <c r="Q775" s="619">
        <v>1656</v>
      </c>
      <c r="R775" s="619">
        <v>1628</v>
      </c>
      <c r="S775" s="619">
        <v>1697</v>
      </c>
      <c r="T775" s="619">
        <v>1649</v>
      </c>
      <c r="U775" s="619">
        <v>1657</v>
      </c>
      <c r="V775" s="619">
        <v>1694</v>
      </c>
      <c r="W775" s="619">
        <v>1685</v>
      </c>
      <c r="X775" s="619">
        <v>1663</v>
      </c>
      <c r="Y775" s="619">
        <v>1695</v>
      </c>
      <c r="Z775" s="619">
        <v>1764</v>
      </c>
      <c r="AA775" s="619">
        <v>1787</v>
      </c>
      <c r="AB775" s="619">
        <v>1758</v>
      </c>
      <c r="AC775" s="219" t="s">
        <v>226</v>
      </c>
      <c r="AD775" s="219" t="s">
        <v>226</v>
      </c>
      <c r="AE775" s="219" t="s">
        <v>226</v>
      </c>
      <c r="AF775" s="219" t="s">
        <v>226</v>
      </c>
      <c r="AG775" s="219" t="s">
        <v>226</v>
      </c>
      <c r="AH775" s="219" t="s">
        <v>226</v>
      </c>
      <c r="AI775" s="219" t="s">
        <v>226</v>
      </c>
      <c r="AJ775" s="219"/>
      <c r="AK775" s="219"/>
      <c r="AL775" s="219"/>
      <c r="AM775" s="219"/>
      <c r="AN775" s="219"/>
      <c r="AO775" s="219"/>
      <c r="AP775" s="219"/>
      <c r="AQ775" s="219"/>
      <c r="AT775" s="315" t="s">
        <v>18</v>
      </c>
      <c r="AU775" s="232">
        <f>SUM(D775:G775)</f>
        <v>5829</v>
      </c>
      <c r="AV775" s="232">
        <f>SUM(H775:K775)</f>
        <v>6136</v>
      </c>
      <c r="AW775" s="232">
        <f>SUM(L775:O775)</f>
        <v>6436</v>
      </c>
      <c r="AX775" s="232">
        <f>SUM(P775:S775)</f>
        <v>6581</v>
      </c>
      <c r="AY775" s="232">
        <f>SUM(T775:W775)</f>
        <v>6685</v>
      </c>
      <c r="AZ775" s="219" t="s">
        <v>226</v>
      </c>
      <c r="BA775" s="219" t="s">
        <v>226</v>
      </c>
      <c r="BB775" s="219" t="s">
        <v>226</v>
      </c>
      <c r="BC775" s="219" t="s">
        <v>226</v>
      </c>
      <c r="BD775" s="219" t="s">
        <v>226</v>
      </c>
      <c r="BE775" s="219" t="s">
        <v>226</v>
      </c>
    </row>
    <row r="776" spans="1:70" x14ac:dyDescent="0.2">
      <c r="B776" s="70"/>
      <c r="C776" s="315" t="s">
        <v>72</v>
      </c>
      <c r="D776" s="619">
        <v>488</v>
      </c>
      <c r="E776" s="619">
        <v>574</v>
      </c>
      <c r="F776" s="619">
        <v>589</v>
      </c>
      <c r="G776" s="619">
        <v>513</v>
      </c>
      <c r="H776" s="619">
        <v>449</v>
      </c>
      <c r="I776" s="619">
        <v>480</v>
      </c>
      <c r="J776" s="619">
        <v>458</v>
      </c>
      <c r="K776" s="619">
        <v>501</v>
      </c>
      <c r="L776" s="619">
        <v>458</v>
      </c>
      <c r="M776" s="619">
        <v>460</v>
      </c>
      <c r="N776" s="619">
        <v>442</v>
      </c>
      <c r="O776" s="619">
        <v>484</v>
      </c>
      <c r="P776" s="619">
        <v>392</v>
      </c>
      <c r="Q776" s="619">
        <v>393</v>
      </c>
      <c r="R776" s="619">
        <v>391</v>
      </c>
      <c r="S776" s="619">
        <v>371</v>
      </c>
      <c r="T776" s="619">
        <v>390</v>
      </c>
      <c r="U776" s="619">
        <v>433</v>
      </c>
      <c r="V776" s="619">
        <v>403</v>
      </c>
      <c r="W776" s="619">
        <v>406</v>
      </c>
      <c r="X776" s="619">
        <v>373</v>
      </c>
      <c r="Y776" s="619">
        <v>432</v>
      </c>
      <c r="Z776" s="619">
        <v>417</v>
      </c>
      <c r="AA776" s="619">
        <v>386</v>
      </c>
      <c r="AB776" s="619">
        <v>381</v>
      </c>
      <c r="AC776" s="219" t="s">
        <v>226</v>
      </c>
      <c r="AD776" s="219" t="s">
        <v>226</v>
      </c>
      <c r="AE776" s="219" t="s">
        <v>226</v>
      </c>
      <c r="AF776" s="219" t="s">
        <v>226</v>
      </c>
      <c r="AG776" s="219" t="s">
        <v>226</v>
      </c>
      <c r="AH776" s="219" t="s">
        <v>226</v>
      </c>
      <c r="AI776" s="219" t="s">
        <v>226</v>
      </c>
      <c r="AJ776" s="219"/>
      <c r="AK776" s="219"/>
      <c r="AL776" s="219"/>
      <c r="AM776" s="219"/>
      <c r="AN776" s="219"/>
      <c r="AO776" s="219"/>
      <c r="AP776" s="219"/>
      <c r="AQ776" s="219"/>
      <c r="AT776" s="315" t="s">
        <v>72</v>
      </c>
      <c r="AU776" s="232">
        <f>SUM(D776:G776)</f>
        <v>2164</v>
      </c>
      <c r="AV776" s="232">
        <f>SUM(H776:K776)</f>
        <v>1888</v>
      </c>
      <c r="AW776" s="232">
        <f>SUM(L776:O776)</f>
        <v>1844</v>
      </c>
      <c r="AX776" s="232">
        <f>SUM(P776:S776)</f>
        <v>1547</v>
      </c>
      <c r="AY776" s="232">
        <f>SUM(T776:W776)</f>
        <v>1632</v>
      </c>
      <c r="AZ776" s="219" t="s">
        <v>226</v>
      </c>
      <c r="BA776" s="219" t="s">
        <v>226</v>
      </c>
      <c r="BB776" s="219" t="s">
        <v>226</v>
      </c>
      <c r="BC776" s="219" t="s">
        <v>226</v>
      </c>
      <c r="BD776" s="219" t="s">
        <v>226</v>
      </c>
      <c r="BE776" s="219" t="s">
        <v>226</v>
      </c>
    </row>
    <row r="777" spans="1:70" x14ac:dyDescent="0.2">
      <c r="A777" s="830"/>
      <c r="B777" s="28"/>
      <c r="C777" s="375" t="s">
        <v>2</v>
      </c>
      <c r="D777" s="620">
        <f t="shared" ref="D777:X777" si="1647">D780-SUM(D772:D776)</f>
        <v>3209</v>
      </c>
      <c r="E777" s="620">
        <f t="shared" si="1647"/>
        <v>3049</v>
      </c>
      <c r="F777" s="620">
        <f t="shared" si="1647"/>
        <v>3111</v>
      </c>
      <c r="G777" s="620">
        <f t="shared" si="1647"/>
        <v>4289</v>
      </c>
      <c r="H777" s="620">
        <f t="shared" si="1647"/>
        <v>3130</v>
      </c>
      <c r="I777" s="620">
        <f t="shared" si="1647"/>
        <v>3346</v>
      </c>
      <c r="J777" s="620">
        <f t="shared" si="1647"/>
        <v>3062</v>
      </c>
      <c r="K777" s="620">
        <f t="shared" si="1647"/>
        <v>3714</v>
      </c>
      <c r="L777" s="620">
        <f t="shared" si="1647"/>
        <v>3346</v>
      </c>
      <c r="M777" s="620">
        <f t="shared" si="1647"/>
        <v>6595</v>
      </c>
      <c r="N777" s="620">
        <f t="shared" si="1647"/>
        <v>3965</v>
      </c>
      <c r="O777" s="620">
        <f t="shared" si="1647"/>
        <v>5728</v>
      </c>
      <c r="P777" s="620">
        <f t="shared" si="1647"/>
        <v>2663</v>
      </c>
      <c r="Q777" s="620">
        <f t="shared" si="1647"/>
        <v>2659</v>
      </c>
      <c r="R777" s="620">
        <f t="shared" si="1647"/>
        <v>2607</v>
      </c>
      <c r="S777" s="620">
        <f t="shared" si="1647"/>
        <v>2911</v>
      </c>
      <c r="T777" s="620">
        <f t="shared" si="1647"/>
        <v>2277</v>
      </c>
      <c r="U777" s="620">
        <f t="shared" si="1647"/>
        <v>2408</v>
      </c>
      <c r="V777" s="620">
        <f t="shared" si="1647"/>
        <v>2480</v>
      </c>
      <c r="W777" s="620">
        <f t="shared" si="1647"/>
        <v>2422</v>
      </c>
      <c r="X777" s="620">
        <f t="shared" si="1647"/>
        <v>2533</v>
      </c>
      <c r="Y777" s="620">
        <f t="shared" ref="Y777:Z777" si="1648">Y780-SUM(Y772:Y776)</f>
        <v>2566</v>
      </c>
      <c r="Z777" s="620">
        <f t="shared" si="1648"/>
        <v>2324</v>
      </c>
      <c r="AA777" s="620">
        <f t="shared" ref="AA777:AB777" si="1649">AA780-SUM(AA772:AA776)</f>
        <v>2658</v>
      </c>
      <c r="AB777" s="620">
        <f t="shared" si="1649"/>
        <v>2386</v>
      </c>
      <c r="AC777" s="295" t="s">
        <v>226</v>
      </c>
      <c r="AD777" s="295" t="s">
        <v>226</v>
      </c>
      <c r="AE777" s="295" t="s">
        <v>226</v>
      </c>
      <c r="AF777" s="295" t="s">
        <v>226</v>
      </c>
      <c r="AG777" s="295" t="s">
        <v>226</v>
      </c>
      <c r="AH777" s="295" t="s">
        <v>226</v>
      </c>
      <c r="AI777" s="295" t="s">
        <v>226</v>
      </c>
      <c r="AJ777" s="359"/>
      <c r="AK777" s="359"/>
      <c r="AL777" s="359"/>
      <c r="AM777" s="359"/>
      <c r="AN777" s="359"/>
      <c r="AO777" s="359"/>
      <c r="AP777" s="359"/>
      <c r="AQ777" s="359"/>
      <c r="AS777" s="28"/>
      <c r="AT777" s="375" t="s">
        <v>2</v>
      </c>
      <c r="AU777" s="41">
        <f>SUM(D777:G777)</f>
        <v>13658</v>
      </c>
      <c r="AV777" s="41">
        <f>SUM(H777:K777)</f>
        <v>13252</v>
      </c>
      <c r="AW777" s="41">
        <f>SUM(L777:O777)</f>
        <v>19634</v>
      </c>
      <c r="AX777" s="41">
        <f>SUM(P777:S777)</f>
        <v>10840</v>
      </c>
      <c r="AY777" s="41">
        <f>SUM(T777:W777)</f>
        <v>9587</v>
      </c>
      <c r="AZ777" s="295" t="s">
        <v>226</v>
      </c>
      <c r="BA777" s="295" t="s">
        <v>226</v>
      </c>
      <c r="BB777" s="295" t="s">
        <v>226</v>
      </c>
      <c r="BC777" s="295" t="s">
        <v>226</v>
      </c>
      <c r="BD777" s="295" t="s">
        <v>226</v>
      </c>
      <c r="BE777" s="295" t="s">
        <v>226</v>
      </c>
    </row>
    <row r="778" spans="1:70" x14ac:dyDescent="0.2">
      <c r="B778" s="342" t="s">
        <v>973</v>
      </c>
      <c r="C778" s="315"/>
      <c r="D778" s="907">
        <f t="shared" ref="D778:AE778" si="1650">D780-D772</f>
        <v>5853</v>
      </c>
      <c r="E778" s="907">
        <f t="shared" si="1650"/>
        <v>5888</v>
      </c>
      <c r="F778" s="907">
        <f t="shared" si="1650"/>
        <v>5982</v>
      </c>
      <c r="G778" s="907">
        <f t="shared" si="1650"/>
        <v>7194</v>
      </c>
      <c r="H778" s="907">
        <f t="shared" si="1650"/>
        <v>5953</v>
      </c>
      <c r="I778" s="907">
        <f t="shared" si="1650"/>
        <v>6074</v>
      </c>
      <c r="J778" s="907">
        <f t="shared" si="1650"/>
        <v>5851</v>
      </c>
      <c r="K778" s="907">
        <f t="shared" si="1650"/>
        <v>6563</v>
      </c>
      <c r="L778" s="907">
        <f t="shared" si="1650"/>
        <v>6139</v>
      </c>
      <c r="M778" s="907">
        <f t="shared" si="1650"/>
        <v>9493</v>
      </c>
      <c r="N778" s="907">
        <f t="shared" si="1650"/>
        <v>6841</v>
      </c>
      <c r="O778" s="907">
        <f t="shared" si="1650"/>
        <v>8619</v>
      </c>
      <c r="P778" s="907">
        <f t="shared" si="1650"/>
        <v>5364</v>
      </c>
      <c r="Q778" s="907">
        <f t="shared" si="1650"/>
        <v>5445</v>
      </c>
      <c r="R778" s="907">
        <f t="shared" si="1650"/>
        <v>5348</v>
      </c>
      <c r="S778" s="907">
        <f t="shared" si="1650"/>
        <v>5689</v>
      </c>
      <c r="T778" s="907">
        <f t="shared" si="1650"/>
        <v>4967</v>
      </c>
      <c r="U778" s="907">
        <f t="shared" si="1650"/>
        <v>5140</v>
      </c>
      <c r="V778" s="907">
        <f t="shared" si="1650"/>
        <v>5201</v>
      </c>
      <c r="W778" s="907">
        <f t="shared" si="1650"/>
        <v>5138</v>
      </c>
      <c r="X778" s="907">
        <f t="shared" si="1650"/>
        <v>5189</v>
      </c>
      <c r="Y778" s="907">
        <f t="shared" ref="Y778:Z778" si="1651">Y780-Y772</f>
        <v>5297</v>
      </c>
      <c r="Z778" s="907">
        <f t="shared" si="1651"/>
        <v>5113</v>
      </c>
      <c r="AA778" s="907">
        <f t="shared" ref="AA778:AB778" si="1652">AA780-AA772</f>
        <v>5452</v>
      </c>
      <c r="AB778" s="907">
        <f t="shared" si="1652"/>
        <v>5118</v>
      </c>
      <c r="AC778" s="907">
        <f t="shared" si="1650"/>
        <v>5359.4523502256989</v>
      </c>
      <c r="AD778" s="907">
        <f t="shared" si="1650"/>
        <v>5217.5984974010917</v>
      </c>
      <c r="AE778" s="907">
        <f t="shared" si="1650"/>
        <v>5174.241337047024</v>
      </c>
      <c r="AF778" s="907">
        <f t="shared" ref="AF778:AI778" si="1653">AF780-AF772</f>
        <v>5308.3830583496911</v>
      </c>
      <c r="AG778" s="907">
        <f t="shared" si="1653"/>
        <v>5475.7809326116785</v>
      </c>
      <c r="AH778" s="907">
        <f t="shared" si="1653"/>
        <v>5402.7172315272719</v>
      </c>
      <c r="AI778" s="907">
        <f t="shared" si="1653"/>
        <v>5186.4750917193351</v>
      </c>
      <c r="AJ778" s="907"/>
      <c r="AK778" s="907"/>
      <c r="AL778" s="907"/>
      <c r="AM778" s="907"/>
      <c r="AN778" s="907"/>
      <c r="AO778" s="907"/>
      <c r="AP778" s="907"/>
      <c r="AQ778" s="907"/>
      <c r="AS778" s="342" t="s">
        <v>973</v>
      </c>
      <c r="AT778" s="315"/>
      <c r="AU778" s="907">
        <f t="shared" ref="AU778:BD778" si="1654">AU780-AU772</f>
        <v>24917</v>
      </c>
      <c r="AV778" s="907">
        <f t="shared" si="1654"/>
        <v>24441</v>
      </c>
      <c r="AW778" s="907">
        <f t="shared" si="1654"/>
        <v>31092</v>
      </c>
      <c r="AX778" s="907">
        <f t="shared" si="1654"/>
        <v>21846</v>
      </c>
      <c r="AY778" s="907">
        <f t="shared" si="1654"/>
        <v>20446</v>
      </c>
      <c r="AZ778" s="907">
        <f t="shared" si="1654"/>
        <v>21051</v>
      </c>
      <c r="BA778" s="907">
        <f t="shared" si="1654"/>
        <v>20869.292184673821</v>
      </c>
      <c r="BB778" s="907">
        <f t="shared" ref="BB778" si="1655">BB780-BB772</f>
        <v>21373.356314207977</v>
      </c>
      <c r="BC778" s="907">
        <f t="shared" si="1654"/>
        <v>21050.677578221734</v>
      </c>
      <c r="BD778" s="907">
        <f t="shared" si="1654"/>
        <v>21249.157628602126</v>
      </c>
      <c r="BE778" s="907">
        <f t="shared" ref="BE778" si="1656">BE780-BE772</f>
        <v>21854.370949775657</v>
      </c>
    </row>
    <row r="779" spans="1:70" x14ac:dyDescent="0.2">
      <c r="B779" s="342"/>
      <c r="C779" s="315"/>
      <c r="D779" s="907"/>
      <c r="E779" s="907"/>
      <c r="F779" s="907"/>
      <c r="G779" s="907"/>
      <c r="H779" s="907"/>
      <c r="I779" s="907"/>
      <c r="J779" s="907"/>
      <c r="K779" s="907"/>
      <c r="L779" s="907"/>
      <c r="M779" s="907"/>
      <c r="N779" s="907"/>
      <c r="O779" s="907"/>
      <c r="P779" s="907"/>
      <c r="Q779" s="907"/>
      <c r="R779" s="907"/>
      <c r="S779" s="907"/>
      <c r="T779" s="907"/>
      <c r="U779" s="907"/>
      <c r="V779" s="907"/>
      <c r="W779" s="907"/>
      <c r="X779" s="907"/>
      <c r="Y779" s="907"/>
      <c r="Z779" s="907"/>
      <c r="AA779" s="907"/>
      <c r="AB779" s="907"/>
      <c r="AC779" s="907"/>
      <c r="AD779" s="907"/>
      <c r="AE779" s="907"/>
      <c r="AF779" s="907"/>
      <c r="AG779" s="907"/>
      <c r="AH779" s="907"/>
      <c r="AI779" s="907"/>
      <c r="AJ779" s="907"/>
      <c r="AK779" s="907"/>
      <c r="AL779" s="907"/>
      <c r="AM779" s="907"/>
      <c r="AN779" s="907"/>
      <c r="AO779" s="907"/>
      <c r="AP779" s="907"/>
      <c r="AQ779" s="907"/>
      <c r="AS779" s="342"/>
      <c r="AT779" s="315"/>
      <c r="AU779" s="232"/>
      <c r="AV779" s="232"/>
      <c r="AW779" s="232"/>
      <c r="AX779" s="232"/>
      <c r="AY779" s="232"/>
      <c r="AZ779" s="219"/>
      <c r="BA779" s="219"/>
      <c r="BB779" s="219"/>
      <c r="BC779" s="219"/>
      <c r="BD779" s="219"/>
      <c r="BE779" s="219"/>
    </row>
    <row r="780" spans="1:70" x14ac:dyDescent="0.2">
      <c r="A780" s="830"/>
      <c r="B780" s="345" t="s">
        <v>974</v>
      </c>
      <c r="C780" s="70"/>
      <c r="D780" s="859">
        <v>12215</v>
      </c>
      <c r="E780" s="859">
        <v>11993</v>
      </c>
      <c r="F780" s="859">
        <v>12095</v>
      </c>
      <c r="G780" s="859">
        <v>13733</v>
      </c>
      <c r="H780" s="859">
        <v>12288</v>
      </c>
      <c r="I780" s="859">
        <v>12149</v>
      </c>
      <c r="J780" s="859">
        <v>11679</v>
      </c>
      <c r="K780" s="859">
        <v>12292</v>
      </c>
      <c r="L780" s="859">
        <v>12149</v>
      </c>
      <c r="M780" s="859">
        <v>15521</v>
      </c>
      <c r="N780" s="859">
        <v>12955</v>
      </c>
      <c r="O780" s="859">
        <v>14426</v>
      </c>
      <c r="P780" s="859">
        <v>10884</v>
      </c>
      <c r="Q780" s="859">
        <v>10928</v>
      </c>
      <c r="R780" s="859">
        <v>10669</v>
      </c>
      <c r="S780" s="859">
        <v>11134</v>
      </c>
      <c r="T780" s="859">
        <v>10523</v>
      </c>
      <c r="U780" s="859">
        <v>10369</v>
      </c>
      <c r="V780" s="859">
        <v>10404</v>
      </c>
      <c r="W780" s="859">
        <v>10120</v>
      </c>
      <c r="X780" s="859">
        <v>10723</v>
      </c>
      <c r="Y780" s="859">
        <v>10760</v>
      </c>
      <c r="Z780" s="859">
        <v>10417</v>
      </c>
      <c r="AA780" s="859">
        <v>10332</v>
      </c>
      <c r="AB780" s="859">
        <v>10925</v>
      </c>
      <c r="AC780" s="621">
        <f t="shared" ref="AC780:AE780" si="1657">AC117+AC494+AC644</f>
        <v>10913.303917359419</v>
      </c>
      <c r="AD780" s="621">
        <f t="shared" si="1657"/>
        <v>10790.647419418166</v>
      </c>
      <c r="AE780" s="621">
        <f t="shared" si="1657"/>
        <v>10414.00486034228</v>
      </c>
      <c r="AF780" s="621">
        <f t="shared" ref="AF780:AI780" si="1658">AF117+AF494+AF644</f>
        <v>11148.808772994969</v>
      </c>
      <c r="AG780" s="621">
        <f t="shared" si="1658"/>
        <v>11062.063471053511</v>
      </c>
      <c r="AH780" s="621">
        <f t="shared" si="1658"/>
        <v>10984.492873533498</v>
      </c>
      <c r="AI780" s="621">
        <f t="shared" si="1658"/>
        <v>10609.928618046279</v>
      </c>
      <c r="AJ780" s="621"/>
      <c r="AK780" s="621"/>
      <c r="AL780" s="621"/>
      <c r="AM780" s="621"/>
      <c r="AN780" s="621"/>
      <c r="AO780" s="621"/>
      <c r="AP780" s="621"/>
      <c r="AQ780" s="621"/>
      <c r="AS780" s="345" t="s">
        <v>974</v>
      </c>
      <c r="AU780" s="233">
        <f>SUM(D780:G780)</f>
        <v>50036</v>
      </c>
      <c r="AV780" s="233">
        <f>SUM(H780:K780)</f>
        <v>48408</v>
      </c>
      <c r="AW780" s="233">
        <f>SUM(L780:O780)</f>
        <v>55051</v>
      </c>
      <c r="AX780" s="233">
        <f>SUM(P780:S780)</f>
        <v>43615</v>
      </c>
      <c r="AY780" s="233">
        <f>SUM(T780:W780)</f>
        <v>41416</v>
      </c>
      <c r="AZ780" s="233">
        <f>SUM(X780:AA780)</f>
        <v>42232</v>
      </c>
      <c r="BA780" s="233">
        <f>SUM(AB780:AE780)</f>
        <v>43042.956197119871</v>
      </c>
      <c r="BB780" s="233">
        <f>SUM(AF780:AI780)</f>
        <v>43805.293735628256</v>
      </c>
      <c r="BC780" s="621">
        <f>BC117+BC494+BC644</f>
        <v>44792.393688997246</v>
      </c>
      <c r="BD780" s="621">
        <f>BD117+BD494+BD644</f>
        <v>46210.09998873213</v>
      </c>
      <c r="BE780" s="621">
        <f>BE117+BE494+BE644</f>
        <v>48026.605231929374</v>
      </c>
    </row>
    <row r="781" spans="1:70" x14ac:dyDescent="0.2">
      <c r="B781" s="177"/>
      <c r="C781" s="70"/>
      <c r="D781" s="70"/>
      <c r="E781" s="70"/>
      <c r="F781" s="70"/>
      <c r="G781" s="70"/>
      <c r="H781" s="70"/>
      <c r="I781" s="70"/>
      <c r="J781" s="70"/>
      <c r="K781" s="70"/>
      <c r="L781" s="70"/>
      <c r="M781" s="70"/>
      <c r="N781" s="70"/>
      <c r="O781" s="70"/>
      <c r="P781" s="70"/>
      <c r="Q781" s="70"/>
      <c r="R781" s="70"/>
      <c r="S781" s="70"/>
      <c r="T781" s="70"/>
      <c r="U781" s="70"/>
      <c r="V781" s="70"/>
      <c r="W781" s="70"/>
      <c r="X781" s="70"/>
      <c r="Y781" s="70"/>
      <c r="Z781" s="70"/>
      <c r="AA781" s="70"/>
      <c r="AB781" s="70"/>
      <c r="AC781" s="70"/>
      <c r="AD781" s="70"/>
      <c r="AE781" s="70"/>
      <c r="AF781" s="70"/>
      <c r="AG781" s="70"/>
      <c r="AH781" s="70"/>
      <c r="AI781" s="70"/>
      <c r="AJ781" s="70"/>
      <c r="AK781" s="70"/>
      <c r="AL781" s="70"/>
      <c r="AM781" s="70"/>
      <c r="AN781" s="70"/>
      <c r="AO781" s="70"/>
      <c r="AP781" s="70"/>
      <c r="AQ781" s="70"/>
      <c r="AS781" s="177"/>
    </row>
    <row r="782" spans="1:70" x14ac:dyDescent="0.2">
      <c r="B782" s="35" t="s">
        <v>624</v>
      </c>
      <c r="D782" s="96">
        <f t="shared" ref="D782:AE782" si="1659">D769-D780</f>
        <v>7990</v>
      </c>
      <c r="E782" s="96">
        <f t="shared" si="1659"/>
        <v>6917</v>
      </c>
      <c r="F782" s="96">
        <f t="shared" si="1659"/>
        <v>7273</v>
      </c>
      <c r="G782" s="96">
        <f t="shared" si="1659"/>
        <v>4927</v>
      </c>
      <c r="H782" s="96">
        <f t="shared" si="1659"/>
        <v>8476</v>
      </c>
      <c r="I782" s="96">
        <f t="shared" si="1659"/>
        <v>8108</v>
      </c>
      <c r="J782" s="96">
        <f t="shared" si="1659"/>
        <v>6723</v>
      </c>
      <c r="K782" s="96">
        <f t="shared" si="1659"/>
        <v>5872</v>
      </c>
      <c r="L782" s="96">
        <f t="shared" si="1659"/>
        <v>8178</v>
      </c>
      <c r="M782" s="96">
        <f t="shared" si="1659"/>
        <v>4058</v>
      </c>
      <c r="N782" s="96">
        <f t="shared" si="1659"/>
        <v>7229</v>
      </c>
      <c r="O782" s="96">
        <f t="shared" si="1659"/>
        <v>3590</v>
      </c>
      <c r="P782" s="96">
        <f t="shared" si="1659"/>
        <v>9048</v>
      </c>
      <c r="Q782" s="96">
        <f t="shared" si="1659"/>
        <v>8357</v>
      </c>
      <c r="R782" s="96">
        <f t="shared" si="1659"/>
        <v>7943</v>
      </c>
      <c r="S782" s="96">
        <f t="shared" si="1659"/>
        <v>7631</v>
      </c>
      <c r="T782" s="96">
        <f t="shared" si="1659"/>
        <v>7151</v>
      </c>
      <c r="U782" s="96">
        <f t="shared" si="1659"/>
        <v>7294</v>
      </c>
      <c r="V782" s="96">
        <f t="shared" si="1659"/>
        <v>7470</v>
      </c>
      <c r="W782" s="96">
        <f t="shared" si="1659"/>
        <v>7005</v>
      </c>
      <c r="X782" s="96">
        <f t="shared" si="1659"/>
        <v>7766</v>
      </c>
      <c r="Y782" s="96">
        <f t="shared" ref="Y782:Z782" si="1660">Y769-Y780</f>
        <v>7517</v>
      </c>
      <c r="Z782" s="96">
        <f t="shared" si="1660"/>
        <v>8125</v>
      </c>
      <c r="AA782" s="96">
        <f t="shared" ref="AA782" si="1661">AA769-AA780</f>
        <v>7300</v>
      </c>
      <c r="AB782" s="96">
        <f t="shared" ref="AB782" si="1662">AB769-AB780</f>
        <v>8011</v>
      </c>
      <c r="AC782" s="96">
        <f t="shared" si="1659"/>
        <v>8237.9083831016869</v>
      </c>
      <c r="AD782" s="96">
        <f t="shared" si="1659"/>
        <v>8426.762656502784</v>
      </c>
      <c r="AE782" s="96">
        <f t="shared" si="1659"/>
        <v>8299.4362942836342</v>
      </c>
      <c r="AF782" s="96">
        <f t="shared" ref="AF782:AI782" si="1663">AF769-AF780</f>
        <v>8990.5902430232345</v>
      </c>
      <c r="AG782" s="96">
        <f t="shared" si="1663"/>
        <v>9251.6912141895136</v>
      </c>
      <c r="AH782" s="96">
        <f t="shared" si="1663"/>
        <v>9312.873097398231</v>
      </c>
      <c r="AI782" s="96">
        <f t="shared" si="1663"/>
        <v>9111.7205685971512</v>
      </c>
      <c r="AJ782" s="96"/>
      <c r="AK782" s="96"/>
      <c r="AL782" s="96"/>
      <c r="AM782" s="96"/>
      <c r="AN782" s="96"/>
      <c r="AO782" s="96"/>
      <c r="AP782" s="96"/>
      <c r="AQ782" s="96"/>
      <c r="AS782" s="35" t="s">
        <v>624</v>
      </c>
      <c r="AT782" s="1217"/>
      <c r="AU782" s="96">
        <f t="shared" ref="AU782:BD782" si="1664">AU769-AU780</f>
        <v>27107</v>
      </c>
      <c r="AV782" s="96">
        <f t="shared" si="1664"/>
        <v>29179</v>
      </c>
      <c r="AW782" s="96">
        <f t="shared" si="1664"/>
        <v>23055</v>
      </c>
      <c r="AX782" s="96">
        <f t="shared" si="1664"/>
        <v>32979</v>
      </c>
      <c r="AY782" s="96">
        <f t="shared" si="1664"/>
        <v>28920</v>
      </c>
      <c r="AZ782" s="96">
        <f t="shared" si="1664"/>
        <v>30708</v>
      </c>
      <c r="BA782" s="96">
        <f t="shared" si="1664"/>
        <v>32975.107333888096</v>
      </c>
      <c r="BB782" s="96">
        <f t="shared" ref="BB782" si="1665">BB769-BB780</f>
        <v>36666.875123208119</v>
      </c>
      <c r="BC782" s="96">
        <f t="shared" si="1664"/>
        <v>39999.449563772439</v>
      </c>
      <c r="BD782" s="96">
        <f t="shared" si="1664"/>
        <v>42936.122726017878</v>
      </c>
      <c r="BE782" s="96">
        <f t="shared" ref="BE782" si="1666">BE769-BE780</f>
        <v>45445.660061476745</v>
      </c>
    </row>
    <row r="783" spans="1:70" x14ac:dyDescent="0.2">
      <c r="Y783" s="1215"/>
      <c r="Z783" s="1688"/>
      <c r="AA783" s="1742"/>
      <c r="AB783" s="1785"/>
      <c r="AC783" s="71"/>
      <c r="AD783" s="71"/>
      <c r="AE783" s="71"/>
      <c r="AF783" s="71"/>
      <c r="AG783" s="71"/>
      <c r="AH783" s="71"/>
      <c r="AI783" s="71"/>
      <c r="AJ783" s="71"/>
      <c r="AK783" s="71"/>
      <c r="AL783" s="71"/>
      <c r="AM783" s="71"/>
      <c r="AN783" s="71"/>
      <c r="AO783" s="71"/>
      <c r="AP783" s="71"/>
      <c r="AQ783" s="71"/>
      <c r="AS783" s="10"/>
      <c r="AT783" s="1217"/>
      <c r="BC783" s="71"/>
      <c r="BD783" s="71"/>
      <c r="BE783" s="71"/>
    </row>
    <row r="784" spans="1:70" s="342" customFormat="1" x14ac:dyDescent="0.2">
      <c r="A784" s="411"/>
      <c r="B784" s="315" t="s">
        <v>252</v>
      </c>
      <c r="C784" s="315"/>
      <c r="D784" s="228">
        <f t="shared" ref="D784:AE784" si="1667">D1239</f>
        <v>2900</v>
      </c>
      <c r="E784" s="228">
        <f t="shared" si="1667"/>
        <v>2696</v>
      </c>
      <c r="F784" s="228">
        <f t="shared" si="1667"/>
        <v>2620</v>
      </c>
      <c r="G784" s="228">
        <f t="shared" si="1667"/>
        <v>3113</v>
      </c>
      <c r="H784" s="228">
        <f t="shared" si="1667"/>
        <v>2459</v>
      </c>
      <c r="I784" s="228">
        <f t="shared" si="1667"/>
        <v>2024</v>
      </c>
      <c r="J784" s="228">
        <f t="shared" si="1667"/>
        <v>1959</v>
      </c>
      <c r="K784" s="228">
        <f t="shared" si="1667"/>
        <v>2072</v>
      </c>
      <c r="L784" s="228">
        <f t="shared" si="1667"/>
        <v>1974</v>
      </c>
      <c r="M784" s="228">
        <f t="shared" si="1667"/>
        <v>1730</v>
      </c>
      <c r="N784" s="228">
        <f t="shared" si="1667"/>
        <v>1750</v>
      </c>
      <c r="O784" s="228">
        <f t="shared" si="1667"/>
        <v>2013</v>
      </c>
      <c r="P784" s="228">
        <f t="shared" si="1667"/>
        <v>1915</v>
      </c>
      <c r="Q784" s="228">
        <f t="shared" si="1667"/>
        <v>1648</v>
      </c>
      <c r="R784" s="228">
        <f t="shared" si="1667"/>
        <v>1836</v>
      </c>
      <c r="S784" s="228">
        <f t="shared" si="1667"/>
        <v>2514</v>
      </c>
      <c r="T784" s="228">
        <f t="shared" si="1667"/>
        <v>2045</v>
      </c>
      <c r="U784" s="228">
        <f t="shared" si="1667"/>
        <v>1409</v>
      </c>
      <c r="V784" s="228">
        <f t="shared" si="1667"/>
        <v>1736</v>
      </c>
      <c r="W784" s="228">
        <f t="shared" si="1667"/>
        <v>1792</v>
      </c>
      <c r="X784" s="228">
        <f t="shared" si="1667"/>
        <v>1662</v>
      </c>
      <c r="Y784" s="228">
        <f t="shared" ref="Y784:Z784" si="1668">Y1239</f>
        <v>1717</v>
      </c>
      <c r="Z784" s="228">
        <f t="shared" si="1668"/>
        <v>1999</v>
      </c>
      <c r="AA784" s="228">
        <f t="shared" ref="AA784" si="1669">AA1239</f>
        <v>2073</v>
      </c>
      <c r="AB784" s="228">
        <f t="shared" ref="AB784" si="1670">AB1239</f>
        <v>1857</v>
      </c>
      <c r="AC784" s="228">
        <f t="shared" si="1667"/>
        <v>2201.3508752602743</v>
      </c>
      <c r="AD784" s="228">
        <f t="shared" si="1667"/>
        <v>2318.1821994053621</v>
      </c>
      <c r="AE784" s="228">
        <f t="shared" si="1667"/>
        <v>2430.6596766483344</v>
      </c>
      <c r="AF784" s="228">
        <f t="shared" ref="AF784:AI784" si="1671">AF1239</f>
        <v>2399.0773951623601</v>
      </c>
      <c r="AG784" s="228">
        <f t="shared" si="1671"/>
        <v>2485.4811397022422</v>
      </c>
      <c r="AH784" s="228">
        <f t="shared" si="1671"/>
        <v>2652.3018689032192</v>
      </c>
      <c r="AI784" s="228">
        <f t="shared" si="1671"/>
        <v>2786.541411676526</v>
      </c>
      <c r="AJ784" s="228"/>
      <c r="AK784" s="228"/>
      <c r="AL784" s="228"/>
      <c r="AM784" s="228"/>
      <c r="AN784" s="228"/>
      <c r="AO784" s="228"/>
      <c r="AP784" s="228"/>
      <c r="AQ784" s="228"/>
      <c r="AR784" s="70"/>
      <c r="AS784" s="315" t="s">
        <v>252</v>
      </c>
      <c r="AT784" s="315"/>
      <c r="AU784" s="232">
        <f>SUM(D784:G784)</f>
        <v>11329</v>
      </c>
      <c r="AV784" s="232">
        <f>SUM(H784:K784)</f>
        <v>8514</v>
      </c>
      <c r="AW784" s="232">
        <f>SUM(L784:O784)</f>
        <v>7467</v>
      </c>
      <c r="AX784" s="232">
        <f>SUM(P784:S784)</f>
        <v>7913</v>
      </c>
      <c r="AY784" s="232">
        <f>SUM(T784:W784)</f>
        <v>6982</v>
      </c>
      <c r="AZ784" s="232">
        <f>SUM(X784:AA784)</f>
        <v>7451</v>
      </c>
      <c r="BA784" s="232">
        <f>SUM(AB784:AE784)</f>
        <v>8807.1927513139708</v>
      </c>
      <c r="BB784" s="232">
        <f>SUM(AF784:AI784)</f>
        <v>10323.401815444347</v>
      </c>
      <c r="BC784" s="228">
        <f t="shared" ref="BC784:BD785" si="1672">BC1239</f>
        <v>11647.660186926505</v>
      </c>
      <c r="BD784" s="228">
        <f t="shared" si="1672"/>
        <v>13020.253237788598</v>
      </c>
      <c r="BE784" s="228">
        <f t="shared" ref="BE784" si="1673">BE1239</f>
        <v>14783.777943021503</v>
      </c>
      <c r="BM784"/>
      <c r="BN784"/>
      <c r="BO784"/>
      <c r="BP784"/>
      <c r="BQ784"/>
      <c r="BR784"/>
    </row>
    <row r="785" spans="1:70" s="342" customFormat="1" x14ac:dyDescent="0.2">
      <c r="A785" s="411"/>
      <c r="B785" s="623"/>
      <c r="C785" s="315" t="s">
        <v>224</v>
      </c>
      <c r="D785" s="228">
        <f t="shared" ref="D785:AE785" si="1674">D1240</f>
        <v>3858</v>
      </c>
      <c r="E785" s="228">
        <f t="shared" si="1674"/>
        <v>3491</v>
      </c>
      <c r="F785" s="228">
        <f t="shared" si="1674"/>
        <v>3897</v>
      </c>
      <c r="G785" s="228">
        <f t="shared" si="1674"/>
        <v>2985</v>
      </c>
      <c r="H785" s="228">
        <f t="shared" si="1674"/>
        <v>2878</v>
      </c>
      <c r="I785" s="228">
        <f t="shared" si="1674"/>
        <v>2608</v>
      </c>
      <c r="J785" s="228">
        <f t="shared" si="1674"/>
        <v>2430</v>
      </c>
      <c r="K785" s="228">
        <f t="shared" si="1674"/>
        <v>2547</v>
      </c>
      <c r="L785" s="228">
        <f t="shared" si="1674"/>
        <v>2439</v>
      </c>
      <c r="M785" s="228">
        <f t="shared" si="1674"/>
        <v>2189</v>
      </c>
      <c r="N785" s="228">
        <f t="shared" si="1674"/>
        <v>2097</v>
      </c>
      <c r="O785" s="228">
        <f t="shared" si="1674"/>
        <v>2248</v>
      </c>
      <c r="P785" s="228">
        <f t="shared" si="1674"/>
        <v>1957</v>
      </c>
      <c r="Q785" s="228">
        <f t="shared" si="1674"/>
        <v>1920</v>
      </c>
      <c r="R785" s="228">
        <f t="shared" si="1674"/>
        <v>1663</v>
      </c>
      <c r="S785" s="228">
        <f t="shared" si="1674"/>
        <v>1762</v>
      </c>
      <c r="T785" s="228">
        <f t="shared" si="1674"/>
        <v>1724</v>
      </c>
      <c r="U785" s="228">
        <f t="shared" si="1674"/>
        <v>1616</v>
      </c>
      <c r="V785" s="228">
        <f t="shared" si="1674"/>
        <v>1525</v>
      </c>
      <c r="W785" s="228">
        <f t="shared" si="1674"/>
        <v>1696</v>
      </c>
      <c r="X785" s="228">
        <f t="shared" si="1674"/>
        <v>1709</v>
      </c>
      <c r="Y785" s="228">
        <f t="shared" ref="Y785:Z785" si="1675">Y1240</f>
        <v>1710</v>
      </c>
      <c r="Z785" s="228">
        <f t="shared" si="1675"/>
        <v>1777</v>
      </c>
      <c r="AA785" s="228">
        <f t="shared" ref="AA785" si="1676">AA1240</f>
        <v>1880</v>
      </c>
      <c r="AB785" s="228">
        <f t="shared" ref="AB785" si="1677">AB1240</f>
        <v>1867</v>
      </c>
      <c r="AC785" s="228">
        <f t="shared" si="1674"/>
        <v>2024.6163920547947</v>
      </c>
      <c r="AD785" s="228">
        <f t="shared" si="1674"/>
        <v>2132.6110641393698</v>
      </c>
      <c r="AE785" s="228">
        <f t="shared" si="1674"/>
        <v>2228.6826236058632</v>
      </c>
      <c r="AF785" s="228">
        <f t="shared" ref="AF785:AI785" si="1678">AF1240</f>
        <v>2215.6769575195153</v>
      </c>
      <c r="AG785" s="228">
        <f t="shared" si="1678"/>
        <v>2287.638527487954</v>
      </c>
      <c r="AH785" s="228">
        <f t="shared" si="1678"/>
        <v>2441.7495520412344</v>
      </c>
      <c r="AI785" s="228">
        <f t="shared" si="1678"/>
        <v>2566.0482502190785</v>
      </c>
      <c r="AJ785" s="228"/>
      <c r="AK785" s="228"/>
      <c r="AL785" s="228"/>
      <c r="AM785" s="228"/>
      <c r="AN785" s="228"/>
      <c r="AO785" s="228"/>
      <c r="AP785" s="228"/>
      <c r="AQ785" s="228"/>
      <c r="AR785" s="70"/>
      <c r="AS785" s="623"/>
      <c r="AT785" s="315" t="s">
        <v>224</v>
      </c>
      <c r="AU785" s="232">
        <f>SUM(D785:G785)</f>
        <v>14231</v>
      </c>
      <c r="AV785" s="232">
        <f>SUM(H785:K785)</f>
        <v>10463</v>
      </c>
      <c r="AW785" s="232">
        <f>SUM(L785:O785)</f>
        <v>8973</v>
      </c>
      <c r="AX785" s="232">
        <f>SUM(P785:S785)</f>
        <v>7302</v>
      </c>
      <c r="AY785" s="232">
        <f>SUM(T785:W785)</f>
        <v>6561</v>
      </c>
      <c r="AZ785" s="232">
        <f>SUM(X785:AA785)</f>
        <v>7076</v>
      </c>
      <c r="BA785" s="232">
        <f>SUM(AB785:AE785)</f>
        <v>8252.9100798000291</v>
      </c>
      <c r="BB785" s="232">
        <f>SUM(AF785:AI785)</f>
        <v>9511.1132872677827</v>
      </c>
      <c r="BC785" s="228">
        <f t="shared" si="1672"/>
        <v>10728.319938638546</v>
      </c>
      <c r="BD785" s="228">
        <f t="shared" si="1672"/>
        <v>12002.232023654329</v>
      </c>
      <c r="BE785" s="228">
        <f t="shared" ref="BE785" si="1679">BE1240</f>
        <v>13654.393473691665</v>
      </c>
      <c r="BM785"/>
      <c r="BN785"/>
      <c r="BO785"/>
      <c r="BP785"/>
      <c r="BQ785"/>
      <c r="BR785"/>
    </row>
    <row r="786" spans="1:70" s="342" customFormat="1" x14ac:dyDescent="0.2">
      <c r="A786" s="411"/>
      <c r="B786" s="623"/>
      <c r="C786" s="315" t="s">
        <v>411</v>
      </c>
      <c r="D786" s="111">
        <f t="shared" ref="D786:AE786" si="1680">D784-D785</f>
        <v>-958</v>
      </c>
      <c r="E786" s="111">
        <f t="shared" si="1680"/>
        <v>-795</v>
      </c>
      <c r="F786" s="111">
        <f t="shared" si="1680"/>
        <v>-1277</v>
      </c>
      <c r="G786" s="111">
        <f t="shared" si="1680"/>
        <v>128</v>
      </c>
      <c r="H786" s="111">
        <f t="shared" si="1680"/>
        <v>-419</v>
      </c>
      <c r="I786" s="111">
        <f t="shared" si="1680"/>
        <v>-584</v>
      </c>
      <c r="J786" s="111">
        <f t="shared" si="1680"/>
        <v>-471</v>
      </c>
      <c r="K786" s="111">
        <f t="shared" si="1680"/>
        <v>-475</v>
      </c>
      <c r="L786" s="111">
        <f t="shared" si="1680"/>
        <v>-465</v>
      </c>
      <c r="M786" s="111">
        <f t="shared" si="1680"/>
        <v>-459</v>
      </c>
      <c r="N786" s="111">
        <f t="shared" si="1680"/>
        <v>-347</v>
      </c>
      <c r="O786" s="111">
        <f t="shared" si="1680"/>
        <v>-235</v>
      </c>
      <c r="P786" s="111">
        <f t="shared" si="1680"/>
        <v>-42</v>
      </c>
      <c r="Q786" s="111">
        <f t="shared" si="1680"/>
        <v>-272</v>
      </c>
      <c r="R786" s="111">
        <f t="shared" si="1680"/>
        <v>173</v>
      </c>
      <c r="S786" s="111">
        <f t="shared" si="1680"/>
        <v>752</v>
      </c>
      <c r="T786" s="111">
        <f t="shared" si="1680"/>
        <v>321</v>
      </c>
      <c r="U786" s="111">
        <f t="shared" si="1680"/>
        <v>-207</v>
      </c>
      <c r="V786" s="111">
        <f t="shared" si="1680"/>
        <v>211</v>
      </c>
      <c r="W786" s="111">
        <f t="shared" si="1680"/>
        <v>96</v>
      </c>
      <c r="X786" s="111">
        <f t="shared" si="1680"/>
        <v>-47</v>
      </c>
      <c r="Y786" s="111">
        <f t="shared" ref="Y786:Z786" si="1681">Y784-Y785</f>
        <v>7</v>
      </c>
      <c r="Z786" s="111">
        <f t="shared" si="1681"/>
        <v>222</v>
      </c>
      <c r="AA786" s="111">
        <f t="shared" ref="AA786" si="1682">AA784-AA785</f>
        <v>193</v>
      </c>
      <c r="AB786" s="111">
        <f t="shared" ref="AB786" si="1683">AB784-AB785</f>
        <v>-10</v>
      </c>
      <c r="AC786" s="111">
        <f t="shared" si="1680"/>
        <v>176.73448320547959</v>
      </c>
      <c r="AD786" s="111">
        <f t="shared" si="1680"/>
        <v>185.57113526599233</v>
      </c>
      <c r="AE786" s="111">
        <f t="shared" si="1680"/>
        <v>201.9770530424712</v>
      </c>
      <c r="AF786" s="111">
        <f t="shared" ref="AF786:AI786" si="1684">AF784-AF785</f>
        <v>183.40043764284474</v>
      </c>
      <c r="AG786" s="111">
        <f t="shared" si="1684"/>
        <v>197.84261221428824</v>
      </c>
      <c r="AH786" s="111">
        <f t="shared" si="1684"/>
        <v>210.55231686198476</v>
      </c>
      <c r="AI786" s="111">
        <f t="shared" si="1684"/>
        <v>220.49316145744751</v>
      </c>
      <c r="AJ786" s="111"/>
      <c r="AK786" s="111"/>
      <c r="AL786" s="111"/>
      <c r="AM786" s="111"/>
      <c r="AN786" s="111"/>
      <c r="AO786" s="111"/>
      <c r="AP786" s="111"/>
      <c r="AQ786" s="111"/>
      <c r="AR786" s="70"/>
      <c r="AS786" s="623"/>
      <c r="AT786" s="315" t="s">
        <v>411</v>
      </c>
      <c r="AU786" s="232">
        <f>SUM(D786:G786)</f>
        <v>-2902</v>
      </c>
      <c r="AV786" s="232">
        <f>SUM(H786:K786)</f>
        <v>-1949</v>
      </c>
      <c r="AW786" s="232">
        <f>SUM(L786:O786)</f>
        <v>-1506</v>
      </c>
      <c r="AX786" s="232">
        <f>SUM(P786:S786)</f>
        <v>611</v>
      </c>
      <c r="AY786" s="232">
        <f>SUM(T786:W786)</f>
        <v>421</v>
      </c>
      <c r="AZ786" s="232">
        <f>SUM(X786:AA786)</f>
        <v>375</v>
      </c>
      <c r="BA786" s="232">
        <f>SUM(AB786:AE786)</f>
        <v>554.28267151394311</v>
      </c>
      <c r="BB786" s="232">
        <f>SUM(AF786:AI786)</f>
        <v>812.28852817656525</v>
      </c>
      <c r="BC786" s="111">
        <f>BC784-BC785</f>
        <v>919.34024828795918</v>
      </c>
      <c r="BD786" s="111">
        <f>BD784-BD785</f>
        <v>1018.021214134269</v>
      </c>
      <c r="BE786" s="111">
        <f>BE784-BE785</f>
        <v>1129.3844693298379</v>
      </c>
      <c r="BM786"/>
      <c r="BN786"/>
      <c r="BO786"/>
      <c r="BP786"/>
      <c r="BQ786"/>
      <c r="BR786"/>
    </row>
    <row r="787" spans="1:70" s="342" customFormat="1" x14ac:dyDescent="0.2">
      <c r="A787" s="411"/>
      <c r="B787" s="623"/>
      <c r="C787" s="315"/>
      <c r="D787" s="111"/>
      <c r="E787" s="111"/>
      <c r="F787" s="111"/>
      <c r="G787" s="111"/>
      <c r="H787" s="111"/>
      <c r="I787" s="111"/>
      <c r="J787" s="111"/>
      <c r="K787" s="111"/>
      <c r="L787" s="111"/>
      <c r="M787" s="111"/>
      <c r="N787" s="111"/>
      <c r="O787" s="111"/>
      <c r="P787" s="111"/>
      <c r="Q787" s="111"/>
      <c r="R787" s="111"/>
      <c r="S787" s="111"/>
      <c r="T787" s="111"/>
      <c r="U787" s="111"/>
      <c r="V787" s="111"/>
      <c r="W787" s="111"/>
      <c r="X787" s="111"/>
      <c r="Y787" s="111"/>
      <c r="Z787" s="111"/>
      <c r="AA787" s="111"/>
      <c r="AB787" s="111"/>
      <c r="AC787" s="624"/>
      <c r="AD787" s="615"/>
      <c r="AE787" s="615"/>
      <c r="AF787" s="615"/>
      <c r="AG787" s="615"/>
      <c r="AH787" s="615"/>
      <c r="AI787" s="625"/>
      <c r="AJ787" s="625"/>
      <c r="AK787" s="625"/>
      <c r="AL787" s="625"/>
      <c r="AM787" s="625"/>
      <c r="AN787" s="625"/>
      <c r="AO787" s="625"/>
      <c r="AP787" s="625"/>
      <c r="AQ787" s="625"/>
      <c r="AR787" s="70"/>
      <c r="AS787" s="623"/>
      <c r="AT787" s="315"/>
      <c r="AU787" s="626"/>
      <c r="AV787" s="624"/>
      <c r="AW787" s="615"/>
      <c r="AX787" s="626"/>
      <c r="AY787" s="615"/>
      <c r="AZ787" s="622"/>
      <c r="BC787" s="625"/>
      <c r="BD787" s="625"/>
      <c r="BE787" s="625"/>
      <c r="BM787"/>
      <c r="BN787"/>
      <c r="BO787"/>
      <c r="BP787"/>
      <c r="BQ787"/>
      <c r="BR787"/>
    </row>
    <row r="788" spans="1:70" s="342" customFormat="1" x14ac:dyDescent="0.2">
      <c r="A788" s="411"/>
      <c r="B788" s="623"/>
      <c r="C788" s="315"/>
      <c r="D788" s="111"/>
      <c r="E788" s="111"/>
      <c r="F788" s="111"/>
      <c r="G788" s="111"/>
      <c r="H788" s="111"/>
      <c r="I788" s="111"/>
      <c r="J788" s="111"/>
      <c r="K788" s="111"/>
      <c r="L788" s="111"/>
      <c r="M788" s="111"/>
      <c r="N788" s="111"/>
      <c r="O788" s="111"/>
      <c r="P788" s="111"/>
      <c r="Q788" s="111"/>
      <c r="R788" s="111"/>
      <c r="S788" s="111"/>
      <c r="T788" s="111"/>
      <c r="U788" s="111"/>
      <c r="V788" s="111"/>
      <c r="W788" s="111"/>
      <c r="X788" s="111"/>
      <c r="Y788" s="111"/>
      <c r="Z788" s="111"/>
      <c r="AA788" s="111"/>
      <c r="AB788" s="111"/>
      <c r="AC788" s="624"/>
      <c r="AD788" s="615"/>
      <c r="AE788" s="615"/>
      <c r="AF788" s="615"/>
      <c r="AG788" s="615"/>
      <c r="AH788" s="615"/>
      <c r="AI788" s="625"/>
      <c r="AJ788" s="625"/>
      <c r="AK788" s="625"/>
      <c r="AL788" s="625"/>
      <c r="AM788" s="625"/>
      <c r="AN788" s="625"/>
      <c r="AO788" s="625"/>
      <c r="AP788" s="625"/>
      <c r="AQ788" s="625"/>
      <c r="AR788" s="70"/>
      <c r="AS788" s="623"/>
      <c r="AT788" s="315"/>
      <c r="AU788" s="626"/>
      <c r="AV788" s="624"/>
      <c r="AW788" s="615"/>
      <c r="AX788" s="626"/>
      <c r="AY788" s="615"/>
      <c r="AZ788" s="622"/>
      <c r="BC788" s="625"/>
      <c r="BD788" s="625"/>
      <c r="BE788" s="625"/>
      <c r="BM788"/>
      <c r="BN788"/>
      <c r="BO788"/>
      <c r="BP788"/>
      <c r="BQ788"/>
      <c r="BR788"/>
    </row>
    <row r="789" spans="1:70" s="342" customFormat="1" x14ac:dyDescent="0.2">
      <c r="A789" s="411"/>
      <c r="B789" s="581" t="s">
        <v>406</v>
      </c>
      <c r="C789" s="582"/>
      <c r="D789" s="111">
        <f t="shared" ref="D789:AE789" si="1685">D782-D784</f>
        <v>5090</v>
      </c>
      <c r="E789" s="111">
        <f t="shared" si="1685"/>
        <v>4221</v>
      </c>
      <c r="F789" s="111">
        <f t="shared" si="1685"/>
        <v>4653</v>
      </c>
      <c r="G789" s="111">
        <f t="shared" si="1685"/>
        <v>1814</v>
      </c>
      <c r="H789" s="111">
        <f t="shared" si="1685"/>
        <v>6017</v>
      </c>
      <c r="I789" s="111">
        <f t="shared" si="1685"/>
        <v>6084</v>
      </c>
      <c r="J789" s="111">
        <f t="shared" si="1685"/>
        <v>4764</v>
      </c>
      <c r="K789" s="111">
        <f t="shared" si="1685"/>
        <v>3800</v>
      </c>
      <c r="L789" s="111">
        <f t="shared" si="1685"/>
        <v>6204</v>
      </c>
      <c r="M789" s="111">
        <f t="shared" si="1685"/>
        <v>2328</v>
      </c>
      <c r="N789" s="111">
        <f t="shared" si="1685"/>
        <v>5479</v>
      </c>
      <c r="O789" s="111">
        <f t="shared" si="1685"/>
        <v>1577</v>
      </c>
      <c r="P789" s="111">
        <f t="shared" si="1685"/>
        <v>7133</v>
      </c>
      <c r="Q789" s="111">
        <f t="shared" si="1685"/>
        <v>6709</v>
      </c>
      <c r="R789" s="111">
        <f t="shared" si="1685"/>
        <v>6107</v>
      </c>
      <c r="S789" s="111">
        <f t="shared" si="1685"/>
        <v>5117</v>
      </c>
      <c r="T789" s="111">
        <f t="shared" si="1685"/>
        <v>5106</v>
      </c>
      <c r="U789" s="111">
        <f t="shared" si="1685"/>
        <v>5885</v>
      </c>
      <c r="V789" s="111">
        <f t="shared" si="1685"/>
        <v>5734</v>
      </c>
      <c r="W789" s="111">
        <f t="shared" si="1685"/>
        <v>5213</v>
      </c>
      <c r="X789" s="111">
        <f t="shared" si="1685"/>
        <v>6104</v>
      </c>
      <c r="Y789" s="111">
        <f t="shared" ref="Y789:Z789" si="1686">Y782-Y784</f>
        <v>5800</v>
      </c>
      <c r="Z789" s="111">
        <f t="shared" si="1686"/>
        <v>6126</v>
      </c>
      <c r="AA789" s="111">
        <f t="shared" ref="AA789" si="1687">AA782-AA784</f>
        <v>5227</v>
      </c>
      <c r="AB789" s="111">
        <f t="shared" ref="AB789" si="1688">AB782-AB784</f>
        <v>6154</v>
      </c>
      <c r="AC789" s="111">
        <f t="shared" si="1685"/>
        <v>6036.5575078414131</v>
      </c>
      <c r="AD789" s="111">
        <f t="shared" si="1685"/>
        <v>6108.5804570974215</v>
      </c>
      <c r="AE789" s="111">
        <f t="shared" si="1685"/>
        <v>5868.7766176352998</v>
      </c>
      <c r="AF789" s="111">
        <f t="shared" ref="AF789:AI789" si="1689">AF782-AF784</f>
        <v>6591.5128478608749</v>
      </c>
      <c r="AG789" s="111">
        <f t="shared" si="1689"/>
        <v>6766.2100744872714</v>
      </c>
      <c r="AH789" s="111">
        <f t="shared" si="1689"/>
        <v>6660.5712284950114</v>
      </c>
      <c r="AI789" s="111">
        <f t="shared" si="1689"/>
        <v>6325.1791569206252</v>
      </c>
      <c r="AJ789" s="111"/>
      <c r="AK789" s="111"/>
      <c r="AL789" s="111"/>
      <c r="AM789" s="111"/>
      <c r="AN789" s="111"/>
      <c r="AO789" s="111"/>
      <c r="AP789" s="111"/>
      <c r="AQ789" s="111"/>
      <c r="AR789" s="70"/>
      <c r="AS789" s="581" t="s">
        <v>406</v>
      </c>
      <c r="AT789" s="582"/>
      <c r="AU789" s="111">
        <f t="shared" ref="AU789:BD789" si="1690">AU782-AU784</f>
        <v>15778</v>
      </c>
      <c r="AV789" s="111">
        <f t="shared" si="1690"/>
        <v>20665</v>
      </c>
      <c r="AW789" s="111">
        <f t="shared" si="1690"/>
        <v>15588</v>
      </c>
      <c r="AX789" s="111">
        <f t="shared" si="1690"/>
        <v>25066</v>
      </c>
      <c r="AY789" s="111">
        <f t="shared" si="1690"/>
        <v>21938</v>
      </c>
      <c r="AZ789" s="111">
        <f t="shared" si="1690"/>
        <v>23257</v>
      </c>
      <c r="BA789" s="111">
        <f t="shared" si="1690"/>
        <v>24167.914582574125</v>
      </c>
      <c r="BB789" s="111">
        <f t="shared" ref="BB789" si="1691">BB782-BB784</f>
        <v>26343.473307763772</v>
      </c>
      <c r="BC789" s="111">
        <f t="shared" si="1690"/>
        <v>28351.789376845933</v>
      </c>
      <c r="BD789" s="111">
        <f t="shared" si="1690"/>
        <v>29915.86948822928</v>
      </c>
      <c r="BE789" s="111">
        <f t="shared" ref="BE789" si="1692">BE782-BE784</f>
        <v>30661.882118455243</v>
      </c>
      <c r="BM789"/>
      <c r="BN789"/>
      <c r="BO789"/>
      <c r="BP789"/>
      <c r="BQ789"/>
      <c r="BR789"/>
    </row>
    <row r="790" spans="1:70" s="342" customFormat="1" x14ac:dyDescent="0.2">
      <c r="A790" s="411"/>
      <c r="B790" s="581"/>
      <c r="C790" s="581" t="s">
        <v>407</v>
      </c>
      <c r="D790" s="111">
        <f t="shared" ref="D790:X790" si="1693">D789-D793</f>
        <v>1582</v>
      </c>
      <c r="E790" s="111">
        <f t="shared" si="1693"/>
        <v>1139</v>
      </c>
      <c r="F790" s="111">
        <f t="shared" si="1693"/>
        <v>1342</v>
      </c>
      <c r="G790" s="111">
        <f t="shared" si="1693"/>
        <v>220</v>
      </c>
      <c r="H790" s="111">
        <f t="shared" si="1693"/>
        <v>1923</v>
      </c>
      <c r="I790" s="111">
        <f t="shared" si="1693"/>
        <v>2183</v>
      </c>
      <c r="J790" s="111">
        <f t="shared" si="1693"/>
        <v>1531</v>
      </c>
      <c r="K790" s="111">
        <f t="shared" si="1693"/>
        <v>1375</v>
      </c>
      <c r="L790" s="111">
        <f t="shared" si="1693"/>
        <v>2046</v>
      </c>
      <c r="M790" s="111">
        <f t="shared" si="1693"/>
        <v>2055</v>
      </c>
      <c r="N790" s="111">
        <f t="shared" si="1693"/>
        <v>2335</v>
      </c>
      <c r="O790" s="111">
        <f t="shared" si="1693"/>
        <v>1198</v>
      </c>
      <c r="P790" s="111">
        <f t="shared" si="1693"/>
        <v>2269</v>
      </c>
      <c r="Q790" s="111">
        <f t="shared" si="1693"/>
        <v>2047</v>
      </c>
      <c r="R790" s="111">
        <f t="shared" si="1693"/>
        <v>1928</v>
      </c>
      <c r="S790" s="111">
        <f t="shared" si="1693"/>
        <v>1598</v>
      </c>
      <c r="T790" s="111">
        <f t="shared" si="1693"/>
        <v>1598</v>
      </c>
      <c r="U790" s="111">
        <f t="shared" si="1693"/>
        <v>1838</v>
      </c>
      <c r="V790" s="111">
        <f t="shared" si="1693"/>
        <v>1847</v>
      </c>
      <c r="W790" s="111">
        <f t="shared" si="1693"/>
        <v>1622</v>
      </c>
      <c r="X790" s="111">
        <f t="shared" si="1693"/>
        <v>1986</v>
      </c>
      <c r="Y790" s="111">
        <f t="shared" ref="Y790:Z790" si="1694">Y789-Y793</f>
        <v>1917</v>
      </c>
      <c r="Z790" s="111">
        <f t="shared" si="1694"/>
        <v>1989</v>
      </c>
      <c r="AA790" s="111">
        <f t="shared" ref="AA790" si="1695">AA789-AA793</f>
        <v>1398</v>
      </c>
      <c r="AB790" s="111">
        <f t="shared" ref="AB790" si="1696">AB789-AB793</f>
        <v>1505</v>
      </c>
      <c r="AC790" s="348">
        <f>AC789*Drivers!AC305</f>
        <v>1569.5049520387674</v>
      </c>
      <c r="AD790" s="348">
        <f>AD789*Drivers!AD305</f>
        <v>1557.6880165598425</v>
      </c>
      <c r="AE790" s="348">
        <f>AE789*Drivers!AE305</f>
        <v>1496.5380374970014</v>
      </c>
      <c r="AF790" s="348">
        <f>AF789*Drivers!AF305</f>
        <v>1647.8782119652187</v>
      </c>
      <c r="AG790" s="348">
        <f>AG789*Drivers!AG305</f>
        <v>1691.5525186218179</v>
      </c>
      <c r="AH790" s="348">
        <f>AH789*Drivers!AH305</f>
        <v>1665.1428071237528</v>
      </c>
      <c r="AI790" s="348">
        <f>AI789*Drivers!AI305</f>
        <v>1581.2947892301563</v>
      </c>
      <c r="AJ790" s="348"/>
      <c r="AK790" s="348"/>
      <c r="AL790" s="348"/>
      <c r="AM790" s="348"/>
      <c r="AN790" s="348"/>
      <c r="AO790" s="348"/>
      <c r="AP790" s="348"/>
      <c r="AQ790" s="348"/>
      <c r="AR790" s="70"/>
      <c r="AS790" s="581"/>
      <c r="AT790" s="581" t="s">
        <v>407</v>
      </c>
      <c r="AU790" s="111">
        <f t="shared" ref="AU790:BA790" si="1697">AU789-AU793</f>
        <v>4283</v>
      </c>
      <c r="AV790" s="111">
        <f t="shared" si="1697"/>
        <v>7012</v>
      </c>
      <c r="AW790" s="111">
        <f t="shared" si="1697"/>
        <v>7634</v>
      </c>
      <c r="AX790" s="111">
        <f t="shared" si="1697"/>
        <v>7842</v>
      </c>
      <c r="AY790" s="111">
        <f t="shared" si="1697"/>
        <v>6905</v>
      </c>
      <c r="AZ790" s="111">
        <f t="shared" si="1697"/>
        <v>7290</v>
      </c>
      <c r="BA790" s="111">
        <f t="shared" si="1697"/>
        <v>6128.7310060956006</v>
      </c>
      <c r="BB790" s="111">
        <f t="shared" ref="BB790" si="1698">BB789-BB793</f>
        <v>6585.8683269409375</v>
      </c>
      <c r="BC790" s="348">
        <f>BC789*Drivers!BC305</f>
        <v>7087.9473442114831</v>
      </c>
      <c r="BD790" s="348">
        <f>BD789*Drivers!BD305</f>
        <v>7478.9673720573201</v>
      </c>
      <c r="BE790" s="348">
        <f>BE789*Drivers!BE305</f>
        <v>7665.4705296138109</v>
      </c>
      <c r="BM790"/>
      <c r="BN790"/>
      <c r="BO790"/>
      <c r="BP790"/>
      <c r="BQ790"/>
      <c r="BR790"/>
    </row>
    <row r="791" spans="1:70" s="192" customFormat="1" x14ac:dyDescent="0.2">
      <c r="A791" s="831"/>
      <c r="B791" s="307"/>
      <c r="C791" s="74" t="s">
        <v>1434</v>
      </c>
      <c r="D791" s="308">
        <f t="shared" ref="D791:AE791" si="1699">D790/D789</f>
        <v>0.31080550098231829</v>
      </c>
      <c r="E791" s="308">
        <f t="shared" si="1699"/>
        <v>0.26984126984126983</v>
      </c>
      <c r="F791" s="308">
        <f t="shared" si="1699"/>
        <v>0.28841607565011823</v>
      </c>
      <c r="G791" s="308">
        <f t="shared" si="1699"/>
        <v>0.12127894156560089</v>
      </c>
      <c r="H791" s="308">
        <f t="shared" si="1699"/>
        <v>0.31959448230014958</v>
      </c>
      <c r="I791" s="308">
        <f t="shared" si="1699"/>
        <v>0.35880999342537806</v>
      </c>
      <c r="J791" s="308">
        <f t="shared" si="1699"/>
        <v>0.32136859781696053</v>
      </c>
      <c r="K791" s="308">
        <f t="shared" si="1699"/>
        <v>0.36184210526315791</v>
      </c>
      <c r="L791" s="308">
        <f t="shared" si="1699"/>
        <v>0.32978723404255317</v>
      </c>
      <c r="M791" s="308">
        <f t="shared" si="1699"/>
        <v>0.88273195876288657</v>
      </c>
      <c r="N791" s="308">
        <f t="shared" si="1699"/>
        <v>0.42617265924438769</v>
      </c>
      <c r="O791" s="308">
        <f t="shared" si="1699"/>
        <v>0.75967025998731774</v>
      </c>
      <c r="P791" s="308">
        <f t="shared" si="1699"/>
        <v>0.31809897658769104</v>
      </c>
      <c r="Q791" s="308">
        <f t="shared" si="1699"/>
        <v>0.30511253540020866</v>
      </c>
      <c r="R791" s="308">
        <f t="shared" si="1699"/>
        <v>0.31570329130505975</v>
      </c>
      <c r="S791" s="308">
        <f t="shared" si="1699"/>
        <v>0.3122923588039867</v>
      </c>
      <c r="T791" s="308">
        <f t="shared" si="1699"/>
        <v>0.31296513905209555</v>
      </c>
      <c r="U791" s="308">
        <f t="shared" si="1699"/>
        <v>0.31231945624468987</v>
      </c>
      <c r="V791" s="308">
        <f t="shared" si="1699"/>
        <v>0.32211370770840597</v>
      </c>
      <c r="W791" s="308">
        <f t="shared" si="1699"/>
        <v>0.31114521388835603</v>
      </c>
      <c r="X791" s="308">
        <f t="shared" si="1699"/>
        <v>0.32536041939711663</v>
      </c>
      <c r="Y791" s="308">
        <f t="shared" ref="Y791:Z791" si="1700">Y790/Y789</f>
        <v>0.33051724137931032</v>
      </c>
      <c r="Z791" s="308">
        <f t="shared" si="1700"/>
        <v>0.32468168462291869</v>
      </c>
      <c r="AA791" s="308">
        <f t="shared" ref="AA791" si="1701">AA790/AA789</f>
        <v>0.26745743256169885</v>
      </c>
      <c r="AB791" s="308">
        <f t="shared" ref="AB791" si="1702">AB790/AB789</f>
        <v>0.24455638609034774</v>
      </c>
      <c r="AC791" s="308">
        <f t="shared" si="1699"/>
        <v>0.26</v>
      </c>
      <c r="AD791" s="308">
        <f t="shared" si="1699"/>
        <v>0.255</v>
      </c>
      <c r="AE791" s="308">
        <f t="shared" si="1699"/>
        <v>0.255</v>
      </c>
      <c r="AF791" s="308">
        <f t="shared" ref="AF791:AI791" si="1703">AF790/AF789</f>
        <v>0.25</v>
      </c>
      <c r="AG791" s="308">
        <f t="shared" si="1703"/>
        <v>0.25</v>
      </c>
      <c r="AH791" s="308">
        <f t="shared" si="1703"/>
        <v>0.25</v>
      </c>
      <c r="AI791" s="308">
        <f t="shared" si="1703"/>
        <v>0.25</v>
      </c>
      <c r="AJ791" s="308"/>
      <c r="AK791" s="308"/>
      <c r="AL791" s="308"/>
      <c r="AM791" s="308"/>
      <c r="AN791" s="308"/>
      <c r="AO791" s="308"/>
      <c r="AP791" s="308"/>
      <c r="AQ791" s="308"/>
      <c r="AR791" s="70"/>
      <c r="AS791" s="307"/>
      <c r="AT791" s="74" t="s">
        <v>1434</v>
      </c>
      <c r="AU791" s="308">
        <f t="shared" ref="AU791:BD791" si="1704">AU790/AU789</f>
        <v>0.27145392318418049</v>
      </c>
      <c r="AV791" s="308">
        <f t="shared" si="1704"/>
        <v>0.33931768691023467</v>
      </c>
      <c r="AW791" s="308">
        <f t="shared" si="1704"/>
        <v>0.48973569412368489</v>
      </c>
      <c r="AX791" s="308">
        <f t="shared" si="1704"/>
        <v>0.31285406526769327</v>
      </c>
      <c r="AY791" s="308">
        <f t="shared" si="1704"/>
        <v>0.31475066095359649</v>
      </c>
      <c r="AZ791" s="308">
        <f t="shared" si="1704"/>
        <v>0.31345401384529387</v>
      </c>
      <c r="BA791" s="308">
        <f t="shared" si="1704"/>
        <v>0.25358956748856687</v>
      </c>
      <c r="BB791" s="308">
        <f t="shared" ref="BB791" si="1705">BB790/BB789</f>
        <v>0.24999999999999981</v>
      </c>
      <c r="BC791" s="308">
        <f t="shared" si="1704"/>
        <v>0.25</v>
      </c>
      <c r="BD791" s="308">
        <f t="shared" si="1704"/>
        <v>0.25</v>
      </c>
      <c r="BE791" s="308">
        <f t="shared" ref="BE791" si="1706">BE790/BE789</f>
        <v>0.25</v>
      </c>
      <c r="BM791"/>
      <c r="BN791"/>
      <c r="BO791"/>
      <c r="BP791"/>
      <c r="BQ791"/>
      <c r="BR791"/>
    </row>
    <row r="792" spans="1:70" s="192" customFormat="1" x14ac:dyDescent="0.2">
      <c r="A792" s="831"/>
      <c r="B792" s="73"/>
      <c r="C792" s="74"/>
      <c r="D792" s="627"/>
      <c r="E792" s="627"/>
      <c r="F792" s="627"/>
      <c r="G792" s="627"/>
      <c r="H792" s="627"/>
      <c r="I792" s="627"/>
      <c r="J792" s="627"/>
      <c r="K792" s="627"/>
      <c r="L792" s="627"/>
      <c r="M792" s="627"/>
      <c r="N792" s="627"/>
      <c r="O792" s="627"/>
      <c r="P792" s="627"/>
      <c r="Q792" s="627"/>
      <c r="R792" s="627"/>
      <c r="S792" s="627"/>
      <c r="T792" s="627"/>
      <c r="U792" s="627"/>
      <c r="V792" s="627"/>
      <c r="W792" s="627"/>
      <c r="X792" s="627"/>
      <c r="Y792" s="627"/>
      <c r="Z792" s="627"/>
      <c r="AA792" s="627"/>
      <c r="AB792" s="627"/>
      <c r="AC792" s="627"/>
      <c r="AD792" s="627"/>
      <c r="AE792" s="627"/>
      <c r="AF792" s="627"/>
      <c r="AG792" s="627"/>
      <c r="AH792" s="627"/>
      <c r="AI792" s="627"/>
      <c r="AJ792" s="627"/>
      <c r="AK792" s="627"/>
      <c r="AL792" s="627"/>
      <c r="AM792" s="627"/>
      <c r="AN792" s="627"/>
      <c r="AO792" s="627"/>
      <c r="AP792" s="627"/>
      <c r="AQ792" s="627"/>
      <c r="AR792" s="70"/>
      <c r="AS792" s="73"/>
      <c r="AT792" s="74"/>
      <c r="AU792" s="114"/>
      <c r="AV792" s="112"/>
      <c r="AW792" s="113"/>
      <c r="AX792" s="114"/>
      <c r="AY792" s="113"/>
      <c r="AZ792" s="115"/>
      <c r="BC792" s="627"/>
      <c r="BD792" s="627"/>
      <c r="BE792" s="627"/>
      <c r="BM792"/>
      <c r="BN792"/>
      <c r="BO792"/>
      <c r="BP792"/>
      <c r="BQ792"/>
      <c r="BR792"/>
    </row>
    <row r="793" spans="1:70" s="342" customFormat="1" x14ac:dyDescent="0.2">
      <c r="A793" s="411"/>
      <c r="B793" s="342" t="s">
        <v>399</v>
      </c>
      <c r="C793" s="9"/>
      <c r="D793" s="616">
        <f t="shared" ref="D793:AE793" si="1707">D9</f>
        <v>3508</v>
      </c>
      <c r="E793" s="616">
        <f t="shared" si="1707"/>
        <v>3082</v>
      </c>
      <c r="F793" s="616">
        <f t="shared" si="1707"/>
        <v>3311</v>
      </c>
      <c r="G793" s="616">
        <f t="shared" si="1707"/>
        <v>1594</v>
      </c>
      <c r="H793" s="616">
        <f t="shared" si="1707"/>
        <v>4094</v>
      </c>
      <c r="I793" s="616">
        <f t="shared" si="1707"/>
        <v>3901</v>
      </c>
      <c r="J793" s="616">
        <f t="shared" si="1707"/>
        <v>3233</v>
      </c>
      <c r="K793" s="616">
        <f t="shared" si="1707"/>
        <v>2425</v>
      </c>
      <c r="L793" s="616">
        <f t="shared" si="1707"/>
        <v>4158</v>
      </c>
      <c r="M793" s="616">
        <f t="shared" si="1707"/>
        <v>273</v>
      </c>
      <c r="N793" s="616">
        <f t="shared" si="1707"/>
        <v>3144</v>
      </c>
      <c r="O793" s="616">
        <f t="shared" si="1707"/>
        <v>379</v>
      </c>
      <c r="P793" s="616">
        <f t="shared" si="1707"/>
        <v>4864</v>
      </c>
      <c r="Q793" s="616">
        <f t="shared" si="1707"/>
        <v>4662</v>
      </c>
      <c r="R793" s="616">
        <f t="shared" si="1707"/>
        <v>4179</v>
      </c>
      <c r="S793" s="616">
        <f t="shared" si="1707"/>
        <v>3519</v>
      </c>
      <c r="T793" s="616">
        <f t="shared" si="1707"/>
        <v>3508</v>
      </c>
      <c r="U793" s="616">
        <f t="shared" si="1707"/>
        <v>4047</v>
      </c>
      <c r="V793" s="616">
        <f t="shared" si="1707"/>
        <v>3887</v>
      </c>
      <c r="W793" s="616">
        <f t="shared" si="1707"/>
        <v>3591</v>
      </c>
      <c r="X793" s="616">
        <f t="shared" si="1707"/>
        <v>4118</v>
      </c>
      <c r="Y793" s="616">
        <f t="shared" ref="Y793:Z793" si="1708">Y9</f>
        <v>3883</v>
      </c>
      <c r="Z793" s="616">
        <f t="shared" si="1708"/>
        <v>4137</v>
      </c>
      <c r="AA793" s="616">
        <f t="shared" ref="AA793" si="1709">AA9</f>
        <v>3829</v>
      </c>
      <c r="AB793" s="616">
        <f t="shared" ref="AB793" si="1710">AB9</f>
        <v>4649</v>
      </c>
      <c r="AC793" s="616">
        <f t="shared" si="1707"/>
        <v>4467.0525558026438</v>
      </c>
      <c r="AD793" s="616">
        <f t="shared" si="1707"/>
        <v>4550.8924405375792</v>
      </c>
      <c r="AE793" s="616">
        <f t="shared" si="1707"/>
        <v>4372.2385801382998</v>
      </c>
      <c r="AF793" s="616">
        <f t="shared" ref="AF793:AI793" si="1711">AF9</f>
        <v>4943.6346358956571</v>
      </c>
      <c r="AG793" s="616">
        <f t="shared" si="1711"/>
        <v>5074.6575558654513</v>
      </c>
      <c r="AH793" s="616">
        <f t="shared" si="1711"/>
        <v>4995.4284213712617</v>
      </c>
      <c r="AI793" s="616">
        <f t="shared" si="1711"/>
        <v>4743.8843676904662</v>
      </c>
      <c r="AJ793" s="616"/>
      <c r="AK793" s="616"/>
      <c r="AL793" s="616"/>
      <c r="AM793" s="616"/>
      <c r="AN793" s="616"/>
      <c r="AO793" s="616"/>
      <c r="AP793" s="616"/>
      <c r="AQ793" s="616"/>
      <c r="AR793" s="70"/>
      <c r="AS793" s="342" t="s">
        <v>399</v>
      </c>
      <c r="AT793" s="1217"/>
      <c r="AU793" s="616">
        <f t="shared" ref="AU793:BD793" si="1712">AU9</f>
        <v>11495</v>
      </c>
      <c r="AV793" s="616">
        <f t="shared" si="1712"/>
        <v>13653</v>
      </c>
      <c r="AW793" s="616">
        <f t="shared" si="1712"/>
        <v>7954</v>
      </c>
      <c r="AX793" s="616">
        <f t="shared" si="1712"/>
        <v>17224</v>
      </c>
      <c r="AY793" s="616">
        <f t="shared" si="1712"/>
        <v>15033</v>
      </c>
      <c r="AZ793" s="616">
        <f t="shared" si="1712"/>
        <v>15967</v>
      </c>
      <c r="BA793" s="616">
        <f t="shared" si="1712"/>
        <v>18039.183576478525</v>
      </c>
      <c r="BB793" s="616">
        <f t="shared" ref="BB793" si="1713">BB9</f>
        <v>19757.604980822834</v>
      </c>
      <c r="BC793" s="616">
        <f t="shared" si="1712"/>
        <v>21263.842032634446</v>
      </c>
      <c r="BD793" s="616">
        <f t="shared" si="1712"/>
        <v>22436.902116171961</v>
      </c>
      <c r="BE793" s="616">
        <f t="shared" ref="BE793" si="1714">BE9</f>
        <v>22996.411588841434</v>
      </c>
      <c r="BM793"/>
      <c r="BN793"/>
      <c r="BO793"/>
      <c r="BP793"/>
      <c r="BQ793"/>
      <c r="BR793"/>
    </row>
    <row r="794" spans="1:70" s="342" customFormat="1" x14ac:dyDescent="0.2">
      <c r="A794" s="411"/>
      <c r="B794" s="35"/>
      <c r="C794" s="9" t="s">
        <v>397</v>
      </c>
      <c r="D794" s="628">
        <f t="shared" ref="D794:AE794" si="1715">D11</f>
        <v>4</v>
      </c>
      <c r="E794" s="628">
        <f t="shared" si="1715"/>
        <v>9</v>
      </c>
      <c r="F794" s="628">
        <f t="shared" si="1715"/>
        <v>4</v>
      </c>
      <c r="G794" s="628">
        <f t="shared" si="1715"/>
        <v>9</v>
      </c>
      <c r="H794" s="628">
        <f t="shared" si="1715"/>
        <v>4</v>
      </c>
      <c r="I794" s="628">
        <f t="shared" si="1715"/>
        <v>9</v>
      </c>
      <c r="J794" s="628">
        <f t="shared" si="1715"/>
        <v>110</v>
      </c>
      <c r="K794" s="628">
        <f t="shared" si="1715"/>
        <v>71</v>
      </c>
      <c r="L794" s="628">
        <f t="shared" si="1715"/>
        <v>124</v>
      </c>
      <c r="M794" s="628">
        <f t="shared" si="1715"/>
        <v>100</v>
      </c>
      <c r="N794" s="628">
        <f t="shared" si="1715"/>
        <v>128</v>
      </c>
      <c r="O794" s="628">
        <f t="shared" si="1715"/>
        <v>159</v>
      </c>
      <c r="P794" s="628">
        <f t="shared" si="1715"/>
        <v>128</v>
      </c>
      <c r="Q794" s="628">
        <f t="shared" si="1715"/>
        <v>202</v>
      </c>
      <c r="R794" s="628">
        <f t="shared" si="1715"/>
        <v>174</v>
      </c>
      <c r="S794" s="628">
        <f t="shared" si="1715"/>
        <v>265</v>
      </c>
      <c r="T794" s="628">
        <f t="shared" si="1715"/>
        <v>210</v>
      </c>
      <c r="U794" s="628">
        <f t="shared" si="1715"/>
        <v>322</v>
      </c>
      <c r="V794" s="628">
        <f t="shared" si="1715"/>
        <v>225</v>
      </c>
      <c r="W794" s="628">
        <f t="shared" si="1715"/>
        <v>320</v>
      </c>
      <c r="X794" s="628">
        <f t="shared" si="1715"/>
        <v>301</v>
      </c>
      <c r="Y794" s="628">
        <f t="shared" ref="Y794:Z794" si="1716">Y11</f>
        <v>320</v>
      </c>
      <c r="Z794" s="628">
        <f t="shared" si="1716"/>
        <v>272</v>
      </c>
      <c r="AA794" s="628">
        <f t="shared" ref="AA794:AB794" si="1717">AA11</f>
        <v>320</v>
      </c>
      <c r="AB794" s="628">
        <f t="shared" si="1717"/>
        <v>301</v>
      </c>
      <c r="AC794" s="628">
        <f t="shared" si="1715"/>
        <v>318</v>
      </c>
      <c r="AD794" s="628">
        <f t="shared" si="1715"/>
        <v>270</v>
      </c>
      <c r="AE794" s="628">
        <f t="shared" si="1715"/>
        <v>313</v>
      </c>
      <c r="AF794" s="628">
        <f t="shared" ref="AF794:AI794" si="1718">AF11</f>
        <v>305</v>
      </c>
      <c r="AG794" s="628">
        <f t="shared" si="1718"/>
        <v>348</v>
      </c>
      <c r="AH794" s="628">
        <f t="shared" si="1718"/>
        <v>305</v>
      </c>
      <c r="AI794" s="628">
        <f t="shared" si="1718"/>
        <v>348</v>
      </c>
      <c r="AJ794" s="628"/>
      <c r="AK794" s="628"/>
      <c r="AL794" s="628"/>
      <c r="AM794" s="628"/>
      <c r="AN794" s="628"/>
      <c r="AO794" s="628"/>
      <c r="AP794" s="628"/>
      <c r="AQ794" s="628"/>
      <c r="AR794" s="70"/>
      <c r="AS794" s="35"/>
      <c r="AT794" s="1217" t="s">
        <v>397</v>
      </c>
      <c r="AU794" s="232">
        <f>SUM(D794:G794)</f>
        <v>26</v>
      </c>
      <c r="AV794" s="232">
        <f>SUM(H794:K794)</f>
        <v>194</v>
      </c>
      <c r="AW794" s="232">
        <f>SUM(L794:O794)</f>
        <v>511</v>
      </c>
      <c r="AX794" s="232">
        <f>SUM(P794:S794)</f>
        <v>769</v>
      </c>
      <c r="AY794" s="232">
        <f>SUM(T794:W794)</f>
        <v>1077</v>
      </c>
      <c r="AZ794" s="232">
        <f>SUM(X794:AA794)</f>
        <v>1213</v>
      </c>
      <c r="BA794" s="232">
        <f>SUM(AB794:AE794)</f>
        <v>1202</v>
      </c>
      <c r="BB794" s="232">
        <f>SUM(AF794:AI794)</f>
        <v>1306</v>
      </c>
      <c r="BC794" s="628">
        <f t="shared" ref="BC794:BD796" si="1719">BC11</f>
        <v>1306</v>
      </c>
      <c r="BD794" s="628">
        <f t="shared" si="1719"/>
        <v>1306</v>
      </c>
      <c r="BE794" s="628">
        <f t="shared" ref="BE794" si="1720">BE11</f>
        <v>1306</v>
      </c>
      <c r="BM794"/>
      <c r="BN794"/>
      <c r="BO794"/>
      <c r="BP794"/>
      <c r="BQ794"/>
      <c r="BR794"/>
    </row>
    <row r="795" spans="1:70" s="342" customFormat="1" x14ac:dyDescent="0.2">
      <c r="A795" s="411"/>
      <c r="B795" s="35"/>
      <c r="C795" s="9" t="s">
        <v>396</v>
      </c>
      <c r="D795" s="628">
        <f t="shared" ref="D795:AE795" si="1721">D12</f>
        <v>126</v>
      </c>
      <c r="E795" s="628">
        <f t="shared" si="1721"/>
        <v>40</v>
      </c>
      <c r="F795" s="628">
        <f t="shared" si="1721"/>
        <v>25</v>
      </c>
      <c r="G795" s="628">
        <f t="shared" si="1721"/>
        <v>28</v>
      </c>
      <c r="H795" s="628">
        <f t="shared" si="1721"/>
        <v>90</v>
      </c>
      <c r="I795" s="628">
        <f t="shared" si="1721"/>
        <v>36</v>
      </c>
      <c r="J795" s="628">
        <f t="shared" si="1721"/>
        <v>51</v>
      </c>
      <c r="K795" s="628">
        <f t="shared" si="1721"/>
        <v>50</v>
      </c>
      <c r="L795" s="628">
        <f t="shared" si="1721"/>
        <v>45</v>
      </c>
      <c r="M795" s="628">
        <f t="shared" si="1721"/>
        <v>50</v>
      </c>
      <c r="N795" s="628">
        <f t="shared" si="1721"/>
        <v>59</v>
      </c>
      <c r="O795" s="628">
        <f t="shared" si="1721"/>
        <v>38</v>
      </c>
      <c r="P795" s="628">
        <f t="shared" si="1721"/>
        <v>42</v>
      </c>
      <c r="Q795" s="628">
        <f t="shared" si="1721"/>
        <v>18</v>
      </c>
      <c r="R795" s="628">
        <f t="shared" si="1721"/>
        <v>5</v>
      </c>
      <c r="S795" s="628">
        <f t="shared" si="1721"/>
        <v>25</v>
      </c>
      <c r="T795" s="628">
        <f t="shared" si="1721"/>
        <v>5</v>
      </c>
      <c r="U795" s="628">
        <f t="shared" si="1721"/>
        <v>26</v>
      </c>
      <c r="V795" s="628">
        <f t="shared" si="1721"/>
        <v>17</v>
      </c>
      <c r="W795" s="628">
        <f t="shared" si="1721"/>
        <v>15</v>
      </c>
      <c r="X795" s="628">
        <f t="shared" si="1721"/>
        <v>10</v>
      </c>
      <c r="Y795" s="628">
        <f t="shared" ref="Y795:Z795" si="1722">Y12</f>
        <v>32</v>
      </c>
      <c r="Z795" s="628">
        <f t="shared" si="1722"/>
        <v>-1</v>
      </c>
      <c r="AA795" s="628">
        <f t="shared" ref="AA795:AB795" si="1723">AA12</f>
        <v>19</v>
      </c>
      <c r="AB795" s="628">
        <f t="shared" si="1723"/>
        <v>22</v>
      </c>
      <c r="AC795" s="628">
        <f t="shared" si="1721"/>
        <v>19.494955995744352</v>
      </c>
      <c r="AD795" s="628">
        <f t="shared" si="1721"/>
        <v>15.850270019171404</v>
      </c>
      <c r="AE795" s="628">
        <f t="shared" si="1721"/>
        <v>19.078680383461229</v>
      </c>
      <c r="AF795" s="628">
        <f t="shared" ref="AF795:AI795" si="1724">AF12</f>
        <v>20.943956198444425</v>
      </c>
      <c r="AG795" s="628">
        <f t="shared" si="1724"/>
        <v>20.861235175673784</v>
      </c>
      <c r="AH795" s="628">
        <f t="shared" si="1724"/>
        <v>20.237123072643467</v>
      </c>
      <c r="AI795" s="628">
        <f t="shared" si="1724"/>
        <v>19.850893908833608</v>
      </c>
      <c r="AJ795" s="628"/>
      <c r="AK795" s="628"/>
      <c r="AL795" s="628"/>
      <c r="AM795" s="628"/>
      <c r="AN795" s="628"/>
      <c r="AO795" s="628"/>
      <c r="AP795" s="628"/>
      <c r="AQ795" s="628"/>
      <c r="AR795" s="70"/>
      <c r="AS795" s="35"/>
      <c r="AT795" s="1217" t="s">
        <v>396</v>
      </c>
      <c r="AU795" s="232">
        <f>SUM(D795:G795)</f>
        <v>219</v>
      </c>
      <c r="AV795" s="232">
        <f>SUM(H795:K795)</f>
        <v>227</v>
      </c>
      <c r="AW795" s="232">
        <f>SUM(L795:O795)</f>
        <v>192</v>
      </c>
      <c r="AX795" s="232">
        <f>SUM(P795:S795)</f>
        <v>90</v>
      </c>
      <c r="AY795" s="232">
        <f>SUM(T795:W795)</f>
        <v>63</v>
      </c>
      <c r="AZ795" s="232">
        <f>SUM(X795:AA795)</f>
        <v>60</v>
      </c>
      <c r="BA795" s="232">
        <f>SUM(AB795:AE795)</f>
        <v>76.423906398376985</v>
      </c>
      <c r="BB795" s="232">
        <f>SUM(AF795:AI795)</f>
        <v>81.893208355595291</v>
      </c>
      <c r="BC795" s="628">
        <f t="shared" si="1719"/>
        <v>88.136403562537268</v>
      </c>
      <c r="BD795" s="628">
        <f t="shared" si="1719"/>
        <v>92.998615046571558</v>
      </c>
      <c r="BE795" s="628">
        <f t="shared" ref="BE795" si="1725">BE12</f>
        <v>95.317723352802204</v>
      </c>
      <c r="BM795"/>
      <c r="BN795"/>
      <c r="BO795"/>
      <c r="BP795"/>
      <c r="BQ795"/>
      <c r="BR795"/>
    </row>
    <row r="796" spans="1:70" s="342" customFormat="1" x14ac:dyDescent="0.2">
      <c r="A796" s="411"/>
      <c r="B796" s="43"/>
      <c r="C796" s="25" t="s">
        <v>395</v>
      </c>
      <c r="D796" s="629">
        <f t="shared" ref="D796:AE796" si="1726">D13</f>
        <v>49</v>
      </c>
      <c r="E796" s="629">
        <f t="shared" si="1726"/>
        <v>65</v>
      </c>
      <c r="F796" s="629">
        <f t="shared" si="1726"/>
        <v>10</v>
      </c>
      <c r="G796" s="629">
        <f t="shared" si="1726"/>
        <v>26</v>
      </c>
      <c r="H796" s="629">
        <f t="shared" si="1726"/>
        <v>71</v>
      </c>
      <c r="I796" s="629">
        <f t="shared" si="1726"/>
        <v>83</v>
      </c>
      <c r="J796" s="629">
        <f t="shared" si="1726"/>
        <v>62</v>
      </c>
      <c r="K796" s="629">
        <f t="shared" si="1726"/>
        <v>47</v>
      </c>
      <c r="L796" s="629">
        <f t="shared" si="1726"/>
        <v>62</v>
      </c>
      <c r="M796" s="629">
        <f t="shared" si="1726"/>
        <v>1</v>
      </c>
      <c r="N796" s="629">
        <f t="shared" si="1726"/>
        <v>44</v>
      </c>
      <c r="O796" s="629">
        <f t="shared" si="1726"/>
        <v>3</v>
      </c>
      <c r="P796" s="629">
        <f t="shared" si="1726"/>
        <v>62</v>
      </c>
      <c r="Q796" s="629">
        <f t="shared" si="1726"/>
        <v>64</v>
      </c>
      <c r="R796" s="629">
        <f t="shared" si="1726"/>
        <v>56</v>
      </c>
      <c r="S796" s="629">
        <f t="shared" si="1726"/>
        <v>42</v>
      </c>
      <c r="T796" s="629">
        <f t="shared" si="1726"/>
        <v>40</v>
      </c>
      <c r="U796" s="629">
        <f t="shared" si="1726"/>
        <v>53</v>
      </c>
      <c r="V796" s="629">
        <f t="shared" si="1726"/>
        <v>53</v>
      </c>
      <c r="W796" s="629">
        <f t="shared" si="1726"/>
        <v>49</v>
      </c>
      <c r="X796" s="629">
        <f t="shared" si="1726"/>
        <v>55</v>
      </c>
      <c r="Y796" s="629">
        <f t="shared" ref="Y796:Z796" si="1727">Y13</f>
        <v>48</v>
      </c>
      <c r="Z796" s="629">
        <f t="shared" si="1727"/>
        <v>53</v>
      </c>
      <c r="AA796" s="629">
        <f t="shared" ref="AA796:AB796" si="1728">AA13</f>
        <v>12</v>
      </c>
      <c r="AB796" s="629">
        <f t="shared" si="1728"/>
        <v>22</v>
      </c>
      <c r="AC796" s="629">
        <f t="shared" si="1726"/>
        <v>36.553042492020666</v>
      </c>
      <c r="AD796" s="629">
        <f t="shared" si="1726"/>
        <v>32.916220415874676</v>
      </c>
      <c r="AE796" s="629">
        <f t="shared" si="1726"/>
        <v>25.85698018820953</v>
      </c>
      <c r="AF796" s="629">
        <f t="shared" ref="AF796:AI796" si="1729">AF13</f>
        <v>32.153233355067655</v>
      </c>
      <c r="AG796" s="629">
        <f t="shared" si="1729"/>
        <v>35.285322506039009</v>
      </c>
      <c r="AH796" s="629">
        <f t="shared" si="1729"/>
        <v>33.285872359550396</v>
      </c>
      <c r="AI796" s="629">
        <f t="shared" si="1729"/>
        <v>30.975385772993292</v>
      </c>
      <c r="AJ796" s="1764"/>
      <c r="AK796" s="1764"/>
      <c r="AL796" s="1764"/>
      <c r="AM796" s="1764"/>
      <c r="AN796" s="1764"/>
      <c r="AO796" s="1764"/>
      <c r="AP796" s="1764"/>
      <c r="AQ796" s="1764"/>
      <c r="AR796" s="70"/>
      <c r="AS796" s="43"/>
      <c r="AT796" s="25" t="s">
        <v>395</v>
      </c>
      <c r="AU796" s="41">
        <f>SUM(D796:G796)</f>
        <v>150</v>
      </c>
      <c r="AV796" s="41">
        <f>SUM(H796:K796)</f>
        <v>263</v>
      </c>
      <c r="AW796" s="41">
        <f>SUM(L796:O796)</f>
        <v>110</v>
      </c>
      <c r="AX796" s="41">
        <f>SUM(P796:S796)</f>
        <v>224</v>
      </c>
      <c r="AY796" s="41">
        <f>SUM(T796:W796)</f>
        <v>195</v>
      </c>
      <c r="AZ796" s="41">
        <f>SUM(X796:AA796)</f>
        <v>168</v>
      </c>
      <c r="BA796" s="41">
        <f>SUM(AB796:AE796)</f>
        <v>117.32624309610488</v>
      </c>
      <c r="BB796" s="41">
        <f>SUM(AF796:AI796)</f>
        <v>131.69981399365037</v>
      </c>
      <c r="BC796" s="629">
        <f t="shared" si="1719"/>
        <v>141.74005620653381</v>
      </c>
      <c r="BD796" s="629">
        <f t="shared" si="1719"/>
        <v>149.55941462346846</v>
      </c>
      <c r="BE796" s="629">
        <f t="shared" ref="BE796" si="1730">BE13</f>
        <v>153.28898070952886</v>
      </c>
      <c r="BM796"/>
      <c r="BN796"/>
      <c r="BO796"/>
      <c r="BP796"/>
      <c r="BQ796"/>
      <c r="BR796"/>
    </row>
    <row r="797" spans="1:70" s="342" customFormat="1" x14ac:dyDescent="0.2">
      <c r="A797" s="411"/>
      <c r="B797" s="119" t="s">
        <v>627</v>
      </c>
      <c r="C797" s="59"/>
      <c r="D797" s="616">
        <f t="shared" ref="D797:AE797" si="1731">D793-SUM(D794:D796)</f>
        <v>3329</v>
      </c>
      <c r="E797" s="616">
        <f t="shared" si="1731"/>
        <v>2968</v>
      </c>
      <c r="F797" s="616">
        <f t="shared" si="1731"/>
        <v>3272</v>
      </c>
      <c r="G797" s="616">
        <f t="shared" si="1731"/>
        <v>1531</v>
      </c>
      <c r="H797" s="616">
        <f t="shared" si="1731"/>
        <v>3929</v>
      </c>
      <c r="I797" s="616">
        <f t="shared" si="1731"/>
        <v>3773</v>
      </c>
      <c r="J797" s="616">
        <f t="shared" si="1731"/>
        <v>3010</v>
      </c>
      <c r="K797" s="616">
        <f t="shared" si="1731"/>
        <v>2257</v>
      </c>
      <c r="L797" s="616">
        <f t="shared" si="1731"/>
        <v>3927</v>
      </c>
      <c r="M797" s="616">
        <f t="shared" si="1731"/>
        <v>122</v>
      </c>
      <c r="N797" s="616">
        <f t="shared" si="1731"/>
        <v>2913</v>
      </c>
      <c r="O797" s="616">
        <f t="shared" si="1731"/>
        <v>179</v>
      </c>
      <c r="P797" s="616">
        <f t="shared" si="1731"/>
        <v>4632</v>
      </c>
      <c r="Q797" s="616">
        <f t="shared" si="1731"/>
        <v>4378</v>
      </c>
      <c r="R797" s="616">
        <f t="shared" si="1731"/>
        <v>3944</v>
      </c>
      <c r="S797" s="616">
        <f t="shared" si="1731"/>
        <v>3187</v>
      </c>
      <c r="T797" s="616">
        <f t="shared" si="1731"/>
        <v>3253</v>
      </c>
      <c r="U797" s="616">
        <f t="shared" si="1731"/>
        <v>3646</v>
      </c>
      <c r="V797" s="616">
        <f t="shared" si="1731"/>
        <v>3592</v>
      </c>
      <c r="W797" s="616">
        <f t="shared" si="1731"/>
        <v>3207</v>
      </c>
      <c r="X797" s="616">
        <f t="shared" si="1731"/>
        <v>3752</v>
      </c>
      <c r="Y797" s="616">
        <f t="shared" ref="Y797:Z797" si="1732">Y793-SUM(Y794:Y796)</f>
        <v>3483</v>
      </c>
      <c r="Z797" s="616">
        <f t="shared" si="1732"/>
        <v>3813</v>
      </c>
      <c r="AA797" s="616">
        <f t="shared" ref="AA797:AB797" si="1733">AA793-SUM(AA794:AA796)</f>
        <v>3478</v>
      </c>
      <c r="AB797" s="616">
        <f t="shared" si="1733"/>
        <v>4304</v>
      </c>
      <c r="AC797" s="616">
        <f t="shared" si="1731"/>
        <v>4093.0045573148786</v>
      </c>
      <c r="AD797" s="616">
        <f t="shared" si="1731"/>
        <v>4232.1259501025334</v>
      </c>
      <c r="AE797" s="616">
        <f t="shared" si="1731"/>
        <v>4014.302919566629</v>
      </c>
      <c r="AF797" s="616">
        <f t="shared" ref="AF797:AI797" si="1734">AF793-SUM(AF794:AF796)</f>
        <v>4585.5374463421449</v>
      </c>
      <c r="AG797" s="616">
        <f t="shared" si="1734"/>
        <v>4670.5109981837386</v>
      </c>
      <c r="AH797" s="616">
        <f t="shared" si="1734"/>
        <v>4636.9054259390678</v>
      </c>
      <c r="AI797" s="616">
        <f t="shared" si="1734"/>
        <v>4345.0580880086391</v>
      </c>
      <c r="AJ797" s="616"/>
      <c r="AK797" s="616"/>
      <c r="AL797" s="616"/>
      <c r="AM797" s="616"/>
      <c r="AN797" s="616"/>
      <c r="AO797" s="616"/>
      <c r="AP797" s="616"/>
      <c r="AQ797" s="616"/>
      <c r="AR797" s="70"/>
      <c r="AS797" s="119" t="s">
        <v>627</v>
      </c>
      <c r="AT797" s="59"/>
      <c r="AU797" s="616">
        <f t="shared" ref="AU797:BD797" si="1735">AU793-SUM(AU794:AU796)</f>
        <v>11100</v>
      </c>
      <c r="AV797" s="616">
        <f t="shared" si="1735"/>
        <v>12969</v>
      </c>
      <c r="AW797" s="616">
        <f t="shared" si="1735"/>
        <v>7141</v>
      </c>
      <c r="AX797" s="616">
        <f t="shared" si="1735"/>
        <v>16141</v>
      </c>
      <c r="AY797" s="616">
        <f>AY793-SUM(AY794:AY796)</f>
        <v>13698</v>
      </c>
      <c r="AZ797" s="616">
        <f t="shared" si="1735"/>
        <v>14526</v>
      </c>
      <c r="BA797" s="616">
        <f t="shared" si="1735"/>
        <v>16643.433426984044</v>
      </c>
      <c r="BB797" s="616">
        <f t="shared" ref="BB797" si="1736">BB793-SUM(BB794:BB796)</f>
        <v>18238.011958473588</v>
      </c>
      <c r="BC797" s="616">
        <f t="shared" si="1735"/>
        <v>19727.965572865374</v>
      </c>
      <c r="BD797" s="616">
        <f t="shared" si="1735"/>
        <v>20888.344086501922</v>
      </c>
      <c r="BE797" s="616">
        <f t="shared" ref="BE797" si="1737">BE793-SUM(BE794:BE796)</f>
        <v>21441.804884779103</v>
      </c>
      <c r="BM797"/>
      <c r="BN797"/>
      <c r="BO797"/>
      <c r="BP797"/>
      <c r="BQ797"/>
      <c r="BR797"/>
    </row>
    <row r="798" spans="1:70" s="342" customFormat="1" x14ac:dyDescent="0.2">
      <c r="A798" s="411"/>
      <c r="B798" s="119"/>
      <c r="C798" s="59"/>
      <c r="D798" s="616"/>
      <c r="E798" s="616"/>
      <c r="F798" s="616"/>
      <c r="G798" s="616"/>
      <c r="H798" s="616"/>
      <c r="I798" s="616"/>
      <c r="J798" s="616"/>
      <c r="K798" s="616"/>
      <c r="L798" s="616"/>
      <c r="M798" s="616"/>
      <c r="N798" s="616"/>
      <c r="O798" s="616"/>
      <c r="P798" s="616"/>
      <c r="Q798" s="616"/>
      <c r="R798" s="616"/>
      <c r="S798" s="616"/>
      <c r="T798" s="616"/>
      <c r="U798" s="616"/>
      <c r="V798" s="616"/>
      <c r="W798" s="616"/>
      <c r="X798" s="616"/>
      <c r="Y798" s="616"/>
      <c r="Z798" s="616"/>
      <c r="AA798" s="616"/>
      <c r="AB798" s="616"/>
      <c r="AC798" s="616"/>
      <c r="AD798" s="616"/>
      <c r="AE798" s="616"/>
      <c r="AF798" s="616"/>
      <c r="AG798" s="616"/>
      <c r="AH798" s="616"/>
      <c r="AI798" s="616"/>
      <c r="AJ798" s="616"/>
      <c r="AK798" s="616"/>
      <c r="AL798" s="616"/>
      <c r="AM798" s="616"/>
      <c r="AN798" s="616"/>
      <c r="AO798" s="616"/>
      <c r="AP798" s="616"/>
      <c r="AQ798" s="616"/>
      <c r="AR798" s="70"/>
      <c r="AS798" s="119"/>
      <c r="AT798" s="59"/>
      <c r="AU798" s="616"/>
      <c r="AV798" s="616"/>
      <c r="AW798" s="616"/>
      <c r="AX798" s="616"/>
      <c r="AY798" s="616"/>
      <c r="AZ798" s="616"/>
      <c r="BA798" s="616"/>
      <c r="BB798" s="616"/>
      <c r="BC798" s="616"/>
      <c r="BD798" s="616"/>
      <c r="BE798" s="616"/>
      <c r="BM798"/>
      <c r="BN798"/>
      <c r="BO798"/>
      <c r="BP798"/>
      <c r="BQ798"/>
      <c r="BR798"/>
    </row>
    <row r="799" spans="1:70" s="342" customFormat="1" x14ac:dyDescent="0.2">
      <c r="A799" s="411"/>
      <c r="B799" s="322" t="s">
        <v>526</v>
      </c>
      <c r="C799" s="327"/>
      <c r="D799" s="616">
        <f t="shared" ref="D799:AE799" si="1738">D16</f>
        <v>12</v>
      </c>
      <c r="E799" s="616">
        <f t="shared" si="1738"/>
        <v>7</v>
      </c>
      <c r="F799" s="616">
        <f t="shared" si="1738"/>
        <v>8</v>
      </c>
      <c r="G799" s="616">
        <f t="shared" si="1738"/>
        <v>-85</v>
      </c>
      <c r="H799" s="616">
        <f t="shared" si="1738"/>
        <v>-33</v>
      </c>
      <c r="I799" s="616">
        <f t="shared" si="1738"/>
        <v>30</v>
      </c>
      <c r="J799" s="616">
        <f t="shared" si="1738"/>
        <v>92</v>
      </c>
      <c r="K799" s="616">
        <f t="shared" si="1738"/>
        <v>181</v>
      </c>
      <c r="L799" s="616">
        <f t="shared" si="1738"/>
        <v>37</v>
      </c>
      <c r="M799" s="616">
        <f t="shared" si="1738"/>
        <v>-22</v>
      </c>
      <c r="N799" s="616">
        <f t="shared" si="1738"/>
        <v>-16</v>
      </c>
      <c r="O799" s="616">
        <f t="shared" si="1738"/>
        <v>-1</v>
      </c>
      <c r="P799" s="616">
        <f t="shared" si="1738"/>
        <v>-5</v>
      </c>
      <c r="Q799" s="616">
        <f t="shared" si="1738"/>
        <v>6</v>
      </c>
      <c r="R799" s="616">
        <f t="shared" si="1738"/>
        <v>-10</v>
      </c>
      <c r="S799" s="616">
        <f t="shared" si="1738"/>
        <v>-45</v>
      </c>
      <c r="T799" s="616">
        <f t="shared" si="1738"/>
        <v>-2</v>
      </c>
      <c r="U799" s="616">
        <f t="shared" si="1738"/>
        <v>-23</v>
      </c>
      <c r="V799" s="616">
        <f t="shared" si="1738"/>
        <v>-30</v>
      </c>
      <c r="W799" s="616">
        <f t="shared" si="1738"/>
        <v>-3</v>
      </c>
      <c r="X799" s="616">
        <f t="shared" si="1738"/>
        <v>-18</v>
      </c>
      <c r="Y799" s="616">
        <f t="shared" ref="Y799:Z799" si="1739">Y16</f>
        <v>21</v>
      </c>
      <c r="Z799" s="616">
        <f t="shared" si="1739"/>
        <v>-5</v>
      </c>
      <c r="AA799" s="616">
        <f t="shared" ref="AA799:AB799" si="1740">AA16</f>
        <v>-109</v>
      </c>
      <c r="AB799" s="616">
        <f t="shared" si="1740"/>
        <v>-7</v>
      </c>
      <c r="AC799" s="616">
        <f t="shared" si="1738"/>
        <v>0</v>
      </c>
      <c r="AD799" s="616">
        <f t="shared" si="1738"/>
        <v>0</v>
      </c>
      <c r="AE799" s="616">
        <f t="shared" si="1738"/>
        <v>0</v>
      </c>
      <c r="AF799" s="616">
        <f t="shared" ref="AF799:AI799" si="1741">AF16</f>
        <v>0</v>
      </c>
      <c r="AG799" s="616">
        <f t="shared" si="1741"/>
        <v>0</v>
      </c>
      <c r="AH799" s="616">
        <f t="shared" si="1741"/>
        <v>0</v>
      </c>
      <c r="AI799" s="616">
        <f t="shared" si="1741"/>
        <v>0</v>
      </c>
      <c r="AJ799" s="616"/>
      <c r="AK799" s="616"/>
      <c r="AL799" s="616"/>
      <c r="AM799" s="616"/>
      <c r="AN799" s="616"/>
      <c r="AO799" s="616"/>
      <c r="AP799" s="616"/>
      <c r="AQ799" s="616"/>
      <c r="AR799" s="70"/>
      <c r="AS799" s="322" t="s">
        <v>526</v>
      </c>
      <c r="AT799" s="327"/>
      <c r="AU799" s="232">
        <f>SUM(D799:G799)</f>
        <v>-58</v>
      </c>
      <c r="AV799" s="232">
        <f>SUM(H799:K799)</f>
        <v>270</v>
      </c>
      <c r="AW799" s="232">
        <f>SUM(L799:O799)</f>
        <v>-2</v>
      </c>
      <c r="AX799" s="232">
        <f>SUM(P799:S799)</f>
        <v>-54</v>
      </c>
      <c r="AY799" s="232">
        <f>SUM(T799:W799)</f>
        <v>-58</v>
      </c>
      <c r="AZ799" s="232">
        <f>SUM(X799:AA799)</f>
        <v>-111</v>
      </c>
      <c r="BA799" s="232">
        <f>SUM(AB799:AE799)</f>
        <v>-7</v>
      </c>
      <c r="BB799" s="232">
        <f>SUM(AF799:AI799)</f>
        <v>0</v>
      </c>
      <c r="BC799" s="616">
        <f>BC16</f>
        <v>0</v>
      </c>
      <c r="BD799" s="616">
        <f>BD16</f>
        <v>0</v>
      </c>
      <c r="BE799" s="616">
        <f>BE16</f>
        <v>0</v>
      </c>
      <c r="BM799"/>
      <c r="BN799"/>
      <c r="BO799"/>
      <c r="BP799"/>
      <c r="BQ799"/>
      <c r="BR799"/>
    </row>
    <row r="800" spans="1:70" s="342" customFormat="1" x14ac:dyDescent="0.2">
      <c r="A800" s="411"/>
      <c r="B800" s="322"/>
      <c r="C800" s="327"/>
      <c r="D800" s="616"/>
      <c r="E800" s="616"/>
      <c r="F800" s="616"/>
      <c r="G800" s="616"/>
      <c r="H800" s="616"/>
      <c r="I800" s="616"/>
      <c r="J800" s="616"/>
      <c r="K800" s="616"/>
      <c r="L800" s="616"/>
      <c r="M800" s="616"/>
      <c r="N800" s="616"/>
      <c r="O800" s="616"/>
      <c r="P800" s="616"/>
      <c r="Q800" s="616"/>
      <c r="R800" s="616"/>
      <c r="S800" s="616"/>
      <c r="T800" s="616"/>
      <c r="U800" s="616"/>
      <c r="V800" s="616"/>
      <c r="W800" s="616"/>
      <c r="X800" s="616"/>
      <c r="Y800" s="616"/>
      <c r="Z800" s="616"/>
      <c r="AA800" s="616"/>
      <c r="AB800" s="616"/>
      <c r="AC800" s="616"/>
      <c r="AD800" s="616"/>
      <c r="AE800" s="616"/>
      <c r="AF800" s="616"/>
      <c r="AG800" s="616"/>
      <c r="AH800" s="616"/>
      <c r="AI800" s="616"/>
      <c r="AJ800" s="616"/>
      <c r="AK800" s="616"/>
      <c r="AL800" s="616"/>
      <c r="AM800" s="616"/>
      <c r="AN800" s="616"/>
      <c r="AO800" s="616"/>
      <c r="AP800" s="616"/>
      <c r="AQ800" s="616"/>
      <c r="AR800" s="70"/>
      <c r="AS800" s="322"/>
      <c r="AT800" s="327"/>
      <c r="AU800" s="232"/>
      <c r="AV800" s="232"/>
      <c r="AW800" s="232"/>
      <c r="AX800" s="232"/>
      <c r="AY800" s="232"/>
      <c r="AZ800" s="232"/>
      <c r="BA800" s="232"/>
      <c r="BB800" s="232"/>
      <c r="BC800" s="616"/>
      <c r="BD800" s="616"/>
      <c r="BE800" s="616"/>
      <c r="BM800"/>
      <c r="BN800"/>
      <c r="BO800"/>
      <c r="BP800"/>
      <c r="BQ800"/>
      <c r="BR800"/>
    </row>
    <row r="801" spans="1:70" s="342" customFormat="1" x14ac:dyDescent="0.2">
      <c r="A801" s="411"/>
      <c r="B801" s="35" t="s">
        <v>538</v>
      </c>
      <c r="C801" s="9"/>
      <c r="D801" s="616">
        <f>D1574</f>
        <v>-800</v>
      </c>
      <c r="E801" s="616">
        <f t="shared" ref="E801:AE801" si="1742">E1574</f>
        <v>140</v>
      </c>
      <c r="F801" s="616">
        <f t="shared" si="1742"/>
        <v>-485</v>
      </c>
      <c r="G801" s="616">
        <f t="shared" si="1742"/>
        <v>-301</v>
      </c>
      <c r="H801" s="616">
        <f t="shared" si="1742"/>
        <v>-198</v>
      </c>
      <c r="I801" s="616">
        <f t="shared" si="1742"/>
        <v>293</v>
      </c>
      <c r="J801" s="616">
        <f t="shared" si="1742"/>
        <v>-208</v>
      </c>
      <c r="K801" s="616">
        <f t="shared" si="1742"/>
        <v>-100</v>
      </c>
      <c r="L801" s="616">
        <f t="shared" si="1742"/>
        <v>4</v>
      </c>
      <c r="M801" s="616">
        <f t="shared" si="1742"/>
        <v>-20</v>
      </c>
      <c r="N801" s="616">
        <f t="shared" si="1742"/>
        <v>-228</v>
      </c>
      <c r="O801" s="616">
        <f t="shared" si="1742"/>
        <v>4</v>
      </c>
      <c r="P801" s="616">
        <f t="shared" si="1742"/>
        <v>-47</v>
      </c>
      <c r="Q801" s="616">
        <f t="shared" si="1742"/>
        <v>196</v>
      </c>
      <c r="R801" s="616">
        <f t="shared" si="1742"/>
        <v>127</v>
      </c>
      <c r="S801" s="616">
        <f t="shared" si="1742"/>
        <v>-114</v>
      </c>
      <c r="T801" s="616">
        <f t="shared" si="1742"/>
        <v>0</v>
      </c>
      <c r="U801" s="616">
        <f t="shared" si="1742"/>
        <v>0</v>
      </c>
      <c r="V801" s="616">
        <f t="shared" si="1742"/>
        <v>0</v>
      </c>
      <c r="W801" s="616">
        <f t="shared" si="1742"/>
        <v>0</v>
      </c>
      <c r="X801" s="616">
        <f t="shared" si="1742"/>
        <v>0</v>
      </c>
      <c r="Y801" s="616">
        <f t="shared" ref="Y801:Z801" si="1743">Y1574</f>
        <v>0</v>
      </c>
      <c r="Z801" s="616">
        <f t="shared" si="1743"/>
        <v>0</v>
      </c>
      <c r="AA801" s="616">
        <f t="shared" ref="AA801:AB801" si="1744">AA1574</f>
        <v>0</v>
      </c>
      <c r="AB801" s="616">
        <f t="shared" si="1744"/>
        <v>0</v>
      </c>
      <c r="AC801" s="616">
        <f t="shared" si="1742"/>
        <v>0</v>
      </c>
      <c r="AD801" s="616">
        <f t="shared" si="1742"/>
        <v>0</v>
      </c>
      <c r="AE801" s="616">
        <f t="shared" si="1742"/>
        <v>0</v>
      </c>
      <c r="AF801" s="616">
        <f t="shared" ref="AF801:AI801" si="1745">AF1574</f>
        <v>0</v>
      </c>
      <c r="AG801" s="616">
        <f t="shared" si="1745"/>
        <v>0</v>
      </c>
      <c r="AH801" s="616">
        <f t="shared" si="1745"/>
        <v>0</v>
      </c>
      <c r="AI801" s="616">
        <f t="shared" si="1745"/>
        <v>0</v>
      </c>
      <c r="AJ801" s="616"/>
      <c r="AK801" s="616"/>
      <c r="AL801" s="616"/>
      <c r="AM801" s="616"/>
      <c r="AN801" s="616"/>
      <c r="AO801" s="616"/>
      <c r="AP801" s="616"/>
      <c r="AQ801" s="616"/>
      <c r="AR801" s="70"/>
      <c r="AS801" s="35" t="s">
        <v>538</v>
      </c>
      <c r="AT801" s="1217"/>
      <c r="AU801" s="616">
        <f>AU1574</f>
        <v>-1446</v>
      </c>
      <c r="AV801" s="616">
        <f t="shared" ref="AV801:BD801" si="1746">AV1574</f>
        <v>-213</v>
      </c>
      <c r="AW801" s="616">
        <f t="shared" si="1746"/>
        <v>-240</v>
      </c>
      <c r="AX801" s="616">
        <f t="shared" si="1746"/>
        <v>162</v>
      </c>
      <c r="AY801" s="616">
        <f t="shared" si="1746"/>
        <v>0</v>
      </c>
      <c r="AZ801" s="616">
        <f t="shared" si="1746"/>
        <v>0</v>
      </c>
      <c r="BA801" s="616">
        <f t="shared" si="1746"/>
        <v>0</v>
      </c>
      <c r="BB801" s="616">
        <f t="shared" ref="BB801" si="1747">BB1574</f>
        <v>0</v>
      </c>
      <c r="BC801" s="616">
        <f t="shared" si="1746"/>
        <v>0</v>
      </c>
      <c r="BD801" s="616">
        <f t="shared" si="1746"/>
        <v>0</v>
      </c>
      <c r="BE801" s="616">
        <f t="shared" ref="BE801" si="1748">BE1574</f>
        <v>0</v>
      </c>
      <c r="BM801"/>
      <c r="BN801"/>
      <c r="BO801"/>
      <c r="BP801"/>
      <c r="BQ801"/>
      <c r="BR801"/>
    </row>
    <row r="802" spans="1:70" s="342" customFormat="1" x14ac:dyDescent="0.2">
      <c r="A802" s="411"/>
      <c r="B802" s="90" t="s">
        <v>403</v>
      </c>
      <c r="C802" s="9"/>
      <c r="D802" s="616">
        <f t="shared" ref="D802:AE802" si="1749">D19</f>
        <v>308</v>
      </c>
      <c r="E802" s="616">
        <f t="shared" si="1749"/>
        <v>-274</v>
      </c>
      <c r="F802" s="616">
        <f t="shared" si="1749"/>
        <v>-2315</v>
      </c>
      <c r="G802" s="616">
        <f t="shared" si="1749"/>
        <v>0</v>
      </c>
      <c r="H802" s="616">
        <f t="shared" si="1749"/>
        <v>0</v>
      </c>
      <c r="I802" s="616">
        <f t="shared" si="1749"/>
        <v>0</v>
      </c>
      <c r="J802" s="616">
        <f t="shared" si="1749"/>
        <v>176</v>
      </c>
      <c r="K802" s="616">
        <f t="shared" si="1749"/>
        <v>0</v>
      </c>
      <c r="L802" s="616">
        <f t="shared" si="1749"/>
        <v>-210</v>
      </c>
      <c r="M802" s="616">
        <f t="shared" si="1749"/>
        <v>0</v>
      </c>
      <c r="N802" s="616">
        <f t="shared" si="1749"/>
        <v>0</v>
      </c>
      <c r="O802" s="616">
        <f t="shared" si="1749"/>
        <v>0</v>
      </c>
      <c r="P802" s="616">
        <f t="shared" si="1749"/>
        <v>0</v>
      </c>
      <c r="Q802" s="616">
        <f t="shared" si="1749"/>
        <v>0</v>
      </c>
      <c r="R802" s="616">
        <f t="shared" si="1749"/>
        <v>0</v>
      </c>
      <c r="S802" s="616">
        <f t="shared" si="1749"/>
        <v>0</v>
      </c>
      <c r="T802" s="616">
        <f t="shared" si="1749"/>
        <v>0</v>
      </c>
      <c r="U802" s="616">
        <f t="shared" si="1749"/>
        <v>0</v>
      </c>
      <c r="V802" s="616">
        <f t="shared" si="1749"/>
        <v>0</v>
      </c>
      <c r="W802" s="616">
        <f t="shared" si="1749"/>
        <v>0</v>
      </c>
      <c r="X802" s="616">
        <f t="shared" si="1749"/>
        <v>0</v>
      </c>
      <c r="Y802" s="616">
        <f t="shared" ref="Y802:Z802" si="1750">Y19</f>
        <v>0</v>
      </c>
      <c r="Z802" s="616">
        <f t="shared" si="1750"/>
        <v>0</v>
      </c>
      <c r="AA802" s="616">
        <f t="shared" ref="AA802:AB802" si="1751">AA19</f>
        <v>-22594</v>
      </c>
      <c r="AB802" s="616">
        <f t="shared" si="1751"/>
        <v>0</v>
      </c>
      <c r="AC802" s="616">
        <f t="shared" si="1749"/>
        <v>0</v>
      </c>
      <c r="AD802" s="616">
        <f t="shared" si="1749"/>
        <v>0</v>
      </c>
      <c r="AE802" s="616">
        <f t="shared" si="1749"/>
        <v>0</v>
      </c>
      <c r="AF802" s="616">
        <f t="shared" ref="AF802:AI802" si="1752">AF19</f>
        <v>0</v>
      </c>
      <c r="AG802" s="616">
        <f t="shared" si="1752"/>
        <v>0</v>
      </c>
      <c r="AH802" s="616">
        <f t="shared" si="1752"/>
        <v>0</v>
      </c>
      <c r="AI802" s="616">
        <f t="shared" si="1752"/>
        <v>0</v>
      </c>
      <c r="AJ802" s="616"/>
      <c r="AK802" s="616"/>
      <c r="AL802" s="616"/>
      <c r="AM802" s="616"/>
      <c r="AN802" s="616"/>
      <c r="AO802" s="616"/>
      <c r="AP802" s="616"/>
      <c r="AQ802" s="616"/>
      <c r="AR802" s="70"/>
      <c r="AS802" s="90" t="s">
        <v>403</v>
      </c>
      <c r="AT802" s="1217"/>
      <c r="AU802" s="232">
        <f>SUM(D802:G802)</f>
        <v>-2281</v>
      </c>
      <c r="AV802" s="232">
        <f>SUM(H802:K802)</f>
        <v>176</v>
      </c>
      <c r="AW802" s="232">
        <f>SUM(L802:O802)</f>
        <v>-210</v>
      </c>
      <c r="AX802" s="232">
        <f>SUM(P802:S802)</f>
        <v>0</v>
      </c>
      <c r="AY802" s="232">
        <f>SUM(T802:W802)</f>
        <v>0</v>
      </c>
      <c r="AZ802" s="232">
        <f>SUM(X802:AA802)</f>
        <v>-22594</v>
      </c>
      <c r="BA802" s="232">
        <f>SUM(AB802:AE802)</f>
        <v>0</v>
      </c>
      <c r="BB802" s="232">
        <f>SUM(AF802:AI802)</f>
        <v>0</v>
      </c>
      <c r="BC802" s="616">
        <f>BC19</f>
        <v>0</v>
      </c>
      <c r="BD802" s="616">
        <f>BD19</f>
        <v>0</v>
      </c>
      <c r="BE802" s="616">
        <f>BE19</f>
        <v>0</v>
      </c>
      <c r="BM802"/>
      <c r="BN802"/>
      <c r="BO802"/>
      <c r="BP802"/>
      <c r="BQ802"/>
      <c r="BR802"/>
    </row>
    <row r="803" spans="1:70" s="342" customFormat="1" x14ac:dyDescent="0.2">
      <c r="A803" s="411"/>
      <c r="B803" s="10"/>
      <c r="C803" s="9"/>
      <c r="D803" s="327"/>
      <c r="E803" s="327"/>
      <c r="F803" s="327"/>
      <c r="G803" s="327"/>
      <c r="H803" s="327"/>
      <c r="I803" s="327"/>
      <c r="J803" s="327"/>
      <c r="K803" s="327"/>
      <c r="L803" s="327"/>
      <c r="M803" s="327"/>
      <c r="N803" s="327"/>
      <c r="O803" s="327"/>
      <c r="P803" s="327"/>
      <c r="Q803" s="327"/>
      <c r="R803" s="327"/>
      <c r="S803" s="327"/>
      <c r="T803" s="327"/>
      <c r="U803" s="327"/>
      <c r="V803" s="327"/>
      <c r="W803" s="327"/>
      <c r="X803" s="327"/>
      <c r="Y803" s="327"/>
      <c r="Z803" s="327"/>
      <c r="AA803" s="327"/>
      <c r="AB803" s="327"/>
      <c r="AC803" s="327"/>
      <c r="AD803" s="327"/>
      <c r="AE803" s="327"/>
      <c r="AF803" s="327"/>
      <c r="AG803" s="327"/>
      <c r="AH803" s="327"/>
      <c r="AI803" s="327"/>
      <c r="AJ803" s="327"/>
      <c r="AK803" s="327"/>
      <c r="AL803" s="327"/>
      <c r="AM803" s="327"/>
      <c r="AN803" s="327"/>
      <c r="AO803" s="327"/>
      <c r="AP803" s="327"/>
      <c r="AQ803" s="327"/>
      <c r="AR803" s="70"/>
      <c r="AS803" s="10"/>
      <c r="AT803" s="1217"/>
      <c r="AU803" s="626"/>
      <c r="AV803" s="624"/>
      <c r="AW803" s="615"/>
      <c r="AX803" s="626"/>
      <c r="AY803" s="615"/>
      <c r="AZ803" s="622"/>
      <c r="BC803" s="327"/>
      <c r="BD803" s="327"/>
      <c r="BE803" s="327"/>
      <c r="BM803"/>
      <c r="BN803"/>
      <c r="BO803"/>
      <c r="BP803"/>
      <c r="BQ803"/>
      <c r="BR803"/>
    </row>
    <row r="804" spans="1:70" s="342" customFormat="1" x14ac:dyDescent="0.2">
      <c r="A804" s="411"/>
      <c r="B804" s="35" t="s">
        <v>837</v>
      </c>
      <c r="C804" s="9"/>
      <c r="D804" s="616">
        <f>D797+D802+D801+D799</f>
        <v>2849</v>
      </c>
      <c r="E804" s="616">
        <f t="shared" ref="E804:AE804" si="1753">E797+E802+E801+E799</f>
        <v>2841</v>
      </c>
      <c r="F804" s="616">
        <f t="shared" si="1753"/>
        <v>480</v>
      </c>
      <c r="G804" s="616">
        <f t="shared" si="1753"/>
        <v>1145</v>
      </c>
      <c r="H804" s="616">
        <f t="shared" si="1753"/>
        <v>3698</v>
      </c>
      <c r="I804" s="616">
        <f t="shared" si="1753"/>
        <v>4096</v>
      </c>
      <c r="J804" s="616">
        <f t="shared" si="1753"/>
        <v>3070</v>
      </c>
      <c r="K804" s="616">
        <f t="shared" si="1753"/>
        <v>2338</v>
      </c>
      <c r="L804" s="616">
        <f t="shared" si="1753"/>
        <v>3758</v>
      </c>
      <c r="M804" s="616">
        <f t="shared" si="1753"/>
        <v>80</v>
      </c>
      <c r="N804" s="616">
        <f t="shared" si="1753"/>
        <v>2669</v>
      </c>
      <c r="O804" s="616">
        <f t="shared" si="1753"/>
        <v>182</v>
      </c>
      <c r="P804" s="616">
        <f t="shared" si="1753"/>
        <v>4580</v>
      </c>
      <c r="Q804" s="616">
        <f t="shared" si="1753"/>
        <v>4580</v>
      </c>
      <c r="R804" s="616">
        <f t="shared" si="1753"/>
        <v>4061</v>
      </c>
      <c r="S804" s="616">
        <f t="shared" si="1753"/>
        <v>3028</v>
      </c>
      <c r="T804" s="616">
        <f t="shared" si="1753"/>
        <v>3251</v>
      </c>
      <c r="U804" s="616">
        <f t="shared" si="1753"/>
        <v>3623</v>
      </c>
      <c r="V804" s="616">
        <f t="shared" si="1753"/>
        <v>3562</v>
      </c>
      <c r="W804" s="616">
        <f t="shared" si="1753"/>
        <v>3204</v>
      </c>
      <c r="X804" s="616">
        <f t="shared" si="1753"/>
        <v>3734</v>
      </c>
      <c r="Y804" s="616">
        <f t="shared" ref="Y804:Z804" si="1754">Y797+Y802+Y801+Y799</f>
        <v>3504</v>
      </c>
      <c r="Z804" s="616">
        <f t="shared" si="1754"/>
        <v>3808</v>
      </c>
      <c r="AA804" s="616">
        <f t="shared" ref="AA804:AB804" si="1755">AA797+AA802+AA801+AA799</f>
        <v>-19225</v>
      </c>
      <c r="AB804" s="616">
        <f t="shared" si="1755"/>
        <v>4297</v>
      </c>
      <c r="AC804" s="616">
        <f t="shared" si="1753"/>
        <v>4093.0045573148786</v>
      </c>
      <c r="AD804" s="616">
        <f t="shared" si="1753"/>
        <v>4232.1259501025334</v>
      </c>
      <c r="AE804" s="616">
        <f t="shared" si="1753"/>
        <v>4014.302919566629</v>
      </c>
      <c r="AF804" s="616">
        <f t="shared" ref="AF804:AI804" si="1756">AF797+AF802+AF801+AF799</f>
        <v>4585.5374463421449</v>
      </c>
      <c r="AG804" s="616">
        <f t="shared" si="1756"/>
        <v>4670.5109981837386</v>
      </c>
      <c r="AH804" s="616">
        <f t="shared" si="1756"/>
        <v>4636.9054259390678</v>
      </c>
      <c r="AI804" s="616">
        <f t="shared" si="1756"/>
        <v>4345.0580880086391</v>
      </c>
      <c r="AJ804" s="616"/>
      <c r="AK804" s="616"/>
      <c r="AL804" s="616"/>
      <c r="AM804" s="616"/>
      <c r="AN804" s="616"/>
      <c r="AO804" s="616"/>
      <c r="AP804" s="616"/>
      <c r="AQ804" s="616"/>
      <c r="AR804" s="70"/>
      <c r="AS804" s="35" t="s">
        <v>837</v>
      </c>
      <c r="AT804" s="1217"/>
      <c r="AU804" s="616">
        <f t="shared" ref="AU804:BD804" si="1757">AU797-AU802+AU801+AU799</f>
        <v>11877</v>
      </c>
      <c r="AV804" s="616">
        <f t="shared" si="1757"/>
        <v>12850</v>
      </c>
      <c r="AW804" s="616">
        <f t="shared" si="1757"/>
        <v>7109</v>
      </c>
      <c r="AX804" s="616">
        <f t="shared" si="1757"/>
        <v>16249</v>
      </c>
      <c r="AY804" s="616">
        <f t="shared" si="1757"/>
        <v>13640</v>
      </c>
      <c r="AZ804" s="616">
        <f t="shared" si="1757"/>
        <v>37009</v>
      </c>
      <c r="BA804" s="616">
        <f t="shared" si="1757"/>
        <v>16636.433426984044</v>
      </c>
      <c r="BB804" s="616">
        <f t="shared" ref="BB804" si="1758">BB797-BB802+BB801+BB799</f>
        <v>18238.011958473588</v>
      </c>
      <c r="BC804" s="616">
        <f t="shared" si="1757"/>
        <v>19727.965572865374</v>
      </c>
      <c r="BD804" s="616">
        <f t="shared" si="1757"/>
        <v>20888.344086501922</v>
      </c>
      <c r="BE804" s="616">
        <f t="shared" ref="BE804" si="1759">BE797-BE802+BE801+BE799</f>
        <v>21441.804884779103</v>
      </c>
      <c r="BM804"/>
      <c r="BN804"/>
      <c r="BO804"/>
      <c r="BP804"/>
      <c r="BQ804"/>
      <c r="BR804"/>
    </row>
    <row r="805" spans="1:70" s="342" customFormat="1" ht="13.5" thickBot="1" x14ac:dyDescent="0.25">
      <c r="A805" s="411"/>
      <c r="B805" s="10"/>
      <c r="C805" s="9"/>
      <c r="D805" s="327"/>
      <c r="E805" s="327"/>
      <c r="F805" s="327"/>
      <c r="G805" s="327"/>
      <c r="H805" s="327"/>
      <c r="I805" s="327"/>
      <c r="J805" s="327"/>
      <c r="K805" s="327"/>
      <c r="L805" s="327"/>
      <c r="M805" s="327"/>
      <c r="N805" s="327"/>
      <c r="O805" s="327"/>
      <c r="P805" s="327"/>
      <c r="Q805" s="327"/>
      <c r="R805" s="327"/>
      <c r="S805" s="327"/>
      <c r="T805" s="327"/>
      <c r="U805" s="327"/>
      <c r="V805" s="327"/>
      <c r="W805" s="327"/>
      <c r="AC805" s="624"/>
      <c r="AD805" s="615"/>
      <c r="AE805" s="615"/>
      <c r="AF805" s="615"/>
      <c r="AG805" s="615"/>
      <c r="AH805" s="615"/>
      <c r="AI805" s="624"/>
      <c r="AJ805" s="624"/>
      <c r="AK805" s="624"/>
      <c r="AL805" s="624"/>
      <c r="AM805" s="624"/>
      <c r="AN805" s="624"/>
      <c r="AO805" s="624"/>
      <c r="AP805" s="624"/>
      <c r="AQ805" s="624"/>
      <c r="AR805" s="70"/>
      <c r="AS805" s="10"/>
      <c r="AT805" s="1217"/>
      <c r="AU805" s="626"/>
      <c r="AV805" s="624"/>
      <c r="AW805" s="615"/>
      <c r="AX805" s="626"/>
      <c r="AY805" s="615"/>
      <c r="AZ805" s="622"/>
      <c r="BC805" s="624"/>
      <c r="BD805" s="624"/>
      <c r="BE805" s="624"/>
      <c r="BM805"/>
      <c r="BN805"/>
      <c r="BO805"/>
      <c r="BP805"/>
      <c r="BQ805"/>
      <c r="BR805"/>
    </row>
    <row r="806" spans="1:70" x14ac:dyDescent="0.2">
      <c r="A806" s="830"/>
      <c r="B806" s="929" t="s">
        <v>398</v>
      </c>
      <c r="C806" s="930"/>
      <c r="D806" s="931">
        <f t="shared" ref="D806:AE806" si="1760">D797/D1326</f>
        <v>1.1041459369817579</v>
      </c>
      <c r="E806" s="931">
        <f t="shared" si="1760"/>
        <v>0.98441127694859043</v>
      </c>
      <c r="F806" s="931">
        <f t="shared" si="1760"/>
        <v>1.085240464344942</v>
      </c>
      <c r="G806" s="931">
        <f t="shared" si="1760"/>
        <v>0.50745773947630091</v>
      </c>
      <c r="H806" s="931">
        <f t="shared" si="1760"/>
        <v>1.290311986863711</v>
      </c>
      <c r="I806" s="931">
        <f t="shared" si="1760"/>
        <v>1.2386736703873933</v>
      </c>
      <c r="J806" s="931">
        <f t="shared" si="1760"/>
        <v>0.98980598487339688</v>
      </c>
      <c r="K806" s="931">
        <f t="shared" si="1760"/>
        <v>0.74365733113673804</v>
      </c>
      <c r="L806" s="931">
        <f t="shared" si="1760"/>
        <v>1.2905027932960893</v>
      </c>
      <c r="M806" s="931">
        <f t="shared" si="1760"/>
        <v>4.0157998683344305E-2</v>
      </c>
      <c r="N806" s="931">
        <f t="shared" si="1760"/>
        <v>0.95980230642504116</v>
      </c>
      <c r="O806" s="931">
        <f t="shared" si="1760"/>
        <v>5.9036939313984169E-2</v>
      </c>
      <c r="P806" s="931">
        <f t="shared" si="1760"/>
        <v>1.5241855873642645</v>
      </c>
      <c r="Q806" s="931">
        <f t="shared" si="1760"/>
        <v>1.4472727272727273</v>
      </c>
      <c r="R806" s="931">
        <f t="shared" si="1760"/>
        <v>1.3159826493159827</v>
      </c>
      <c r="S806" s="931">
        <f t="shared" si="1760"/>
        <v>1.0730639730639731</v>
      </c>
      <c r="T806" s="931">
        <f t="shared" si="1760"/>
        <v>1.1053346924906557</v>
      </c>
      <c r="U806" s="931">
        <f t="shared" si="1760"/>
        <v>1.2503429355281208</v>
      </c>
      <c r="V806" s="931">
        <f t="shared" si="1760"/>
        <v>1.2472222222222222</v>
      </c>
      <c r="W806" s="931">
        <f t="shared" si="1760"/>
        <v>1.1396588486140724</v>
      </c>
      <c r="X806" s="931">
        <f t="shared" si="1760"/>
        <v>1.35647143890094</v>
      </c>
      <c r="Y806" s="931">
        <f t="shared" ref="Y806:Z806" si="1761">Y797/Y1326</f>
        <v>1.2715391355140189</v>
      </c>
      <c r="Z806" s="931">
        <f t="shared" si="1761"/>
        <v>1.4207996422849052</v>
      </c>
      <c r="AA806" s="931">
        <f t="shared" ref="AA806:AB806" si="1762">AA797/AA1326</f>
        <v>1.3345100145806155</v>
      </c>
      <c r="AB806" s="931">
        <f t="shared" si="1762"/>
        <v>1.6792820912992588</v>
      </c>
      <c r="AC806" s="931">
        <f t="shared" si="1760"/>
        <v>1.6131362248152867</v>
      </c>
      <c r="AD806" s="931">
        <f t="shared" si="1760"/>
        <v>1.6992945156656953</v>
      </c>
      <c r="AE806" s="931">
        <f t="shared" si="1760"/>
        <v>1.6548137115900834</v>
      </c>
      <c r="AF806" s="931">
        <f t="shared" ref="AF806:AI806" si="1763">AF797/AF1326</f>
        <v>1.9360392326331692</v>
      </c>
      <c r="AG806" s="931">
        <f t="shared" si="1763"/>
        <v>2.0173838383606579</v>
      </c>
      <c r="AH806" s="931">
        <f t="shared" si="1763"/>
        <v>2.0497843491120911</v>
      </c>
      <c r="AI806" s="932">
        <f t="shared" si="1763"/>
        <v>1.9637202647973697</v>
      </c>
      <c r="AJ806" s="1753"/>
      <c r="AK806" s="1753"/>
      <c r="AL806" s="1753"/>
      <c r="AM806" s="1753"/>
      <c r="AN806" s="1753"/>
      <c r="AO806" s="1753"/>
      <c r="AP806" s="1753"/>
      <c r="AQ806" s="1753"/>
      <c r="AS806" s="929" t="s">
        <v>398</v>
      </c>
      <c r="AT806" s="930"/>
      <c r="AU806" s="931">
        <f t="shared" ref="AU806:BD806" si="1764">AU797/AU1326</f>
        <v>3.6809815950920246</v>
      </c>
      <c r="AV806" s="931">
        <f t="shared" si="1764"/>
        <v>4.2636640092052271</v>
      </c>
      <c r="AW806" s="931">
        <f t="shared" si="1764"/>
        <v>2.3513335528482053</v>
      </c>
      <c r="AX806" s="931">
        <f t="shared" si="1764"/>
        <v>5.366469952622392</v>
      </c>
      <c r="AY806" s="931">
        <f t="shared" si="1764"/>
        <v>4.7426642430537527</v>
      </c>
      <c r="AZ806" s="931">
        <f t="shared" si="1764"/>
        <v>5.382442033885745</v>
      </c>
      <c r="BA806" s="931">
        <f t="shared" si="1764"/>
        <v>6.6463076569865081</v>
      </c>
      <c r="BB806" s="931">
        <f t="shared" ref="BB806" si="1765">BB797/BB1326</f>
        <v>7.9655392750409657</v>
      </c>
      <c r="BC806" s="931">
        <f t="shared" si="1764"/>
        <v>9.3023259924377815</v>
      </c>
      <c r="BD806" s="931">
        <f t="shared" si="1764"/>
        <v>10.443193931519048</v>
      </c>
      <c r="BE806" s="932">
        <f t="shared" ref="BE806" si="1766">BE797/BE1326</f>
        <v>11.302220448498844</v>
      </c>
    </row>
    <row r="807" spans="1:70" ht="13.5" thickBot="1" x14ac:dyDescent="0.25">
      <c r="A807" s="830"/>
      <c r="B807" s="933" t="s">
        <v>401</v>
      </c>
      <c r="C807" s="934"/>
      <c r="D807" s="935">
        <f t="shared" ref="D807:AE807" si="1767">D804/D1326</f>
        <v>0.94494195688225535</v>
      </c>
      <c r="E807" s="935">
        <f t="shared" si="1767"/>
        <v>0.94228855721393034</v>
      </c>
      <c r="F807" s="935">
        <f t="shared" si="1767"/>
        <v>0.15920398009950248</v>
      </c>
      <c r="G807" s="935">
        <f t="shared" si="1767"/>
        <v>0.37951607557176004</v>
      </c>
      <c r="H807" s="935">
        <f t="shared" si="1767"/>
        <v>1.2144499178981938</v>
      </c>
      <c r="I807" s="935">
        <f t="shared" si="1767"/>
        <v>1.3447143795141168</v>
      </c>
      <c r="J807" s="935">
        <f t="shared" si="1767"/>
        <v>1.0095363367313384</v>
      </c>
      <c r="K807" s="935">
        <f t="shared" si="1767"/>
        <v>0.77034596375617792</v>
      </c>
      <c r="L807" s="935">
        <f t="shared" si="1767"/>
        <v>1.2349654945777193</v>
      </c>
      <c r="M807" s="935">
        <f t="shared" si="1767"/>
        <v>2.6333113890717578E-2</v>
      </c>
      <c r="N807" s="935">
        <f t="shared" si="1767"/>
        <v>0.8794069192751236</v>
      </c>
      <c r="O807" s="935">
        <f t="shared" si="1767"/>
        <v>6.0026385224274406E-2</v>
      </c>
      <c r="P807" s="935">
        <f t="shared" si="1767"/>
        <v>1.5070746956235603</v>
      </c>
      <c r="Q807" s="935">
        <f t="shared" si="1767"/>
        <v>1.5140495867768595</v>
      </c>
      <c r="R807" s="935">
        <f t="shared" si="1767"/>
        <v>1.3550216883550217</v>
      </c>
      <c r="S807" s="935">
        <f t="shared" si="1767"/>
        <v>1.0195286195286195</v>
      </c>
      <c r="T807" s="935">
        <f t="shared" si="1767"/>
        <v>1.1046551138294258</v>
      </c>
      <c r="U807" s="935">
        <f t="shared" si="1767"/>
        <v>1.2424554183813443</v>
      </c>
      <c r="V807" s="935">
        <f t="shared" si="1767"/>
        <v>1.2368055555555555</v>
      </c>
      <c r="W807" s="935">
        <f t="shared" si="1767"/>
        <v>1.1385927505330491</v>
      </c>
      <c r="X807" s="935">
        <f t="shared" si="1767"/>
        <v>1.3499638467100505</v>
      </c>
      <c r="Y807" s="935">
        <f t="shared" ref="Y807:Z807" si="1768">Y804/Y1326</f>
        <v>1.2792056074766356</v>
      </c>
      <c r="Z807" s="935">
        <f t="shared" si="1768"/>
        <v>1.4189365428326566</v>
      </c>
      <c r="AA807" s="935">
        <f t="shared" ref="AA807:AB807" si="1769">AA804/AA1326</f>
        <v>-7.3766403192387386</v>
      </c>
      <c r="AB807" s="935">
        <f t="shared" si="1769"/>
        <v>1.6765509168942645</v>
      </c>
      <c r="AC807" s="935">
        <f t="shared" si="1767"/>
        <v>1.6131362248152867</v>
      </c>
      <c r="AD807" s="935">
        <f t="shared" si="1767"/>
        <v>1.6992945156656953</v>
      </c>
      <c r="AE807" s="935">
        <f t="shared" si="1767"/>
        <v>1.6548137115900834</v>
      </c>
      <c r="AF807" s="935">
        <f t="shared" ref="AF807:AI807" si="1770">AF804/AF1326</f>
        <v>1.9360392326331692</v>
      </c>
      <c r="AG807" s="935">
        <f t="shared" si="1770"/>
        <v>2.0173838383606579</v>
      </c>
      <c r="AH807" s="935">
        <f t="shared" si="1770"/>
        <v>2.0497843491120911</v>
      </c>
      <c r="AI807" s="936">
        <f t="shared" si="1770"/>
        <v>1.9637202647973697</v>
      </c>
      <c r="AJ807" s="1753"/>
      <c r="AK807" s="1753"/>
      <c r="AL807" s="1753"/>
      <c r="AM807" s="1753"/>
      <c r="AN807" s="1753"/>
      <c r="AO807" s="1753"/>
      <c r="AP807" s="1753"/>
      <c r="AQ807" s="1753"/>
      <c r="AS807" s="933" t="s">
        <v>401</v>
      </c>
      <c r="AT807" s="934"/>
      <c r="AU807" s="935">
        <f t="shared" ref="AU807:BD807" si="1771">AU804/AU1326</f>
        <v>3.9386503067484662</v>
      </c>
      <c r="AV807" s="935">
        <f t="shared" si="1771"/>
        <v>4.2245417933755238</v>
      </c>
      <c r="AW807" s="935">
        <f t="shared" si="1771"/>
        <v>2.3407968389858413</v>
      </c>
      <c r="AX807" s="935">
        <f t="shared" si="1771"/>
        <v>5.4023771922533452</v>
      </c>
      <c r="AY807" s="935">
        <f t="shared" si="1771"/>
        <v>4.7225828789059117</v>
      </c>
      <c r="AZ807" s="935">
        <f t="shared" si="1771"/>
        <v>13.713258793341426</v>
      </c>
      <c r="BA807" s="935">
        <f t="shared" si="1771"/>
        <v>6.6435123110740788</v>
      </c>
      <c r="BB807" s="935">
        <f t="shared" ref="BB807" si="1772">BB804/BB1326</f>
        <v>7.9655392750409657</v>
      </c>
      <c r="BC807" s="935">
        <f t="shared" si="1771"/>
        <v>9.3023259924377815</v>
      </c>
      <c r="BD807" s="935">
        <f t="shared" si="1771"/>
        <v>10.443193931519048</v>
      </c>
      <c r="BE807" s="936">
        <f t="shared" ref="BE807" si="1773">BE804/BE1326</f>
        <v>11.302220448498844</v>
      </c>
    </row>
    <row r="808" spans="1:70" x14ac:dyDescent="0.2">
      <c r="B808" s="316"/>
      <c r="C808" s="427"/>
      <c r="D808" s="15"/>
      <c r="E808" s="15"/>
      <c r="F808" s="15"/>
      <c r="G808" s="15"/>
      <c r="H808" s="15"/>
      <c r="I808" s="15"/>
      <c r="J808" s="15"/>
      <c r="K808" s="15"/>
      <c r="L808" s="15"/>
      <c r="M808" s="15"/>
      <c r="N808" s="15"/>
      <c r="O808" s="15"/>
      <c r="P808" s="15"/>
      <c r="Q808" s="15"/>
      <c r="R808" s="15"/>
      <c r="S808" s="15"/>
      <c r="T808" s="15"/>
      <c r="U808" s="15"/>
      <c r="V808" s="15"/>
      <c r="W808" s="15"/>
      <c r="X808" s="70"/>
      <c r="Y808" s="70"/>
      <c r="Z808" s="70"/>
      <c r="AA808" s="70"/>
      <c r="AB808" s="70"/>
      <c r="AC808" s="70"/>
      <c r="AD808" s="70"/>
      <c r="AE808" s="70"/>
      <c r="AF808" s="70"/>
      <c r="AG808" s="70"/>
      <c r="AH808" s="70"/>
      <c r="AI808" s="70"/>
      <c r="AJ808" s="70"/>
      <c r="AK808" s="70"/>
      <c r="AL808" s="70"/>
      <c r="AM808" s="70"/>
      <c r="AN808" s="70"/>
      <c r="AO808" s="70"/>
      <c r="AP808" s="70"/>
      <c r="AQ808" s="70"/>
      <c r="AS808" s="316"/>
      <c r="AT808" s="427"/>
    </row>
    <row r="809" spans="1:70" x14ac:dyDescent="0.2">
      <c r="B809" s="322" t="s">
        <v>413</v>
      </c>
      <c r="C809" s="427"/>
      <c r="D809" s="37">
        <f t="shared" ref="D809:AE809" si="1774">D786*(1-D810)</f>
        <v>-622.70000000000005</v>
      </c>
      <c r="E809" s="37">
        <f t="shared" si="1774"/>
        <v>-516.75</v>
      </c>
      <c r="F809" s="37">
        <f t="shared" si="1774"/>
        <v>-830.05000000000007</v>
      </c>
      <c r="G809" s="37">
        <f t="shared" si="1774"/>
        <v>83.2</v>
      </c>
      <c r="H809" s="37">
        <f t="shared" si="1774"/>
        <v>-272.35000000000002</v>
      </c>
      <c r="I809" s="37">
        <f t="shared" si="1774"/>
        <v>-379.6</v>
      </c>
      <c r="J809" s="37">
        <f t="shared" si="1774"/>
        <v>-306.15000000000003</v>
      </c>
      <c r="K809" s="37">
        <f t="shared" si="1774"/>
        <v>-308.75</v>
      </c>
      <c r="L809" s="37">
        <f t="shared" si="1774"/>
        <v>-302.25</v>
      </c>
      <c r="M809" s="37">
        <f t="shared" si="1774"/>
        <v>-298.35000000000002</v>
      </c>
      <c r="N809" s="37">
        <f t="shared" si="1774"/>
        <v>-225.55</v>
      </c>
      <c r="O809" s="37">
        <f t="shared" si="1774"/>
        <v>-152.75</v>
      </c>
      <c r="P809" s="37">
        <f t="shared" si="1774"/>
        <v>-27.3</v>
      </c>
      <c r="Q809" s="37">
        <f t="shared" si="1774"/>
        <v>-176.8</v>
      </c>
      <c r="R809" s="37">
        <f t="shared" si="1774"/>
        <v>112.45</v>
      </c>
      <c r="S809" s="37">
        <f t="shared" si="1774"/>
        <v>488.8</v>
      </c>
      <c r="T809" s="37">
        <f t="shared" si="1774"/>
        <v>208.65</v>
      </c>
      <c r="U809" s="37">
        <f t="shared" si="1774"/>
        <v>-134.55000000000001</v>
      </c>
      <c r="V809" s="37">
        <f t="shared" si="1774"/>
        <v>137.15</v>
      </c>
      <c r="W809" s="37">
        <f t="shared" si="1774"/>
        <v>62.400000000000006</v>
      </c>
      <c r="X809" s="37">
        <f t="shared" si="1774"/>
        <v>-30.55</v>
      </c>
      <c r="Y809" s="37">
        <f t="shared" ref="Y809:Z809" si="1775">Y786*(1-Y810)</f>
        <v>4.55</v>
      </c>
      <c r="Z809" s="37">
        <f t="shared" si="1775"/>
        <v>144.30000000000001</v>
      </c>
      <c r="AA809" s="37">
        <f t="shared" ref="AA809" si="1776">AA786*(1-AA810)</f>
        <v>125.45</v>
      </c>
      <c r="AB809" s="37">
        <f t="shared" si="1774"/>
        <v>-7.9</v>
      </c>
      <c r="AC809" s="37">
        <f t="shared" si="1774"/>
        <v>139.62024173232888</v>
      </c>
      <c r="AD809" s="37">
        <f t="shared" si="1774"/>
        <v>146.60119686013394</v>
      </c>
      <c r="AE809" s="37">
        <f t="shared" si="1774"/>
        <v>159.56187190355226</v>
      </c>
      <c r="AF809" s="37">
        <f t="shared" ref="AF809:AI809" si="1777">AF786*(1-AF810)</f>
        <v>144.88634573784734</v>
      </c>
      <c r="AG809" s="37">
        <f t="shared" si="1777"/>
        <v>156.29566364928772</v>
      </c>
      <c r="AH809" s="37">
        <f t="shared" si="1777"/>
        <v>166.33633032096796</v>
      </c>
      <c r="AI809" s="37">
        <f t="shared" si="1777"/>
        <v>174.18959755138354</v>
      </c>
      <c r="AJ809" s="37"/>
      <c r="AK809" s="37"/>
      <c r="AL809" s="37"/>
      <c r="AM809" s="37"/>
      <c r="AN809" s="37"/>
      <c r="AO809" s="37"/>
      <c r="AP809" s="37"/>
      <c r="AQ809" s="37"/>
      <c r="AS809" s="322" t="s">
        <v>413</v>
      </c>
      <c r="AT809" s="427"/>
      <c r="AU809" s="232">
        <f>SUM(D809:G809)</f>
        <v>-1886.3</v>
      </c>
      <c r="AV809" s="232">
        <f>SUM(H809:K809)</f>
        <v>-1266.8500000000001</v>
      </c>
      <c r="AW809" s="232">
        <f>SUM(L809:O809)</f>
        <v>-978.90000000000009</v>
      </c>
      <c r="AX809" s="232">
        <f>SUM(P809:S809)</f>
        <v>397.15</v>
      </c>
      <c r="AY809" s="232">
        <f>SUM(T809:W809)</f>
        <v>273.64999999999998</v>
      </c>
      <c r="AZ809" s="232">
        <f>SUM(X809:AA809)</f>
        <v>243.75</v>
      </c>
      <c r="BA809" s="232">
        <f>SUM(AB809:AE809)</f>
        <v>437.88331049601504</v>
      </c>
      <c r="BB809" s="232">
        <f>SUM(AF809:AI809)</f>
        <v>641.70793725948647</v>
      </c>
      <c r="BC809" s="37">
        <f t="shared" ref="BC809:BE809" si="1778">BC786*(1-BC810)</f>
        <v>726.27879614748781</v>
      </c>
      <c r="BD809" s="37">
        <f t="shared" si="1778"/>
        <v>804.2367591660726</v>
      </c>
      <c r="BE809" s="37">
        <f t="shared" si="1778"/>
        <v>892.21373077057194</v>
      </c>
    </row>
    <row r="810" spans="1:70" s="72" customFormat="1" x14ac:dyDescent="0.2">
      <c r="A810" s="831"/>
      <c r="B810" s="38"/>
      <c r="C810" s="46" t="s">
        <v>410</v>
      </c>
      <c r="D810" s="403">
        <v>0.35</v>
      </c>
      <c r="E810" s="403">
        <v>0.35</v>
      </c>
      <c r="F810" s="403">
        <v>0.35</v>
      </c>
      <c r="G810" s="403">
        <v>0.35</v>
      </c>
      <c r="H810" s="403">
        <v>0.35</v>
      </c>
      <c r="I810" s="403">
        <v>0.35</v>
      </c>
      <c r="J810" s="403">
        <v>0.35</v>
      </c>
      <c r="K810" s="403">
        <v>0.35</v>
      </c>
      <c r="L810" s="403">
        <v>0.35</v>
      </c>
      <c r="M810" s="403">
        <v>0.35</v>
      </c>
      <c r="N810" s="403">
        <v>0.35</v>
      </c>
      <c r="O810" s="403">
        <v>0.35</v>
      </c>
      <c r="P810" s="403">
        <v>0.35</v>
      </c>
      <c r="Q810" s="403">
        <v>0.35</v>
      </c>
      <c r="R810" s="403">
        <v>0.35</v>
      </c>
      <c r="S810" s="403">
        <v>0.35</v>
      </c>
      <c r="T810" s="403">
        <v>0.35</v>
      </c>
      <c r="U810" s="403">
        <v>0.35</v>
      </c>
      <c r="V810" s="403">
        <v>0.35</v>
      </c>
      <c r="W810" s="403">
        <v>0.35</v>
      </c>
      <c r="X810" s="403">
        <v>0.35</v>
      </c>
      <c r="Y810" s="403">
        <v>0.35</v>
      </c>
      <c r="Z810" s="403">
        <v>0.35</v>
      </c>
      <c r="AA810" s="403">
        <v>0.35</v>
      </c>
      <c r="AB810" s="403">
        <v>0.21</v>
      </c>
      <c r="AC810" s="403">
        <v>0.21</v>
      </c>
      <c r="AD810" s="403">
        <v>0.21</v>
      </c>
      <c r="AE810" s="403">
        <v>0.21</v>
      </c>
      <c r="AF810" s="403">
        <v>0.21</v>
      </c>
      <c r="AG810" s="403">
        <v>0.21</v>
      </c>
      <c r="AH810" s="403">
        <v>0.21</v>
      </c>
      <c r="AI810" s="403">
        <v>0.21</v>
      </c>
      <c r="AJ810" s="403"/>
      <c r="AK810" s="403"/>
      <c r="AL810" s="403"/>
      <c r="AM810" s="403"/>
      <c r="AN810" s="403"/>
      <c r="AO810" s="403"/>
      <c r="AP810" s="403"/>
      <c r="AQ810" s="403"/>
      <c r="AR810" s="70"/>
      <c r="AS810" s="38"/>
      <c r="AT810" s="46" t="s">
        <v>410</v>
      </c>
      <c r="AU810" s="403">
        <v>0.35</v>
      </c>
      <c r="AV810" s="403">
        <v>0.35</v>
      </c>
      <c r="AW810" s="403">
        <v>0.35</v>
      </c>
      <c r="AX810" s="403">
        <v>0.35</v>
      </c>
      <c r="AY810" s="403">
        <v>0.35</v>
      </c>
      <c r="AZ810" s="403">
        <v>0.35</v>
      </c>
      <c r="BA810" s="403">
        <v>0.21</v>
      </c>
      <c r="BB810" s="403">
        <v>0.21</v>
      </c>
      <c r="BC810" s="403">
        <v>0.21</v>
      </c>
      <c r="BD810" s="403">
        <v>0.21</v>
      </c>
      <c r="BE810" s="403">
        <v>0.21</v>
      </c>
      <c r="BM810"/>
      <c r="BN810"/>
      <c r="BO810"/>
      <c r="BP810"/>
      <c r="BQ810"/>
      <c r="BR810"/>
    </row>
    <row r="811" spans="1:70" x14ac:dyDescent="0.2">
      <c r="B811" s="322" t="s">
        <v>412</v>
      </c>
      <c r="C811" s="427"/>
      <c r="D811" s="37">
        <f t="shared" ref="D811:AE811" si="1779">D797+D809</f>
        <v>2706.3</v>
      </c>
      <c r="E811" s="37">
        <f t="shared" si="1779"/>
        <v>2451.25</v>
      </c>
      <c r="F811" s="37">
        <f t="shared" si="1779"/>
        <v>2441.9499999999998</v>
      </c>
      <c r="G811" s="37">
        <f t="shared" si="1779"/>
        <v>1614.2</v>
      </c>
      <c r="H811" s="37">
        <f t="shared" si="1779"/>
        <v>3656.65</v>
      </c>
      <c r="I811" s="37">
        <f t="shared" si="1779"/>
        <v>3393.4</v>
      </c>
      <c r="J811" s="37">
        <f t="shared" si="1779"/>
        <v>2703.85</v>
      </c>
      <c r="K811" s="37">
        <f t="shared" si="1779"/>
        <v>1948.25</v>
      </c>
      <c r="L811" s="37">
        <f t="shared" si="1779"/>
        <v>3624.75</v>
      </c>
      <c r="M811" s="37">
        <f t="shared" si="1779"/>
        <v>-176.35000000000002</v>
      </c>
      <c r="N811" s="37">
        <f t="shared" si="1779"/>
        <v>2687.45</v>
      </c>
      <c r="O811" s="37">
        <f t="shared" si="1779"/>
        <v>26.25</v>
      </c>
      <c r="P811" s="37">
        <f t="shared" si="1779"/>
        <v>4604.7</v>
      </c>
      <c r="Q811" s="37">
        <f t="shared" si="1779"/>
        <v>4201.2</v>
      </c>
      <c r="R811" s="37">
        <f t="shared" si="1779"/>
        <v>4056.45</v>
      </c>
      <c r="S811" s="37">
        <f t="shared" si="1779"/>
        <v>3675.8</v>
      </c>
      <c r="T811" s="37">
        <f t="shared" si="1779"/>
        <v>3461.65</v>
      </c>
      <c r="U811" s="37">
        <f t="shared" si="1779"/>
        <v>3511.45</v>
      </c>
      <c r="V811" s="37">
        <f t="shared" si="1779"/>
        <v>3729.15</v>
      </c>
      <c r="W811" s="37">
        <f t="shared" si="1779"/>
        <v>3269.4</v>
      </c>
      <c r="X811" s="37">
        <f t="shared" si="1779"/>
        <v>3721.45</v>
      </c>
      <c r="Y811" s="37">
        <f t="shared" ref="Y811:Z811" si="1780">Y797+Y809</f>
        <v>3487.55</v>
      </c>
      <c r="Z811" s="37">
        <f t="shared" si="1780"/>
        <v>3957.3</v>
      </c>
      <c r="AA811" s="37">
        <f t="shared" ref="AA811:AB811" si="1781">AA797+AA809</f>
        <v>3603.45</v>
      </c>
      <c r="AB811" s="37">
        <f t="shared" si="1781"/>
        <v>4296.1000000000004</v>
      </c>
      <c r="AC811" s="37">
        <f t="shared" si="1779"/>
        <v>4232.6247990472075</v>
      </c>
      <c r="AD811" s="37">
        <f t="shared" si="1779"/>
        <v>4378.7271469626676</v>
      </c>
      <c r="AE811" s="37">
        <f t="shared" si="1779"/>
        <v>4173.8647914701814</v>
      </c>
      <c r="AF811" s="37">
        <f t="shared" ref="AF811:AI811" si="1782">AF797+AF809</f>
        <v>4730.4237920799924</v>
      </c>
      <c r="AG811" s="37">
        <f t="shared" si="1782"/>
        <v>4826.8066618330267</v>
      </c>
      <c r="AH811" s="37">
        <f t="shared" si="1782"/>
        <v>4803.2417562600358</v>
      </c>
      <c r="AI811" s="37">
        <f t="shared" si="1782"/>
        <v>4519.2476855600225</v>
      </c>
      <c r="AJ811" s="37"/>
      <c r="AK811" s="37"/>
      <c r="AL811" s="37"/>
      <c r="AM811" s="37"/>
      <c r="AN811" s="37"/>
      <c r="AO811" s="37"/>
      <c r="AP811" s="37"/>
      <c r="AQ811" s="37"/>
      <c r="AS811" s="322" t="s">
        <v>412</v>
      </c>
      <c r="AT811" s="427"/>
      <c r="AU811" s="37">
        <f t="shared" ref="AU811:BD811" si="1783">AU797+AU809</f>
        <v>9213.7000000000007</v>
      </c>
      <c r="AV811" s="37">
        <f t="shared" si="1783"/>
        <v>11702.15</v>
      </c>
      <c r="AW811" s="37">
        <f t="shared" si="1783"/>
        <v>6162.1</v>
      </c>
      <c r="AX811" s="37">
        <f t="shared" si="1783"/>
        <v>16538.150000000001</v>
      </c>
      <c r="AY811" s="37">
        <f t="shared" si="1783"/>
        <v>13971.65</v>
      </c>
      <c r="AZ811" s="37">
        <f t="shared" si="1783"/>
        <v>14769.75</v>
      </c>
      <c r="BA811" s="37">
        <f t="shared" si="1783"/>
        <v>17081.316737480058</v>
      </c>
      <c r="BB811" s="37">
        <f t="shared" ref="BB811" si="1784">BB797+BB809</f>
        <v>18879.719895733073</v>
      </c>
      <c r="BC811" s="37">
        <f t="shared" si="1783"/>
        <v>20454.244369012864</v>
      </c>
      <c r="BD811" s="37">
        <f t="shared" si="1783"/>
        <v>21692.580845667995</v>
      </c>
      <c r="BE811" s="37">
        <f t="shared" ref="BE811" si="1785">BE797+BE809</f>
        <v>22334.018615549674</v>
      </c>
    </row>
    <row r="812" spans="1:70" x14ac:dyDescent="0.2">
      <c r="B812" s="322" t="s">
        <v>414</v>
      </c>
      <c r="C812" s="427"/>
      <c r="D812" s="130">
        <f t="shared" ref="D812:AE812" si="1786">-1*D809/D$1326</f>
        <v>0.20653399668325043</v>
      </c>
      <c r="E812" s="130">
        <f t="shared" si="1786"/>
        <v>0.17139303482587065</v>
      </c>
      <c r="F812" s="130">
        <f t="shared" si="1786"/>
        <v>0.27530679933665009</v>
      </c>
      <c r="G812" s="130">
        <f t="shared" si="1786"/>
        <v>-2.7577063307921777E-2</v>
      </c>
      <c r="H812" s="130">
        <f t="shared" si="1786"/>
        <v>8.9441707717569791E-2</v>
      </c>
      <c r="I812" s="130">
        <f t="shared" si="1786"/>
        <v>0.12462245567957979</v>
      </c>
      <c r="J812" s="130">
        <f t="shared" si="1786"/>
        <v>0.10067412035514635</v>
      </c>
      <c r="K812" s="130">
        <f t="shared" si="1786"/>
        <v>0.10172981878088962</v>
      </c>
      <c r="L812" s="130">
        <f t="shared" si="1786"/>
        <v>9.9326322707854089E-2</v>
      </c>
      <c r="M812" s="130">
        <f t="shared" si="1786"/>
        <v>9.8206056616194873E-2</v>
      </c>
      <c r="N812" s="130">
        <f t="shared" si="1786"/>
        <v>7.4316309719934109E-2</v>
      </c>
      <c r="O812" s="130">
        <f t="shared" si="1786"/>
        <v>5.037928759894459E-2</v>
      </c>
      <c r="P812" s="130">
        <f t="shared" si="1786"/>
        <v>8.983218163869695E-3</v>
      </c>
      <c r="Q812" s="130">
        <f t="shared" si="1786"/>
        <v>5.8446280991735544E-2</v>
      </c>
      <c r="R812" s="130">
        <f t="shared" si="1786"/>
        <v>-3.7520854187520852E-2</v>
      </c>
      <c r="S812" s="130">
        <f t="shared" si="1786"/>
        <v>-0.16457912457912457</v>
      </c>
      <c r="T812" s="130">
        <f t="shared" si="1786"/>
        <v>-7.089704383282365E-2</v>
      </c>
      <c r="U812" s="130">
        <f t="shared" si="1786"/>
        <v>4.6141975308641982E-2</v>
      </c>
      <c r="V812" s="130">
        <f t="shared" si="1786"/>
        <v>-4.7621527777777777E-2</v>
      </c>
      <c r="W812" s="130">
        <f t="shared" si="1786"/>
        <v>-2.2174840085287847E-2</v>
      </c>
      <c r="X812" s="130">
        <f t="shared" si="1786"/>
        <v>1.1044830079537238E-2</v>
      </c>
      <c r="Y812" s="130">
        <f t="shared" ref="Y812:Z812" si="1787">-1*Y809/Y$1326</f>
        <v>-1.6610689252336448E-3</v>
      </c>
      <c r="Z812" s="130">
        <f t="shared" si="1787"/>
        <v>-5.3769050191899252E-2</v>
      </c>
      <c r="AA812" s="130">
        <f t="shared" ref="AA812:AB812" si="1788">-1*AA809/AA$1326</f>
        <v>-4.8135216023328986E-2</v>
      </c>
      <c r="AB812" s="130">
        <f t="shared" si="1788"/>
        <v>3.0823253999219665E-3</v>
      </c>
      <c r="AC812" s="130">
        <f t="shared" si="1786"/>
        <v>-5.5027172948871918E-2</v>
      </c>
      <c r="AD812" s="130">
        <f t="shared" si="1786"/>
        <v>-5.8863704141039822E-2</v>
      </c>
      <c r="AE812" s="130">
        <f t="shared" si="1786"/>
        <v>-6.5776095816277913E-2</v>
      </c>
      <c r="AF812" s="130">
        <f t="shared" ref="AF812:AI812" si="1789">-1*AF809/AF$1326</f>
        <v>-6.1171815278726734E-2</v>
      </c>
      <c r="AG812" s="130">
        <f t="shared" si="1789"/>
        <v>-6.7510459984901669E-2</v>
      </c>
      <c r="AH812" s="130">
        <f t="shared" si="1789"/>
        <v>-7.353042067093897E-2</v>
      </c>
      <c r="AI812" s="130">
        <f t="shared" si="1789"/>
        <v>-7.8723836528804089E-2</v>
      </c>
      <c r="AJ812" s="130"/>
      <c r="AK812" s="130"/>
      <c r="AL812" s="130"/>
      <c r="AM812" s="130"/>
      <c r="AN812" s="130"/>
      <c r="AO812" s="130"/>
      <c r="AP812" s="130"/>
      <c r="AQ812" s="130"/>
      <c r="AS812" s="322" t="s">
        <v>414</v>
      </c>
      <c r="AT812" s="427"/>
      <c r="AU812" s="130">
        <f t="shared" ref="AU812:BD812" si="1790">-1*AU809/AU$1326</f>
        <v>0.62553473719117891</v>
      </c>
      <c r="AV812" s="130">
        <f t="shared" si="1790"/>
        <v>0.41648721952823214</v>
      </c>
      <c r="AW812" s="130">
        <f t="shared" si="1790"/>
        <v>0.32232466249588415</v>
      </c>
      <c r="AX812" s="130">
        <f t="shared" si="1790"/>
        <v>-0.13204222425401047</v>
      </c>
      <c r="AY812" s="130">
        <f t="shared" si="1790"/>
        <v>-9.4745953432008992E-2</v>
      </c>
      <c r="AZ812" s="130">
        <f t="shared" si="1790"/>
        <v>-9.0318755731767203E-2</v>
      </c>
      <c r="BA812" s="130">
        <f t="shared" si="1790"/>
        <v>-0.17486218887370777</v>
      </c>
      <c r="BB812" s="130">
        <f t="shared" ref="BB812" si="1791">-1*BB809/BB$1326</f>
        <v>-0.28026902213818755</v>
      </c>
      <c r="BC812" s="130">
        <f t="shared" si="1790"/>
        <v>-0.342462181323541</v>
      </c>
      <c r="BD812" s="130">
        <f t="shared" si="1790"/>
        <v>-0.40208072061849043</v>
      </c>
      <c r="BE812" s="130">
        <f t="shared" ref="BE812" si="1792">-1*BE809/BE$1326</f>
        <v>-0.47029605607058422</v>
      </c>
    </row>
    <row r="813" spans="1:70" x14ac:dyDescent="0.2">
      <c r="B813" s="322" t="s">
        <v>415</v>
      </c>
      <c r="C813" s="427"/>
      <c r="D813" s="130">
        <f t="shared" ref="D813:AE813" si="1793">D811/D$1326</f>
        <v>0.89761194029850755</v>
      </c>
      <c r="E813" s="130">
        <f t="shared" si="1793"/>
        <v>0.81301824212271978</v>
      </c>
      <c r="F813" s="130">
        <f t="shared" si="1793"/>
        <v>0.80993366500829178</v>
      </c>
      <c r="G813" s="130">
        <f t="shared" si="1793"/>
        <v>0.53503480278422277</v>
      </c>
      <c r="H813" s="130">
        <f t="shared" si="1793"/>
        <v>1.2008702791461412</v>
      </c>
      <c r="I813" s="130">
        <f t="shared" si="1793"/>
        <v>1.1140512147078137</v>
      </c>
      <c r="J813" s="130">
        <f t="shared" si="1793"/>
        <v>0.88913186451825055</v>
      </c>
      <c r="K813" s="130">
        <f t="shared" si="1793"/>
        <v>0.64192751235584844</v>
      </c>
      <c r="L813" s="130">
        <f t="shared" si="1793"/>
        <v>1.1911764705882353</v>
      </c>
      <c r="M813" s="130">
        <f t="shared" si="1793"/>
        <v>-5.8048057932850568E-2</v>
      </c>
      <c r="N813" s="130">
        <f t="shared" si="1793"/>
        <v>0.88548599670510697</v>
      </c>
      <c r="O813" s="130">
        <f t="shared" si="1793"/>
        <v>8.6576517150395785E-3</v>
      </c>
      <c r="P813" s="130">
        <f t="shared" si="1793"/>
        <v>1.5152023692003949</v>
      </c>
      <c r="Q813" s="130">
        <f t="shared" si="1793"/>
        <v>1.3888264462809916</v>
      </c>
      <c r="R813" s="130">
        <f t="shared" si="1793"/>
        <v>1.3535035035035035</v>
      </c>
      <c r="S813" s="130">
        <f t="shared" si="1793"/>
        <v>1.2376430976430977</v>
      </c>
      <c r="T813" s="130">
        <f t="shared" si="1793"/>
        <v>1.1762317363234795</v>
      </c>
      <c r="U813" s="130">
        <f t="shared" si="1793"/>
        <v>1.2042009602194788</v>
      </c>
      <c r="V813" s="130">
        <f t="shared" si="1793"/>
        <v>1.2948437500000001</v>
      </c>
      <c r="W813" s="130">
        <f t="shared" si="1793"/>
        <v>1.1618336886993603</v>
      </c>
      <c r="X813" s="130">
        <f t="shared" si="1793"/>
        <v>1.3454266088214026</v>
      </c>
      <c r="Y813" s="130">
        <f t="shared" ref="Y813:Z813" si="1794">Y811/Y$1326</f>
        <v>1.2732002044392525</v>
      </c>
      <c r="Z813" s="130">
        <f t="shared" si="1794"/>
        <v>1.4745686924768047</v>
      </c>
      <c r="AA813" s="130">
        <f t="shared" ref="AA813:AB813" si="1795">AA811/AA$1326</f>
        <v>1.3826452306039445</v>
      </c>
      <c r="AB813" s="130">
        <f t="shared" si="1795"/>
        <v>1.6761997658993368</v>
      </c>
      <c r="AC813" s="130">
        <f t="shared" si="1793"/>
        <v>1.6681633977641588</v>
      </c>
      <c r="AD813" s="130">
        <f t="shared" si="1793"/>
        <v>1.7581582198067354</v>
      </c>
      <c r="AE813" s="130">
        <f t="shared" si="1793"/>
        <v>1.7205898074063615</v>
      </c>
      <c r="AF813" s="130">
        <f t="shared" ref="AF813:AI813" si="1796">AF811/AF$1326</f>
        <v>1.9972110479118959</v>
      </c>
      <c r="AG813" s="130">
        <f t="shared" si="1796"/>
        <v>2.0848942983455601</v>
      </c>
      <c r="AH813" s="130">
        <f t="shared" si="1796"/>
        <v>2.1233147697830304</v>
      </c>
      <c r="AI813" s="130">
        <f t="shared" si="1796"/>
        <v>2.0424441013261738</v>
      </c>
      <c r="AJ813" s="130"/>
      <c r="AK813" s="130"/>
      <c r="AL813" s="130"/>
      <c r="AM813" s="130"/>
      <c r="AN813" s="130"/>
      <c r="AO813" s="130"/>
      <c r="AP813" s="130"/>
      <c r="AQ813" s="130"/>
      <c r="AS813" s="322" t="s">
        <v>415</v>
      </c>
      <c r="AT813" s="427"/>
      <c r="AU813" s="130">
        <f t="shared" ref="AU813:BD813" si="1797">AU811/AU$1326</f>
        <v>3.0554468579008458</v>
      </c>
      <c r="AV813" s="130">
        <f t="shared" si="1797"/>
        <v>3.8471767896769951</v>
      </c>
      <c r="AW813" s="130">
        <f t="shared" si="1797"/>
        <v>2.0290088903523213</v>
      </c>
      <c r="AX813" s="130">
        <f t="shared" si="1797"/>
        <v>5.4985121768764031</v>
      </c>
      <c r="AY813" s="130">
        <f t="shared" si="1797"/>
        <v>4.8374101964857612</v>
      </c>
      <c r="AZ813" s="130">
        <f t="shared" si="1797"/>
        <v>5.4727607896175128</v>
      </c>
      <c r="BA813" s="130">
        <f t="shared" si="1797"/>
        <v>6.821169845860215</v>
      </c>
      <c r="BB813" s="130">
        <f t="shared" ref="BB813" si="1798">BB811/BB$1326</f>
        <v>8.2458082971791526</v>
      </c>
      <c r="BC813" s="130">
        <f t="shared" si="1797"/>
        <v>9.6447881737613219</v>
      </c>
      <c r="BD813" s="130">
        <f t="shared" si="1797"/>
        <v>10.845274652137538</v>
      </c>
      <c r="BE813" s="130">
        <f t="shared" ref="BE813" si="1799">BE811/BE$1326</f>
        <v>11.772516504569428</v>
      </c>
    </row>
    <row r="814" spans="1:70" x14ac:dyDescent="0.2">
      <c r="B814" s="316"/>
      <c r="C814" s="427"/>
      <c r="D814" s="15"/>
      <c r="E814" s="15"/>
      <c r="F814" s="15"/>
      <c r="G814" s="15"/>
      <c r="H814" s="15"/>
      <c r="I814" s="15"/>
      <c r="J814" s="15"/>
      <c r="K814" s="15"/>
      <c r="L814" s="15"/>
      <c r="M814" s="15"/>
      <c r="N814" s="15"/>
      <c r="O814" s="15"/>
      <c r="P814" s="15"/>
      <c r="Q814" s="15"/>
      <c r="R814" s="15"/>
      <c r="S814" s="15"/>
      <c r="T814" s="15"/>
      <c r="U814" s="15"/>
      <c r="V814" s="15"/>
      <c r="W814" s="15"/>
      <c r="X814" s="15"/>
      <c r="Y814" s="15"/>
      <c r="Z814" s="15"/>
      <c r="AA814" s="15"/>
      <c r="AB814" s="15"/>
      <c r="AC814" s="15"/>
      <c r="AD814" s="15"/>
      <c r="AE814" s="15"/>
      <c r="AF814" s="15"/>
      <c r="AG814" s="15"/>
      <c r="AH814" s="15"/>
      <c r="AI814" s="15"/>
      <c r="AJ814" s="15"/>
      <c r="AK814" s="15"/>
      <c r="AL814" s="15"/>
      <c r="AM814" s="15"/>
      <c r="AN814" s="15"/>
      <c r="AO814" s="15"/>
      <c r="AP814" s="15"/>
      <c r="AQ814" s="15"/>
      <c r="AS814" s="316"/>
      <c r="AT814" s="427"/>
    </row>
    <row r="815" spans="1:70" x14ac:dyDescent="0.2">
      <c r="B815" s="316"/>
      <c r="C815" s="427"/>
      <c r="D815" s="15"/>
      <c r="E815" s="15"/>
      <c r="F815" s="15"/>
      <c r="G815" s="15"/>
      <c r="H815" s="15"/>
      <c r="I815" s="15"/>
      <c r="J815" s="15"/>
      <c r="K815" s="15"/>
      <c r="L815" s="15"/>
      <c r="M815" s="15"/>
      <c r="N815" s="15"/>
      <c r="O815" s="15"/>
      <c r="P815" s="15"/>
      <c r="Q815" s="15"/>
      <c r="R815" s="15"/>
      <c r="S815" s="15"/>
      <c r="T815" s="15"/>
      <c r="U815" s="15"/>
      <c r="V815" s="15"/>
      <c r="W815" s="15"/>
      <c r="X815" s="15"/>
      <c r="Y815" s="15"/>
      <c r="Z815" s="15"/>
      <c r="AA815" s="15"/>
      <c r="AB815" s="15"/>
      <c r="AC815" s="15"/>
      <c r="AD815" s="15"/>
      <c r="AE815" s="15"/>
      <c r="AF815" s="15"/>
      <c r="AG815" s="15"/>
      <c r="AH815" s="15"/>
      <c r="AI815" s="15"/>
      <c r="AJ815" s="15"/>
      <c r="AK815" s="15"/>
      <c r="AL815" s="15"/>
      <c r="AM815" s="15"/>
      <c r="AN815" s="15"/>
      <c r="AO815" s="15"/>
      <c r="AP815" s="15"/>
      <c r="AQ815" s="15"/>
      <c r="AS815" s="316"/>
      <c r="AT815" s="427"/>
    </row>
    <row r="816" spans="1:70" x14ac:dyDescent="0.2">
      <c r="B816" s="124" t="s">
        <v>664</v>
      </c>
      <c r="C816" s="427"/>
      <c r="D816" s="147">
        <f t="shared" ref="D816:AE816" si="1800">D751+D765</f>
        <v>18783</v>
      </c>
      <c r="E816" s="147">
        <f t="shared" si="1800"/>
        <v>18913</v>
      </c>
      <c r="F816" s="147">
        <f t="shared" si="1800"/>
        <v>18423</v>
      </c>
      <c r="G816" s="147">
        <f t="shared" si="1800"/>
        <v>18042</v>
      </c>
      <c r="H816" s="147">
        <f t="shared" si="1800"/>
        <v>20318</v>
      </c>
      <c r="I816" s="147">
        <f t="shared" si="1800"/>
        <v>20592</v>
      </c>
      <c r="J816" s="147">
        <f t="shared" si="1800"/>
        <v>17941</v>
      </c>
      <c r="K816" s="147">
        <f t="shared" si="1800"/>
        <v>17873</v>
      </c>
      <c r="L816" s="147">
        <f t="shared" si="1800"/>
        <v>20206</v>
      </c>
      <c r="M816" s="147">
        <f t="shared" si="1800"/>
        <v>19425</v>
      </c>
      <c r="N816" s="147">
        <f t="shared" si="1800"/>
        <v>19689</v>
      </c>
      <c r="O816" s="147">
        <f t="shared" si="1800"/>
        <v>17899</v>
      </c>
      <c r="P816" s="147">
        <f t="shared" si="1800"/>
        <v>19736</v>
      </c>
      <c r="Q816" s="147">
        <f t="shared" si="1800"/>
        <v>19470</v>
      </c>
      <c r="R816" s="147">
        <f t="shared" si="1800"/>
        <v>18692</v>
      </c>
      <c r="S816" s="147">
        <f t="shared" si="1800"/>
        <v>18456</v>
      </c>
      <c r="T816" s="147">
        <f t="shared" si="1800"/>
        <v>17555</v>
      </c>
      <c r="U816" s="147">
        <f t="shared" si="1800"/>
        <v>17548</v>
      </c>
      <c r="V816" s="147">
        <f t="shared" si="1800"/>
        <v>17760</v>
      </c>
      <c r="W816" s="147">
        <f t="shared" si="1800"/>
        <v>17012</v>
      </c>
      <c r="X816" s="147">
        <f t="shared" si="1800"/>
        <v>18366</v>
      </c>
      <c r="Y816" s="147">
        <f t="shared" ref="Y816:Z816" si="1801">Y751+Y765</f>
        <v>18155</v>
      </c>
      <c r="Z816" s="147">
        <f t="shared" si="1801"/>
        <v>18419</v>
      </c>
      <c r="AA816" s="147">
        <f t="shared" ref="AA816:AB816" si="1802">AA751+AA765</f>
        <v>17504</v>
      </c>
      <c r="AB816" s="147">
        <f t="shared" si="1802"/>
        <v>18872</v>
      </c>
      <c r="AC816" s="147">
        <f t="shared" si="1800"/>
        <v>19074.81356171814</v>
      </c>
      <c r="AD816" s="147">
        <f t="shared" si="1800"/>
        <v>19141.15269894795</v>
      </c>
      <c r="AE816" s="147">
        <f t="shared" si="1800"/>
        <v>18634.787849533775</v>
      </c>
      <c r="AF816" s="147">
        <f t="shared" ref="AF816:AI816" si="1803">AF751+AF765</f>
        <v>20074.052231862348</v>
      </c>
      <c r="AG816" s="147">
        <f t="shared" si="1803"/>
        <v>20235.465233257943</v>
      </c>
      <c r="AH816" s="147">
        <f t="shared" si="1803"/>
        <v>20218.780349770241</v>
      </c>
      <c r="AI816" s="147">
        <f t="shared" si="1803"/>
        <v>19640.132706050714</v>
      </c>
      <c r="AJ816" s="147"/>
      <c r="AK816" s="147"/>
      <c r="AL816" s="147"/>
      <c r="AM816" s="147"/>
      <c r="AN816" s="147"/>
      <c r="AO816" s="147"/>
      <c r="AP816" s="147"/>
      <c r="AQ816" s="147"/>
      <c r="AS816" s="124" t="s">
        <v>664</v>
      </c>
      <c r="AT816" s="427"/>
      <c r="AU816" s="147">
        <f t="shared" ref="AU816:BD816" si="1804">AU751+AU765</f>
        <v>74161</v>
      </c>
      <c r="AV816" s="147">
        <f t="shared" si="1804"/>
        <v>76724</v>
      </c>
      <c r="AW816" s="147">
        <f t="shared" si="1804"/>
        <v>77219</v>
      </c>
      <c r="AX816" s="147">
        <f t="shared" si="1804"/>
        <v>76354</v>
      </c>
      <c r="AY816" s="147">
        <f t="shared" si="1804"/>
        <v>69875</v>
      </c>
      <c r="AZ816" s="147">
        <f t="shared" si="1804"/>
        <v>72444</v>
      </c>
      <c r="BA816" s="147">
        <f t="shared" si="1804"/>
        <v>75722.754110199865</v>
      </c>
      <c r="BB816" s="147">
        <f t="shared" ref="BB816" si="1805">BB751+BB765</f>
        <v>80168.430520941241</v>
      </c>
      <c r="BC816" s="147">
        <f t="shared" si="1804"/>
        <v>84479.947946016473</v>
      </c>
      <c r="BD816" s="147">
        <f t="shared" si="1804"/>
        <v>88823.734349452032</v>
      </c>
      <c r="BE816" s="147">
        <f t="shared" ref="BE816" si="1806">BE751+BE765</f>
        <v>93139.29112088868</v>
      </c>
    </row>
    <row r="817" spans="1:70" x14ac:dyDescent="0.2">
      <c r="B817" s="124" t="s">
        <v>1433</v>
      </c>
      <c r="C817" s="427"/>
      <c r="D817" s="1777">
        <f>(Model!D790-Model!D753)/(Model!D789-Model!D753)</f>
        <v>0.29217110573042776</v>
      </c>
      <c r="E817" s="1777">
        <f>(Model!E790-Model!E753)/(Model!E789-Model!E753)</f>
        <v>0.23046192259675405</v>
      </c>
      <c r="F817" s="1777">
        <f>(Model!F790-Model!F753)/(Model!F789-Model!F753)</f>
        <v>0.26159678858162355</v>
      </c>
      <c r="G817" s="1777">
        <f>(Model!G790-Model!G753)/(Model!G789-Model!G753)</f>
        <v>5.1754907792980372E-2</v>
      </c>
      <c r="H817" s="1777">
        <f>(Model!H790-Model!H753)/(Model!H789-Model!H753)</f>
        <v>0.30492359932088287</v>
      </c>
      <c r="I817" s="1777">
        <f>(Model!I790-Model!I753)/(Model!I789-Model!I753)</f>
        <v>0.34348704140020198</v>
      </c>
      <c r="J817" s="1777">
        <f>(Model!J790-Model!J753)/(Model!J789-Model!J753)</f>
        <v>0.30308256089674501</v>
      </c>
      <c r="K817" s="1777">
        <f>(Model!K790-Model!K753)/(Model!K789-Model!K753)</f>
        <v>0.3397767492512932</v>
      </c>
      <c r="L817" s="1777">
        <f>(Model!L790-Model!L753)/(Model!L789-Model!L753)</f>
        <v>0.31566820276497698</v>
      </c>
      <c r="M817" s="1777">
        <f>(Model!M790-Model!M753)/(Model!M789-Model!M753)</f>
        <v>0.87630267331218847</v>
      </c>
      <c r="N817" s="1777">
        <f>(Model!N790-Model!N753)/(Model!N789-Model!N753)</f>
        <v>0.41288515406162463</v>
      </c>
      <c r="O817" s="1777">
        <f>(Model!O790-Model!O753)/(Model!O789-Model!O753)</f>
        <v>0.73916035788024781</v>
      </c>
      <c r="P817" s="1777">
        <f>(Model!P790-Model!P753)/(Model!P789-Model!P753)</f>
        <v>0.30613409415121257</v>
      </c>
      <c r="Q817" s="1777">
        <f>(Model!Q790-Model!Q753)/(Model!Q789-Model!Q753)</f>
        <v>0.2917046490428441</v>
      </c>
      <c r="R817" s="1777">
        <f>(Model!R790-Model!R753)/(Model!R789-Model!R753)</f>
        <v>0.3024536805207812</v>
      </c>
      <c r="S817" s="1777">
        <f>(Model!S790-Model!S753)/(Model!S789-Model!S753)</f>
        <v>0.29464822609741431</v>
      </c>
      <c r="T817" s="1777">
        <f>(Model!T790-Model!T753)/(Model!T789-Model!T753)</f>
        <v>0.2965710848205334</v>
      </c>
      <c r="U817" s="1777">
        <f>(Model!U790-Model!U753)/(Model!U789-Model!U753)</f>
        <v>0.29861351819757365</v>
      </c>
      <c r="V817" s="1777">
        <f>(Model!V790-Model!V753)/(Model!V789-Model!V753)</f>
        <v>0.30836298932384343</v>
      </c>
      <c r="W817" s="1777">
        <f>(Model!W790-Model!W753)/(Model!W789-Model!W753)</f>
        <v>0.29588235294117649</v>
      </c>
      <c r="X817" s="1777">
        <f>(Model!X790-Model!X753)/(Model!X789-Model!X753)</f>
        <v>0.31148637351613445</v>
      </c>
      <c r="Y817" s="1777">
        <f>(Model!Y790-Model!Y753)/(Model!Y789-Model!Y753)</f>
        <v>0.31613244100035226</v>
      </c>
      <c r="Z817" s="1777">
        <f>(Model!Z790-Model!Z753)/(Model!Z789-Model!Z753)</f>
        <v>0.31084457771114443</v>
      </c>
      <c r="AA817" s="1777">
        <f>(Model!AA790-Model!AA753)/(Model!AA789-Model!AA753)</f>
        <v>0.2490684447930967</v>
      </c>
      <c r="AB817" s="1777">
        <f>(Model!AB790-Model!AB753)/(Model!AB789-Model!AB753)</f>
        <v>0.23661740558292282</v>
      </c>
      <c r="AC817" s="1777">
        <f>(Model!AC790-Model!AC753)/(Model!AC789-Model!AC753)</f>
        <v>0.25051450324395541</v>
      </c>
      <c r="AD817" s="1777">
        <f>(Model!AD790-Model!AD753)/(Model!AD789-Model!AD753)</f>
        <v>0.24558211155299828</v>
      </c>
      <c r="AE817" s="1777">
        <f>(Model!AE790-Model!AE753)/(Model!AE789-Model!AE753)</f>
        <v>0.24487988525793467</v>
      </c>
      <c r="AF817" s="1777">
        <f>(Model!AF790-Model!AF753)/(Model!AF789-Model!AF753)</f>
        <v>0.24249021743570684</v>
      </c>
      <c r="AG817" s="1777">
        <f>(Model!AG790-Model!AG753)/(Model!AG789-Model!AG753)</f>
        <v>0.24122042675099173</v>
      </c>
      <c r="AH817" s="1777">
        <f>(Model!AH790-Model!AH753)/(Model!AH789-Model!AH753)</f>
        <v>0.24104537454389932</v>
      </c>
      <c r="AI817" s="1777">
        <f>(Model!AI790-Model!AI753)/(Model!AI789-Model!AI753)</f>
        <v>0.2402080936120507</v>
      </c>
      <c r="AJ817" s="147"/>
      <c r="AK817" s="147"/>
      <c r="AL817" s="147"/>
      <c r="AM817" s="147"/>
      <c r="AN817" s="147"/>
      <c r="AO817" s="147"/>
      <c r="AP817" s="147"/>
      <c r="AQ817" s="147"/>
      <c r="AS817" s="124" t="s">
        <v>1433</v>
      </c>
      <c r="AT817" s="427"/>
      <c r="AU817" s="1777">
        <f>(Model!AU790-Model!AU753)/(Model!AU789-Model!AU753)</f>
        <v>0.24005024461192648</v>
      </c>
      <c r="AV817" s="1777">
        <f>(Model!AV790-Model!AV753)/(Model!AV789-Model!AV753)</f>
        <v>0.32222994440031771</v>
      </c>
      <c r="AW817" s="1777">
        <f>(Model!AW790-Model!AW753)/(Model!AW789-Model!AW753)</f>
        <v>0.47293088595851834</v>
      </c>
      <c r="AX817" s="1777">
        <f>(Model!AX790-Model!AX753)/(Model!AX789-Model!AX753)</f>
        <v>0.29903955721959952</v>
      </c>
      <c r="AY817" s="1777">
        <f>(Model!AY790-Model!AY753)/(Model!AY789-Model!AY753)</f>
        <v>0.30004190529403546</v>
      </c>
      <c r="AZ817" s="1777">
        <f>(Model!AZ790-Model!AZ753)/(Model!AZ789-Model!AZ753)</f>
        <v>0.2984930363340802</v>
      </c>
      <c r="BA817" s="1777">
        <f>(Model!BA790-Model!BA753)/(Model!BA789-Model!BA753)</f>
        <v>0.2443563048841528</v>
      </c>
      <c r="BB817" s="1777">
        <f>(Model!BB790-Model!BB753)/(Model!BB789-Model!BB753)</f>
        <v>0.24125168694362847</v>
      </c>
      <c r="BC817" s="1777">
        <f>(Model!BC790-Model!BC753)/(Model!BC789-Model!BC753)</f>
        <v>0.24165754765406142</v>
      </c>
      <c r="BD817" s="1777">
        <f>(Model!BD790-Model!BD753)/(Model!BD789-Model!BD753)</f>
        <v>0.2418270145283917</v>
      </c>
      <c r="BE817" s="1777">
        <f>(Model!BE790-Model!BE753)/(Model!BE789-Model!BE753)</f>
        <v>0.24176592082269385</v>
      </c>
    </row>
    <row r="818" spans="1:70" x14ac:dyDescent="0.2">
      <c r="B818" s="123" t="s">
        <v>237</v>
      </c>
      <c r="C818" s="427"/>
      <c r="D818" s="15"/>
      <c r="E818" s="15"/>
      <c r="F818" s="15"/>
      <c r="G818" s="15"/>
      <c r="H818" s="15"/>
      <c r="I818" s="15"/>
      <c r="J818" s="15"/>
      <c r="K818" s="15"/>
      <c r="L818" s="15"/>
      <c r="M818" s="15"/>
      <c r="N818" s="15"/>
      <c r="O818" s="15"/>
      <c r="P818" s="15"/>
      <c r="Q818" s="15"/>
      <c r="R818" s="15"/>
      <c r="S818" s="15"/>
      <c r="T818" s="15"/>
      <c r="U818" s="15"/>
      <c r="V818" s="15"/>
      <c r="W818" s="15"/>
      <c r="X818" s="15"/>
      <c r="Y818" s="15"/>
      <c r="Z818" s="15"/>
      <c r="AA818" s="15"/>
      <c r="AB818" s="15"/>
      <c r="AC818" s="15"/>
      <c r="AD818" s="15"/>
      <c r="AE818" s="15"/>
      <c r="AF818" s="15"/>
      <c r="AG818" s="15"/>
      <c r="AH818" s="15"/>
      <c r="AI818" s="15"/>
      <c r="AJ818" s="15"/>
      <c r="AK818" s="15"/>
      <c r="AL818" s="15"/>
      <c r="AM818" s="15"/>
      <c r="AN818" s="15"/>
      <c r="AO818" s="15"/>
      <c r="AP818" s="15"/>
      <c r="AQ818" s="15"/>
      <c r="AS818" s="123" t="s">
        <v>237</v>
      </c>
      <c r="AT818" s="427"/>
    </row>
    <row r="819" spans="1:70" x14ac:dyDescent="0.2">
      <c r="B819" s="123"/>
      <c r="C819" s="124" t="s">
        <v>838</v>
      </c>
      <c r="D819" s="127">
        <f t="shared" ref="D819:AE819" si="1807">D816-D768-D53</f>
        <v>0</v>
      </c>
      <c r="E819" s="127">
        <f t="shared" si="1807"/>
        <v>0</v>
      </c>
      <c r="F819" s="127">
        <f t="shared" si="1807"/>
        <v>0</v>
      </c>
      <c r="G819" s="127">
        <f t="shared" si="1807"/>
        <v>0</v>
      </c>
      <c r="H819" s="127">
        <f t="shared" si="1807"/>
        <v>0</v>
      </c>
      <c r="I819" s="127">
        <f t="shared" si="1807"/>
        <v>0</v>
      </c>
      <c r="J819" s="127">
        <f t="shared" si="1807"/>
        <v>0</v>
      </c>
      <c r="K819" s="127">
        <f t="shared" si="1807"/>
        <v>0</v>
      </c>
      <c r="L819" s="127">
        <f t="shared" si="1807"/>
        <v>0</v>
      </c>
      <c r="M819" s="127">
        <f t="shared" si="1807"/>
        <v>0</v>
      </c>
      <c r="N819" s="127">
        <f t="shared" si="1807"/>
        <v>0</v>
      </c>
      <c r="O819" s="127">
        <f t="shared" si="1807"/>
        <v>0</v>
      </c>
      <c r="P819" s="127">
        <f t="shared" si="1807"/>
        <v>0</v>
      </c>
      <c r="Q819" s="127">
        <f t="shared" si="1807"/>
        <v>0</v>
      </c>
      <c r="R819" s="127">
        <f t="shared" si="1807"/>
        <v>0</v>
      </c>
      <c r="S819" s="127">
        <f t="shared" si="1807"/>
        <v>0</v>
      </c>
      <c r="T819" s="127">
        <f t="shared" si="1807"/>
        <v>0</v>
      </c>
      <c r="U819" s="127">
        <f t="shared" si="1807"/>
        <v>0</v>
      </c>
      <c r="V819" s="127">
        <f t="shared" si="1807"/>
        <v>0</v>
      </c>
      <c r="W819" s="127">
        <f t="shared" si="1807"/>
        <v>0</v>
      </c>
      <c r="X819" s="127">
        <f t="shared" si="1807"/>
        <v>0</v>
      </c>
      <c r="Y819" s="127">
        <f t="shared" ref="Y819:Z819" si="1808">Y816-Y768-Y53</f>
        <v>0</v>
      </c>
      <c r="Z819" s="127">
        <f t="shared" si="1808"/>
        <v>0</v>
      </c>
      <c r="AA819" s="127">
        <f t="shared" ref="AA819:AB819" si="1809">AA816-AA768-AA53</f>
        <v>0</v>
      </c>
      <c r="AB819" s="127">
        <f t="shared" si="1809"/>
        <v>0</v>
      </c>
      <c r="AC819" s="127">
        <f t="shared" si="1807"/>
        <v>0</v>
      </c>
      <c r="AD819" s="127">
        <f t="shared" si="1807"/>
        <v>0</v>
      </c>
      <c r="AE819" s="127">
        <f t="shared" si="1807"/>
        <v>0</v>
      </c>
      <c r="AF819" s="127">
        <f t="shared" ref="AF819:AI819" si="1810">AF816-AF768-AF53</f>
        <v>0</v>
      </c>
      <c r="AG819" s="127">
        <f t="shared" si="1810"/>
        <v>0</v>
      </c>
      <c r="AH819" s="127">
        <f t="shared" si="1810"/>
        <v>0</v>
      </c>
      <c r="AI819" s="127">
        <f t="shared" si="1810"/>
        <v>0</v>
      </c>
      <c r="AJ819" s="127"/>
      <c r="AK819" s="127"/>
      <c r="AL819" s="127"/>
      <c r="AM819" s="127"/>
      <c r="AN819" s="127"/>
      <c r="AO819" s="127"/>
      <c r="AP819" s="127"/>
      <c r="AQ819" s="127"/>
      <c r="AS819" s="123"/>
      <c r="AT819" s="124" t="s">
        <v>838</v>
      </c>
      <c r="AU819" s="127">
        <f t="shared" ref="AU819:BD819" si="1811">AU816-AU768-AU53</f>
        <v>0</v>
      </c>
      <c r="AV819" s="127">
        <f t="shared" si="1811"/>
        <v>0</v>
      </c>
      <c r="AW819" s="127">
        <f t="shared" si="1811"/>
        <v>0</v>
      </c>
      <c r="AX819" s="127">
        <f t="shared" si="1811"/>
        <v>0</v>
      </c>
      <c r="AY819" s="127">
        <f t="shared" si="1811"/>
        <v>0</v>
      </c>
      <c r="AZ819" s="127">
        <f t="shared" si="1811"/>
        <v>0</v>
      </c>
      <c r="BA819" s="127">
        <f t="shared" si="1811"/>
        <v>0</v>
      </c>
      <c r="BB819" s="127">
        <f t="shared" ref="BB819" si="1812">BB816-BB768-BB53</f>
        <v>0</v>
      </c>
      <c r="BC819" s="127">
        <f t="shared" si="1811"/>
        <v>0</v>
      </c>
      <c r="BD819" s="127">
        <f t="shared" si="1811"/>
        <v>0</v>
      </c>
      <c r="BE819" s="127">
        <f t="shared" ref="BE819" si="1813">BE816-BE768-BE53</f>
        <v>0</v>
      </c>
    </row>
    <row r="820" spans="1:70" x14ac:dyDescent="0.2">
      <c r="B820" s="15"/>
      <c r="C820" s="124" t="s">
        <v>409</v>
      </c>
      <c r="D820" s="128">
        <f t="shared" ref="D820:AE820" si="1814">D780-D59</f>
        <v>0</v>
      </c>
      <c r="E820" s="128">
        <f t="shared" si="1814"/>
        <v>0</v>
      </c>
      <c r="F820" s="128">
        <f t="shared" si="1814"/>
        <v>0</v>
      </c>
      <c r="G820" s="128">
        <f t="shared" si="1814"/>
        <v>0</v>
      </c>
      <c r="H820" s="128">
        <f t="shared" si="1814"/>
        <v>0</v>
      </c>
      <c r="I820" s="128">
        <f t="shared" si="1814"/>
        <v>0</v>
      </c>
      <c r="J820" s="128">
        <f t="shared" si="1814"/>
        <v>0</v>
      </c>
      <c r="K820" s="128">
        <f t="shared" si="1814"/>
        <v>0</v>
      </c>
      <c r="L820" s="128">
        <f t="shared" si="1814"/>
        <v>0</v>
      </c>
      <c r="M820" s="128">
        <f t="shared" si="1814"/>
        <v>0</v>
      </c>
      <c r="N820" s="128">
        <f t="shared" si="1814"/>
        <v>0</v>
      </c>
      <c r="O820" s="128">
        <f t="shared" si="1814"/>
        <v>0</v>
      </c>
      <c r="P820" s="128">
        <f t="shared" si="1814"/>
        <v>0</v>
      </c>
      <c r="Q820" s="128">
        <f t="shared" si="1814"/>
        <v>0</v>
      </c>
      <c r="R820" s="128">
        <f t="shared" si="1814"/>
        <v>0</v>
      </c>
      <c r="S820" s="128">
        <f t="shared" si="1814"/>
        <v>0</v>
      </c>
      <c r="T820" s="128">
        <f t="shared" si="1814"/>
        <v>0</v>
      </c>
      <c r="U820" s="128">
        <f t="shared" si="1814"/>
        <v>0</v>
      </c>
      <c r="V820" s="128">
        <f t="shared" si="1814"/>
        <v>0</v>
      </c>
      <c r="W820" s="128">
        <f t="shared" si="1814"/>
        <v>0</v>
      </c>
      <c r="X820" s="128">
        <f t="shared" si="1814"/>
        <v>0</v>
      </c>
      <c r="Y820" s="128">
        <f t="shared" ref="Y820:Z820" si="1815">Y780-Y59</f>
        <v>0</v>
      </c>
      <c r="Z820" s="128">
        <f t="shared" si="1815"/>
        <v>0</v>
      </c>
      <c r="AA820" s="128">
        <f t="shared" ref="AA820:AB820" si="1816">AA780-AA59</f>
        <v>0</v>
      </c>
      <c r="AB820" s="128">
        <f t="shared" si="1816"/>
        <v>0</v>
      </c>
      <c r="AC820" s="128">
        <f t="shared" si="1814"/>
        <v>0</v>
      </c>
      <c r="AD820" s="128">
        <f t="shared" si="1814"/>
        <v>0</v>
      </c>
      <c r="AE820" s="128">
        <f t="shared" si="1814"/>
        <v>0</v>
      </c>
      <c r="AF820" s="128">
        <f t="shared" ref="AF820:AI820" si="1817">AF780-AF59</f>
        <v>0</v>
      </c>
      <c r="AG820" s="128">
        <f t="shared" si="1817"/>
        <v>0</v>
      </c>
      <c r="AH820" s="128">
        <f t="shared" si="1817"/>
        <v>0</v>
      </c>
      <c r="AI820" s="128">
        <f t="shared" si="1817"/>
        <v>0</v>
      </c>
      <c r="AJ820" s="128"/>
      <c r="AK820" s="128"/>
      <c r="AL820" s="128"/>
      <c r="AM820" s="128"/>
      <c r="AN820" s="128"/>
      <c r="AO820" s="128"/>
      <c r="AP820" s="128"/>
      <c r="AQ820" s="128"/>
      <c r="AS820" s="15"/>
      <c r="AT820" s="124" t="s">
        <v>409</v>
      </c>
      <c r="AU820" s="128">
        <f t="shared" ref="AU820:BD820" si="1818">AU780-AU59</f>
        <v>0</v>
      </c>
      <c r="AV820" s="128">
        <f t="shared" si="1818"/>
        <v>0</v>
      </c>
      <c r="AW820" s="128">
        <f t="shared" si="1818"/>
        <v>0</v>
      </c>
      <c r="AX820" s="128">
        <f t="shared" si="1818"/>
        <v>0</v>
      </c>
      <c r="AY820" s="128">
        <f t="shared" si="1818"/>
        <v>0</v>
      </c>
      <c r="AZ820" s="128">
        <f t="shared" si="1818"/>
        <v>0</v>
      </c>
      <c r="BA820" s="128">
        <f t="shared" si="1818"/>
        <v>0</v>
      </c>
      <c r="BB820" s="128">
        <f t="shared" ref="BB820" si="1819">BB780-BB59</f>
        <v>0</v>
      </c>
      <c r="BC820" s="128">
        <f t="shared" si="1818"/>
        <v>0</v>
      </c>
      <c r="BD820" s="128">
        <f t="shared" si="1818"/>
        <v>0</v>
      </c>
      <c r="BE820" s="128">
        <f t="shared" ref="BE820" si="1820">BE780-BE59</f>
        <v>0</v>
      </c>
    </row>
    <row r="821" spans="1:70" x14ac:dyDescent="0.2">
      <c r="B821" s="15"/>
      <c r="C821" s="124" t="s">
        <v>252</v>
      </c>
      <c r="D821" s="630">
        <f t="shared" ref="D821:AE821" si="1821">D784-D65</f>
        <v>0</v>
      </c>
      <c r="E821" s="630">
        <f t="shared" si="1821"/>
        <v>0</v>
      </c>
      <c r="F821" s="630">
        <f t="shared" si="1821"/>
        <v>0</v>
      </c>
      <c r="G821" s="630">
        <f t="shared" si="1821"/>
        <v>0</v>
      </c>
      <c r="H821" s="630">
        <f t="shared" si="1821"/>
        <v>0</v>
      </c>
      <c r="I821" s="630">
        <f t="shared" si="1821"/>
        <v>0</v>
      </c>
      <c r="J821" s="630">
        <f t="shared" si="1821"/>
        <v>0</v>
      </c>
      <c r="K821" s="630">
        <f t="shared" si="1821"/>
        <v>0</v>
      </c>
      <c r="L821" s="630">
        <f t="shared" si="1821"/>
        <v>0</v>
      </c>
      <c r="M821" s="630">
        <f t="shared" si="1821"/>
        <v>0</v>
      </c>
      <c r="N821" s="630">
        <f t="shared" si="1821"/>
        <v>0</v>
      </c>
      <c r="O821" s="630">
        <f t="shared" si="1821"/>
        <v>0</v>
      </c>
      <c r="P821" s="630">
        <f t="shared" si="1821"/>
        <v>0</v>
      </c>
      <c r="Q821" s="630">
        <f t="shared" si="1821"/>
        <v>0</v>
      </c>
      <c r="R821" s="630">
        <f t="shared" si="1821"/>
        <v>0</v>
      </c>
      <c r="S821" s="630">
        <f t="shared" si="1821"/>
        <v>0</v>
      </c>
      <c r="T821" s="630">
        <f t="shared" si="1821"/>
        <v>0</v>
      </c>
      <c r="U821" s="630">
        <f t="shared" si="1821"/>
        <v>0</v>
      </c>
      <c r="V821" s="630">
        <f t="shared" si="1821"/>
        <v>0</v>
      </c>
      <c r="W821" s="630">
        <f t="shared" si="1821"/>
        <v>0</v>
      </c>
      <c r="X821" s="630">
        <f t="shared" si="1821"/>
        <v>0</v>
      </c>
      <c r="Y821" s="630">
        <f t="shared" ref="Y821:Z821" si="1822">Y784-Y65</f>
        <v>0</v>
      </c>
      <c r="Z821" s="630">
        <f t="shared" si="1822"/>
        <v>0</v>
      </c>
      <c r="AA821" s="630">
        <f t="shared" ref="AA821:AB821" si="1823">AA784-AA65</f>
        <v>0</v>
      </c>
      <c r="AB821" s="630">
        <f t="shared" si="1823"/>
        <v>0</v>
      </c>
      <c r="AC821" s="630">
        <f t="shared" si="1821"/>
        <v>0</v>
      </c>
      <c r="AD821" s="630">
        <f t="shared" si="1821"/>
        <v>0</v>
      </c>
      <c r="AE821" s="630">
        <f t="shared" si="1821"/>
        <v>0</v>
      </c>
      <c r="AF821" s="630">
        <f t="shared" ref="AF821:AI821" si="1824">AF784-AF65</f>
        <v>0</v>
      </c>
      <c r="AG821" s="630">
        <f t="shared" si="1824"/>
        <v>0</v>
      </c>
      <c r="AH821" s="630">
        <f t="shared" si="1824"/>
        <v>0</v>
      </c>
      <c r="AI821" s="630">
        <f t="shared" si="1824"/>
        <v>0</v>
      </c>
      <c r="AJ821" s="630"/>
      <c r="AK821" s="630"/>
      <c r="AL821" s="630"/>
      <c r="AM821" s="630"/>
      <c r="AN821" s="630"/>
      <c r="AO821" s="630"/>
      <c r="AP821" s="630"/>
      <c r="AQ821" s="630"/>
      <c r="AS821" s="15"/>
      <c r="AT821" s="124" t="s">
        <v>252</v>
      </c>
      <c r="AU821" s="630">
        <f t="shared" ref="AU821:BD821" si="1825">AU784-AU65</f>
        <v>0</v>
      </c>
      <c r="AV821" s="630">
        <f t="shared" si="1825"/>
        <v>0</v>
      </c>
      <c r="AW821" s="630">
        <f t="shared" si="1825"/>
        <v>0</v>
      </c>
      <c r="AX821" s="630">
        <f t="shared" si="1825"/>
        <v>0</v>
      </c>
      <c r="AY821" s="630">
        <f t="shared" si="1825"/>
        <v>0</v>
      </c>
      <c r="AZ821" s="630">
        <f t="shared" si="1825"/>
        <v>0</v>
      </c>
      <c r="BA821" s="630">
        <f t="shared" si="1825"/>
        <v>0</v>
      </c>
      <c r="BB821" s="630">
        <f t="shared" ref="BB821" si="1826">BB784-BB65</f>
        <v>0</v>
      </c>
      <c r="BC821" s="630">
        <f t="shared" si="1825"/>
        <v>0</v>
      </c>
      <c r="BD821" s="630">
        <f t="shared" si="1825"/>
        <v>0</v>
      </c>
      <c r="BE821" s="630">
        <f t="shared" ref="BE821" si="1827">BE784-BE65</f>
        <v>0</v>
      </c>
    </row>
    <row r="822" spans="1:70" x14ac:dyDescent="0.2">
      <c r="B822" s="316"/>
      <c r="C822" s="427"/>
      <c r="D822" s="15"/>
      <c r="E822" s="15"/>
      <c r="F822" s="15"/>
      <c r="G822" s="15"/>
      <c r="H822" s="15"/>
      <c r="I822" s="15"/>
      <c r="J822" s="15"/>
      <c r="K822" s="15"/>
      <c r="L822" s="15"/>
      <c r="M822" s="15"/>
      <c r="N822" s="15"/>
      <c r="O822" s="15"/>
      <c r="P822" s="15"/>
      <c r="Q822" s="15"/>
      <c r="R822" s="15"/>
      <c r="S822" s="15"/>
      <c r="T822" s="15"/>
      <c r="U822" s="15"/>
      <c r="V822" s="15"/>
      <c r="W822" s="15"/>
      <c r="X822" s="70"/>
      <c r="Y822" s="70"/>
      <c r="Z822" s="70"/>
      <c r="AA822" s="70"/>
      <c r="AB822" s="70"/>
      <c r="AC822" s="70"/>
      <c r="AD822" s="70"/>
      <c r="AE822" s="70"/>
      <c r="AF822" s="70"/>
      <c r="AG822" s="70"/>
      <c r="AH822" s="70"/>
      <c r="AI822" s="70"/>
      <c r="AJ822" s="70"/>
      <c r="AK822" s="70"/>
      <c r="AL822" s="70"/>
      <c r="AM822" s="70"/>
      <c r="AN822" s="70"/>
      <c r="AO822" s="70"/>
      <c r="AP822" s="70"/>
      <c r="AQ822" s="70"/>
      <c r="AS822" s="316"/>
      <c r="AT822" s="427"/>
    </row>
    <row r="823" spans="1:70" x14ac:dyDescent="0.2">
      <c r="A823" s="411" t="s">
        <v>194</v>
      </c>
      <c r="B823" s="13" t="s">
        <v>347</v>
      </c>
      <c r="C823" s="13"/>
      <c r="D823" s="14"/>
      <c r="E823" s="14"/>
      <c r="F823" s="14"/>
      <c r="G823" s="14"/>
      <c r="H823" s="14"/>
      <c r="I823" s="14"/>
      <c r="J823" s="14"/>
      <c r="K823" s="14"/>
      <c r="L823" s="14"/>
      <c r="M823" s="14"/>
      <c r="N823" s="14"/>
      <c r="O823" s="14"/>
      <c r="P823" s="14"/>
      <c r="Q823" s="14"/>
      <c r="R823" s="14"/>
      <c r="S823" s="14"/>
      <c r="T823" s="14"/>
      <c r="U823" s="14"/>
      <c r="V823" s="14"/>
      <c r="W823" s="14"/>
      <c r="X823" s="191"/>
      <c r="Y823" s="191"/>
      <c r="Z823" s="191"/>
      <c r="AA823" s="191"/>
      <c r="AB823" s="191"/>
      <c r="AC823" s="191"/>
      <c r="AD823" s="191"/>
      <c r="AE823" s="191"/>
      <c r="AF823" s="191"/>
      <c r="AG823" s="191"/>
      <c r="AH823" s="191"/>
      <c r="AI823" s="191"/>
      <c r="AJ823" s="191"/>
      <c r="AK823" s="191"/>
      <c r="AL823" s="191"/>
      <c r="AM823" s="191"/>
      <c r="AN823" s="191"/>
      <c r="AO823" s="191"/>
      <c r="AP823" s="191"/>
      <c r="AQ823" s="191"/>
      <c r="AS823" s="13" t="s">
        <v>347</v>
      </c>
      <c r="AT823" s="13"/>
      <c r="AU823" s="14"/>
      <c r="AV823" s="14"/>
      <c r="AW823" s="14"/>
      <c r="AX823" s="14"/>
      <c r="AY823" s="14"/>
      <c r="AZ823" s="14"/>
      <c r="BA823" s="14"/>
      <c r="BB823" s="14"/>
      <c r="BC823" s="14"/>
      <c r="BD823" s="14"/>
      <c r="BE823" s="14"/>
      <c r="BF823" s="15"/>
      <c r="BG823" s="15"/>
      <c r="BH823" s="15"/>
      <c r="BI823" s="15"/>
      <c r="BJ823" s="15"/>
      <c r="BK823" s="15"/>
      <c r="BL823" s="15"/>
    </row>
    <row r="825" spans="1:70" x14ac:dyDescent="0.2">
      <c r="B825" s="16"/>
      <c r="C825" s="16"/>
      <c r="D825" s="15"/>
      <c r="E825" s="15"/>
      <c r="F825" s="15"/>
      <c r="G825" s="15"/>
      <c r="H825" s="15"/>
      <c r="I825" s="15"/>
      <c r="J825" s="15"/>
      <c r="K825" s="15"/>
      <c r="L825" s="15"/>
      <c r="M825" s="15"/>
      <c r="N825" s="15"/>
      <c r="O825" s="15"/>
      <c r="P825" s="15"/>
      <c r="Q825" s="15"/>
      <c r="R825" s="15"/>
      <c r="S825" s="15"/>
      <c r="T825" s="15"/>
      <c r="U825" s="15"/>
      <c r="V825" s="15"/>
      <c r="W825" s="15"/>
      <c r="X825" s="70"/>
      <c r="Y825" s="70"/>
      <c r="Z825" s="70"/>
      <c r="AA825" s="70"/>
      <c r="AB825" s="70"/>
      <c r="AC825" s="70"/>
      <c r="AD825" s="70"/>
      <c r="AE825" s="70"/>
      <c r="AF825" s="70"/>
      <c r="AG825" s="70"/>
      <c r="AH825" s="70"/>
      <c r="AI825" s="70"/>
      <c r="AJ825" s="70"/>
      <c r="AK825" s="70"/>
      <c r="AL825" s="70"/>
      <c r="AM825" s="70"/>
      <c r="AN825" s="70"/>
      <c r="AO825" s="70"/>
      <c r="AP825" s="70"/>
      <c r="AQ825" s="70"/>
      <c r="AS825" s="16"/>
      <c r="AT825" s="16"/>
    </row>
    <row r="826" spans="1:70" s="369" customFormat="1" x14ac:dyDescent="0.2">
      <c r="A826" s="411"/>
      <c r="B826" s="212" t="s">
        <v>26</v>
      </c>
      <c r="E826" s="465"/>
      <c r="F826" s="465"/>
      <c r="G826" s="465"/>
      <c r="H826" s="465"/>
      <c r="I826" s="465"/>
      <c r="J826" s="631"/>
      <c r="K826" s="631"/>
      <c r="L826" s="631"/>
      <c r="M826" s="631"/>
      <c r="N826" s="631"/>
      <c r="O826" s="631"/>
      <c r="P826" s="631"/>
      <c r="Q826" s="631"/>
      <c r="R826" s="631"/>
      <c r="S826" s="631"/>
      <c r="T826" s="632"/>
      <c r="U826" s="631"/>
      <c r="V826" s="631"/>
      <c r="W826" s="631"/>
      <c r="X826" s="632"/>
      <c r="Y826" s="631"/>
      <c r="Z826" s="624"/>
      <c r="AI826" s="633"/>
      <c r="AJ826" s="633"/>
      <c r="AK826" s="633"/>
      <c r="AL826" s="633"/>
      <c r="AM826" s="633"/>
      <c r="AN826" s="633"/>
      <c r="AO826" s="633"/>
      <c r="AP826" s="633"/>
      <c r="AQ826" s="633"/>
      <c r="AR826" s="70"/>
      <c r="AS826" s="212" t="s">
        <v>26</v>
      </c>
      <c r="AU826" s="633"/>
      <c r="AV826" s="633"/>
      <c r="AW826" s="633"/>
      <c r="AX826" s="633"/>
      <c r="AY826" s="633"/>
      <c r="AZ826" s="633"/>
      <c r="BM826"/>
      <c r="BN826"/>
      <c r="BO826"/>
      <c r="BP826"/>
      <c r="BQ826"/>
      <c r="BR826"/>
    </row>
    <row r="827" spans="1:70" s="369" customFormat="1" x14ac:dyDescent="0.2">
      <c r="A827" s="411"/>
      <c r="B827" s="212"/>
      <c r="E827" s="465"/>
      <c r="F827" s="465"/>
      <c r="G827" s="465"/>
      <c r="H827" s="465"/>
      <c r="I827" s="465"/>
      <c r="J827" s="631"/>
      <c r="K827" s="631"/>
      <c r="L827" s="631"/>
      <c r="M827" s="631"/>
      <c r="N827" s="631"/>
      <c r="O827" s="631"/>
      <c r="P827" s="631"/>
      <c r="Q827" s="631"/>
      <c r="R827" s="631"/>
      <c r="S827" s="631"/>
      <c r="T827" s="632"/>
      <c r="U827" s="631"/>
      <c r="V827" s="631"/>
      <c r="W827" s="631"/>
      <c r="X827" s="632"/>
      <c r="Y827" s="631"/>
      <c r="Z827" s="624"/>
      <c r="AI827" s="633"/>
      <c r="AJ827" s="633"/>
      <c r="AK827" s="633"/>
      <c r="AL827" s="633"/>
      <c r="AM827" s="633"/>
      <c r="AN827" s="633"/>
      <c r="AO827" s="633"/>
      <c r="AP827" s="633"/>
      <c r="AQ827" s="633"/>
      <c r="AR827" s="70"/>
      <c r="AS827" s="212"/>
      <c r="AU827" s="633"/>
      <c r="AV827" s="633"/>
      <c r="AW827" s="633"/>
      <c r="AX827" s="633"/>
      <c r="AY827" s="633"/>
      <c r="AZ827" s="633"/>
      <c r="BM827"/>
      <c r="BN827"/>
      <c r="BO827"/>
      <c r="BP827"/>
      <c r="BQ827"/>
      <c r="BR827"/>
    </row>
    <row r="828" spans="1:70" s="369" customFormat="1" x14ac:dyDescent="0.2">
      <c r="A828" s="411"/>
      <c r="B828" s="634" t="s">
        <v>348</v>
      </c>
      <c r="C828" s="345"/>
      <c r="D828" s="445">
        <v>26505</v>
      </c>
      <c r="E828" s="445">
        <v>33927</v>
      </c>
      <c r="F828" s="445">
        <v>33802</v>
      </c>
      <c r="G828" s="445">
        <v>36453</v>
      </c>
      <c r="H828" s="445">
        <v>31150</v>
      </c>
      <c r="I828" s="445">
        <v>31145</v>
      </c>
      <c r="J828" s="445">
        <v>32810</v>
      </c>
      <c r="K828" s="445">
        <v>29885</v>
      </c>
      <c r="L828" s="445">
        <v>33380</v>
      </c>
      <c r="M828" s="445">
        <v>35268</v>
      </c>
      <c r="N828" s="445">
        <v>35976</v>
      </c>
      <c r="O828" s="445">
        <v>32108</v>
      </c>
      <c r="P828" s="445">
        <v>21880</v>
      </c>
      <c r="Q828" s="445">
        <v>23413</v>
      </c>
      <c r="R828" s="445">
        <v>21726</v>
      </c>
      <c r="S828" s="445">
        <v>20900</v>
      </c>
      <c r="T828" s="445">
        <v>22240</v>
      </c>
      <c r="U828" s="445">
        <v>22140</v>
      </c>
      <c r="V828" s="445">
        <v>23419</v>
      </c>
      <c r="W828" s="445">
        <v>23043</v>
      </c>
      <c r="X828" s="445">
        <v>22272</v>
      </c>
      <c r="Y828" s="445">
        <v>20940</v>
      </c>
      <c r="Z828" s="445">
        <v>22604</v>
      </c>
      <c r="AA828" s="445">
        <v>23775</v>
      </c>
      <c r="AB828" s="445">
        <v>21850</v>
      </c>
      <c r="AC828" s="635">
        <f t="shared" ref="AC828:AE829" si="1828">AB828*AC$888/AB$888</f>
        <v>21850</v>
      </c>
      <c r="AD828" s="635">
        <f t="shared" si="1828"/>
        <v>21850</v>
      </c>
      <c r="AE828" s="635">
        <f t="shared" si="1828"/>
        <v>21850</v>
      </c>
      <c r="AF828" s="635">
        <f t="shared" ref="AF828:AF829" si="1829">AE828*AF$888/AE$888</f>
        <v>21959.25</v>
      </c>
      <c r="AG828" s="635">
        <f t="shared" ref="AG828:AG829" si="1830">AF828*AG$888/AF$888</f>
        <v>22069.046249999999</v>
      </c>
      <c r="AH828" s="635">
        <f t="shared" ref="AH828:AH829" si="1831">AG828*AH$888/AG$888</f>
        <v>22179.391481249997</v>
      </c>
      <c r="AI828" s="635">
        <f t="shared" ref="AI828:AI829" si="1832">AH828*AI$888/AH$888</f>
        <v>22290.288438656244</v>
      </c>
      <c r="AJ828" s="635"/>
      <c r="AK828" s="635"/>
      <c r="AL828" s="635"/>
      <c r="AM828" s="635"/>
      <c r="AN828" s="635"/>
      <c r="AO828" s="635"/>
      <c r="AP828" s="635"/>
      <c r="AQ828" s="635"/>
      <c r="AR828" s="70"/>
      <c r="AS828" s="634" t="s">
        <v>348</v>
      </c>
      <c r="AT828" s="345"/>
      <c r="AU828" s="635">
        <f>G828</f>
        <v>36453</v>
      </c>
      <c r="AV828" s="635">
        <f>K828</f>
        <v>29885</v>
      </c>
      <c r="AW828" s="635">
        <f>O828</f>
        <v>32108</v>
      </c>
      <c r="AX828" s="635">
        <f>S828</f>
        <v>20900</v>
      </c>
      <c r="AY828" s="635">
        <f>W828</f>
        <v>23043</v>
      </c>
      <c r="AZ828" s="635">
        <f>AA828</f>
        <v>23775</v>
      </c>
      <c r="BA828" s="635">
        <f>AE828</f>
        <v>21850</v>
      </c>
      <c r="BB828" s="635">
        <f>AI828</f>
        <v>22290.288438656244</v>
      </c>
      <c r="BC828" s="635">
        <f t="shared" ref="BC828:BE829" si="1833">BB828*BC$888/BB$888</f>
        <v>22513.191323042807</v>
      </c>
      <c r="BD828" s="635">
        <f t="shared" si="1833"/>
        <v>22963.455149503661</v>
      </c>
      <c r="BE828" s="635">
        <f t="shared" si="1833"/>
        <v>23422.724252493732</v>
      </c>
      <c r="BM828"/>
      <c r="BN828"/>
      <c r="BO828"/>
      <c r="BP828"/>
      <c r="BQ828"/>
      <c r="BR828"/>
    </row>
    <row r="829" spans="1:70" s="369" customFormat="1" x14ac:dyDescent="0.2">
      <c r="A829" s="411"/>
      <c r="B829" s="634" t="s">
        <v>49</v>
      </c>
      <c r="C829" s="636"/>
      <c r="D829" s="445">
        <v>183949</v>
      </c>
      <c r="E829" s="445">
        <v>155054</v>
      </c>
      <c r="F829" s="445">
        <v>170028</v>
      </c>
      <c r="G829" s="445">
        <v>102134</v>
      </c>
      <c r="H829" s="445">
        <v>143227</v>
      </c>
      <c r="I829" s="445">
        <v>158028</v>
      </c>
      <c r="J829" s="445">
        <v>172659</v>
      </c>
      <c r="K829" s="445">
        <v>169005</v>
      </c>
      <c r="L829" s="445">
        <v>171020</v>
      </c>
      <c r="M829" s="445">
        <v>153817</v>
      </c>
      <c r="N829" s="445">
        <v>143068</v>
      </c>
      <c r="O829" s="445">
        <v>128089</v>
      </c>
      <c r="P829" s="445">
        <v>133896</v>
      </c>
      <c r="Q829" s="445">
        <v>130685</v>
      </c>
      <c r="R829" s="445">
        <v>137935</v>
      </c>
      <c r="S829" s="445">
        <v>112197</v>
      </c>
      <c r="T829" s="445">
        <v>136049</v>
      </c>
      <c r="U829" s="445">
        <v>127993</v>
      </c>
      <c r="V829" s="445">
        <v>132571</v>
      </c>
      <c r="W829" s="445">
        <v>137451</v>
      </c>
      <c r="X829" s="445">
        <v>157773</v>
      </c>
      <c r="Y829" s="445">
        <v>165142</v>
      </c>
      <c r="Z829" s="445">
        <v>163505</v>
      </c>
      <c r="AA829" s="445">
        <v>156741</v>
      </c>
      <c r="AB829" s="445">
        <v>180854</v>
      </c>
      <c r="AC829" s="635">
        <f t="shared" si="1828"/>
        <v>180854</v>
      </c>
      <c r="AD829" s="635">
        <f t="shared" si="1828"/>
        <v>180854</v>
      </c>
      <c r="AE829" s="635">
        <f t="shared" si="1828"/>
        <v>180854</v>
      </c>
      <c r="AF829" s="635">
        <f t="shared" si="1829"/>
        <v>181758.27</v>
      </c>
      <c r="AG829" s="635">
        <f t="shared" si="1830"/>
        <v>182667.06135</v>
      </c>
      <c r="AH829" s="635">
        <f t="shared" si="1831"/>
        <v>183580.39665675</v>
      </c>
      <c r="AI829" s="635">
        <f t="shared" si="1832"/>
        <v>184498.29864003372</v>
      </c>
      <c r="AJ829" s="635"/>
      <c r="AK829" s="635"/>
      <c r="AL829" s="635"/>
      <c r="AM829" s="635"/>
      <c r="AN829" s="635"/>
      <c r="AO829" s="635"/>
      <c r="AP829" s="635"/>
      <c r="AQ829" s="635"/>
      <c r="AR829" s="70"/>
      <c r="AS829" s="634" t="s">
        <v>49</v>
      </c>
      <c r="AT829" s="636"/>
      <c r="AU829" s="635">
        <f>G829</f>
        <v>102134</v>
      </c>
      <c r="AV829" s="635">
        <f>K829</f>
        <v>169005</v>
      </c>
      <c r="AW829" s="635">
        <f>O829</f>
        <v>128089</v>
      </c>
      <c r="AX829" s="635">
        <f>S829</f>
        <v>112197</v>
      </c>
      <c r="AY829" s="635">
        <f>W829</f>
        <v>137451</v>
      </c>
      <c r="AZ829" s="635">
        <f>AA829</f>
        <v>156741</v>
      </c>
      <c r="BA829" s="635">
        <f>AE829</f>
        <v>180854</v>
      </c>
      <c r="BB829" s="635">
        <f>AI829</f>
        <v>184498.29864003372</v>
      </c>
      <c r="BC829" s="635">
        <f t="shared" si="1833"/>
        <v>186343.28162643404</v>
      </c>
      <c r="BD829" s="635">
        <f t="shared" si="1833"/>
        <v>190070.14725896271</v>
      </c>
      <c r="BE829" s="635">
        <f t="shared" si="1833"/>
        <v>193871.55020414194</v>
      </c>
      <c r="BM829"/>
      <c r="BN829"/>
      <c r="BO829"/>
      <c r="BP829"/>
      <c r="BQ829"/>
      <c r="BR829"/>
    </row>
    <row r="830" spans="1:70" s="369" customFormat="1" x14ac:dyDescent="0.2">
      <c r="A830" s="411"/>
      <c r="B830" s="634" t="s">
        <v>28</v>
      </c>
      <c r="C830" s="345"/>
      <c r="D830" s="600"/>
      <c r="E830" s="600"/>
      <c r="F830" s="600"/>
      <c r="G830" s="600"/>
      <c r="H830" s="600"/>
      <c r="I830" s="600"/>
      <c r="J830" s="600"/>
      <c r="K830" s="600"/>
      <c r="L830" s="600"/>
      <c r="M830" s="600"/>
      <c r="N830" s="600"/>
      <c r="O830" s="600"/>
      <c r="P830" s="600"/>
      <c r="Q830" s="600"/>
      <c r="R830" s="600"/>
      <c r="S830" s="600"/>
      <c r="T830" s="600"/>
      <c r="U830" s="600"/>
      <c r="V830" s="600"/>
      <c r="W830" s="600"/>
      <c r="X830" s="600"/>
      <c r="Y830" s="600"/>
      <c r="Z830" s="600"/>
      <c r="AA830" s="600"/>
      <c r="AB830" s="600"/>
      <c r="AR830" s="70"/>
      <c r="AS830" s="634" t="s">
        <v>28</v>
      </c>
      <c r="AT830" s="345"/>
      <c r="AU830" s="633"/>
      <c r="AV830" s="633"/>
      <c r="AW830" s="633"/>
      <c r="AX830" s="633"/>
      <c r="AY830" s="633"/>
      <c r="AZ830" s="633"/>
      <c r="BA830" s="637"/>
      <c r="BB830" s="637"/>
      <c r="BM830"/>
      <c r="BN830"/>
      <c r="BO830"/>
      <c r="BP830"/>
      <c r="BQ830"/>
      <c r="BR830"/>
    </row>
    <row r="831" spans="1:70" s="369" customFormat="1" x14ac:dyDescent="0.2">
      <c r="A831" s="411"/>
      <c r="B831" s="634"/>
      <c r="C831" s="342" t="s">
        <v>353</v>
      </c>
      <c r="D831" s="445">
        <v>287197</v>
      </c>
      <c r="E831" s="445">
        <v>294577</v>
      </c>
      <c r="F831" s="445">
        <v>284531</v>
      </c>
      <c r="G831" s="445">
        <v>302196</v>
      </c>
      <c r="H831" s="445">
        <v>294803</v>
      </c>
      <c r="I831" s="445">
        <v>290738</v>
      </c>
      <c r="J831" s="445">
        <v>292717</v>
      </c>
      <c r="K831" s="445">
        <v>298381</v>
      </c>
      <c r="L831" s="445">
        <v>302300</v>
      </c>
      <c r="M831" s="445">
        <v>303293</v>
      </c>
      <c r="N831" s="445">
        <v>309009</v>
      </c>
      <c r="O831" s="445">
        <v>309522</v>
      </c>
      <c r="P831" s="445">
        <v>303561</v>
      </c>
      <c r="Q831" s="445">
        <v>301955</v>
      </c>
      <c r="R831" s="445">
        <v>308499</v>
      </c>
      <c r="S831" s="445">
        <v>306740</v>
      </c>
      <c r="T831" s="445">
        <v>316362</v>
      </c>
      <c r="U831" s="445">
        <v>320390</v>
      </c>
      <c r="V831" s="445">
        <v>316352</v>
      </c>
      <c r="W831" s="445">
        <v>307637</v>
      </c>
      <c r="X831" s="445">
        <v>297891</v>
      </c>
      <c r="Y831" s="445">
        <v>301535</v>
      </c>
      <c r="Z831" s="445">
        <v>303147</v>
      </c>
      <c r="AA831" s="445">
        <v>298970</v>
      </c>
      <c r="AB831" s="445">
        <v>299479</v>
      </c>
      <c r="AC831" s="635">
        <f t="shared" ref="AC831:AE832" si="1834">AB831*AC$888/AB$888</f>
        <v>299479</v>
      </c>
      <c r="AD831" s="635">
        <f t="shared" si="1834"/>
        <v>299479</v>
      </c>
      <c r="AE831" s="635">
        <f t="shared" si="1834"/>
        <v>299479</v>
      </c>
      <c r="AF831" s="635">
        <f t="shared" ref="AF831:AF832" si="1835">AE831*AF$888/AE$888</f>
        <v>300976.39499999996</v>
      </c>
      <c r="AG831" s="635">
        <f t="shared" ref="AG831:AG832" si="1836">AF831*AG$888/AF$888</f>
        <v>302481.27697499999</v>
      </c>
      <c r="AH831" s="635">
        <f t="shared" ref="AH831:AH832" si="1837">AG831*AH$888/AG$888</f>
        <v>303993.68335987494</v>
      </c>
      <c r="AI831" s="635">
        <f t="shared" ref="AI831:AI832" si="1838">AH831*AI$888/AH$888</f>
        <v>305513.65177667426</v>
      </c>
      <c r="AJ831" s="635"/>
      <c r="AK831" s="635"/>
      <c r="AL831" s="635"/>
      <c r="AM831" s="635"/>
      <c r="AN831" s="635"/>
      <c r="AO831" s="635"/>
      <c r="AP831" s="635"/>
      <c r="AQ831" s="635"/>
      <c r="AR831" s="70"/>
      <c r="AS831" s="634"/>
      <c r="AT831" s="342" t="s">
        <v>353</v>
      </c>
      <c r="AU831" s="635">
        <f>G831</f>
        <v>302196</v>
      </c>
      <c r="AV831" s="635">
        <f>K831</f>
        <v>298381</v>
      </c>
      <c r="AW831" s="635">
        <f>O831</f>
        <v>309522</v>
      </c>
      <c r="AX831" s="635">
        <f>S831</f>
        <v>306740</v>
      </c>
      <c r="AY831" s="635">
        <f>W831</f>
        <v>307637</v>
      </c>
      <c r="AZ831" s="635">
        <f>AA831</f>
        <v>298970</v>
      </c>
      <c r="BA831" s="635">
        <f>AE831</f>
        <v>299479</v>
      </c>
      <c r="BB831" s="635">
        <f>AI831</f>
        <v>305513.65177667426</v>
      </c>
      <c r="BC831" s="635">
        <f t="shared" ref="BC831:BE832" si="1839">BB831*BC$888/BB$888</f>
        <v>308568.78829444101</v>
      </c>
      <c r="BD831" s="635">
        <f t="shared" si="1839"/>
        <v>314740.16406032984</v>
      </c>
      <c r="BE831" s="635">
        <f t="shared" si="1839"/>
        <v>321034.96734153642</v>
      </c>
      <c r="BM831"/>
      <c r="BN831"/>
      <c r="BO831"/>
      <c r="BP831"/>
      <c r="BQ831"/>
      <c r="BR831"/>
    </row>
    <row r="832" spans="1:70" s="369" customFormat="1" x14ac:dyDescent="0.2">
      <c r="A832" s="411"/>
      <c r="B832" s="634"/>
      <c r="C832" s="342" t="s">
        <v>39</v>
      </c>
      <c r="D832" s="443">
        <v>10126</v>
      </c>
      <c r="E832" s="443">
        <v>11349</v>
      </c>
      <c r="F832" s="443">
        <v>10943</v>
      </c>
      <c r="G832" s="443">
        <v>10130</v>
      </c>
      <c r="H832" s="443">
        <v>10056</v>
      </c>
      <c r="I832" s="443">
        <v>9602</v>
      </c>
      <c r="J832" s="443">
        <v>10808</v>
      </c>
      <c r="K832" s="443">
        <v>10599</v>
      </c>
      <c r="L832" s="443">
        <v>10600</v>
      </c>
      <c r="M832" s="443">
        <v>22330</v>
      </c>
      <c r="N832" s="443">
        <v>24038</v>
      </c>
      <c r="O832" s="443">
        <v>23921</v>
      </c>
      <c r="P832" s="443">
        <v>23254</v>
      </c>
      <c r="Q832" s="443">
        <v>30166</v>
      </c>
      <c r="R832" s="443">
        <v>33940</v>
      </c>
      <c r="S832" s="443">
        <v>36215</v>
      </c>
      <c r="T832" s="443">
        <v>36890</v>
      </c>
      <c r="U832" s="443">
        <v>35903</v>
      </c>
      <c r="V832" s="443">
        <v>38588</v>
      </c>
      <c r="W832" s="443">
        <v>45667</v>
      </c>
      <c r="X832" s="443">
        <v>47820</v>
      </c>
      <c r="Y832" s="443">
        <v>50175</v>
      </c>
      <c r="Z832" s="443">
        <v>51527</v>
      </c>
      <c r="AA832" s="443">
        <v>53320</v>
      </c>
      <c r="AB832" s="443">
        <v>52492</v>
      </c>
      <c r="AC832" s="638">
        <f t="shared" si="1834"/>
        <v>52492</v>
      </c>
      <c r="AD832" s="638">
        <f t="shared" si="1834"/>
        <v>52492</v>
      </c>
      <c r="AE832" s="638">
        <f t="shared" si="1834"/>
        <v>52492</v>
      </c>
      <c r="AF832" s="638">
        <f t="shared" si="1835"/>
        <v>52754.46</v>
      </c>
      <c r="AG832" s="638">
        <f t="shared" si="1836"/>
        <v>53018.232299999996</v>
      </c>
      <c r="AH832" s="638">
        <f t="shared" si="1837"/>
        <v>53283.323461499996</v>
      </c>
      <c r="AI832" s="638">
        <f t="shared" si="1838"/>
        <v>53549.740078807488</v>
      </c>
      <c r="AJ832" s="635"/>
      <c r="AK832" s="635"/>
      <c r="AL832" s="635"/>
      <c r="AM832" s="635"/>
      <c r="AN832" s="635"/>
      <c r="AO832" s="635"/>
      <c r="AP832" s="635"/>
      <c r="AQ832" s="635"/>
      <c r="AR832" s="70"/>
      <c r="AS832" s="634"/>
      <c r="AT832" s="342" t="s">
        <v>39</v>
      </c>
      <c r="AU832" s="638">
        <f>G832</f>
        <v>10130</v>
      </c>
      <c r="AV832" s="638">
        <f>K832</f>
        <v>10599</v>
      </c>
      <c r="AW832" s="638">
        <f>O832</f>
        <v>23921</v>
      </c>
      <c r="AX832" s="638">
        <f>S832</f>
        <v>36215</v>
      </c>
      <c r="AY832" s="638">
        <f>W832</f>
        <v>45667</v>
      </c>
      <c r="AZ832" s="638">
        <f>AA832</f>
        <v>53320</v>
      </c>
      <c r="BA832" s="638">
        <f>AE832</f>
        <v>52492</v>
      </c>
      <c r="BB832" s="638">
        <f>AI832</f>
        <v>53549.740078807488</v>
      </c>
      <c r="BC832" s="638">
        <f t="shared" si="1839"/>
        <v>54085.237479595555</v>
      </c>
      <c r="BD832" s="638">
        <f t="shared" si="1839"/>
        <v>55166.942229187465</v>
      </c>
      <c r="BE832" s="638">
        <f t="shared" si="1839"/>
        <v>56270.281073771213</v>
      </c>
      <c r="BM832"/>
      <c r="BN832"/>
      <c r="BO832"/>
      <c r="BP832"/>
      <c r="BQ832"/>
      <c r="BR832"/>
    </row>
    <row r="833" spans="1:70" s="369" customFormat="1" x14ac:dyDescent="0.2">
      <c r="A833" s="411"/>
      <c r="B833" s="634" t="s">
        <v>40</v>
      </c>
      <c r="C833" s="636"/>
      <c r="D833" s="379">
        <f t="shared" ref="D833:AE833" si="1840">SUM(D831:D832)</f>
        <v>297323</v>
      </c>
      <c r="E833" s="379">
        <f t="shared" si="1840"/>
        <v>305926</v>
      </c>
      <c r="F833" s="379">
        <f t="shared" si="1840"/>
        <v>295474</v>
      </c>
      <c r="G833" s="379">
        <f t="shared" si="1840"/>
        <v>312326</v>
      </c>
      <c r="H833" s="379">
        <f t="shared" si="1840"/>
        <v>304859</v>
      </c>
      <c r="I833" s="379">
        <f t="shared" si="1840"/>
        <v>300340</v>
      </c>
      <c r="J833" s="379">
        <f t="shared" si="1840"/>
        <v>303525</v>
      </c>
      <c r="K833" s="379">
        <f t="shared" si="1840"/>
        <v>308980</v>
      </c>
      <c r="L833" s="379">
        <f t="shared" si="1840"/>
        <v>312900</v>
      </c>
      <c r="M833" s="379">
        <f t="shared" si="1840"/>
        <v>325623</v>
      </c>
      <c r="N833" s="379">
        <f t="shared" si="1840"/>
        <v>333047</v>
      </c>
      <c r="O833" s="379">
        <f t="shared" si="1840"/>
        <v>333443</v>
      </c>
      <c r="P833" s="379">
        <f t="shared" si="1840"/>
        <v>326815</v>
      </c>
      <c r="Q833" s="379">
        <f t="shared" si="1840"/>
        <v>332121</v>
      </c>
      <c r="R833" s="379">
        <f t="shared" si="1840"/>
        <v>342439</v>
      </c>
      <c r="S833" s="379">
        <f t="shared" si="1840"/>
        <v>342955</v>
      </c>
      <c r="T833" s="379">
        <f t="shared" si="1840"/>
        <v>353252</v>
      </c>
      <c r="U833" s="379">
        <f t="shared" si="1840"/>
        <v>356293</v>
      </c>
      <c r="V833" s="379">
        <f t="shared" si="1840"/>
        <v>354940</v>
      </c>
      <c r="W833" s="379">
        <f t="shared" si="1840"/>
        <v>353304</v>
      </c>
      <c r="X833" s="379">
        <f t="shared" si="1840"/>
        <v>345711</v>
      </c>
      <c r="Y833" s="379">
        <f t="shared" ref="Y833:Z833" si="1841">SUM(Y831:Y832)</f>
        <v>351710</v>
      </c>
      <c r="Z833" s="379">
        <f t="shared" si="1841"/>
        <v>354674</v>
      </c>
      <c r="AA833" s="379">
        <f t="shared" ref="AA833:AB833" si="1842">SUM(AA831:AA832)</f>
        <v>352290</v>
      </c>
      <c r="AB833" s="379">
        <f t="shared" si="1842"/>
        <v>351971</v>
      </c>
      <c r="AC833" s="635">
        <f t="shared" si="1840"/>
        <v>351971</v>
      </c>
      <c r="AD833" s="635">
        <f t="shared" si="1840"/>
        <v>351971</v>
      </c>
      <c r="AE833" s="635">
        <f t="shared" si="1840"/>
        <v>351971</v>
      </c>
      <c r="AF833" s="635">
        <f t="shared" ref="AF833:AI833" si="1843">SUM(AF831:AF832)</f>
        <v>353730.85499999998</v>
      </c>
      <c r="AG833" s="635">
        <f t="shared" si="1843"/>
        <v>355499.50927499996</v>
      </c>
      <c r="AH833" s="635">
        <f t="shared" si="1843"/>
        <v>357277.00682137493</v>
      </c>
      <c r="AI833" s="635">
        <f t="shared" si="1843"/>
        <v>359063.39185548178</v>
      </c>
      <c r="AJ833" s="635"/>
      <c r="AK833" s="635"/>
      <c r="AL833" s="635"/>
      <c r="AM833" s="635"/>
      <c r="AN833" s="635"/>
      <c r="AO833" s="635"/>
      <c r="AP833" s="635"/>
      <c r="AQ833" s="635"/>
      <c r="AR833" s="70"/>
      <c r="AS833" s="634" t="s">
        <v>40</v>
      </c>
      <c r="AT833" s="636"/>
      <c r="AU833" s="379">
        <f t="shared" ref="AU833:BD833" si="1844">SUM(AU831:AU832)</f>
        <v>312326</v>
      </c>
      <c r="AV833" s="379">
        <f t="shared" si="1844"/>
        <v>308980</v>
      </c>
      <c r="AW833" s="379">
        <f t="shared" si="1844"/>
        <v>333443</v>
      </c>
      <c r="AX833" s="379">
        <f t="shared" si="1844"/>
        <v>342955</v>
      </c>
      <c r="AY833" s="379">
        <f t="shared" si="1844"/>
        <v>353304</v>
      </c>
      <c r="AZ833" s="379">
        <f t="shared" si="1844"/>
        <v>352290</v>
      </c>
      <c r="BA833" s="379">
        <f t="shared" si="1844"/>
        <v>351971</v>
      </c>
      <c r="BB833" s="379">
        <f t="shared" ref="BB833" si="1845">SUM(BB831:BB832)</f>
        <v>359063.39185548178</v>
      </c>
      <c r="BC833" s="635">
        <f t="shared" si="1844"/>
        <v>362654.02577403653</v>
      </c>
      <c r="BD833" s="635">
        <f t="shared" si="1844"/>
        <v>369907.10628951731</v>
      </c>
      <c r="BE833" s="635">
        <f t="shared" ref="BE833" si="1846">SUM(BE831:BE832)</f>
        <v>377305.24841530761</v>
      </c>
      <c r="BM833"/>
      <c r="BN833"/>
      <c r="BO833"/>
      <c r="BP833"/>
      <c r="BQ833"/>
      <c r="BR833"/>
    </row>
    <row r="834" spans="1:70" s="369" customFormat="1" x14ac:dyDescent="0.2">
      <c r="A834" s="411"/>
      <c r="B834" s="634" t="s">
        <v>29</v>
      </c>
      <c r="C834" s="636"/>
      <c r="D834" s="600"/>
      <c r="E834" s="600"/>
      <c r="F834" s="600"/>
      <c r="G834" s="600"/>
      <c r="H834" s="600"/>
      <c r="I834" s="600"/>
      <c r="J834" s="600"/>
      <c r="K834" s="600"/>
      <c r="L834" s="600"/>
      <c r="M834" s="600"/>
      <c r="N834" s="600"/>
      <c r="O834" s="600"/>
      <c r="P834" s="600"/>
      <c r="Q834" s="600"/>
      <c r="R834" s="600"/>
      <c r="S834" s="600"/>
      <c r="T834" s="600"/>
      <c r="U834" s="600"/>
      <c r="V834" s="600"/>
      <c r="W834" s="600"/>
      <c r="X834" s="600"/>
      <c r="Y834" s="600"/>
      <c r="Z834" s="600"/>
      <c r="AA834" s="600"/>
      <c r="AB834" s="600"/>
      <c r="AR834" s="70"/>
      <c r="AS834" s="634" t="s">
        <v>29</v>
      </c>
      <c r="AT834" s="636"/>
      <c r="AU834" s="633"/>
      <c r="AV834" s="633"/>
      <c r="AW834" s="633"/>
      <c r="AX834" s="633"/>
      <c r="AY834" s="633"/>
      <c r="AZ834" s="633"/>
      <c r="BA834" s="637"/>
      <c r="BB834" s="637"/>
      <c r="BM834"/>
      <c r="BN834"/>
      <c r="BO834"/>
      <c r="BP834"/>
      <c r="BQ834"/>
      <c r="BR834"/>
    </row>
    <row r="835" spans="1:70" s="369" customFormat="1" x14ac:dyDescent="0.2">
      <c r="A835" s="411"/>
      <c r="B835" s="321"/>
      <c r="C835" s="639" t="s">
        <v>56</v>
      </c>
      <c r="D835" s="445">
        <v>413551</v>
      </c>
      <c r="E835" s="445">
        <v>406510</v>
      </c>
      <c r="F835" s="445">
        <v>404968</v>
      </c>
      <c r="G835" s="445">
        <v>405834</v>
      </c>
      <c r="H835" s="445">
        <v>392145</v>
      </c>
      <c r="I835" s="445">
        <v>378996</v>
      </c>
      <c r="J835" s="445">
        <v>384389</v>
      </c>
      <c r="K835" s="445">
        <v>390293</v>
      </c>
      <c r="L835" s="445">
        <v>380590</v>
      </c>
      <c r="M835" s="445">
        <v>380113</v>
      </c>
      <c r="N835" s="445">
        <v>372140</v>
      </c>
      <c r="O835" s="445">
        <v>365643</v>
      </c>
      <c r="P835" s="445">
        <v>337431</v>
      </c>
      <c r="Q835" s="445">
        <v>337878</v>
      </c>
      <c r="R835" s="445">
        <v>328922</v>
      </c>
      <c r="S835" s="445">
        <v>325454</v>
      </c>
      <c r="T835" s="445">
        <v>317555</v>
      </c>
      <c r="U835" s="445">
        <v>326082</v>
      </c>
      <c r="V835" s="445">
        <v>328372</v>
      </c>
      <c r="W835" s="445">
        <v>325063</v>
      </c>
      <c r="X835" s="445">
        <v>320556</v>
      </c>
      <c r="Y835" s="445">
        <v>325261</v>
      </c>
      <c r="Z835" s="445">
        <v>325576</v>
      </c>
      <c r="AA835" s="445">
        <v>333656</v>
      </c>
      <c r="AB835" s="445">
        <v>325084</v>
      </c>
      <c r="AC835" s="527">
        <f t="shared" ref="AC835:AE835" si="1847">AC999*1000</f>
        <v>325647.00000000006</v>
      </c>
      <c r="AD835" s="527">
        <f t="shared" si="1847"/>
        <v>328414.61</v>
      </c>
      <c r="AE835" s="527">
        <f t="shared" si="1847"/>
        <v>333684.26944999996</v>
      </c>
      <c r="AF835" s="527">
        <f t="shared" ref="AF835:AI835" si="1848">AF999*1000</f>
        <v>332214.30546799989</v>
      </c>
      <c r="AG835" s="527">
        <f t="shared" si="1848"/>
        <v>333298.63559294003</v>
      </c>
      <c r="AH835" s="527">
        <f t="shared" si="1848"/>
        <v>336878.77123984467</v>
      </c>
      <c r="AI835" s="527">
        <f t="shared" si="1848"/>
        <v>343114.32993347722</v>
      </c>
      <c r="AJ835" s="527"/>
      <c r="AK835" s="527"/>
      <c r="AL835" s="527"/>
      <c r="AM835" s="527"/>
      <c r="AN835" s="527"/>
      <c r="AO835" s="527"/>
      <c r="AP835" s="527"/>
      <c r="AQ835" s="527"/>
      <c r="AR835" s="70"/>
      <c r="AS835" s="321"/>
      <c r="AT835" s="639" t="s">
        <v>56</v>
      </c>
      <c r="AU835" s="635">
        <f>G835</f>
        <v>405834</v>
      </c>
      <c r="AV835" s="635">
        <f>K835</f>
        <v>390293</v>
      </c>
      <c r="AW835" s="635">
        <f>O835</f>
        <v>365643</v>
      </c>
      <c r="AX835" s="635">
        <f>S835</f>
        <v>325454</v>
      </c>
      <c r="AY835" s="635">
        <f>W835</f>
        <v>325063</v>
      </c>
      <c r="AZ835" s="635">
        <f>AA835</f>
        <v>333656</v>
      </c>
      <c r="BA835" s="635">
        <f>AE835</f>
        <v>333684.26944999996</v>
      </c>
      <c r="BB835" s="635">
        <f>AI835</f>
        <v>343114.32993347722</v>
      </c>
      <c r="BC835" s="527">
        <f>BC999*1000</f>
        <v>354867.29707317037</v>
      </c>
      <c r="BD835" s="527">
        <f>BD999*1000</f>
        <v>368073.91818236711</v>
      </c>
      <c r="BE835" s="527">
        <f>BE999*1000</f>
        <v>382474.4464434546</v>
      </c>
      <c r="BM835"/>
      <c r="BN835"/>
      <c r="BO835"/>
      <c r="BP835"/>
      <c r="BQ835"/>
      <c r="BR835"/>
    </row>
    <row r="836" spans="1:70" s="369" customFormat="1" x14ac:dyDescent="0.2">
      <c r="A836" s="411"/>
      <c r="B836" s="321"/>
      <c r="C836" s="639" t="s">
        <v>62</v>
      </c>
      <c r="D836" s="640">
        <v>234471</v>
      </c>
      <c r="E836" s="640">
        <v>248458</v>
      </c>
      <c r="F836" s="640">
        <v>253455</v>
      </c>
      <c r="G836" s="640">
        <v>249630</v>
      </c>
      <c r="H836" s="640">
        <v>254219</v>
      </c>
      <c r="I836" s="640">
        <v>264745</v>
      </c>
      <c r="J836" s="640">
        <v>273162</v>
      </c>
      <c r="K836" s="640">
        <v>275179</v>
      </c>
      <c r="L836" s="640">
        <v>283631</v>
      </c>
      <c r="M836" s="640">
        <v>287391</v>
      </c>
      <c r="N836" s="640">
        <v>281686</v>
      </c>
      <c r="O836" s="640">
        <v>278992</v>
      </c>
      <c r="P836" s="640">
        <v>283623</v>
      </c>
      <c r="Q836" s="640">
        <v>294240</v>
      </c>
      <c r="R836" s="640">
        <v>293522</v>
      </c>
      <c r="S836" s="640">
        <v>292163</v>
      </c>
      <c r="T836" s="640">
        <v>301269</v>
      </c>
      <c r="U836" s="640">
        <v>307433</v>
      </c>
      <c r="V836" s="640">
        <v>310063</v>
      </c>
      <c r="W836" s="640">
        <v>299306</v>
      </c>
      <c r="X836" s="640">
        <v>308039</v>
      </c>
      <c r="Y836" s="640">
        <v>319434</v>
      </c>
      <c r="Z836" s="640">
        <v>327607</v>
      </c>
      <c r="AA836" s="640">
        <v>333378</v>
      </c>
      <c r="AB836" s="640">
        <v>347854</v>
      </c>
      <c r="AC836" s="641">
        <f t="shared" ref="AC836:AE836" si="1849">AC1006*1000</f>
        <v>354858</v>
      </c>
      <c r="AD836" s="641">
        <f t="shared" si="1849"/>
        <v>360180.87</v>
      </c>
      <c r="AE836" s="641">
        <f t="shared" si="1849"/>
        <v>365583.5830499999</v>
      </c>
      <c r="AF836" s="641">
        <f t="shared" ref="AF836:AI836" si="1850">AF1006*1000</f>
        <v>372895.2547109999</v>
      </c>
      <c r="AG836" s="641">
        <f t="shared" si="1850"/>
        <v>380353.15980521991</v>
      </c>
      <c r="AH836" s="641">
        <f t="shared" si="1850"/>
        <v>389861.9888003504</v>
      </c>
      <c r="AI836" s="641">
        <f t="shared" si="1850"/>
        <v>399608.53852035908</v>
      </c>
      <c r="AJ836" s="527"/>
      <c r="AK836" s="527"/>
      <c r="AL836" s="527"/>
      <c r="AM836" s="527"/>
      <c r="AN836" s="527"/>
      <c r="AO836" s="527"/>
      <c r="AP836" s="527"/>
      <c r="AQ836" s="527"/>
      <c r="AR836" s="70"/>
      <c r="AS836" s="321"/>
      <c r="AT836" s="639" t="s">
        <v>62</v>
      </c>
      <c r="AU836" s="638">
        <f>G836</f>
        <v>249630</v>
      </c>
      <c r="AV836" s="638">
        <f>K836</f>
        <v>275179</v>
      </c>
      <c r="AW836" s="638">
        <f>O836</f>
        <v>278992</v>
      </c>
      <c r="AX836" s="638">
        <f>S836</f>
        <v>292163</v>
      </c>
      <c r="AY836" s="638">
        <f>W836</f>
        <v>299306</v>
      </c>
      <c r="AZ836" s="638">
        <f>AA836</f>
        <v>333378</v>
      </c>
      <c r="BA836" s="638">
        <f>AE836</f>
        <v>365583.5830499999</v>
      </c>
      <c r="BB836" s="638">
        <f>AI836</f>
        <v>399608.53852035908</v>
      </c>
      <c r="BC836" s="641">
        <f>BC1006*1000</f>
        <v>427581.13621678425</v>
      </c>
      <c r="BD836" s="641">
        <f>BD1006*1000</f>
        <v>457511.81575195922</v>
      </c>
      <c r="BE836" s="641">
        <f>BE1006*1000</f>
        <v>484962.52469707676</v>
      </c>
      <c r="BM836"/>
      <c r="BN836"/>
      <c r="BO836"/>
      <c r="BP836"/>
      <c r="BQ836"/>
      <c r="BR836"/>
    </row>
    <row r="837" spans="1:70" s="369" customFormat="1" x14ac:dyDescent="0.2">
      <c r="A837" s="411"/>
      <c r="B837" s="642" t="s">
        <v>29</v>
      </c>
      <c r="C837" s="643"/>
      <c r="D837" s="600">
        <f t="shared" ref="D837:AE837" si="1851">SUM(D835:D836)</f>
        <v>648022</v>
      </c>
      <c r="E837" s="600">
        <f t="shared" si="1851"/>
        <v>654968</v>
      </c>
      <c r="F837" s="600">
        <f t="shared" si="1851"/>
        <v>658423</v>
      </c>
      <c r="G837" s="600">
        <f t="shared" si="1851"/>
        <v>655464</v>
      </c>
      <c r="H837" s="600">
        <f t="shared" si="1851"/>
        <v>646364</v>
      </c>
      <c r="I837" s="600">
        <f t="shared" si="1851"/>
        <v>643741</v>
      </c>
      <c r="J837" s="600">
        <f t="shared" si="1851"/>
        <v>657551</v>
      </c>
      <c r="K837" s="600">
        <f t="shared" si="1851"/>
        <v>665472</v>
      </c>
      <c r="L837" s="600">
        <f t="shared" si="1851"/>
        <v>664221</v>
      </c>
      <c r="M837" s="600">
        <f t="shared" si="1851"/>
        <v>667504</v>
      </c>
      <c r="N837" s="600">
        <f t="shared" si="1851"/>
        <v>653826</v>
      </c>
      <c r="O837" s="600">
        <f t="shared" si="1851"/>
        <v>644635</v>
      </c>
      <c r="P837" s="600">
        <f t="shared" si="1851"/>
        <v>621054</v>
      </c>
      <c r="Q837" s="600">
        <f t="shared" si="1851"/>
        <v>632118</v>
      </c>
      <c r="R837" s="600">
        <f t="shared" si="1851"/>
        <v>622444</v>
      </c>
      <c r="S837" s="600">
        <f t="shared" si="1851"/>
        <v>617617</v>
      </c>
      <c r="T837" s="600">
        <f t="shared" si="1851"/>
        <v>618824</v>
      </c>
      <c r="U837" s="600">
        <f t="shared" si="1851"/>
        <v>633515</v>
      </c>
      <c r="V837" s="600">
        <f t="shared" si="1851"/>
        <v>638435</v>
      </c>
      <c r="W837" s="600">
        <f t="shared" si="1851"/>
        <v>624369</v>
      </c>
      <c r="X837" s="600">
        <f t="shared" si="1851"/>
        <v>628595</v>
      </c>
      <c r="Y837" s="600">
        <f t="shared" ref="Y837:Z837" si="1852">SUM(Y835:Y836)</f>
        <v>644695</v>
      </c>
      <c r="Z837" s="600">
        <f t="shared" si="1852"/>
        <v>653183</v>
      </c>
      <c r="AA837" s="600">
        <f t="shared" ref="AA837:AB837" si="1853">SUM(AA835:AA836)</f>
        <v>667034</v>
      </c>
      <c r="AB837" s="600">
        <f t="shared" si="1853"/>
        <v>672938</v>
      </c>
      <c r="AC837" s="600">
        <f t="shared" si="1851"/>
        <v>680505</v>
      </c>
      <c r="AD837" s="600">
        <f t="shared" si="1851"/>
        <v>688595.48</v>
      </c>
      <c r="AE837" s="600">
        <f t="shared" si="1851"/>
        <v>699267.8524999998</v>
      </c>
      <c r="AF837" s="600">
        <f t="shared" ref="AF837:AI837" si="1854">SUM(AF835:AF836)</f>
        <v>705109.56017899979</v>
      </c>
      <c r="AG837" s="600">
        <f t="shared" si="1854"/>
        <v>713651.79539815988</v>
      </c>
      <c r="AH837" s="600">
        <f t="shared" si="1854"/>
        <v>726740.76004019508</v>
      </c>
      <c r="AI837" s="600">
        <f t="shared" si="1854"/>
        <v>742722.8684538363</v>
      </c>
      <c r="AJ837" s="600"/>
      <c r="AK837" s="600"/>
      <c r="AL837" s="600"/>
      <c r="AM837" s="600"/>
      <c r="AN837" s="600"/>
      <c r="AO837" s="600"/>
      <c r="AP837" s="600"/>
      <c r="AQ837" s="600"/>
      <c r="AR837" s="70"/>
      <c r="AS837" s="642" t="s">
        <v>29</v>
      </c>
      <c r="AT837" s="643"/>
      <c r="AU837" s="600">
        <f t="shared" ref="AU837:BD837" si="1855">SUM(AU835:AU836)</f>
        <v>655464</v>
      </c>
      <c r="AV837" s="600">
        <f t="shared" si="1855"/>
        <v>665472</v>
      </c>
      <c r="AW837" s="600">
        <f t="shared" si="1855"/>
        <v>644635</v>
      </c>
      <c r="AX837" s="600">
        <f t="shared" si="1855"/>
        <v>617617</v>
      </c>
      <c r="AY837" s="600">
        <f t="shared" si="1855"/>
        <v>624369</v>
      </c>
      <c r="AZ837" s="600">
        <f t="shared" si="1855"/>
        <v>667034</v>
      </c>
      <c r="BA837" s="600">
        <f t="shared" si="1855"/>
        <v>699267.8524999998</v>
      </c>
      <c r="BB837" s="600">
        <f t="shared" ref="BB837" si="1856">SUM(BB835:BB836)</f>
        <v>742722.8684538363</v>
      </c>
      <c r="BC837" s="600">
        <f t="shared" si="1855"/>
        <v>782448.43328995467</v>
      </c>
      <c r="BD837" s="600">
        <f t="shared" si="1855"/>
        <v>825585.73393432633</v>
      </c>
      <c r="BE837" s="600">
        <f t="shared" ref="BE837" si="1857">SUM(BE835:BE836)</f>
        <v>867436.97114053136</v>
      </c>
      <c r="BM837"/>
      <c r="BN837"/>
      <c r="BO837"/>
      <c r="BP837"/>
      <c r="BQ837"/>
      <c r="BR837"/>
    </row>
    <row r="838" spans="1:70" s="369" customFormat="1" x14ac:dyDescent="0.2">
      <c r="A838" s="411"/>
      <c r="B838" s="321"/>
      <c r="C838" s="644" t="s">
        <v>354</v>
      </c>
      <c r="D838" s="560">
        <v>627422</v>
      </c>
      <c r="E838" s="560">
        <v>611837</v>
      </c>
      <c r="F838" s="560">
        <v>616929</v>
      </c>
      <c r="G838" s="560">
        <v>596873</v>
      </c>
      <c r="H838" s="560">
        <v>594614</v>
      </c>
      <c r="I838" s="560">
        <v>592982</v>
      </c>
      <c r="J838" s="560">
        <v>580542</v>
      </c>
      <c r="K838" s="560">
        <v>557871</v>
      </c>
      <c r="L838" s="560">
        <v>563574</v>
      </c>
      <c r="M838" s="560">
        <v>572437</v>
      </c>
      <c r="N838" s="560">
        <v>567292</v>
      </c>
      <c r="O838" s="560">
        <v>560198</v>
      </c>
      <c r="P838" s="560">
        <v>570613</v>
      </c>
      <c r="Q838" s="560">
        <v>552917</v>
      </c>
      <c r="R838" s="560">
        <v>527803</v>
      </c>
      <c r="S838" s="560">
        <v>488573</v>
      </c>
      <c r="T838" s="560">
        <v>525853</v>
      </c>
      <c r="U838" s="560">
        <v>528708</v>
      </c>
      <c r="V838" s="560">
        <v>526784</v>
      </c>
      <c r="W838" s="560">
        <f>243925+28887+236813</f>
        <v>509625</v>
      </c>
      <c r="X838" s="560">
        <f>242929+36888+244903</f>
        <v>524720</v>
      </c>
      <c r="Y838" s="560">
        <f>234065+40487+259606</f>
        <v>534158</v>
      </c>
      <c r="Z838" s="560">
        <f>252608+38076+258907</f>
        <v>549591</v>
      </c>
      <c r="AA838" s="560">
        <f>232478+38384+252702</f>
        <v>523564</v>
      </c>
      <c r="AB838" s="560">
        <f>257887+46572+268808</f>
        <v>573267</v>
      </c>
      <c r="AC838" s="635">
        <f t="shared" ref="AC838:AE838" si="1858">AC839-AC837-AC833-AC829-AC828</f>
        <v>573041.6478073597</v>
      </c>
      <c r="AD838" s="635">
        <f t="shared" si="1858"/>
        <v>573200.60664082924</v>
      </c>
      <c r="AE838" s="635">
        <f t="shared" si="1858"/>
        <v>573491.0977056413</v>
      </c>
      <c r="AF838" s="635">
        <f t="shared" ref="AF838:AI838" si="1859">AF839-AF837-AF833-AF829-AF828</f>
        <v>576218.88748665946</v>
      </c>
      <c r="AG838" s="635">
        <f t="shared" si="1859"/>
        <v>579084.03992157977</v>
      </c>
      <c r="AH838" s="635">
        <f t="shared" si="1859"/>
        <v>582152.93004840182</v>
      </c>
      <c r="AI838" s="635">
        <f t="shared" si="1859"/>
        <v>585382.23377847148</v>
      </c>
      <c r="AJ838" s="635"/>
      <c r="AK838" s="635"/>
      <c r="AL838" s="635"/>
      <c r="AM838" s="635"/>
      <c r="AN838" s="635"/>
      <c r="AO838" s="635"/>
      <c r="AP838" s="635"/>
      <c r="AQ838" s="635"/>
      <c r="AR838" s="70"/>
      <c r="AS838" s="321"/>
      <c r="AT838" s="644" t="s">
        <v>354</v>
      </c>
      <c r="AU838" s="635">
        <f>G838</f>
        <v>596873</v>
      </c>
      <c r="AV838" s="635">
        <f>K838</f>
        <v>557871</v>
      </c>
      <c r="AW838" s="635">
        <f>O838</f>
        <v>560198</v>
      </c>
      <c r="AX838" s="635">
        <f>S838</f>
        <v>488573</v>
      </c>
      <c r="AY838" s="635">
        <f>W838</f>
        <v>509625</v>
      </c>
      <c r="AZ838" s="635">
        <f>AA838</f>
        <v>523564</v>
      </c>
      <c r="BA838" s="635">
        <f>AE838</f>
        <v>573491.0977056413</v>
      </c>
      <c r="BB838" s="635">
        <f>AI838</f>
        <v>585382.23377847148</v>
      </c>
      <c r="BC838" s="635">
        <f t="shared" ref="BC838" si="1860">BC839-BC837-BC833-BC829-BC828</f>
        <v>590860.83917983714</v>
      </c>
      <c r="BD838" s="635">
        <f t="shared" ref="BD838:BE838" si="1861">BD839-BD837-BD833-BD829-BD828</f>
        <v>602346.2291631843</v>
      </c>
      <c r="BE838" s="635">
        <f t="shared" si="1861"/>
        <v>614220.31392029917</v>
      </c>
      <c r="BM838"/>
      <c r="BN838"/>
      <c r="BO838"/>
      <c r="BP838"/>
      <c r="BQ838"/>
      <c r="BR838"/>
    </row>
    <row r="839" spans="1:70" s="369" customFormat="1" x14ac:dyDescent="0.2">
      <c r="A839" s="411"/>
      <c r="B839" s="645" t="s">
        <v>355</v>
      </c>
      <c r="C839" s="643"/>
      <c r="D839" s="92">
        <f t="shared" ref="D839:X839" si="1862">D838+D837+D833+D828+D829</f>
        <v>1783221</v>
      </c>
      <c r="E839" s="92">
        <f t="shared" si="1862"/>
        <v>1761712</v>
      </c>
      <c r="F839" s="92">
        <f t="shared" si="1862"/>
        <v>1774656</v>
      </c>
      <c r="G839" s="92">
        <f t="shared" si="1862"/>
        <v>1703250</v>
      </c>
      <c r="H839" s="92">
        <f t="shared" si="1862"/>
        <v>1720214</v>
      </c>
      <c r="I839" s="92">
        <f t="shared" si="1862"/>
        <v>1726236</v>
      </c>
      <c r="J839" s="92">
        <f t="shared" si="1862"/>
        <v>1747087</v>
      </c>
      <c r="K839" s="92">
        <f t="shared" si="1862"/>
        <v>1731213</v>
      </c>
      <c r="L839" s="92">
        <f t="shared" si="1862"/>
        <v>1745095</v>
      </c>
      <c r="M839" s="92">
        <f t="shared" si="1862"/>
        <v>1754649</v>
      </c>
      <c r="N839" s="92">
        <f t="shared" si="1862"/>
        <v>1733209</v>
      </c>
      <c r="O839" s="92">
        <f t="shared" si="1862"/>
        <v>1698473</v>
      </c>
      <c r="P839" s="92">
        <f t="shared" si="1862"/>
        <v>1674258</v>
      </c>
      <c r="Q839" s="92">
        <f t="shared" si="1862"/>
        <v>1671254</v>
      </c>
      <c r="R839" s="92">
        <f t="shared" si="1862"/>
        <v>1652347</v>
      </c>
      <c r="S839" s="92">
        <f t="shared" si="1862"/>
        <v>1582242</v>
      </c>
      <c r="T839" s="92">
        <f t="shared" si="1862"/>
        <v>1656218</v>
      </c>
      <c r="U839" s="92">
        <f t="shared" si="1862"/>
        <v>1668649</v>
      </c>
      <c r="V839" s="92">
        <f t="shared" si="1862"/>
        <v>1676149</v>
      </c>
      <c r="W839" s="92">
        <f t="shared" si="1862"/>
        <v>1647792</v>
      </c>
      <c r="X839" s="92">
        <f t="shared" si="1862"/>
        <v>1679071</v>
      </c>
      <c r="Y839" s="92">
        <f t="shared" ref="Y839:Z839" si="1863">Y838+Y837+Y833+Y828+Y829</f>
        <v>1716645</v>
      </c>
      <c r="Z839" s="92">
        <f t="shared" si="1863"/>
        <v>1743557</v>
      </c>
      <c r="AA839" s="92">
        <f t="shared" ref="AA839:AB839" si="1864">AA838+AA837+AA833+AA828+AA829</f>
        <v>1723404</v>
      </c>
      <c r="AB839" s="92">
        <f t="shared" si="1864"/>
        <v>1800880</v>
      </c>
      <c r="AC839" s="92">
        <f t="shared" ref="AC839:AE839" si="1865">AB839*AC889/AB889</f>
        <v>1808221.6478073597</v>
      </c>
      <c r="AD839" s="92">
        <f t="shared" si="1865"/>
        <v>1816471.0866408292</v>
      </c>
      <c r="AE839" s="92">
        <f t="shared" si="1865"/>
        <v>1827433.9502056411</v>
      </c>
      <c r="AF839" s="92">
        <f t="shared" ref="AF839" si="1866">AE839*AF889/AE889</f>
        <v>1838776.8226656592</v>
      </c>
      <c r="AG839" s="92">
        <f t="shared" ref="AG839" si="1867">AF839*AG889/AF889</f>
        <v>1852971.4521947396</v>
      </c>
      <c r="AH839" s="92">
        <f t="shared" ref="AH839" si="1868">AG839*AH889/AG889</f>
        <v>1871930.4850479716</v>
      </c>
      <c r="AI839" s="92">
        <f t="shared" ref="AI839" si="1869">AH839*AI889/AH889</f>
        <v>1893957.0811664795</v>
      </c>
      <c r="AJ839" s="92"/>
      <c r="AK839" s="92"/>
      <c r="AL839" s="92"/>
      <c r="AM839" s="92"/>
      <c r="AN839" s="92"/>
      <c r="AO839" s="92"/>
      <c r="AP839" s="92"/>
      <c r="AQ839" s="92"/>
      <c r="AR839" s="70"/>
      <c r="AS839" s="645" t="s">
        <v>355</v>
      </c>
      <c r="AT839" s="643"/>
      <c r="AU839" s="92">
        <f t="shared" ref="AU839:BA839" si="1870">AU838+AU837+AU833+AU828+AU829</f>
        <v>1703250</v>
      </c>
      <c r="AV839" s="92">
        <f t="shared" si="1870"/>
        <v>1731213</v>
      </c>
      <c r="AW839" s="92">
        <f t="shared" si="1870"/>
        <v>1698473</v>
      </c>
      <c r="AX839" s="92">
        <f t="shared" si="1870"/>
        <v>1582242</v>
      </c>
      <c r="AY839" s="92">
        <f t="shared" si="1870"/>
        <v>1647792</v>
      </c>
      <c r="AZ839" s="92">
        <f t="shared" si="1870"/>
        <v>1723404</v>
      </c>
      <c r="BA839" s="92">
        <f t="shared" si="1870"/>
        <v>1827433.9502056411</v>
      </c>
      <c r="BB839" s="92">
        <f t="shared" ref="BB839" si="1871">BB838+BB837+BB833+BB828+BB829</f>
        <v>1893957.0811664793</v>
      </c>
      <c r="BC839" s="92">
        <f>BB839*BC889/BB889</f>
        <v>1944819.7711933053</v>
      </c>
      <c r="BD839" s="92">
        <f>BC839*BD889/BC889</f>
        <v>2010872.6717954944</v>
      </c>
      <c r="BE839" s="92">
        <f>BD839*BE889/BD889</f>
        <v>2076256.8079327738</v>
      </c>
      <c r="BM839"/>
      <c r="BN839"/>
      <c r="BO839"/>
      <c r="BP839"/>
      <c r="BQ839"/>
      <c r="BR839"/>
    </row>
    <row r="840" spans="1:70" s="369" customFormat="1" x14ac:dyDescent="0.2">
      <c r="A840" s="411"/>
      <c r="B840" s="644"/>
      <c r="C840" s="643"/>
      <c r="D840" s="69"/>
      <c r="E840" s="69"/>
      <c r="F840" s="69"/>
      <c r="G840" s="69"/>
      <c r="H840" s="69"/>
      <c r="I840" s="69"/>
      <c r="J840" s="69"/>
      <c r="K840" s="69"/>
      <c r="L840" s="69"/>
      <c r="M840" s="69"/>
      <c r="N840" s="69"/>
      <c r="O840" s="69"/>
      <c r="P840" s="69"/>
      <c r="Q840" s="69"/>
      <c r="R840" s="69"/>
      <c r="S840" s="69"/>
      <c r="T840" s="69"/>
      <c r="U840" s="69"/>
      <c r="V840" s="69"/>
      <c r="W840" s="69"/>
      <c r="X840" s="69"/>
      <c r="Y840" s="69"/>
      <c r="Z840" s="69"/>
      <c r="AA840" s="69"/>
      <c r="AB840" s="69"/>
      <c r="AC840" s="465"/>
      <c r="AD840" s="465"/>
      <c r="AE840" s="465"/>
      <c r="AF840" s="465"/>
      <c r="AG840" s="465"/>
      <c r="AH840" s="465"/>
      <c r="AI840" s="633"/>
      <c r="AJ840" s="633"/>
      <c r="AK840" s="633"/>
      <c r="AL840" s="633"/>
      <c r="AM840" s="633"/>
      <c r="AN840" s="633"/>
      <c r="AO840" s="633"/>
      <c r="AP840" s="633"/>
      <c r="AQ840" s="633"/>
      <c r="AR840" s="70"/>
      <c r="AS840" s="644"/>
      <c r="AT840" s="643"/>
      <c r="AU840" s="633"/>
      <c r="AV840" s="633"/>
      <c r="AW840" s="633"/>
      <c r="AX840" s="633"/>
      <c r="AY840" s="633"/>
      <c r="AZ840" s="633"/>
      <c r="BA840" s="637"/>
      <c r="BB840" s="637"/>
      <c r="BC840" s="633"/>
      <c r="BD840" s="633"/>
      <c r="BE840" s="633"/>
      <c r="BM840"/>
      <c r="BN840"/>
      <c r="BO840"/>
      <c r="BP840"/>
      <c r="BQ840"/>
      <c r="BR840"/>
    </row>
    <row r="841" spans="1:70" s="369" customFormat="1" x14ac:dyDescent="0.2">
      <c r="A841" s="411"/>
      <c r="B841" s="634" t="s">
        <v>11</v>
      </c>
      <c r="C841" s="643"/>
      <c r="D841" s="445">
        <v>-29020</v>
      </c>
      <c r="E841" s="445">
        <v>-27611</v>
      </c>
      <c r="F841" s="445">
        <v>-25916</v>
      </c>
      <c r="G841" s="445">
        <v>-25455</v>
      </c>
      <c r="H841" s="445">
        <v>-23727</v>
      </c>
      <c r="I841" s="445">
        <v>-21580</v>
      </c>
      <c r="J841" s="445">
        <v>-20605</v>
      </c>
      <c r="K841" s="445">
        <v>-19648</v>
      </c>
      <c r="L841" s="445">
        <v>-18923</v>
      </c>
      <c r="M841" s="445">
        <v>-17890</v>
      </c>
      <c r="N841" s="445">
        <v>-16915</v>
      </c>
      <c r="O841" s="445">
        <v>-15994</v>
      </c>
      <c r="P841" s="445">
        <v>-14598</v>
      </c>
      <c r="Q841" s="445">
        <v>-14075</v>
      </c>
      <c r="R841" s="445">
        <v>-13626</v>
      </c>
      <c r="S841" s="445">
        <v>-12626</v>
      </c>
      <c r="T841" s="445">
        <v>-12712</v>
      </c>
      <c r="U841" s="445">
        <v>-12304</v>
      </c>
      <c r="V841" s="445">
        <v>-12439</v>
      </c>
      <c r="W841" s="445">
        <v>-12060</v>
      </c>
      <c r="X841" s="445">
        <v>-12030</v>
      </c>
      <c r="Y841" s="445">
        <v>-12025</v>
      </c>
      <c r="Z841" s="445">
        <v>-12366</v>
      </c>
      <c r="AA841" s="445">
        <v>-12355</v>
      </c>
      <c r="AB841" s="445">
        <v>-12354</v>
      </c>
      <c r="AC841" s="635">
        <f t="shared" ref="AC841:AE841" si="1872">AC1130*-1</f>
        <v>-12530.734483205479</v>
      </c>
      <c r="AD841" s="635">
        <f t="shared" si="1872"/>
        <v>-12716.305618471471</v>
      </c>
      <c r="AE841" s="635">
        <f t="shared" si="1872"/>
        <v>-12918.282671513942</v>
      </c>
      <c r="AF841" s="635">
        <f t="shared" ref="AF841:AI841" si="1873">AF1130*-1</f>
        <v>-13101.683109156786</v>
      </c>
      <c r="AG841" s="635">
        <f t="shared" si="1873"/>
        <v>-13299.525721371074</v>
      </c>
      <c r="AH841" s="635">
        <f t="shared" si="1873"/>
        <v>-13510.078038233059</v>
      </c>
      <c r="AI841" s="635">
        <f t="shared" si="1873"/>
        <v>-13730.571199690507</v>
      </c>
      <c r="AJ841" s="635"/>
      <c r="AK841" s="635"/>
      <c r="AL841" s="635"/>
      <c r="AM841" s="635"/>
      <c r="AN841" s="635"/>
      <c r="AO841" s="635"/>
      <c r="AP841" s="635"/>
      <c r="AQ841" s="635"/>
      <c r="AR841" s="70"/>
      <c r="AS841" s="634" t="s">
        <v>11</v>
      </c>
      <c r="AT841" s="643"/>
      <c r="AU841" s="635">
        <f t="shared" ref="AU841:AU846" si="1874">G841</f>
        <v>-25455</v>
      </c>
      <c r="AV841" s="635">
        <f t="shared" ref="AV841:AV846" si="1875">K841</f>
        <v>-19648</v>
      </c>
      <c r="AW841" s="635">
        <f t="shared" ref="AW841:AW846" si="1876">O841</f>
        <v>-15994</v>
      </c>
      <c r="AX841" s="635">
        <f t="shared" ref="AX841:AX846" si="1877">S841</f>
        <v>-12626</v>
      </c>
      <c r="AY841" s="635">
        <f t="shared" ref="AY841:AY846" si="1878">W841</f>
        <v>-12060</v>
      </c>
      <c r="AZ841" s="635">
        <f t="shared" ref="AZ841:AZ846" si="1879">AA841</f>
        <v>-12355</v>
      </c>
      <c r="BA841" s="635">
        <f t="shared" ref="BA841:BA846" si="1880">AE841</f>
        <v>-12918.282671513942</v>
      </c>
      <c r="BB841" s="635">
        <f t="shared" ref="BB841:BB846" si="1881">AI841</f>
        <v>-13730.571199690507</v>
      </c>
      <c r="BC841" s="635">
        <f>BC1130*-1</f>
        <v>-14649.911447978466</v>
      </c>
      <c r="BD841" s="635">
        <f>BD1130*-1</f>
        <v>-15667.932662112735</v>
      </c>
      <c r="BE841" s="635">
        <f>BE1130*-1</f>
        <v>-16797.317131442571</v>
      </c>
      <c r="BM841"/>
      <c r="BN841"/>
      <c r="BO841"/>
      <c r="BP841"/>
      <c r="BQ841"/>
      <c r="BR841"/>
    </row>
    <row r="842" spans="1:70" s="369" customFormat="1" x14ac:dyDescent="0.2">
      <c r="A842" s="411"/>
      <c r="B842" s="646" t="s">
        <v>61</v>
      </c>
      <c r="C842" s="643"/>
      <c r="D842" s="445">
        <v>25810</v>
      </c>
      <c r="E842" s="445">
        <v>25483</v>
      </c>
      <c r="F842" s="445">
        <v>25915</v>
      </c>
      <c r="G842" s="445">
        <v>25673</v>
      </c>
      <c r="H842" s="445">
        <v>25474</v>
      </c>
      <c r="I842" s="445">
        <v>24896</v>
      </c>
      <c r="J842" s="445">
        <v>25098</v>
      </c>
      <c r="K842" s="445">
        <v>25009</v>
      </c>
      <c r="L842" s="445">
        <v>25008</v>
      </c>
      <c r="M842" s="445">
        <v>25087</v>
      </c>
      <c r="N842" s="445">
        <v>24500</v>
      </c>
      <c r="O842" s="445">
        <v>23592</v>
      </c>
      <c r="P842" s="445">
        <v>23150</v>
      </c>
      <c r="Q842" s="445">
        <v>23012</v>
      </c>
      <c r="R842" s="445">
        <v>22444</v>
      </c>
      <c r="S842" s="445">
        <v>22349</v>
      </c>
      <c r="T842" s="445">
        <v>22575</v>
      </c>
      <c r="U842" s="445">
        <v>22496</v>
      </c>
      <c r="V842" s="445">
        <v>22539</v>
      </c>
      <c r="W842" s="445">
        <v>21659</v>
      </c>
      <c r="X842" s="445">
        <v>22265</v>
      </c>
      <c r="Y842" s="445">
        <v>22349</v>
      </c>
      <c r="Z842" s="445">
        <v>22345</v>
      </c>
      <c r="AA842" s="445">
        <v>22256</v>
      </c>
      <c r="AB842" s="445">
        <v>22659</v>
      </c>
      <c r="AC842" s="635">
        <f t="shared" ref="AC842:AE844" si="1882">AB842</f>
        <v>22659</v>
      </c>
      <c r="AD842" s="635">
        <f t="shared" si="1882"/>
        <v>22659</v>
      </c>
      <c r="AE842" s="635">
        <f t="shared" si="1882"/>
        <v>22659</v>
      </c>
      <c r="AF842" s="635">
        <f t="shared" ref="AF842:AF844" si="1883">AE842</f>
        <v>22659</v>
      </c>
      <c r="AG842" s="635">
        <f t="shared" ref="AG842:AG844" si="1884">AF842</f>
        <v>22659</v>
      </c>
      <c r="AH842" s="635">
        <f t="shared" ref="AH842:AH844" si="1885">AG842</f>
        <v>22659</v>
      </c>
      <c r="AI842" s="635">
        <f t="shared" ref="AI842:AI844" si="1886">AH842</f>
        <v>22659</v>
      </c>
      <c r="AJ842" s="635"/>
      <c r="AK842" s="635"/>
      <c r="AL842" s="635"/>
      <c r="AM842" s="635"/>
      <c r="AN842" s="635"/>
      <c r="AO842" s="635"/>
      <c r="AP842" s="635"/>
      <c r="AQ842" s="635"/>
      <c r="AR842" s="70"/>
      <c r="AS842" s="646" t="s">
        <v>61</v>
      </c>
      <c r="AT842" s="643"/>
      <c r="AU842" s="635">
        <f t="shared" si="1874"/>
        <v>25673</v>
      </c>
      <c r="AV842" s="635">
        <f t="shared" si="1875"/>
        <v>25009</v>
      </c>
      <c r="AW842" s="635">
        <f t="shared" si="1876"/>
        <v>23592</v>
      </c>
      <c r="AX842" s="635">
        <f t="shared" si="1877"/>
        <v>22349</v>
      </c>
      <c r="AY842" s="635">
        <f t="shared" si="1878"/>
        <v>21659</v>
      </c>
      <c r="AZ842" s="635">
        <f t="shared" si="1879"/>
        <v>22256</v>
      </c>
      <c r="BA842" s="635">
        <f t="shared" si="1880"/>
        <v>22659</v>
      </c>
      <c r="BB842" s="635">
        <f t="shared" si="1881"/>
        <v>22659</v>
      </c>
      <c r="BC842" s="635">
        <f t="shared" ref="BC842:BE844" si="1887">BB842</f>
        <v>22659</v>
      </c>
      <c r="BD842" s="635">
        <f t="shared" si="1887"/>
        <v>22659</v>
      </c>
      <c r="BE842" s="635">
        <f t="shared" si="1887"/>
        <v>22659</v>
      </c>
      <c r="BM842"/>
      <c r="BN842"/>
      <c r="BO842"/>
      <c r="BP842"/>
      <c r="BQ842"/>
      <c r="BR842"/>
    </row>
    <row r="843" spans="1:70" s="369" customFormat="1" x14ac:dyDescent="0.2">
      <c r="A843" s="411"/>
      <c r="B843" s="646" t="s">
        <v>93</v>
      </c>
      <c r="C843" s="647"/>
      <c r="D843" s="445">
        <v>6413</v>
      </c>
      <c r="E843" s="445">
        <v>6156</v>
      </c>
      <c r="F843" s="445">
        <v>5963</v>
      </c>
      <c r="G843" s="445">
        <v>5697</v>
      </c>
      <c r="H843" s="445">
        <v>5457</v>
      </c>
      <c r="I843" s="445">
        <v>4981</v>
      </c>
      <c r="J843" s="445">
        <v>4888</v>
      </c>
      <c r="K843" s="445">
        <v>5056</v>
      </c>
      <c r="L843" s="445">
        <v>4891</v>
      </c>
      <c r="M843" s="445">
        <v>4702</v>
      </c>
      <c r="N843" s="445">
        <v>4525</v>
      </c>
      <c r="O843" s="445">
        <v>4566</v>
      </c>
      <c r="P843" s="445">
        <v>4244</v>
      </c>
      <c r="Q843" s="445">
        <v>4071</v>
      </c>
      <c r="R843" s="445">
        <v>3880</v>
      </c>
      <c r="S843" s="445">
        <v>3721</v>
      </c>
      <c r="T843" s="445">
        <v>3493</v>
      </c>
      <c r="U843" s="445">
        <v>5521</v>
      </c>
      <c r="V843" s="445">
        <v>5358</v>
      </c>
      <c r="W843" s="445">
        <v>5114</v>
      </c>
      <c r="X843" s="445">
        <v>5013</v>
      </c>
      <c r="Y843" s="445">
        <v>4887</v>
      </c>
      <c r="Z843" s="445">
        <v>4732</v>
      </c>
      <c r="AA843" s="445">
        <v>4588</v>
      </c>
      <c r="AB843" s="445">
        <v>4450</v>
      </c>
      <c r="AC843" s="635">
        <f t="shared" si="1882"/>
        <v>4450</v>
      </c>
      <c r="AD843" s="635">
        <f t="shared" si="1882"/>
        <v>4450</v>
      </c>
      <c r="AE843" s="635">
        <f t="shared" si="1882"/>
        <v>4450</v>
      </c>
      <c r="AF843" s="635">
        <f t="shared" si="1883"/>
        <v>4450</v>
      </c>
      <c r="AG843" s="635">
        <f t="shared" si="1884"/>
        <v>4450</v>
      </c>
      <c r="AH843" s="635">
        <f t="shared" si="1885"/>
        <v>4450</v>
      </c>
      <c r="AI843" s="635">
        <f t="shared" si="1886"/>
        <v>4450</v>
      </c>
      <c r="AJ843" s="635"/>
      <c r="AK843" s="635"/>
      <c r="AL843" s="635"/>
      <c r="AM843" s="635"/>
      <c r="AN843" s="635"/>
      <c r="AO843" s="635"/>
      <c r="AP843" s="635"/>
      <c r="AQ843" s="635"/>
      <c r="AR843" s="70"/>
      <c r="AS843" s="646" t="s">
        <v>93</v>
      </c>
      <c r="AT843" s="647"/>
      <c r="AU843" s="635">
        <f t="shared" si="1874"/>
        <v>5697</v>
      </c>
      <c r="AV843" s="635">
        <f t="shared" si="1875"/>
        <v>5056</v>
      </c>
      <c r="AW843" s="635">
        <f t="shared" si="1876"/>
        <v>4566</v>
      </c>
      <c r="AX843" s="635">
        <f t="shared" si="1877"/>
        <v>3721</v>
      </c>
      <c r="AY843" s="635">
        <f t="shared" si="1878"/>
        <v>5114</v>
      </c>
      <c r="AZ843" s="635">
        <f t="shared" si="1879"/>
        <v>4588</v>
      </c>
      <c r="BA843" s="635">
        <f t="shared" si="1880"/>
        <v>4450</v>
      </c>
      <c r="BB843" s="635">
        <f t="shared" si="1881"/>
        <v>4450</v>
      </c>
      <c r="BC843" s="635">
        <f t="shared" si="1887"/>
        <v>4450</v>
      </c>
      <c r="BD843" s="635">
        <f t="shared" si="1887"/>
        <v>4450</v>
      </c>
      <c r="BE843" s="635">
        <f t="shared" si="1887"/>
        <v>4450</v>
      </c>
      <c r="BM843"/>
      <c r="BN843"/>
      <c r="BO843"/>
      <c r="BP843"/>
      <c r="BQ843"/>
      <c r="BR843"/>
    </row>
    <row r="844" spans="1:70" s="369" customFormat="1" x14ac:dyDescent="0.2">
      <c r="A844" s="411"/>
      <c r="B844" s="646" t="s">
        <v>99</v>
      </c>
      <c r="C844" s="647"/>
      <c r="D844" s="445">
        <v>2691</v>
      </c>
      <c r="E844" s="445">
        <v>2117</v>
      </c>
      <c r="F844" s="445">
        <v>1920</v>
      </c>
      <c r="G844" s="445">
        <v>1942</v>
      </c>
      <c r="H844" s="445">
        <v>2203</v>
      </c>
      <c r="I844" s="445">
        <v>2524</v>
      </c>
      <c r="J844" s="445">
        <v>2580</v>
      </c>
      <c r="K844" s="445">
        <v>2718</v>
      </c>
      <c r="L844" s="445">
        <v>2586</v>
      </c>
      <c r="M844" s="445">
        <v>2282</v>
      </c>
      <c r="N844" s="445">
        <v>2093</v>
      </c>
      <c r="O844" s="445">
        <v>1845</v>
      </c>
      <c r="P844" s="445">
        <v>1685</v>
      </c>
      <c r="Q844" s="445">
        <v>1924</v>
      </c>
      <c r="R844" s="445">
        <v>1766</v>
      </c>
      <c r="S844" s="445">
        <v>1781</v>
      </c>
      <c r="T844" s="445">
        <v>1524</v>
      </c>
      <c r="U844" s="445">
        <v>1324</v>
      </c>
      <c r="V844" s="445">
        <v>1270</v>
      </c>
      <c r="W844" s="445">
        <v>1564</v>
      </c>
      <c r="X844" s="445">
        <v>567</v>
      </c>
      <c r="Y844" s="445">
        <v>560</v>
      </c>
      <c r="Z844" s="445">
        <v>553</v>
      </c>
      <c r="AA844" s="445">
        <v>558</v>
      </c>
      <c r="AB844" s="445">
        <v>587</v>
      </c>
      <c r="AC844" s="635">
        <f t="shared" si="1882"/>
        <v>587</v>
      </c>
      <c r="AD844" s="635">
        <f t="shared" si="1882"/>
        <v>587</v>
      </c>
      <c r="AE844" s="635">
        <f t="shared" si="1882"/>
        <v>587</v>
      </c>
      <c r="AF844" s="635">
        <f t="shared" si="1883"/>
        <v>587</v>
      </c>
      <c r="AG844" s="635">
        <f t="shared" si="1884"/>
        <v>587</v>
      </c>
      <c r="AH844" s="635">
        <f t="shared" si="1885"/>
        <v>587</v>
      </c>
      <c r="AI844" s="635">
        <f t="shared" si="1886"/>
        <v>587</v>
      </c>
      <c r="AJ844" s="635"/>
      <c r="AK844" s="635"/>
      <c r="AL844" s="635"/>
      <c r="AM844" s="635"/>
      <c r="AN844" s="635"/>
      <c r="AO844" s="635"/>
      <c r="AP844" s="635"/>
      <c r="AQ844" s="635"/>
      <c r="AR844" s="70"/>
      <c r="AS844" s="646" t="s">
        <v>99</v>
      </c>
      <c r="AT844" s="647"/>
      <c r="AU844" s="635">
        <f t="shared" si="1874"/>
        <v>1942</v>
      </c>
      <c r="AV844" s="635">
        <f t="shared" si="1875"/>
        <v>2718</v>
      </c>
      <c r="AW844" s="635">
        <f t="shared" si="1876"/>
        <v>1845</v>
      </c>
      <c r="AX844" s="635">
        <f t="shared" si="1877"/>
        <v>1781</v>
      </c>
      <c r="AY844" s="635">
        <f t="shared" si="1878"/>
        <v>1564</v>
      </c>
      <c r="AZ844" s="635">
        <f t="shared" si="1879"/>
        <v>558</v>
      </c>
      <c r="BA844" s="635">
        <f t="shared" si="1880"/>
        <v>587</v>
      </c>
      <c r="BB844" s="635">
        <f t="shared" si="1881"/>
        <v>587</v>
      </c>
      <c r="BC844" s="635">
        <f t="shared" si="1887"/>
        <v>587</v>
      </c>
      <c r="BD844" s="635">
        <f t="shared" si="1887"/>
        <v>587</v>
      </c>
      <c r="BE844" s="635">
        <f t="shared" si="1887"/>
        <v>587</v>
      </c>
      <c r="BM844"/>
      <c r="BN844"/>
      <c r="BO844"/>
      <c r="BP844"/>
      <c r="BQ844"/>
      <c r="BR844"/>
    </row>
    <row r="845" spans="1:70" s="369" customFormat="1" x14ac:dyDescent="0.2">
      <c r="A845" s="411"/>
      <c r="B845" s="634" t="s">
        <v>130</v>
      </c>
      <c r="C845" s="345"/>
      <c r="D845" s="94">
        <f t="shared" ref="D845:AE845" si="1888">D846-SUM(D841:D844,D839)</f>
        <v>154998</v>
      </c>
      <c r="E845" s="94">
        <f t="shared" si="1888"/>
        <v>148253</v>
      </c>
      <c r="F845" s="94">
        <f t="shared" si="1888"/>
        <v>148493</v>
      </c>
      <c r="G845" s="94">
        <f t="shared" si="1888"/>
        <v>153221</v>
      </c>
      <c r="H845" s="94">
        <f t="shared" si="1888"/>
        <v>151746</v>
      </c>
      <c r="I845" s="94">
        <f t="shared" si="1888"/>
        <v>146570</v>
      </c>
      <c r="J845" s="94">
        <f t="shared" si="1888"/>
        <v>140116</v>
      </c>
      <c r="K845" s="94">
        <f t="shared" si="1888"/>
        <v>135687</v>
      </c>
      <c r="L845" s="94">
        <f t="shared" si="1888"/>
        <v>135733</v>
      </c>
      <c r="M845" s="94">
        <f t="shared" si="1888"/>
        <v>140539</v>
      </c>
      <c r="N845" s="94">
        <f t="shared" si="1888"/>
        <v>135093</v>
      </c>
      <c r="O845" s="94">
        <f t="shared" si="1888"/>
        <v>129699</v>
      </c>
      <c r="P845" s="94">
        <f t="shared" si="1888"/>
        <v>143062</v>
      </c>
      <c r="Q845" s="94">
        <f t="shared" si="1888"/>
        <v>143184</v>
      </c>
      <c r="R845" s="94">
        <f t="shared" si="1888"/>
        <v>141545</v>
      </c>
      <c r="S845" s="94">
        <f t="shared" si="1888"/>
        <v>133743</v>
      </c>
      <c r="T845" s="94">
        <f t="shared" si="1888"/>
        <v>129869</v>
      </c>
      <c r="U845" s="94">
        <f t="shared" si="1888"/>
        <v>133085</v>
      </c>
      <c r="V845" s="94">
        <f t="shared" si="1888"/>
        <v>125240</v>
      </c>
      <c r="W845" s="94">
        <f t="shared" si="1888"/>
        <v>128008</v>
      </c>
      <c r="X845" s="94">
        <f t="shared" si="1888"/>
        <v>126593</v>
      </c>
      <c r="Y845" s="94">
        <f t="shared" ref="Y845:Z845" si="1889">Y846-SUM(Y841:Y844,Y839)</f>
        <v>131647</v>
      </c>
      <c r="Z845" s="94">
        <f t="shared" si="1889"/>
        <v>130312</v>
      </c>
      <c r="AA845" s="94">
        <f t="shared" ref="AA845:AB845" si="1890">AA846-SUM(AA841:AA844,AA839)</f>
        <v>104608</v>
      </c>
      <c r="AB845" s="94">
        <f t="shared" si="1890"/>
        <v>105882</v>
      </c>
      <c r="AC845" s="94">
        <f t="shared" si="1888"/>
        <v>106549.82967503392</v>
      </c>
      <c r="AD845" s="94">
        <f t="shared" si="1888"/>
        <v>107014.24764104048</v>
      </c>
      <c r="AE845" s="94">
        <f t="shared" si="1888"/>
        <v>107638.56744251191</v>
      </c>
      <c r="AF845" s="94">
        <f t="shared" ref="AF845:AI845" si="1891">AF846-SUM(AF841:AF844,AF839)</f>
        <v>108267.55221206835</v>
      </c>
      <c r="AG845" s="94">
        <f t="shared" si="1891"/>
        <v>109078.69382337853</v>
      </c>
      <c r="AH845" s="94">
        <f t="shared" si="1891"/>
        <v>110163.96954662236</v>
      </c>
      <c r="AI845" s="94">
        <f t="shared" si="1891"/>
        <v>111424.6550800337</v>
      </c>
      <c r="AJ845" s="94"/>
      <c r="AK845" s="94"/>
      <c r="AL845" s="94"/>
      <c r="AM845" s="94"/>
      <c r="AN845" s="94"/>
      <c r="AO845" s="94"/>
      <c r="AP845" s="94"/>
      <c r="AQ845" s="94"/>
      <c r="AR845" s="70"/>
      <c r="AS845" s="634" t="s">
        <v>130</v>
      </c>
      <c r="AT845" s="345"/>
      <c r="AU845" s="638">
        <f t="shared" si="1874"/>
        <v>153221</v>
      </c>
      <c r="AV845" s="638">
        <f t="shared" si="1875"/>
        <v>135687</v>
      </c>
      <c r="AW845" s="638">
        <f t="shared" si="1876"/>
        <v>129699</v>
      </c>
      <c r="AX845" s="638">
        <f t="shared" si="1877"/>
        <v>133743</v>
      </c>
      <c r="AY845" s="638">
        <f t="shared" si="1878"/>
        <v>128008</v>
      </c>
      <c r="AZ845" s="638">
        <f t="shared" si="1879"/>
        <v>104608</v>
      </c>
      <c r="BA845" s="638">
        <f t="shared" si="1880"/>
        <v>107638.56744251191</v>
      </c>
      <c r="BB845" s="638">
        <f t="shared" si="1881"/>
        <v>111424.6550800337</v>
      </c>
      <c r="BC845" s="94">
        <f>BC846-SUM(BC841:BC844,BC839)</f>
        <v>114292.04729903676</v>
      </c>
      <c r="BD845" s="94">
        <f>BD846-SUM(BD841:BD844,BD839)</f>
        <v>118036.78111029416</v>
      </c>
      <c r="BE845" s="94">
        <f>BE846-SUM(BE841:BE844,BE839)</f>
        <v>121736.70467464603</v>
      </c>
      <c r="BM845"/>
      <c r="BN845"/>
      <c r="BO845"/>
      <c r="BP845"/>
      <c r="BQ845"/>
      <c r="BR845"/>
    </row>
    <row r="846" spans="1:70" s="369" customFormat="1" ht="13.5" thickBot="1" x14ac:dyDescent="0.25">
      <c r="A846" s="411"/>
      <c r="B846" s="642" t="s">
        <v>30</v>
      </c>
      <c r="C846" s="648"/>
      <c r="D846" s="223">
        <v>1944113</v>
      </c>
      <c r="E846" s="223">
        <v>1916110</v>
      </c>
      <c r="F846" s="223">
        <v>1931031</v>
      </c>
      <c r="G846" s="223">
        <v>1864328</v>
      </c>
      <c r="H846" s="223">
        <v>1881367</v>
      </c>
      <c r="I846" s="223">
        <v>1883627</v>
      </c>
      <c r="J846" s="223">
        <v>1899164</v>
      </c>
      <c r="K846" s="223">
        <v>1880035</v>
      </c>
      <c r="L846" s="223">
        <v>1894390</v>
      </c>
      <c r="M846" s="223">
        <v>1909369</v>
      </c>
      <c r="N846" s="223">
        <v>1882505</v>
      </c>
      <c r="O846" s="223">
        <v>1842181</v>
      </c>
      <c r="P846" s="223">
        <v>1831801</v>
      </c>
      <c r="Q846" s="223">
        <v>1829370</v>
      </c>
      <c r="R846" s="223">
        <v>1808356</v>
      </c>
      <c r="S846" s="223">
        <v>1731210</v>
      </c>
      <c r="T846" s="223">
        <v>1800967</v>
      </c>
      <c r="U846" s="223">
        <v>1818771</v>
      </c>
      <c r="V846" s="223">
        <v>1818117</v>
      </c>
      <c r="W846" s="223">
        <v>1792077</v>
      </c>
      <c r="X846" s="223">
        <v>1821479</v>
      </c>
      <c r="Y846" s="223">
        <v>1864063</v>
      </c>
      <c r="Z846" s="223">
        <v>1889133</v>
      </c>
      <c r="AA846" s="223">
        <v>1843059</v>
      </c>
      <c r="AB846" s="223">
        <v>1922104</v>
      </c>
      <c r="AC846" s="227">
        <f t="shared" ref="AC846:AE846" si="1892">AB846*AC896/AB896</f>
        <v>1929936.7429991881</v>
      </c>
      <c r="AD846" s="227">
        <f t="shared" si="1892"/>
        <v>1938465.0286633982</v>
      </c>
      <c r="AE846" s="227">
        <f t="shared" si="1892"/>
        <v>1949850.234976639</v>
      </c>
      <c r="AF846" s="227">
        <f t="shared" ref="AF846" si="1893">AE846*AF896/AE896</f>
        <v>1961638.6917685708</v>
      </c>
      <c r="AG846" s="227">
        <f t="shared" ref="AG846" si="1894">AF846*AG896/AF896</f>
        <v>1976446.620296747</v>
      </c>
      <c r="AH846" s="227">
        <f t="shared" ref="AH846" si="1895">AG846*AH896/AG896</f>
        <v>1996280.3765563609</v>
      </c>
      <c r="AI846" s="227">
        <f t="shared" ref="AI846" si="1896">AH846*AI896/AH896</f>
        <v>2019347.1650468227</v>
      </c>
      <c r="AJ846" s="281"/>
      <c r="AK846" s="281"/>
      <c r="AL846" s="281"/>
      <c r="AM846" s="281"/>
      <c r="AN846" s="281"/>
      <c r="AO846" s="281"/>
      <c r="AP846" s="281"/>
      <c r="AQ846" s="281"/>
      <c r="AR846" s="70"/>
      <c r="AS846" s="642" t="s">
        <v>30</v>
      </c>
      <c r="AT846" s="648"/>
      <c r="AU846" s="1077">
        <f t="shared" si="1874"/>
        <v>1864328</v>
      </c>
      <c r="AV846" s="1077">
        <f t="shared" si="1875"/>
        <v>1880035</v>
      </c>
      <c r="AW846" s="1077">
        <f t="shared" si="1876"/>
        <v>1842181</v>
      </c>
      <c r="AX846" s="1077">
        <f t="shared" si="1877"/>
        <v>1731210</v>
      </c>
      <c r="AY846" s="1077">
        <f t="shared" si="1878"/>
        <v>1792077</v>
      </c>
      <c r="AZ846" s="1077">
        <f t="shared" si="1879"/>
        <v>1843059</v>
      </c>
      <c r="BA846" s="1077">
        <f t="shared" si="1880"/>
        <v>1949850.234976639</v>
      </c>
      <c r="BB846" s="1077">
        <f t="shared" si="1881"/>
        <v>2019347.1650468227</v>
      </c>
      <c r="BC846" s="227">
        <f>BB846*BC896/BB896</f>
        <v>2072157.9070443634</v>
      </c>
      <c r="BD846" s="227">
        <f>BC846*BD896/BC896</f>
        <v>2140937.5202436759</v>
      </c>
      <c r="BE846" s="227">
        <f>BD846*BE896/BD896</f>
        <v>2208892.1954759774</v>
      </c>
      <c r="BM846"/>
      <c r="BN846"/>
      <c r="BO846"/>
      <c r="BP846"/>
      <c r="BQ846"/>
      <c r="BR846"/>
    </row>
    <row r="847" spans="1:70" s="369" customFormat="1" ht="13.5" thickTop="1" x14ac:dyDescent="0.2">
      <c r="A847" s="411"/>
      <c r="C847" s="648"/>
      <c r="D847" s="600"/>
      <c r="E847" s="600"/>
      <c r="F847" s="600"/>
      <c r="G847" s="600"/>
      <c r="H847" s="600"/>
      <c r="I847" s="600"/>
      <c r="J847" s="600"/>
      <c r="K847" s="600"/>
      <c r="L847" s="600"/>
      <c r="M847" s="600"/>
      <c r="N847" s="600"/>
      <c r="O847" s="600"/>
      <c r="P847" s="600"/>
      <c r="Q847" s="600"/>
      <c r="R847" s="600"/>
      <c r="S847" s="600"/>
      <c r="T847" s="600"/>
      <c r="U847" s="600"/>
      <c r="V847" s="600"/>
      <c r="W847" s="600"/>
      <c r="X847" s="600"/>
      <c r="Y847" s="600"/>
      <c r="Z847" s="600"/>
      <c r="AA847" s="600"/>
      <c r="AB847" s="600"/>
      <c r="AC847" s="465"/>
      <c r="AD847" s="465"/>
      <c r="AE847" s="465"/>
      <c r="AF847" s="465"/>
      <c r="AG847" s="465"/>
      <c r="AH847" s="465"/>
      <c r="AI847" s="633"/>
      <c r="AJ847" s="633"/>
      <c r="AK847" s="633"/>
      <c r="AL847" s="633"/>
      <c r="AM847" s="633"/>
      <c r="AN847" s="633"/>
      <c r="AO847" s="633"/>
      <c r="AP847" s="633"/>
      <c r="AQ847" s="633"/>
      <c r="AR847" s="70"/>
      <c r="AT847" s="648"/>
      <c r="AU847" s="633"/>
      <c r="AV847" s="633"/>
      <c r="AW847" s="633"/>
      <c r="AX847" s="633"/>
      <c r="AY847" s="633"/>
      <c r="AZ847" s="633"/>
      <c r="BA847" s="637"/>
      <c r="BB847" s="637"/>
      <c r="BM847"/>
      <c r="BN847"/>
      <c r="BO847"/>
      <c r="BP847"/>
      <c r="BQ847"/>
      <c r="BR847"/>
    </row>
    <row r="848" spans="1:70" s="369" customFormat="1" x14ac:dyDescent="0.2">
      <c r="A848" s="411"/>
      <c r="B848" s="212" t="s">
        <v>31</v>
      </c>
      <c r="C848" s="648"/>
      <c r="D848" s="600">
        <f>SUM(D845:D845)</f>
        <v>154998</v>
      </c>
      <c r="E848" s="600"/>
      <c r="F848" s="600"/>
      <c r="G848" s="600"/>
      <c r="H848" s="600"/>
      <c r="I848" s="600"/>
      <c r="J848" s="600"/>
      <c r="K848" s="600"/>
      <c r="L848" s="600"/>
      <c r="M848" s="600"/>
      <c r="N848" s="600"/>
      <c r="O848" s="600"/>
      <c r="P848" s="600"/>
      <c r="Q848" s="600"/>
      <c r="R848" s="600"/>
      <c r="S848" s="600"/>
      <c r="T848" s="600"/>
      <c r="U848" s="600"/>
      <c r="V848" s="600"/>
      <c r="W848" s="600"/>
      <c r="X848" s="600"/>
      <c r="Y848" s="600"/>
      <c r="Z848" s="600"/>
      <c r="AA848" s="600"/>
      <c r="AB848" s="600"/>
      <c r="AC848" s="465"/>
      <c r="AD848" s="465"/>
      <c r="AE848" s="465"/>
      <c r="AF848" s="465"/>
      <c r="AG848" s="465"/>
      <c r="AH848" s="465"/>
      <c r="AI848" s="633"/>
      <c r="AJ848" s="633"/>
      <c r="AK848" s="633"/>
      <c r="AL848" s="633"/>
      <c r="AM848" s="633"/>
      <c r="AN848" s="633"/>
      <c r="AO848" s="633"/>
      <c r="AP848" s="633"/>
      <c r="AQ848" s="633"/>
      <c r="AR848" s="70"/>
      <c r="AS848" s="212" t="s">
        <v>31</v>
      </c>
      <c r="AT848" s="648"/>
      <c r="AU848" s="633"/>
      <c r="AV848" s="633"/>
      <c r="AW848" s="633"/>
      <c r="AX848" s="633"/>
      <c r="AY848" s="633"/>
      <c r="AZ848" s="633"/>
      <c r="BA848" s="637"/>
      <c r="BB848" s="637"/>
      <c r="BM848"/>
      <c r="BN848"/>
      <c r="BO848"/>
      <c r="BP848"/>
      <c r="BQ848"/>
      <c r="BR848"/>
    </row>
    <row r="849" spans="1:70" s="369" customFormat="1" x14ac:dyDescent="0.2">
      <c r="A849" s="411"/>
      <c r="B849" s="212"/>
      <c r="C849" s="648"/>
      <c r="D849" s="600"/>
      <c r="E849" s="600"/>
      <c r="F849" s="600"/>
      <c r="G849" s="600"/>
      <c r="H849" s="600"/>
      <c r="I849" s="600"/>
      <c r="J849" s="600"/>
      <c r="K849" s="600"/>
      <c r="L849" s="600"/>
      <c r="M849" s="600"/>
      <c r="N849" s="600"/>
      <c r="O849" s="600"/>
      <c r="P849" s="600"/>
      <c r="Q849" s="600"/>
      <c r="R849" s="600"/>
      <c r="S849" s="600"/>
      <c r="T849" s="600"/>
      <c r="U849" s="600"/>
      <c r="V849" s="600"/>
      <c r="W849" s="600"/>
      <c r="X849" s="600"/>
      <c r="Y849" s="600"/>
      <c r="Z849" s="600"/>
      <c r="AA849" s="600"/>
      <c r="AB849" s="600"/>
      <c r="AC849" s="465"/>
      <c r="AD849" s="465"/>
      <c r="AE849" s="465"/>
      <c r="AF849" s="465"/>
      <c r="AG849" s="465"/>
      <c r="AH849" s="465"/>
      <c r="AI849" s="633"/>
      <c r="AJ849" s="633"/>
      <c r="AK849" s="633"/>
      <c r="AL849" s="633"/>
      <c r="AM849" s="633"/>
      <c r="AN849" s="633"/>
      <c r="AO849" s="633"/>
      <c r="AP849" s="633"/>
      <c r="AQ849" s="633"/>
      <c r="AR849" s="70"/>
      <c r="AS849" s="212"/>
      <c r="AT849" s="648"/>
      <c r="AU849" s="633"/>
      <c r="AV849" s="633"/>
      <c r="AW849" s="633"/>
      <c r="AX849" s="633"/>
      <c r="AY849" s="633"/>
      <c r="AZ849" s="633"/>
      <c r="BA849" s="633"/>
      <c r="BB849" s="633"/>
      <c r="BM849"/>
      <c r="BN849"/>
      <c r="BO849"/>
      <c r="BP849"/>
      <c r="BQ849"/>
      <c r="BR849"/>
    </row>
    <row r="850" spans="1:70" s="369" customFormat="1" x14ac:dyDescent="0.2">
      <c r="A850" s="411"/>
      <c r="B850" s="59" t="s">
        <v>54</v>
      </c>
      <c r="C850" s="648"/>
      <c r="D850" s="600"/>
      <c r="E850" s="600"/>
      <c r="F850" s="600"/>
      <c r="G850" s="600"/>
      <c r="H850" s="600"/>
      <c r="I850" s="600"/>
      <c r="J850" s="600"/>
      <c r="K850" s="600"/>
      <c r="L850" s="600"/>
      <c r="M850" s="600"/>
      <c r="N850" s="600"/>
      <c r="O850" s="600"/>
      <c r="P850" s="600"/>
      <c r="Q850" s="600"/>
      <c r="R850" s="600"/>
      <c r="S850" s="600"/>
      <c r="T850" s="600"/>
      <c r="U850" s="600"/>
      <c r="V850" s="600"/>
      <c r="W850" s="600"/>
      <c r="X850" s="600"/>
      <c r="Y850" s="600"/>
      <c r="Z850" s="600"/>
      <c r="AA850" s="600"/>
      <c r="AB850" s="600"/>
      <c r="AC850" s="465"/>
      <c r="AD850" s="465"/>
      <c r="AE850" s="465"/>
      <c r="AF850" s="465"/>
      <c r="AG850" s="465"/>
      <c r="AH850" s="465"/>
      <c r="AI850" s="633"/>
      <c r="AJ850" s="633"/>
      <c r="AK850" s="633"/>
      <c r="AL850" s="633"/>
      <c r="AM850" s="633"/>
      <c r="AN850" s="633"/>
      <c r="AO850" s="633"/>
      <c r="AP850" s="633"/>
      <c r="AQ850" s="633"/>
      <c r="AR850" s="70"/>
      <c r="AS850" s="59" t="s">
        <v>54</v>
      </c>
      <c r="AT850" s="648"/>
      <c r="AU850" s="633"/>
      <c r="AV850" s="633"/>
      <c r="AW850" s="633"/>
      <c r="AX850" s="633"/>
      <c r="AY850" s="633"/>
      <c r="AZ850" s="633"/>
      <c r="BA850" s="637"/>
      <c r="BB850" s="637"/>
      <c r="BM850"/>
      <c r="BN850"/>
      <c r="BO850"/>
      <c r="BP850"/>
      <c r="BQ850"/>
      <c r="BR850"/>
    </row>
    <row r="851" spans="1:70" s="369" customFormat="1" x14ac:dyDescent="0.2">
      <c r="A851" s="411"/>
      <c r="B851" s="321"/>
      <c r="C851" s="634" t="s">
        <v>349</v>
      </c>
      <c r="D851" s="445">
        <v>122305</v>
      </c>
      <c r="E851" s="445">
        <v>120324</v>
      </c>
      <c r="F851" s="445">
        <v>133981</v>
      </c>
      <c r="G851" s="445">
        <v>129657</v>
      </c>
      <c r="H851" s="445">
        <v>124487</v>
      </c>
      <c r="I851" s="445">
        <v>124141</v>
      </c>
      <c r="J851" s="445">
        <v>130273</v>
      </c>
      <c r="K851" s="445">
        <v>128399</v>
      </c>
      <c r="L851" s="445">
        <v>135632</v>
      </c>
      <c r="M851" s="445">
        <v>130653</v>
      </c>
      <c r="N851" s="445">
        <v>128243</v>
      </c>
      <c r="O851" s="445">
        <v>128958</v>
      </c>
      <c r="P851" s="445">
        <v>136568</v>
      </c>
      <c r="Q851" s="445">
        <v>135013</v>
      </c>
      <c r="R851" s="445">
        <v>141425</v>
      </c>
      <c r="S851" s="445">
        <v>139249</v>
      </c>
      <c r="T851" s="445">
        <v>138153</v>
      </c>
      <c r="U851" s="445">
        <v>140145</v>
      </c>
      <c r="V851" s="445">
        <v>141899</v>
      </c>
      <c r="W851" s="445">
        <v>136698</v>
      </c>
      <c r="X851" s="445">
        <v>129436</v>
      </c>
      <c r="Y851" s="445">
        <v>126253</v>
      </c>
      <c r="Z851" s="445">
        <v>127220</v>
      </c>
      <c r="AA851" s="445">
        <v>126880</v>
      </c>
      <c r="AB851" s="445">
        <v>125332</v>
      </c>
      <c r="AC851" s="527">
        <f t="shared" ref="AC851:AE851" si="1897">AB851*AC910/AB910</f>
        <v>124078.68</v>
      </c>
      <c r="AD851" s="527">
        <f t="shared" si="1897"/>
        <v>122837.89319999999</v>
      </c>
      <c r="AE851" s="527">
        <f t="shared" si="1897"/>
        <v>121609.51426799998</v>
      </c>
      <c r="AF851" s="527">
        <f t="shared" ref="AF851" si="1898">AE851*AF910/AE910</f>
        <v>120393.41912531998</v>
      </c>
      <c r="AG851" s="527">
        <f t="shared" ref="AG851" si="1899">AF851*AG910/AF910</f>
        <v>119189.48493406679</v>
      </c>
      <c r="AH851" s="527">
        <f t="shared" ref="AH851" si="1900">AG851*AH910/AG910</f>
        <v>117997.59008472611</v>
      </c>
      <c r="AI851" s="527">
        <f t="shared" ref="AI851" si="1901">AH851*AI910/AH910</f>
        <v>116581.61900370939</v>
      </c>
      <c r="AJ851" s="527"/>
      <c r="AK851" s="527"/>
      <c r="AL851" s="527"/>
      <c r="AM851" s="527"/>
      <c r="AN851" s="527"/>
      <c r="AO851" s="527"/>
      <c r="AP851" s="527"/>
      <c r="AQ851" s="527"/>
      <c r="AR851" s="70"/>
      <c r="AS851" s="321"/>
      <c r="AT851" s="634" t="s">
        <v>349</v>
      </c>
      <c r="AU851" s="635">
        <f>G851</f>
        <v>129657</v>
      </c>
      <c r="AV851" s="635">
        <f>K851</f>
        <v>128399</v>
      </c>
      <c r="AW851" s="635">
        <f>O851</f>
        <v>128958</v>
      </c>
      <c r="AX851" s="635">
        <f>S851</f>
        <v>139249</v>
      </c>
      <c r="AY851" s="635">
        <f>W851</f>
        <v>136698</v>
      </c>
      <c r="AZ851" s="635">
        <f>AA851</f>
        <v>126880</v>
      </c>
      <c r="BA851" s="635">
        <f>AE851</f>
        <v>121609.51426799998</v>
      </c>
      <c r="BB851" s="635">
        <f>AI851</f>
        <v>116581.61900370939</v>
      </c>
      <c r="BC851" s="527">
        <f>BB851*BC910/BB910</f>
        <v>116601.4101177056</v>
      </c>
      <c r="BD851" s="527">
        <f>BC851*BD910/BC910</f>
        <v>116621.20459147841</v>
      </c>
      <c r="BE851" s="527">
        <f>BD851*BE910/BD910</f>
        <v>116641.00242559816</v>
      </c>
      <c r="BM851"/>
      <c r="BN851"/>
      <c r="BO851"/>
      <c r="BP851"/>
      <c r="BQ851"/>
      <c r="BR851"/>
    </row>
    <row r="852" spans="1:70" s="369" customFormat="1" x14ac:dyDescent="0.2">
      <c r="A852" s="411"/>
      <c r="B852" s="321"/>
      <c r="C852" s="634" t="s">
        <v>350</v>
      </c>
      <c r="D852" s="445">
        <v>228357</v>
      </c>
      <c r="E852" s="445">
        <v>233696</v>
      </c>
      <c r="F852" s="445">
        <v>239574</v>
      </c>
      <c r="G852" s="445">
        <v>247716</v>
      </c>
      <c r="H852" s="445">
        <v>260221</v>
      </c>
      <c r="I852" s="445">
        <v>270687</v>
      </c>
      <c r="J852" s="445">
        <v>266322</v>
      </c>
      <c r="K852" s="445">
        <v>284164</v>
      </c>
      <c r="L852" s="445">
        <v>280549</v>
      </c>
      <c r="M852" s="445">
        <v>289035</v>
      </c>
      <c r="N852" s="445">
        <v>285604</v>
      </c>
      <c r="O852" s="445">
        <v>284978</v>
      </c>
      <c r="P852" s="445">
        <v>275423</v>
      </c>
      <c r="Q852" s="445">
        <v>268947</v>
      </c>
      <c r="R852" s="445">
        <v>267057</v>
      </c>
      <c r="S852" s="445">
        <v>280234</v>
      </c>
      <c r="T852" s="445">
        <v>284969</v>
      </c>
      <c r="U852" s="445">
        <v>295589</v>
      </c>
      <c r="V852" s="445">
        <v>288094</v>
      </c>
      <c r="W852" s="445">
        <v>300972</v>
      </c>
      <c r="X852" s="445">
        <v>310572</v>
      </c>
      <c r="Y852" s="445">
        <v>311361</v>
      </c>
      <c r="Z852" s="445">
        <v>315556</v>
      </c>
      <c r="AA852" s="445">
        <v>318613</v>
      </c>
      <c r="AB852" s="445">
        <v>327872</v>
      </c>
      <c r="AC852" s="635">
        <f t="shared" ref="AC852:AE852" si="1902">AB852*AC900/AB900</f>
        <v>331150.71999999997</v>
      </c>
      <c r="AD852" s="635">
        <f t="shared" si="1902"/>
        <v>334462.22719999996</v>
      </c>
      <c r="AE852" s="635">
        <f t="shared" si="1902"/>
        <v>337806.84947199997</v>
      </c>
      <c r="AF852" s="635">
        <f t="shared" ref="AF852" si="1903">AE852*AF900/AE900</f>
        <v>341184.91796672001</v>
      </c>
      <c r="AG852" s="635">
        <f t="shared" ref="AG852" si="1904">AF852*AG900/AF900</f>
        <v>344596.7671463872</v>
      </c>
      <c r="AH852" s="635">
        <f t="shared" ref="AH852" si="1905">AG852*AH900/AG900</f>
        <v>348042.7348178511</v>
      </c>
      <c r="AI852" s="635">
        <f t="shared" ref="AI852" si="1906">AH852*AI900/AH900</f>
        <v>350827.07669639389</v>
      </c>
      <c r="AJ852" s="635"/>
      <c r="AK852" s="635"/>
      <c r="AL852" s="635"/>
      <c r="AM852" s="635"/>
      <c r="AN852" s="635"/>
      <c r="AO852" s="635"/>
      <c r="AP852" s="635"/>
      <c r="AQ852" s="635"/>
      <c r="AR852" s="70"/>
      <c r="AS852" s="321"/>
      <c r="AT852" s="634" t="s">
        <v>350</v>
      </c>
      <c r="AU852" s="635">
        <f>G852</f>
        <v>247716</v>
      </c>
      <c r="AV852" s="635">
        <f>K852</f>
        <v>284164</v>
      </c>
      <c r="AW852" s="635">
        <f>O852</f>
        <v>284978</v>
      </c>
      <c r="AX852" s="635">
        <f>S852</f>
        <v>280234</v>
      </c>
      <c r="AY852" s="635">
        <f>W852</f>
        <v>300972</v>
      </c>
      <c r="AZ852" s="635">
        <f>AA852</f>
        <v>318613</v>
      </c>
      <c r="BA852" s="635">
        <f>AE852</f>
        <v>337806.84947199997</v>
      </c>
      <c r="BB852" s="635">
        <f>AI852</f>
        <v>350827.07669639389</v>
      </c>
      <c r="BC852" s="635">
        <f>BB852*BC900/BB900</f>
        <v>364860.15976424969</v>
      </c>
      <c r="BD852" s="635">
        <f>BC852*BD900/BC900</f>
        <v>379454.56615481968</v>
      </c>
      <c r="BE852" s="635">
        <f>BD852*BE900/BD900</f>
        <v>394632.74880101247</v>
      </c>
      <c r="BM852"/>
      <c r="BN852"/>
      <c r="BO852"/>
      <c r="BP852"/>
      <c r="BQ852"/>
      <c r="BR852"/>
    </row>
    <row r="853" spans="1:70" s="369" customFormat="1" x14ac:dyDescent="0.2">
      <c r="A853" s="411"/>
      <c r="B853" s="321"/>
      <c r="C853" s="634" t="s">
        <v>351</v>
      </c>
      <c r="D853" s="429">
        <v>60691</v>
      </c>
      <c r="E853" s="429">
        <v>59745</v>
      </c>
      <c r="F853" s="429">
        <v>63792</v>
      </c>
      <c r="G853" s="429">
        <v>65024</v>
      </c>
      <c r="H853" s="429">
        <v>65542</v>
      </c>
      <c r="I853" s="429">
        <v>63793</v>
      </c>
      <c r="J853" s="429">
        <v>66028</v>
      </c>
      <c r="K853" s="429">
        <v>69406</v>
      </c>
      <c r="L853" s="429">
        <v>69263</v>
      </c>
      <c r="M853" s="429">
        <v>73991</v>
      </c>
      <c r="N853" s="429">
        <v>71228</v>
      </c>
      <c r="O853" s="429">
        <v>70925</v>
      </c>
      <c r="P853" s="429">
        <v>71653</v>
      </c>
      <c r="Q853" s="429">
        <v>72629</v>
      </c>
      <c r="R853" s="429">
        <v>73188</v>
      </c>
      <c r="S853" s="429">
        <v>71577</v>
      </c>
      <c r="T853" s="429">
        <v>77865</v>
      </c>
      <c r="U853" s="429">
        <v>76574</v>
      </c>
      <c r="V853" s="429">
        <v>75956</v>
      </c>
      <c r="W853" s="429">
        <v>77616</v>
      </c>
      <c r="X853" s="429">
        <v>79063</v>
      </c>
      <c r="Y853" s="429">
        <v>83046</v>
      </c>
      <c r="Z853" s="429">
        <v>84178</v>
      </c>
      <c r="AA853" s="429">
        <v>87440</v>
      </c>
      <c r="AB853" s="429">
        <v>90477</v>
      </c>
      <c r="AC853" s="527">
        <f t="shared" ref="AC853:AE853" si="1907">AB853*AC911/AB911</f>
        <v>91381.77</v>
      </c>
      <c r="AD853" s="527">
        <f t="shared" si="1907"/>
        <v>92295.587699999989</v>
      </c>
      <c r="AE853" s="527">
        <f t="shared" si="1907"/>
        <v>93218.543576999989</v>
      </c>
      <c r="AF853" s="527">
        <f t="shared" ref="AF853" si="1908">AE853*AF911/AE911</f>
        <v>93218.543576999975</v>
      </c>
      <c r="AG853" s="527">
        <f t="shared" ref="AG853" si="1909">AF853*AG911/AF911</f>
        <v>93218.543576999975</v>
      </c>
      <c r="AH853" s="527">
        <f t="shared" ref="AH853" si="1910">AG853*AH911/AG911</f>
        <v>93218.543576999975</v>
      </c>
      <c r="AI853" s="527">
        <f t="shared" ref="AI853" si="1911">AH853*AI911/AH911</f>
        <v>93218.543576999975</v>
      </c>
      <c r="AJ853" s="527"/>
      <c r="AK853" s="527"/>
      <c r="AL853" s="527"/>
      <c r="AM853" s="527"/>
      <c r="AN853" s="527"/>
      <c r="AO853" s="527"/>
      <c r="AP853" s="527"/>
      <c r="AQ853" s="527"/>
      <c r="AR853" s="70"/>
      <c r="AS853" s="321"/>
      <c r="AT853" s="634" t="s">
        <v>351</v>
      </c>
      <c r="AU853" s="635">
        <f>G853</f>
        <v>65024</v>
      </c>
      <c r="AV853" s="635">
        <f>K853</f>
        <v>69406</v>
      </c>
      <c r="AW853" s="635">
        <f>O853</f>
        <v>70925</v>
      </c>
      <c r="AX853" s="635">
        <f>S853</f>
        <v>71577</v>
      </c>
      <c r="AY853" s="635">
        <f>W853</f>
        <v>77616</v>
      </c>
      <c r="AZ853" s="635">
        <f>AA853</f>
        <v>87440</v>
      </c>
      <c r="BA853" s="635">
        <f>AE853</f>
        <v>93218.543576999989</v>
      </c>
      <c r="BB853" s="635">
        <f>AI853</f>
        <v>93218.543576999975</v>
      </c>
      <c r="BC853" s="527">
        <f>BB853*BC911/BB911</f>
        <v>93218.543576999975</v>
      </c>
      <c r="BD853" s="527">
        <f>BC853*BD911/BC911</f>
        <v>93218.543576999975</v>
      </c>
      <c r="BE853" s="527">
        <f>BD853*BE911/BD911</f>
        <v>93218.543576999975</v>
      </c>
      <c r="BM853"/>
      <c r="BN853"/>
      <c r="BO853"/>
      <c r="BP853"/>
      <c r="BQ853"/>
      <c r="BR853"/>
    </row>
    <row r="854" spans="1:70" s="369" customFormat="1" x14ac:dyDescent="0.2">
      <c r="A854" s="411"/>
      <c r="B854" s="376"/>
      <c r="C854" s="650" t="s">
        <v>352</v>
      </c>
      <c r="D854" s="640">
        <v>494659</v>
      </c>
      <c r="E854" s="640">
        <v>500543</v>
      </c>
      <c r="F854" s="640">
        <v>507297</v>
      </c>
      <c r="G854" s="640">
        <v>488163</v>
      </c>
      <c r="H854" s="640">
        <v>483512</v>
      </c>
      <c r="I854" s="640">
        <v>479806</v>
      </c>
      <c r="J854" s="640">
        <v>492837</v>
      </c>
      <c r="K854" s="640">
        <v>486304</v>
      </c>
      <c r="L854" s="640">
        <v>480819</v>
      </c>
      <c r="M854" s="640">
        <v>472046</v>
      </c>
      <c r="N854" s="640">
        <v>457580</v>
      </c>
      <c r="O854" s="640">
        <v>414471</v>
      </c>
      <c r="P854" s="640">
        <v>416003</v>
      </c>
      <c r="Q854" s="640">
        <v>431448</v>
      </c>
      <c r="R854" s="640">
        <v>422573</v>
      </c>
      <c r="S854" s="640">
        <v>416827</v>
      </c>
      <c r="T854" s="640">
        <v>433604</v>
      </c>
      <c r="U854" s="640">
        <v>425544</v>
      </c>
      <c r="V854" s="640">
        <v>434303</v>
      </c>
      <c r="W854" s="640">
        <v>414120</v>
      </c>
      <c r="X854" s="640">
        <v>430919</v>
      </c>
      <c r="Y854" s="640">
        <v>438083</v>
      </c>
      <c r="Z854" s="640">
        <v>437084</v>
      </c>
      <c r="AA854" s="640">
        <v>426889</v>
      </c>
      <c r="AB854" s="640">
        <v>457538</v>
      </c>
      <c r="AC854" s="638">
        <f t="shared" ref="AC854:AE854" si="1912">AB854*AC901/AB901</f>
        <v>462113.38</v>
      </c>
      <c r="AD854" s="638">
        <f t="shared" si="1912"/>
        <v>466734.51380000002</v>
      </c>
      <c r="AE854" s="638">
        <f t="shared" si="1912"/>
        <v>471401.85893800005</v>
      </c>
      <c r="AF854" s="638">
        <f t="shared" ref="AF854" si="1913">AE854*AF901/AE901</f>
        <v>476115.87752738013</v>
      </c>
      <c r="AG854" s="638">
        <f t="shared" ref="AG854" si="1914">AF854*AG901/AF901</f>
        <v>480877.03630265396</v>
      </c>
      <c r="AH854" s="638">
        <f t="shared" ref="AH854" si="1915">AG854*AH901/AG901</f>
        <v>485685.80666568055</v>
      </c>
      <c r="AI854" s="638">
        <f t="shared" ref="AI854" si="1916">AH854*AI901/AH901</f>
        <v>489571.29311900603</v>
      </c>
      <c r="AJ854" s="635"/>
      <c r="AK854" s="635"/>
      <c r="AL854" s="635"/>
      <c r="AM854" s="635"/>
      <c r="AN854" s="635"/>
      <c r="AO854" s="635"/>
      <c r="AP854" s="635"/>
      <c r="AQ854" s="635"/>
      <c r="AR854" s="70"/>
      <c r="AS854" s="376"/>
      <c r="AT854" s="650" t="s">
        <v>352</v>
      </c>
      <c r="AU854" s="638">
        <f>G854</f>
        <v>488163</v>
      </c>
      <c r="AV854" s="638">
        <f>K854</f>
        <v>486304</v>
      </c>
      <c r="AW854" s="638">
        <f>O854</f>
        <v>414471</v>
      </c>
      <c r="AX854" s="638">
        <f>S854</f>
        <v>416827</v>
      </c>
      <c r="AY854" s="638">
        <f>W854</f>
        <v>414120</v>
      </c>
      <c r="AZ854" s="638">
        <f>AA854</f>
        <v>426889</v>
      </c>
      <c r="BA854" s="638">
        <f>AE854</f>
        <v>471401.85893800005</v>
      </c>
      <c r="BB854" s="638">
        <f>AI854</f>
        <v>489571.29311900603</v>
      </c>
      <c r="BC854" s="638">
        <f>BB854*BC901/BB901</f>
        <v>509154.14484376629</v>
      </c>
      <c r="BD854" s="638">
        <f>BC854*BD901/BC901</f>
        <v>529520.31063751702</v>
      </c>
      <c r="BE854" s="638">
        <f>BD854*BE901/BD901</f>
        <v>550701.12306301773</v>
      </c>
      <c r="BM854"/>
      <c r="BN854"/>
      <c r="BO854"/>
      <c r="BP854"/>
      <c r="BQ854"/>
      <c r="BR854"/>
    </row>
    <row r="855" spans="1:70" x14ac:dyDescent="0.2">
      <c r="B855" s="9" t="s">
        <v>54</v>
      </c>
      <c r="D855" s="607">
        <f t="shared" ref="D855:AE855" si="1917">SUM(D851:D854)</f>
        <v>906012</v>
      </c>
      <c r="E855" s="607">
        <f t="shared" si="1917"/>
        <v>914308</v>
      </c>
      <c r="F855" s="607">
        <f t="shared" si="1917"/>
        <v>944644</v>
      </c>
      <c r="G855" s="607">
        <f t="shared" si="1917"/>
        <v>930560</v>
      </c>
      <c r="H855" s="607">
        <f t="shared" si="1917"/>
        <v>933762</v>
      </c>
      <c r="I855" s="607">
        <f t="shared" si="1917"/>
        <v>938427</v>
      </c>
      <c r="J855" s="607">
        <f t="shared" si="1917"/>
        <v>955460</v>
      </c>
      <c r="K855" s="607">
        <f t="shared" si="1917"/>
        <v>968273</v>
      </c>
      <c r="L855" s="607">
        <f t="shared" si="1917"/>
        <v>966263</v>
      </c>
      <c r="M855" s="607">
        <f t="shared" si="1917"/>
        <v>965725</v>
      </c>
      <c r="N855" s="607">
        <f t="shared" si="1917"/>
        <v>942655</v>
      </c>
      <c r="O855" s="607">
        <f t="shared" si="1917"/>
        <v>899332</v>
      </c>
      <c r="P855" s="607">
        <f t="shared" si="1917"/>
        <v>899647</v>
      </c>
      <c r="Q855" s="607">
        <f t="shared" si="1917"/>
        <v>908037</v>
      </c>
      <c r="R855" s="607">
        <f t="shared" si="1917"/>
        <v>904243</v>
      </c>
      <c r="S855" s="607">
        <f t="shared" si="1917"/>
        <v>907887</v>
      </c>
      <c r="T855" s="607">
        <f t="shared" si="1917"/>
        <v>934591</v>
      </c>
      <c r="U855" s="607">
        <f t="shared" si="1917"/>
        <v>937852</v>
      </c>
      <c r="V855" s="607">
        <f t="shared" si="1917"/>
        <v>940252</v>
      </c>
      <c r="W855" s="607">
        <f t="shared" si="1917"/>
        <v>929406</v>
      </c>
      <c r="X855" s="607">
        <f t="shared" si="1917"/>
        <v>949990</v>
      </c>
      <c r="Y855" s="607">
        <f t="shared" ref="Y855:Z855" si="1918">SUM(Y851:Y854)</f>
        <v>958743</v>
      </c>
      <c r="Z855" s="607">
        <f t="shared" si="1918"/>
        <v>964038</v>
      </c>
      <c r="AA855" s="607">
        <f t="shared" ref="AA855:AB855" si="1919">SUM(AA851:AA854)</f>
        <v>959822</v>
      </c>
      <c r="AB855" s="607">
        <f t="shared" si="1919"/>
        <v>1001219</v>
      </c>
      <c r="AC855" s="607">
        <f t="shared" si="1917"/>
        <v>1008724.5499999999</v>
      </c>
      <c r="AD855" s="607">
        <f t="shared" si="1917"/>
        <v>1016330.2219</v>
      </c>
      <c r="AE855" s="607">
        <f t="shared" si="1917"/>
        <v>1024036.766255</v>
      </c>
      <c r="AF855" s="607">
        <f t="shared" ref="AF855:AI855" si="1920">SUM(AF851:AF854)</f>
        <v>1030912.75819642</v>
      </c>
      <c r="AG855" s="607">
        <f t="shared" si="1920"/>
        <v>1037881.8319601079</v>
      </c>
      <c r="AH855" s="607">
        <f t="shared" si="1920"/>
        <v>1044944.6751452577</v>
      </c>
      <c r="AI855" s="607">
        <f t="shared" si="1920"/>
        <v>1050198.5323961093</v>
      </c>
      <c r="AJ855" s="607"/>
      <c r="AK855" s="607"/>
      <c r="AL855" s="607"/>
      <c r="AM855" s="607"/>
      <c r="AN855" s="607"/>
      <c r="AO855" s="607"/>
      <c r="AP855" s="607"/>
      <c r="AQ855" s="607"/>
      <c r="AS855" s="9" t="s">
        <v>54</v>
      </c>
      <c r="AT855" s="9"/>
      <c r="AU855" s="607">
        <f t="shared" ref="AU855:BD855" si="1921">SUM(AU851:AU854)</f>
        <v>930560</v>
      </c>
      <c r="AV855" s="607">
        <f t="shared" si="1921"/>
        <v>968273</v>
      </c>
      <c r="AW855" s="607">
        <f t="shared" si="1921"/>
        <v>899332</v>
      </c>
      <c r="AX855" s="607">
        <f t="shared" si="1921"/>
        <v>907887</v>
      </c>
      <c r="AY855" s="607">
        <f t="shared" si="1921"/>
        <v>929406</v>
      </c>
      <c r="AZ855" s="607">
        <f t="shared" si="1921"/>
        <v>959822</v>
      </c>
      <c r="BA855" s="607">
        <f t="shared" si="1921"/>
        <v>1024036.766255</v>
      </c>
      <c r="BB855" s="607">
        <f t="shared" ref="BB855" si="1922">SUM(BB851:BB854)</f>
        <v>1050198.5323961093</v>
      </c>
      <c r="BC855" s="607">
        <f t="shared" si="1921"/>
        <v>1083834.2583027214</v>
      </c>
      <c r="BD855" s="607">
        <f t="shared" si="1921"/>
        <v>1118814.6249608151</v>
      </c>
      <c r="BE855" s="607">
        <f t="shared" ref="BE855" si="1923">SUM(BE851:BE854)</f>
        <v>1155193.4178666282</v>
      </c>
    </row>
    <row r="856" spans="1:70" s="369" customFormat="1" x14ac:dyDescent="0.2">
      <c r="A856" s="411"/>
      <c r="B856" s="321" t="s">
        <v>32</v>
      </c>
      <c r="C856" s="321"/>
      <c r="D856" s="445">
        <v>55611</v>
      </c>
      <c r="E856" s="445">
        <v>58698</v>
      </c>
      <c r="F856" s="445">
        <v>49164</v>
      </c>
      <c r="G856" s="445">
        <v>52027</v>
      </c>
      <c r="H856" s="445">
        <v>48137</v>
      </c>
      <c r="I856" s="445">
        <v>58743</v>
      </c>
      <c r="J856" s="445">
        <v>58904</v>
      </c>
      <c r="K856" s="445">
        <v>58944</v>
      </c>
      <c r="L856" s="445">
        <v>58903</v>
      </c>
      <c r="M856" s="445">
        <v>59534</v>
      </c>
      <c r="N856" s="445">
        <v>64838</v>
      </c>
      <c r="O856" s="445">
        <v>58335</v>
      </c>
      <c r="P856" s="445">
        <v>39405</v>
      </c>
      <c r="Q856" s="445">
        <v>25907</v>
      </c>
      <c r="R856" s="445">
        <v>23715</v>
      </c>
      <c r="S856" s="445">
        <v>21079</v>
      </c>
      <c r="T856" s="445">
        <v>20893</v>
      </c>
      <c r="U856" s="445">
        <v>18408</v>
      </c>
      <c r="V856" s="445">
        <v>29527</v>
      </c>
      <c r="W856" s="445">
        <v>30701</v>
      </c>
      <c r="X856" s="445">
        <v>26127</v>
      </c>
      <c r="Y856" s="445">
        <v>36519</v>
      </c>
      <c r="Z856" s="445">
        <v>38149</v>
      </c>
      <c r="AA856" s="445">
        <v>44452</v>
      </c>
      <c r="AB856" s="445">
        <v>36094</v>
      </c>
      <c r="AC856" s="635">
        <f t="shared" ref="AC856:AE857" si="1924">AB856*AC903/AB903</f>
        <v>37176.82</v>
      </c>
      <c r="AD856" s="635">
        <f t="shared" si="1924"/>
        <v>38292.124599999996</v>
      </c>
      <c r="AE856" s="635">
        <f t="shared" si="1924"/>
        <v>39440.888337999997</v>
      </c>
      <c r="AF856" s="635">
        <f t="shared" ref="AF856:AF857" si="1925">AE856*AF903/AE903</f>
        <v>40624.114988139998</v>
      </c>
      <c r="AG856" s="635">
        <f t="shared" ref="AG856:AG857" si="1926">AF856*AG903/AF903</f>
        <v>41842.838437784201</v>
      </c>
      <c r="AH856" s="635">
        <f t="shared" ref="AH856:AH857" si="1927">AG856*AH903/AG903</f>
        <v>43098.123590917727</v>
      </c>
      <c r="AI856" s="635">
        <f t="shared" ref="AI856:AI857" si="1928">AH856*AI903/AH903</f>
        <v>44391.067298645263</v>
      </c>
      <c r="AJ856" s="635"/>
      <c r="AK856" s="635"/>
      <c r="AL856" s="635"/>
      <c r="AM856" s="635"/>
      <c r="AN856" s="635"/>
      <c r="AO856" s="635"/>
      <c r="AP856" s="635"/>
      <c r="AQ856" s="635"/>
      <c r="AR856" s="70"/>
      <c r="AS856" s="321" t="s">
        <v>32</v>
      </c>
      <c r="AT856" s="321"/>
      <c r="AU856" s="635">
        <f>G856</f>
        <v>52027</v>
      </c>
      <c r="AV856" s="635">
        <f>K856</f>
        <v>58944</v>
      </c>
      <c r="AW856" s="635">
        <f>O856</f>
        <v>58335</v>
      </c>
      <c r="AX856" s="635">
        <f>S856</f>
        <v>21079</v>
      </c>
      <c r="AY856" s="635">
        <f>W856</f>
        <v>30701</v>
      </c>
      <c r="AZ856" s="635">
        <f>AA856</f>
        <v>44452</v>
      </c>
      <c r="BA856" s="635">
        <f>AE856</f>
        <v>39440.888337999997</v>
      </c>
      <c r="BB856" s="635">
        <f>AI856</f>
        <v>44391.067298645263</v>
      </c>
      <c r="BC856" s="635">
        <f t="shared" ref="BC856:BE857" si="1929">BB856*BC903/BB903</f>
        <v>46610.620663577523</v>
      </c>
      <c r="BD856" s="635">
        <f t="shared" si="1929"/>
        <v>48941.151696756402</v>
      </c>
      <c r="BE856" s="635">
        <f t="shared" si="1929"/>
        <v>51388.209281594231</v>
      </c>
      <c r="BM856"/>
      <c r="BN856"/>
      <c r="BO856"/>
      <c r="BP856"/>
      <c r="BQ856"/>
      <c r="BR856"/>
    </row>
    <row r="857" spans="1:70" x14ac:dyDescent="0.2">
      <c r="B857" s="9" t="s">
        <v>33</v>
      </c>
      <c r="C857" s="15"/>
      <c r="D857" s="445">
        <v>311079</v>
      </c>
      <c r="E857" s="445">
        <v>288334</v>
      </c>
      <c r="F857" s="445">
        <v>271862</v>
      </c>
      <c r="G857" s="445">
        <v>239463</v>
      </c>
      <c r="H857" s="445">
        <v>234326</v>
      </c>
      <c r="I857" s="445">
        <v>220959</v>
      </c>
      <c r="J857" s="445">
        <v>221593</v>
      </c>
      <c r="K857" s="445">
        <v>221116</v>
      </c>
      <c r="L857" s="445">
        <v>222747</v>
      </c>
      <c r="M857" s="445">
        <v>226984</v>
      </c>
      <c r="N857" s="445">
        <v>223842</v>
      </c>
      <c r="O857" s="445">
        <v>223080</v>
      </c>
      <c r="P857" s="445">
        <v>210522</v>
      </c>
      <c r="Q857" s="445">
        <v>211845</v>
      </c>
      <c r="R857" s="445">
        <v>213533</v>
      </c>
      <c r="S857" s="445">
        <v>201275</v>
      </c>
      <c r="T857" s="445">
        <v>207835</v>
      </c>
      <c r="U857" s="445">
        <v>207448</v>
      </c>
      <c r="V857" s="445">
        <v>209051</v>
      </c>
      <c r="W857" s="445">
        <v>206178</v>
      </c>
      <c r="X857" s="445">
        <v>208530</v>
      </c>
      <c r="Y857" s="445">
        <v>225179</v>
      </c>
      <c r="Z857" s="445">
        <v>232673</v>
      </c>
      <c r="AA857" s="445">
        <v>236709</v>
      </c>
      <c r="AB857" s="445">
        <v>237938</v>
      </c>
      <c r="AC857" s="635">
        <f t="shared" si="1924"/>
        <v>242696.76</v>
      </c>
      <c r="AD857" s="635">
        <f t="shared" si="1924"/>
        <v>247550.69520000005</v>
      </c>
      <c r="AE857" s="635">
        <f t="shared" si="1924"/>
        <v>252501.70910400007</v>
      </c>
      <c r="AF857" s="635">
        <f t="shared" si="1925"/>
        <v>257551.74328608008</v>
      </c>
      <c r="AG857" s="635">
        <f t="shared" si="1926"/>
        <v>262702.77815180167</v>
      </c>
      <c r="AH857" s="635">
        <f t="shared" si="1927"/>
        <v>267956.83371483767</v>
      </c>
      <c r="AI857" s="635">
        <f t="shared" si="1928"/>
        <v>273315.97038913443</v>
      </c>
      <c r="AJ857" s="635"/>
      <c r="AK857" s="635"/>
      <c r="AL857" s="635"/>
      <c r="AM857" s="635"/>
      <c r="AN857" s="635"/>
      <c r="AO857" s="635"/>
      <c r="AP857" s="635"/>
      <c r="AQ857" s="635"/>
      <c r="AS857" s="9" t="s">
        <v>33</v>
      </c>
      <c r="AT857" s="15"/>
      <c r="AU857" s="635">
        <f>G857</f>
        <v>239463</v>
      </c>
      <c r="AV857" s="635">
        <f>K857</f>
        <v>221116</v>
      </c>
      <c r="AW857" s="635">
        <f>O857</f>
        <v>223080</v>
      </c>
      <c r="AX857" s="635">
        <f>S857</f>
        <v>201275</v>
      </c>
      <c r="AY857" s="635">
        <f>W857</f>
        <v>206178</v>
      </c>
      <c r="AZ857" s="635">
        <f>AA857</f>
        <v>236709</v>
      </c>
      <c r="BA857" s="635">
        <f>AE857</f>
        <v>252501.70910400007</v>
      </c>
      <c r="BB857" s="635">
        <f>AI857</f>
        <v>273315.97038913443</v>
      </c>
      <c r="BC857" s="635">
        <f t="shared" si="1929"/>
        <v>286981.76890859113</v>
      </c>
      <c r="BD857" s="635">
        <f t="shared" si="1929"/>
        <v>301330.8573540207</v>
      </c>
      <c r="BE857" s="635">
        <f t="shared" si="1929"/>
        <v>316397.40022172179</v>
      </c>
    </row>
    <row r="858" spans="1:70" x14ac:dyDescent="0.2">
      <c r="B858" s="43" t="s">
        <v>565</v>
      </c>
      <c r="C858" s="25"/>
      <c r="D858" s="606">
        <f t="shared" ref="D858:AE858" si="1930">D859-D855-D856-D857</f>
        <v>487998</v>
      </c>
      <c r="E858" s="600">
        <f t="shared" si="1930"/>
        <v>469272</v>
      </c>
      <c r="F858" s="600">
        <f t="shared" si="1930"/>
        <v>476938</v>
      </c>
      <c r="G858" s="600">
        <f t="shared" si="1930"/>
        <v>451613</v>
      </c>
      <c r="H858" s="600">
        <f t="shared" si="1930"/>
        <v>470170</v>
      </c>
      <c r="I858" s="600">
        <f t="shared" si="1930"/>
        <v>468033</v>
      </c>
      <c r="J858" s="600">
        <f t="shared" si="1930"/>
        <v>460815</v>
      </c>
      <c r="K858" s="600">
        <f t="shared" si="1930"/>
        <v>425916</v>
      </c>
      <c r="L858" s="600">
        <f t="shared" si="1930"/>
        <v>436581</v>
      </c>
      <c r="M858" s="600">
        <f t="shared" si="1930"/>
        <v>444373</v>
      </c>
      <c r="N858" s="600">
        <f t="shared" si="1930"/>
        <v>437623</v>
      </c>
      <c r="O858" s="600">
        <f t="shared" si="1930"/>
        <v>449738</v>
      </c>
      <c r="P858" s="600">
        <f t="shared" si="1930"/>
        <v>466204</v>
      </c>
      <c r="Q858" s="600">
        <f t="shared" si="1930"/>
        <v>462756</v>
      </c>
      <c r="R858" s="600">
        <f t="shared" si="1930"/>
        <v>444728</v>
      </c>
      <c r="S858" s="600">
        <f t="shared" si="1930"/>
        <v>377877</v>
      </c>
      <c r="T858" s="600">
        <f t="shared" si="1930"/>
        <v>408887</v>
      </c>
      <c r="U858" s="600">
        <f t="shared" si="1930"/>
        <v>422042</v>
      </c>
      <c r="V858" s="600">
        <f t="shared" si="1930"/>
        <v>406597</v>
      </c>
      <c r="W858" s="600">
        <f t="shared" si="1930"/>
        <v>399649</v>
      </c>
      <c r="X858" s="600">
        <f t="shared" si="1930"/>
        <v>407835</v>
      </c>
      <c r="Y858" s="600">
        <f t="shared" ref="Y858:Z858" si="1931">Y859-Y855-Y856-Y857</f>
        <v>412515</v>
      </c>
      <c r="Z858" s="600">
        <f t="shared" si="1931"/>
        <v>425651</v>
      </c>
      <c r="AA858" s="600">
        <f t="shared" ref="AA858:AB858" si="1932">AA859-AA855-AA856-AA857</f>
        <v>399810</v>
      </c>
      <c r="AB858" s="600">
        <f t="shared" si="1932"/>
        <v>443987</v>
      </c>
      <c r="AC858" s="606">
        <f t="shared" si="1930"/>
        <v>437268.03227147157</v>
      </c>
      <c r="AD858" s="606">
        <f t="shared" si="1930"/>
        <v>434135.27744116553</v>
      </c>
      <c r="AE858" s="606">
        <f t="shared" si="1930"/>
        <v>433986.39266768348</v>
      </c>
      <c r="AF858" s="606">
        <f t="shared" ref="AF858:AI858" si="1933">AF859-AF855-AF856-AF857</f>
        <v>431514.32277476531</v>
      </c>
      <c r="AG858" s="606">
        <f t="shared" si="1933"/>
        <v>434427.21293990582</v>
      </c>
      <c r="AH858" s="606">
        <f t="shared" si="1933"/>
        <v>441800.41725203732</v>
      </c>
      <c r="AI858" s="606">
        <f t="shared" si="1933"/>
        <v>454330.99715165253</v>
      </c>
      <c r="AJ858" s="600"/>
      <c r="AK858" s="600"/>
      <c r="AL858" s="600"/>
      <c r="AM858" s="600"/>
      <c r="AN858" s="600"/>
      <c r="AO858" s="600"/>
      <c r="AP858" s="600"/>
      <c r="AQ858" s="600"/>
      <c r="AS858" s="43" t="s">
        <v>565</v>
      </c>
      <c r="AT858" s="25"/>
      <c r="AU858" s="638">
        <f>G858</f>
        <v>451613</v>
      </c>
      <c r="AV858" s="638">
        <f>K858</f>
        <v>425916</v>
      </c>
      <c r="AW858" s="638">
        <f>O858</f>
        <v>449738</v>
      </c>
      <c r="AX858" s="638">
        <f>S858</f>
        <v>377877</v>
      </c>
      <c r="AY858" s="638">
        <f>W858</f>
        <v>399649</v>
      </c>
      <c r="AZ858" s="638">
        <f>AA858</f>
        <v>399810</v>
      </c>
      <c r="BA858" s="638">
        <f>AE858</f>
        <v>433986.39266768348</v>
      </c>
      <c r="BB858" s="638">
        <f>AI858</f>
        <v>454330.99715165253</v>
      </c>
      <c r="BC858" s="606">
        <f>BC859-BC855-BC856-BC857</f>
        <v>455348.2513370167</v>
      </c>
      <c r="BD858" s="606">
        <f>BD859-BD855-BD856-BD857</f>
        <v>467196.96029498021</v>
      </c>
      <c r="BE858" s="606">
        <f>BE859-BE855-BE856-BE857</f>
        <v>475769.57935217925</v>
      </c>
    </row>
    <row r="859" spans="1:70" s="369" customFormat="1" x14ac:dyDescent="0.2">
      <c r="A859" s="411"/>
      <c r="B859" s="325" t="s">
        <v>358</v>
      </c>
      <c r="C859" s="634"/>
      <c r="D859" s="217">
        <v>1760700</v>
      </c>
      <c r="E859" s="218">
        <v>1730612</v>
      </c>
      <c r="F859" s="218">
        <v>1742608</v>
      </c>
      <c r="G859" s="218">
        <v>1673663</v>
      </c>
      <c r="H859" s="218">
        <v>1686395</v>
      </c>
      <c r="I859" s="218">
        <v>1686162</v>
      </c>
      <c r="J859" s="218">
        <v>1696772</v>
      </c>
      <c r="K859" s="218">
        <v>1674249</v>
      </c>
      <c r="L859" s="218">
        <v>1684494</v>
      </c>
      <c r="M859" s="218">
        <v>1696616</v>
      </c>
      <c r="N859" s="218">
        <v>1668958</v>
      </c>
      <c r="O859" s="218">
        <v>1630485</v>
      </c>
      <c r="P859" s="218">
        <v>1615778</v>
      </c>
      <c r="Q859" s="218">
        <v>1608545</v>
      </c>
      <c r="R859" s="218">
        <v>1586219</v>
      </c>
      <c r="S859" s="218">
        <v>1508118</v>
      </c>
      <c r="T859" s="218">
        <v>1572206</v>
      </c>
      <c r="U859" s="218">
        <v>1585750</v>
      </c>
      <c r="V859" s="218">
        <v>1585427</v>
      </c>
      <c r="W859" s="218">
        <v>1565934</v>
      </c>
      <c r="X859" s="218">
        <v>1592482</v>
      </c>
      <c r="Y859" s="218">
        <v>1632956</v>
      </c>
      <c r="Z859" s="218">
        <v>1660511</v>
      </c>
      <c r="AA859" s="218">
        <v>1640793</v>
      </c>
      <c r="AB859" s="218">
        <v>1719238</v>
      </c>
      <c r="AC859" s="649">
        <f t="shared" ref="AC859:AE859" si="1934">AC873-AC872</f>
        <v>1725866.1622714715</v>
      </c>
      <c r="AD859" s="649">
        <f t="shared" si="1934"/>
        <v>1736308.3191411656</v>
      </c>
      <c r="AE859" s="649">
        <f t="shared" si="1934"/>
        <v>1749965.7563646836</v>
      </c>
      <c r="AF859" s="649">
        <f t="shared" ref="AF859:AI859" si="1935">AF873-AF872</f>
        <v>1760602.9392454054</v>
      </c>
      <c r="AG859" s="649">
        <f t="shared" si="1935"/>
        <v>1776854.6614895996</v>
      </c>
      <c r="AH859" s="649">
        <f t="shared" si="1935"/>
        <v>1797800.0497030504</v>
      </c>
      <c r="AI859" s="649">
        <f t="shared" si="1935"/>
        <v>1822236.5672355415</v>
      </c>
      <c r="AJ859" s="649"/>
      <c r="AK859" s="649"/>
      <c r="AL859" s="649"/>
      <c r="AM859" s="649"/>
      <c r="AN859" s="649"/>
      <c r="AO859" s="649"/>
      <c r="AP859" s="649"/>
      <c r="AQ859" s="649"/>
      <c r="AR859" s="70"/>
      <c r="AS859" s="325" t="s">
        <v>358</v>
      </c>
      <c r="AT859" s="634"/>
      <c r="AU859" s="649">
        <f>G859</f>
        <v>1673663</v>
      </c>
      <c r="AV859" s="649">
        <f>K859</f>
        <v>1674249</v>
      </c>
      <c r="AW859" s="649">
        <f>O859</f>
        <v>1630485</v>
      </c>
      <c r="AX859" s="649">
        <f>S859</f>
        <v>1508118</v>
      </c>
      <c r="AY859" s="649">
        <f>W859</f>
        <v>1565934</v>
      </c>
      <c r="AZ859" s="649">
        <f>AA859</f>
        <v>1640793</v>
      </c>
      <c r="BA859" s="649">
        <f>AE859</f>
        <v>1749965.7563646836</v>
      </c>
      <c r="BB859" s="649">
        <f>AI859</f>
        <v>1822236.5672355415</v>
      </c>
      <c r="BC859" s="649">
        <f>BC873-BC872</f>
        <v>1872774.8992119068</v>
      </c>
      <c r="BD859" s="649">
        <f>BD873-BD872</f>
        <v>1936283.5943065723</v>
      </c>
      <c r="BE859" s="649">
        <f>BE873-BE872</f>
        <v>1998748.6067221235</v>
      </c>
      <c r="BM859"/>
      <c r="BN859"/>
      <c r="BO859"/>
      <c r="BP859"/>
      <c r="BQ859"/>
      <c r="BR859"/>
    </row>
    <row r="860" spans="1:70" x14ac:dyDescent="0.2">
      <c r="D860" s="206"/>
      <c r="E860" s="206"/>
      <c r="F860" s="206"/>
      <c r="G860" s="206"/>
      <c r="H860" s="206"/>
      <c r="I860" s="206"/>
      <c r="J860" s="206"/>
      <c r="K860" s="206"/>
      <c r="L860" s="206"/>
      <c r="M860" s="206"/>
      <c r="N860" s="206"/>
      <c r="O860" s="206"/>
      <c r="P860" s="206"/>
      <c r="Q860" s="206"/>
      <c r="R860" s="206"/>
      <c r="S860" s="206"/>
      <c r="T860" s="206"/>
      <c r="U860" s="206"/>
      <c r="V860" s="206"/>
      <c r="W860" s="206"/>
      <c r="X860" s="206"/>
      <c r="Y860" s="206"/>
      <c r="Z860" s="206"/>
      <c r="AA860" s="206"/>
      <c r="AB860" s="206"/>
      <c r="AC860" s="71"/>
      <c r="AD860" s="71"/>
      <c r="AE860" s="71"/>
      <c r="AF860" s="71"/>
      <c r="AG860" s="71"/>
      <c r="AH860" s="71"/>
      <c r="AI860" s="71"/>
      <c r="AJ860" s="71"/>
      <c r="AK860" s="71"/>
      <c r="AL860" s="71"/>
      <c r="AM860" s="71"/>
      <c r="AN860" s="71"/>
      <c r="AO860" s="71"/>
      <c r="AP860" s="71"/>
      <c r="AQ860" s="71"/>
      <c r="AS860" s="10"/>
      <c r="AT860" s="9"/>
      <c r="BC860" s="71"/>
      <c r="BD860" s="71"/>
      <c r="BE860" s="71"/>
    </row>
    <row r="861" spans="1:70" s="369" customFormat="1" x14ac:dyDescent="0.2">
      <c r="A861" s="411"/>
      <c r="B861" s="642" t="s">
        <v>112</v>
      </c>
      <c r="C861" s="648"/>
      <c r="D861" s="600"/>
      <c r="E861" s="600"/>
      <c r="F861" s="600"/>
      <c r="G861" s="600"/>
      <c r="H861" s="600"/>
      <c r="I861" s="600"/>
      <c r="J861" s="600"/>
      <c r="K861" s="600"/>
      <c r="L861" s="600"/>
      <c r="M861" s="600"/>
      <c r="N861" s="600"/>
      <c r="O861" s="600"/>
      <c r="P861" s="600"/>
      <c r="Q861" s="600"/>
      <c r="R861" s="600"/>
      <c r="S861" s="600"/>
      <c r="T861" s="600"/>
      <c r="U861" s="600"/>
      <c r="V861" s="600"/>
      <c r="W861" s="600"/>
      <c r="X861" s="600"/>
      <c r="Y861" s="600"/>
      <c r="Z861" s="600"/>
      <c r="AA861" s="600"/>
      <c r="AB861" s="600"/>
      <c r="AC861" s="465"/>
      <c r="AD861" s="465"/>
      <c r="AE861" s="465"/>
      <c r="AF861" s="465"/>
      <c r="AG861" s="465"/>
      <c r="AH861" s="465"/>
      <c r="AI861" s="633"/>
      <c r="AJ861" s="633"/>
      <c r="AK861" s="633"/>
      <c r="AL861" s="633"/>
      <c r="AM861" s="633"/>
      <c r="AN861" s="633"/>
      <c r="AO861" s="633"/>
      <c r="AP861" s="633"/>
      <c r="AQ861" s="633"/>
      <c r="AR861" s="70"/>
      <c r="AS861" s="642" t="s">
        <v>112</v>
      </c>
      <c r="AT861" s="648"/>
      <c r="AU861" s="633"/>
      <c r="AV861" s="633"/>
      <c r="AW861" s="633"/>
      <c r="AX861" s="633"/>
      <c r="AY861" s="633"/>
      <c r="AZ861" s="633"/>
      <c r="BC861" s="633"/>
      <c r="BD861" s="633"/>
      <c r="BE861" s="633"/>
      <c r="BM861"/>
      <c r="BN861"/>
      <c r="BO861"/>
      <c r="BP861"/>
      <c r="BQ861"/>
      <c r="BR861"/>
    </row>
    <row r="862" spans="1:70" s="369" customFormat="1" x14ac:dyDescent="0.2">
      <c r="A862" s="411"/>
      <c r="B862" s="634" t="s">
        <v>113</v>
      </c>
      <c r="C862" s="550"/>
      <c r="D862" s="437">
        <v>312</v>
      </c>
      <c r="E862" s="437">
        <v>312</v>
      </c>
      <c r="F862" s="437">
        <v>312</v>
      </c>
      <c r="G862" s="437">
        <v>2562</v>
      </c>
      <c r="H862" s="437">
        <v>3137</v>
      </c>
      <c r="I862" s="437">
        <v>4293</v>
      </c>
      <c r="J862" s="437">
        <v>5243</v>
      </c>
      <c r="K862" s="437">
        <v>6738</v>
      </c>
      <c r="L862" s="437">
        <v>7218</v>
      </c>
      <c r="M862" s="437">
        <v>8968</v>
      </c>
      <c r="N862" s="437">
        <v>8968</v>
      </c>
      <c r="O862" s="437">
        <v>10468</v>
      </c>
      <c r="P862" s="437">
        <v>11968</v>
      </c>
      <c r="Q862" s="437">
        <v>13968</v>
      </c>
      <c r="R862" s="437">
        <v>15218</v>
      </c>
      <c r="S862" s="437">
        <v>16718</v>
      </c>
      <c r="T862" s="437">
        <v>17753</v>
      </c>
      <c r="U862" s="437">
        <v>19253</v>
      </c>
      <c r="V862" s="437">
        <v>19253</v>
      </c>
      <c r="W862" s="437">
        <v>19253</v>
      </c>
      <c r="X862" s="437">
        <v>19253</v>
      </c>
      <c r="Y862" s="437">
        <v>19253</v>
      </c>
      <c r="Z862" s="437">
        <v>19253</v>
      </c>
      <c r="AA862" s="437">
        <v>19253</v>
      </c>
      <c r="AB862" s="437">
        <v>19156</v>
      </c>
      <c r="AC862" s="651">
        <f t="shared" ref="AC862:AE863" si="1936">AB862</f>
        <v>19156</v>
      </c>
      <c r="AD862" s="651">
        <f t="shared" si="1936"/>
        <v>19156</v>
      </c>
      <c r="AE862" s="651">
        <f t="shared" si="1936"/>
        <v>19156</v>
      </c>
      <c r="AF862" s="651">
        <f>AE862+2000</f>
        <v>21156</v>
      </c>
      <c r="AG862" s="651">
        <f t="shared" ref="AG862:AG863" si="1937">AF862</f>
        <v>21156</v>
      </c>
      <c r="AH862" s="651">
        <f t="shared" ref="AH862:AH863" si="1938">AG862</f>
        <v>21156</v>
      </c>
      <c r="AI862" s="651">
        <f t="shared" ref="AI862:AI863" si="1939">AH862</f>
        <v>21156</v>
      </c>
      <c r="AJ862" s="651"/>
      <c r="AK862" s="651"/>
      <c r="AL862" s="651"/>
      <c r="AM862" s="651"/>
      <c r="AN862" s="651"/>
      <c r="AO862" s="651"/>
      <c r="AP862" s="651"/>
      <c r="AQ862" s="651"/>
      <c r="AR862" s="70"/>
      <c r="AS862" s="634" t="s">
        <v>113</v>
      </c>
      <c r="AT862" s="550"/>
      <c r="AU862" s="635">
        <f t="shared" ref="AU862:AU867" si="1940">G862</f>
        <v>2562</v>
      </c>
      <c r="AV862" s="635">
        <f t="shared" ref="AV862:AV867" si="1941">K862</f>
        <v>6738</v>
      </c>
      <c r="AW862" s="635">
        <f t="shared" ref="AW862:AW867" si="1942">O862</f>
        <v>10468</v>
      </c>
      <c r="AX862" s="635">
        <f t="shared" ref="AX862:AX867" si="1943">S862</f>
        <v>16718</v>
      </c>
      <c r="AY862" s="635">
        <f t="shared" ref="AY862:AY867" si="1944">W862</f>
        <v>19253</v>
      </c>
      <c r="AZ862" s="635">
        <f t="shared" ref="AZ862:AZ867" si="1945">AA862</f>
        <v>19253</v>
      </c>
      <c r="BA862" s="635">
        <f t="shared" ref="BA862:BA867" si="1946">AE862</f>
        <v>19156</v>
      </c>
      <c r="BB862" s="635">
        <f t="shared" ref="BB862:BB867" si="1947">AI862</f>
        <v>21156</v>
      </c>
      <c r="BC862" s="651">
        <f t="shared" ref="BC862:BE863" si="1948">BB862</f>
        <v>21156</v>
      </c>
      <c r="BD862" s="651">
        <f t="shared" si="1948"/>
        <v>21156</v>
      </c>
      <c r="BE862" s="651">
        <f t="shared" si="1948"/>
        <v>21156</v>
      </c>
      <c r="BM862"/>
      <c r="BN862"/>
      <c r="BO862"/>
      <c r="BP862"/>
      <c r="BQ862"/>
      <c r="BR862"/>
    </row>
    <row r="863" spans="1:70" s="369" customFormat="1" x14ac:dyDescent="0.2">
      <c r="A863" s="411"/>
      <c r="B863" s="634" t="s">
        <v>114</v>
      </c>
      <c r="C863" s="550"/>
      <c r="D863" s="445">
        <v>29</v>
      </c>
      <c r="E863" s="445">
        <v>29</v>
      </c>
      <c r="F863" s="445">
        <v>29</v>
      </c>
      <c r="G863" s="445">
        <v>30</v>
      </c>
      <c r="H863" s="445">
        <v>31</v>
      </c>
      <c r="I863" s="445">
        <v>31</v>
      </c>
      <c r="J863" s="445">
        <v>31</v>
      </c>
      <c r="K863" s="445">
        <v>31</v>
      </c>
      <c r="L863" s="445">
        <v>31</v>
      </c>
      <c r="M863" s="445">
        <v>31</v>
      </c>
      <c r="N863" s="445">
        <v>31</v>
      </c>
      <c r="O863" s="445">
        <v>31</v>
      </c>
      <c r="P863" s="445">
        <v>31</v>
      </c>
      <c r="Q863" s="445">
        <v>31</v>
      </c>
      <c r="R863" s="445">
        <v>31</v>
      </c>
      <c r="S863" s="445">
        <v>31</v>
      </c>
      <c r="T863" s="445">
        <v>31</v>
      </c>
      <c r="U863" s="445">
        <v>31</v>
      </c>
      <c r="V863" s="445">
        <v>31</v>
      </c>
      <c r="W863" s="445">
        <v>31</v>
      </c>
      <c r="X863" s="445">
        <v>31</v>
      </c>
      <c r="Y863" s="445">
        <v>31</v>
      </c>
      <c r="Z863" s="445">
        <v>31</v>
      </c>
      <c r="AA863" s="445">
        <v>31</v>
      </c>
      <c r="AB863" s="445">
        <v>31</v>
      </c>
      <c r="AC863" s="635">
        <f t="shared" si="1936"/>
        <v>31</v>
      </c>
      <c r="AD863" s="635">
        <f t="shared" si="1936"/>
        <v>31</v>
      </c>
      <c r="AE863" s="635">
        <f t="shared" si="1936"/>
        <v>31</v>
      </c>
      <c r="AF863" s="635">
        <f t="shared" ref="AF863" si="1949">AE863</f>
        <v>31</v>
      </c>
      <c r="AG863" s="635">
        <f t="shared" si="1937"/>
        <v>31</v>
      </c>
      <c r="AH863" s="635">
        <f t="shared" si="1938"/>
        <v>31</v>
      </c>
      <c r="AI863" s="635">
        <f t="shared" si="1939"/>
        <v>31</v>
      </c>
      <c r="AJ863" s="635"/>
      <c r="AK863" s="635"/>
      <c r="AL863" s="635"/>
      <c r="AM863" s="635"/>
      <c r="AN863" s="635"/>
      <c r="AO863" s="635"/>
      <c r="AP863" s="635"/>
      <c r="AQ863" s="635"/>
      <c r="AR863" s="70"/>
      <c r="AS863" s="634" t="s">
        <v>114</v>
      </c>
      <c r="AT863" s="550"/>
      <c r="AU863" s="635">
        <f t="shared" si="1940"/>
        <v>30</v>
      </c>
      <c r="AV863" s="635">
        <f t="shared" si="1941"/>
        <v>31</v>
      </c>
      <c r="AW863" s="635">
        <f t="shared" si="1942"/>
        <v>31</v>
      </c>
      <c r="AX863" s="635">
        <f t="shared" si="1943"/>
        <v>31</v>
      </c>
      <c r="AY863" s="635">
        <f t="shared" si="1944"/>
        <v>31</v>
      </c>
      <c r="AZ863" s="635">
        <f t="shared" si="1945"/>
        <v>31</v>
      </c>
      <c r="BA863" s="635">
        <f t="shared" si="1946"/>
        <v>31</v>
      </c>
      <c r="BB863" s="635">
        <f t="shared" si="1947"/>
        <v>31</v>
      </c>
      <c r="BC863" s="635">
        <f t="shared" si="1948"/>
        <v>31</v>
      </c>
      <c r="BD863" s="635">
        <f t="shared" si="1948"/>
        <v>31</v>
      </c>
      <c r="BE863" s="635">
        <f t="shared" si="1948"/>
        <v>31</v>
      </c>
      <c r="BM863"/>
      <c r="BN863"/>
      <c r="BO863"/>
      <c r="BP863"/>
      <c r="BQ863"/>
      <c r="BR863"/>
    </row>
    <row r="864" spans="1:70" s="369" customFormat="1" x14ac:dyDescent="0.2">
      <c r="A864" s="411"/>
      <c r="B864" s="634" t="s">
        <v>34</v>
      </c>
      <c r="C864" s="345"/>
      <c r="D864" s="445">
        <v>105787</v>
      </c>
      <c r="E864" s="445">
        <v>105962</v>
      </c>
      <c r="F864" s="445">
        <v>106203</v>
      </c>
      <c r="G864" s="445">
        <v>106391</v>
      </c>
      <c r="H864" s="445">
        <v>106661</v>
      </c>
      <c r="I864" s="445">
        <v>106876</v>
      </c>
      <c r="J864" s="445">
        <v>107030</v>
      </c>
      <c r="K864" s="445">
        <v>107193</v>
      </c>
      <c r="L864" s="445">
        <v>107505</v>
      </c>
      <c r="M864" s="445">
        <v>107669</v>
      </c>
      <c r="N864" s="445">
        <v>107839</v>
      </c>
      <c r="O864" s="445">
        <v>107979</v>
      </c>
      <c r="P864" s="445">
        <v>108124</v>
      </c>
      <c r="Q864" s="445">
        <v>108219</v>
      </c>
      <c r="R864" s="445">
        <v>108261</v>
      </c>
      <c r="S864" s="445">
        <v>108288</v>
      </c>
      <c r="T864" s="445">
        <v>107590</v>
      </c>
      <c r="U864" s="445">
        <v>107730</v>
      </c>
      <c r="V864" s="445">
        <v>107875</v>
      </c>
      <c r="W864" s="445">
        <v>108042</v>
      </c>
      <c r="X864" s="445">
        <v>107613</v>
      </c>
      <c r="Y864" s="445">
        <v>107798</v>
      </c>
      <c r="Z864" s="445">
        <v>107896</v>
      </c>
      <c r="AA864" s="445">
        <v>108008</v>
      </c>
      <c r="AB864" s="445">
        <v>107599</v>
      </c>
      <c r="AC864" s="635">
        <f t="shared" ref="AC864:AE864" si="1950">AB864+AC1295+AC1296</f>
        <v>107599</v>
      </c>
      <c r="AD864" s="635">
        <f t="shared" si="1950"/>
        <v>107599</v>
      </c>
      <c r="AE864" s="635">
        <f t="shared" si="1950"/>
        <v>107599</v>
      </c>
      <c r="AF864" s="635">
        <f t="shared" ref="AF864" si="1951">AE864+AF1295+AF1296</f>
        <v>107599</v>
      </c>
      <c r="AG864" s="635">
        <f t="shared" ref="AG864" si="1952">AF864+AG1295+AG1296</f>
        <v>107599</v>
      </c>
      <c r="AH864" s="635">
        <f t="shared" ref="AH864" si="1953">AG864+AH1295+AH1296</f>
        <v>107599</v>
      </c>
      <c r="AI864" s="635">
        <f t="shared" ref="AI864" si="1954">AH864+AI1295+AI1296</f>
        <v>107599</v>
      </c>
      <c r="AJ864" s="635"/>
      <c r="AK864" s="635"/>
      <c r="AL864" s="635"/>
      <c r="AM864" s="635"/>
      <c r="AN864" s="635"/>
      <c r="AO864" s="635"/>
      <c r="AP864" s="635"/>
      <c r="AQ864" s="635"/>
      <c r="AR864" s="70"/>
      <c r="AS864" s="634" t="s">
        <v>34</v>
      </c>
      <c r="AT864" s="345"/>
      <c r="AU864" s="635">
        <f t="shared" si="1940"/>
        <v>106391</v>
      </c>
      <c r="AV864" s="635">
        <f t="shared" si="1941"/>
        <v>107193</v>
      </c>
      <c r="AW864" s="635">
        <f t="shared" si="1942"/>
        <v>107979</v>
      </c>
      <c r="AX864" s="635">
        <f t="shared" si="1943"/>
        <v>108288</v>
      </c>
      <c r="AY864" s="635">
        <f t="shared" si="1944"/>
        <v>108042</v>
      </c>
      <c r="AZ864" s="635">
        <f t="shared" si="1945"/>
        <v>108008</v>
      </c>
      <c r="BA864" s="635">
        <f t="shared" si="1946"/>
        <v>107599</v>
      </c>
      <c r="BB864" s="635">
        <f t="shared" si="1947"/>
        <v>107599</v>
      </c>
      <c r="BC864" s="635">
        <f>BB864+BC1295+BC1296</f>
        <v>107599</v>
      </c>
      <c r="BD864" s="635">
        <f>BC864+BD1295+BD1296</f>
        <v>107599</v>
      </c>
      <c r="BE864" s="635">
        <f>BD864+BE1295+BE1296</f>
        <v>107599</v>
      </c>
      <c r="BM864"/>
      <c r="BN864"/>
      <c r="BO864"/>
      <c r="BP864"/>
      <c r="BQ864"/>
      <c r="BR864"/>
    </row>
    <row r="865" spans="1:70" s="369" customFormat="1" x14ac:dyDescent="0.2">
      <c r="A865" s="411"/>
      <c r="B865" s="634" t="s">
        <v>35</v>
      </c>
      <c r="C865" s="345"/>
      <c r="D865" s="445">
        <v>93000</v>
      </c>
      <c r="E865" s="445">
        <v>95875</v>
      </c>
      <c r="F865" s="445">
        <v>96335</v>
      </c>
      <c r="G865" s="445">
        <v>97477</v>
      </c>
      <c r="H865" s="445">
        <v>101213</v>
      </c>
      <c r="I865" s="445">
        <v>105364</v>
      </c>
      <c r="J865" s="445">
        <v>108465</v>
      </c>
      <c r="K865" s="445">
        <v>110821</v>
      </c>
      <c r="L865" s="445">
        <v>114745</v>
      </c>
      <c r="M865" s="445">
        <v>115015</v>
      </c>
      <c r="N865" s="445">
        <v>117697</v>
      </c>
      <c r="O865" s="445">
        <v>117852</v>
      </c>
      <c r="P865" s="445">
        <v>122463</v>
      </c>
      <c r="Q865" s="445">
        <v>126954</v>
      </c>
      <c r="R865" s="445">
        <v>130921</v>
      </c>
      <c r="S865" s="445">
        <v>133841</v>
      </c>
      <c r="T865" s="445">
        <v>136998</v>
      </c>
      <c r="U865" s="445">
        <v>140527</v>
      </c>
      <c r="V865" s="445">
        <v>143678</v>
      </c>
      <c r="W865" s="445">
        <v>146477</v>
      </c>
      <c r="X865" s="445">
        <v>149731</v>
      </c>
      <c r="Y865" s="445">
        <v>152178</v>
      </c>
      <c r="Z865" s="445">
        <v>155174</v>
      </c>
      <c r="AA865" s="445">
        <v>138425</v>
      </c>
      <c r="AB865" s="445">
        <v>141863</v>
      </c>
      <c r="AC865" s="635">
        <f t="shared" ref="AC865:AE865" si="1955">AB865+AC14+AC1293+AC1294</f>
        <v>143067.58072771662</v>
      </c>
      <c r="AD865" s="635">
        <f t="shared" si="1955"/>
        <v>141153.70952223256</v>
      </c>
      <c r="AE865" s="635">
        <f t="shared" si="1955"/>
        <v>138881.47861195539</v>
      </c>
      <c r="AF865" s="635">
        <f t="shared" ref="AF865" si="1956">AE865+AF14+AF1293+AF1294</f>
        <v>138032.75252316543</v>
      </c>
      <c r="AG865" s="635">
        <f t="shared" ref="AG865" si="1957">AF865+AG14+AG1293+AG1294</f>
        <v>136588.95880714731</v>
      </c>
      <c r="AH865" s="635">
        <f t="shared" ref="AH865" si="1958">AG865+AH14+AH1293+AH1294</f>
        <v>135477.32685331046</v>
      </c>
      <c r="AI865" s="635">
        <f t="shared" ref="AI865" si="1959">AH865+AI14+AI1293+AI1294</f>
        <v>134107.5978112811</v>
      </c>
      <c r="AJ865" s="635"/>
      <c r="AK865" s="635"/>
      <c r="AL865" s="635"/>
      <c r="AM865" s="635"/>
      <c r="AN865" s="635"/>
      <c r="AO865" s="635"/>
      <c r="AP865" s="635"/>
      <c r="AQ865" s="635"/>
      <c r="AR865" s="70"/>
      <c r="AS865" s="634" t="s">
        <v>35</v>
      </c>
      <c r="AT865" s="345"/>
      <c r="AU865" s="635">
        <f t="shared" si="1940"/>
        <v>97477</v>
      </c>
      <c r="AV865" s="635">
        <f t="shared" si="1941"/>
        <v>110821</v>
      </c>
      <c r="AW865" s="635">
        <f t="shared" si="1942"/>
        <v>117852</v>
      </c>
      <c r="AX865" s="635">
        <f t="shared" si="1943"/>
        <v>133841</v>
      </c>
      <c r="AY865" s="635">
        <f t="shared" si="1944"/>
        <v>146477</v>
      </c>
      <c r="AZ865" s="635">
        <f t="shared" si="1945"/>
        <v>138425</v>
      </c>
      <c r="BA865" s="635">
        <f t="shared" si="1946"/>
        <v>138881.47861195539</v>
      </c>
      <c r="BB865" s="635">
        <f t="shared" si="1947"/>
        <v>134107.5978112811</v>
      </c>
      <c r="BC865" s="635">
        <f>BB865+BC14+BC1293+BC1294</f>
        <v>136380.00783245653</v>
      </c>
      <c r="BD865" s="635">
        <f>BC865+BD14+BD1293+BD1294</f>
        <v>141650.92593710366</v>
      </c>
      <c r="BE865" s="635">
        <f>BD865+BE14+BE1293+BE1294</f>
        <v>147140.58875385395</v>
      </c>
      <c r="BM865"/>
      <c r="BN865"/>
      <c r="BO865"/>
      <c r="BP865"/>
      <c r="BQ865"/>
      <c r="BR865"/>
    </row>
    <row r="866" spans="1:70" s="369" customFormat="1" x14ac:dyDescent="0.2">
      <c r="A866" s="411"/>
      <c r="B866" s="634" t="s">
        <v>19</v>
      </c>
      <c r="C866" s="550"/>
      <c r="D866" s="445">
        <v>-883</v>
      </c>
      <c r="E866" s="445">
        <v>-859</v>
      </c>
      <c r="F866" s="445">
        <v>-851</v>
      </c>
      <c r="G866" s="445">
        <v>-847</v>
      </c>
      <c r="H866" s="445">
        <v>-991</v>
      </c>
      <c r="I866" s="445">
        <v>-1075</v>
      </c>
      <c r="J866" s="445">
        <v>-1472</v>
      </c>
      <c r="K866" s="445">
        <v>-1658</v>
      </c>
      <c r="L866" s="445">
        <v>-2237</v>
      </c>
      <c r="M866" s="445">
        <v>-2520</v>
      </c>
      <c r="N866" s="445">
        <v>-2631</v>
      </c>
      <c r="O866" s="445">
        <v>-2929</v>
      </c>
      <c r="P866" s="445">
        <v>-3275</v>
      </c>
      <c r="Q866" s="445">
        <v>-4628</v>
      </c>
      <c r="R866" s="445">
        <v>-6326</v>
      </c>
      <c r="S866" s="445">
        <v>-7677</v>
      </c>
      <c r="T866" s="445">
        <v>-8224</v>
      </c>
      <c r="U866" s="445">
        <v>-9538</v>
      </c>
      <c r="V866" s="445">
        <v>-12069</v>
      </c>
      <c r="W866" s="445">
        <v>-16302</v>
      </c>
      <c r="X866" s="445">
        <v>-17579</v>
      </c>
      <c r="Y866" s="445">
        <v>-19342</v>
      </c>
      <c r="Z866" s="445">
        <v>-24829</v>
      </c>
      <c r="AA866" s="445">
        <v>-30309</v>
      </c>
      <c r="AB866" s="445">
        <v>-32115</v>
      </c>
      <c r="AC866" s="652">
        <f t="shared" ref="AC866:AE866" si="1960">AC868-AC867-AC865-AC864-AC863</f>
        <v>-32115</v>
      </c>
      <c r="AD866" s="652">
        <f t="shared" si="1960"/>
        <v>-32115</v>
      </c>
      <c r="AE866" s="652">
        <f t="shared" si="1960"/>
        <v>-32115</v>
      </c>
      <c r="AF866" s="652">
        <f t="shared" ref="AF866:AI866" si="1961">AF868-AF867-AF865-AF864-AF863</f>
        <v>-32115</v>
      </c>
      <c r="AG866" s="652">
        <f t="shared" si="1961"/>
        <v>-32115</v>
      </c>
      <c r="AH866" s="652">
        <f t="shared" si="1961"/>
        <v>-32115</v>
      </c>
      <c r="AI866" s="652">
        <f t="shared" si="1961"/>
        <v>-32115</v>
      </c>
      <c r="AJ866" s="652"/>
      <c r="AK866" s="652"/>
      <c r="AL866" s="652"/>
      <c r="AM866" s="652"/>
      <c r="AN866" s="652"/>
      <c r="AO866" s="652"/>
      <c r="AP866" s="652"/>
      <c r="AQ866" s="652"/>
      <c r="AR866" s="70"/>
      <c r="AS866" s="634" t="s">
        <v>19</v>
      </c>
      <c r="AT866" s="550"/>
      <c r="AU866" s="635">
        <f t="shared" si="1940"/>
        <v>-847</v>
      </c>
      <c r="AV866" s="635">
        <f t="shared" si="1941"/>
        <v>-1658</v>
      </c>
      <c r="AW866" s="635">
        <f t="shared" si="1942"/>
        <v>-2929</v>
      </c>
      <c r="AX866" s="635">
        <f t="shared" si="1943"/>
        <v>-7677</v>
      </c>
      <c r="AY866" s="635">
        <f t="shared" si="1944"/>
        <v>-16302</v>
      </c>
      <c r="AZ866" s="635">
        <f t="shared" si="1945"/>
        <v>-30309</v>
      </c>
      <c r="BA866" s="635">
        <f t="shared" si="1946"/>
        <v>-32115</v>
      </c>
      <c r="BB866" s="635">
        <f t="shared" si="1947"/>
        <v>-32115</v>
      </c>
      <c r="BC866" s="652">
        <f t="shared" ref="BC866:BD866" si="1962">BC868-BC867-BC865-BC864-BC863</f>
        <v>-32115</v>
      </c>
      <c r="BD866" s="652">
        <f t="shared" si="1962"/>
        <v>-32115</v>
      </c>
      <c r="BE866" s="652">
        <f t="shared" ref="BE866" si="1963">BE868-BE867-BE865-BE864-BE863</f>
        <v>-32115</v>
      </c>
      <c r="BM866"/>
      <c r="BN866"/>
      <c r="BO866"/>
      <c r="BP866"/>
      <c r="BQ866"/>
      <c r="BR866"/>
    </row>
    <row r="867" spans="1:70" s="369" customFormat="1" x14ac:dyDescent="0.2">
      <c r="A867" s="411"/>
      <c r="B867" s="634" t="s">
        <v>364</v>
      </c>
      <c r="C867" s="550"/>
      <c r="D867" s="445">
        <v>-16735</v>
      </c>
      <c r="E867" s="445">
        <v>-17749</v>
      </c>
      <c r="F867" s="445">
        <v>-15566</v>
      </c>
      <c r="G867" s="445">
        <v>-16896</v>
      </c>
      <c r="H867" s="445">
        <v>-17059</v>
      </c>
      <c r="I867" s="445">
        <v>-19924</v>
      </c>
      <c r="J867" s="445">
        <v>-18798</v>
      </c>
      <c r="K867" s="445">
        <v>-19133</v>
      </c>
      <c r="L867" s="445">
        <v>-19146</v>
      </c>
      <c r="M867" s="445">
        <v>-18147</v>
      </c>
      <c r="N867" s="445">
        <v>-19976</v>
      </c>
      <c r="O867" s="445">
        <v>-23216</v>
      </c>
      <c r="P867" s="445">
        <v>-24691</v>
      </c>
      <c r="Q867" s="445">
        <v>-25104</v>
      </c>
      <c r="R867" s="445">
        <v>-27257</v>
      </c>
      <c r="S867" s="445">
        <v>-29344</v>
      </c>
      <c r="T867" s="445">
        <v>-26626</v>
      </c>
      <c r="U867" s="445">
        <v>-26115</v>
      </c>
      <c r="V867" s="445">
        <v>-27193</v>
      </c>
      <c r="W867" s="445">
        <v>-32381</v>
      </c>
      <c r="X867" s="445">
        <v>-30917</v>
      </c>
      <c r="Y867" s="445">
        <v>-29899</v>
      </c>
      <c r="Z867" s="445">
        <v>-29891</v>
      </c>
      <c r="AA867" s="445">
        <v>-34668</v>
      </c>
      <c r="AB867" s="445">
        <v>-34619</v>
      </c>
      <c r="AC867" s="635">
        <f t="shared" ref="AC867:AE867" si="1964">AB867</f>
        <v>-34619</v>
      </c>
      <c r="AD867" s="635">
        <f t="shared" si="1964"/>
        <v>-34619</v>
      </c>
      <c r="AE867" s="635">
        <f t="shared" si="1964"/>
        <v>-34619</v>
      </c>
      <c r="AF867" s="635">
        <f t="shared" ref="AF867" si="1965">AE867</f>
        <v>-34619</v>
      </c>
      <c r="AG867" s="635">
        <f t="shared" ref="AG867" si="1966">AF867</f>
        <v>-34619</v>
      </c>
      <c r="AH867" s="635">
        <f t="shared" ref="AH867" si="1967">AG867</f>
        <v>-34619</v>
      </c>
      <c r="AI867" s="635">
        <f t="shared" ref="AI867" si="1968">AH867</f>
        <v>-34619</v>
      </c>
      <c r="AJ867" s="635"/>
      <c r="AK867" s="635"/>
      <c r="AL867" s="635"/>
      <c r="AM867" s="635"/>
      <c r="AN867" s="635"/>
      <c r="AO867" s="635"/>
      <c r="AP867" s="635"/>
      <c r="AQ867" s="635"/>
      <c r="AR867" s="70"/>
      <c r="AS867" s="634" t="s">
        <v>364</v>
      </c>
      <c r="AT867" s="550"/>
      <c r="AU867" s="635">
        <f t="shared" si="1940"/>
        <v>-16896</v>
      </c>
      <c r="AV867" s="635">
        <f t="shared" si="1941"/>
        <v>-19133</v>
      </c>
      <c r="AW867" s="635">
        <f t="shared" si="1942"/>
        <v>-23216</v>
      </c>
      <c r="AX867" s="635">
        <f t="shared" si="1943"/>
        <v>-29344</v>
      </c>
      <c r="AY867" s="635">
        <f t="shared" si="1944"/>
        <v>-32381</v>
      </c>
      <c r="AZ867" s="635">
        <f t="shared" si="1945"/>
        <v>-34668</v>
      </c>
      <c r="BA867" s="635">
        <f t="shared" si="1946"/>
        <v>-34619</v>
      </c>
      <c r="BB867" s="635">
        <f t="shared" si="1947"/>
        <v>-34619</v>
      </c>
      <c r="BC867" s="635">
        <f>BB867</f>
        <v>-34619</v>
      </c>
      <c r="BD867" s="635">
        <f>BC867</f>
        <v>-34619</v>
      </c>
      <c r="BE867" s="635">
        <f>BD867</f>
        <v>-34619</v>
      </c>
      <c r="BM867"/>
      <c r="BN867"/>
      <c r="BO867"/>
      <c r="BP867"/>
      <c r="BQ867"/>
      <c r="BR867"/>
    </row>
    <row r="868" spans="1:70" s="369" customFormat="1" x14ac:dyDescent="0.2">
      <c r="A868" s="411"/>
      <c r="B868" s="321"/>
      <c r="C868" s="642" t="s">
        <v>111</v>
      </c>
      <c r="D868" s="653">
        <f t="shared" ref="D868:X868" si="1969">SUM(D863:D867)</f>
        <v>181198</v>
      </c>
      <c r="E868" s="653">
        <f t="shared" si="1969"/>
        <v>183258</v>
      </c>
      <c r="F868" s="653">
        <f t="shared" si="1969"/>
        <v>186150</v>
      </c>
      <c r="G868" s="653">
        <f t="shared" si="1969"/>
        <v>186155</v>
      </c>
      <c r="H868" s="653">
        <f t="shared" si="1969"/>
        <v>189855</v>
      </c>
      <c r="I868" s="653">
        <f t="shared" si="1969"/>
        <v>191272</v>
      </c>
      <c r="J868" s="653">
        <f t="shared" si="1969"/>
        <v>195256</v>
      </c>
      <c r="K868" s="653">
        <f t="shared" si="1969"/>
        <v>197254</v>
      </c>
      <c r="L868" s="653">
        <f t="shared" si="1969"/>
        <v>200898</v>
      </c>
      <c r="M868" s="653">
        <f t="shared" si="1969"/>
        <v>202048</v>
      </c>
      <c r="N868" s="653">
        <f t="shared" si="1969"/>
        <v>202960</v>
      </c>
      <c r="O868" s="653">
        <f t="shared" si="1969"/>
        <v>199717</v>
      </c>
      <c r="P868" s="653">
        <f t="shared" si="1969"/>
        <v>202652</v>
      </c>
      <c r="Q868" s="653">
        <f t="shared" si="1969"/>
        <v>205472</v>
      </c>
      <c r="R868" s="653">
        <f t="shared" si="1969"/>
        <v>205630</v>
      </c>
      <c r="S868" s="653">
        <f t="shared" si="1969"/>
        <v>205139</v>
      </c>
      <c r="T868" s="653">
        <f t="shared" si="1969"/>
        <v>209769</v>
      </c>
      <c r="U868" s="653">
        <f t="shared" si="1969"/>
        <v>212635</v>
      </c>
      <c r="V868" s="653">
        <f t="shared" si="1969"/>
        <v>212322</v>
      </c>
      <c r="W868" s="653">
        <f t="shared" si="1969"/>
        <v>205867</v>
      </c>
      <c r="X868" s="653">
        <f t="shared" si="1969"/>
        <v>208879</v>
      </c>
      <c r="Y868" s="653">
        <f t="shared" ref="Y868:Z868" si="1970">SUM(Y863:Y867)</f>
        <v>210766</v>
      </c>
      <c r="Z868" s="653">
        <f t="shared" si="1970"/>
        <v>208381</v>
      </c>
      <c r="AA868" s="653">
        <f t="shared" ref="AA868:AB868" si="1971">SUM(AA863:AA867)</f>
        <v>181487</v>
      </c>
      <c r="AB868" s="653">
        <f t="shared" si="1971"/>
        <v>182759</v>
      </c>
      <c r="AC868" s="653">
        <f t="shared" ref="AC868:AE868" si="1972">AC1297</f>
        <v>183963.58072771662</v>
      </c>
      <c r="AD868" s="653">
        <f t="shared" si="1972"/>
        <v>182049.70952223256</v>
      </c>
      <c r="AE868" s="653">
        <f t="shared" si="1972"/>
        <v>179777.47861195539</v>
      </c>
      <c r="AF868" s="653">
        <f t="shared" ref="AF868:AI868" si="1973">AF1297</f>
        <v>178928.75252316543</v>
      </c>
      <c r="AG868" s="653">
        <f t="shared" si="1973"/>
        <v>177484.95880714731</v>
      </c>
      <c r="AH868" s="653">
        <f t="shared" si="1973"/>
        <v>176373.32685331046</v>
      </c>
      <c r="AI868" s="653">
        <f t="shared" si="1973"/>
        <v>175003.5978112811</v>
      </c>
      <c r="AJ868" s="539"/>
      <c r="AK868" s="539"/>
      <c r="AL868" s="539"/>
      <c r="AM868" s="539"/>
      <c r="AN868" s="539"/>
      <c r="AO868" s="539"/>
      <c r="AP868" s="539"/>
      <c r="AQ868" s="539"/>
      <c r="AR868" s="70"/>
      <c r="AS868" s="321"/>
      <c r="AT868" s="642" t="s">
        <v>111</v>
      </c>
      <c r="AU868" s="653">
        <f t="shared" ref="AU868:BA868" si="1974">SUM(AU863:AU867)</f>
        <v>186155</v>
      </c>
      <c r="AV868" s="653">
        <f t="shared" si="1974"/>
        <v>197254</v>
      </c>
      <c r="AW868" s="653">
        <f t="shared" si="1974"/>
        <v>199717</v>
      </c>
      <c r="AX868" s="653">
        <f t="shared" si="1974"/>
        <v>205139</v>
      </c>
      <c r="AY868" s="653">
        <f t="shared" si="1974"/>
        <v>205867</v>
      </c>
      <c r="AZ868" s="653">
        <f t="shared" si="1974"/>
        <v>181487</v>
      </c>
      <c r="BA868" s="653">
        <f t="shared" si="1974"/>
        <v>179777.47861195539</v>
      </c>
      <c r="BB868" s="653">
        <f t="shared" ref="BB868" si="1975">SUM(BB863:BB867)</f>
        <v>175003.5978112811</v>
      </c>
      <c r="BC868" s="653">
        <f>BC1297</f>
        <v>177276.00783245653</v>
      </c>
      <c r="BD868" s="653">
        <f>BD1297</f>
        <v>182546.92593710366</v>
      </c>
      <c r="BE868" s="653">
        <f>BE1297</f>
        <v>188036.58875385395</v>
      </c>
      <c r="BM868"/>
      <c r="BN868"/>
      <c r="BO868"/>
      <c r="BP868"/>
      <c r="BQ868"/>
      <c r="BR868"/>
    </row>
    <row r="869" spans="1:70" s="369" customFormat="1" x14ac:dyDescent="0.2">
      <c r="A869" s="411"/>
      <c r="B869" s="321"/>
      <c r="C869" s="550"/>
      <c r="D869" s="600"/>
      <c r="E869" s="600"/>
      <c r="F869" s="600"/>
      <c r="G869" s="600"/>
      <c r="H869" s="600"/>
      <c r="I869" s="600"/>
      <c r="J869" s="600"/>
      <c r="K869" s="600"/>
      <c r="L869" s="600"/>
      <c r="M869" s="600"/>
      <c r="N869" s="600"/>
      <c r="O869" s="600"/>
      <c r="P869" s="600"/>
      <c r="Q869" s="600"/>
      <c r="R869" s="600"/>
      <c r="S869" s="600"/>
      <c r="T869" s="600"/>
      <c r="U869" s="600"/>
      <c r="V869" s="600"/>
      <c r="W869" s="600"/>
      <c r="X869" s="600"/>
      <c r="Y869" s="600"/>
      <c r="Z869" s="600"/>
      <c r="AA869" s="600"/>
      <c r="AB869" s="600"/>
      <c r="AC869" s="465"/>
      <c r="AD869" s="465"/>
      <c r="AE869" s="465"/>
      <c r="AF869" s="465"/>
      <c r="AG869" s="465"/>
      <c r="AH869" s="465"/>
      <c r="AI869" s="633"/>
      <c r="AJ869" s="633"/>
      <c r="AK869" s="633"/>
      <c r="AL869" s="633"/>
      <c r="AM869" s="633"/>
      <c r="AN869" s="633"/>
      <c r="AO869" s="633"/>
      <c r="AP869" s="633"/>
      <c r="AQ869" s="633"/>
      <c r="AR869" s="70"/>
      <c r="AS869" s="321"/>
      <c r="AT869" s="550"/>
      <c r="AU869" s="633"/>
      <c r="AV869" s="633"/>
      <c r="AW869" s="633"/>
      <c r="AX869" s="633"/>
      <c r="AY869" s="633"/>
      <c r="AZ869" s="633"/>
      <c r="BC869" s="633"/>
      <c r="BD869" s="633"/>
      <c r="BE869" s="633"/>
      <c r="BM869"/>
      <c r="BN869"/>
      <c r="BO869"/>
      <c r="BP869"/>
      <c r="BQ869"/>
      <c r="BR869"/>
    </row>
    <row r="870" spans="1:70" s="369" customFormat="1" x14ac:dyDescent="0.2">
      <c r="A870" s="411"/>
      <c r="B870" s="642" t="s">
        <v>67</v>
      </c>
      <c r="C870" s="319"/>
      <c r="D870" s="654">
        <f t="shared" ref="D870:AE870" si="1976">D868+D862</f>
        <v>181510</v>
      </c>
      <c r="E870" s="654">
        <f t="shared" si="1976"/>
        <v>183570</v>
      </c>
      <c r="F870" s="654">
        <f t="shared" si="1976"/>
        <v>186462</v>
      </c>
      <c r="G870" s="654">
        <f t="shared" si="1976"/>
        <v>188717</v>
      </c>
      <c r="H870" s="654">
        <f t="shared" si="1976"/>
        <v>192992</v>
      </c>
      <c r="I870" s="654">
        <f t="shared" si="1976"/>
        <v>195565</v>
      </c>
      <c r="J870" s="654">
        <f t="shared" si="1976"/>
        <v>200499</v>
      </c>
      <c r="K870" s="654">
        <f t="shared" si="1976"/>
        <v>203992</v>
      </c>
      <c r="L870" s="654">
        <f t="shared" si="1976"/>
        <v>208116</v>
      </c>
      <c r="M870" s="654">
        <f t="shared" si="1976"/>
        <v>211016</v>
      </c>
      <c r="N870" s="654">
        <f t="shared" si="1976"/>
        <v>211928</v>
      </c>
      <c r="O870" s="654">
        <f t="shared" si="1976"/>
        <v>210185</v>
      </c>
      <c r="P870" s="654">
        <f t="shared" si="1976"/>
        <v>214620</v>
      </c>
      <c r="Q870" s="654">
        <f t="shared" si="1976"/>
        <v>219440</v>
      </c>
      <c r="R870" s="654">
        <f t="shared" si="1976"/>
        <v>220848</v>
      </c>
      <c r="S870" s="654">
        <f t="shared" si="1976"/>
        <v>221857</v>
      </c>
      <c r="T870" s="654">
        <f t="shared" si="1976"/>
        <v>227522</v>
      </c>
      <c r="U870" s="654">
        <f t="shared" si="1976"/>
        <v>231888</v>
      </c>
      <c r="V870" s="654">
        <f t="shared" si="1976"/>
        <v>231575</v>
      </c>
      <c r="W870" s="654">
        <f t="shared" si="1976"/>
        <v>225120</v>
      </c>
      <c r="X870" s="654">
        <f t="shared" si="1976"/>
        <v>228132</v>
      </c>
      <c r="Y870" s="654">
        <f t="shared" ref="Y870:Z870" si="1977">Y868+Y862</f>
        <v>230019</v>
      </c>
      <c r="Z870" s="654">
        <f t="shared" si="1977"/>
        <v>227634</v>
      </c>
      <c r="AA870" s="654">
        <f t="shared" ref="AA870" si="1978">AA868+AA862</f>
        <v>200740</v>
      </c>
      <c r="AB870" s="654">
        <f t="shared" ref="AB870" si="1979">AB868+AB862</f>
        <v>201915</v>
      </c>
      <c r="AC870" s="654">
        <f t="shared" si="1976"/>
        <v>203119.58072771662</v>
      </c>
      <c r="AD870" s="654">
        <f t="shared" si="1976"/>
        <v>201205.70952223256</v>
      </c>
      <c r="AE870" s="654">
        <f t="shared" si="1976"/>
        <v>198933.47861195539</v>
      </c>
      <c r="AF870" s="654">
        <f t="shared" ref="AF870:AI870" si="1980">AF868+AF862</f>
        <v>200084.75252316543</v>
      </c>
      <c r="AG870" s="654">
        <f t="shared" si="1980"/>
        <v>198640.95880714731</v>
      </c>
      <c r="AH870" s="654">
        <f t="shared" si="1980"/>
        <v>197529.32685331046</v>
      </c>
      <c r="AI870" s="654">
        <f t="shared" si="1980"/>
        <v>196159.5978112811</v>
      </c>
      <c r="AJ870" s="539"/>
      <c r="AK870" s="539"/>
      <c r="AL870" s="539"/>
      <c r="AM870" s="539"/>
      <c r="AN870" s="539"/>
      <c r="AO870" s="539"/>
      <c r="AP870" s="539"/>
      <c r="AQ870" s="539"/>
      <c r="AR870" s="70"/>
      <c r="AS870" s="642" t="s">
        <v>67</v>
      </c>
      <c r="AT870" s="319"/>
      <c r="AU870" s="654">
        <f t="shared" ref="AU870:BD870" si="1981">AU868+AU862</f>
        <v>188717</v>
      </c>
      <c r="AV870" s="654">
        <f t="shared" si="1981"/>
        <v>203992</v>
      </c>
      <c r="AW870" s="654">
        <f t="shared" si="1981"/>
        <v>210185</v>
      </c>
      <c r="AX870" s="654">
        <f t="shared" si="1981"/>
        <v>221857</v>
      </c>
      <c r="AY870" s="654">
        <f t="shared" si="1981"/>
        <v>225120</v>
      </c>
      <c r="AZ870" s="654">
        <f t="shared" si="1981"/>
        <v>200740</v>
      </c>
      <c r="BA870" s="654">
        <f t="shared" si="1981"/>
        <v>198933.47861195539</v>
      </c>
      <c r="BB870" s="654">
        <f t="shared" ref="BB870" si="1982">BB868+BB862</f>
        <v>196159.5978112811</v>
      </c>
      <c r="BC870" s="654">
        <f t="shared" si="1981"/>
        <v>198432.00783245653</v>
      </c>
      <c r="BD870" s="654">
        <f t="shared" si="1981"/>
        <v>203702.92593710366</v>
      </c>
      <c r="BE870" s="654">
        <f t="shared" ref="BE870" si="1983">BE868+BE862</f>
        <v>209192.58875385395</v>
      </c>
      <c r="BM870"/>
      <c r="BN870"/>
      <c r="BO870"/>
      <c r="BP870"/>
      <c r="BQ870"/>
      <c r="BR870"/>
    </row>
    <row r="871" spans="1:70" x14ac:dyDescent="0.2">
      <c r="B871" s="15"/>
      <c r="C871" s="93" t="s">
        <v>97</v>
      </c>
      <c r="D871" s="94">
        <f t="shared" ref="D871:X871" si="1984">D872-D870</f>
        <v>1903</v>
      </c>
      <c r="E871" s="94">
        <f t="shared" si="1984"/>
        <v>1928</v>
      </c>
      <c r="F871" s="94">
        <f t="shared" si="1984"/>
        <v>1961</v>
      </c>
      <c r="G871" s="94">
        <f t="shared" si="1984"/>
        <v>1948</v>
      </c>
      <c r="H871" s="94">
        <f t="shared" si="1984"/>
        <v>1980</v>
      </c>
      <c r="I871" s="94">
        <f t="shared" si="1984"/>
        <v>1900</v>
      </c>
      <c r="J871" s="94">
        <f t="shared" si="1984"/>
        <v>1893</v>
      </c>
      <c r="K871" s="94">
        <f t="shared" si="1984"/>
        <v>1794</v>
      </c>
      <c r="L871" s="94">
        <f t="shared" si="1984"/>
        <v>1780</v>
      </c>
      <c r="M871" s="94">
        <f t="shared" si="1984"/>
        <v>1737</v>
      </c>
      <c r="N871" s="94">
        <f t="shared" si="1984"/>
        <v>1619</v>
      </c>
      <c r="O871" s="94">
        <f t="shared" si="1984"/>
        <v>1511</v>
      </c>
      <c r="P871" s="94">
        <f t="shared" si="1984"/>
        <v>1403</v>
      </c>
      <c r="Q871" s="94">
        <f t="shared" si="1984"/>
        <v>1385</v>
      </c>
      <c r="R871" s="94">
        <f t="shared" si="1984"/>
        <v>1289</v>
      </c>
      <c r="S871" s="94">
        <f t="shared" si="1984"/>
        <v>1235</v>
      </c>
      <c r="T871" s="94">
        <f t="shared" si="1984"/>
        <v>1239</v>
      </c>
      <c r="U871" s="94">
        <f t="shared" si="1984"/>
        <v>1133</v>
      </c>
      <c r="V871" s="94">
        <f t="shared" si="1984"/>
        <v>1115</v>
      </c>
      <c r="W871" s="226">
        <f t="shared" si="1984"/>
        <v>1023</v>
      </c>
      <c r="X871" s="226">
        <f t="shared" si="1984"/>
        <v>865</v>
      </c>
      <c r="Y871" s="226">
        <f t="shared" ref="Y871:Z871" si="1985">Y872-Y870</f>
        <v>1088</v>
      </c>
      <c r="Z871" s="226">
        <f t="shared" si="1985"/>
        <v>988</v>
      </c>
      <c r="AA871" s="226">
        <f t="shared" ref="AA871" si="1986">AA872-AA870</f>
        <v>1526</v>
      </c>
      <c r="AB871" s="226">
        <f t="shared" ref="AB871" si="1987">AB872-AB870</f>
        <v>951</v>
      </c>
      <c r="AC871" s="655">
        <f t="shared" ref="AC871:AE871" si="1988">AB871</f>
        <v>951</v>
      </c>
      <c r="AD871" s="655">
        <f t="shared" si="1988"/>
        <v>951</v>
      </c>
      <c r="AE871" s="655">
        <f t="shared" si="1988"/>
        <v>951</v>
      </c>
      <c r="AF871" s="655">
        <f t="shared" ref="AF871" si="1989">AE871</f>
        <v>951</v>
      </c>
      <c r="AG871" s="655">
        <f t="shared" ref="AG871" si="1990">AF871</f>
        <v>951</v>
      </c>
      <c r="AH871" s="655">
        <f t="shared" ref="AH871" si="1991">AG871</f>
        <v>951</v>
      </c>
      <c r="AI871" s="655">
        <f t="shared" ref="AI871" si="1992">AH871</f>
        <v>951</v>
      </c>
      <c r="AJ871" s="1765"/>
      <c r="AK871" s="1765"/>
      <c r="AL871" s="1765"/>
      <c r="AM871" s="1765"/>
      <c r="AN871" s="1765"/>
      <c r="AO871" s="1765"/>
      <c r="AP871" s="1765"/>
      <c r="AQ871" s="1765"/>
      <c r="AS871" s="15"/>
      <c r="AT871" s="93" t="s">
        <v>97</v>
      </c>
      <c r="AU871" s="635">
        <f>G871</f>
        <v>1948</v>
      </c>
      <c r="AV871" s="635">
        <f>K871</f>
        <v>1794</v>
      </c>
      <c r="AW871" s="635">
        <f>O871</f>
        <v>1511</v>
      </c>
      <c r="AX871" s="635">
        <f>S871</f>
        <v>1235</v>
      </c>
      <c r="AY871" s="635">
        <f>W871</f>
        <v>1023</v>
      </c>
      <c r="AZ871" s="635">
        <f>AA871</f>
        <v>1526</v>
      </c>
      <c r="BA871" s="635">
        <f>AE871</f>
        <v>951</v>
      </c>
      <c r="BB871" s="635">
        <f>AI871</f>
        <v>951</v>
      </c>
      <c r="BC871" s="655">
        <f>BB871</f>
        <v>951</v>
      </c>
      <c r="BD871" s="655">
        <f>BC871</f>
        <v>951</v>
      </c>
      <c r="BE871" s="655">
        <f>BD871</f>
        <v>951</v>
      </c>
    </row>
    <row r="872" spans="1:70" s="369" customFormat="1" x14ac:dyDescent="0.2">
      <c r="A872" s="411"/>
      <c r="B872" s="642" t="s">
        <v>14</v>
      </c>
      <c r="C872" s="319"/>
      <c r="D872" s="653">
        <f t="shared" ref="D872:X872" si="1993">D873-D859</f>
        <v>183413</v>
      </c>
      <c r="E872" s="653">
        <f t="shared" si="1993"/>
        <v>185498</v>
      </c>
      <c r="F872" s="653">
        <f t="shared" si="1993"/>
        <v>188423</v>
      </c>
      <c r="G872" s="653">
        <f t="shared" si="1993"/>
        <v>190665</v>
      </c>
      <c r="H872" s="653">
        <f t="shared" si="1993"/>
        <v>194972</v>
      </c>
      <c r="I872" s="653">
        <f t="shared" si="1993"/>
        <v>197465</v>
      </c>
      <c r="J872" s="653">
        <f t="shared" si="1993"/>
        <v>202392</v>
      </c>
      <c r="K872" s="653">
        <f t="shared" si="1993"/>
        <v>205786</v>
      </c>
      <c r="L872" s="653">
        <f t="shared" si="1993"/>
        <v>209896</v>
      </c>
      <c r="M872" s="653">
        <f t="shared" si="1993"/>
        <v>212753</v>
      </c>
      <c r="N872" s="653">
        <f t="shared" si="1993"/>
        <v>213547</v>
      </c>
      <c r="O872" s="653">
        <f t="shared" si="1993"/>
        <v>211696</v>
      </c>
      <c r="P872" s="653">
        <f t="shared" si="1993"/>
        <v>216023</v>
      </c>
      <c r="Q872" s="653">
        <f t="shared" si="1993"/>
        <v>220825</v>
      </c>
      <c r="R872" s="653">
        <f t="shared" si="1993"/>
        <v>222137</v>
      </c>
      <c r="S872" s="653">
        <f t="shared" si="1993"/>
        <v>223092</v>
      </c>
      <c r="T872" s="653">
        <f t="shared" si="1993"/>
        <v>228761</v>
      </c>
      <c r="U872" s="653">
        <f t="shared" si="1993"/>
        <v>233021</v>
      </c>
      <c r="V872" s="653">
        <f t="shared" si="1993"/>
        <v>232690</v>
      </c>
      <c r="W872" s="654">
        <f t="shared" si="1993"/>
        <v>226143</v>
      </c>
      <c r="X872" s="654">
        <f t="shared" si="1993"/>
        <v>228997</v>
      </c>
      <c r="Y872" s="654">
        <f t="shared" ref="Y872:Z872" si="1994">Y873-Y859</f>
        <v>231107</v>
      </c>
      <c r="Z872" s="654">
        <f t="shared" si="1994"/>
        <v>228622</v>
      </c>
      <c r="AA872" s="654">
        <f t="shared" ref="AA872" si="1995">AA873-AA859</f>
        <v>202266</v>
      </c>
      <c r="AB872" s="654">
        <f t="shared" ref="AB872" si="1996">AB873-AB859</f>
        <v>202866</v>
      </c>
      <c r="AC872" s="654">
        <f t="shared" ref="AC872:AE872" si="1997">AC870+AC871</f>
        <v>204070.58072771662</v>
      </c>
      <c r="AD872" s="654">
        <f t="shared" si="1997"/>
        <v>202156.70952223256</v>
      </c>
      <c r="AE872" s="654">
        <f t="shared" si="1997"/>
        <v>199884.47861195539</v>
      </c>
      <c r="AF872" s="654">
        <f t="shared" ref="AF872:AI872" si="1998">AF870+AF871</f>
        <v>201035.75252316543</v>
      </c>
      <c r="AG872" s="654">
        <f t="shared" si="1998"/>
        <v>199591.95880714731</v>
      </c>
      <c r="AH872" s="654">
        <f t="shared" si="1998"/>
        <v>198480.32685331046</v>
      </c>
      <c r="AI872" s="654">
        <f t="shared" si="1998"/>
        <v>197110.5978112811</v>
      </c>
      <c r="AJ872" s="539"/>
      <c r="AK872" s="539"/>
      <c r="AL872" s="539"/>
      <c r="AM872" s="539"/>
      <c r="AN872" s="539"/>
      <c r="AO872" s="539"/>
      <c r="AP872" s="539"/>
      <c r="AQ872" s="539"/>
      <c r="AR872" s="70"/>
      <c r="AS872" s="642" t="s">
        <v>14</v>
      </c>
      <c r="AT872" s="319"/>
      <c r="AU872" s="653">
        <f t="shared" ref="AU872:BA872" si="1999">AU873-AU859</f>
        <v>190665</v>
      </c>
      <c r="AV872" s="653">
        <f t="shared" si="1999"/>
        <v>205786</v>
      </c>
      <c r="AW872" s="653">
        <f t="shared" si="1999"/>
        <v>211696</v>
      </c>
      <c r="AX872" s="653">
        <f t="shared" si="1999"/>
        <v>223092</v>
      </c>
      <c r="AY872" s="653">
        <f t="shared" si="1999"/>
        <v>226143</v>
      </c>
      <c r="AZ872" s="653">
        <f t="shared" si="1999"/>
        <v>202266</v>
      </c>
      <c r="BA872" s="653">
        <f t="shared" si="1999"/>
        <v>199884.47861195542</v>
      </c>
      <c r="BB872" s="653">
        <f t="shared" ref="BB872" si="2000">BB873-BB859</f>
        <v>197110.59781128122</v>
      </c>
      <c r="BC872" s="654">
        <f>BC870+BC871</f>
        <v>199383.00783245653</v>
      </c>
      <c r="BD872" s="654">
        <f>BD870+BD871</f>
        <v>204653.92593710366</v>
      </c>
      <c r="BE872" s="654">
        <f>BE870+BE871</f>
        <v>210143.58875385395</v>
      </c>
      <c r="BM872"/>
      <c r="BN872"/>
      <c r="BO872"/>
      <c r="BP872"/>
      <c r="BQ872"/>
      <c r="BR872"/>
    </row>
    <row r="873" spans="1:70" s="369" customFormat="1" ht="13.5" thickBot="1" x14ac:dyDescent="0.25">
      <c r="A873" s="411"/>
      <c r="B873" s="642" t="s">
        <v>13</v>
      </c>
      <c r="C873" s="656"/>
      <c r="D873" s="657">
        <f t="shared" ref="D873:AE873" si="2001">D846</f>
        <v>1944113</v>
      </c>
      <c r="E873" s="657">
        <f t="shared" si="2001"/>
        <v>1916110</v>
      </c>
      <c r="F873" s="657">
        <f t="shared" si="2001"/>
        <v>1931031</v>
      </c>
      <c r="G873" s="657">
        <f t="shared" si="2001"/>
        <v>1864328</v>
      </c>
      <c r="H873" s="657">
        <f t="shared" si="2001"/>
        <v>1881367</v>
      </c>
      <c r="I873" s="657">
        <f t="shared" si="2001"/>
        <v>1883627</v>
      </c>
      <c r="J873" s="657">
        <f t="shared" si="2001"/>
        <v>1899164</v>
      </c>
      <c r="K873" s="657">
        <f t="shared" si="2001"/>
        <v>1880035</v>
      </c>
      <c r="L873" s="657">
        <f t="shared" si="2001"/>
        <v>1894390</v>
      </c>
      <c r="M873" s="657">
        <f t="shared" si="2001"/>
        <v>1909369</v>
      </c>
      <c r="N873" s="657">
        <f t="shared" si="2001"/>
        <v>1882505</v>
      </c>
      <c r="O873" s="657">
        <f t="shared" si="2001"/>
        <v>1842181</v>
      </c>
      <c r="P873" s="657">
        <f t="shared" si="2001"/>
        <v>1831801</v>
      </c>
      <c r="Q873" s="657">
        <f t="shared" si="2001"/>
        <v>1829370</v>
      </c>
      <c r="R873" s="657">
        <f t="shared" si="2001"/>
        <v>1808356</v>
      </c>
      <c r="S873" s="657">
        <f t="shared" si="2001"/>
        <v>1731210</v>
      </c>
      <c r="T873" s="657">
        <f t="shared" si="2001"/>
        <v>1800967</v>
      </c>
      <c r="U873" s="657">
        <f t="shared" si="2001"/>
        <v>1818771</v>
      </c>
      <c r="V873" s="657">
        <f t="shared" si="2001"/>
        <v>1818117</v>
      </c>
      <c r="W873" s="657">
        <f t="shared" si="2001"/>
        <v>1792077</v>
      </c>
      <c r="X873" s="657">
        <f t="shared" si="2001"/>
        <v>1821479</v>
      </c>
      <c r="Y873" s="657">
        <f t="shared" ref="Y873:Z873" si="2002">Y846</f>
        <v>1864063</v>
      </c>
      <c r="Z873" s="657">
        <f t="shared" si="2002"/>
        <v>1889133</v>
      </c>
      <c r="AA873" s="657">
        <f t="shared" ref="AA873" si="2003">AA846</f>
        <v>1843059</v>
      </c>
      <c r="AB873" s="657">
        <f t="shared" ref="AB873" si="2004">AB846</f>
        <v>1922104</v>
      </c>
      <c r="AC873" s="657">
        <f t="shared" si="2001"/>
        <v>1929936.7429991881</v>
      </c>
      <c r="AD873" s="657">
        <f t="shared" si="2001"/>
        <v>1938465.0286633982</v>
      </c>
      <c r="AE873" s="657">
        <f t="shared" si="2001"/>
        <v>1949850.234976639</v>
      </c>
      <c r="AF873" s="657">
        <f t="shared" ref="AF873:AI873" si="2005">AF846</f>
        <v>1961638.6917685708</v>
      </c>
      <c r="AG873" s="657">
        <f t="shared" si="2005"/>
        <v>1976446.620296747</v>
      </c>
      <c r="AH873" s="657">
        <f t="shared" si="2005"/>
        <v>1996280.3765563609</v>
      </c>
      <c r="AI873" s="657">
        <f t="shared" si="2005"/>
        <v>2019347.1650468227</v>
      </c>
      <c r="AJ873" s="539"/>
      <c r="AK873" s="539"/>
      <c r="AL873" s="539"/>
      <c r="AM873" s="539"/>
      <c r="AN873" s="539"/>
      <c r="AO873" s="539"/>
      <c r="AP873" s="539"/>
      <c r="AQ873" s="539"/>
      <c r="AR873" s="70"/>
      <c r="AS873" s="642" t="s">
        <v>13</v>
      </c>
      <c r="AT873" s="656"/>
      <c r="AU873" s="657">
        <f t="shared" ref="AU873:BD873" si="2006">AU846</f>
        <v>1864328</v>
      </c>
      <c r="AV873" s="657">
        <f t="shared" si="2006"/>
        <v>1880035</v>
      </c>
      <c r="AW873" s="657">
        <f t="shared" si="2006"/>
        <v>1842181</v>
      </c>
      <c r="AX873" s="657">
        <f t="shared" si="2006"/>
        <v>1731210</v>
      </c>
      <c r="AY873" s="657">
        <f t="shared" si="2006"/>
        <v>1792077</v>
      </c>
      <c r="AZ873" s="657">
        <f t="shared" si="2006"/>
        <v>1843059</v>
      </c>
      <c r="BA873" s="657">
        <f t="shared" si="2006"/>
        <v>1949850.234976639</v>
      </c>
      <c r="BB873" s="657">
        <f t="shared" ref="BB873" si="2007">BB846</f>
        <v>2019347.1650468227</v>
      </c>
      <c r="BC873" s="657">
        <f t="shared" si="2006"/>
        <v>2072157.9070443634</v>
      </c>
      <c r="BD873" s="657">
        <f t="shared" si="2006"/>
        <v>2140937.5202436759</v>
      </c>
      <c r="BE873" s="657">
        <f t="shared" ref="BE873" si="2008">BE846</f>
        <v>2208892.1954759774</v>
      </c>
      <c r="BM873"/>
      <c r="BN873"/>
      <c r="BO873"/>
      <c r="BP873"/>
      <c r="BQ873"/>
      <c r="BR873"/>
    </row>
    <row r="874" spans="1:70" ht="13.5" thickTop="1" x14ac:dyDescent="0.2">
      <c r="Y874" s="1215"/>
      <c r="Z874" s="1688"/>
      <c r="AA874" s="1742"/>
      <c r="AB874" s="1785"/>
      <c r="AS874" s="10"/>
      <c r="AT874" s="9"/>
      <c r="BC874" s="9"/>
      <c r="BD874" s="1704"/>
      <c r="BE874" s="1702"/>
    </row>
    <row r="875" spans="1:70" x14ac:dyDescent="0.2">
      <c r="B875" s="214" t="s">
        <v>564</v>
      </c>
      <c r="C875" s="62"/>
      <c r="D875" s="215">
        <f t="shared" ref="D875:AE875" si="2009">D828+D829+D833+D838</f>
        <v>1135199</v>
      </c>
      <c r="E875" s="215">
        <f t="shared" si="2009"/>
        <v>1106744</v>
      </c>
      <c r="F875" s="215">
        <f t="shared" si="2009"/>
        <v>1116233</v>
      </c>
      <c r="G875" s="215">
        <f t="shared" si="2009"/>
        <v>1047786</v>
      </c>
      <c r="H875" s="215">
        <f t="shared" si="2009"/>
        <v>1073850</v>
      </c>
      <c r="I875" s="215">
        <f t="shared" si="2009"/>
        <v>1082495</v>
      </c>
      <c r="J875" s="215">
        <f t="shared" si="2009"/>
        <v>1089536</v>
      </c>
      <c r="K875" s="215">
        <f t="shared" si="2009"/>
        <v>1065741</v>
      </c>
      <c r="L875" s="215">
        <f t="shared" si="2009"/>
        <v>1080874</v>
      </c>
      <c r="M875" s="215">
        <f t="shared" si="2009"/>
        <v>1087145</v>
      </c>
      <c r="N875" s="215">
        <f t="shared" si="2009"/>
        <v>1079383</v>
      </c>
      <c r="O875" s="215">
        <f t="shared" si="2009"/>
        <v>1053838</v>
      </c>
      <c r="P875" s="215">
        <f t="shared" si="2009"/>
        <v>1053204</v>
      </c>
      <c r="Q875" s="215">
        <f t="shared" si="2009"/>
        <v>1039136</v>
      </c>
      <c r="R875" s="215">
        <f t="shared" si="2009"/>
        <v>1029903</v>
      </c>
      <c r="S875" s="215">
        <f t="shared" si="2009"/>
        <v>964625</v>
      </c>
      <c r="T875" s="215">
        <f t="shared" si="2009"/>
        <v>1037394</v>
      </c>
      <c r="U875" s="215">
        <f t="shared" si="2009"/>
        <v>1035134</v>
      </c>
      <c r="V875" s="215">
        <f t="shared" si="2009"/>
        <v>1037714</v>
      </c>
      <c r="W875" s="215">
        <f t="shared" si="2009"/>
        <v>1023423</v>
      </c>
      <c r="X875" s="215">
        <f t="shared" si="2009"/>
        <v>1050476</v>
      </c>
      <c r="Y875" s="215">
        <f t="shared" ref="Y875:Z875" si="2010">Y828+Y829+Y833+Y838</f>
        <v>1071950</v>
      </c>
      <c r="Z875" s="215">
        <f t="shared" si="2010"/>
        <v>1090374</v>
      </c>
      <c r="AA875" s="215">
        <f t="shared" ref="AA875:AB875" si="2011">AA828+AA829+AA833+AA838</f>
        <v>1056370</v>
      </c>
      <c r="AB875" s="215">
        <f t="shared" si="2011"/>
        <v>1127942</v>
      </c>
      <c r="AC875" s="215">
        <f t="shared" si="2009"/>
        <v>1127716.6478073597</v>
      </c>
      <c r="AD875" s="215">
        <f t="shared" si="2009"/>
        <v>1127875.6066408292</v>
      </c>
      <c r="AE875" s="215">
        <f t="shared" si="2009"/>
        <v>1128166.0977056413</v>
      </c>
      <c r="AF875" s="215">
        <f t="shared" ref="AF875:AI875" si="2012">AF828+AF829+AF833+AF838</f>
        <v>1133667.2624866595</v>
      </c>
      <c r="AG875" s="215">
        <f t="shared" si="2012"/>
        <v>1139319.6567965797</v>
      </c>
      <c r="AH875" s="215">
        <f t="shared" si="2012"/>
        <v>1145189.7250077766</v>
      </c>
      <c r="AI875" s="215">
        <f t="shared" si="2012"/>
        <v>1151234.2127126432</v>
      </c>
      <c r="AJ875" s="215"/>
      <c r="AK875" s="215"/>
      <c r="AL875" s="215"/>
      <c r="AM875" s="215"/>
      <c r="AN875" s="215"/>
      <c r="AO875" s="215"/>
      <c r="AP875" s="215"/>
      <c r="AQ875" s="215"/>
      <c r="AS875" s="214" t="s">
        <v>564</v>
      </c>
      <c r="AT875" s="62"/>
      <c r="AU875" s="215">
        <f t="shared" ref="AU875:BD875" si="2013">AU828+AU829+AU833+AU838</f>
        <v>1047786</v>
      </c>
      <c r="AV875" s="215">
        <f t="shared" si="2013"/>
        <v>1065741</v>
      </c>
      <c r="AW875" s="215">
        <f t="shared" si="2013"/>
        <v>1053838</v>
      </c>
      <c r="AX875" s="215">
        <f t="shared" si="2013"/>
        <v>964625</v>
      </c>
      <c r="AY875" s="215">
        <f t="shared" si="2013"/>
        <v>1023423</v>
      </c>
      <c r="AZ875" s="215">
        <f t="shared" si="2013"/>
        <v>1056370</v>
      </c>
      <c r="BA875" s="215">
        <f t="shared" si="2013"/>
        <v>1128166.0977056413</v>
      </c>
      <c r="BB875" s="215">
        <f t="shared" ref="BB875" si="2014">BB828+BB829+BB833+BB838</f>
        <v>1151234.2127126432</v>
      </c>
      <c r="BC875" s="215">
        <f t="shared" si="2013"/>
        <v>1162371.3379033506</v>
      </c>
      <c r="BD875" s="215">
        <f t="shared" si="2013"/>
        <v>1185286.9378611678</v>
      </c>
      <c r="BE875" s="215">
        <f t="shared" ref="BE875" si="2015">BE828+BE829+BE833+BE838</f>
        <v>1208819.8367922425</v>
      </c>
    </row>
    <row r="876" spans="1:70" x14ac:dyDescent="0.2">
      <c r="B876" s="214" t="s">
        <v>566</v>
      </c>
      <c r="C876" s="62"/>
      <c r="D876" s="215">
        <f t="shared" ref="D876:AE876" si="2016">SUM(D851:D852)</f>
        <v>350662</v>
      </c>
      <c r="E876" s="215">
        <f t="shared" si="2016"/>
        <v>354020</v>
      </c>
      <c r="F876" s="215">
        <f t="shared" si="2016"/>
        <v>373555</v>
      </c>
      <c r="G876" s="215">
        <f t="shared" si="2016"/>
        <v>377373</v>
      </c>
      <c r="H876" s="215">
        <f t="shared" si="2016"/>
        <v>384708</v>
      </c>
      <c r="I876" s="215">
        <f t="shared" si="2016"/>
        <v>394828</v>
      </c>
      <c r="J876" s="215">
        <f t="shared" si="2016"/>
        <v>396595</v>
      </c>
      <c r="K876" s="215">
        <f t="shared" si="2016"/>
        <v>412563</v>
      </c>
      <c r="L876" s="215">
        <f t="shared" si="2016"/>
        <v>416181</v>
      </c>
      <c r="M876" s="215">
        <f t="shared" si="2016"/>
        <v>419688</v>
      </c>
      <c r="N876" s="215">
        <f t="shared" si="2016"/>
        <v>413847</v>
      </c>
      <c r="O876" s="215">
        <f t="shared" si="2016"/>
        <v>413936</v>
      </c>
      <c r="P876" s="215">
        <f t="shared" si="2016"/>
        <v>411991</v>
      </c>
      <c r="Q876" s="215">
        <f t="shared" si="2016"/>
        <v>403960</v>
      </c>
      <c r="R876" s="215">
        <f t="shared" si="2016"/>
        <v>408482</v>
      </c>
      <c r="S876" s="215">
        <f t="shared" si="2016"/>
        <v>419483</v>
      </c>
      <c r="T876" s="215">
        <f t="shared" si="2016"/>
        <v>423122</v>
      </c>
      <c r="U876" s="215">
        <f t="shared" si="2016"/>
        <v>435734</v>
      </c>
      <c r="V876" s="215">
        <f t="shared" si="2016"/>
        <v>429993</v>
      </c>
      <c r="W876" s="215">
        <f t="shared" si="2016"/>
        <v>437670</v>
      </c>
      <c r="X876" s="215">
        <f t="shared" si="2016"/>
        <v>440008</v>
      </c>
      <c r="Y876" s="215">
        <f t="shared" ref="Y876:Z876" si="2017">SUM(Y851:Y852)</f>
        <v>437614</v>
      </c>
      <c r="Z876" s="215">
        <f t="shared" si="2017"/>
        <v>442776</v>
      </c>
      <c r="AA876" s="215">
        <f t="shared" ref="AA876:AB876" si="2018">SUM(AA851:AA852)</f>
        <v>445493</v>
      </c>
      <c r="AB876" s="215">
        <f t="shared" si="2018"/>
        <v>453204</v>
      </c>
      <c r="AC876" s="215">
        <f t="shared" si="2016"/>
        <v>455229.39999999997</v>
      </c>
      <c r="AD876" s="215">
        <f t="shared" si="2016"/>
        <v>457300.12039999996</v>
      </c>
      <c r="AE876" s="215">
        <f t="shared" si="2016"/>
        <v>459416.36373999994</v>
      </c>
      <c r="AF876" s="215">
        <f t="shared" ref="AF876:AI876" si="2019">SUM(AF851:AF852)</f>
        <v>461578.33709203999</v>
      </c>
      <c r="AG876" s="215">
        <f t="shared" si="2019"/>
        <v>463786.25208045397</v>
      </c>
      <c r="AH876" s="215">
        <f t="shared" si="2019"/>
        <v>466040.32490257721</v>
      </c>
      <c r="AI876" s="215">
        <f t="shared" si="2019"/>
        <v>467408.6957001033</v>
      </c>
      <c r="AJ876" s="215"/>
      <c r="AK876" s="215"/>
      <c r="AL876" s="215"/>
      <c r="AM876" s="215"/>
      <c r="AN876" s="215"/>
      <c r="AO876" s="215"/>
      <c r="AP876" s="215"/>
      <c r="AQ876" s="215"/>
      <c r="AS876" s="214" t="s">
        <v>566</v>
      </c>
      <c r="AT876" s="62"/>
      <c r="AU876" s="215">
        <f t="shared" ref="AU876:BD876" si="2020">SUM(AU851:AU852)</f>
        <v>377373</v>
      </c>
      <c r="AV876" s="215">
        <f t="shared" si="2020"/>
        <v>412563</v>
      </c>
      <c r="AW876" s="215">
        <f t="shared" si="2020"/>
        <v>413936</v>
      </c>
      <c r="AX876" s="215">
        <f t="shared" si="2020"/>
        <v>419483</v>
      </c>
      <c r="AY876" s="215">
        <f t="shared" si="2020"/>
        <v>437670</v>
      </c>
      <c r="AZ876" s="215">
        <f t="shared" si="2020"/>
        <v>445493</v>
      </c>
      <c r="BA876" s="215">
        <f t="shared" si="2020"/>
        <v>459416.36373999994</v>
      </c>
      <c r="BB876" s="215">
        <f t="shared" ref="BB876" si="2021">SUM(BB851:BB852)</f>
        <v>467408.6957001033</v>
      </c>
      <c r="BC876" s="215">
        <f t="shared" si="2020"/>
        <v>481461.56988195528</v>
      </c>
      <c r="BD876" s="215">
        <f t="shared" si="2020"/>
        <v>496075.77074629808</v>
      </c>
      <c r="BE876" s="215">
        <f t="shared" ref="BE876" si="2022">SUM(BE851:BE852)</f>
        <v>511273.75122661062</v>
      </c>
    </row>
    <row r="877" spans="1:70" x14ac:dyDescent="0.2">
      <c r="B877" s="214" t="s">
        <v>567</v>
      </c>
      <c r="C877" s="62"/>
      <c r="D877" s="215">
        <f t="shared" ref="D877:AE877" si="2023">D851+D853</f>
        <v>182996</v>
      </c>
      <c r="E877" s="215">
        <f t="shared" si="2023"/>
        <v>180069</v>
      </c>
      <c r="F877" s="215">
        <f t="shared" si="2023"/>
        <v>197773</v>
      </c>
      <c r="G877" s="215">
        <f t="shared" si="2023"/>
        <v>194681</v>
      </c>
      <c r="H877" s="215">
        <f t="shared" si="2023"/>
        <v>190029</v>
      </c>
      <c r="I877" s="215">
        <f t="shared" si="2023"/>
        <v>187934</v>
      </c>
      <c r="J877" s="215">
        <f t="shared" si="2023"/>
        <v>196301</v>
      </c>
      <c r="K877" s="215">
        <f t="shared" si="2023"/>
        <v>197805</v>
      </c>
      <c r="L877" s="215">
        <f t="shared" si="2023"/>
        <v>204895</v>
      </c>
      <c r="M877" s="215">
        <f t="shared" si="2023"/>
        <v>204644</v>
      </c>
      <c r="N877" s="215">
        <f t="shared" si="2023"/>
        <v>199471</v>
      </c>
      <c r="O877" s="215">
        <f t="shared" si="2023"/>
        <v>199883</v>
      </c>
      <c r="P877" s="215">
        <f t="shared" si="2023"/>
        <v>208221</v>
      </c>
      <c r="Q877" s="215">
        <f t="shared" si="2023"/>
        <v>207642</v>
      </c>
      <c r="R877" s="215">
        <f t="shared" si="2023"/>
        <v>214613</v>
      </c>
      <c r="S877" s="215">
        <f t="shared" si="2023"/>
        <v>210826</v>
      </c>
      <c r="T877" s="215">
        <f t="shared" si="2023"/>
        <v>216018</v>
      </c>
      <c r="U877" s="215">
        <f t="shared" si="2023"/>
        <v>216719</v>
      </c>
      <c r="V877" s="215">
        <f t="shared" si="2023"/>
        <v>217855</v>
      </c>
      <c r="W877" s="215">
        <f t="shared" si="2023"/>
        <v>214314</v>
      </c>
      <c r="X877" s="215">
        <f t="shared" si="2023"/>
        <v>208499</v>
      </c>
      <c r="Y877" s="215">
        <f t="shared" ref="Y877:Z877" si="2024">Y851+Y853</f>
        <v>209299</v>
      </c>
      <c r="Z877" s="215">
        <f t="shared" si="2024"/>
        <v>211398</v>
      </c>
      <c r="AA877" s="215">
        <f t="shared" ref="AA877:AB877" si="2025">AA851+AA853</f>
        <v>214320</v>
      </c>
      <c r="AB877" s="215">
        <f t="shared" si="2025"/>
        <v>215809</v>
      </c>
      <c r="AC877" s="215">
        <f t="shared" si="2023"/>
        <v>215460.45</v>
      </c>
      <c r="AD877" s="215">
        <f t="shared" si="2023"/>
        <v>215133.48089999997</v>
      </c>
      <c r="AE877" s="215">
        <f t="shared" si="2023"/>
        <v>214828.05784499997</v>
      </c>
      <c r="AF877" s="215">
        <f t="shared" ref="AF877:AI877" si="2026">AF851+AF853</f>
        <v>213611.96270231996</v>
      </c>
      <c r="AG877" s="215">
        <f t="shared" si="2026"/>
        <v>212408.02851106675</v>
      </c>
      <c r="AH877" s="215">
        <f t="shared" si="2026"/>
        <v>211216.13366172608</v>
      </c>
      <c r="AI877" s="215">
        <f t="shared" si="2026"/>
        <v>209800.16258070938</v>
      </c>
      <c r="AJ877" s="215"/>
      <c r="AK877" s="215"/>
      <c r="AL877" s="215"/>
      <c r="AM877" s="215"/>
      <c r="AN877" s="215"/>
      <c r="AO877" s="215"/>
      <c r="AP877" s="215"/>
      <c r="AQ877" s="215"/>
      <c r="AS877" s="214" t="s">
        <v>567</v>
      </c>
      <c r="AT877" s="62"/>
      <c r="AU877" s="215">
        <f t="shared" ref="AU877:BD877" si="2027">AU851+AU853</f>
        <v>194681</v>
      </c>
      <c r="AV877" s="215">
        <f t="shared" si="2027"/>
        <v>197805</v>
      </c>
      <c r="AW877" s="215">
        <f t="shared" si="2027"/>
        <v>199883</v>
      </c>
      <c r="AX877" s="215">
        <f t="shared" si="2027"/>
        <v>210826</v>
      </c>
      <c r="AY877" s="215">
        <f t="shared" si="2027"/>
        <v>214314</v>
      </c>
      <c r="AZ877" s="215">
        <f t="shared" si="2027"/>
        <v>214320</v>
      </c>
      <c r="BA877" s="215">
        <f t="shared" si="2027"/>
        <v>214828.05784499997</v>
      </c>
      <c r="BB877" s="215">
        <f t="shared" ref="BB877" si="2028">BB851+BB853</f>
        <v>209800.16258070938</v>
      </c>
      <c r="BC877" s="215">
        <f t="shared" si="2027"/>
        <v>209819.95369470556</v>
      </c>
      <c r="BD877" s="215">
        <f t="shared" si="2027"/>
        <v>209839.74816847837</v>
      </c>
      <c r="BE877" s="215">
        <f t="shared" ref="BE877" si="2029">BE851+BE853</f>
        <v>209859.54600259813</v>
      </c>
    </row>
    <row r="878" spans="1:70" x14ac:dyDescent="0.2">
      <c r="B878" s="214" t="s">
        <v>568</v>
      </c>
      <c r="C878" s="62"/>
      <c r="D878" s="215">
        <f t="shared" ref="D878:AE878" si="2030">D852+D854</f>
        <v>723016</v>
      </c>
      <c r="E878" s="215">
        <f t="shared" si="2030"/>
        <v>734239</v>
      </c>
      <c r="F878" s="215">
        <f t="shared" si="2030"/>
        <v>746871</v>
      </c>
      <c r="G878" s="215">
        <f t="shared" si="2030"/>
        <v>735879</v>
      </c>
      <c r="H878" s="215">
        <f t="shared" si="2030"/>
        <v>743733</v>
      </c>
      <c r="I878" s="215">
        <f t="shared" si="2030"/>
        <v>750493</v>
      </c>
      <c r="J878" s="215">
        <f t="shared" si="2030"/>
        <v>759159</v>
      </c>
      <c r="K878" s="215">
        <f t="shared" si="2030"/>
        <v>770468</v>
      </c>
      <c r="L878" s="215">
        <f t="shared" si="2030"/>
        <v>761368</v>
      </c>
      <c r="M878" s="215">
        <f t="shared" si="2030"/>
        <v>761081</v>
      </c>
      <c r="N878" s="215">
        <f t="shared" si="2030"/>
        <v>743184</v>
      </c>
      <c r="O878" s="215">
        <f t="shared" si="2030"/>
        <v>699449</v>
      </c>
      <c r="P878" s="215">
        <f t="shared" si="2030"/>
        <v>691426</v>
      </c>
      <c r="Q878" s="215">
        <f t="shared" si="2030"/>
        <v>700395</v>
      </c>
      <c r="R878" s="215">
        <f t="shared" si="2030"/>
        <v>689630</v>
      </c>
      <c r="S878" s="215">
        <f t="shared" si="2030"/>
        <v>697061</v>
      </c>
      <c r="T878" s="215">
        <f t="shared" si="2030"/>
        <v>718573</v>
      </c>
      <c r="U878" s="215">
        <f t="shared" si="2030"/>
        <v>721133</v>
      </c>
      <c r="V878" s="215">
        <f t="shared" si="2030"/>
        <v>722397</v>
      </c>
      <c r="W878" s="215">
        <f t="shared" si="2030"/>
        <v>715092</v>
      </c>
      <c r="X878" s="215">
        <f t="shared" si="2030"/>
        <v>741491</v>
      </c>
      <c r="Y878" s="215">
        <f t="shared" ref="Y878:Z878" si="2031">Y852+Y854</f>
        <v>749444</v>
      </c>
      <c r="Z878" s="215">
        <f t="shared" si="2031"/>
        <v>752640</v>
      </c>
      <c r="AA878" s="215">
        <f t="shared" ref="AA878:AB878" si="2032">AA852+AA854</f>
        <v>745502</v>
      </c>
      <c r="AB878" s="215">
        <f t="shared" si="2032"/>
        <v>785410</v>
      </c>
      <c r="AC878" s="215">
        <f t="shared" si="2030"/>
        <v>793264.1</v>
      </c>
      <c r="AD878" s="215">
        <f t="shared" si="2030"/>
        <v>801196.74099999992</v>
      </c>
      <c r="AE878" s="215">
        <f t="shared" si="2030"/>
        <v>809208.70840999996</v>
      </c>
      <c r="AF878" s="215">
        <f t="shared" ref="AF878:AI878" si="2033">AF852+AF854</f>
        <v>817300.79549410008</v>
      </c>
      <c r="AG878" s="215">
        <f t="shared" si="2033"/>
        <v>825473.80344904121</v>
      </c>
      <c r="AH878" s="215">
        <f t="shared" si="2033"/>
        <v>833728.54148353171</v>
      </c>
      <c r="AI878" s="215">
        <f t="shared" si="2033"/>
        <v>840398.36981539987</v>
      </c>
      <c r="AJ878" s="215"/>
      <c r="AK878" s="215"/>
      <c r="AL878" s="215"/>
      <c r="AM878" s="215"/>
      <c r="AN878" s="215"/>
      <c r="AO878" s="215"/>
      <c r="AP878" s="215"/>
      <c r="AQ878" s="215"/>
      <c r="AS878" s="214" t="s">
        <v>568</v>
      </c>
      <c r="AT878" s="62"/>
      <c r="AU878" s="215">
        <f t="shared" ref="AU878:BD878" si="2034">AU852+AU854</f>
        <v>735879</v>
      </c>
      <c r="AV878" s="215">
        <f t="shared" si="2034"/>
        <v>770468</v>
      </c>
      <c r="AW878" s="215">
        <f t="shared" si="2034"/>
        <v>699449</v>
      </c>
      <c r="AX878" s="215">
        <f t="shared" si="2034"/>
        <v>697061</v>
      </c>
      <c r="AY878" s="215">
        <f t="shared" si="2034"/>
        <v>715092</v>
      </c>
      <c r="AZ878" s="215">
        <f t="shared" si="2034"/>
        <v>745502</v>
      </c>
      <c r="BA878" s="215">
        <f t="shared" si="2034"/>
        <v>809208.70840999996</v>
      </c>
      <c r="BB878" s="215">
        <f t="shared" ref="BB878" si="2035">BB852+BB854</f>
        <v>840398.36981539987</v>
      </c>
      <c r="BC878" s="215">
        <f t="shared" si="2034"/>
        <v>874014.30460801604</v>
      </c>
      <c r="BD878" s="215">
        <f t="shared" si="2034"/>
        <v>908974.8767923367</v>
      </c>
      <c r="BE878" s="215">
        <f t="shared" ref="BE878" si="2036">BE852+BE854</f>
        <v>945333.87186403014</v>
      </c>
    </row>
    <row r="879" spans="1:70" x14ac:dyDescent="0.2">
      <c r="B879" s="214"/>
      <c r="C879" s="62"/>
      <c r="D879" s="215"/>
      <c r="E879" s="215"/>
      <c r="F879" s="215"/>
      <c r="G879" s="215"/>
      <c r="H879" s="215"/>
      <c r="I879" s="215"/>
      <c r="J879" s="215"/>
      <c r="K879" s="215"/>
      <c r="L879" s="215"/>
      <c r="M879" s="215"/>
      <c r="N879" s="215"/>
      <c r="O879" s="215"/>
      <c r="P879" s="215"/>
      <c r="Q879" s="215"/>
      <c r="R879" s="215"/>
      <c r="S879" s="215"/>
      <c r="T879" s="215"/>
      <c r="U879" s="215"/>
      <c r="V879" s="215"/>
      <c r="W879" s="215"/>
      <c r="Z879" s="1688"/>
      <c r="AA879" s="1742"/>
      <c r="AB879" s="1785"/>
      <c r="AS879" s="214"/>
      <c r="AT879" s="62"/>
    </row>
    <row r="880" spans="1:70" x14ac:dyDescent="0.2">
      <c r="B880" s="213"/>
      <c r="AS880" s="213"/>
      <c r="AT880" s="9"/>
    </row>
    <row r="881" spans="1:70" x14ac:dyDescent="0.2">
      <c r="A881" s="411" t="s">
        <v>194</v>
      </c>
      <c r="B881" s="13" t="s">
        <v>363</v>
      </c>
      <c r="C881" s="13"/>
      <c r="D881" s="14"/>
      <c r="E881" s="14"/>
      <c r="F881" s="14"/>
      <c r="G881" s="14"/>
      <c r="H881" s="14"/>
      <c r="I881" s="14"/>
      <c r="J881" s="14"/>
      <c r="K881" s="14"/>
      <c r="L881" s="14"/>
      <c r="M881" s="14"/>
      <c r="N881" s="14"/>
      <c r="O881" s="14"/>
      <c r="P881" s="14"/>
      <c r="Q881" s="14"/>
      <c r="R881" s="14"/>
      <c r="S881" s="14"/>
      <c r="T881" s="14"/>
      <c r="U881" s="14"/>
      <c r="V881" s="14"/>
      <c r="W881" s="14"/>
      <c r="X881" s="14"/>
      <c r="Y881" s="14"/>
      <c r="Z881" s="14"/>
      <c r="AA881" s="14"/>
      <c r="AB881" s="14"/>
      <c r="AC881" s="14"/>
      <c r="AD881" s="14"/>
      <c r="AE881" s="14"/>
      <c r="AF881" s="14"/>
      <c r="AG881" s="14"/>
      <c r="AH881" s="14"/>
      <c r="AI881" s="14"/>
      <c r="AJ881" s="14"/>
      <c r="AK881" s="14"/>
      <c r="AL881" s="14"/>
      <c r="AM881" s="14"/>
      <c r="AN881" s="14"/>
      <c r="AO881" s="14"/>
      <c r="AP881" s="14"/>
      <c r="AQ881" s="14"/>
      <c r="AS881" s="13" t="s">
        <v>363</v>
      </c>
      <c r="AT881" s="13"/>
      <c r="AU881" s="14"/>
      <c r="AV881" s="14"/>
      <c r="AW881" s="14"/>
      <c r="AX881" s="14"/>
      <c r="AY881" s="14"/>
      <c r="AZ881" s="14"/>
      <c r="BA881" s="14"/>
      <c r="BB881" s="14"/>
      <c r="BC881" s="14"/>
      <c r="BD881" s="14"/>
      <c r="BE881" s="14"/>
      <c r="BF881" s="15"/>
      <c r="BG881" s="15"/>
      <c r="BH881" s="15"/>
      <c r="BI881" s="15"/>
      <c r="BJ881" s="15"/>
      <c r="BK881" s="15"/>
      <c r="BL881" s="15"/>
    </row>
    <row r="882" spans="1:70" x14ac:dyDescent="0.2">
      <c r="B882" s="16"/>
      <c r="C882" s="16"/>
      <c r="D882" s="15"/>
      <c r="E882" s="15"/>
      <c r="F882" s="15"/>
      <c r="G882" s="15"/>
      <c r="H882" s="15"/>
      <c r="I882" s="15"/>
      <c r="J882" s="15"/>
      <c r="K882" s="15"/>
      <c r="L882" s="15"/>
      <c r="M882" s="15"/>
      <c r="N882" s="15"/>
      <c r="O882" s="15"/>
      <c r="P882" s="15"/>
      <c r="Q882" s="15"/>
      <c r="R882" s="15"/>
      <c r="S882" s="15"/>
      <c r="T882" s="15"/>
      <c r="U882" s="15"/>
      <c r="V882" s="15"/>
      <c r="W882" s="15"/>
      <c r="X882" s="15"/>
      <c r="Y882" s="15"/>
      <c r="Z882" s="15"/>
      <c r="AA882" s="15"/>
      <c r="AB882" s="15"/>
      <c r="AC882" s="15"/>
      <c r="AD882" s="15"/>
      <c r="AE882" s="15"/>
      <c r="AF882" s="15"/>
      <c r="AG882" s="15"/>
      <c r="AH882" s="15"/>
      <c r="AI882" s="15"/>
      <c r="AJ882" s="15"/>
      <c r="AK882" s="15"/>
      <c r="AL882" s="15"/>
      <c r="AM882" s="15"/>
      <c r="AN882" s="15"/>
      <c r="AO882" s="15"/>
      <c r="AP882" s="15"/>
      <c r="AQ882" s="15"/>
      <c r="AS882" s="16"/>
      <c r="AT882" s="16"/>
    </row>
    <row r="883" spans="1:70" x14ac:dyDescent="0.2">
      <c r="B883" s="642" t="s">
        <v>26</v>
      </c>
      <c r="C883" s="369"/>
      <c r="AB883" s="1785"/>
      <c r="AS883" s="642" t="s">
        <v>26</v>
      </c>
      <c r="AT883" s="369"/>
    </row>
    <row r="884" spans="1:70" x14ac:dyDescent="0.2">
      <c r="B884" s="634" t="s">
        <v>514</v>
      </c>
      <c r="C884" s="636"/>
      <c r="AB884" s="1785"/>
      <c r="AS884" s="634" t="s">
        <v>514</v>
      </c>
      <c r="AT884" s="636"/>
    </row>
    <row r="885" spans="1:70" x14ac:dyDescent="0.2">
      <c r="B885" s="321"/>
      <c r="C885" s="639" t="s">
        <v>56</v>
      </c>
      <c r="D885" s="32" t="s">
        <v>229</v>
      </c>
      <c r="E885" s="96">
        <f t="shared" ref="E885:AB885" si="2037">AVERAGE(D835:E835)/AVERAGE(D$837:E$837)*E$887</f>
        <v>406720.6505007713</v>
      </c>
      <c r="F885" s="96">
        <f t="shared" si="2037"/>
        <v>403974.11284377612</v>
      </c>
      <c r="G885" s="96">
        <f t="shared" si="2037"/>
        <v>400851.41716296761</v>
      </c>
      <c r="H885" s="96">
        <f t="shared" si="2037"/>
        <v>394177.0876621182</v>
      </c>
      <c r="I885" s="96">
        <f t="shared" si="2037"/>
        <v>383967.0756798865</v>
      </c>
      <c r="J885" s="96">
        <f t="shared" si="2037"/>
        <v>378646.68482554262</v>
      </c>
      <c r="K885" s="96">
        <f t="shared" si="2037"/>
        <v>386073.01458251296</v>
      </c>
      <c r="L885" s="96">
        <f t="shared" si="2037"/>
        <v>381881.57521924237</v>
      </c>
      <c r="M885" s="96">
        <f t="shared" si="2037"/>
        <v>379899.38231466705</v>
      </c>
      <c r="N885" s="96">
        <f t="shared" si="2037"/>
        <v>375236.66064192902</v>
      </c>
      <c r="O885" s="96">
        <f t="shared" si="2037"/>
        <v>369794.08259239205</v>
      </c>
      <c r="P885" s="96">
        <f t="shared" si="2037"/>
        <v>352659.36182585143</v>
      </c>
      <c r="Q885" s="96">
        <f t="shared" si="2037"/>
        <v>337891.60708506091</v>
      </c>
      <c r="R885" s="96">
        <f t="shared" si="2037"/>
        <v>331233.60503506399</v>
      </c>
      <c r="S885" s="96">
        <f t="shared" si="2037"/>
        <v>329782.42043899454</v>
      </c>
      <c r="T885" s="96">
        <f t="shared" si="2037"/>
        <v>318394.3513358098</v>
      </c>
      <c r="U885" s="96">
        <f t="shared" si="2037"/>
        <v>318980.73666634993</v>
      </c>
      <c r="V885" s="96">
        <f t="shared" si="2037"/>
        <v>327122.03627029364</v>
      </c>
      <c r="W885" s="96">
        <f t="shared" si="2037"/>
        <v>323936.73616808309</v>
      </c>
      <c r="X885" s="96">
        <f t="shared" si="2037"/>
        <v>321189.48048148234</v>
      </c>
      <c r="Y885" s="96">
        <f t="shared" si="2037"/>
        <v>321733.30975347327</v>
      </c>
      <c r="Z885" s="96">
        <f t="shared" si="2037"/>
        <v>324105.67147066211</v>
      </c>
      <c r="AA885" s="96">
        <f t="shared" si="2037"/>
        <v>326541.33800125285</v>
      </c>
      <c r="AB885" s="96">
        <f t="shared" si="2037"/>
        <v>328356.79738084076</v>
      </c>
      <c r="AC885" s="50">
        <f t="shared" ref="AC885:AE885" si="2038">AC887-AC886</f>
        <v>329190.50000000006</v>
      </c>
      <c r="AD885" s="50">
        <f t="shared" si="2038"/>
        <v>331920.47249999986</v>
      </c>
      <c r="AE885" s="50">
        <f t="shared" si="2038"/>
        <v>337176.61494999996</v>
      </c>
      <c r="AF885" s="50">
        <f t="shared" ref="AF885:AI885" si="2039">AF887-AF886</f>
        <v>335635.75896474987</v>
      </c>
      <c r="AG885" s="50">
        <f t="shared" si="2039"/>
        <v>336662.62545430305</v>
      </c>
      <c r="AH885" s="50">
        <f t="shared" si="2039"/>
        <v>340236.61114670604</v>
      </c>
      <c r="AI885" s="50">
        <f t="shared" si="2039"/>
        <v>346496.00770912279</v>
      </c>
      <c r="AJ885" s="50"/>
      <c r="AK885" s="50"/>
      <c r="AL885" s="50"/>
      <c r="AM885" s="50"/>
      <c r="AN885" s="50"/>
      <c r="AO885" s="50"/>
      <c r="AP885" s="50"/>
      <c r="AQ885" s="50"/>
      <c r="AS885" s="321"/>
      <c r="AT885" s="639" t="s">
        <v>56</v>
      </c>
      <c r="AU885" s="96">
        <f t="shared" ref="AU885:BB886" si="2040">AVERAGE(AT835:AU835)/AVERAGE(AT$837:AU$837)*AU$887</f>
        <v>401933.47649069974</v>
      </c>
      <c r="AV885" s="96">
        <f t="shared" si="2040"/>
        <v>390282.80469133251</v>
      </c>
      <c r="AW885" s="96">
        <f t="shared" si="2040"/>
        <v>379913.07796386094</v>
      </c>
      <c r="AX885" s="96">
        <f t="shared" si="2040"/>
        <v>343569.11044129857</v>
      </c>
      <c r="AY885" s="96">
        <f t="shared" si="2040"/>
        <v>326661.55318558344</v>
      </c>
      <c r="AZ885" s="96">
        <f t="shared" si="2040"/>
        <v>326188.33188052062</v>
      </c>
      <c r="BA885" s="96">
        <f t="shared" si="2040"/>
        <v>332032.28656868672</v>
      </c>
      <c r="BB885" s="96">
        <f t="shared" si="2040"/>
        <v>335853.37639987591</v>
      </c>
      <c r="BC885" s="50">
        <f>BC887-BC886</f>
        <v>350763.98488296272</v>
      </c>
      <c r="BD885" s="50">
        <f>BD887-BD886</f>
        <v>363327.73463299446</v>
      </c>
      <c r="BE885" s="50">
        <f>BE887-BE886</f>
        <v>377158.25926359894</v>
      </c>
    </row>
    <row r="886" spans="1:70" x14ac:dyDescent="0.2">
      <c r="B886" s="321"/>
      <c r="C886" s="639" t="s">
        <v>62</v>
      </c>
      <c r="D886" s="32" t="s">
        <v>229</v>
      </c>
      <c r="E886" s="96">
        <f t="shared" ref="E886:AB886" si="2041">AVERAGE(D836:E836)/AVERAGE(D$837:E$837)*E$887</f>
        <v>239515.3494992287</v>
      </c>
      <c r="F886" s="96">
        <f t="shared" si="2041"/>
        <v>249864.88715622385</v>
      </c>
      <c r="G886" s="96">
        <f t="shared" si="2041"/>
        <v>248719.58283703242</v>
      </c>
      <c r="H886" s="96">
        <f t="shared" si="2041"/>
        <v>248885.9123378818</v>
      </c>
      <c r="I886" s="96">
        <f t="shared" si="2041"/>
        <v>258402.92432011347</v>
      </c>
      <c r="J886" s="96">
        <f t="shared" si="2041"/>
        <v>266807.31517445738</v>
      </c>
      <c r="K886" s="96">
        <f t="shared" si="2041"/>
        <v>273272.98541748704</v>
      </c>
      <c r="L886" s="96">
        <f t="shared" si="2041"/>
        <v>276824.42478075763</v>
      </c>
      <c r="M886" s="96">
        <f t="shared" si="2041"/>
        <v>285171.61768533289</v>
      </c>
      <c r="N886" s="96">
        <f t="shared" si="2041"/>
        <v>283865.33935807104</v>
      </c>
      <c r="O886" s="96">
        <f t="shared" si="2041"/>
        <v>281024.91740760789</v>
      </c>
      <c r="P886" s="96">
        <f t="shared" si="2041"/>
        <v>282205.63817414863</v>
      </c>
      <c r="Q886" s="96">
        <f t="shared" si="2041"/>
        <v>289134.39291493903</v>
      </c>
      <c r="R886" s="96">
        <f t="shared" si="2041"/>
        <v>291971.39496493596</v>
      </c>
      <c r="S886" s="96">
        <f t="shared" si="2041"/>
        <v>295164.57956100546</v>
      </c>
      <c r="T886" s="96">
        <f t="shared" si="2041"/>
        <v>293845.6486641902</v>
      </c>
      <c r="U886" s="96">
        <f t="shared" si="2041"/>
        <v>301667.26333365007</v>
      </c>
      <c r="V886" s="96">
        <f t="shared" si="2041"/>
        <v>308648.96372970636</v>
      </c>
      <c r="W886" s="96">
        <f t="shared" si="2041"/>
        <v>302091.26383191691</v>
      </c>
      <c r="X886" s="96">
        <f t="shared" si="2041"/>
        <v>302148.51951851771</v>
      </c>
      <c r="Y886" s="96">
        <f t="shared" si="2041"/>
        <v>312594.69024652673</v>
      </c>
      <c r="Z886" s="96">
        <f t="shared" si="2041"/>
        <v>322215.32852933789</v>
      </c>
      <c r="AA886" s="96">
        <f t="shared" si="2041"/>
        <v>327409.66199874721</v>
      </c>
      <c r="AB886" s="96">
        <f t="shared" si="2041"/>
        <v>339568.20261915919</v>
      </c>
      <c r="AC886" s="50">
        <f t="shared" ref="AC886:AE886" si="2042">AC1055*1000</f>
        <v>345780.00000000006</v>
      </c>
      <c r="AD886" s="50">
        <f t="shared" si="2042"/>
        <v>350966.7</v>
      </c>
      <c r="AE886" s="50">
        <f t="shared" si="2042"/>
        <v>356231.20049999992</v>
      </c>
      <c r="AF886" s="50">
        <f t="shared" ref="AF886:AI886" si="2043">AF1055*1000</f>
        <v>363355.82450999995</v>
      </c>
      <c r="AG886" s="50">
        <f t="shared" si="2043"/>
        <v>370622.94100019993</v>
      </c>
      <c r="AH886" s="50">
        <f t="shared" si="2043"/>
        <v>379888.5145252049</v>
      </c>
      <c r="AI886" s="50">
        <f t="shared" si="2043"/>
        <v>389385.72738833498</v>
      </c>
      <c r="AJ886" s="50"/>
      <c r="AK886" s="50"/>
      <c r="AL886" s="50"/>
      <c r="AM886" s="50"/>
      <c r="AN886" s="50"/>
      <c r="AO886" s="50"/>
      <c r="AP886" s="50"/>
      <c r="AQ886" s="50"/>
      <c r="AS886" s="321"/>
      <c r="AT886" s="639" t="s">
        <v>62</v>
      </c>
      <c r="AU886" s="96">
        <f t="shared" si="2040"/>
        <v>247230.77350930028</v>
      </c>
      <c r="AV886" s="96">
        <f t="shared" si="2040"/>
        <v>257275.44530866746</v>
      </c>
      <c r="AW886" s="96">
        <f t="shared" si="2040"/>
        <v>278511.42203613906</v>
      </c>
      <c r="AX886" s="96">
        <f t="shared" si="2040"/>
        <v>283941.63955870143</v>
      </c>
      <c r="AY886" s="96">
        <f t="shared" si="2040"/>
        <v>297010.19681441662</v>
      </c>
      <c r="AZ886" s="96">
        <f t="shared" si="2040"/>
        <v>313296.16811947938</v>
      </c>
      <c r="BA886" s="96">
        <f t="shared" si="2040"/>
        <v>347765.33541881334</v>
      </c>
      <c r="BB886" s="96">
        <f t="shared" si="2040"/>
        <v>379717.6262747795</v>
      </c>
      <c r="BC886" s="50">
        <f>BC1055*1000</f>
        <v>402120.17948585044</v>
      </c>
      <c r="BD886" s="50">
        <f>BD1055*1000</f>
        <v>430268.59204985999</v>
      </c>
      <c r="BE886" s="50">
        <f>BE1055*1000</f>
        <v>456084.70757285156</v>
      </c>
    </row>
    <row r="887" spans="1:70" x14ac:dyDescent="0.2">
      <c r="B887" s="642" t="s">
        <v>29</v>
      </c>
      <c r="D887" s="95">
        <v>647011</v>
      </c>
      <c r="E887" s="95">
        <v>646236</v>
      </c>
      <c r="F887" s="95">
        <v>653839</v>
      </c>
      <c r="G887" s="95">
        <v>649571</v>
      </c>
      <c r="H887" s="95">
        <v>643063</v>
      </c>
      <c r="I887" s="95">
        <v>642370</v>
      </c>
      <c r="J887" s="95">
        <v>645454</v>
      </c>
      <c r="K887" s="95">
        <v>659346</v>
      </c>
      <c r="L887" s="95">
        <v>658706</v>
      </c>
      <c r="M887" s="95">
        <v>665071</v>
      </c>
      <c r="N887" s="95">
        <v>659102</v>
      </c>
      <c r="O887" s="95">
        <v>650819</v>
      </c>
      <c r="P887" s="95">
        <v>634865</v>
      </c>
      <c r="Q887" s="95">
        <v>627026</v>
      </c>
      <c r="R887" s="95">
        <v>623205</v>
      </c>
      <c r="S887" s="95">
        <v>624947</v>
      </c>
      <c r="T887" s="95">
        <v>612240</v>
      </c>
      <c r="U887" s="95">
        <v>620648</v>
      </c>
      <c r="V887" s="95">
        <v>635771</v>
      </c>
      <c r="W887" s="95">
        <v>626028</v>
      </c>
      <c r="X887" s="95">
        <v>623338</v>
      </c>
      <c r="Y887" s="95">
        <v>634328</v>
      </c>
      <c r="Z887" s="95">
        <v>646321</v>
      </c>
      <c r="AA887" s="95">
        <v>653951</v>
      </c>
      <c r="AB887" s="95">
        <v>667925</v>
      </c>
      <c r="AC887" s="50">
        <f t="shared" ref="AC887:AE887" si="2044">AC1057*1000</f>
        <v>674970.50000000012</v>
      </c>
      <c r="AD887" s="50">
        <f t="shared" si="2044"/>
        <v>682887.17249999987</v>
      </c>
      <c r="AE887" s="50">
        <f t="shared" si="2044"/>
        <v>693407.81544999988</v>
      </c>
      <c r="AF887" s="50">
        <f t="shared" ref="AF887:AI887" si="2045">AF1057*1000</f>
        <v>698991.58347474982</v>
      </c>
      <c r="AG887" s="50">
        <f t="shared" si="2045"/>
        <v>707285.56645450299</v>
      </c>
      <c r="AH887" s="50">
        <f t="shared" si="2045"/>
        <v>720125.12567191094</v>
      </c>
      <c r="AI887" s="50">
        <f t="shared" si="2045"/>
        <v>735881.73509745777</v>
      </c>
      <c r="AJ887" s="50"/>
      <c r="AK887" s="50"/>
      <c r="AL887" s="50"/>
      <c r="AM887" s="50"/>
      <c r="AN887" s="50"/>
      <c r="AO887" s="50"/>
      <c r="AP887" s="50"/>
      <c r="AQ887" s="50"/>
      <c r="AS887" s="642" t="s">
        <v>29</v>
      </c>
      <c r="AT887" s="9"/>
      <c r="AU887" s="207">
        <f>AVERAGE(D887:G887)</f>
        <v>649164.25</v>
      </c>
      <c r="AV887" s="207">
        <f>AVERAGE(H887:K887)</f>
        <v>647558.25</v>
      </c>
      <c r="AW887" s="207">
        <f>AVERAGE(L887:O887)</f>
        <v>658424.5</v>
      </c>
      <c r="AX887" s="207">
        <f>AVERAGE(P887:S887)</f>
        <v>627510.75</v>
      </c>
      <c r="AY887" s="207">
        <f>AVERAGE(T887:W887)</f>
        <v>623671.75</v>
      </c>
      <c r="AZ887" s="207">
        <f>AVERAGE(X887:AA887)</f>
        <v>639484.5</v>
      </c>
      <c r="BA887" s="207">
        <f>AVERAGE(AB887:AE887)</f>
        <v>679797.6219875</v>
      </c>
      <c r="BB887" s="207">
        <f>AVERAGE(AF887:AI887)</f>
        <v>715571.00267465541</v>
      </c>
      <c r="BC887" s="50">
        <f>BC1057*1000</f>
        <v>752884.16436881316</v>
      </c>
      <c r="BD887" s="50">
        <f>BD1057*1000</f>
        <v>793596.32668285444</v>
      </c>
      <c r="BE887" s="50">
        <f>BE1057*1000</f>
        <v>833242.96683645051</v>
      </c>
    </row>
    <row r="888" spans="1:70" x14ac:dyDescent="0.2">
      <c r="B888" s="9"/>
      <c r="C888" s="644" t="s">
        <v>354</v>
      </c>
      <c r="D888" s="97">
        <f>1679633-D887</f>
        <v>1032622</v>
      </c>
      <c r="E888" s="97">
        <f>1681733-E887</f>
        <v>1035497</v>
      </c>
      <c r="F888" s="97">
        <f>1677579-F887</f>
        <v>1023740</v>
      </c>
      <c r="G888" s="97">
        <f>1666124-G887</f>
        <v>1016553</v>
      </c>
      <c r="H888" s="97">
        <f>1654629-H887</f>
        <v>1011566</v>
      </c>
      <c r="I888" s="97">
        <f>1665972-I887</f>
        <v>1023602</v>
      </c>
      <c r="J888" s="97">
        <f>1642576-J887</f>
        <v>997122</v>
      </c>
      <c r="K888" s="97">
        <f>1668254-K887</f>
        <v>1008908</v>
      </c>
      <c r="L888" s="97">
        <f>1664861-L887</f>
        <v>1006155</v>
      </c>
      <c r="M888" s="97">
        <f>1687625-M887</f>
        <v>1022554</v>
      </c>
      <c r="N888" s="97">
        <f>1675943-N887</f>
        <v>1016841</v>
      </c>
      <c r="O888" s="97">
        <f>1660342-O887</f>
        <v>1009523</v>
      </c>
      <c r="P888" s="97">
        <f>1625316-P887</f>
        <v>990451</v>
      </c>
      <c r="Q888" s="97">
        <f>1622976-Q887</f>
        <v>995950</v>
      </c>
      <c r="R888" s="97">
        <f>1602154-R887</f>
        <v>978949</v>
      </c>
      <c r="S888" s="97">
        <f>1572892-S887</f>
        <v>947945</v>
      </c>
      <c r="T888" s="97">
        <f>1562628-T887</f>
        <v>950388</v>
      </c>
      <c r="U888" s="97">
        <f>1595262-U887</f>
        <v>974614</v>
      </c>
      <c r="V888" s="97">
        <f>1611001-V887</f>
        <v>975230</v>
      </c>
      <c r="W888" s="97">
        <f>1605926-W887</f>
        <v>979898</v>
      </c>
      <c r="X888" s="97">
        <f>1625077-X887</f>
        <v>1001739</v>
      </c>
      <c r="Y888" s="97">
        <f>1662627-Y887</f>
        <v>1028299</v>
      </c>
      <c r="Z888" s="97">
        <f>1687024-Z887</f>
        <v>1040703</v>
      </c>
      <c r="AA888" s="97">
        <f>1712396-AA887</f>
        <v>1058445</v>
      </c>
      <c r="AB888" s="97">
        <f>1728236-AB887</f>
        <v>1060311</v>
      </c>
      <c r="AC888" s="658">
        <f>AB888*(1+Drivers!AC258)</f>
        <v>1060311</v>
      </c>
      <c r="AD888" s="658">
        <f>AC888*(1+Drivers!AD258)</f>
        <v>1060311</v>
      </c>
      <c r="AE888" s="658">
        <f>AD888*(1+Drivers!AE258)</f>
        <v>1060311</v>
      </c>
      <c r="AF888" s="658">
        <f>AE888*(1+Drivers!AF258)</f>
        <v>1065612.5549999999</v>
      </c>
      <c r="AG888" s="658">
        <f>AF888*(1+Drivers!AG258)</f>
        <v>1070940.6177749999</v>
      </c>
      <c r="AH888" s="658">
        <f>AG888*(1+Drivers!AH258)</f>
        <v>1076295.3208638749</v>
      </c>
      <c r="AI888" s="658">
        <f>AH888*(1+Drivers!AI258)</f>
        <v>1081676.797468194</v>
      </c>
      <c r="AJ888" s="1766"/>
      <c r="AK888" s="1766"/>
      <c r="AL888" s="1766"/>
      <c r="AM888" s="1766"/>
      <c r="AN888" s="1766"/>
      <c r="AO888" s="1766"/>
      <c r="AP888" s="1766"/>
      <c r="AQ888" s="1766"/>
      <c r="AS888" s="9"/>
      <c r="AT888" s="644" t="s">
        <v>354</v>
      </c>
      <c r="AU888" s="42">
        <f>AVERAGE(D888:G888)</f>
        <v>1027103</v>
      </c>
      <c r="AV888" s="42">
        <f>AVERAGE(H888:K888)</f>
        <v>1010299.5</v>
      </c>
      <c r="AW888" s="42">
        <f>AVERAGE(L888:O888)</f>
        <v>1013768.25</v>
      </c>
      <c r="AX888" s="42">
        <f>AVERAGE(P888:S888)</f>
        <v>978323.75</v>
      </c>
      <c r="AY888" s="42">
        <f>AVERAGE(T888:W888)</f>
        <v>970032.5</v>
      </c>
      <c r="AZ888" s="42">
        <f>AVERAGE(X888:AA888)</f>
        <v>1032296.5</v>
      </c>
      <c r="BA888" s="42">
        <f>AVERAGE(AB888:AE888)</f>
        <v>1060311</v>
      </c>
      <c r="BB888" s="42">
        <f>AVERAGE(AF888:AI888)</f>
        <v>1073631.3227767672</v>
      </c>
      <c r="BC888" s="658">
        <f>BB888*(1+Drivers!BC258)</f>
        <v>1084367.6360045348</v>
      </c>
      <c r="BD888" s="658">
        <f>BC888*(1+Drivers!BD258)</f>
        <v>1106054.9887246254</v>
      </c>
      <c r="BE888" s="658">
        <f>BD888*(1+Drivers!BE258)</f>
        <v>1128176.0884991179</v>
      </c>
    </row>
    <row r="889" spans="1:70" x14ac:dyDescent="0.2">
      <c r="B889" s="645" t="s">
        <v>355</v>
      </c>
      <c r="C889" s="643"/>
      <c r="D889" s="96">
        <f t="shared" ref="D889:AE889" si="2046">SUM(D887:D888)</f>
        <v>1679633</v>
      </c>
      <c r="E889" s="96">
        <f t="shared" si="2046"/>
        <v>1681733</v>
      </c>
      <c r="F889" s="96">
        <f t="shared" si="2046"/>
        <v>1677579</v>
      </c>
      <c r="G889" s="96">
        <f t="shared" si="2046"/>
        <v>1666124</v>
      </c>
      <c r="H889" s="96">
        <f t="shared" si="2046"/>
        <v>1654629</v>
      </c>
      <c r="I889" s="96">
        <f t="shared" si="2046"/>
        <v>1665972</v>
      </c>
      <c r="J889" s="96">
        <f t="shared" si="2046"/>
        <v>1642576</v>
      </c>
      <c r="K889" s="96">
        <f t="shared" si="2046"/>
        <v>1668254</v>
      </c>
      <c r="L889" s="96">
        <f t="shared" si="2046"/>
        <v>1664861</v>
      </c>
      <c r="M889" s="96">
        <f t="shared" si="2046"/>
        <v>1687625</v>
      </c>
      <c r="N889" s="96">
        <f t="shared" si="2046"/>
        <v>1675943</v>
      </c>
      <c r="O889" s="96">
        <f t="shared" si="2046"/>
        <v>1660342</v>
      </c>
      <c r="P889" s="96">
        <f t="shared" si="2046"/>
        <v>1625316</v>
      </c>
      <c r="Q889" s="96">
        <f t="shared" si="2046"/>
        <v>1622976</v>
      </c>
      <c r="R889" s="96">
        <f t="shared" si="2046"/>
        <v>1602154</v>
      </c>
      <c r="S889" s="96">
        <f t="shared" si="2046"/>
        <v>1572892</v>
      </c>
      <c r="T889" s="96">
        <f t="shared" si="2046"/>
        <v>1562628</v>
      </c>
      <c r="U889" s="96">
        <f t="shared" si="2046"/>
        <v>1595262</v>
      </c>
      <c r="V889" s="96">
        <f t="shared" si="2046"/>
        <v>1611001</v>
      </c>
      <c r="W889" s="96">
        <f t="shared" si="2046"/>
        <v>1605926</v>
      </c>
      <c r="X889" s="96">
        <f t="shared" si="2046"/>
        <v>1625077</v>
      </c>
      <c r="Y889" s="96">
        <f t="shared" ref="Y889:Z889" si="2047">SUM(Y887:Y888)</f>
        <v>1662627</v>
      </c>
      <c r="Z889" s="96">
        <f t="shared" si="2047"/>
        <v>1687024</v>
      </c>
      <c r="AA889" s="96">
        <f t="shared" ref="AA889:AB889" si="2048">SUM(AA887:AA888)</f>
        <v>1712396</v>
      </c>
      <c r="AB889" s="96">
        <f t="shared" si="2048"/>
        <v>1728236</v>
      </c>
      <c r="AC889" s="96">
        <f t="shared" si="2046"/>
        <v>1735281.5</v>
      </c>
      <c r="AD889" s="96">
        <f t="shared" si="2046"/>
        <v>1743198.1724999999</v>
      </c>
      <c r="AE889" s="96">
        <f t="shared" si="2046"/>
        <v>1753718.8154499999</v>
      </c>
      <c r="AF889" s="96">
        <f t="shared" ref="AF889:AI889" si="2049">SUM(AF887:AF888)</f>
        <v>1764604.1384747499</v>
      </c>
      <c r="AG889" s="96">
        <f t="shared" si="2049"/>
        <v>1778226.1842295029</v>
      </c>
      <c r="AH889" s="96">
        <f t="shared" si="2049"/>
        <v>1796420.4465357857</v>
      </c>
      <c r="AI889" s="96">
        <f t="shared" si="2049"/>
        <v>1817558.5325656519</v>
      </c>
      <c r="AJ889" s="96"/>
      <c r="AK889" s="96"/>
      <c r="AL889" s="96"/>
      <c r="AM889" s="96"/>
      <c r="AN889" s="96"/>
      <c r="AO889" s="96"/>
      <c r="AP889" s="96"/>
      <c r="AQ889" s="96"/>
      <c r="AS889" s="645" t="s">
        <v>355</v>
      </c>
      <c r="AT889" s="643"/>
      <c r="AU889" s="96">
        <f t="shared" ref="AU889:BD889" si="2050">SUM(AU887:AU888)</f>
        <v>1676267.25</v>
      </c>
      <c r="AV889" s="96">
        <f t="shared" si="2050"/>
        <v>1657857.75</v>
      </c>
      <c r="AW889" s="96">
        <f t="shared" si="2050"/>
        <v>1672192.75</v>
      </c>
      <c r="AX889" s="96">
        <f t="shared" si="2050"/>
        <v>1605834.5</v>
      </c>
      <c r="AY889" s="96">
        <f t="shared" si="2050"/>
        <v>1593704.25</v>
      </c>
      <c r="AZ889" s="96">
        <f t="shared" si="2050"/>
        <v>1671781</v>
      </c>
      <c r="BA889" s="96">
        <f t="shared" si="2050"/>
        <v>1740108.6219875</v>
      </c>
      <c r="BB889" s="96">
        <f t="shared" ref="BB889" si="2051">SUM(BB887:BB888)</f>
        <v>1789202.3254514225</v>
      </c>
      <c r="BC889" s="96">
        <f t="shared" si="2050"/>
        <v>1837251.8003733479</v>
      </c>
      <c r="BD889" s="96">
        <f t="shared" si="2050"/>
        <v>1899651.3154074799</v>
      </c>
      <c r="BE889" s="96">
        <f t="shared" ref="BE889" si="2052">SUM(BE887:BE888)</f>
        <v>1961419.0553355683</v>
      </c>
    </row>
    <row r="890" spans="1:70" x14ac:dyDescent="0.2">
      <c r="B890" s="644"/>
      <c r="C890" s="643"/>
      <c r="Y890" s="1215"/>
      <c r="Z890" s="1688"/>
      <c r="AA890" s="1742"/>
      <c r="AB890" s="1785"/>
      <c r="AS890" s="644"/>
      <c r="AT890" s="643"/>
      <c r="BC890" s="9"/>
      <c r="BD890" s="1704"/>
      <c r="BE890" s="1702"/>
    </row>
    <row r="891" spans="1:70" x14ac:dyDescent="0.2">
      <c r="B891" s="634" t="s">
        <v>11</v>
      </c>
      <c r="D891" s="32" t="s">
        <v>229</v>
      </c>
      <c r="E891" s="50">
        <f t="shared" ref="E891:AE891" si="2053">AVERAGE(D841:E841)</f>
        <v>-28315.5</v>
      </c>
      <c r="F891" s="50">
        <f t="shared" si="2053"/>
        <v>-26763.5</v>
      </c>
      <c r="G891" s="50">
        <f t="shared" si="2053"/>
        <v>-25685.5</v>
      </c>
      <c r="H891" s="50">
        <f t="shared" si="2053"/>
        <v>-24591</v>
      </c>
      <c r="I891" s="50">
        <f t="shared" si="2053"/>
        <v>-22653.5</v>
      </c>
      <c r="J891" s="50">
        <f t="shared" si="2053"/>
        <v>-21092.5</v>
      </c>
      <c r="K891" s="50">
        <f t="shared" si="2053"/>
        <v>-20126.5</v>
      </c>
      <c r="L891" s="50">
        <f t="shared" si="2053"/>
        <v>-19285.5</v>
      </c>
      <c r="M891" s="50">
        <f t="shared" si="2053"/>
        <v>-18406.5</v>
      </c>
      <c r="N891" s="50">
        <f t="shared" si="2053"/>
        <v>-17402.5</v>
      </c>
      <c r="O891" s="50">
        <f t="shared" si="2053"/>
        <v>-16454.5</v>
      </c>
      <c r="P891" s="50">
        <f t="shared" si="2053"/>
        <v>-15296</v>
      </c>
      <c r="Q891" s="50">
        <f t="shared" si="2053"/>
        <v>-14336.5</v>
      </c>
      <c r="R891" s="50">
        <f t="shared" si="2053"/>
        <v>-13850.5</v>
      </c>
      <c r="S891" s="50">
        <f t="shared" si="2053"/>
        <v>-13126</v>
      </c>
      <c r="T891" s="50">
        <f t="shared" si="2053"/>
        <v>-12669</v>
      </c>
      <c r="U891" s="50">
        <f t="shared" si="2053"/>
        <v>-12508</v>
      </c>
      <c r="V891" s="50">
        <f t="shared" si="2053"/>
        <v>-12371.5</v>
      </c>
      <c r="W891" s="50">
        <f t="shared" si="2053"/>
        <v>-12249.5</v>
      </c>
      <c r="X891" s="50">
        <f t="shared" si="2053"/>
        <v>-12045</v>
      </c>
      <c r="Y891" s="50">
        <f t="shared" si="2053"/>
        <v>-12027.5</v>
      </c>
      <c r="Z891" s="50">
        <f t="shared" si="2053"/>
        <v>-12195.5</v>
      </c>
      <c r="AA891" s="50">
        <f t="shared" si="2053"/>
        <v>-12360.5</v>
      </c>
      <c r="AB891" s="50">
        <f t="shared" si="2053"/>
        <v>-12354.5</v>
      </c>
      <c r="AC891" s="50">
        <f t="shared" si="2053"/>
        <v>-12442.36724160274</v>
      </c>
      <c r="AD891" s="50">
        <f t="shared" si="2053"/>
        <v>-12623.520050838475</v>
      </c>
      <c r="AE891" s="50">
        <f t="shared" si="2053"/>
        <v>-12817.294144992706</v>
      </c>
      <c r="AF891" s="50">
        <f t="shared" ref="AF891:AF894" si="2054">AVERAGE(AE841:AF841)</f>
        <v>-13009.982890335363</v>
      </c>
      <c r="AG891" s="50">
        <f t="shared" ref="AG891:AG894" si="2055">AVERAGE(AF841:AG841)</f>
        <v>-13200.60441526393</v>
      </c>
      <c r="AH891" s="50">
        <f t="shared" ref="AH891:AH894" si="2056">AVERAGE(AG841:AH841)</f>
        <v>-13404.801879802068</v>
      </c>
      <c r="AI891" s="50">
        <f t="shared" ref="AI891:AI894" si="2057">AVERAGE(AH841:AI841)</f>
        <v>-13620.324618961782</v>
      </c>
      <c r="AJ891" s="50"/>
      <c r="AK891" s="50"/>
      <c r="AL891" s="50"/>
      <c r="AM891" s="50"/>
      <c r="AN891" s="50"/>
      <c r="AO891" s="50"/>
      <c r="AP891" s="50"/>
      <c r="AQ891" s="50"/>
      <c r="AS891" s="634" t="s">
        <v>11</v>
      </c>
      <c r="AT891" s="9"/>
      <c r="AU891" s="207">
        <f>AVERAGE(D891:G891)</f>
        <v>-26921.5</v>
      </c>
      <c r="AV891" s="207">
        <f>AVERAGE(H891:K891)</f>
        <v>-22115.875</v>
      </c>
      <c r="AW891" s="207">
        <f>AVERAGE(L891:O891)</f>
        <v>-17887.25</v>
      </c>
      <c r="AX891" s="207">
        <f>AVERAGE(P891:S891)</f>
        <v>-14152.25</v>
      </c>
      <c r="AY891" s="207">
        <f>AVERAGE(T891:W891)</f>
        <v>-12449.5</v>
      </c>
      <c r="AZ891" s="207">
        <f>AVERAGE(X891:AA891)</f>
        <v>-12157.125</v>
      </c>
      <c r="BA891" s="207">
        <f>AVERAGE(AB891:AE891)</f>
        <v>-12559.420359358479</v>
      </c>
      <c r="BB891" s="207">
        <f>AVERAGE(AF891:AI891)</f>
        <v>-13308.928451090786</v>
      </c>
      <c r="BC891" s="50">
        <f t="shared" ref="BC891:BE894" si="2058">AVERAGE(BB841:BC841)</f>
        <v>-14190.241323834485</v>
      </c>
      <c r="BD891" s="50">
        <f t="shared" si="2058"/>
        <v>-15158.922055045601</v>
      </c>
      <c r="BE891" s="50">
        <f t="shared" si="2058"/>
        <v>-16232.624896777652</v>
      </c>
    </row>
    <row r="892" spans="1:70" x14ac:dyDescent="0.2">
      <c r="B892" s="646" t="s">
        <v>61</v>
      </c>
      <c r="C892" s="643"/>
      <c r="D892" s="32" t="s">
        <v>229</v>
      </c>
      <c r="E892" s="50">
        <f t="shared" ref="E892:AE892" si="2059">AVERAGE(D842:E842)</f>
        <v>25646.5</v>
      </c>
      <c r="F892" s="50">
        <f t="shared" si="2059"/>
        <v>25699</v>
      </c>
      <c r="G892" s="50">
        <f t="shared" si="2059"/>
        <v>25794</v>
      </c>
      <c r="H892" s="50">
        <f t="shared" si="2059"/>
        <v>25573.5</v>
      </c>
      <c r="I892" s="50">
        <f t="shared" si="2059"/>
        <v>25185</v>
      </c>
      <c r="J892" s="50">
        <f t="shared" si="2059"/>
        <v>24997</v>
      </c>
      <c r="K892" s="50">
        <f t="shared" si="2059"/>
        <v>25053.5</v>
      </c>
      <c r="L892" s="50">
        <f t="shared" si="2059"/>
        <v>25008.5</v>
      </c>
      <c r="M892" s="50">
        <f t="shared" si="2059"/>
        <v>25047.5</v>
      </c>
      <c r="N892" s="50">
        <f t="shared" si="2059"/>
        <v>24793.5</v>
      </c>
      <c r="O892" s="50">
        <f t="shared" si="2059"/>
        <v>24046</v>
      </c>
      <c r="P892" s="50">
        <f t="shared" si="2059"/>
        <v>23371</v>
      </c>
      <c r="Q892" s="50">
        <f t="shared" si="2059"/>
        <v>23081</v>
      </c>
      <c r="R892" s="50">
        <f t="shared" si="2059"/>
        <v>22728</v>
      </c>
      <c r="S892" s="50">
        <f t="shared" si="2059"/>
        <v>22396.5</v>
      </c>
      <c r="T892" s="50">
        <f t="shared" si="2059"/>
        <v>22462</v>
      </c>
      <c r="U892" s="50">
        <f t="shared" si="2059"/>
        <v>22535.5</v>
      </c>
      <c r="V892" s="50">
        <f t="shared" si="2059"/>
        <v>22517.5</v>
      </c>
      <c r="W892" s="50">
        <f t="shared" si="2059"/>
        <v>22099</v>
      </c>
      <c r="X892" s="50">
        <f t="shared" si="2059"/>
        <v>21962</v>
      </c>
      <c r="Y892" s="50">
        <f t="shared" si="2059"/>
        <v>22307</v>
      </c>
      <c r="Z892" s="50">
        <f t="shared" si="2059"/>
        <v>22347</v>
      </c>
      <c r="AA892" s="50">
        <f t="shared" si="2059"/>
        <v>22300.5</v>
      </c>
      <c r="AB892" s="50">
        <f t="shared" si="2059"/>
        <v>22457.5</v>
      </c>
      <c r="AC892" s="50">
        <f t="shared" si="2059"/>
        <v>22659</v>
      </c>
      <c r="AD892" s="50">
        <f t="shared" si="2059"/>
        <v>22659</v>
      </c>
      <c r="AE892" s="50">
        <f t="shared" si="2059"/>
        <v>22659</v>
      </c>
      <c r="AF892" s="50">
        <f t="shared" si="2054"/>
        <v>22659</v>
      </c>
      <c r="AG892" s="50">
        <f t="shared" si="2055"/>
        <v>22659</v>
      </c>
      <c r="AH892" s="50">
        <f t="shared" si="2056"/>
        <v>22659</v>
      </c>
      <c r="AI892" s="50">
        <f t="shared" si="2057"/>
        <v>22659</v>
      </c>
      <c r="AJ892" s="50"/>
      <c r="AK892" s="50"/>
      <c r="AL892" s="50"/>
      <c r="AM892" s="50"/>
      <c r="AN892" s="50"/>
      <c r="AO892" s="50"/>
      <c r="AP892" s="50"/>
      <c r="AQ892" s="50"/>
      <c r="AS892" s="646" t="s">
        <v>61</v>
      </c>
      <c r="AT892" s="643"/>
      <c r="AU892" s="207">
        <f>AVERAGE(D892:G892)</f>
        <v>25713.166666666668</v>
      </c>
      <c r="AV892" s="207">
        <f>AVERAGE(H892:K892)</f>
        <v>25202.25</v>
      </c>
      <c r="AW892" s="207">
        <f>AVERAGE(L892:O892)</f>
        <v>24723.875</v>
      </c>
      <c r="AX892" s="207">
        <f>AVERAGE(P892:S892)</f>
        <v>22894.125</v>
      </c>
      <c r="AY892" s="207">
        <f>AVERAGE(T892:W892)</f>
        <v>22403.5</v>
      </c>
      <c r="AZ892" s="207">
        <f>AVERAGE(X892:AA892)</f>
        <v>22229.125</v>
      </c>
      <c r="BA892" s="207">
        <f>AVERAGE(AB892:AE892)</f>
        <v>22608.625</v>
      </c>
      <c r="BB892" s="207">
        <f>AVERAGE(AF892:AI892)</f>
        <v>22659</v>
      </c>
      <c r="BC892" s="50">
        <f t="shared" si="2058"/>
        <v>22659</v>
      </c>
      <c r="BD892" s="50">
        <f t="shared" si="2058"/>
        <v>22659</v>
      </c>
      <c r="BE892" s="50">
        <f t="shared" si="2058"/>
        <v>22659</v>
      </c>
    </row>
    <row r="893" spans="1:70" x14ac:dyDescent="0.2">
      <c r="B893" s="646" t="s">
        <v>93</v>
      </c>
      <c r="C893" s="647"/>
      <c r="D893" s="32" t="s">
        <v>229</v>
      </c>
      <c r="E893" s="50">
        <f t="shared" ref="E893:AE893" si="2060">AVERAGE(D843:E843)</f>
        <v>6284.5</v>
      </c>
      <c r="F893" s="50">
        <f t="shared" si="2060"/>
        <v>6059.5</v>
      </c>
      <c r="G893" s="50">
        <f t="shared" si="2060"/>
        <v>5830</v>
      </c>
      <c r="H893" s="50">
        <f t="shared" si="2060"/>
        <v>5577</v>
      </c>
      <c r="I893" s="50">
        <f t="shared" si="2060"/>
        <v>5219</v>
      </c>
      <c r="J893" s="50">
        <f t="shared" si="2060"/>
        <v>4934.5</v>
      </c>
      <c r="K893" s="50">
        <f t="shared" si="2060"/>
        <v>4972</v>
      </c>
      <c r="L893" s="50">
        <f t="shared" si="2060"/>
        <v>4973.5</v>
      </c>
      <c r="M893" s="50">
        <f t="shared" si="2060"/>
        <v>4796.5</v>
      </c>
      <c r="N893" s="50">
        <f t="shared" si="2060"/>
        <v>4613.5</v>
      </c>
      <c r="O893" s="50">
        <f t="shared" si="2060"/>
        <v>4545.5</v>
      </c>
      <c r="P893" s="50">
        <f t="shared" si="2060"/>
        <v>4405</v>
      </c>
      <c r="Q893" s="50">
        <f t="shared" si="2060"/>
        <v>4157.5</v>
      </c>
      <c r="R893" s="50">
        <f t="shared" si="2060"/>
        <v>3975.5</v>
      </c>
      <c r="S893" s="50">
        <f t="shared" si="2060"/>
        <v>3800.5</v>
      </c>
      <c r="T893" s="50">
        <f t="shared" si="2060"/>
        <v>3607</v>
      </c>
      <c r="U893" s="50">
        <f t="shared" si="2060"/>
        <v>4507</v>
      </c>
      <c r="V893" s="50">
        <f t="shared" si="2060"/>
        <v>5439.5</v>
      </c>
      <c r="W893" s="50">
        <f t="shared" si="2060"/>
        <v>5236</v>
      </c>
      <c r="X893" s="50">
        <f t="shared" si="2060"/>
        <v>5063.5</v>
      </c>
      <c r="Y893" s="50">
        <f t="shared" si="2060"/>
        <v>4950</v>
      </c>
      <c r="Z893" s="50">
        <f t="shared" si="2060"/>
        <v>4809.5</v>
      </c>
      <c r="AA893" s="50">
        <f t="shared" si="2060"/>
        <v>4660</v>
      </c>
      <c r="AB893" s="50">
        <f t="shared" si="2060"/>
        <v>4519</v>
      </c>
      <c r="AC893" s="50">
        <f t="shared" si="2060"/>
        <v>4450</v>
      </c>
      <c r="AD893" s="50">
        <f t="shared" si="2060"/>
        <v>4450</v>
      </c>
      <c r="AE893" s="50">
        <f t="shared" si="2060"/>
        <v>4450</v>
      </c>
      <c r="AF893" s="50">
        <f t="shared" si="2054"/>
        <v>4450</v>
      </c>
      <c r="AG893" s="50">
        <f t="shared" si="2055"/>
        <v>4450</v>
      </c>
      <c r="AH893" s="50">
        <f t="shared" si="2056"/>
        <v>4450</v>
      </c>
      <c r="AI893" s="50">
        <f t="shared" si="2057"/>
        <v>4450</v>
      </c>
      <c r="AJ893" s="50"/>
      <c r="AK893" s="50"/>
      <c r="AL893" s="50"/>
      <c r="AM893" s="50"/>
      <c r="AN893" s="50"/>
      <c r="AO893" s="50"/>
      <c r="AP893" s="50"/>
      <c r="AQ893" s="50"/>
      <c r="AS893" s="646" t="s">
        <v>93</v>
      </c>
      <c r="AT893" s="647"/>
      <c r="AU893" s="207">
        <f>AVERAGE(D893:G893)</f>
        <v>6058</v>
      </c>
      <c r="AV893" s="207">
        <f>AVERAGE(H893:K893)</f>
        <v>5175.625</v>
      </c>
      <c r="AW893" s="207">
        <f>AVERAGE(L893:O893)</f>
        <v>4732.25</v>
      </c>
      <c r="AX893" s="207">
        <f>AVERAGE(P893:S893)</f>
        <v>4084.625</v>
      </c>
      <c r="AY893" s="207">
        <f>AVERAGE(T893:W893)</f>
        <v>4697.375</v>
      </c>
      <c r="AZ893" s="207">
        <f>AVERAGE(X893:AA893)</f>
        <v>4870.75</v>
      </c>
      <c r="BA893" s="207">
        <f>AVERAGE(AB893:AE893)</f>
        <v>4467.25</v>
      </c>
      <c r="BB893" s="207">
        <f>AVERAGE(AF893:AI893)</f>
        <v>4450</v>
      </c>
      <c r="BC893" s="50">
        <f t="shared" si="2058"/>
        <v>4450</v>
      </c>
      <c r="BD893" s="50">
        <f t="shared" si="2058"/>
        <v>4450</v>
      </c>
      <c r="BE893" s="50">
        <f t="shared" si="2058"/>
        <v>4450</v>
      </c>
    </row>
    <row r="894" spans="1:70" x14ac:dyDescent="0.2">
      <c r="B894" s="646" t="s">
        <v>99</v>
      </c>
      <c r="C894" s="647"/>
      <c r="D894" s="32" t="s">
        <v>229</v>
      </c>
      <c r="E894" s="50">
        <f t="shared" ref="E894:AE894" si="2061">AVERAGE(D844:E844)</f>
        <v>2404</v>
      </c>
      <c r="F894" s="50">
        <f t="shared" si="2061"/>
        <v>2018.5</v>
      </c>
      <c r="G894" s="50">
        <f t="shared" si="2061"/>
        <v>1931</v>
      </c>
      <c r="H894" s="50">
        <f t="shared" si="2061"/>
        <v>2072.5</v>
      </c>
      <c r="I894" s="50">
        <f t="shared" si="2061"/>
        <v>2363.5</v>
      </c>
      <c r="J894" s="50">
        <f t="shared" si="2061"/>
        <v>2552</v>
      </c>
      <c r="K894" s="50">
        <f t="shared" si="2061"/>
        <v>2649</v>
      </c>
      <c r="L894" s="50">
        <f t="shared" si="2061"/>
        <v>2652</v>
      </c>
      <c r="M894" s="50">
        <f t="shared" si="2061"/>
        <v>2434</v>
      </c>
      <c r="N894" s="50">
        <f t="shared" si="2061"/>
        <v>2187.5</v>
      </c>
      <c r="O894" s="50">
        <f t="shared" si="2061"/>
        <v>1969</v>
      </c>
      <c r="P894" s="50">
        <f t="shared" si="2061"/>
        <v>1765</v>
      </c>
      <c r="Q894" s="50">
        <f t="shared" si="2061"/>
        <v>1804.5</v>
      </c>
      <c r="R894" s="50">
        <f t="shared" si="2061"/>
        <v>1845</v>
      </c>
      <c r="S894" s="50">
        <f t="shared" si="2061"/>
        <v>1773.5</v>
      </c>
      <c r="T894" s="50">
        <f t="shared" si="2061"/>
        <v>1652.5</v>
      </c>
      <c r="U894" s="50">
        <f t="shared" si="2061"/>
        <v>1424</v>
      </c>
      <c r="V894" s="50">
        <f t="shared" si="2061"/>
        <v>1297</v>
      </c>
      <c r="W894" s="50">
        <f t="shared" si="2061"/>
        <v>1417</v>
      </c>
      <c r="X894" s="50">
        <f t="shared" si="2061"/>
        <v>1065.5</v>
      </c>
      <c r="Y894" s="50">
        <f t="shared" si="2061"/>
        <v>563.5</v>
      </c>
      <c r="Z894" s="50">
        <f t="shared" si="2061"/>
        <v>556.5</v>
      </c>
      <c r="AA894" s="50">
        <f t="shared" si="2061"/>
        <v>555.5</v>
      </c>
      <c r="AB894" s="50">
        <f t="shared" si="2061"/>
        <v>572.5</v>
      </c>
      <c r="AC894" s="50">
        <f t="shared" si="2061"/>
        <v>587</v>
      </c>
      <c r="AD894" s="50">
        <f t="shared" si="2061"/>
        <v>587</v>
      </c>
      <c r="AE894" s="50">
        <f t="shared" si="2061"/>
        <v>587</v>
      </c>
      <c r="AF894" s="50">
        <f t="shared" si="2054"/>
        <v>587</v>
      </c>
      <c r="AG894" s="50">
        <f t="shared" si="2055"/>
        <v>587</v>
      </c>
      <c r="AH894" s="50">
        <f t="shared" si="2056"/>
        <v>587</v>
      </c>
      <c r="AI894" s="50">
        <f t="shared" si="2057"/>
        <v>587</v>
      </c>
      <c r="AJ894" s="50"/>
      <c r="AK894" s="50"/>
      <c r="AL894" s="50"/>
      <c r="AM894" s="50"/>
      <c r="AN894" s="50"/>
      <c r="AO894" s="50"/>
      <c r="AP894" s="50"/>
      <c r="AQ894" s="50"/>
      <c r="AS894" s="646" t="s">
        <v>99</v>
      </c>
      <c r="AT894" s="647"/>
      <c r="AU894" s="207">
        <f>AVERAGE(D894:G894)</f>
        <v>2117.8333333333335</v>
      </c>
      <c r="AV894" s="207">
        <f>AVERAGE(H894:K894)</f>
        <v>2409.25</v>
      </c>
      <c r="AW894" s="207">
        <f>AVERAGE(L894:O894)</f>
        <v>2310.625</v>
      </c>
      <c r="AX894" s="207">
        <f>AVERAGE(P894:S894)</f>
        <v>1797</v>
      </c>
      <c r="AY894" s="207">
        <f>AVERAGE(T894:W894)</f>
        <v>1447.625</v>
      </c>
      <c r="AZ894" s="207">
        <f>AVERAGE(X894:AA894)</f>
        <v>685.25</v>
      </c>
      <c r="BA894" s="207">
        <f>AVERAGE(AB894:AE894)</f>
        <v>583.375</v>
      </c>
      <c r="BB894" s="207">
        <f>AVERAGE(AF894:AI894)</f>
        <v>587</v>
      </c>
      <c r="BC894" s="50">
        <f t="shared" si="2058"/>
        <v>587</v>
      </c>
      <c r="BD894" s="50">
        <f t="shared" si="2058"/>
        <v>587</v>
      </c>
      <c r="BE894" s="50">
        <f t="shared" si="2058"/>
        <v>587</v>
      </c>
    </row>
    <row r="895" spans="1:70" x14ac:dyDescent="0.2">
      <c r="B895" s="634" t="s">
        <v>130</v>
      </c>
      <c r="C895" s="345"/>
      <c r="D895" s="98" t="s">
        <v>229</v>
      </c>
      <c r="E895" s="172">
        <f t="shared" ref="E895:X895" si="2062">E896-SUM(E891:E894,E889)</f>
        <v>228347.5</v>
      </c>
      <c r="F895" s="172">
        <f t="shared" si="2062"/>
        <v>224807.5</v>
      </c>
      <c r="G895" s="172">
        <f t="shared" si="2062"/>
        <v>231406.5</v>
      </c>
      <c r="H895" s="172">
        <f t="shared" si="2062"/>
        <v>223539</v>
      </c>
      <c r="I895" s="172">
        <f t="shared" si="2062"/>
        <v>222814</v>
      </c>
      <c r="J895" s="172">
        <f t="shared" si="2062"/>
        <v>203133</v>
      </c>
      <c r="K895" s="172">
        <f t="shared" si="2062"/>
        <v>207198</v>
      </c>
      <c r="L895" s="172">
        <f t="shared" si="2062"/>
        <v>210090.5</v>
      </c>
      <c r="M895" s="172">
        <f t="shared" si="2062"/>
        <v>201803.5</v>
      </c>
      <c r="N895" s="172">
        <f t="shared" si="2062"/>
        <v>205265</v>
      </c>
      <c r="O895" s="172">
        <f t="shared" si="2062"/>
        <v>225752</v>
      </c>
      <c r="P895" s="172">
        <f t="shared" si="2062"/>
        <v>213539</v>
      </c>
      <c r="Q895" s="172">
        <f t="shared" si="2062"/>
        <v>202017.5</v>
      </c>
      <c r="R895" s="172">
        <f t="shared" si="2062"/>
        <v>201548</v>
      </c>
      <c r="S895" s="172">
        <f t="shared" si="2062"/>
        <v>196563.5</v>
      </c>
      <c r="T895" s="172">
        <f t="shared" si="2062"/>
        <v>199919.5</v>
      </c>
      <c r="U895" s="172">
        <f t="shared" si="2062"/>
        <v>196079.5</v>
      </c>
      <c r="V895" s="172">
        <f t="shared" si="2062"/>
        <v>202316.5</v>
      </c>
      <c r="W895" s="172">
        <f t="shared" si="2062"/>
        <v>197371.5</v>
      </c>
      <c r="X895" s="172">
        <f t="shared" si="2062"/>
        <v>189477</v>
      </c>
      <c r="Y895" s="172">
        <f t="shared" ref="Y895:Z895" si="2063">Y896-SUM(Y891:Y894,Y889)</f>
        <v>190780</v>
      </c>
      <c r="Z895" s="172">
        <f t="shared" si="2063"/>
        <v>189758.5</v>
      </c>
      <c r="AA895" s="172">
        <f t="shared" ref="AA895:AB895" si="2064">AA896-SUM(AA891:AA894,AA889)</f>
        <v>182148.5</v>
      </c>
      <c r="AB895" s="172">
        <f t="shared" si="2064"/>
        <v>160769.5</v>
      </c>
      <c r="AC895" s="172">
        <f t="shared" ref="AC895:AE895" si="2065">AB895*SUM(AC891:AC894,AC889)/SUM(AB891:AB894,AB889)</f>
        <v>161424.64986473575</v>
      </c>
      <c r="AD895" s="172">
        <f t="shared" si="2065"/>
        <v>162137.976626499</v>
      </c>
      <c r="AE895" s="172">
        <f t="shared" si="2065"/>
        <v>163090.26324906293</v>
      </c>
      <c r="AF895" s="172">
        <f t="shared" ref="AF895" si="2066">AE895*SUM(AF891:AF894,AF889)/SUM(AE891:AE894,AE889)</f>
        <v>164076.27873220562</v>
      </c>
      <c r="AG895" s="172">
        <f t="shared" ref="AG895" si="2067">AF895*SUM(AG891:AG894,AG889)/SUM(AF891:AF894,AF889)</f>
        <v>165314.85024837259</v>
      </c>
      <c r="AH895" s="172">
        <f t="shared" ref="AH895" si="2068">AG895*SUM(AH891:AH894,AH889)/SUM(AG891:AG894,AG889)</f>
        <v>166973.79434139773</v>
      </c>
      <c r="AI895" s="172">
        <f t="shared" ref="AI895" si="2069">AH895*SUM(AI891:AI894,AI889)/SUM(AH891:AH894,AH889)</f>
        <v>168903.157191804</v>
      </c>
      <c r="AJ895" s="1755"/>
      <c r="AK895" s="1755"/>
      <c r="AL895" s="1755"/>
      <c r="AM895" s="1755"/>
      <c r="AN895" s="1755"/>
      <c r="AO895" s="1755"/>
      <c r="AP895" s="1755"/>
      <c r="AQ895" s="1755"/>
      <c r="AS895" s="634" t="s">
        <v>130</v>
      </c>
      <c r="AT895" s="345"/>
      <c r="AU895" s="172">
        <f t="shared" ref="AU895:BA895" si="2070">AU896-SUM(AU891:AU894,AU889)</f>
        <v>227440.25</v>
      </c>
      <c r="AV895" s="172">
        <f t="shared" si="2070"/>
        <v>214171</v>
      </c>
      <c r="AW895" s="172">
        <f t="shared" si="2070"/>
        <v>210727.75</v>
      </c>
      <c r="AX895" s="172">
        <f t="shared" si="2070"/>
        <v>203417</v>
      </c>
      <c r="AY895" s="172">
        <f t="shared" si="2070"/>
        <v>198921.75</v>
      </c>
      <c r="AZ895" s="172">
        <f t="shared" si="2070"/>
        <v>188041</v>
      </c>
      <c r="BA895" s="172">
        <f t="shared" si="2070"/>
        <v>161855.59743507416</v>
      </c>
      <c r="BB895" s="172">
        <f t="shared" ref="BB895" si="2071">BB896-SUM(BB891:BB894,BB889)</f>
        <v>166317.02012844523</v>
      </c>
      <c r="BC895" s="172">
        <f>BB895*SUM(BC891:BC894,BC889)/SUM(BB891:BB894,BB889)</f>
        <v>170666.60666405188</v>
      </c>
      <c r="BD895" s="172">
        <f>BC895*SUM(BD891:BD894,BD889)/SUM(BC891:BC894,BC889)</f>
        <v>176331.41780247321</v>
      </c>
      <c r="BE895" s="172">
        <f>BD895*SUM(BE891:BE894,BE889)/SUM(BD891:BD894,BD889)</f>
        <v>181928.28558432916</v>
      </c>
    </row>
    <row r="896" spans="1:70" s="160" customFormat="1" x14ac:dyDescent="0.2">
      <c r="A896" s="829"/>
      <c r="B896" s="642" t="s">
        <v>30</v>
      </c>
      <c r="C896" s="648"/>
      <c r="D896" s="659">
        <v>1911800</v>
      </c>
      <c r="E896" s="88">
        <v>1916100</v>
      </c>
      <c r="F896" s="88">
        <v>1909400</v>
      </c>
      <c r="G896" s="88">
        <v>1905400</v>
      </c>
      <c r="H896" s="88">
        <v>1886800</v>
      </c>
      <c r="I896" s="88">
        <v>1898900</v>
      </c>
      <c r="J896" s="88">
        <v>1857100</v>
      </c>
      <c r="K896" s="88">
        <v>1888000</v>
      </c>
      <c r="L896" s="88">
        <v>1888300</v>
      </c>
      <c r="M896" s="88">
        <v>1903300</v>
      </c>
      <c r="N896" s="88">
        <v>1895400</v>
      </c>
      <c r="O896" s="88">
        <v>1900200</v>
      </c>
      <c r="P896" s="88">
        <v>1853100</v>
      </c>
      <c r="Q896" s="88">
        <v>1839700</v>
      </c>
      <c r="R896" s="88">
        <v>1818400</v>
      </c>
      <c r="S896" s="88">
        <v>1784300</v>
      </c>
      <c r="T896" s="88">
        <v>1777600</v>
      </c>
      <c r="U896" s="88">
        <v>1807300</v>
      </c>
      <c r="V896" s="88">
        <v>1830200</v>
      </c>
      <c r="W896" s="88">
        <v>1819800</v>
      </c>
      <c r="X896" s="88">
        <v>1830600</v>
      </c>
      <c r="Y896" s="88">
        <v>1869200</v>
      </c>
      <c r="Z896" s="88">
        <v>1892300</v>
      </c>
      <c r="AA896" s="88">
        <v>1909700</v>
      </c>
      <c r="AB896" s="88">
        <v>1904200</v>
      </c>
      <c r="AC896" s="224">
        <f t="shared" ref="AC896:AE896" si="2072">SUM(AC891:AC895,AC889)</f>
        <v>1911959.7826231329</v>
      </c>
      <c r="AD896" s="224">
        <f t="shared" si="2072"/>
        <v>1920408.6290756604</v>
      </c>
      <c r="AE896" s="224">
        <f t="shared" si="2072"/>
        <v>1931687.7845540701</v>
      </c>
      <c r="AF896" s="224">
        <f t="shared" ref="AF896:AI896" si="2073">SUM(AF891:AF895,AF889)</f>
        <v>1943366.4343166202</v>
      </c>
      <c r="AG896" s="224">
        <f t="shared" si="2073"/>
        <v>1958036.4300626116</v>
      </c>
      <c r="AH896" s="224">
        <f t="shared" si="2073"/>
        <v>1977685.4389973814</v>
      </c>
      <c r="AI896" s="224">
        <f t="shared" si="2073"/>
        <v>2000537.3651384942</v>
      </c>
      <c r="AJ896" s="224"/>
      <c r="AK896" s="224"/>
      <c r="AL896" s="224"/>
      <c r="AM896" s="224"/>
      <c r="AN896" s="224"/>
      <c r="AO896" s="224"/>
      <c r="AP896" s="224"/>
      <c r="AQ896" s="224"/>
      <c r="AR896" s="70"/>
      <c r="AS896" s="642" t="s">
        <v>30</v>
      </c>
      <c r="AT896" s="648"/>
      <c r="AU896" s="281">
        <f t="shared" ref="AU896" si="2074">AVERAGE(D896:G896)</f>
        <v>1910675</v>
      </c>
      <c r="AV896" s="281">
        <f>AVERAGE(H896:K896)</f>
        <v>1882700</v>
      </c>
      <c r="AW896" s="281">
        <f>AVERAGE(L896:O896)</f>
        <v>1896800</v>
      </c>
      <c r="AX896" s="281">
        <f>AVERAGE(P896:S896)</f>
        <v>1823875</v>
      </c>
      <c r="AY896" s="281">
        <f>AVERAGE(T896:W896)</f>
        <v>1808725</v>
      </c>
      <c r="AZ896" s="281">
        <f>AVERAGE(X896:AA896)</f>
        <v>1875450</v>
      </c>
      <c r="BA896" s="281">
        <f>AVERAGE(AB896:AE896)</f>
        <v>1917064.0490632157</v>
      </c>
      <c r="BB896" s="281">
        <f>AVERAGE(AF896:AI896)</f>
        <v>1969906.4171287769</v>
      </c>
      <c r="BC896" s="224">
        <f>SUM(BC891:BC895,BC889)</f>
        <v>2021424.1657135654</v>
      </c>
      <c r="BD896" s="224">
        <f>SUM(BD891:BD895,BD889)</f>
        <v>2088519.8111549076</v>
      </c>
      <c r="BE896" s="224">
        <f>SUM(BE891:BE895,BE889)</f>
        <v>2154810.7160231196</v>
      </c>
      <c r="BM896"/>
      <c r="BN896"/>
      <c r="BO896"/>
      <c r="BP896"/>
      <c r="BQ896"/>
      <c r="BR896"/>
    </row>
    <row r="897" spans="1:57" x14ac:dyDescent="0.2">
      <c r="W897" s="232"/>
      <c r="X897" s="232"/>
      <c r="Y897" s="232"/>
      <c r="Z897" s="232"/>
      <c r="AA897" s="232"/>
      <c r="AB897" s="232"/>
      <c r="AS897" s="10"/>
      <c r="AT897" s="9"/>
      <c r="BC897" s="9"/>
      <c r="BD897" s="1704"/>
      <c r="BE897" s="1702"/>
    </row>
    <row r="898" spans="1:57" x14ac:dyDescent="0.2">
      <c r="B898" s="642" t="s">
        <v>31</v>
      </c>
      <c r="C898" s="648"/>
      <c r="Y898" s="1215"/>
      <c r="Z898" s="1688"/>
      <c r="AA898" s="1742"/>
      <c r="AB898" s="1785"/>
      <c r="AS898" s="642" t="s">
        <v>31</v>
      </c>
      <c r="AT898" s="648"/>
      <c r="BC898" s="9"/>
      <c r="BD898" s="1704"/>
      <c r="BE898" s="1702"/>
    </row>
    <row r="899" spans="1:57" x14ac:dyDescent="0.2">
      <c r="B899" s="634" t="s">
        <v>361</v>
      </c>
      <c r="C899" s="648"/>
      <c r="D899" s="32"/>
      <c r="Y899" s="1215"/>
      <c r="Z899" s="1688"/>
      <c r="AA899" s="1742"/>
      <c r="AB899" s="1785"/>
      <c r="AS899" s="634" t="s">
        <v>361</v>
      </c>
      <c r="AT899" s="648"/>
      <c r="BC899" s="9"/>
      <c r="BD899" s="1704"/>
      <c r="BE899" s="1702"/>
    </row>
    <row r="900" spans="1:57" x14ac:dyDescent="0.2">
      <c r="B900" s="319"/>
      <c r="C900" s="634" t="s">
        <v>350</v>
      </c>
      <c r="D900" s="32" t="s">
        <v>229</v>
      </c>
      <c r="E900" s="50">
        <f t="shared" ref="E900:AB900" si="2075">AVERAGE(D852:E852)</f>
        <v>231026.5</v>
      </c>
      <c r="F900" s="50">
        <f t="shared" si="2075"/>
        <v>236635</v>
      </c>
      <c r="G900" s="50">
        <f t="shared" si="2075"/>
        <v>243645</v>
      </c>
      <c r="H900" s="50">
        <f t="shared" si="2075"/>
        <v>253968.5</v>
      </c>
      <c r="I900" s="50">
        <f t="shared" si="2075"/>
        <v>265454</v>
      </c>
      <c r="J900" s="50">
        <f t="shared" si="2075"/>
        <v>268504.5</v>
      </c>
      <c r="K900" s="50">
        <f t="shared" si="2075"/>
        <v>275243</v>
      </c>
      <c r="L900" s="50">
        <f t="shared" si="2075"/>
        <v>282356.5</v>
      </c>
      <c r="M900" s="50">
        <f t="shared" si="2075"/>
        <v>284792</v>
      </c>
      <c r="N900" s="50">
        <f t="shared" si="2075"/>
        <v>287319.5</v>
      </c>
      <c r="O900" s="50">
        <f t="shared" si="2075"/>
        <v>285291</v>
      </c>
      <c r="P900" s="50">
        <f t="shared" si="2075"/>
        <v>280200.5</v>
      </c>
      <c r="Q900" s="50">
        <f t="shared" si="2075"/>
        <v>272185</v>
      </c>
      <c r="R900" s="50">
        <f t="shared" si="2075"/>
        <v>268002</v>
      </c>
      <c r="S900" s="50">
        <f t="shared" si="2075"/>
        <v>273645.5</v>
      </c>
      <c r="T900" s="50">
        <f t="shared" si="2075"/>
        <v>282601.5</v>
      </c>
      <c r="U900" s="50">
        <f t="shared" si="2075"/>
        <v>290279</v>
      </c>
      <c r="V900" s="50">
        <f t="shared" si="2075"/>
        <v>291841.5</v>
      </c>
      <c r="W900" s="50">
        <f t="shared" si="2075"/>
        <v>294533</v>
      </c>
      <c r="X900" s="50">
        <f t="shared" si="2075"/>
        <v>305772</v>
      </c>
      <c r="Y900" s="50">
        <f t="shared" si="2075"/>
        <v>310966.5</v>
      </c>
      <c r="Z900" s="50">
        <f t="shared" si="2075"/>
        <v>313458.5</v>
      </c>
      <c r="AA900" s="50">
        <f t="shared" si="2075"/>
        <v>317084.5</v>
      </c>
      <c r="AB900" s="50">
        <f t="shared" si="2075"/>
        <v>323242.5</v>
      </c>
      <c r="AC900" s="348">
        <f>AB900*(1+Drivers!AC262)</f>
        <v>326474.92499999999</v>
      </c>
      <c r="AD900" s="348">
        <f>AC900*(1+Drivers!AD262)</f>
        <v>329739.67424999998</v>
      </c>
      <c r="AE900" s="348">
        <f>AD900*(1+Drivers!AE262)</f>
        <v>333037.0709925</v>
      </c>
      <c r="AF900" s="348">
        <f>AE900*(1+Drivers!AF262)</f>
        <v>336367.44170242501</v>
      </c>
      <c r="AG900" s="348">
        <f>AF900*(1+Drivers!AG262)</f>
        <v>339731.11611944926</v>
      </c>
      <c r="AH900" s="348">
        <f>AG900*(1+Drivers!AH262)</f>
        <v>343128.42728064378</v>
      </c>
      <c r="AI900" s="348">
        <f>AH900*(1+Drivers!AI262)</f>
        <v>345873.45469888893</v>
      </c>
      <c r="AJ900" s="348"/>
      <c r="AK900" s="348"/>
      <c r="AL900" s="348"/>
      <c r="AM900" s="348"/>
      <c r="AN900" s="348"/>
      <c r="AO900" s="348"/>
      <c r="AP900" s="348"/>
      <c r="AQ900" s="348"/>
      <c r="AS900" s="319"/>
      <c r="AT900" s="634" t="s">
        <v>350</v>
      </c>
      <c r="AU900" s="207">
        <f>AVERAGE(D900:G900)</f>
        <v>237102.16666666666</v>
      </c>
      <c r="AV900" s="207">
        <f>AVERAGE(H900:K900)</f>
        <v>265792.5</v>
      </c>
      <c r="AW900" s="207">
        <f>AVERAGE(L900:O900)</f>
        <v>284939.75</v>
      </c>
      <c r="AX900" s="207">
        <f>AVERAGE(P900:S900)</f>
        <v>273508.25</v>
      </c>
      <c r="AY900" s="207">
        <f>AVERAGE(T900:W900)</f>
        <v>289813.75</v>
      </c>
      <c r="AZ900" s="207">
        <f>AVERAGE(X900:AA900)</f>
        <v>311820.375</v>
      </c>
      <c r="BA900" s="207">
        <f>AVERAGE(AB900:AE900)</f>
        <v>328123.54256062501</v>
      </c>
      <c r="BB900" s="207">
        <f>AVERAGE(AF900:AI900)</f>
        <v>341275.10995035176</v>
      </c>
      <c r="BC900" s="348">
        <f>BB900*(1+Drivers!BC262)</f>
        <v>354926.11434836587</v>
      </c>
      <c r="BD900" s="348">
        <f>BC900*(1+Drivers!BD262)</f>
        <v>369123.1589223005</v>
      </c>
      <c r="BE900" s="348">
        <f>BD900*(1+Drivers!BE262)</f>
        <v>383888.08527919254</v>
      </c>
    </row>
    <row r="901" spans="1:57" x14ac:dyDescent="0.2">
      <c r="B901" s="319"/>
      <c r="C901" s="634" t="s">
        <v>352</v>
      </c>
      <c r="D901" s="32" t="s">
        <v>229</v>
      </c>
      <c r="E901" s="50">
        <f t="shared" ref="E901:AB901" si="2076">AVERAGE(D854:E854)</f>
        <v>497601</v>
      </c>
      <c r="F901" s="50">
        <f t="shared" si="2076"/>
        <v>503920</v>
      </c>
      <c r="G901" s="50">
        <f t="shared" si="2076"/>
        <v>497730</v>
      </c>
      <c r="H901" s="50">
        <f t="shared" si="2076"/>
        <v>485837.5</v>
      </c>
      <c r="I901" s="50">
        <f t="shared" si="2076"/>
        <v>481659</v>
      </c>
      <c r="J901" s="50">
        <f t="shared" si="2076"/>
        <v>486321.5</v>
      </c>
      <c r="K901" s="50">
        <f t="shared" si="2076"/>
        <v>489570.5</v>
      </c>
      <c r="L901" s="50">
        <f t="shared" si="2076"/>
        <v>483561.5</v>
      </c>
      <c r="M901" s="50">
        <f t="shared" si="2076"/>
        <v>476432.5</v>
      </c>
      <c r="N901" s="50">
        <f t="shared" si="2076"/>
        <v>464813</v>
      </c>
      <c r="O901" s="50">
        <f t="shared" si="2076"/>
        <v>436025.5</v>
      </c>
      <c r="P901" s="50">
        <f t="shared" si="2076"/>
        <v>415237</v>
      </c>
      <c r="Q901" s="50">
        <f t="shared" si="2076"/>
        <v>423725.5</v>
      </c>
      <c r="R901" s="50">
        <f t="shared" si="2076"/>
        <v>427010.5</v>
      </c>
      <c r="S901" s="50">
        <f t="shared" si="2076"/>
        <v>419700</v>
      </c>
      <c r="T901" s="50">
        <f t="shared" si="2076"/>
        <v>425215.5</v>
      </c>
      <c r="U901" s="50">
        <f t="shared" si="2076"/>
        <v>429574</v>
      </c>
      <c r="V901" s="50">
        <f t="shared" si="2076"/>
        <v>429923.5</v>
      </c>
      <c r="W901" s="50">
        <f t="shared" si="2076"/>
        <v>424211.5</v>
      </c>
      <c r="X901" s="50">
        <f t="shared" si="2076"/>
        <v>422519.5</v>
      </c>
      <c r="Y901" s="50">
        <f t="shared" si="2076"/>
        <v>434501</v>
      </c>
      <c r="Z901" s="50">
        <f t="shared" si="2076"/>
        <v>437583.5</v>
      </c>
      <c r="AA901" s="50">
        <f t="shared" si="2076"/>
        <v>431986.5</v>
      </c>
      <c r="AB901" s="50">
        <f t="shared" si="2076"/>
        <v>442213.5</v>
      </c>
      <c r="AC901" s="348">
        <f>AB901*(1+Drivers!AC263)</f>
        <v>446635.63500000001</v>
      </c>
      <c r="AD901" s="348">
        <f>AC901*(1+Drivers!AD263)</f>
        <v>451101.99135000003</v>
      </c>
      <c r="AE901" s="348">
        <f>AD901*(1+Drivers!AE263)</f>
        <v>455613.01126350003</v>
      </c>
      <c r="AF901" s="348">
        <f>AE901*(1+Drivers!AF263)</f>
        <v>460169.14137613506</v>
      </c>
      <c r="AG901" s="348">
        <f>AF901*(1+Drivers!AG263)</f>
        <v>464770.83278989641</v>
      </c>
      <c r="AH901" s="348">
        <f>AG901*(1+Drivers!AH263)</f>
        <v>469418.54111779539</v>
      </c>
      <c r="AI901" s="348">
        <f>AH901*(1+Drivers!AI263)</f>
        <v>473173.88944673777</v>
      </c>
      <c r="AJ901" s="348"/>
      <c r="AK901" s="348"/>
      <c r="AL901" s="348"/>
      <c r="AM901" s="348"/>
      <c r="AN901" s="348"/>
      <c r="AO901" s="348"/>
      <c r="AP901" s="348"/>
      <c r="AQ901" s="348"/>
      <c r="AS901" s="319"/>
      <c r="AT901" s="634" t="s">
        <v>352</v>
      </c>
      <c r="AU901" s="207">
        <f>AVERAGE(D901:G901)</f>
        <v>499750.33333333331</v>
      </c>
      <c r="AV901" s="207">
        <f>AVERAGE(H901:K901)</f>
        <v>485847.125</v>
      </c>
      <c r="AW901" s="207">
        <f>AVERAGE(L901:O901)</f>
        <v>465208.125</v>
      </c>
      <c r="AX901" s="207">
        <f>AVERAGE(P901:S901)</f>
        <v>421418.25</v>
      </c>
      <c r="AY901" s="207">
        <f>AVERAGE(T901:W901)</f>
        <v>427231.125</v>
      </c>
      <c r="AZ901" s="207">
        <f>AVERAGE(X901:AA901)</f>
        <v>431647.625</v>
      </c>
      <c r="BA901" s="207">
        <f>AVERAGE(AB901:AE901)</f>
        <v>448891.034403375</v>
      </c>
      <c r="BB901" s="207">
        <f>AVERAGE(AF901:AI901)</f>
        <v>466883.10118264111</v>
      </c>
      <c r="BC901" s="348">
        <f>BB901*(1+Drivers!BC263)</f>
        <v>485558.42522994679</v>
      </c>
      <c r="BD901" s="348">
        <f>BC901*(1+Drivers!BD263)</f>
        <v>504980.76223914471</v>
      </c>
      <c r="BE901" s="348">
        <f>BD901*(1+Drivers!BE263)</f>
        <v>525179.99272871052</v>
      </c>
    </row>
    <row r="902" spans="1:57" x14ac:dyDescent="0.2">
      <c r="B902" s="319" t="s">
        <v>362</v>
      </c>
      <c r="C902" s="321"/>
      <c r="D902" s="660">
        <v>706079</v>
      </c>
      <c r="E902" s="50">
        <f t="shared" ref="E902:AE902" si="2077">SUM(E900:E901)</f>
        <v>728627.5</v>
      </c>
      <c r="F902" s="50">
        <f t="shared" si="2077"/>
        <v>740555</v>
      </c>
      <c r="G902" s="50">
        <f t="shared" si="2077"/>
        <v>741375</v>
      </c>
      <c r="H902" s="50">
        <f t="shared" si="2077"/>
        <v>739806</v>
      </c>
      <c r="I902" s="50">
        <f t="shared" si="2077"/>
        <v>747113</v>
      </c>
      <c r="J902" s="50">
        <f t="shared" si="2077"/>
        <v>754826</v>
      </c>
      <c r="K902" s="50">
        <f t="shared" si="2077"/>
        <v>764813.5</v>
      </c>
      <c r="L902" s="50">
        <f t="shared" si="2077"/>
        <v>765918</v>
      </c>
      <c r="M902" s="50">
        <f t="shared" si="2077"/>
        <v>761224.5</v>
      </c>
      <c r="N902" s="50">
        <f t="shared" si="2077"/>
        <v>752132.5</v>
      </c>
      <c r="O902" s="50">
        <f t="shared" si="2077"/>
        <v>721316.5</v>
      </c>
      <c r="P902" s="50">
        <f t="shared" si="2077"/>
        <v>695437.5</v>
      </c>
      <c r="Q902" s="50">
        <f t="shared" si="2077"/>
        <v>695910.5</v>
      </c>
      <c r="R902" s="50">
        <f t="shared" si="2077"/>
        <v>695012.5</v>
      </c>
      <c r="S902" s="50">
        <f t="shared" si="2077"/>
        <v>693345.5</v>
      </c>
      <c r="T902" s="50">
        <f t="shared" si="2077"/>
        <v>707817</v>
      </c>
      <c r="U902" s="50">
        <f t="shared" si="2077"/>
        <v>719853</v>
      </c>
      <c r="V902" s="50">
        <f t="shared" si="2077"/>
        <v>721765</v>
      </c>
      <c r="W902" s="50">
        <f t="shared" si="2077"/>
        <v>718744.5</v>
      </c>
      <c r="X902" s="50">
        <f t="shared" si="2077"/>
        <v>728291.5</v>
      </c>
      <c r="Y902" s="50">
        <f t="shared" ref="Y902:Z902" si="2078">SUM(Y900:Y901)</f>
        <v>745467.5</v>
      </c>
      <c r="Z902" s="50">
        <f t="shared" si="2078"/>
        <v>751042</v>
      </c>
      <c r="AA902" s="50">
        <f t="shared" ref="AA902:AB902" si="2079">SUM(AA900:AA901)</f>
        <v>749071</v>
      </c>
      <c r="AB902" s="50">
        <f t="shared" si="2079"/>
        <v>765456</v>
      </c>
      <c r="AC902" s="50">
        <f t="shared" si="2077"/>
        <v>773110.56</v>
      </c>
      <c r="AD902" s="50">
        <f t="shared" si="2077"/>
        <v>780841.66559999995</v>
      </c>
      <c r="AE902" s="50">
        <f t="shared" si="2077"/>
        <v>788650.08225600002</v>
      </c>
      <c r="AF902" s="50">
        <f t="shared" ref="AF902:AI902" si="2080">SUM(AF900:AF901)</f>
        <v>796536.58307856007</v>
      </c>
      <c r="AG902" s="50">
        <f t="shared" si="2080"/>
        <v>804501.94890934567</v>
      </c>
      <c r="AH902" s="50">
        <f t="shared" si="2080"/>
        <v>812546.96839843923</v>
      </c>
      <c r="AI902" s="50">
        <f t="shared" si="2080"/>
        <v>819047.34414562676</v>
      </c>
      <c r="AJ902" s="50"/>
      <c r="AK902" s="50"/>
      <c r="AL902" s="50"/>
      <c r="AM902" s="50"/>
      <c r="AN902" s="50"/>
      <c r="AO902" s="50"/>
      <c r="AP902" s="50"/>
      <c r="AQ902" s="50"/>
      <c r="AS902" s="319" t="s">
        <v>362</v>
      </c>
      <c r="AT902" s="321"/>
      <c r="AU902" s="232">
        <f t="shared" ref="AU902:BD902" si="2081">SUM(AU900:AU901)</f>
        <v>736852.5</v>
      </c>
      <c r="AV902" s="232">
        <f t="shared" si="2081"/>
        <v>751639.625</v>
      </c>
      <c r="AW902" s="232">
        <f t="shared" si="2081"/>
        <v>750147.875</v>
      </c>
      <c r="AX902" s="232">
        <f t="shared" si="2081"/>
        <v>694926.5</v>
      </c>
      <c r="AY902" s="232">
        <f t="shared" si="2081"/>
        <v>717044.875</v>
      </c>
      <c r="AZ902" s="232">
        <f t="shared" si="2081"/>
        <v>743468</v>
      </c>
      <c r="BA902" s="232">
        <f t="shared" si="2081"/>
        <v>777014.57696400001</v>
      </c>
      <c r="BB902" s="232">
        <f t="shared" ref="BB902" si="2082">SUM(BB900:BB901)</f>
        <v>808158.21113299287</v>
      </c>
      <c r="BC902" s="50">
        <f t="shared" si="2081"/>
        <v>840484.53957831266</v>
      </c>
      <c r="BD902" s="50">
        <f t="shared" si="2081"/>
        <v>874103.92116144521</v>
      </c>
      <c r="BE902" s="50">
        <f t="shared" ref="BE902" si="2083">SUM(BE900:BE901)</f>
        <v>909068.07800790307</v>
      </c>
    </row>
    <row r="903" spans="1:57" x14ac:dyDescent="0.2">
      <c r="B903" s="325"/>
      <c r="C903" s="321" t="s">
        <v>32</v>
      </c>
      <c r="D903" s="660">
        <v>115765</v>
      </c>
      <c r="E903" s="560">
        <v>112013</v>
      </c>
      <c r="F903" s="560">
        <v>109825</v>
      </c>
      <c r="G903" s="560">
        <v>104969</v>
      </c>
      <c r="H903" s="560">
        <v>108705</v>
      </c>
      <c r="I903" s="560">
        <v>111833</v>
      </c>
      <c r="J903" s="560">
        <v>116175</v>
      </c>
      <c r="K903" s="560">
        <v>115246</v>
      </c>
      <c r="L903" s="560">
        <v>114803</v>
      </c>
      <c r="M903" s="560">
        <v>115160</v>
      </c>
      <c r="N903" s="560">
        <v>124993</v>
      </c>
      <c r="O903" s="560">
        <v>118033</v>
      </c>
      <c r="P903" s="560">
        <v>129138</v>
      </c>
      <c r="Q903" s="560">
        <v>114279</v>
      </c>
      <c r="R903" s="560">
        <v>132021</v>
      </c>
      <c r="S903" s="560">
        <v>89979</v>
      </c>
      <c r="T903" s="560">
        <v>79476</v>
      </c>
      <c r="U903" s="560">
        <v>65078</v>
      </c>
      <c r="V903" s="560">
        <v>81304</v>
      </c>
      <c r="W903" s="560">
        <v>94935</v>
      </c>
      <c r="X903" s="560">
        <v>95613</v>
      </c>
      <c r="Y903" s="560">
        <v>91556</v>
      </c>
      <c r="Z903" s="560">
        <v>98139</v>
      </c>
      <c r="AA903" s="560">
        <v>105339</v>
      </c>
      <c r="AB903" s="560">
        <v>112684</v>
      </c>
      <c r="AC903" s="348">
        <f>AB903*(1+Drivers!AC268)</f>
        <v>116064.52</v>
      </c>
      <c r="AD903" s="348">
        <f>AC903*(1+Drivers!AD268)</f>
        <v>119546.4556</v>
      </c>
      <c r="AE903" s="348">
        <f>AD903*(1+Drivers!AE268)</f>
        <v>123132.84926800001</v>
      </c>
      <c r="AF903" s="348">
        <f>AE903*(1+Drivers!AF268)</f>
        <v>126826.83474604001</v>
      </c>
      <c r="AG903" s="348">
        <f>AF903*(1+Drivers!AG268)</f>
        <v>130631.63978842122</v>
      </c>
      <c r="AH903" s="348">
        <f>AG903*(1+Drivers!AH268)</f>
        <v>134550.58898207385</v>
      </c>
      <c r="AI903" s="348">
        <f>AH903*(1+Drivers!AI268)</f>
        <v>138587.10665153607</v>
      </c>
      <c r="AJ903" s="348"/>
      <c r="AK903" s="348"/>
      <c r="AL903" s="348"/>
      <c r="AM903" s="348"/>
      <c r="AN903" s="348"/>
      <c r="AO903" s="348"/>
      <c r="AP903" s="348"/>
      <c r="AQ903" s="348"/>
      <c r="AS903" s="325"/>
      <c r="AT903" s="321" t="s">
        <v>32</v>
      </c>
      <c r="AU903" s="207">
        <f>AVERAGE(D903:G903)</f>
        <v>110643</v>
      </c>
      <c r="AV903" s="207">
        <f>AVERAGE(H903:K903)</f>
        <v>112989.75</v>
      </c>
      <c r="AW903" s="207">
        <f>AVERAGE(L903:O903)</f>
        <v>118247.25</v>
      </c>
      <c r="AX903" s="207">
        <f>AVERAGE(P903:S903)</f>
        <v>116354.25</v>
      </c>
      <c r="AY903" s="207">
        <f>AVERAGE(T903:W903)</f>
        <v>80198.25</v>
      </c>
      <c r="AZ903" s="207">
        <f>AVERAGE(X903:AA903)</f>
        <v>97661.75</v>
      </c>
      <c r="BA903" s="207">
        <f>AVERAGE(AB903:AE903)</f>
        <v>117856.956217</v>
      </c>
      <c r="BB903" s="207">
        <f>AVERAGE(AF903:AI903)</f>
        <v>132649.04254201779</v>
      </c>
      <c r="BC903" s="348">
        <f>BB903*(1+Drivers!BC268)</f>
        <v>139281.49466911869</v>
      </c>
      <c r="BD903" s="348">
        <f>BC903*(1+Drivers!BD268)</f>
        <v>146245.56940257462</v>
      </c>
      <c r="BE903" s="348">
        <f>BD903*(1+Drivers!BE268)</f>
        <v>153557.84787270337</v>
      </c>
    </row>
    <row r="904" spans="1:57" x14ac:dyDescent="0.2">
      <c r="C904" s="9" t="s">
        <v>33</v>
      </c>
      <c r="D904" s="95">
        <v>311139</v>
      </c>
      <c r="E904" s="95">
        <v>275301</v>
      </c>
      <c r="F904" s="95">
        <v>257317</v>
      </c>
      <c r="G904" s="95">
        <v>235024</v>
      </c>
      <c r="H904" s="95">
        <v>215739</v>
      </c>
      <c r="I904" s="95">
        <v>205180</v>
      </c>
      <c r="J904" s="95">
        <v>197438</v>
      </c>
      <c r="K904" s="95">
        <v>198976</v>
      </c>
      <c r="L904" s="95">
        <v>198476</v>
      </c>
      <c r="M904" s="95">
        <v>204068</v>
      </c>
      <c r="N904" s="95">
        <v>204000</v>
      </c>
      <c r="O904" s="95">
        <v>201678</v>
      </c>
      <c r="P904" s="95">
        <v>198562</v>
      </c>
      <c r="Q904" s="95">
        <v>187910</v>
      </c>
      <c r="R904" s="95">
        <v>187636</v>
      </c>
      <c r="S904" s="95">
        <v>185947</v>
      </c>
      <c r="T904" s="95">
        <v>179283</v>
      </c>
      <c r="U904" s="95">
        <v>182220</v>
      </c>
      <c r="V904" s="95">
        <v>181933</v>
      </c>
      <c r="W904" s="95">
        <v>183637</v>
      </c>
      <c r="X904" s="95">
        <v>183696</v>
      </c>
      <c r="Y904" s="95">
        <v>192144</v>
      </c>
      <c r="Z904" s="95">
        <v>203064</v>
      </c>
      <c r="AA904" s="95">
        <v>207598</v>
      </c>
      <c r="AB904" s="95">
        <v>204277</v>
      </c>
      <c r="AC904" s="348">
        <f>AB904*(1+Drivers!AC269)</f>
        <v>208362.54</v>
      </c>
      <c r="AD904" s="348">
        <f>AC904*(1+Drivers!AD269)</f>
        <v>212529.79080000002</v>
      </c>
      <c r="AE904" s="348">
        <f>AD904*(1+Drivers!AE269)</f>
        <v>216780.38661600003</v>
      </c>
      <c r="AF904" s="348">
        <f>AE904*(1+Drivers!AF269)</f>
        <v>221115.99434832003</v>
      </c>
      <c r="AG904" s="348">
        <f>AF904*(1+Drivers!AG269)</f>
        <v>225538.31423528644</v>
      </c>
      <c r="AH904" s="348">
        <f>AG904*(1+Drivers!AH269)</f>
        <v>230049.08051999216</v>
      </c>
      <c r="AI904" s="348">
        <f>AH904*(1+Drivers!AI269)</f>
        <v>234650.06213039201</v>
      </c>
      <c r="AJ904" s="348"/>
      <c r="AK904" s="348"/>
      <c r="AL904" s="348"/>
      <c r="AM904" s="348"/>
      <c r="AN904" s="348"/>
      <c r="AO904" s="348"/>
      <c r="AP904" s="348"/>
      <c r="AQ904" s="348"/>
      <c r="AS904" s="10"/>
      <c r="AT904" s="9" t="s">
        <v>33</v>
      </c>
      <c r="AU904" s="207">
        <f>AVERAGE(D904:G904)</f>
        <v>269695.25</v>
      </c>
      <c r="AV904" s="207">
        <f>AVERAGE(H904:K904)</f>
        <v>204333.25</v>
      </c>
      <c r="AW904" s="207">
        <f>AVERAGE(L904:O904)</f>
        <v>202055.5</v>
      </c>
      <c r="AX904" s="207">
        <f>AVERAGE(P904:S904)</f>
        <v>190013.75</v>
      </c>
      <c r="AY904" s="207">
        <f>AVERAGE(T904:W904)</f>
        <v>181768.25</v>
      </c>
      <c r="AZ904" s="207">
        <f>AVERAGE(X904:AA904)</f>
        <v>196625.5</v>
      </c>
      <c r="BA904" s="207">
        <f>AVERAGE(AB904:AE904)</f>
        <v>210487.42935400002</v>
      </c>
      <c r="BB904" s="207">
        <f>AVERAGE(AF904:AI904)</f>
        <v>227838.36280849768</v>
      </c>
      <c r="BC904" s="348">
        <f>BB904*(1+Drivers!BC269)</f>
        <v>239230.28094892256</v>
      </c>
      <c r="BD904" s="348">
        <f>BC904*(1+Drivers!BD269)</f>
        <v>251191.7949963687</v>
      </c>
      <c r="BE904" s="348">
        <f>BD904*(1+Drivers!BE269)</f>
        <v>263751.38474618713</v>
      </c>
    </row>
    <row r="905" spans="1:57" x14ac:dyDescent="0.2">
      <c r="A905" s="830"/>
      <c r="B905" s="159"/>
      <c r="C905" s="28" t="s">
        <v>569</v>
      </c>
      <c r="D905" s="220">
        <f t="shared" ref="D905:X905" si="2084">D906-SUM(D902:D904)</f>
        <v>285444</v>
      </c>
      <c r="E905" s="220">
        <f t="shared" si="2084"/>
        <v>295075.5</v>
      </c>
      <c r="F905" s="220">
        <f t="shared" si="2084"/>
        <v>290802</v>
      </c>
      <c r="G905" s="220">
        <f t="shared" si="2084"/>
        <v>288683</v>
      </c>
      <c r="H905" s="220">
        <f t="shared" si="2084"/>
        <v>300490</v>
      </c>
      <c r="I905" s="220">
        <f t="shared" si="2084"/>
        <v>316511</v>
      </c>
      <c r="J905" s="220">
        <f t="shared" si="2084"/>
        <v>278830</v>
      </c>
      <c r="K905" s="220">
        <f t="shared" si="2084"/>
        <v>280746.5</v>
      </c>
      <c r="L905" s="220">
        <f t="shared" si="2084"/>
        <v>264988</v>
      </c>
      <c r="M905" s="220">
        <f t="shared" si="2084"/>
        <v>271009.5</v>
      </c>
      <c r="N905" s="220">
        <f t="shared" si="2084"/>
        <v>259061.5</v>
      </c>
      <c r="O905" s="220">
        <f t="shared" si="2084"/>
        <v>276784.5</v>
      </c>
      <c r="P905" s="220">
        <f t="shared" si="2084"/>
        <v>253271.5</v>
      </c>
      <c r="Q905" s="220">
        <f t="shared" si="2084"/>
        <v>261339.5</v>
      </c>
      <c r="R905" s="220">
        <f t="shared" si="2084"/>
        <v>246584.5</v>
      </c>
      <c r="S905" s="220">
        <f t="shared" si="2084"/>
        <v>229590.5</v>
      </c>
      <c r="T905" s="220">
        <f t="shared" si="2084"/>
        <v>222113</v>
      </c>
      <c r="U905" s="220">
        <f t="shared" si="2084"/>
        <v>236624</v>
      </c>
      <c r="V905" s="220">
        <f t="shared" si="2084"/>
        <v>243687</v>
      </c>
      <c r="W905" s="220">
        <f t="shared" si="2084"/>
        <v>231933.5</v>
      </c>
      <c r="X905" s="220">
        <f t="shared" si="2084"/>
        <v>243786.5</v>
      </c>
      <c r="Y905" s="220">
        <f t="shared" ref="Y905:Z905" si="2085">Y906-SUM(Y902:Y904)</f>
        <v>258092.5</v>
      </c>
      <c r="Z905" s="220">
        <f t="shared" si="2085"/>
        <v>254273</v>
      </c>
      <c r="AA905" s="220">
        <f t="shared" ref="AA905:AB905" si="2086">AA906-SUM(AA902:AA904)</f>
        <v>263386</v>
      </c>
      <c r="AB905" s="220">
        <f t="shared" si="2086"/>
        <v>260501</v>
      </c>
      <c r="AC905" s="538">
        <f>AB905*(1+Drivers!AC270)</f>
        <v>263106.01</v>
      </c>
      <c r="AD905" s="538">
        <f>AC905*(1+Drivers!AD270)</f>
        <v>265737.07010000001</v>
      </c>
      <c r="AE905" s="538">
        <f>AD905*(1+Drivers!AE270)</f>
        <v>268394.44080099999</v>
      </c>
      <c r="AF905" s="538">
        <f>AE905*(1+Drivers!AF270)</f>
        <v>271078.38520900998</v>
      </c>
      <c r="AG905" s="538">
        <f>AF905*(1+Drivers!AG270)</f>
        <v>273789.16906110011</v>
      </c>
      <c r="AH905" s="538">
        <f>AG905*(1+Drivers!AH270)</f>
        <v>276527.06075171113</v>
      </c>
      <c r="AI905" s="538">
        <f>AH905*(1+Drivers!AI270)</f>
        <v>279292.33135922824</v>
      </c>
      <c r="AJ905" s="1761"/>
      <c r="AK905" s="1761"/>
      <c r="AL905" s="1761"/>
      <c r="AM905" s="1761"/>
      <c r="AN905" s="1761"/>
      <c r="AO905" s="1761"/>
      <c r="AP905" s="1761"/>
      <c r="AQ905" s="1761"/>
      <c r="AS905" s="159"/>
      <c r="AT905" s="28" t="s">
        <v>569</v>
      </c>
      <c r="AU905" s="220">
        <f t="shared" ref="AU905:BA905" si="2087">AU906-SUM(AU902:AU904)</f>
        <v>282307.75</v>
      </c>
      <c r="AV905" s="220">
        <f t="shared" si="2087"/>
        <v>294144.375</v>
      </c>
      <c r="AW905" s="220">
        <f t="shared" si="2087"/>
        <v>267960.875</v>
      </c>
      <c r="AX905" s="220">
        <f t="shared" si="2087"/>
        <v>247696.5</v>
      </c>
      <c r="AY905" s="220">
        <f t="shared" si="2087"/>
        <v>233589.375</v>
      </c>
      <c r="AZ905" s="220">
        <f t="shared" si="2087"/>
        <v>254884.5</v>
      </c>
      <c r="BA905" s="220">
        <f t="shared" si="2087"/>
        <v>264434.63022525003</v>
      </c>
      <c r="BB905" s="220">
        <f t="shared" ref="BB905" si="2088">BB906-SUM(BB902:BB904)</f>
        <v>275171.73659526207</v>
      </c>
      <c r="BC905" s="538">
        <f>BB905*(1+Drivers!BC270)</f>
        <v>280675.17132716731</v>
      </c>
      <c r="BD905" s="538">
        <f>BC905*(1+Drivers!BD270)</f>
        <v>286288.67475371069</v>
      </c>
      <c r="BE905" s="538">
        <f>BD905*(1+Drivers!BE270)</f>
        <v>292014.44824878493</v>
      </c>
    </row>
    <row r="906" spans="1:57" x14ac:dyDescent="0.2">
      <c r="B906" s="65" t="s">
        <v>356</v>
      </c>
      <c r="D906" s="95">
        <v>1418427</v>
      </c>
      <c r="E906" s="95">
        <v>1411017</v>
      </c>
      <c r="F906" s="95">
        <v>1398499</v>
      </c>
      <c r="G906" s="95">
        <v>1370051</v>
      </c>
      <c r="H906" s="95">
        <v>1364740</v>
      </c>
      <c r="I906" s="95">
        <v>1380637</v>
      </c>
      <c r="J906" s="95">
        <v>1347269</v>
      </c>
      <c r="K906" s="95">
        <v>1359782</v>
      </c>
      <c r="L906" s="95">
        <v>1344185</v>
      </c>
      <c r="M906" s="95">
        <v>1351462</v>
      </c>
      <c r="N906" s="95">
        <v>1340187</v>
      </c>
      <c r="O906" s="95">
        <v>1317812</v>
      </c>
      <c r="P906" s="95">
        <v>1276409</v>
      </c>
      <c r="Q906" s="95">
        <v>1259439</v>
      </c>
      <c r="R906" s="95">
        <v>1261254</v>
      </c>
      <c r="S906" s="95">
        <v>1198862</v>
      </c>
      <c r="T906" s="95">
        <v>1188689</v>
      </c>
      <c r="U906" s="95">
        <v>1203775</v>
      </c>
      <c r="V906" s="95">
        <v>1228689</v>
      </c>
      <c r="W906" s="95">
        <v>1229250</v>
      </c>
      <c r="X906" s="95">
        <v>1251387</v>
      </c>
      <c r="Y906" s="95">
        <v>1287260</v>
      </c>
      <c r="Z906" s="95">
        <v>1306518</v>
      </c>
      <c r="AA906" s="95">
        <v>1325394</v>
      </c>
      <c r="AB906" s="95">
        <v>1342918</v>
      </c>
      <c r="AC906" s="50">
        <f t="shared" ref="AC906:AE906" si="2089">SUM(AC902:AC905)</f>
        <v>1360643.6300000001</v>
      </c>
      <c r="AD906" s="50">
        <f t="shared" si="2089"/>
        <v>1378654.9821000001</v>
      </c>
      <c r="AE906" s="50">
        <f t="shared" si="2089"/>
        <v>1396957.7589410001</v>
      </c>
      <c r="AF906" s="50">
        <f t="shared" ref="AF906:AI906" si="2090">SUM(AF902:AF905)</f>
        <v>1415557.7973819301</v>
      </c>
      <c r="AG906" s="50">
        <f t="shared" si="2090"/>
        <v>1434461.0719941533</v>
      </c>
      <c r="AH906" s="50">
        <f t="shared" si="2090"/>
        <v>1453673.6986522162</v>
      </c>
      <c r="AI906" s="50">
        <f t="shared" si="2090"/>
        <v>1471576.8442867831</v>
      </c>
      <c r="AJ906" s="50"/>
      <c r="AK906" s="50"/>
      <c r="AL906" s="50"/>
      <c r="AM906" s="50"/>
      <c r="AN906" s="50"/>
      <c r="AO906" s="50"/>
      <c r="AP906" s="50"/>
      <c r="AQ906" s="50"/>
      <c r="AS906" s="65" t="s">
        <v>356</v>
      </c>
      <c r="AT906" s="9"/>
      <c r="AU906" s="281">
        <f>AVERAGE(D906:G906)</f>
        <v>1399498.5</v>
      </c>
      <c r="AV906" s="281">
        <f>AVERAGE(H906:K906)</f>
        <v>1363107</v>
      </c>
      <c r="AW906" s="281">
        <f>AVERAGE(L906:O906)</f>
        <v>1338411.5</v>
      </c>
      <c r="AX906" s="281">
        <f>AVERAGE(P906:S906)</f>
        <v>1248991</v>
      </c>
      <c r="AY906" s="281">
        <f>AVERAGE(T906:W906)</f>
        <v>1212600.75</v>
      </c>
      <c r="AZ906" s="281">
        <f>AVERAGE(X906:AA906)</f>
        <v>1292639.75</v>
      </c>
      <c r="BA906" s="281">
        <f>AVERAGE(AB906:AE906)</f>
        <v>1369793.59276025</v>
      </c>
      <c r="BB906" s="281">
        <f>AVERAGE(AF906:AI906)</f>
        <v>1443817.3530787705</v>
      </c>
      <c r="BC906" s="50">
        <f>SUM(BC902:BC905)</f>
        <v>1499671.4865235211</v>
      </c>
      <c r="BD906" s="50">
        <f>SUM(BD902:BD905)</f>
        <v>1557829.9603140992</v>
      </c>
      <c r="BE906" s="50">
        <f>SUM(BE902:BE905)</f>
        <v>1618391.7588755786</v>
      </c>
    </row>
    <row r="907" spans="1:57" x14ac:dyDescent="0.2">
      <c r="E907" s="96"/>
      <c r="Y907" s="1215"/>
      <c r="Z907" s="1688"/>
      <c r="AA907" s="1742"/>
      <c r="AB907" s="1785"/>
      <c r="AS907" s="10"/>
      <c r="AT907" s="9"/>
      <c r="BC907" s="9"/>
      <c r="BD907" s="1704"/>
      <c r="BE907" s="1702"/>
    </row>
    <row r="908" spans="1:57" x14ac:dyDescent="0.2">
      <c r="B908" s="65" t="s">
        <v>357</v>
      </c>
      <c r="E908" s="96"/>
      <c r="Y908" s="1215"/>
      <c r="Z908" s="1688"/>
      <c r="AA908" s="1742"/>
      <c r="AB908" s="1785"/>
      <c r="AS908" s="65" t="s">
        <v>357</v>
      </c>
      <c r="AT908" s="9"/>
      <c r="BC908" s="9"/>
      <c r="BD908" s="1704"/>
      <c r="BE908" s="1702"/>
    </row>
    <row r="909" spans="1:57" x14ac:dyDescent="0.2">
      <c r="B909" s="644" t="s">
        <v>360</v>
      </c>
      <c r="C909" s="636"/>
      <c r="Y909" s="1215"/>
      <c r="Z909" s="1688"/>
      <c r="AA909" s="1742"/>
      <c r="AB909" s="1785"/>
      <c r="AS909" s="644" t="s">
        <v>360</v>
      </c>
      <c r="AT909" s="636"/>
      <c r="BC909" s="9"/>
      <c r="BD909" s="1704"/>
      <c r="BE909" s="1702"/>
    </row>
    <row r="910" spans="1:57" x14ac:dyDescent="0.2">
      <c r="B910" s="319"/>
      <c r="C910" s="634" t="s">
        <v>349</v>
      </c>
      <c r="D910" s="32" t="s">
        <v>229</v>
      </c>
      <c r="E910" s="96">
        <f t="shared" ref="E910:AB910" si="2091">AVERAGE(D851:E851)</f>
        <v>121314.5</v>
      </c>
      <c r="F910" s="96">
        <f t="shared" si="2091"/>
        <v>127152.5</v>
      </c>
      <c r="G910" s="96">
        <f t="shared" si="2091"/>
        <v>131819</v>
      </c>
      <c r="H910" s="96">
        <f t="shared" si="2091"/>
        <v>127072</v>
      </c>
      <c r="I910" s="96">
        <f t="shared" si="2091"/>
        <v>124314</v>
      </c>
      <c r="J910" s="96">
        <f t="shared" si="2091"/>
        <v>127207</v>
      </c>
      <c r="K910" s="96">
        <f t="shared" si="2091"/>
        <v>129336</v>
      </c>
      <c r="L910" s="96">
        <f t="shared" si="2091"/>
        <v>132015.5</v>
      </c>
      <c r="M910" s="96">
        <f t="shared" si="2091"/>
        <v>133142.5</v>
      </c>
      <c r="N910" s="96">
        <f t="shared" si="2091"/>
        <v>129448</v>
      </c>
      <c r="O910" s="96">
        <f t="shared" si="2091"/>
        <v>128600.5</v>
      </c>
      <c r="P910" s="96">
        <f t="shared" si="2091"/>
        <v>132763</v>
      </c>
      <c r="Q910" s="96">
        <f t="shared" si="2091"/>
        <v>135790.5</v>
      </c>
      <c r="R910" s="96">
        <f t="shared" si="2091"/>
        <v>138219</v>
      </c>
      <c r="S910" s="96">
        <f t="shared" si="2091"/>
        <v>140337</v>
      </c>
      <c r="T910" s="96">
        <f t="shared" si="2091"/>
        <v>138701</v>
      </c>
      <c r="U910" s="96">
        <f t="shared" si="2091"/>
        <v>139149</v>
      </c>
      <c r="V910" s="96">
        <f t="shared" si="2091"/>
        <v>141022</v>
      </c>
      <c r="W910" s="96">
        <f t="shared" si="2091"/>
        <v>139298.5</v>
      </c>
      <c r="X910" s="96">
        <f t="shared" si="2091"/>
        <v>133067</v>
      </c>
      <c r="Y910" s="96">
        <f t="shared" si="2091"/>
        <v>127844.5</v>
      </c>
      <c r="Z910" s="96">
        <f t="shared" si="2091"/>
        <v>126736.5</v>
      </c>
      <c r="AA910" s="96">
        <f t="shared" si="2091"/>
        <v>127050</v>
      </c>
      <c r="AB910" s="96">
        <f t="shared" si="2091"/>
        <v>126106</v>
      </c>
      <c r="AC910" s="348">
        <f>AB910*(1+Drivers!AC264)</f>
        <v>124844.94</v>
      </c>
      <c r="AD910" s="348">
        <f>AC910*(1+Drivers!AD264)</f>
        <v>123596.4906</v>
      </c>
      <c r="AE910" s="348">
        <f>AD910*(1+Drivers!AE264)</f>
        <v>122360.525694</v>
      </c>
      <c r="AF910" s="348">
        <f>AE910*(1+Drivers!AF264)</f>
        <v>121136.92043705999</v>
      </c>
      <c r="AG910" s="348">
        <f>AF910*(1+Drivers!AG264)</f>
        <v>119925.55123268939</v>
      </c>
      <c r="AH910" s="348">
        <f>AG910*(1+Drivers!AH264)</f>
        <v>118726.2957203625</v>
      </c>
      <c r="AI910" s="348">
        <f>AH910*(1+Drivers!AI264)</f>
        <v>117301.58017171815</v>
      </c>
      <c r="AJ910" s="348"/>
      <c r="AK910" s="348"/>
      <c r="AL910" s="348"/>
      <c r="AM910" s="348"/>
      <c r="AN910" s="348"/>
      <c r="AO910" s="348"/>
      <c r="AP910" s="348"/>
      <c r="AQ910" s="348"/>
      <c r="AS910" s="319"/>
      <c r="AT910" s="634" t="s">
        <v>349</v>
      </c>
      <c r="AU910" s="207">
        <f>AVERAGE(D910:G910)</f>
        <v>126762</v>
      </c>
      <c r="AV910" s="207">
        <f>AVERAGE(H910:K910)</f>
        <v>126982.25</v>
      </c>
      <c r="AW910" s="207">
        <f>AVERAGE(L910:O910)</f>
        <v>130801.625</v>
      </c>
      <c r="AX910" s="207">
        <f>AVERAGE(P910:S910)</f>
        <v>136777.375</v>
      </c>
      <c r="AY910" s="207">
        <f>AVERAGE(T910:W910)</f>
        <v>139542.625</v>
      </c>
      <c r="AZ910" s="207">
        <f>AVERAGE(X910:AA910)</f>
        <v>128674.5</v>
      </c>
      <c r="BA910" s="207">
        <f>AVERAGE(AB910:AE910)</f>
        <v>124226.98907350001</v>
      </c>
      <c r="BB910" s="207">
        <f>AVERAGE(AF910:AI910)</f>
        <v>119272.5868904575</v>
      </c>
      <c r="BC910" s="348">
        <f>BB910*(1+Drivers!BC279)</f>
        <v>119292.83482820228</v>
      </c>
      <c r="BD910" s="348">
        <f>BC910*(1+Drivers!BD279)</f>
        <v>119313.0862032749</v>
      </c>
      <c r="BE910" s="348">
        <f>BD910*(1+Drivers!BE279)</f>
        <v>119333.34101625888</v>
      </c>
    </row>
    <row r="911" spans="1:57" x14ac:dyDescent="0.2">
      <c r="B911" s="319"/>
      <c r="C911" s="634" t="s">
        <v>351</v>
      </c>
      <c r="D911" s="32" t="s">
        <v>229</v>
      </c>
      <c r="E911" s="96">
        <f t="shared" ref="E911:X911" si="2092">E955*1000</f>
        <v>43457.999999999971</v>
      </c>
      <c r="F911" s="96">
        <f t="shared" si="2092"/>
        <v>53492.499999999949</v>
      </c>
      <c r="G911" s="96">
        <f t="shared" si="2092"/>
        <v>55706.000000000015</v>
      </c>
      <c r="H911" s="96">
        <f t="shared" si="2092"/>
        <v>53521.999999999935</v>
      </c>
      <c r="I911" s="96">
        <f t="shared" si="2092"/>
        <v>53072.999999999978</v>
      </c>
      <c r="J911" s="96">
        <f t="shared" si="2092"/>
        <v>40067.000000000007</v>
      </c>
      <c r="K911" s="96">
        <f t="shared" si="2092"/>
        <v>62250.499999999985</v>
      </c>
      <c r="L911" s="96">
        <f t="shared" si="2092"/>
        <v>59466.5</v>
      </c>
      <c r="M911" s="96">
        <f t="shared" si="2092"/>
        <v>65132.999999999927</v>
      </c>
      <c r="N911" s="96">
        <f t="shared" si="2092"/>
        <v>72619.500000000131</v>
      </c>
      <c r="O911" s="96">
        <f t="shared" si="2092"/>
        <v>88783.000000000015</v>
      </c>
      <c r="P911" s="96">
        <f t="shared" si="2092"/>
        <v>71299.499999999971</v>
      </c>
      <c r="Q911" s="96">
        <f t="shared" si="2092"/>
        <v>74698.999999999956</v>
      </c>
      <c r="R911" s="96">
        <f t="shared" si="2092"/>
        <v>69868.499999999927</v>
      </c>
      <c r="S911" s="96">
        <f t="shared" si="2092"/>
        <v>75117.499999999956</v>
      </c>
      <c r="T911" s="96">
        <f t="shared" si="2092"/>
        <v>65182.000000000015</v>
      </c>
      <c r="U911" s="96">
        <f t="shared" si="2092"/>
        <v>76597.999999999956</v>
      </c>
      <c r="V911" s="96">
        <f t="shared" si="2092"/>
        <v>81413.000000000015</v>
      </c>
      <c r="W911" s="96">
        <f t="shared" si="2092"/>
        <v>77057.000000000015</v>
      </c>
      <c r="X911" s="96">
        <f t="shared" si="2092"/>
        <v>79541.499999999927</v>
      </c>
      <c r="Y911" s="96">
        <f t="shared" ref="Y911:Z911" si="2093">Y955*1000</f>
        <v>86687.999999999985</v>
      </c>
      <c r="Z911" s="96">
        <f t="shared" si="2093"/>
        <v>88121.499999999971</v>
      </c>
      <c r="AA911" s="96">
        <f t="shared" ref="AA911" si="2094">AA955*1000</f>
        <v>97179.000000000087</v>
      </c>
      <c r="AB911" s="96">
        <f t="shared" ref="AB911" si="2095">AB955*1000</f>
        <v>90337.999999999971</v>
      </c>
      <c r="AC911" s="348">
        <f>AB911*(1+Drivers!AC265)</f>
        <v>91241.379999999976</v>
      </c>
      <c r="AD911" s="348">
        <f>AC911*(1+Drivers!AD265)</f>
        <v>92153.79379999997</v>
      </c>
      <c r="AE911" s="348">
        <f>AD911*(1+Drivers!AE265)</f>
        <v>93075.331737999964</v>
      </c>
      <c r="AF911" s="348">
        <f>AE911*(1+Drivers!AF265)</f>
        <v>93075.331737999964</v>
      </c>
      <c r="AG911" s="348">
        <f>AF911*(1+Drivers!AG265)</f>
        <v>93075.331737999964</v>
      </c>
      <c r="AH911" s="348">
        <f>AG911*(1+Drivers!AH265)</f>
        <v>93075.331737999964</v>
      </c>
      <c r="AI911" s="348">
        <f>AH911*(1+Drivers!AI265)</f>
        <v>93075.331737999964</v>
      </c>
      <c r="AJ911" s="348"/>
      <c r="AK911" s="348"/>
      <c r="AL911" s="348"/>
      <c r="AM911" s="348"/>
      <c r="AN911" s="348"/>
      <c r="AO911" s="348"/>
      <c r="AP911" s="348"/>
      <c r="AQ911" s="348"/>
      <c r="AS911" s="319"/>
      <c r="AT911" s="634" t="s">
        <v>351</v>
      </c>
      <c r="AU911" s="96">
        <f t="shared" ref="AU911:BA911" si="2096">AU955*1000</f>
        <v>50885.499999999978</v>
      </c>
      <c r="AV911" s="96">
        <f t="shared" si="2096"/>
        <v>52228.124999999978</v>
      </c>
      <c r="AW911" s="96">
        <f t="shared" si="2096"/>
        <v>71500.500000000015</v>
      </c>
      <c r="AX911" s="96">
        <f t="shared" si="2096"/>
        <v>72746.124999999956</v>
      </c>
      <c r="AY911" s="96">
        <f t="shared" si="2096"/>
        <v>75062.5</v>
      </c>
      <c r="AZ911" s="96">
        <f t="shared" si="2096"/>
        <v>87882.5</v>
      </c>
      <c r="BA911" s="96">
        <f t="shared" si="2096"/>
        <v>91702.126384499963</v>
      </c>
      <c r="BB911" s="96">
        <f t="shared" ref="BB911" si="2097">BB955*1000</f>
        <v>93075.331737999964</v>
      </c>
      <c r="BC911" s="348">
        <f>BB911*(1+Drivers!BC281)</f>
        <v>93075.331737999964</v>
      </c>
      <c r="BD911" s="348">
        <f>BC911*(1+Drivers!BD281)</f>
        <v>93075.331737999964</v>
      </c>
      <c r="BE911" s="348">
        <f>BD911*(1+Drivers!BE281)</f>
        <v>93075.331737999964</v>
      </c>
    </row>
    <row r="912" spans="1:57" x14ac:dyDescent="0.2">
      <c r="B912" s="319" t="s">
        <v>359</v>
      </c>
      <c r="C912" s="634"/>
      <c r="D912" s="98" t="s">
        <v>229</v>
      </c>
      <c r="E912" s="100">
        <f t="shared" ref="E912:X912" si="2098">E913-E906-E911-E910</f>
        <v>155855</v>
      </c>
      <c r="F912" s="100">
        <f t="shared" si="2098"/>
        <v>143295.50000000006</v>
      </c>
      <c r="G912" s="100">
        <f t="shared" si="2098"/>
        <v>158280</v>
      </c>
      <c r="H912" s="100">
        <f t="shared" si="2098"/>
        <v>148647.50000000006</v>
      </c>
      <c r="I912" s="100">
        <f t="shared" si="2098"/>
        <v>144657.5</v>
      </c>
      <c r="J912" s="100">
        <f t="shared" si="2098"/>
        <v>142628.5</v>
      </c>
      <c r="K912" s="100">
        <f t="shared" si="2098"/>
        <v>132542.5</v>
      </c>
      <c r="L912" s="100">
        <f t="shared" si="2098"/>
        <v>144792</v>
      </c>
      <c r="M912" s="100">
        <f t="shared" si="2098"/>
        <v>142238.00000000006</v>
      </c>
      <c r="N912" s="100">
        <f t="shared" si="2098"/>
        <v>139995.49999999988</v>
      </c>
      <c r="O912" s="100">
        <f t="shared" si="2098"/>
        <v>152383</v>
      </c>
      <c r="P912" s="100">
        <f t="shared" si="2098"/>
        <v>158769</v>
      </c>
      <c r="Q912" s="100">
        <f t="shared" si="2098"/>
        <v>151347.50000000006</v>
      </c>
      <c r="R912" s="100">
        <f t="shared" si="2098"/>
        <v>127577.50000000006</v>
      </c>
      <c r="S912" s="100">
        <f t="shared" si="2098"/>
        <v>147369.00000000006</v>
      </c>
      <c r="T912" s="100">
        <f t="shared" si="2098"/>
        <v>159101.5</v>
      </c>
      <c r="U912" s="100">
        <f t="shared" si="2098"/>
        <v>156887.00000000006</v>
      </c>
      <c r="V912" s="100">
        <f t="shared" si="2098"/>
        <v>146220.5</v>
      </c>
      <c r="W912" s="100">
        <f t="shared" si="2098"/>
        <v>144778</v>
      </c>
      <c r="X912" s="100">
        <f t="shared" si="2098"/>
        <v>139034.50000000006</v>
      </c>
      <c r="Y912" s="100">
        <f t="shared" ref="Y912:Z912" si="2099">Y913-Y906-Y911-Y910</f>
        <v>137355.5</v>
      </c>
      <c r="Z912" s="100">
        <f t="shared" si="2099"/>
        <v>141059.5</v>
      </c>
      <c r="AA912" s="100">
        <f t="shared" ref="AA912" si="2100">AA913-AA906-AA911-AA910</f>
        <v>144632.99999999988</v>
      </c>
      <c r="AB912" s="100">
        <f t="shared" ref="AB912" si="2101">AB913-AB906-AB911-AB910</f>
        <v>142272</v>
      </c>
      <c r="AC912" s="100">
        <f t="shared" ref="AC912:AE912" si="2102">AC913-AC911-AC910-AC906</f>
        <v>131761.54225927475</v>
      </c>
      <c r="AD912" s="100">
        <f t="shared" si="2102"/>
        <v>122889.7174506858</v>
      </c>
      <c r="AE912" s="100">
        <f t="shared" si="2102"/>
        <v>118273.57411397598</v>
      </c>
      <c r="AF912" s="100">
        <f t="shared" ref="AF912:AI912" si="2103">AF913-AF911-AF910-AF906</f>
        <v>113136.26919206977</v>
      </c>
      <c r="AG912" s="100">
        <f t="shared" si="2103"/>
        <v>110260.61943261256</v>
      </c>
      <c r="AH912" s="100">
        <f t="shared" si="2103"/>
        <v>113173.97005657363</v>
      </c>
      <c r="AI912" s="100">
        <f t="shared" si="2103"/>
        <v>120788.14660969703</v>
      </c>
      <c r="AJ912" s="1767"/>
      <c r="AK912" s="1767"/>
      <c r="AL912" s="1767"/>
      <c r="AM912" s="1767"/>
      <c r="AN912" s="1767"/>
      <c r="AO912" s="1767"/>
      <c r="AP912" s="1767"/>
      <c r="AQ912" s="1767"/>
      <c r="AS912" s="319" t="s">
        <v>359</v>
      </c>
      <c r="AT912" s="634"/>
      <c r="AU912" s="100">
        <f t="shared" ref="AU912:BD912" si="2104">AU913-AU911-AU910-AU906</f>
        <v>142864</v>
      </c>
      <c r="AV912" s="100">
        <f t="shared" si="2104"/>
        <v>142157.125</v>
      </c>
      <c r="AW912" s="100">
        <f t="shared" si="2104"/>
        <v>147345.375</v>
      </c>
      <c r="AX912" s="100">
        <f t="shared" si="2104"/>
        <v>147966.5</v>
      </c>
      <c r="AY912" s="100">
        <f t="shared" si="2104"/>
        <v>156901.625</v>
      </c>
      <c r="AZ912" s="100">
        <f t="shared" si="2104"/>
        <v>152048.75</v>
      </c>
      <c r="BA912" s="100">
        <f t="shared" si="2104"/>
        <v>130266.10153898806</v>
      </c>
      <c r="BB912" s="100">
        <f t="shared" ref="BB912" si="2105">BB913-BB911-BB910-BB906</f>
        <v>115243.60720993066</v>
      </c>
      <c r="BC912" s="100">
        <f t="shared" si="2104"/>
        <v>111137.70980197308</v>
      </c>
      <c r="BD912" s="100">
        <f t="shared" si="2104"/>
        <v>116282.9660147531</v>
      </c>
      <c r="BE912" s="100">
        <f t="shared" ref="BE912" si="2106">BE913-BE911-BE910-BE906</f>
        <v>116611.52704780339</v>
      </c>
    </row>
    <row r="913" spans="1:70" x14ac:dyDescent="0.2">
      <c r="B913" s="325" t="s">
        <v>358</v>
      </c>
      <c r="C913" s="634"/>
      <c r="D913" s="32" t="s">
        <v>229</v>
      </c>
      <c r="E913" s="99">
        <f t="shared" ref="E913:AE913" si="2107">E927-E926</f>
        <v>1731644.5</v>
      </c>
      <c r="F913" s="99">
        <f t="shared" si="2107"/>
        <v>1722439.5</v>
      </c>
      <c r="G913" s="99">
        <f t="shared" si="2107"/>
        <v>1715856</v>
      </c>
      <c r="H913" s="99">
        <f t="shared" si="2107"/>
        <v>1693981.5</v>
      </c>
      <c r="I913" s="99">
        <f t="shared" si="2107"/>
        <v>1702681.5</v>
      </c>
      <c r="J913" s="99">
        <f t="shared" si="2107"/>
        <v>1657171.5</v>
      </c>
      <c r="K913" s="99">
        <f t="shared" si="2107"/>
        <v>1683911</v>
      </c>
      <c r="L913" s="99">
        <f t="shared" si="2107"/>
        <v>1680459</v>
      </c>
      <c r="M913" s="99">
        <f t="shared" si="2107"/>
        <v>1691975.5</v>
      </c>
      <c r="N913" s="99">
        <f t="shared" si="2107"/>
        <v>1682250</v>
      </c>
      <c r="O913" s="99">
        <f t="shared" si="2107"/>
        <v>1687578.5</v>
      </c>
      <c r="P913" s="99">
        <f t="shared" si="2107"/>
        <v>1639240.5</v>
      </c>
      <c r="Q913" s="99">
        <f t="shared" si="2107"/>
        <v>1621276</v>
      </c>
      <c r="R913" s="99">
        <f t="shared" si="2107"/>
        <v>1596919</v>
      </c>
      <c r="S913" s="99">
        <f t="shared" si="2107"/>
        <v>1561685.5</v>
      </c>
      <c r="T913" s="99">
        <f t="shared" si="2107"/>
        <v>1551673.5</v>
      </c>
      <c r="U913" s="99">
        <f t="shared" si="2107"/>
        <v>1576409</v>
      </c>
      <c r="V913" s="99">
        <f t="shared" si="2107"/>
        <v>1597344.5</v>
      </c>
      <c r="W913" s="99">
        <f t="shared" si="2107"/>
        <v>1590383.5</v>
      </c>
      <c r="X913" s="99">
        <f t="shared" si="2107"/>
        <v>1603030</v>
      </c>
      <c r="Y913" s="99">
        <f t="shared" ref="Y913:Z913" si="2108">Y927-Y926</f>
        <v>1639148</v>
      </c>
      <c r="Z913" s="99">
        <f t="shared" si="2108"/>
        <v>1662435.5</v>
      </c>
      <c r="AA913" s="99">
        <f t="shared" ref="AA913" si="2109">AA927-AA926</f>
        <v>1694256</v>
      </c>
      <c r="AB913" s="99">
        <f t="shared" ref="AB913" si="2110">AB927-AB926</f>
        <v>1701634</v>
      </c>
      <c r="AC913" s="99">
        <f t="shared" si="2107"/>
        <v>1708491.4922592747</v>
      </c>
      <c r="AD913" s="99">
        <f t="shared" si="2107"/>
        <v>1717294.9839506857</v>
      </c>
      <c r="AE913" s="99">
        <f t="shared" si="2107"/>
        <v>1730667.1904869762</v>
      </c>
      <c r="AF913" s="99">
        <f t="shared" ref="AF913:AI913" si="2111">AF927-AF926</f>
        <v>1742906.3187490599</v>
      </c>
      <c r="AG913" s="99">
        <f t="shared" si="2111"/>
        <v>1757722.5743974552</v>
      </c>
      <c r="AH913" s="99">
        <f t="shared" si="2111"/>
        <v>1778649.2961671525</v>
      </c>
      <c r="AI913" s="99">
        <f t="shared" si="2111"/>
        <v>1802741.9028061985</v>
      </c>
      <c r="AJ913" s="99"/>
      <c r="AK913" s="99"/>
      <c r="AL913" s="99"/>
      <c r="AM913" s="99"/>
      <c r="AN913" s="99"/>
      <c r="AO913" s="99"/>
      <c r="AP913" s="99"/>
      <c r="AQ913" s="99"/>
      <c r="AS913" s="325" t="s">
        <v>358</v>
      </c>
      <c r="AT913" s="634"/>
      <c r="AU913" s="99">
        <f t="shared" ref="AU913:BD913" si="2112">AU927-AU926</f>
        <v>1720010</v>
      </c>
      <c r="AV913" s="99">
        <f t="shared" si="2112"/>
        <v>1684474.5</v>
      </c>
      <c r="AW913" s="99">
        <f t="shared" si="2112"/>
        <v>1688059</v>
      </c>
      <c r="AX913" s="99">
        <f t="shared" si="2112"/>
        <v>1606481</v>
      </c>
      <c r="AY913" s="99">
        <f t="shared" si="2112"/>
        <v>1584107.5</v>
      </c>
      <c r="AZ913" s="99">
        <f t="shared" si="2112"/>
        <v>1661245.5</v>
      </c>
      <c r="BA913" s="99">
        <f t="shared" si="2112"/>
        <v>1715988.809757238</v>
      </c>
      <c r="BB913" s="99">
        <f t="shared" ref="BB913" si="2113">BB927-BB926</f>
        <v>1771408.8789171586</v>
      </c>
      <c r="BC913" s="99">
        <f t="shared" si="2112"/>
        <v>1823177.3628916966</v>
      </c>
      <c r="BD913" s="99">
        <f t="shared" si="2112"/>
        <v>1886501.3442701274</v>
      </c>
      <c r="BE913" s="99">
        <f t="shared" ref="BE913" si="2114">BE927-BE926</f>
        <v>1947411.9586776409</v>
      </c>
    </row>
    <row r="914" spans="1:70" x14ac:dyDescent="0.2">
      <c r="Y914" s="1215"/>
      <c r="Z914" s="1688"/>
      <c r="AA914" s="1742"/>
      <c r="AB914" s="1785"/>
    </row>
    <row r="915" spans="1:70" x14ac:dyDescent="0.2">
      <c r="B915" s="642" t="s">
        <v>112</v>
      </c>
      <c r="C915" s="648"/>
      <c r="Y915" s="1215"/>
      <c r="Z915" s="1688"/>
      <c r="AA915" s="1742"/>
      <c r="AB915" s="1785"/>
      <c r="AS915" s="642" t="s">
        <v>112</v>
      </c>
      <c r="AT915" s="648"/>
      <c r="BC915" s="9"/>
      <c r="BD915" s="1704"/>
      <c r="BE915" s="1702"/>
    </row>
    <row r="916" spans="1:70" x14ac:dyDescent="0.2">
      <c r="B916" s="634" t="s">
        <v>113</v>
      </c>
      <c r="C916" s="550"/>
      <c r="D916" s="32" t="s">
        <v>229</v>
      </c>
      <c r="E916" s="96">
        <f t="shared" ref="E916:AE916" si="2115">AVERAGE(D862:E862)</f>
        <v>312</v>
      </c>
      <c r="F916" s="96">
        <f t="shared" si="2115"/>
        <v>312</v>
      </c>
      <c r="G916" s="96">
        <f t="shared" si="2115"/>
        <v>1437</v>
      </c>
      <c r="H916" s="96">
        <f t="shared" si="2115"/>
        <v>2849.5</v>
      </c>
      <c r="I916" s="96">
        <f t="shared" si="2115"/>
        <v>3715</v>
      </c>
      <c r="J916" s="96">
        <f t="shared" si="2115"/>
        <v>4768</v>
      </c>
      <c r="K916" s="96">
        <f t="shared" si="2115"/>
        <v>5990.5</v>
      </c>
      <c r="L916" s="96">
        <f t="shared" si="2115"/>
        <v>6978</v>
      </c>
      <c r="M916" s="96">
        <f t="shared" si="2115"/>
        <v>8093</v>
      </c>
      <c r="N916" s="96">
        <f t="shared" si="2115"/>
        <v>8968</v>
      </c>
      <c r="O916" s="96">
        <f t="shared" si="2115"/>
        <v>9718</v>
      </c>
      <c r="P916" s="96">
        <f t="shared" si="2115"/>
        <v>11218</v>
      </c>
      <c r="Q916" s="96">
        <f t="shared" si="2115"/>
        <v>12968</v>
      </c>
      <c r="R916" s="96">
        <f t="shared" si="2115"/>
        <v>14593</v>
      </c>
      <c r="S916" s="96">
        <f t="shared" si="2115"/>
        <v>15968</v>
      </c>
      <c r="T916" s="96">
        <f t="shared" si="2115"/>
        <v>17235.5</v>
      </c>
      <c r="U916" s="96">
        <f t="shared" si="2115"/>
        <v>18503</v>
      </c>
      <c r="V916" s="96">
        <f t="shared" si="2115"/>
        <v>19253</v>
      </c>
      <c r="W916" s="96">
        <f t="shared" si="2115"/>
        <v>19253</v>
      </c>
      <c r="X916" s="96">
        <f t="shared" si="2115"/>
        <v>19253</v>
      </c>
      <c r="Y916" s="96">
        <f t="shared" si="2115"/>
        <v>19253</v>
      </c>
      <c r="Z916" s="96">
        <f t="shared" si="2115"/>
        <v>19253</v>
      </c>
      <c r="AA916" s="96">
        <f t="shared" si="2115"/>
        <v>19253</v>
      </c>
      <c r="AB916" s="96">
        <f t="shared" si="2115"/>
        <v>19204.5</v>
      </c>
      <c r="AC916" s="96">
        <f t="shared" si="2115"/>
        <v>19156</v>
      </c>
      <c r="AD916" s="96">
        <f t="shared" si="2115"/>
        <v>19156</v>
      </c>
      <c r="AE916" s="96">
        <f t="shared" si="2115"/>
        <v>19156</v>
      </c>
      <c r="AF916" s="96">
        <f t="shared" ref="AF916:AF921" si="2116">AVERAGE(AE862:AF862)</f>
        <v>20156</v>
      </c>
      <c r="AG916" s="96">
        <f t="shared" ref="AG916:AG921" si="2117">AVERAGE(AF862:AG862)</f>
        <v>21156</v>
      </c>
      <c r="AH916" s="96">
        <f t="shared" ref="AH916:AH921" si="2118">AVERAGE(AG862:AH862)</f>
        <v>21156</v>
      </c>
      <c r="AI916" s="96">
        <f t="shared" ref="AI916:AI921" si="2119">AVERAGE(AH862:AI862)</f>
        <v>21156</v>
      </c>
      <c r="AJ916" s="96"/>
      <c r="AK916" s="96"/>
      <c r="AL916" s="96"/>
      <c r="AM916" s="96"/>
      <c r="AN916" s="96"/>
      <c r="AO916" s="96"/>
      <c r="AP916" s="96"/>
      <c r="AQ916" s="96"/>
      <c r="AS916" s="634" t="s">
        <v>113</v>
      </c>
      <c r="AT916" s="550"/>
      <c r="AU916" s="207">
        <f t="shared" ref="AU916:AU921" si="2120">AVERAGE(D916:G916)</f>
        <v>687</v>
      </c>
      <c r="AV916" s="207">
        <f t="shared" ref="AV916:AV921" si="2121">AVERAGE(H916:K916)</f>
        <v>4330.75</v>
      </c>
      <c r="AW916" s="207">
        <f t="shared" ref="AW916:AW921" si="2122">AVERAGE(L916:O916)</f>
        <v>8439.25</v>
      </c>
      <c r="AX916" s="207">
        <f t="shared" ref="AX916:AX921" si="2123">AVERAGE(P916:S916)</f>
        <v>13686.75</v>
      </c>
      <c r="AY916" s="207">
        <f t="shared" ref="AY916:AY921" si="2124">AVERAGE(T916:W916)</f>
        <v>18561.125</v>
      </c>
      <c r="AZ916" s="207">
        <f t="shared" ref="AZ916:AZ921" si="2125">AVERAGE(X916:AA916)</f>
        <v>19253</v>
      </c>
      <c r="BA916" s="207">
        <f t="shared" ref="BA916:BA921" si="2126">AVERAGE(AB916:AE916)</f>
        <v>19168.125</v>
      </c>
      <c r="BB916" s="207">
        <f t="shared" ref="BB916:BB921" si="2127">AVERAGE(AF916:AI916)</f>
        <v>20906</v>
      </c>
      <c r="BC916" s="96">
        <f t="shared" ref="BC916:BE921" si="2128">AVERAGE(BB862:BC862)</f>
        <v>21156</v>
      </c>
      <c r="BD916" s="96">
        <f t="shared" si="2128"/>
        <v>21156</v>
      </c>
      <c r="BE916" s="96">
        <f t="shared" si="2128"/>
        <v>21156</v>
      </c>
    </row>
    <row r="917" spans="1:70" x14ac:dyDescent="0.2">
      <c r="B917" s="634" t="s">
        <v>114</v>
      </c>
      <c r="C917" s="550"/>
      <c r="D917" s="32" t="s">
        <v>229</v>
      </c>
      <c r="E917" s="96">
        <f t="shared" ref="E917:AE917" si="2129">AVERAGE(D863:E863)</f>
        <v>29</v>
      </c>
      <c r="F917" s="96">
        <f t="shared" si="2129"/>
        <v>29</v>
      </c>
      <c r="G917" s="96">
        <f t="shared" si="2129"/>
        <v>29.5</v>
      </c>
      <c r="H917" s="96">
        <f t="shared" si="2129"/>
        <v>30.5</v>
      </c>
      <c r="I917" s="96">
        <f t="shared" si="2129"/>
        <v>31</v>
      </c>
      <c r="J917" s="96">
        <f t="shared" si="2129"/>
        <v>31</v>
      </c>
      <c r="K917" s="96">
        <f t="shared" si="2129"/>
        <v>31</v>
      </c>
      <c r="L917" s="96">
        <f t="shared" si="2129"/>
        <v>31</v>
      </c>
      <c r="M917" s="96">
        <f t="shared" si="2129"/>
        <v>31</v>
      </c>
      <c r="N917" s="96">
        <f t="shared" si="2129"/>
        <v>31</v>
      </c>
      <c r="O917" s="96">
        <f t="shared" si="2129"/>
        <v>31</v>
      </c>
      <c r="P917" s="96">
        <f t="shared" si="2129"/>
        <v>31</v>
      </c>
      <c r="Q917" s="96">
        <f t="shared" si="2129"/>
        <v>31</v>
      </c>
      <c r="R917" s="96">
        <f t="shared" si="2129"/>
        <v>31</v>
      </c>
      <c r="S917" s="96">
        <f t="shared" si="2129"/>
        <v>31</v>
      </c>
      <c r="T917" s="96">
        <f t="shared" si="2129"/>
        <v>31</v>
      </c>
      <c r="U917" s="96">
        <f t="shared" si="2129"/>
        <v>31</v>
      </c>
      <c r="V917" s="96">
        <f t="shared" si="2129"/>
        <v>31</v>
      </c>
      <c r="W917" s="96">
        <f t="shared" si="2129"/>
        <v>31</v>
      </c>
      <c r="X917" s="96">
        <f t="shared" si="2129"/>
        <v>31</v>
      </c>
      <c r="Y917" s="96">
        <f t="shared" si="2129"/>
        <v>31</v>
      </c>
      <c r="Z917" s="96">
        <f t="shared" si="2129"/>
        <v>31</v>
      </c>
      <c r="AA917" s="96">
        <f t="shared" si="2129"/>
        <v>31</v>
      </c>
      <c r="AB917" s="96">
        <f t="shared" si="2129"/>
        <v>31</v>
      </c>
      <c r="AC917" s="96">
        <f t="shared" si="2129"/>
        <v>31</v>
      </c>
      <c r="AD917" s="96">
        <f t="shared" si="2129"/>
        <v>31</v>
      </c>
      <c r="AE917" s="96">
        <f t="shared" si="2129"/>
        <v>31</v>
      </c>
      <c r="AF917" s="96">
        <f t="shared" si="2116"/>
        <v>31</v>
      </c>
      <c r="AG917" s="96">
        <f t="shared" si="2117"/>
        <v>31</v>
      </c>
      <c r="AH917" s="96">
        <f t="shared" si="2118"/>
        <v>31</v>
      </c>
      <c r="AI917" s="96">
        <f t="shared" si="2119"/>
        <v>31</v>
      </c>
      <c r="AJ917" s="96"/>
      <c r="AK917" s="96"/>
      <c r="AL917" s="96"/>
      <c r="AM917" s="96"/>
      <c r="AN917" s="96"/>
      <c r="AO917" s="96"/>
      <c r="AP917" s="96"/>
      <c r="AQ917" s="96"/>
      <c r="AS917" s="634" t="s">
        <v>114</v>
      </c>
      <c r="AT917" s="550"/>
      <c r="AU917" s="207">
        <f t="shared" si="2120"/>
        <v>29.166666666666668</v>
      </c>
      <c r="AV917" s="207">
        <f t="shared" si="2121"/>
        <v>30.875</v>
      </c>
      <c r="AW917" s="207">
        <f t="shared" si="2122"/>
        <v>31</v>
      </c>
      <c r="AX917" s="207">
        <f t="shared" si="2123"/>
        <v>31</v>
      </c>
      <c r="AY917" s="207">
        <f t="shared" si="2124"/>
        <v>31</v>
      </c>
      <c r="AZ917" s="207">
        <f t="shared" si="2125"/>
        <v>31</v>
      </c>
      <c r="BA917" s="207">
        <f t="shared" si="2126"/>
        <v>31</v>
      </c>
      <c r="BB917" s="207">
        <f t="shared" si="2127"/>
        <v>31</v>
      </c>
      <c r="BC917" s="96">
        <f t="shared" si="2128"/>
        <v>31</v>
      </c>
      <c r="BD917" s="96">
        <f t="shared" si="2128"/>
        <v>31</v>
      </c>
      <c r="BE917" s="96">
        <f t="shared" si="2128"/>
        <v>31</v>
      </c>
    </row>
    <row r="918" spans="1:70" x14ac:dyDescent="0.2">
      <c r="B918" s="634" t="s">
        <v>34</v>
      </c>
      <c r="C918" s="345"/>
      <c r="D918" s="32" t="s">
        <v>229</v>
      </c>
      <c r="E918" s="96">
        <f t="shared" ref="E918:AE918" si="2130">AVERAGE(D864:E864)</f>
        <v>105874.5</v>
      </c>
      <c r="F918" s="96">
        <f t="shared" si="2130"/>
        <v>106082.5</v>
      </c>
      <c r="G918" s="96">
        <f t="shared" si="2130"/>
        <v>106297</v>
      </c>
      <c r="H918" s="96">
        <f t="shared" si="2130"/>
        <v>106526</v>
      </c>
      <c r="I918" s="96">
        <f t="shared" si="2130"/>
        <v>106768.5</v>
      </c>
      <c r="J918" s="96">
        <f t="shared" si="2130"/>
        <v>106953</v>
      </c>
      <c r="K918" s="96">
        <f t="shared" si="2130"/>
        <v>107111.5</v>
      </c>
      <c r="L918" s="96">
        <f t="shared" si="2130"/>
        <v>107349</v>
      </c>
      <c r="M918" s="96">
        <f t="shared" si="2130"/>
        <v>107587</v>
      </c>
      <c r="N918" s="96">
        <f t="shared" si="2130"/>
        <v>107754</v>
      </c>
      <c r="O918" s="96">
        <f t="shared" si="2130"/>
        <v>107909</v>
      </c>
      <c r="P918" s="96">
        <f t="shared" si="2130"/>
        <v>108051.5</v>
      </c>
      <c r="Q918" s="96">
        <f t="shared" si="2130"/>
        <v>108171.5</v>
      </c>
      <c r="R918" s="96">
        <f t="shared" si="2130"/>
        <v>108240</v>
      </c>
      <c r="S918" s="96">
        <f t="shared" si="2130"/>
        <v>108274.5</v>
      </c>
      <c r="T918" s="96">
        <f t="shared" si="2130"/>
        <v>107939</v>
      </c>
      <c r="U918" s="96">
        <f t="shared" si="2130"/>
        <v>107660</v>
      </c>
      <c r="V918" s="96">
        <f t="shared" si="2130"/>
        <v>107802.5</v>
      </c>
      <c r="W918" s="96">
        <f t="shared" si="2130"/>
        <v>107958.5</v>
      </c>
      <c r="X918" s="96">
        <f t="shared" si="2130"/>
        <v>107827.5</v>
      </c>
      <c r="Y918" s="96">
        <f t="shared" si="2130"/>
        <v>107705.5</v>
      </c>
      <c r="Z918" s="96">
        <f t="shared" si="2130"/>
        <v>107847</v>
      </c>
      <c r="AA918" s="96">
        <f t="shared" si="2130"/>
        <v>107952</v>
      </c>
      <c r="AB918" s="96">
        <f t="shared" si="2130"/>
        <v>107803.5</v>
      </c>
      <c r="AC918" s="96">
        <f t="shared" si="2130"/>
        <v>107599</v>
      </c>
      <c r="AD918" s="96">
        <f t="shared" si="2130"/>
        <v>107599</v>
      </c>
      <c r="AE918" s="96">
        <f t="shared" si="2130"/>
        <v>107599</v>
      </c>
      <c r="AF918" s="96">
        <f t="shared" si="2116"/>
        <v>107599</v>
      </c>
      <c r="AG918" s="96">
        <f t="shared" si="2117"/>
        <v>107599</v>
      </c>
      <c r="AH918" s="96">
        <f t="shared" si="2118"/>
        <v>107599</v>
      </c>
      <c r="AI918" s="96">
        <f t="shared" si="2119"/>
        <v>107599</v>
      </c>
      <c r="AJ918" s="96"/>
      <c r="AK918" s="96"/>
      <c r="AL918" s="96"/>
      <c r="AM918" s="96"/>
      <c r="AN918" s="96"/>
      <c r="AO918" s="96"/>
      <c r="AP918" s="96"/>
      <c r="AQ918" s="96"/>
      <c r="AS918" s="634" t="s">
        <v>34</v>
      </c>
      <c r="AT918" s="345"/>
      <c r="AU918" s="207">
        <f t="shared" si="2120"/>
        <v>106084.66666666667</v>
      </c>
      <c r="AV918" s="207">
        <f t="shared" si="2121"/>
        <v>106839.75</v>
      </c>
      <c r="AW918" s="207">
        <f t="shared" si="2122"/>
        <v>107649.75</v>
      </c>
      <c r="AX918" s="207">
        <f t="shared" si="2123"/>
        <v>108184.375</v>
      </c>
      <c r="AY918" s="207">
        <f t="shared" si="2124"/>
        <v>107840</v>
      </c>
      <c r="AZ918" s="207">
        <f t="shared" si="2125"/>
        <v>107833</v>
      </c>
      <c r="BA918" s="207">
        <f t="shared" si="2126"/>
        <v>107650.125</v>
      </c>
      <c r="BB918" s="207">
        <f t="shared" si="2127"/>
        <v>107599</v>
      </c>
      <c r="BC918" s="96">
        <f t="shared" si="2128"/>
        <v>107599</v>
      </c>
      <c r="BD918" s="96">
        <f t="shared" si="2128"/>
        <v>107599</v>
      </c>
      <c r="BE918" s="96">
        <f t="shared" si="2128"/>
        <v>107599</v>
      </c>
    </row>
    <row r="919" spans="1:70" x14ac:dyDescent="0.2">
      <c r="B919" s="634" t="s">
        <v>35</v>
      </c>
      <c r="C919" s="345"/>
      <c r="D919" s="32" t="s">
        <v>229</v>
      </c>
      <c r="E919" s="96">
        <f t="shared" ref="E919:AE919" si="2131">AVERAGE(D865:E865)</f>
        <v>94437.5</v>
      </c>
      <c r="F919" s="96">
        <f t="shared" si="2131"/>
        <v>96105</v>
      </c>
      <c r="G919" s="96">
        <f t="shared" si="2131"/>
        <v>96906</v>
      </c>
      <c r="H919" s="96">
        <f t="shared" si="2131"/>
        <v>99345</v>
      </c>
      <c r="I919" s="96">
        <f t="shared" si="2131"/>
        <v>103288.5</v>
      </c>
      <c r="J919" s="96">
        <f t="shared" si="2131"/>
        <v>106914.5</v>
      </c>
      <c r="K919" s="96">
        <f t="shared" si="2131"/>
        <v>109643</v>
      </c>
      <c r="L919" s="96">
        <f t="shared" si="2131"/>
        <v>112783</v>
      </c>
      <c r="M919" s="96">
        <f t="shared" si="2131"/>
        <v>114880</v>
      </c>
      <c r="N919" s="96">
        <f t="shared" si="2131"/>
        <v>116356</v>
      </c>
      <c r="O919" s="96">
        <f t="shared" si="2131"/>
        <v>117774.5</v>
      </c>
      <c r="P919" s="96">
        <f t="shared" si="2131"/>
        <v>120157.5</v>
      </c>
      <c r="Q919" s="96">
        <f t="shared" si="2131"/>
        <v>124708.5</v>
      </c>
      <c r="R919" s="96">
        <f t="shared" si="2131"/>
        <v>128937.5</v>
      </c>
      <c r="S919" s="96">
        <f t="shared" si="2131"/>
        <v>132381</v>
      </c>
      <c r="T919" s="96">
        <f t="shared" si="2131"/>
        <v>135419.5</v>
      </c>
      <c r="U919" s="96">
        <f t="shared" si="2131"/>
        <v>138762.5</v>
      </c>
      <c r="V919" s="96">
        <f t="shared" si="2131"/>
        <v>142102.5</v>
      </c>
      <c r="W919" s="96">
        <f t="shared" si="2131"/>
        <v>145077.5</v>
      </c>
      <c r="X919" s="96">
        <f t="shared" si="2131"/>
        <v>148104</v>
      </c>
      <c r="Y919" s="96">
        <f t="shared" si="2131"/>
        <v>150954.5</v>
      </c>
      <c r="Z919" s="96">
        <f t="shared" si="2131"/>
        <v>153676</v>
      </c>
      <c r="AA919" s="96">
        <f t="shared" si="2131"/>
        <v>146799.5</v>
      </c>
      <c r="AB919" s="96">
        <f t="shared" si="2131"/>
        <v>140144</v>
      </c>
      <c r="AC919" s="96">
        <f t="shared" si="2131"/>
        <v>142465.29036385831</v>
      </c>
      <c r="AD919" s="96">
        <f t="shared" si="2131"/>
        <v>142110.6451249746</v>
      </c>
      <c r="AE919" s="96">
        <f t="shared" si="2131"/>
        <v>140017.59406709397</v>
      </c>
      <c r="AF919" s="96">
        <f t="shared" si="2116"/>
        <v>138457.11556756042</v>
      </c>
      <c r="AG919" s="96">
        <f t="shared" si="2117"/>
        <v>137310.85566515638</v>
      </c>
      <c r="AH919" s="96">
        <f t="shared" si="2118"/>
        <v>136033.1428302289</v>
      </c>
      <c r="AI919" s="96">
        <f t="shared" si="2119"/>
        <v>134792.46233229578</v>
      </c>
      <c r="AJ919" s="96"/>
      <c r="AK919" s="96"/>
      <c r="AL919" s="96"/>
      <c r="AM919" s="96"/>
      <c r="AN919" s="96"/>
      <c r="AO919" s="96"/>
      <c r="AP919" s="96"/>
      <c r="AQ919" s="96"/>
      <c r="AS919" s="634" t="s">
        <v>35</v>
      </c>
      <c r="AT919" s="345"/>
      <c r="AU919" s="207">
        <f t="shared" si="2120"/>
        <v>95816.166666666672</v>
      </c>
      <c r="AV919" s="207">
        <f t="shared" si="2121"/>
        <v>104797.75</v>
      </c>
      <c r="AW919" s="207">
        <f t="shared" si="2122"/>
        <v>115448.375</v>
      </c>
      <c r="AX919" s="207">
        <f t="shared" si="2123"/>
        <v>126546.125</v>
      </c>
      <c r="AY919" s="207">
        <f t="shared" si="2124"/>
        <v>140340.5</v>
      </c>
      <c r="AZ919" s="207">
        <f t="shared" si="2125"/>
        <v>149883.5</v>
      </c>
      <c r="BA919" s="207">
        <f t="shared" si="2126"/>
        <v>141184.38238898173</v>
      </c>
      <c r="BB919" s="207">
        <f t="shared" si="2127"/>
        <v>136648.39409881039</v>
      </c>
      <c r="BC919" s="96">
        <f t="shared" si="2128"/>
        <v>135243.8028218688</v>
      </c>
      <c r="BD919" s="96">
        <f t="shared" si="2128"/>
        <v>139015.46688478009</v>
      </c>
      <c r="BE919" s="96">
        <f t="shared" si="2128"/>
        <v>144395.75734547881</v>
      </c>
    </row>
    <row r="920" spans="1:70" x14ac:dyDescent="0.2">
      <c r="B920" s="634" t="s">
        <v>19</v>
      </c>
      <c r="C920" s="550"/>
      <c r="D920" s="32" t="s">
        <v>229</v>
      </c>
      <c r="E920" s="96">
        <f t="shared" ref="E920:AE920" si="2132">AVERAGE(D866:E866)</f>
        <v>-871</v>
      </c>
      <c r="F920" s="96">
        <f t="shared" si="2132"/>
        <v>-855</v>
      </c>
      <c r="G920" s="96">
        <f t="shared" si="2132"/>
        <v>-849</v>
      </c>
      <c r="H920" s="96">
        <f t="shared" si="2132"/>
        <v>-919</v>
      </c>
      <c r="I920" s="96">
        <f t="shared" si="2132"/>
        <v>-1033</v>
      </c>
      <c r="J920" s="96">
        <f t="shared" si="2132"/>
        <v>-1273.5</v>
      </c>
      <c r="K920" s="96">
        <f t="shared" si="2132"/>
        <v>-1565</v>
      </c>
      <c r="L920" s="96">
        <f t="shared" si="2132"/>
        <v>-1947.5</v>
      </c>
      <c r="M920" s="96">
        <f t="shared" si="2132"/>
        <v>-2378.5</v>
      </c>
      <c r="N920" s="96">
        <f t="shared" si="2132"/>
        <v>-2575.5</v>
      </c>
      <c r="O920" s="96">
        <f t="shared" si="2132"/>
        <v>-2780</v>
      </c>
      <c r="P920" s="96">
        <f t="shared" si="2132"/>
        <v>-3102</v>
      </c>
      <c r="Q920" s="96">
        <f t="shared" si="2132"/>
        <v>-3951.5</v>
      </c>
      <c r="R920" s="96">
        <f t="shared" si="2132"/>
        <v>-5477</v>
      </c>
      <c r="S920" s="96">
        <f t="shared" si="2132"/>
        <v>-7001.5</v>
      </c>
      <c r="T920" s="96">
        <f t="shared" si="2132"/>
        <v>-7950.5</v>
      </c>
      <c r="U920" s="96">
        <f t="shared" si="2132"/>
        <v>-8881</v>
      </c>
      <c r="V920" s="96">
        <f t="shared" si="2132"/>
        <v>-10803.5</v>
      </c>
      <c r="W920" s="96">
        <f t="shared" si="2132"/>
        <v>-14185.5</v>
      </c>
      <c r="X920" s="96">
        <f t="shared" si="2132"/>
        <v>-16940.5</v>
      </c>
      <c r="Y920" s="96">
        <f t="shared" si="2132"/>
        <v>-18460.5</v>
      </c>
      <c r="Z920" s="96">
        <f t="shared" si="2132"/>
        <v>-22085.5</v>
      </c>
      <c r="AA920" s="96">
        <f t="shared" si="2132"/>
        <v>-27569</v>
      </c>
      <c r="AB920" s="96">
        <f t="shared" si="2132"/>
        <v>-31212</v>
      </c>
      <c r="AC920" s="96">
        <f t="shared" si="2132"/>
        <v>-32115</v>
      </c>
      <c r="AD920" s="96">
        <f t="shared" si="2132"/>
        <v>-32115</v>
      </c>
      <c r="AE920" s="96">
        <f t="shared" si="2132"/>
        <v>-32115</v>
      </c>
      <c r="AF920" s="96">
        <f t="shared" si="2116"/>
        <v>-32115</v>
      </c>
      <c r="AG920" s="96">
        <f t="shared" si="2117"/>
        <v>-32115</v>
      </c>
      <c r="AH920" s="96">
        <f t="shared" si="2118"/>
        <v>-32115</v>
      </c>
      <c r="AI920" s="96">
        <f t="shared" si="2119"/>
        <v>-32115</v>
      </c>
      <c r="AJ920" s="96"/>
      <c r="AK920" s="96"/>
      <c r="AL920" s="96"/>
      <c r="AM920" s="96"/>
      <c r="AN920" s="96"/>
      <c r="AO920" s="96"/>
      <c r="AP920" s="96"/>
      <c r="AQ920" s="96"/>
      <c r="AS920" s="634" t="s">
        <v>19</v>
      </c>
      <c r="AT920" s="550"/>
      <c r="AU920" s="207">
        <f t="shared" si="2120"/>
        <v>-858.33333333333337</v>
      </c>
      <c r="AV920" s="207">
        <f t="shared" si="2121"/>
        <v>-1197.625</v>
      </c>
      <c r="AW920" s="207">
        <f t="shared" si="2122"/>
        <v>-2420.375</v>
      </c>
      <c r="AX920" s="207">
        <f t="shared" si="2123"/>
        <v>-4883</v>
      </c>
      <c r="AY920" s="207">
        <f t="shared" si="2124"/>
        <v>-10455.125</v>
      </c>
      <c r="AZ920" s="207">
        <f t="shared" si="2125"/>
        <v>-21263.875</v>
      </c>
      <c r="BA920" s="207">
        <f t="shared" si="2126"/>
        <v>-31889.25</v>
      </c>
      <c r="BB920" s="207">
        <f t="shared" si="2127"/>
        <v>-32115</v>
      </c>
      <c r="BC920" s="96">
        <f t="shared" si="2128"/>
        <v>-32115</v>
      </c>
      <c r="BD920" s="96">
        <f t="shared" si="2128"/>
        <v>-32115</v>
      </c>
      <c r="BE920" s="96">
        <f t="shared" si="2128"/>
        <v>-32115</v>
      </c>
    </row>
    <row r="921" spans="1:70" x14ac:dyDescent="0.2">
      <c r="B921" s="634" t="s">
        <v>364</v>
      </c>
      <c r="C921" s="550"/>
      <c r="D921" s="98" t="s">
        <v>229</v>
      </c>
      <c r="E921" s="100">
        <f t="shared" ref="E921:AE921" si="2133">AVERAGE(D867:E867)</f>
        <v>-17242</v>
      </c>
      <c r="F921" s="100">
        <f t="shared" si="2133"/>
        <v>-16657.5</v>
      </c>
      <c r="G921" s="100">
        <f t="shared" si="2133"/>
        <v>-16231</v>
      </c>
      <c r="H921" s="100">
        <f t="shared" si="2133"/>
        <v>-16977.5</v>
      </c>
      <c r="I921" s="100">
        <f t="shared" si="2133"/>
        <v>-18491.5</v>
      </c>
      <c r="J921" s="100">
        <f t="shared" si="2133"/>
        <v>-19361</v>
      </c>
      <c r="K921" s="100">
        <f t="shared" si="2133"/>
        <v>-18965.5</v>
      </c>
      <c r="L921" s="100">
        <f t="shared" si="2133"/>
        <v>-19139.5</v>
      </c>
      <c r="M921" s="100">
        <f t="shared" si="2133"/>
        <v>-18646.5</v>
      </c>
      <c r="N921" s="100">
        <f t="shared" si="2133"/>
        <v>-19061.5</v>
      </c>
      <c r="O921" s="100">
        <f t="shared" si="2133"/>
        <v>-21596</v>
      </c>
      <c r="P921" s="100">
        <f t="shared" si="2133"/>
        <v>-23953.5</v>
      </c>
      <c r="Q921" s="100">
        <f t="shared" si="2133"/>
        <v>-24897.5</v>
      </c>
      <c r="R921" s="100">
        <f t="shared" si="2133"/>
        <v>-26180.5</v>
      </c>
      <c r="S921" s="100">
        <f t="shared" si="2133"/>
        <v>-28300.5</v>
      </c>
      <c r="T921" s="100">
        <f t="shared" si="2133"/>
        <v>-27985</v>
      </c>
      <c r="U921" s="100">
        <f t="shared" si="2133"/>
        <v>-26370.5</v>
      </c>
      <c r="V921" s="100">
        <f t="shared" si="2133"/>
        <v>-26654</v>
      </c>
      <c r="W921" s="100">
        <f t="shared" si="2133"/>
        <v>-29787</v>
      </c>
      <c r="X921" s="100">
        <f t="shared" si="2133"/>
        <v>-31649</v>
      </c>
      <c r="Y921" s="100">
        <f t="shared" si="2133"/>
        <v>-30408</v>
      </c>
      <c r="Z921" s="100">
        <f t="shared" si="2133"/>
        <v>-29895</v>
      </c>
      <c r="AA921" s="100">
        <f t="shared" si="2133"/>
        <v>-32279.5</v>
      </c>
      <c r="AB921" s="100">
        <f t="shared" si="2133"/>
        <v>-34643.5</v>
      </c>
      <c r="AC921" s="100">
        <f t="shared" si="2133"/>
        <v>-34619</v>
      </c>
      <c r="AD921" s="100">
        <f t="shared" si="2133"/>
        <v>-34619</v>
      </c>
      <c r="AE921" s="100">
        <f t="shared" si="2133"/>
        <v>-34619</v>
      </c>
      <c r="AF921" s="100">
        <f t="shared" si="2116"/>
        <v>-34619</v>
      </c>
      <c r="AG921" s="100">
        <f t="shared" si="2117"/>
        <v>-34619</v>
      </c>
      <c r="AH921" s="100">
        <f t="shared" si="2118"/>
        <v>-34619</v>
      </c>
      <c r="AI921" s="100">
        <f t="shared" si="2119"/>
        <v>-34619</v>
      </c>
      <c r="AJ921" s="1767"/>
      <c r="AK921" s="1767"/>
      <c r="AL921" s="1767"/>
      <c r="AM921" s="1767"/>
      <c r="AN921" s="1767"/>
      <c r="AO921" s="1767"/>
      <c r="AP921" s="1767"/>
      <c r="AQ921" s="1767"/>
      <c r="AS921" s="634" t="s">
        <v>364</v>
      </c>
      <c r="AT921" s="661"/>
      <c r="AU921" s="42">
        <f t="shared" si="2120"/>
        <v>-16710.166666666668</v>
      </c>
      <c r="AV921" s="42">
        <f t="shared" si="2121"/>
        <v>-18448.875</v>
      </c>
      <c r="AW921" s="42">
        <f t="shared" si="2122"/>
        <v>-19610.875</v>
      </c>
      <c r="AX921" s="42">
        <f t="shared" si="2123"/>
        <v>-25833</v>
      </c>
      <c r="AY921" s="42">
        <f t="shared" si="2124"/>
        <v>-27699.125</v>
      </c>
      <c r="AZ921" s="42">
        <f t="shared" si="2125"/>
        <v>-31057.875</v>
      </c>
      <c r="BA921" s="42">
        <f t="shared" si="2126"/>
        <v>-34625.125</v>
      </c>
      <c r="BB921" s="42">
        <f t="shared" si="2127"/>
        <v>-34619</v>
      </c>
      <c r="BC921" s="100">
        <f t="shared" si="2128"/>
        <v>-34619</v>
      </c>
      <c r="BD921" s="100">
        <f t="shared" si="2128"/>
        <v>-34619</v>
      </c>
      <c r="BE921" s="100">
        <f t="shared" si="2128"/>
        <v>-34619</v>
      </c>
    </row>
    <row r="922" spans="1:70" x14ac:dyDescent="0.2">
      <c r="B922" s="321"/>
      <c r="C922" s="642" t="s">
        <v>111</v>
      </c>
      <c r="D922" s="32" t="s">
        <v>229</v>
      </c>
      <c r="E922" s="99">
        <f t="shared" ref="E922:AE922" si="2134">SUM(E917:E921)</f>
        <v>182228</v>
      </c>
      <c r="F922" s="99">
        <f t="shared" si="2134"/>
        <v>184704</v>
      </c>
      <c r="G922" s="99">
        <f t="shared" si="2134"/>
        <v>186152.5</v>
      </c>
      <c r="H922" s="99">
        <f t="shared" si="2134"/>
        <v>188005</v>
      </c>
      <c r="I922" s="99">
        <f t="shared" si="2134"/>
        <v>190563.5</v>
      </c>
      <c r="J922" s="99">
        <f t="shared" si="2134"/>
        <v>193264</v>
      </c>
      <c r="K922" s="99">
        <f t="shared" si="2134"/>
        <v>196255</v>
      </c>
      <c r="L922" s="99">
        <f t="shared" si="2134"/>
        <v>199076</v>
      </c>
      <c r="M922" s="99">
        <f t="shared" si="2134"/>
        <v>201473</v>
      </c>
      <c r="N922" s="99">
        <f t="shared" si="2134"/>
        <v>202504</v>
      </c>
      <c r="O922" s="99">
        <f t="shared" si="2134"/>
        <v>201338.5</v>
      </c>
      <c r="P922" s="99">
        <f t="shared" si="2134"/>
        <v>201184.5</v>
      </c>
      <c r="Q922" s="99">
        <f t="shared" si="2134"/>
        <v>204062</v>
      </c>
      <c r="R922" s="99">
        <f t="shared" si="2134"/>
        <v>205551</v>
      </c>
      <c r="S922" s="99">
        <f t="shared" si="2134"/>
        <v>205384.5</v>
      </c>
      <c r="T922" s="99">
        <f t="shared" si="2134"/>
        <v>207454</v>
      </c>
      <c r="U922" s="99">
        <f t="shared" si="2134"/>
        <v>211202</v>
      </c>
      <c r="V922" s="99">
        <f t="shared" si="2134"/>
        <v>212478.5</v>
      </c>
      <c r="W922" s="99">
        <f t="shared" si="2134"/>
        <v>209094.5</v>
      </c>
      <c r="X922" s="99">
        <f t="shared" si="2134"/>
        <v>207373</v>
      </c>
      <c r="Y922" s="99">
        <f t="shared" ref="Y922:Z922" si="2135">SUM(Y917:Y921)</f>
        <v>209822.5</v>
      </c>
      <c r="Z922" s="99">
        <f t="shared" si="2135"/>
        <v>209573.5</v>
      </c>
      <c r="AA922" s="99">
        <f t="shared" ref="AA922" si="2136">SUM(AA917:AA921)</f>
        <v>194934</v>
      </c>
      <c r="AB922" s="99">
        <f t="shared" ref="AB922" si="2137">SUM(AB917:AB921)</f>
        <v>182123</v>
      </c>
      <c r="AC922" s="99">
        <f t="shared" si="2134"/>
        <v>183361.29036385831</v>
      </c>
      <c r="AD922" s="99">
        <f t="shared" si="2134"/>
        <v>183006.6451249746</v>
      </c>
      <c r="AE922" s="99">
        <f t="shared" si="2134"/>
        <v>180913.59406709397</v>
      </c>
      <c r="AF922" s="99">
        <f t="shared" ref="AF922:AI922" si="2138">SUM(AF917:AF921)</f>
        <v>179353.11556756042</v>
      </c>
      <c r="AG922" s="99">
        <f t="shared" si="2138"/>
        <v>178206.85566515638</v>
      </c>
      <c r="AH922" s="99">
        <f t="shared" si="2138"/>
        <v>176929.1428302289</v>
      </c>
      <c r="AI922" s="99">
        <f t="shared" si="2138"/>
        <v>175688.46233229578</v>
      </c>
      <c r="AJ922" s="99"/>
      <c r="AK922" s="99"/>
      <c r="AL922" s="99"/>
      <c r="AM922" s="99"/>
      <c r="AN922" s="99"/>
      <c r="AO922" s="99"/>
      <c r="AP922" s="99"/>
      <c r="AQ922" s="99"/>
      <c r="AS922" s="321"/>
      <c r="AT922" s="642" t="s">
        <v>111</v>
      </c>
      <c r="AU922" s="281">
        <f t="shared" ref="AU922:BD922" si="2139">SUM(AU917:AU921)</f>
        <v>184361.5</v>
      </c>
      <c r="AV922" s="281">
        <f t="shared" si="2139"/>
        <v>192021.875</v>
      </c>
      <c r="AW922" s="281">
        <f t="shared" si="2139"/>
        <v>201097.875</v>
      </c>
      <c r="AX922" s="281">
        <f t="shared" si="2139"/>
        <v>204045.5</v>
      </c>
      <c r="AY922" s="281">
        <f t="shared" si="2139"/>
        <v>210057.25</v>
      </c>
      <c r="AZ922" s="281">
        <f t="shared" si="2139"/>
        <v>205425.75</v>
      </c>
      <c r="BA922" s="281">
        <f t="shared" si="2139"/>
        <v>182351.13238898173</v>
      </c>
      <c r="BB922" s="281">
        <f t="shared" ref="BB922" si="2140">SUM(BB917:BB921)</f>
        <v>177544.39409881039</v>
      </c>
      <c r="BC922" s="281">
        <f t="shared" si="2139"/>
        <v>176139.8028218688</v>
      </c>
      <c r="BD922" s="281">
        <f t="shared" si="2139"/>
        <v>179911.46688478009</v>
      </c>
      <c r="BE922" s="281">
        <f t="shared" ref="BE922" si="2141">SUM(BE917:BE921)</f>
        <v>185291.75734547881</v>
      </c>
    </row>
    <row r="923" spans="1:70" x14ac:dyDescent="0.2">
      <c r="Y923" s="1215"/>
      <c r="Z923" s="1688"/>
      <c r="AA923" s="1742"/>
      <c r="AB923" s="1785"/>
      <c r="AS923" s="10"/>
      <c r="AT923" s="9"/>
      <c r="BC923" s="9"/>
      <c r="BD923" s="1704"/>
      <c r="BE923" s="1702"/>
    </row>
    <row r="924" spans="1:70" x14ac:dyDescent="0.2">
      <c r="B924" s="642" t="s">
        <v>67</v>
      </c>
      <c r="C924" s="319"/>
      <c r="D924" s="32" t="s">
        <v>229</v>
      </c>
      <c r="E924" s="96">
        <f t="shared" ref="E924:X924" si="2142">E922+E916</f>
        <v>182540</v>
      </c>
      <c r="F924" s="96">
        <f t="shared" si="2142"/>
        <v>185016</v>
      </c>
      <c r="G924" s="96">
        <f t="shared" si="2142"/>
        <v>187589.5</v>
      </c>
      <c r="H924" s="96">
        <f t="shared" si="2142"/>
        <v>190854.5</v>
      </c>
      <c r="I924" s="96">
        <f t="shared" si="2142"/>
        <v>194278.5</v>
      </c>
      <c r="J924" s="96">
        <f t="shared" si="2142"/>
        <v>198032</v>
      </c>
      <c r="K924" s="96">
        <f t="shared" si="2142"/>
        <v>202245.5</v>
      </c>
      <c r="L924" s="96">
        <f t="shared" si="2142"/>
        <v>206054</v>
      </c>
      <c r="M924" s="96">
        <f t="shared" si="2142"/>
        <v>209566</v>
      </c>
      <c r="N924" s="96">
        <f t="shared" si="2142"/>
        <v>211472</v>
      </c>
      <c r="O924" s="96">
        <f t="shared" si="2142"/>
        <v>211056.5</v>
      </c>
      <c r="P924" s="96">
        <f t="shared" si="2142"/>
        <v>212402.5</v>
      </c>
      <c r="Q924" s="96">
        <f t="shared" si="2142"/>
        <v>217030</v>
      </c>
      <c r="R924" s="96">
        <f t="shared" si="2142"/>
        <v>220144</v>
      </c>
      <c r="S924" s="96">
        <f t="shared" si="2142"/>
        <v>221352.5</v>
      </c>
      <c r="T924" s="96">
        <f t="shared" si="2142"/>
        <v>224689.5</v>
      </c>
      <c r="U924" s="96">
        <f t="shared" si="2142"/>
        <v>229705</v>
      </c>
      <c r="V924" s="96">
        <f t="shared" si="2142"/>
        <v>231731.5</v>
      </c>
      <c r="W924" s="96">
        <f t="shared" si="2142"/>
        <v>228347.5</v>
      </c>
      <c r="X924" s="96">
        <f t="shared" si="2142"/>
        <v>226626</v>
      </c>
      <c r="Y924" s="96">
        <f t="shared" ref="Y924:Z924" si="2143">Y922+Y916</f>
        <v>229075.5</v>
      </c>
      <c r="Z924" s="96">
        <f t="shared" si="2143"/>
        <v>228826.5</v>
      </c>
      <c r="AA924" s="96">
        <f t="shared" ref="AA924" si="2144">AA922+AA916</f>
        <v>214187</v>
      </c>
      <c r="AB924" s="96">
        <f t="shared" ref="AB924" si="2145">AB922+AB916</f>
        <v>201327.5</v>
      </c>
      <c r="AC924" s="96">
        <f t="shared" ref="AC924:AE925" si="2146">AVERAGE(AB870:AC870)</f>
        <v>202517.29036385831</v>
      </c>
      <c r="AD924" s="96">
        <f t="shared" si="2146"/>
        <v>202162.6451249746</v>
      </c>
      <c r="AE924" s="96">
        <f t="shared" si="2146"/>
        <v>200069.59406709397</v>
      </c>
      <c r="AF924" s="96">
        <f t="shared" ref="AF924:AF925" si="2147">AVERAGE(AE870:AF870)</f>
        <v>199509.11556756042</v>
      </c>
      <c r="AG924" s="96">
        <f t="shared" ref="AG924:AG925" si="2148">AVERAGE(AF870:AG870)</f>
        <v>199362.85566515638</v>
      </c>
      <c r="AH924" s="96">
        <f t="shared" ref="AH924:AH925" si="2149">AVERAGE(AG870:AH870)</f>
        <v>198085.1428302289</v>
      </c>
      <c r="AI924" s="96">
        <f t="shared" ref="AI924:AI925" si="2150">AVERAGE(AH870:AI870)</f>
        <v>196844.46233229578</v>
      </c>
      <c r="AJ924" s="96"/>
      <c r="AK924" s="96"/>
      <c r="AL924" s="96"/>
      <c r="AM924" s="96"/>
      <c r="AN924" s="96"/>
      <c r="AO924" s="96"/>
      <c r="AP924" s="96"/>
      <c r="AQ924" s="96"/>
      <c r="AS924" s="642" t="s">
        <v>67</v>
      </c>
      <c r="AT924" s="319"/>
      <c r="AU924" s="96">
        <f t="shared" ref="AU924:BE924" si="2151">AVERAGE(AT870:AU870)</f>
        <v>188717</v>
      </c>
      <c r="AV924" s="96">
        <f t="shared" si="2151"/>
        <v>196354.5</v>
      </c>
      <c r="AW924" s="96">
        <f t="shared" si="2151"/>
        <v>207088.5</v>
      </c>
      <c r="AX924" s="96">
        <f t="shared" si="2151"/>
        <v>216021</v>
      </c>
      <c r="AY924" s="96">
        <f t="shared" si="2151"/>
        <v>223488.5</v>
      </c>
      <c r="AZ924" s="96">
        <f t="shared" si="2151"/>
        <v>212930</v>
      </c>
      <c r="BA924" s="96">
        <f t="shared" si="2151"/>
        <v>199836.73930597771</v>
      </c>
      <c r="BB924" s="96">
        <f t="shared" si="2151"/>
        <v>197546.53821161826</v>
      </c>
      <c r="BC924" s="96">
        <f t="shared" si="2151"/>
        <v>197295.8028218688</v>
      </c>
      <c r="BD924" s="96">
        <f t="shared" si="2151"/>
        <v>201067.46688478009</v>
      </c>
      <c r="BE924" s="96">
        <f t="shared" si="2151"/>
        <v>206447.75734547881</v>
      </c>
    </row>
    <row r="925" spans="1:70" x14ac:dyDescent="0.2">
      <c r="B925" s="15"/>
      <c r="C925" s="93" t="s">
        <v>97</v>
      </c>
      <c r="D925" s="32" t="s">
        <v>229</v>
      </c>
      <c r="E925" s="50">
        <f t="shared" ref="E925:AB925" si="2152">AVERAGE(D871:E871)</f>
        <v>1915.5</v>
      </c>
      <c r="F925" s="50">
        <f t="shared" si="2152"/>
        <v>1944.5</v>
      </c>
      <c r="G925" s="50">
        <f t="shared" si="2152"/>
        <v>1954.5</v>
      </c>
      <c r="H925" s="50">
        <f t="shared" si="2152"/>
        <v>1964</v>
      </c>
      <c r="I925" s="50">
        <f t="shared" si="2152"/>
        <v>1940</v>
      </c>
      <c r="J925" s="50">
        <f t="shared" si="2152"/>
        <v>1896.5</v>
      </c>
      <c r="K925" s="50">
        <f t="shared" si="2152"/>
        <v>1843.5</v>
      </c>
      <c r="L925" s="50">
        <f t="shared" si="2152"/>
        <v>1787</v>
      </c>
      <c r="M925" s="50">
        <f t="shared" si="2152"/>
        <v>1758.5</v>
      </c>
      <c r="N925" s="50">
        <f t="shared" si="2152"/>
        <v>1678</v>
      </c>
      <c r="O925" s="50">
        <f t="shared" si="2152"/>
        <v>1565</v>
      </c>
      <c r="P925" s="50">
        <f t="shared" si="2152"/>
        <v>1457</v>
      </c>
      <c r="Q925" s="50">
        <f t="shared" si="2152"/>
        <v>1394</v>
      </c>
      <c r="R925" s="50">
        <f t="shared" si="2152"/>
        <v>1337</v>
      </c>
      <c r="S925" s="50">
        <f t="shared" si="2152"/>
        <v>1262</v>
      </c>
      <c r="T925" s="50">
        <f t="shared" si="2152"/>
        <v>1237</v>
      </c>
      <c r="U925" s="50">
        <f t="shared" si="2152"/>
        <v>1186</v>
      </c>
      <c r="V925" s="50">
        <f t="shared" si="2152"/>
        <v>1124</v>
      </c>
      <c r="W925" s="50">
        <f t="shared" si="2152"/>
        <v>1069</v>
      </c>
      <c r="X925" s="50">
        <f t="shared" si="2152"/>
        <v>944</v>
      </c>
      <c r="Y925" s="50">
        <f t="shared" si="2152"/>
        <v>976.5</v>
      </c>
      <c r="Z925" s="50">
        <f t="shared" si="2152"/>
        <v>1038</v>
      </c>
      <c r="AA925" s="50">
        <f t="shared" si="2152"/>
        <v>1257</v>
      </c>
      <c r="AB925" s="50">
        <f t="shared" si="2152"/>
        <v>1238.5</v>
      </c>
      <c r="AC925" s="50">
        <f t="shared" si="2146"/>
        <v>951</v>
      </c>
      <c r="AD925" s="50">
        <f t="shared" si="2146"/>
        <v>951</v>
      </c>
      <c r="AE925" s="50">
        <f t="shared" si="2146"/>
        <v>951</v>
      </c>
      <c r="AF925" s="50">
        <f t="shared" si="2147"/>
        <v>951</v>
      </c>
      <c r="AG925" s="50">
        <f t="shared" si="2148"/>
        <v>951</v>
      </c>
      <c r="AH925" s="50">
        <f t="shared" si="2149"/>
        <v>951</v>
      </c>
      <c r="AI925" s="50">
        <f t="shared" si="2150"/>
        <v>951</v>
      </c>
      <c r="AJ925" s="50"/>
      <c r="AK925" s="50"/>
      <c r="AL925" s="50"/>
      <c r="AM925" s="50"/>
      <c r="AN925" s="50"/>
      <c r="AO925" s="50"/>
      <c r="AP925" s="50"/>
      <c r="AQ925" s="50"/>
      <c r="AS925" s="15"/>
      <c r="AT925" s="93" t="s">
        <v>97</v>
      </c>
      <c r="AU925" s="50">
        <f t="shared" ref="AU925:BE925" si="2153">AVERAGE(AT871:AU871)</f>
        <v>1948</v>
      </c>
      <c r="AV925" s="50">
        <f t="shared" si="2153"/>
        <v>1871</v>
      </c>
      <c r="AW925" s="50">
        <f t="shared" si="2153"/>
        <v>1652.5</v>
      </c>
      <c r="AX925" s="50">
        <f t="shared" si="2153"/>
        <v>1373</v>
      </c>
      <c r="AY925" s="50">
        <f t="shared" si="2153"/>
        <v>1129</v>
      </c>
      <c r="AZ925" s="50">
        <f t="shared" si="2153"/>
        <v>1274.5</v>
      </c>
      <c r="BA925" s="50">
        <f t="shared" si="2153"/>
        <v>1238.5</v>
      </c>
      <c r="BB925" s="50">
        <f t="shared" si="2153"/>
        <v>951</v>
      </c>
      <c r="BC925" s="50">
        <f t="shared" si="2153"/>
        <v>951</v>
      </c>
      <c r="BD925" s="50">
        <f t="shared" si="2153"/>
        <v>951</v>
      </c>
      <c r="BE925" s="50">
        <f t="shared" si="2153"/>
        <v>951</v>
      </c>
    </row>
    <row r="926" spans="1:70" x14ac:dyDescent="0.2">
      <c r="B926" s="642" t="s">
        <v>14</v>
      </c>
      <c r="C926" s="319"/>
      <c r="D926" s="98" t="s">
        <v>229</v>
      </c>
      <c r="E926" s="100">
        <f t="shared" ref="E926:AE926" si="2154">E924+E925</f>
        <v>184455.5</v>
      </c>
      <c r="F926" s="100">
        <f t="shared" si="2154"/>
        <v>186960.5</v>
      </c>
      <c r="G926" s="100">
        <f t="shared" si="2154"/>
        <v>189544</v>
      </c>
      <c r="H926" s="100">
        <f t="shared" si="2154"/>
        <v>192818.5</v>
      </c>
      <c r="I926" s="100">
        <f t="shared" si="2154"/>
        <v>196218.5</v>
      </c>
      <c r="J926" s="100">
        <f t="shared" si="2154"/>
        <v>199928.5</v>
      </c>
      <c r="K926" s="100">
        <f t="shared" si="2154"/>
        <v>204089</v>
      </c>
      <c r="L926" s="100">
        <f t="shared" si="2154"/>
        <v>207841</v>
      </c>
      <c r="M926" s="100">
        <f t="shared" si="2154"/>
        <v>211324.5</v>
      </c>
      <c r="N926" s="100">
        <f t="shared" si="2154"/>
        <v>213150</v>
      </c>
      <c r="O926" s="100">
        <f t="shared" si="2154"/>
        <v>212621.5</v>
      </c>
      <c r="P926" s="100">
        <f t="shared" si="2154"/>
        <v>213859.5</v>
      </c>
      <c r="Q926" s="100">
        <f t="shared" si="2154"/>
        <v>218424</v>
      </c>
      <c r="R926" s="100">
        <f t="shared" si="2154"/>
        <v>221481</v>
      </c>
      <c r="S926" s="100">
        <f t="shared" si="2154"/>
        <v>222614.5</v>
      </c>
      <c r="T926" s="100">
        <f t="shared" si="2154"/>
        <v>225926.5</v>
      </c>
      <c r="U926" s="100">
        <f t="shared" si="2154"/>
        <v>230891</v>
      </c>
      <c r="V926" s="100">
        <f t="shared" si="2154"/>
        <v>232855.5</v>
      </c>
      <c r="W926" s="100">
        <f t="shared" si="2154"/>
        <v>229416.5</v>
      </c>
      <c r="X926" s="100">
        <f t="shared" si="2154"/>
        <v>227570</v>
      </c>
      <c r="Y926" s="100">
        <f t="shared" ref="Y926:Z926" si="2155">Y924+Y925</f>
        <v>230052</v>
      </c>
      <c r="Z926" s="100">
        <f t="shared" si="2155"/>
        <v>229864.5</v>
      </c>
      <c r="AA926" s="100">
        <f t="shared" ref="AA926" si="2156">AA924+AA925</f>
        <v>215444</v>
      </c>
      <c r="AB926" s="100">
        <f t="shared" ref="AB926" si="2157">AB924+AB925</f>
        <v>202566</v>
      </c>
      <c r="AC926" s="100">
        <f t="shared" si="2154"/>
        <v>203468.29036385831</v>
      </c>
      <c r="AD926" s="100">
        <f t="shared" si="2154"/>
        <v>203113.6451249746</v>
      </c>
      <c r="AE926" s="100">
        <f t="shared" si="2154"/>
        <v>201020.59406709397</v>
      </c>
      <c r="AF926" s="100">
        <f t="shared" ref="AF926:AI926" si="2158">AF924+AF925</f>
        <v>200460.11556756042</v>
      </c>
      <c r="AG926" s="100">
        <f t="shared" si="2158"/>
        <v>200313.85566515638</v>
      </c>
      <c r="AH926" s="100">
        <f t="shared" si="2158"/>
        <v>199036.1428302289</v>
      </c>
      <c r="AI926" s="100">
        <f t="shared" si="2158"/>
        <v>197795.46233229578</v>
      </c>
      <c r="AJ926" s="1767"/>
      <c r="AK926" s="1767"/>
      <c r="AL926" s="1767"/>
      <c r="AM926" s="1767"/>
      <c r="AN926" s="1767"/>
      <c r="AO926" s="1767"/>
      <c r="AP926" s="1767"/>
      <c r="AQ926" s="1767"/>
      <c r="AS926" s="642" t="s">
        <v>14</v>
      </c>
      <c r="AT926" s="319"/>
      <c r="AU926" s="100">
        <f t="shared" ref="AU926:BD926" si="2159">AU924+AU925</f>
        <v>190665</v>
      </c>
      <c r="AV926" s="100">
        <f t="shared" si="2159"/>
        <v>198225.5</v>
      </c>
      <c r="AW926" s="100">
        <f t="shared" si="2159"/>
        <v>208741</v>
      </c>
      <c r="AX926" s="100">
        <f t="shared" si="2159"/>
        <v>217394</v>
      </c>
      <c r="AY926" s="100">
        <f t="shared" si="2159"/>
        <v>224617.5</v>
      </c>
      <c r="AZ926" s="100">
        <f t="shared" si="2159"/>
        <v>214204.5</v>
      </c>
      <c r="BA926" s="100">
        <f t="shared" si="2159"/>
        <v>201075.23930597771</v>
      </c>
      <c r="BB926" s="100">
        <f t="shared" ref="BB926" si="2160">BB924+BB925</f>
        <v>198497.53821161826</v>
      </c>
      <c r="BC926" s="100">
        <f t="shared" si="2159"/>
        <v>198246.8028218688</v>
      </c>
      <c r="BD926" s="100">
        <f t="shared" si="2159"/>
        <v>202018.46688478009</v>
      </c>
      <c r="BE926" s="100">
        <f t="shared" ref="BE926" si="2161">BE924+BE925</f>
        <v>207398.75734547881</v>
      </c>
    </row>
    <row r="927" spans="1:70" s="160" customFormat="1" x14ac:dyDescent="0.2">
      <c r="A927" s="829"/>
      <c r="B927" s="642" t="s">
        <v>13</v>
      </c>
      <c r="C927" s="662"/>
      <c r="D927" s="32" t="s">
        <v>229</v>
      </c>
      <c r="E927" s="99">
        <f t="shared" ref="E927:AE927" si="2162">E896</f>
        <v>1916100</v>
      </c>
      <c r="F927" s="99">
        <f t="shared" si="2162"/>
        <v>1909400</v>
      </c>
      <c r="G927" s="99">
        <f t="shared" si="2162"/>
        <v>1905400</v>
      </c>
      <c r="H927" s="99">
        <f t="shared" si="2162"/>
        <v>1886800</v>
      </c>
      <c r="I927" s="99">
        <f t="shared" si="2162"/>
        <v>1898900</v>
      </c>
      <c r="J927" s="99">
        <f t="shared" si="2162"/>
        <v>1857100</v>
      </c>
      <c r="K927" s="99">
        <f t="shared" si="2162"/>
        <v>1888000</v>
      </c>
      <c r="L927" s="99">
        <f t="shared" si="2162"/>
        <v>1888300</v>
      </c>
      <c r="M927" s="99">
        <f t="shared" si="2162"/>
        <v>1903300</v>
      </c>
      <c r="N927" s="99">
        <f t="shared" si="2162"/>
        <v>1895400</v>
      </c>
      <c r="O927" s="99">
        <f t="shared" si="2162"/>
        <v>1900200</v>
      </c>
      <c r="P927" s="99">
        <f t="shared" si="2162"/>
        <v>1853100</v>
      </c>
      <c r="Q927" s="99">
        <f t="shared" si="2162"/>
        <v>1839700</v>
      </c>
      <c r="R927" s="99">
        <f t="shared" si="2162"/>
        <v>1818400</v>
      </c>
      <c r="S927" s="99">
        <f t="shared" si="2162"/>
        <v>1784300</v>
      </c>
      <c r="T927" s="99">
        <f t="shared" si="2162"/>
        <v>1777600</v>
      </c>
      <c r="U927" s="99">
        <f t="shared" si="2162"/>
        <v>1807300</v>
      </c>
      <c r="V927" s="99">
        <f t="shared" si="2162"/>
        <v>1830200</v>
      </c>
      <c r="W927" s="99">
        <f t="shared" si="2162"/>
        <v>1819800</v>
      </c>
      <c r="X927" s="99">
        <f t="shared" si="2162"/>
        <v>1830600</v>
      </c>
      <c r="Y927" s="99">
        <f t="shared" ref="Y927:Z927" si="2163">Y896</f>
        <v>1869200</v>
      </c>
      <c r="Z927" s="99">
        <f t="shared" si="2163"/>
        <v>1892300</v>
      </c>
      <c r="AA927" s="99">
        <f t="shared" ref="AA927" si="2164">AA896</f>
        <v>1909700</v>
      </c>
      <c r="AB927" s="99">
        <f t="shared" ref="AB927" si="2165">AB896</f>
        <v>1904200</v>
      </c>
      <c r="AC927" s="99">
        <f t="shared" si="2162"/>
        <v>1911959.7826231329</v>
      </c>
      <c r="AD927" s="99">
        <f t="shared" si="2162"/>
        <v>1920408.6290756604</v>
      </c>
      <c r="AE927" s="99">
        <f t="shared" si="2162"/>
        <v>1931687.7845540701</v>
      </c>
      <c r="AF927" s="99">
        <f t="shared" ref="AF927:AI927" si="2166">AF896</f>
        <v>1943366.4343166202</v>
      </c>
      <c r="AG927" s="99">
        <f t="shared" si="2166"/>
        <v>1958036.4300626116</v>
      </c>
      <c r="AH927" s="99">
        <f t="shared" si="2166"/>
        <v>1977685.4389973814</v>
      </c>
      <c r="AI927" s="99">
        <f t="shared" si="2166"/>
        <v>2000537.3651384942</v>
      </c>
      <c r="AJ927" s="99"/>
      <c r="AK927" s="99"/>
      <c r="AL927" s="99"/>
      <c r="AM927" s="99"/>
      <c r="AN927" s="99"/>
      <c r="AO927" s="99"/>
      <c r="AP927" s="99"/>
      <c r="AQ927" s="99"/>
      <c r="AR927" s="70"/>
      <c r="AS927" s="642" t="s">
        <v>13</v>
      </c>
      <c r="AT927" s="662"/>
      <c r="AU927" s="99">
        <f t="shared" ref="AU927:BD927" si="2167">AU896</f>
        <v>1910675</v>
      </c>
      <c r="AV927" s="99">
        <f t="shared" si="2167"/>
        <v>1882700</v>
      </c>
      <c r="AW927" s="99">
        <f t="shared" si="2167"/>
        <v>1896800</v>
      </c>
      <c r="AX927" s="99">
        <f t="shared" si="2167"/>
        <v>1823875</v>
      </c>
      <c r="AY927" s="99">
        <f t="shared" si="2167"/>
        <v>1808725</v>
      </c>
      <c r="AZ927" s="99">
        <f t="shared" si="2167"/>
        <v>1875450</v>
      </c>
      <c r="BA927" s="99">
        <f t="shared" si="2167"/>
        <v>1917064.0490632157</v>
      </c>
      <c r="BB927" s="99">
        <f t="shared" ref="BB927" si="2168">BB896</f>
        <v>1969906.4171287769</v>
      </c>
      <c r="BC927" s="99">
        <f t="shared" si="2167"/>
        <v>2021424.1657135654</v>
      </c>
      <c r="BD927" s="99">
        <f t="shared" si="2167"/>
        <v>2088519.8111549076</v>
      </c>
      <c r="BE927" s="99">
        <f t="shared" ref="BE927" si="2169">BE896</f>
        <v>2154810.7160231196</v>
      </c>
      <c r="BM927"/>
      <c r="BN927"/>
      <c r="BO927"/>
      <c r="BP927"/>
      <c r="BQ927"/>
      <c r="BR927"/>
    </row>
    <row r="928" spans="1:70" s="160" customFormat="1" x14ac:dyDescent="0.2">
      <c r="A928" s="829"/>
      <c r="B928" s="642"/>
      <c r="C928" s="662"/>
      <c r="D928" s="32"/>
      <c r="E928" s="99"/>
      <c r="F928" s="99"/>
      <c r="G928" s="99"/>
      <c r="H928" s="99"/>
      <c r="I928" s="99"/>
      <c r="J928" s="99"/>
      <c r="K928" s="99"/>
      <c r="L928" s="99"/>
      <c r="M928" s="99"/>
      <c r="N928" s="99"/>
      <c r="O928" s="99"/>
      <c r="P928" s="99"/>
      <c r="Q928" s="99"/>
      <c r="R928" s="99"/>
      <c r="S928" s="99"/>
      <c r="T928" s="99"/>
      <c r="U928" s="99"/>
      <c r="V928" s="99"/>
      <c r="W928" s="99"/>
      <c r="X928" s="99"/>
      <c r="Y928" s="99"/>
      <c r="Z928" s="99"/>
      <c r="AA928" s="99"/>
      <c r="AB928" s="99"/>
      <c r="AC928" s="59"/>
      <c r="AD928" s="59"/>
      <c r="AE928" s="59"/>
      <c r="AF928" s="59"/>
      <c r="AG928" s="59"/>
      <c r="AH928" s="59"/>
      <c r="AI928" s="59"/>
      <c r="AJ928" s="59"/>
      <c r="AK928" s="59"/>
      <c r="AL928" s="59"/>
      <c r="AM928" s="59"/>
      <c r="AN928" s="59"/>
      <c r="AO928" s="59"/>
      <c r="AP928" s="59"/>
      <c r="AQ928" s="59"/>
      <c r="AR928" s="70"/>
      <c r="AS928" s="642"/>
      <c r="AT928" s="662"/>
      <c r="BC928" s="59"/>
      <c r="BD928" s="59"/>
      <c r="BE928" s="59"/>
      <c r="BM928"/>
      <c r="BN928"/>
      <c r="BO928"/>
      <c r="BP928"/>
      <c r="BQ928"/>
      <c r="BR928"/>
    </row>
    <row r="929" spans="1:64" x14ac:dyDescent="0.2">
      <c r="B929" s="214" t="s">
        <v>564</v>
      </c>
      <c r="D929" s="147" t="s">
        <v>229</v>
      </c>
      <c r="E929" s="216">
        <f t="shared" ref="E929:AE929" si="2170">AVERAGE(D875:E875)</f>
        <v>1120971.5</v>
      </c>
      <c r="F929" s="216">
        <f t="shared" si="2170"/>
        <v>1111488.5</v>
      </c>
      <c r="G929" s="216">
        <f t="shared" si="2170"/>
        <v>1082009.5</v>
      </c>
      <c r="H929" s="216">
        <f t="shared" si="2170"/>
        <v>1060818</v>
      </c>
      <c r="I929" s="216">
        <f t="shared" si="2170"/>
        <v>1078172.5</v>
      </c>
      <c r="J929" s="216">
        <f t="shared" si="2170"/>
        <v>1086015.5</v>
      </c>
      <c r="K929" s="216">
        <f t="shared" si="2170"/>
        <v>1077638.5</v>
      </c>
      <c r="L929" s="216">
        <f t="shared" si="2170"/>
        <v>1073307.5</v>
      </c>
      <c r="M929" s="216">
        <f t="shared" si="2170"/>
        <v>1084009.5</v>
      </c>
      <c r="N929" s="216">
        <f t="shared" si="2170"/>
        <v>1083264</v>
      </c>
      <c r="O929" s="216">
        <f t="shared" si="2170"/>
        <v>1066610.5</v>
      </c>
      <c r="P929" s="216">
        <f t="shared" si="2170"/>
        <v>1053521</v>
      </c>
      <c r="Q929" s="216">
        <f t="shared" si="2170"/>
        <v>1046170</v>
      </c>
      <c r="R929" s="216">
        <f t="shared" si="2170"/>
        <v>1034519.5</v>
      </c>
      <c r="S929" s="216">
        <f t="shared" si="2170"/>
        <v>997264</v>
      </c>
      <c r="T929" s="216">
        <f t="shared" si="2170"/>
        <v>1001009.5</v>
      </c>
      <c r="U929" s="216">
        <f t="shared" si="2170"/>
        <v>1036264</v>
      </c>
      <c r="V929" s="216">
        <f t="shared" si="2170"/>
        <v>1036424</v>
      </c>
      <c r="W929" s="216">
        <f t="shared" si="2170"/>
        <v>1030568.5</v>
      </c>
      <c r="X929" s="216">
        <f t="shared" si="2170"/>
        <v>1036949.5</v>
      </c>
      <c r="Y929" s="216">
        <f t="shared" si="2170"/>
        <v>1061213</v>
      </c>
      <c r="Z929" s="216">
        <f t="shared" si="2170"/>
        <v>1081162</v>
      </c>
      <c r="AA929" s="216">
        <f t="shared" si="2170"/>
        <v>1073372</v>
      </c>
      <c r="AB929" s="216">
        <f t="shared" si="2170"/>
        <v>1092156</v>
      </c>
      <c r="AC929" s="216">
        <f t="shared" si="2170"/>
        <v>1127829.3239036798</v>
      </c>
      <c r="AD929" s="216">
        <f t="shared" si="2170"/>
        <v>1127796.1272240945</v>
      </c>
      <c r="AE929" s="216">
        <f t="shared" si="2170"/>
        <v>1128020.8521732353</v>
      </c>
      <c r="AF929" s="216">
        <f t="shared" ref="AF929" si="2171">AVERAGE(AE875:AF875)</f>
        <v>1130916.6800961504</v>
      </c>
      <c r="AG929" s="216">
        <f t="shared" ref="AG929" si="2172">AVERAGE(AF875:AG875)</f>
        <v>1136493.4596416196</v>
      </c>
      <c r="AH929" s="216">
        <f t="shared" ref="AH929" si="2173">AVERAGE(AG875:AH875)</f>
        <v>1142254.6909021782</v>
      </c>
      <c r="AI929" s="216">
        <f t="shared" ref="AI929" si="2174">AVERAGE(AH875:AI875)</f>
        <v>1148211.9688602099</v>
      </c>
      <c r="AJ929" s="216"/>
      <c r="AK929" s="216"/>
      <c r="AL929" s="216"/>
      <c r="AM929" s="216"/>
      <c r="AN929" s="216"/>
      <c r="AO929" s="216"/>
      <c r="AP929" s="216"/>
      <c r="AQ929" s="216"/>
      <c r="AS929" s="214" t="s">
        <v>564</v>
      </c>
      <c r="AT929" s="9"/>
      <c r="AU929" s="216">
        <f>AVERAGE(D929:G929)</f>
        <v>1104823.1666666667</v>
      </c>
      <c r="AV929" s="216">
        <f>AVERAGE(H929:K929)</f>
        <v>1075661.125</v>
      </c>
      <c r="AW929" s="216">
        <f>AVERAGE(L929:O929)</f>
        <v>1076797.875</v>
      </c>
      <c r="AX929" s="216">
        <f>AVERAGE(P929:S929)</f>
        <v>1032868.625</v>
      </c>
      <c r="AY929" s="216">
        <f>AVERAGE(T929:W929)</f>
        <v>1026066.5</v>
      </c>
      <c r="AZ929" s="216">
        <f>AVERAGE(X929:AA929)</f>
        <v>1063174.125</v>
      </c>
      <c r="BA929" s="216">
        <f>AVERAGE(AB929:AE929)</f>
        <v>1118950.5758252523</v>
      </c>
      <c r="BB929" s="216">
        <f>AVERAGE(AF929:AI929)</f>
        <v>1139469.1998750395</v>
      </c>
      <c r="BC929" s="216">
        <f>AVERAGE(BB875:BC875)</f>
        <v>1156802.7753079969</v>
      </c>
      <c r="BD929" s="216">
        <f>AVERAGE(BC875:BD875)</f>
        <v>1173829.1378822592</v>
      </c>
      <c r="BE929" s="216">
        <f>AVERAGE(BD875:BE875)</f>
        <v>1197053.3873267053</v>
      </c>
    </row>
    <row r="930" spans="1:64" x14ac:dyDescent="0.2">
      <c r="AB930" s="1785"/>
      <c r="AS930" s="10"/>
      <c r="AT930" s="9"/>
    </row>
    <row r="931" spans="1:64" x14ac:dyDescent="0.2">
      <c r="A931" s="411" t="s">
        <v>194</v>
      </c>
      <c r="B931" s="13" t="s">
        <v>310</v>
      </c>
      <c r="C931" s="13"/>
      <c r="D931" s="14"/>
      <c r="E931" s="14"/>
      <c r="F931" s="14"/>
      <c r="G931" s="14"/>
      <c r="H931" s="14"/>
      <c r="I931" s="14"/>
      <c r="J931" s="14"/>
      <c r="K931" s="14"/>
      <c r="L931" s="14"/>
      <c r="M931" s="14"/>
      <c r="N931" s="14"/>
      <c r="O931" s="14"/>
      <c r="P931" s="14"/>
      <c r="Q931" s="14"/>
      <c r="R931" s="14"/>
      <c r="S931" s="14"/>
      <c r="T931" s="14"/>
      <c r="U931" s="14"/>
      <c r="V931" s="14"/>
      <c r="W931" s="14"/>
      <c r="X931" s="14"/>
      <c r="Y931" s="14"/>
      <c r="Z931" s="14"/>
      <c r="AA931" s="14"/>
      <c r="AB931" s="14"/>
      <c r="AC931" s="14"/>
      <c r="AD931" s="14"/>
      <c r="AE931" s="14"/>
      <c r="AF931" s="14"/>
      <c r="AG931" s="14"/>
      <c r="AH931" s="14"/>
      <c r="AI931" s="14"/>
      <c r="AJ931" s="14"/>
      <c r="AK931" s="14"/>
      <c r="AL931" s="14"/>
      <c r="AM931" s="14"/>
      <c r="AN931" s="14"/>
      <c r="AO931" s="14"/>
      <c r="AP931" s="14"/>
      <c r="AQ931" s="14"/>
      <c r="AS931" s="13" t="s">
        <v>310</v>
      </c>
      <c r="AT931" s="13"/>
      <c r="AU931" s="14"/>
      <c r="AV931" s="14"/>
      <c r="AW931" s="14"/>
      <c r="AX931" s="14"/>
      <c r="AY931" s="14"/>
      <c r="AZ931" s="14"/>
      <c r="BA931" s="14"/>
      <c r="BB931" s="14"/>
      <c r="BC931" s="14"/>
      <c r="BD931" s="14"/>
      <c r="BE931" s="14"/>
      <c r="BF931" s="15"/>
      <c r="BG931" s="15"/>
      <c r="BH931" s="15"/>
      <c r="BI931" s="15"/>
      <c r="BJ931" s="15"/>
      <c r="BK931" s="15"/>
      <c r="BL931" s="15"/>
    </row>
    <row r="932" spans="1:64" ht="11.25" customHeight="1" x14ac:dyDescent="0.2">
      <c r="B932" s="65"/>
      <c r="D932" s="81"/>
      <c r="E932" s="81"/>
      <c r="F932" s="81"/>
      <c r="G932" s="81"/>
      <c r="H932" s="81"/>
      <c r="I932" s="81"/>
      <c r="J932" s="81"/>
      <c r="K932" s="81"/>
      <c r="L932" s="81"/>
      <c r="M932" s="81"/>
      <c r="N932" s="81"/>
      <c r="O932" s="81"/>
      <c r="P932" s="81"/>
      <c r="Q932" s="81"/>
      <c r="R932" s="81"/>
      <c r="S932" s="81"/>
      <c r="T932" s="81"/>
      <c r="U932" s="81"/>
      <c r="V932" s="81"/>
      <c r="W932" s="81"/>
      <c r="AS932" s="65"/>
      <c r="AT932" s="9"/>
    </row>
    <row r="933" spans="1:64" ht="11.25" customHeight="1" x14ac:dyDescent="0.2">
      <c r="B933" s="316" t="s">
        <v>608</v>
      </c>
      <c r="C933" s="387"/>
      <c r="D933" s="582"/>
      <c r="E933" s="582"/>
      <c r="F933" s="582"/>
      <c r="G933" s="582"/>
      <c r="H933" s="582"/>
      <c r="I933" s="582"/>
      <c r="J933" s="490"/>
      <c r="K933" s="490"/>
      <c r="L933" s="490"/>
      <c r="M933" s="491"/>
      <c r="N933" s="490"/>
      <c r="O933" s="490"/>
      <c r="P933" s="490"/>
      <c r="Q933" s="491"/>
      <c r="R933" s="490"/>
      <c r="S933" s="490"/>
      <c r="T933" s="490"/>
      <c r="U933" s="491"/>
      <c r="V933" s="663"/>
      <c r="W933" s="490"/>
      <c r="X933" s="490"/>
      <c r="Y933" s="663"/>
      <c r="AA933" s="1742"/>
      <c r="AB933" s="1785"/>
      <c r="AS933" s="316" t="s">
        <v>608</v>
      </c>
      <c r="AT933" s="387"/>
    </row>
    <row r="934" spans="1:64" ht="11.25" customHeight="1" x14ac:dyDescent="0.2">
      <c r="B934" s="362"/>
      <c r="C934" s="664" t="s">
        <v>76</v>
      </c>
      <c r="D934" s="598">
        <v>161.5</v>
      </c>
      <c r="E934" s="598">
        <v>161.4</v>
      </c>
      <c r="F934" s="598">
        <v>164.9</v>
      </c>
      <c r="G934" s="598">
        <v>173.4</v>
      </c>
      <c r="H934" s="598">
        <v>175.4</v>
      </c>
      <c r="I934" s="598">
        <v>174.5</v>
      </c>
      <c r="J934" s="598">
        <v>177.5</v>
      </c>
      <c r="K934" s="598">
        <v>178.9</v>
      </c>
      <c r="L934" s="598">
        <v>181.4</v>
      </c>
      <c r="M934" s="598">
        <v>179.4</v>
      </c>
      <c r="N934" s="598">
        <v>180.6</v>
      </c>
      <c r="O934" s="598">
        <v>180.2</v>
      </c>
      <c r="P934" s="598">
        <v>181.6</v>
      </c>
      <c r="Q934" s="598">
        <v>182.5</v>
      </c>
      <c r="R934" s="598">
        <v>180</v>
      </c>
      <c r="S934" s="598">
        <v>181.6</v>
      </c>
      <c r="T934" s="598">
        <v>183.7</v>
      </c>
      <c r="U934" s="598">
        <v>183.3</v>
      </c>
      <c r="V934" s="598">
        <v>185.6</v>
      </c>
      <c r="W934" s="598">
        <v>185</v>
      </c>
      <c r="X934" s="598">
        <v>188.4</v>
      </c>
      <c r="Y934" s="598">
        <v>185.2</v>
      </c>
      <c r="Z934" s="598">
        <v>185.1</v>
      </c>
      <c r="AA934" s="598">
        <v>182.5</v>
      </c>
      <c r="AB934" s="598">
        <v>184.3</v>
      </c>
      <c r="AC934" s="910" t="s">
        <v>226</v>
      </c>
      <c r="AD934" s="910" t="s">
        <v>226</v>
      </c>
      <c r="AE934" s="910" t="s">
        <v>226</v>
      </c>
      <c r="AF934" s="910" t="s">
        <v>226</v>
      </c>
      <c r="AG934" s="910" t="s">
        <v>226</v>
      </c>
      <c r="AH934" s="910" t="s">
        <v>226</v>
      </c>
      <c r="AI934" s="910" t="s">
        <v>226</v>
      </c>
      <c r="AJ934" s="910"/>
      <c r="AK934" s="910"/>
      <c r="AL934" s="910"/>
      <c r="AM934" s="910"/>
      <c r="AN934" s="910"/>
      <c r="AO934" s="910"/>
      <c r="AP934" s="910"/>
      <c r="AQ934" s="910"/>
      <c r="AS934" s="362"/>
      <c r="AT934" s="664" t="s">
        <v>76</v>
      </c>
      <c r="AU934" s="467">
        <f>G934</f>
        <v>173.4</v>
      </c>
      <c r="AV934" s="467">
        <f>K934</f>
        <v>178.9</v>
      </c>
      <c r="AW934" s="467">
        <f>O934</f>
        <v>180.2</v>
      </c>
      <c r="AX934" s="467">
        <f>S934</f>
        <v>181.6</v>
      </c>
      <c r="AY934" s="467">
        <f>W934</f>
        <v>185</v>
      </c>
      <c r="AZ934" s="910" t="s">
        <v>226</v>
      </c>
      <c r="BA934" s="910" t="s">
        <v>226</v>
      </c>
      <c r="BB934" s="910" t="s">
        <v>226</v>
      </c>
      <c r="BC934" s="910" t="s">
        <v>226</v>
      </c>
      <c r="BD934" s="910" t="s">
        <v>226</v>
      </c>
      <c r="BE934" s="910" t="s">
        <v>226</v>
      </c>
    </row>
    <row r="935" spans="1:64" ht="11.25" customHeight="1" x14ac:dyDescent="0.2">
      <c r="B935" s="362"/>
      <c r="C935" s="664" t="s">
        <v>5</v>
      </c>
      <c r="D935" s="598">
        <v>28.5</v>
      </c>
      <c r="E935" s="598">
        <v>28.8</v>
      </c>
      <c r="F935" s="598">
        <v>30.5</v>
      </c>
      <c r="G935" s="598">
        <v>31.7</v>
      </c>
      <c r="H935" s="598">
        <v>31.7</v>
      </c>
      <c r="I935" s="598">
        <v>29.2</v>
      </c>
      <c r="J935" s="598">
        <v>29.8</v>
      </c>
      <c r="K935" s="598">
        <v>31.4</v>
      </c>
      <c r="L935" s="598">
        <v>30.8</v>
      </c>
      <c r="M935" s="598">
        <v>31.1</v>
      </c>
      <c r="N935" s="598">
        <v>29.2</v>
      </c>
      <c r="O935" s="598">
        <v>29.2</v>
      </c>
      <c r="P935" s="598">
        <v>27.4</v>
      </c>
      <c r="Q935" s="598">
        <v>27.5</v>
      </c>
      <c r="R935" s="598">
        <v>24.8</v>
      </c>
      <c r="S935" s="598">
        <v>27</v>
      </c>
      <c r="T935" s="598">
        <v>26.7</v>
      </c>
      <c r="U935" s="598">
        <v>26.4</v>
      </c>
      <c r="V935" s="598">
        <v>25.8</v>
      </c>
      <c r="W935" s="598">
        <v>24.9</v>
      </c>
      <c r="X935" s="598">
        <v>27.6</v>
      </c>
      <c r="Y935" s="598">
        <v>28.7</v>
      </c>
      <c r="Z935" s="598">
        <v>28.3</v>
      </c>
      <c r="AA935" s="598">
        <v>27.1</v>
      </c>
      <c r="AB935" s="598">
        <v>29.6</v>
      </c>
      <c r="AC935" s="910" t="s">
        <v>226</v>
      </c>
      <c r="AD935" s="910" t="s">
        <v>226</v>
      </c>
      <c r="AE935" s="910" t="s">
        <v>226</v>
      </c>
      <c r="AF935" s="910" t="s">
        <v>226</v>
      </c>
      <c r="AG935" s="910" t="s">
        <v>226</v>
      </c>
      <c r="AH935" s="910" t="s">
        <v>226</v>
      </c>
      <c r="AI935" s="910" t="s">
        <v>226</v>
      </c>
      <c r="AJ935" s="910"/>
      <c r="AK935" s="910"/>
      <c r="AL935" s="910"/>
      <c r="AM935" s="910"/>
      <c r="AN935" s="910"/>
      <c r="AO935" s="910"/>
      <c r="AP935" s="910"/>
      <c r="AQ935" s="910"/>
      <c r="AS935" s="362"/>
      <c r="AT935" s="664" t="s">
        <v>5</v>
      </c>
      <c r="AU935" s="467">
        <f>G935</f>
        <v>31.7</v>
      </c>
      <c r="AV935" s="467">
        <f>K935</f>
        <v>31.4</v>
      </c>
      <c r="AW935" s="467">
        <f>O935</f>
        <v>29.2</v>
      </c>
      <c r="AX935" s="467">
        <f>S935</f>
        <v>27</v>
      </c>
      <c r="AY935" s="467">
        <f>W935</f>
        <v>24.9</v>
      </c>
      <c r="AZ935" s="910" t="s">
        <v>226</v>
      </c>
      <c r="BA935" s="910" t="s">
        <v>226</v>
      </c>
      <c r="BB935" s="910" t="s">
        <v>226</v>
      </c>
      <c r="BC935" s="910" t="s">
        <v>226</v>
      </c>
      <c r="BD935" s="910" t="s">
        <v>226</v>
      </c>
      <c r="BE935" s="910" t="s">
        <v>226</v>
      </c>
    </row>
    <row r="936" spans="1:64" ht="11.25" customHeight="1" x14ac:dyDescent="0.2">
      <c r="B936" s="362"/>
      <c r="C936" s="664" t="s">
        <v>239</v>
      </c>
      <c r="D936" s="602">
        <v>95</v>
      </c>
      <c r="E936" s="602">
        <v>96</v>
      </c>
      <c r="F936" s="602">
        <v>96.5</v>
      </c>
      <c r="G936" s="602">
        <v>94.9</v>
      </c>
      <c r="H936" s="602">
        <v>93.1</v>
      </c>
      <c r="I936" s="602">
        <v>87.9</v>
      </c>
      <c r="J936" s="602">
        <v>87.6</v>
      </c>
      <c r="K936" s="602">
        <v>88.9</v>
      </c>
      <c r="L936" s="602">
        <v>90.7</v>
      </c>
      <c r="M936" s="602">
        <v>92.9</v>
      </c>
      <c r="N936" s="602">
        <v>90.3</v>
      </c>
      <c r="O936" s="602">
        <v>89</v>
      </c>
      <c r="P936" s="602">
        <v>89.5</v>
      </c>
      <c r="Q936" s="602">
        <v>89.4</v>
      </c>
      <c r="R936" s="602">
        <v>87</v>
      </c>
      <c r="S936" s="602">
        <v>87.6</v>
      </c>
      <c r="T936" s="602">
        <v>90.7</v>
      </c>
      <c r="U936" s="602">
        <v>90.5</v>
      </c>
      <c r="V936" s="602">
        <v>93.6</v>
      </c>
      <c r="W936" s="602">
        <v>89.9</v>
      </c>
      <c r="X936" s="602">
        <v>95.4</v>
      </c>
      <c r="Y936" s="602">
        <v>95.4</v>
      </c>
      <c r="Z936" s="602">
        <v>96.6</v>
      </c>
      <c r="AA936" s="602">
        <v>97.7</v>
      </c>
      <c r="AB936" s="602">
        <v>100.5</v>
      </c>
      <c r="AC936" s="911" t="s">
        <v>226</v>
      </c>
      <c r="AD936" s="911" t="s">
        <v>226</v>
      </c>
      <c r="AE936" s="911" t="s">
        <v>226</v>
      </c>
      <c r="AF936" s="911" t="s">
        <v>226</v>
      </c>
      <c r="AG936" s="911" t="s">
        <v>226</v>
      </c>
      <c r="AH936" s="911" t="s">
        <v>226</v>
      </c>
      <c r="AI936" s="911" t="s">
        <v>226</v>
      </c>
      <c r="AJ936" s="1768"/>
      <c r="AK936" s="1768"/>
      <c r="AL936" s="1768"/>
      <c r="AM936" s="1768"/>
      <c r="AN936" s="1768"/>
      <c r="AO936" s="1768"/>
      <c r="AP936" s="1768"/>
      <c r="AQ936" s="1768"/>
      <c r="AS936" s="362"/>
      <c r="AT936" s="664" t="s">
        <v>239</v>
      </c>
      <c r="AU936" s="532">
        <f>G936</f>
        <v>94.9</v>
      </c>
      <c r="AV936" s="532">
        <f>K936</f>
        <v>88.9</v>
      </c>
      <c r="AW936" s="532">
        <f>O936</f>
        <v>89</v>
      </c>
      <c r="AX936" s="532">
        <f>S936</f>
        <v>87.6</v>
      </c>
      <c r="AY936" s="532">
        <f>W936</f>
        <v>89.9</v>
      </c>
      <c r="AZ936" s="910" t="s">
        <v>226</v>
      </c>
      <c r="BA936" s="910" t="s">
        <v>226</v>
      </c>
      <c r="BB936" s="910" t="s">
        <v>226</v>
      </c>
      <c r="BC936" s="910" t="s">
        <v>226</v>
      </c>
      <c r="BD936" s="910" t="s">
        <v>226</v>
      </c>
      <c r="BE936" s="910" t="s">
        <v>226</v>
      </c>
    </row>
    <row r="937" spans="1:64" ht="11.25" customHeight="1" x14ac:dyDescent="0.2">
      <c r="B937" s="316"/>
      <c r="C937" s="582"/>
      <c r="D937" s="665">
        <f t="shared" ref="D937:X937" si="2175">SUM(D934:D936)</f>
        <v>285</v>
      </c>
      <c r="E937" s="665">
        <f t="shared" si="2175"/>
        <v>286.20000000000005</v>
      </c>
      <c r="F937" s="665">
        <f t="shared" si="2175"/>
        <v>291.89999999999998</v>
      </c>
      <c r="G937" s="665">
        <f t="shared" si="2175"/>
        <v>300</v>
      </c>
      <c r="H937" s="665">
        <f t="shared" si="2175"/>
        <v>300.2</v>
      </c>
      <c r="I937" s="665">
        <f t="shared" si="2175"/>
        <v>291.60000000000002</v>
      </c>
      <c r="J937" s="665">
        <f t="shared" si="2175"/>
        <v>294.89999999999998</v>
      </c>
      <c r="K937" s="665">
        <f t="shared" si="2175"/>
        <v>299.20000000000005</v>
      </c>
      <c r="L937" s="665">
        <f t="shared" si="2175"/>
        <v>302.90000000000003</v>
      </c>
      <c r="M937" s="665">
        <f t="shared" si="2175"/>
        <v>303.39999999999998</v>
      </c>
      <c r="N937" s="665">
        <f t="shared" si="2175"/>
        <v>300.09999999999997</v>
      </c>
      <c r="O937" s="665">
        <f t="shared" si="2175"/>
        <v>298.39999999999998</v>
      </c>
      <c r="P937" s="665">
        <f t="shared" si="2175"/>
        <v>298.5</v>
      </c>
      <c r="Q937" s="665">
        <f t="shared" si="2175"/>
        <v>299.39999999999998</v>
      </c>
      <c r="R937" s="665">
        <f t="shared" si="2175"/>
        <v>291.8</v>
      </c>
      <c r="S937" s="665">
        <f t="shared" si="2175"/>
        <v>296.2</v>
      </c>
      <c r="T937" s="665">
        <f t="shared" si="2175"/>
        <v>301.09999999999997</v>
      </c>
      <c r="U937" s="665">
        <f t="shared" si="2175"/>
        <v>300.20000000000005</v>
      </c>
      <c r="V937" s="665">
        <f t="shared" si="2175"/>
        <v>305</v>
      </c>
      <c r="W937" s="665">
        <f t="shared" si="2175"/>
        <v>299.8</v>
      </c>
      <c r="X937" s="665">
        <f t="shared" si="2175"/>
        <v>311.39999999999998</v>
      </c>
      <c r="Y937" s="665">
        <f t="shared" ref="Y937:Z937" si="2176">SUM(Y934:Y936)</f>
        <v>309.29999999999995</v>
      </c>
      <c r="Z937" s="665">
        <f t="shared" si="2176"/>
        <v>310</v>
      </c>
      <c r="AA937" s="665">
        <f t="shared" ref="AA937:AB937" si="2177">SUM(AA934:AA936)</f>
        <v>307.3</v>
      </c>
      <c r="AB937" s="665">
        <f t="shared" si="2177"/>
        <v>314.39999999999998</v>
      </c>
      <c r="AC937" s="83">
        <f t="shared" ref="AC937:AE937" si="2178">AB937*AC$956/AB$956</f>
        <v>316.73642842651998</v>
      </c>
      <c r="AD937" s="83">
        <f t="shared" si="2178"/>
        <v>319.10429685304001</v>
      </c>
      <c r="AE937" s="83">
        <f t="shared" si="2178"/>
        <v>321.50383892240262</v>
      </c>
      <c r="AF937" s="83">
        <f t="shared" ref="AF937" si="2179">AE937*AF$956/AE$956</f>
        <v>323.6372683610735</v>
      </c>
      <c r="AG937" s="83">
        <f t="shared" ref="AG937" si="2180">AF937*AG$956/AF$956</f>
        <v>325.79986795303279</v>
      </c>
      <c r="AH937" s="83">
        <f t="shared" ref="AH937" si="2181">AG937*AH$956/AG$956</f>
        <v>327.99185104122455</v>
      </c>
      <c r="AI937" s="83">
        <f t="shared" ref="AI937" si="2182">AH937*AI$956/AH$956</f>
        <v>329.61705479560067</v>
      </c>
      <c r="AJ937" s="83"/>
      <c r="AK937" s="83"/>
      <c r="AL937" s="83"/>
      <c r="AM937" s="83"/>
      <c r="AN937" s="83"/>
      <c r="AO937" s="83"/>
      <c r="AP937" s="83"/>
      <c r="AQ937" s="83"/>
      <c r="AS937" s="316"/>
      <c r="AT937" s="582"/>
      <c r="AU937" s="665">
        <f>SUM(AU934:AU936)</f>
        <v>300</v>
      </c>
      <c r="AV937" s="665">
        <f>SUM(AV934:AV936)</f>
        <v>299.20000000000005</v>
      </c>
      <c r="AW937" s="665">
        <f>SUM(AW934:AW936)</f>
        <v>298.39999999999998</v>
      </c>
      <c r="AX937" s="665">
        <f>SUM(AX934:AX936)</f>
        <v>296.2</v>
      </c>
      <c r="AY937" s="665">
        <f>SUM(AY934:AY936)</f>
        <v>299.8</v>
      </c>
      <c r="AZ937" s="912">
        <f>AA937</f>
        <v>307.3</v>
      </c>
      <c r="BA937" s="912">
        <f>AE937</f>
        <v>321.50383892240262</v>
      </c>
      <c r="BB937" s="912">
        <f>AI937</f>
        <v>329.61705479560067</v>
      </c>
      <c r="BC937" s="83">
        <f>BB937*BC$956/BB$956</f>
        <v>340.06479531294474</v>
      </c>
      <c r="BD937" s="83">
        <f>BC937*BD$956/BC$956</f>
        <v>350.93018496296133</v>
      </c>
      <c r="BE937" s="83">
        <f>BD937*BE$956/BD$956</f>
        <v>362.22992966673655</v>
      </c>
    </row>
    <row r="938" spans="1:64" ht="11.25" customHeight="1" x14ac:dyDescent="0.2">
      <c r="B938" s="362"/>
      <c r="C938" s="582"/>
      <c r="D938" s="582"/>
      <c r="E938" s="447"/>
      <c r="F938" s="447"/>
      <c r="G938" s="447"/>
      <c r="H938" s="447"/>
      <c r="I938" s="491"/>
      <c r="J938" s="447"/>
      <c r="K938" s="447"/>
      <c r="L938" s="447"/>
      <c r="M938" s="447"/>
      <c r="N938" s="447"/>
      <c r="O938" s="447"/>
      <c r="P938" s="447"/>
      <c r="Q938" s="447"/>
      <c r="R938" s="447"/>
      <c r="S938" s="447"/>
      <c r="T938" s="447"/>
      <c r="U938" s="447"/>
      <c r="V938" s="447"/>
      <c r="W938" s="447"/>
      <c r="X938" s="447"/>
      <c r="Y938" s="447"/>
      <c r="Z938" s="447"/>
      <c r="AA938" s="447"/>
      <c r="AB938" s="447"/>
      <c r="AS938" s="362"/>
      <c r="AT938" s="582"/>
      <c r="BC938" s="9"/>
      <c r="BD938" s="1704"/>
      <c r="BE938" s="1702"/>
    </row>
    <row r="939" spans="1:64" ht="11.25" customHeight="1" x14ac:dyDescent="0.2">
      <c r="B939" s="316" t="s">
        <v>609</v>
      </c>
      <c r="C939" s="582"/>
      <c r="D939" s="582"/>
      <c r="E939" s="447"/>
      <c r="F939" s="447"/>
      <c r="G939" s="447"/>
      <c r="H939" s="447"/>
      <c r="I939" s="491"/>
      <c r="J939" s="447"/>
      <c r="K939" s="447"/>
      <c r="L939" s="447"/>
      <c r="M939" s="447"/>
      <c r="N939" s="447"/>
      <c r="O939" s="447"/>
      <c r="P939" s="447"/>
      <c r="Q939" s="447"/>
      <c r="R939" s="447"/>
      <c r="S939" s="447"/>
      <c r="T939" s="447"/>
      <c r="U939" s="447"/>
      <c r="V939" s="447"/>
      <c r="W939" s="447"/>
      <c r="X939" s="447"/>
      <c r="Y939" s="447"/>
      <c r="Z939" s="447"/>
      <c r="AA939" s="447"/>
      <c r="AB939" s="447"/>
      <c r="AS939" s="316" t="s">
        <v>609</v>
      </c>
      <c r="AT939" s="582"/>
      <c r="BC939" s="9"/>
      <c r="BD939" s="1704"/>
      <c r="BE939" s="1702"/>
    </row>
    <row r="940" spans="1:64" ht="11.25" customHeight="1" x14ac:dyDescent="0.2">
      <c r="B940" s="362"/>
      <c r="C940" s="362" t="s">
        <v>76</v>
      </c>
      <c r="D940" s="598">
        <v>164.2</v>
      </c>
      <c r="E940" s="598">
        <v>158.30000000000001</v>
      </c>
      <c r="F940" s="598">
        <v>148.6</v>
      </c>
      <c r="G940" s="598">
        <v>144.80000000000001</v>
      </c>
      <c r="H940" s="598">
        <v>147.30000000000001</v>
      </c>
      <c r="I940" s="598">
        <v>150.69999999999999</v>
      </c>
      <c r="J940" s="598">
        <v>166.1</v>
      </c>
      <c r="K940" s="598">
        <v>177.5</v>
      </c>
      <c r="L940" s="598">
        <v>179.1</v>
      </c>
      <c r="M940" s="598">
        <v>175.7</v>
      </c>
      <c r="N940" s="598">
        <v>177</v>
      </c>
      <c r="O940" s="598">
        <v>196.2</v>
      </c>
      <c r="P940" s="598">
        <v>251.5</v>
      </c>
      <c r="Q940" s="598">
        <v>261.7</v>
      </c>
      <c r="R940" s="598">
        <v>261.60000000000002</v>
      </c>
      <c r="S940" s="598">
        <v>267.3</v>
      </c>
      <c r="T940" s="598">
        <v>269.3</v>
      </c>
      <c r="U940" s="598">
        <v>274.5</v>
      </c>
      <c r="V940" s="598">
        <v>276.10000000000002</v>
      </c>
      <c r="W940" s="598">
        <v>282.60000000000002</v>
      </c>
      <c r="X940" s="598">
        <v>287</v>
      </c>
      <c r="Y940" s="598">
        <v>280</v>
      </c>
      <c r="Z940" s="598">
        <v>290.2</v>
      </c>
      <c r="AA940" s="598">
        <v>295.89999999999998</v>
      </c>
      <c r="AB940" s="598">
        <v>294.8</v>
      </c>
      <c r="AC940" s="910" t="s">
        <v>226</v>
      </c>
      <c r="AD940" s="910" t="s">
        <v>226</v>
      </c>
      <c r="AE940" s="910" t="s">
        <v>226</v>
      </c>
      <c r="AF940" s="910" t="s">
        <v>226</v>
      </c>
      <c r="AG940" s="910" t="s">
        <v>226</v>
      </c>
      <c r="AH940" s="910" t="s">
        <v>226</v>
      </c>
      <c r="AI940" s="910" t="s">
        <v>226</v>
      </c>
      <c r="AJ940" s="910"/>
      <c r="AK940" s="910"/>
      <c r="AL940" s="910"/>
      <c r="AM940" s="910"/>
      <c r="AN940" s="910"/>
      <c r="AO940" s="910"/>
      <c r="AP940" s="910"/>
      <c r="AQ940" s="910"/>
      <c r="AS940" s="362"/>
      <c r="AT940" s="362" t="s">
        <v>76</v>
      </c>
      <c r="AU940" s="467">
        <f>G940</f>
        <v>144.80000000000001</v>
      </c>
      <c r="AV940" s="467">
        <f>K940</f>
        <v>177.5</v>
      </c>
      <c r="AW940" s="467">
        <f>O940</f>
        <v>196.2</v>
      </c>
      <c r="AX940" s="467">
        <f>S940</f>
        <v>267.3</v>
      </c>
      <c r="AY940" s="467">
        <f>W940</f>
        <v>282.60000000000002</v>
      </c>
      <c r="AZ940" s="910" t="s">
        <v>226</v>
      </c>
      <c r="BA940" s="910" t="s">
        <v>226</v>
      </c>
      <c r="BB940" s="910" t="s">
        <v>226</v>
      </c>
      <c r="BC940" s="910" t="s">
        <v>226</v>
      </c>
      <c r="BD940" s="910" t="s">
        <v>226</v>
      </c>
      <c r="BE940" s="910" t="s">
        <v>226</v>
      </c>
    </row>
    <row r="941" spans="1:64" ht="11.25" customHeight="1" x14ac:dyDescent="0.2">
      <c r="B941" s="362"/>
      <c r="C941" s="362" t="s">
        <v>27</v>
      </c>
      <c r="D941" s="598">
        <v>157.30000000000001</v>
      </c>
      <c r="E941" s="598">
        <v>160</v>
      </c>
      <c r="F941" s="598">
        <v>175.4</v>
      </c>
      <c r="G941" s="598">
        <v>171.2</v>
      </c>
      <c r="H941" s="598">
        <v>173.1</v>
      </c>
      <c r="I941" s="598">
        <v>174</v>
      </c>
      <c r="J941" s="598">
        <v>181.9</v>
      </c>
      <c r="K941" s="598">
        <v>185.6</v>
      </c>
      <c r="L941" s="598">
        <v>184.7</v>
      </c>
      <c r="M941" s="598">
        <v>186.2</v>
      </c>
      <c r="N941" s="598">
        <v>179.4</v>
      </c>
      <c r="O941" s="598">
        <v>164.2</v>
      </c>
      <c r="P941" s="598">
        <v>151.80000000000001</v>
      </c>
      <c r="Q941" s="598">
        <v>159.9</v>
      </c>
      <c r="R941" s="598">
        <v>160.30000000000001</v>
      </c>
      <c r="S941" s="598">
        <v>153.5</v>
      </c>
      <c r="T941" s="598">
        <v>166</v>
      </c>
      <c r="U941" s="598">
        <v>162.4</v>
      </c>
      <c r="V941" s="598">
        <v>170</v>
      </c>
      <c r="W941" s="598">
        <v>163.5</v>
      </c>
      <c r="X941" s="598">
        <v>160.6</v>
      </c>
      <c r="Y941" s="598">
        <v>169.8</v>
      </c>
      <c r="Z941" s="598">
        <v>171.7</v>
      </c>
      <c r="AA941" s="598">
        <v>173.7</v>
      </c>
      <c r="AB941" s="598">
        <v>188.8</v>
      </c>
      <c r="AC941" s="910" t="s">
        <v>226</v>
      </c>
      <c r="AD941" s="910" t="s">
        <v>226</v>
      </c>
      <c r="AE941" s="910" t="s">
        <v>226</v>
      </c>
      <c r="AF941" s="910" t="s">
        <v>226</v>
      </c>
      <c r="AG941" s="910" t="s">
        <v>226</v>
      </c>
      <c r="AH941" s="910" t="s">
        <v>226</v>
      </c>
      <c r="AI941" s="910" t="s">
        <v>226</v>
      </c>
      <c r="AJ941" s="910"/>
      <c r="AK941" s="910"/>
      <c r="AL941" s="910"/>
      <c r="AM941" s="910"/>
      <c r="AN941" s="910"/>
      <c r="AO941" s="910"/>
      <c r="AP941" s="910"/>
      <c r="AQ941" s="910"/>
      <c r="AS941" s="362"/>
      <c r="AT941" s="362" t="s">
        <v>27</v>
      </c>
      <c r="AU941" s="467">
        <f>G941</f>
        <v>171.2</v>
      </c>
      <c r="AV941" s="467">
        <f>K941</f>
        <v>185.6</v>
      </c>
      <c r="AW941" s="467">
        <f>O941</f>
        <v>164.2</v>
      </c>
      <c r="AX941" s="467">
        <f>S941</f>
        <v>153.5</v>
      </c>
      <c r="AY941" s="467">
        <f>W941</f>
        <v>163.5</v>
      </c>
      <c r="AZ941" s="910" t="s">
        <v>226</v>
      </c>
      <c r="BA941" s="910" t="s">
        <v>226</v>
      </c>
      <c r="BB941" s="910" t="s">
        <v>226</v>
      </c>
      <c r="BC941" s="910" t="s">
        <v>226</v>
      </c>
      <c r="BD941" s="910" t="s">
        <v>226</v>
      </c>
      <c r="BE941" s="910" t="s">
        <v>226</v>
      </c>
    </row>
    <row r="942" spans="1:64" ht="11.25" customHeight="1" x14ac:dyDescent="0.2">
      <c r="B942" s="362"/>
      <c r="C942" s="362" t="s">
        <v>5</v>
      </c>
      <c r="D942" s="598">
        <v>49.6</v>
      </c>
      <c r="E942" s="598">
        <v>49.1</v>
      </c>
      <c r="F942" s="598">
        <v>59.5</v>
      </c>
      <c r="G942" s="598">
        <v>55.1</v>
      </c>
      <c r="H942" s="598">
        <v>57</v>
      </c>
      <c r="I942" s="598">
        <v>57.8</v>
      </c>
      <c r="J942" s="598">
        <v>63.6</v>
      </c>
      <c r="K942" s="598">
        <v>60.6</v>
      </c>
      <c r="L942" s="598">
        <v>67.400000000000006</v>
      </c>
      <c r="M942" s="598">
        <v>66.3</v>
      </c>
      <c r="N942" s="598">
        <v>63.2</v>
      </c>
      <c r="O942" s="598">
        <v>54.8</v>
      </c>
      <c r="P942" s="598">
        <v>34.9</v>
      </c>
      <c r="Q942" s="598">
        <v>32.1</v>
      </c>
      <c r="R942" s="598">
        <v>29.6</v>
      </c>
      <c r="S942" s="598">
        <v>27</v>
      </c>
      <c r="T942" s="598">
        <v>28.2</v>
      </c>
      <c r="U942" s="598">
        <v>25.2</v>
      </c>
      <c r="V942" s="598">
        <v>26.1</v>
      </c>
      <c r="W942" s="598">
        <v>25.7</v>
      </c>
      <c r="X942" s="598">
        <v>27.5</v>
      </c>
      <c r="Y942" s="598">
        <v>26.9</v>
      </c>
      <c r="Z942" s="598">
        <v>25.8</v>
      </c>
      <c r="AA942" s="598">
        <v>25.4</v>
      </c>
      <c r="AB942" s="598">
        <v>26.1</v>
      </c>
      <c r="AC942" s="910" t="s">
        <v>226</v>
      </c>
      <c r="AD942" s="910" t="s">
        <v>226</v>
      </c>
      <c r="AE942" s="910" t="s">
        <v>226</v>
      </c>
      <c r="AF942" s="910" t="s">
        <v>226</v>
      </c>
      <c r="AG942" s="910" t="s">
        <v>226</v>
      </c>
      <c r="AH942" s="910" t="s">
        <v>226</v>
      </c>
      <c r="AI942" s="910" t="s">
        <v>226</v>
      </c>
      <c r="AJ942" s="910"/>
      <c r="AK942" s="910"/>
      <c r="AL942" s="910"/>
      <c r="AM942" s="910"/>
      <c r="AN942" s="910"/>
      <c r="AO942" s="910"/>
      <c r="AP942" s="910"/>
      <c r="AQ942" s="910"/>
      <c r="AS942" s="362"/>
      <c r="AT942" s="362" t="s">
        <v>5</v>
      </c>
      <c r="AU942" s="467">
        <f>G942</f>
        <v>55.1</v>
      </c>
      <c r="AV942" s="467">
        <f>K942</f>
        <v>60.6</v>
      </c>
      <c r="AW942" s="467">
        <f>O942</f>
        <v>54.8</v>
      </c>
      <c r="AX942" s="467">
        <f>S942</f>
        <v>27</v>
      </c>
      <c r="AY942" s="467">
        <f>W942</f>
        <v>25.7</v>
      </c>
      <c r="AZ942" s="910" t="s">
        <v>226</v>
      </c>
      <c r="BA942" s="910" t="s">
        <v>226</v>
      </c>
      <c r="BB942" s="910" t="s">
        <v>226</v>
      </c>
      <c r="BC942" s="910" t="s">
        <v>226</v>
      </c>
      <c r="BD942" s="910" t="s">
        <v>226</v>
      </c>
      <c r="BE942" s="910" t="s">
        <v>226</v>
      </c>
    </row>
    <row r="943" spans="1:64" ht="11.25" customHeight="1" x14ac:dyDescent="0.2">
      <c r="B943" s="362"/>
      <c r="C943" s="362" t="s">
        <v>77</v>
      </c>
      <c r="D943" s="598">
        <v>144.30000000000001</v>
      </c>
      <c r="E943" s="598">
        <v>151.69999999999999</v>
      </c>
      <c r="F943" s="598">
        <v>154.80000000000001</v>
      </c>
      <c r="G943" s="598">
        <v>146.80000000000001</v>
      </c>
      <c r="H943" s="598">
        <v>141.30000000000001</v>
      </c>
      <c r="I943" s="598">
        <v>144.4</v>
      </c>
      <c r="J943" s="598">
        <v>148.19999999999999</v>
      </c>
      <c r="K943" s="598">
        <v>145.4</v>
      </c>
      <c r="L943" s="598">
        <v>138.69999999999999</v>
      </c>
      <c r="M943" s="598">
        <v>144.9</v>
      </c>
      <c r="N943" s="598">
        <v>144.5</v>
      </c>
      <c r="O943" s="598">
        <v>141.6</v>
      </c>
      <c r="P943" s="598">
        <v>134.5</v>
      </c>
      <c r="Q943" s="598">
        <v>136</v>
      </c>
      <c r="R943" s="598">
        <v>144.9</v>
      </c>
      <c r="S943" s="598">
        <v>141.30000000000001</v>
      </c>
      <c r="T943" s="598">
        <v>145.19999999999999</v>
      </c>
      <c r="U943" s="598">
        <v>146.5</v>
      </c>
      <c r="V943" s="598">
        <v>146.6</v>
      </c>
      <c r="W943" s="598">
        <v>140</v>
      </c>
      <c r="X943" s="598">
        <v>144.4</v>
      </c>
      <c r="Y943" s="598">
        <v>146.9</v>
      </c>
      <c r="Z943" s="598">
        <v>151.9</v>
      </c>
      <c r="AA943" s="598">
        <v>144.5</v>
      </c>
      <c r="AB943" s="598">
        <v>156.30000000000001</v>
      </c>
      <c r="AC943" s="911" t="s">
        <v>226</v>
      </c>
      <c r="AD943" s="911" t="s">
        <v>226</v>
      </c>
      <c r="AE943" s="911" t="s">
        <v>226</v>
      </c>
      <c r="AF943" s="911" t="s">
        <v>226</v>
      </c>
      <c r="AG943" s="911" t="s">
        <v>226</v>
      </c>
      <c r="AH943" s="911" t="s">
        <v>226</v>
      </c>
      <c r="AI943" s="911" t="s">
        <v>226</v>
      </c>
      <c r="AJ943" s="1768"/>
      <c r="AK943" s="1768"/>
      <c r="AL943" s="1768"/>
      <c r="AM943" s="1768"/>
      <c r="AN943" s="1768"/>
      <c r="AO943" s="1768"/>
      <c r="AP943" s="1768"/>
      <c r="AQ943" s="1768"/>
      <c r="AS943" s="362"/>
      <c r="AT943" s="362" t="s">
        <v>77</v>
      </c>
      <c r="AU943" s="532">
        <f>G943</f>
        <v>146.80000000000001</v>
      </c>
      <c r="AV943" s="532">
        <f>K943</f>
        <v>145.4</v>
      </c>
      <c r="AW943" s="532">
        <f>O943</f>
        <v>141.6</v>
      </c>
      <c r="AX943" s="532">
        <f>S943</f>
        <v>141.30000000000001</v>
      </c>
      <c r="AY943" s="532">
        <f>W943</f>
        <v>140</v>
      </c>
      <c r="AZ943" s="911" t="s">
        <v>226</v>
      </c>
      <c r="BA943" s="911" t="s">
        <v>226</v>
      </c>
      <c r="BB943" s="911" t="s">
        <v>226</v>
      </c>
      <c r="BC943" s="911" t="s">
        <v>226</v>
      </c>
      <c r="BD943" s="911" t="s">
        <v>226</v>
      </c>
      <c r="BE943" s="911" t="s">
        <v>226</v>
      </c>
    </row>
    <row r="944" spans="1:64" ht="11.25" customHeight="1" x14ac:dyDescent="0.2">
      <c r="B944" s="322"/>
      <c r="C944" s="322"/>
      <c r="D944" s="666">
        <f t="shared" ref="D944:X944" si="2183">SUM(D940:D943)</f>
        <v>515.40000000000009</v>
      </c>
      <c r="E944" s="666">
        <f t="shared" si="2183"/>
        <v>519.1</v>
      </c>
      <c r="F944" s="666">
        <f t="shared" si="2183"/>
        <v>538.29999999999995</v>
      </c>
      <c r="G944" s="666">
        <f t="shared" si="2183"/>
        <v>517.90000000000009</v>
      </c>
      <c r="H944" s="666">
        <f t="shared" si="2183"/>
        <v>518.70000000000005</v>
      </c>
      <c r="I944" s="666">
        <f t="shared" si="2183"/>
        <v>526.9</v>
      </c>
      <c r="J944" s="666">
        <f t="shared" si="2183"/>
        <v>559.79999999999995</v>
      </c>
      <c r="K944" s="666">
        <f t="shared" si="2183"/>
        <v>569.1</v>
      </c>
      <c r="L944" s="666">
        <f t="shared" si="2183"/>
        <v>569.89999999999986</v>
      </c>
      <c r="M944" s="666">
        <f t="shared" si="2183"/>
        <v>573.1</v>
      </c>
      <c r="N944" s="666">
        <f t="shared" si="2183"/>
        <v>564.09999999999991</v>
      </c>
      <c r="O944" s="666">
        <f t="shared" si="2183"/>
        <v>556.79999999999995</v>
      </c>
      <c r="P944" s="666">
        <f t="shared" si="2183"/>
        <v>572.70000000000005</v>
      </c>
      <c r="Q944" s="666">
        <f t="shared" si="2183"/>
        <v>589.70000000000005</v>
      </c>
      <c r="R944" s="666">
        <f t="shared" si="2183"/>
        <v>596.40000000000009</v>
      </c>
      <c r="S944" s="666">
        <f t="shared" si="2183"/>
        <v>589.1</v>
      </c>
      <c r="T944" s="666">
        <f t="shared" si="2183"/>
        <v>608.70000000000005</v>
      </c>
      <c r="U944" s="666">
        <f t="shared" si="2183"/>
        <v>608.59999999999991</v>
      </c>
      <c r="V944" s="666">
        <f t="shared" si="2183"/>
        <v>618.80000000000007</v>
      </c>
      <c r="W944" s="666">
        <f t="shared" si="2183"/>
        <v>611.79999999999995</v>
      </c>
      <c r="X944" s="666">
        <f t="shared" si="2183"/>
        <v>619.5</v>
      </c>
      <c r="Y944" s="666">
        <f t="shared" ref="Y944:Z944" si="2184">SUM(Y940:Y943)</f>
        <v>623.6</v>
      </c>
      <c r="Z944" s="666">
        <f t="shared" si="2184"/>
        <v>639.6</v>
      </c>
      <c r="AA944" s="666">
        <f t="shared" ref="AA944:AB944" si="2185">SUM(AA940:AA943)</f>
        <v>639.5</v>
      </c>
      <c r="AB944" s="666">
        <f t="shared" si="2185"/>
        <v>666</v>
      </c>
      <c r="AC944" s="83">
        <f t="shared" ref="AC944:AE944" si="2186">AB944*AC$956/AB$956</f>
        <v>670.94930449129242</v>
      </c>
      <c r="AD944" s="83">
        <f t="shared" si="2186"/>
        <v>675.96520898258495</v>
      </c>
      <c r="AE944" s="83">
        <f t="shared" si="2186"/>
        <v>681.04820840432626</v>
      </c>
      <c r="AF944" s="83">
        <f t="shared" ref="AF944" si="2187">AE944*AF$956/AE$956</f>
        <v>685.56749595570932</v>
      </c>
      <c r="AG944" s="83">
        <f t="shared" ref="AG944" si="2188">AF944*AG$956/AF$956</f>
        <v>690.14857524402009</v>
      </c>
      <c r="AH944" s="83">
        <f t="shared" ref="AH944" si="2189">AG944*AH$956/AG$956</f>
        <v>694.791898198014</v>
      </c>
      <c r="AI944" s="83">
        <f t="shared" ref="AI944" si="2190">AH944*AI$956/AH$956</f>
        <v>698.23460080747498</v>
      </c>
      <c r="AJ944" s="83"/>
      <c r="AK944" s="83"/>
      <c r="AL944" s="83"/>
      <c r="AM944" s="83"/>
      <c r="AN944" s="83"/>
      <c r="AO944" s="83"/>
      <c r="AP944" s="83"/>
      <c r="AQ944" s="83"/>
      <c r="AS944" s="322"/>
      <c r="AT944" s="322"/>
      <c r="AU944" s="235">
        <f>SUM(AU940:AU943)</f>
        <v>517.90000000000009</v>
      </c>
      <c r="AV944" s="235">
        <f>SUM(AV940:AV943)</f>
        <v>569.1</v>
      </c>
      <c r="AW944" s="235">
        <f>SUM(AW940:AW943)</f>
        <v>556.79999999999995</v>
      </c>
      <c r="AX944" s="235">
        <f>SUM(AX940:AX943)</f>
        <v>589.1</v>
      </c>
      <c r="AY944" s="235">
        <f>SUM(AY940:AY943)</f>
        <v>611.79999999999995</v>
      </c>
      <c r="AZ944" s="235">
        <f>AA944</f>
        <v>639.5</v>
      </c>
      <c r="BA944" s="235">
        <f>AE944</f>
        <v>681.04820840432626</v>
      </c>
      <c r="BB944" s="235">
        <f>AI944</f>
        <v>698.23460080747498</v>
      </c>
      <c r="BC944" s="83">
        <f>BB944*BC$956/BB$956</f>
        <v>720.36626488047489</v>
      </c>
      <c r="BD944" s="83">
        <f>BC944*BD$956/BC$956</f>
        <v>743.38264371925061</v>
      </c>
      <c r="BE944" s="83">
        <f>BD944*BE$956/BD$956</f>
        <v>767.31912582075915</v>
      </c>
    </row>
    <row r="945" spans="1:70" ht="11.25" customHeight="1" x14ac:dyDescent="0.2">
      <c r="Y945" s="1215"/>
      <c r="Z945" s="1688"/>
      <c r="AA945" s="1742"/>
      <c r="AB945" s="1785"/>
      <c r="AS945" s="10"/>
      <c r="AT945" s="9"/>
      <c r="BC945" s="9"/>
      <c r="BD945" s="1704"/>
      <c r="BE945" s="1702"/>
    </row>
    <row r="946" spans="1:70" ht="11.25" customHeight="1" x14ac:dyDescent="0.2">
      <c r="B946" s="65" t="s">
        <v>610</v>
      </c>
      <c r="D946" s="598">
        <v>105.6</v>
      </c>
      <c r="E946" s="598">
        <v>109</v>
      </c>
      <c r="F946" s="598">
        <v>114.4</v>
      </c>
      <c r="G946" s="598">
        <v>112.7</v>
      </c>
      <c r="H946" s="598">
        <v>114.9</v>
      </c>
      <c r="I946" s="598">
        <v>119.9</v>
      </c>
      <c r="J946" s="598">
        <v>100.8</v>
      </c>
      <c r="K946" s="598">
        <v>100</v>
      </c>
      <c r="L946" s="598">
        <v>93.5</v>
      </c>
      <c r="M946" s="598">
        <v>89.2</v>
      </c>
      <c r="N946" s="598">
        <v>78.5</v>
      </c>
      <c r="O946" s="598">
        <v>44.1</v>
      </c>
      <c r="P946" s="598">
        <v>28.4</v>
      </c>
      <c r="Q946" s="598">
        <v>18.899999999999999</v>
      </c>
      <c r="R946" s="598">
        <v>16</v>
      </c>
      <c r="S946" s="598">
        <v>22.6</v>
      </c>
      <c r="T946" s="598">
        <v>24.8</v>
      </c>
      <c r="U946" s="598">
        <v>29.1</v>
      </c>
      <c r="V946" s="598">
        <v>16.5</v>
      </c>
      <c r="W946" s="598">
        <v>17.8</v>
      </c>
      <c r="X946" s="598">
        <v>19.100000000000001</v>
      </c>
      <c r="Y946" s="598">
        <v>25.8</v>
      </c>
      <c r="Z946" s="598">
        <v>14.4</v>
      </c>
      <c r="AA946" s="598">
        <v>13</v>
      </c>
      <c r="AB946" s="598">
        <v>20.8</v>
      </c>
      <c r="AC946" s="249">
        <f t="shared" ref="AC946:AE946" si="2191">AB946*AC$956/AB$956</f>
        <v>20.954572873001325</v>
      </c>
      <c r="AD946" s="249">
        <f t="shared" si="2191"/>
        <v>21.111225746002653</v>
      </c>
      <c r="AE946" s="249">
        <f t="shared" si="2191"/>
        <v>21.269974076291273</v>
      </c>
      <c r="AF946" s="249">
        <f t="shared" ref="AF946" si="2192">AE946*AF$956/AE$956</f>
        <v>21.411116990808942</v>
      </c>
      <c r="AG946" s="249">
        <f t="shared" ref="AG946" si="2193">AF946*AG$956/AF$956</f>
        <v>21.554189737350779</v>
      </c>
      <c r="AH946" s="249">
        <f t="shared" ref="AH946" si="2194">AG946*AH$956/AG$956</f>
        <v>21.699206430208246</v>
      </c>
      <c r="AI946" s="249">
        <f t="shared" ref="AI946" si="2195">AH946*AI$956/AH$956</f>
        <v>21.806726271464683</v>
      </c>
      <c r="AJ946" s="249"/>
      <c r="AK946" s="249"/>
      <c r="AL946" s="249"/>
      <c r="AM946" s="249"/>
      <c r="AN946" s="249"/>
      <c r="AO946" s="249"/>
      <c r="AP946" s="249"/>
      <c r="AQ946" s="249"/>
      <c r="AS946" s="65" t="s">
        <v>610</v>
      </c>
      <c r="AT946" s="9"/>
      <c r="AU946" s="467">
        <f>G946</f>
        <v>112.7</v>
      </c>
      <c r="AV946" s="467">
        <f>K946</f>
        <v>100</v>
      </c>
      <c r="AW946" s="467">
        <f>O946</f>
        <v>44.1</v>
      </c>
      <c r="AX946" s="467">
        <f>S946</f>
        <v>22.6</v>
      </c>
      <c r="AY946" s="467">
        <f>W946</f>
        <v>17.8</v>
      </c>
      <c r="AZ946" s="467">
        <f>AA946</f>
        <v>13</v>
      </c>
      <c r="BA946" s="467">
        <f>AE946</f>
        <v>21.269974076291273</v>
      </c>
      <c r="BB946" s="467">
        <f>AI946</f>
        <v>21.806726271464683</v>
      </c>
      <c r="BC946" s="249">
        <f>BB946*BC$956/BB$956</f>
        <v>22.497925389660477</v>
      </c>
      <c r="BD946" s="249">
        <f>BC946*BD$956/BC$956</f>
        <v>23.216755239279898</v>
      </c>
      <c r="BE946" s="249">
        <f>BD946*BE$956/BD$956</f>
        <v>23.964321046654337</v>
      </c>
    </row>
    <row r="947" spans="1:70" ht="11.25" customHeight="1" x14ac:dyDescent="0.2">
      <c r="Y947" s="1215"/>
      <c r="Z947" s="1688"/>
      <c r="AA947" s="1742"/>
      <c r="AB947" s="1785"/>
      <c r="AS947" s="10"/>
      <c r="AT947" s="9"/>
      <c r="AU947" s="235"/>
      <c r="AV947" s="235"/>
      <c r="AW947" s="235"/>
      <c r="AX947" s="235"/>
      <c r="AY947" s="235"/>
      <c r="AZ947" s="235"/>
      <c r="BA947" s="235"/>
      <c r="BB947" s="235"/>
      <c r="BC947" s="9"/>
      <c r="BD947" s="1704"/>
      <c r="BE947" s="1702"/>
    </row>
    <row r="948" spans="1:70" ht="11.25" customHeight="1" x14ac:dyDescent="0.2">
      <c r="B948" s="35" t="s">
        <v>138</v>
      </c>
      <c r="D948" s="82">
        <f t="shared" ref="D948:X948" si="2196">D937+D944+D946</f>
        <v>906.00000000000011</v>
      </c>
      <c r="E948" s="82">
        <f t="shared" si="2196"/>
        <v>914.30000000000007</v>
      </c>
      <c r="F948" s="82">
        <f t="shared" si="2196"/>
        <v>944.59999999999991</v>
      </c>
      <c r="G948" s="82">
        <f t="shared" si="2196"/>
        <v>930.60000000000014</v>
      </c>
      <c r="H948" s="82">
        <f t="shared" si="2196"/>
        <v>933.80000000000007</v>
      </c>
      <c r="I948" s="82">
        <f t="shared" si="2196"/>
        <v>938.4</v>
      </c>
      <c r="J948" s="82">
        <f t="shared" si="2196"/>
        <v>955.49999999999989</v>
      </c>
      <c r="K948" s="82">
        <f t="shared" si="2196"/>
        <v>968.30000000000007</v>
      </c>
      <c r="L948" s="82">
        <f t="shared" si="2196"/>
        <v>966.3</v>
      </c>
      <c r="M948" s="82">
        <f t="shared" si="2196"/>
        <v>965.7</v>
      </c>
      <c r="N948" s="82">
        <f t="shared" si="2196"/>
        <v>942.69999999999982</v>
      </c>
      <c r="O948" s="82">
        <f t="shared" si="2196"/>
        <v>899.3</v>
      </c>
      <c r="P948" s="82">
        <f t="shared" si="2196"/>
        <v>899.6</v>
      </c>
      <c r="Q948" s="82">
        <f t="shared" si="2196"/>
        <v>908</v>
      </c>
      <c r="R948" s="82">
        <f t="shared" si="2196"/>
        <v>904.2</v>
      </c>
      <c r="S948" s="82">
        <f t="shared" si="2196"/>
        <v>907.9</v>
      </c>
      <c r="T948" s="82">
        <f t="shared" si="2196"/>
        <v>934.59999999999991</v>
      </c>
      <c r="U948" s="82">
        <f t="shared" si="2196"/>
        <v>937.9</v>
      </c>
      <c r="V948" s="82">
        <f t="shared" si="2196"/>
        <v>940.30000000000007</v>
      </c>
      <c r="W948" s="82">
        <f t="shared" si="2196"/>
        <v>929.39999999999986</v>
      </c>
      <c r="X948" s="82">
        <f t="shared" si="2196"/>
        <v>950</v>
      </c>
      <c r="Y948" s="82">
        <f t="shared" ref="Y948:Z948" si="2197">Y937+Y944+Y946</f>
        <v>958.69999999999993</v>
      </c>
      <c r="Z948" s="82">
        <f t="shared" si="2197"/>
        <v>964</v>
      </c>
      <c r="AA948" s="82">
        <f t="shared" ref="AA948:AB948" si="2198">AA937+AA944+AA946</f>
        <v>959.8</v>
      </c>
      <c r="AB948" s="82">
        <f t="shared" si="2198"/>
        <v>1001.1999999999999</v>
      </c>
      <c r="AC948" s="83">
        <f t="shared" ref="AC948:AE948" si="2199">AB948*AC956/AB956</f>
        <v>1008.6403057908137</v>
      </c>
      <c r="AD948" s="83">
        <f t="shared" si="2199"/>
        <v>1016.1807315816276</v>
      </c>
      <c r="AE948" s="83">
        <f t="shared" si="2199"/>
        <v>1023.8220214030202</v>
      </c>
      <c r="AF948" s="83">
        <f t="shared" ref="AF948" si="2200">AE948*AF956/AE956</f>
        <v>1030.6158813075917</v>
      </c>
      <c r="AG948" s="83">
        <f t="shared" ref="AG948" si="2201">AF948*AG956/AF956</f>
        <v>1037.5026329344037</v>
      </c>
      <c r="AH948" s="83">
        <f t="shared" ref="AH948" si="2202">AG948*AH956/AG956</f>
        <v>1044.4829556694467</v>
      </c>
      <c r="AI948" s="83">
        <f t="shared" ref="AI948" si="2203">AH948*AI956/AH956</f>
        <v>1049.6583818745403</v>
      </c>
      <c r="AJ948" s="83"/>
      <c r="AK948" s="83"/>
      <c r="AL948" s="83"/>
      <c r="AM948" s="83"/>
      <c r="AN948" s="83"/>
      <c r="AO948" s="83"/>
      <c r="AP948" s="83"/>
      <c r="AQ948" s="83"/>
      <c r="AS948" s="35" t="s">
        <v>138</v>
      </c>
      <c r="AT948" s="9"/>
      <c r="AU948" s="467">
        <f>G948</f>
        <v>930.60000000000014</v>
      </c>
      <c r="AV948" s="467">
        <f>K948</f>
        <v>968.30000000000007</v>
      </c>
      <c r="AW948" s="467">
        <f>O948</f>
        <v>899.3</v>
      </c>
      <c r="AX948" s="467">
        <f>S948</f>
        <v>907.9</v>
      </c>
      <c r="AY948" s="467">
        <f>W948</f>
        <v>929.39999999999986</v>
      </c>
      <c r="AZ948" s="467">
        <f>AA948</f>
        <v>959.8</v>
      </c>
      <c r="BA948" s="467">
        <f>AE948</f>
        <v>1023.8220214030202</v>
      </c>
      <c r="BB948" s="467">
        <f>AI948</f>
        <v>1049.6583818745403</v>
      </c>
      <c r="BC948" s="83">
        <f>BB948*BC956/BB956</f>
        <v>1082.92898558308</v>
      </c>
      <c r="BD948" s="83">
        <f>BC948*BD956/BC956</f>
        <v>1117.5295839214916</v>
      </c>
      <c r="BE948" s="83">
        <f>BD948*BE956/BD956</f>
        <v>1153.5133765341498</v>
      </c>
    </row>
    <row r="949" spans="1:70" ht="11.25" customHeight="1" x14ac:dyDescent="0.2">
      <c r="B949" s="35"/>
      <c r="D949" s="598"/>
      <c r="E949" s="598"/>
      <c r="F949" s="598"/>
      <c r="G949" s="598"/>
      <c r="H949" s="598"/>
      <c r="I949" s="598"/>
      <c r="J949" s="598"/>
      <c r="K949" s="598"/>
      <c r="L949" s="598"/>
      <c r="M949" s="598"/>
      <c r="N949" s="598"/>
      <c r="O949" s="598"/>
      <c r="P949" s="598"/>
      <c r="Q949" s="598"/>
      <c r="R949" s="598"/>
      <c r="S949" s="598"/>
      <c r="T949" s="598"/>
      <c r="U949" s="598"/>
      <c r="V949" s="598"/>
      <c r="W949" s="598"/>
      <c r="X949" s="598"/>
      <c r="Y949" s="598"/>
      <c r="Z949" s="598"/>
      <c r="AA949" s="598"/>
      <c r="AB949" s="598"/>
      <c r="AS949" s="35"/>
      <c r="AT949" s="9"/>
      <c r="BC949" s="9"/>
      <c r="BD949" s="1704"/>
      <c r="BE949" s="1702"/>
    </row>
    <row r="950" spans="1:70" ht="11.25" customHeight="1" x14ac:dyDescent="0.2">
      <c r="B950" s="35"/>
      <c r="D950" s="598"/>
      <c r="E950" s="598"/>
      <c r="F950" s="598"/>
      <c r="G950" s="598"/>
      <c r="H950" s="598"/>
      <c r="I950" s="598"/>
      <c r="J950" s="598"/>
      <c r="K950" s="598"/>
      <c r="L950" s="598"/>
      <c r="M950" s="598"/>
      <c r="N950" s="598"/>
      <c r="O950" s="598"/>
      <c r="P950" s="598"/>
      <c r="Q950" s="598"/>
      <c r="R950" s="598"/>
      <c r="S950" s="598"/>
      <c r="T950" s="598"/>
      <c r="U950" s="598"/>
      <c r="V950" s="598"/>
      <c r="W950" s="598"/>
      <c r="X950" s="598"/>
      <c r="Y950" s="598"/>
      <c r="Z950" s="598"/>
      <c r="AA950" s="598"/>
      <c r="AB950" s="598"/>
      <c r="AS950" s="35"/>
      <c r="AT950" s="9"/>
      <c r="BC950" s="9"/>
      <c r="BD950" s="1704"/>
      <c r="BE950" s="1702"/>
    </row>
    <row r="951" spans="1:70" ht="11.25" customHeight="1" x14ac:dyDescent="0.2">
      <c r="B951" s="110" t="s">
        <v>41</v>
      </c>
      <c r="D951" s="598"/>
      <c r="E951" s="598"/>
      <c r="F951" s="598"/>
      <c r="G951" s="598"/>
      <c r="H951" s="598"/>
      <c r="I951" s="598"/>
      <c r="J951" s="598"/>
      <c r="K951" s="598"/>
      <c r="L951" s="598"/>
      <c r="M951" s="598"/>
      <c r="N951" s="598"/>
      <c r="O951" s="598"/>
      <c r="P951" s="598"/>
      <c r="Q951" s="598"/>
      <c r="R951" s="598"/>
      <c r="S951" s="598"/>
      <c r="T951" s="598"/>
      <c r="U951" s="598"/>
      <c r="V951" s="598"/>
      <c r="W951" s="598"/>
      <c r="X951" s="598"/>
      <c r="Y951" s="598"/>
      <c r="Z951" s="598"/>
      <c r="AA951" s="598"/>
      <c r="AB951" s="598"/>
      <c r="AS951" s="110" t="s">
        <v>41</v>
      </c>
      <c r="AT951" s="9"/>
      <c r="BC951" s="9"/>
      <c r="BD951" s="1704"/>
      <c r="BE951" s="1702"/>
    </row>
    <row r="952" spans="1:70" ht="11.25" customHeight="1" x14ac:dyDescent="0.2">
      <c r="B952" s="634" t="s">
        <v>350</v>
      </c>
      <c r="D952" s="77" t="str">
        <f>D900</f>
        <v>NA</v>
      </c>
      <c r="E952" s="77">
        <f t="shared" ref="E952:AE952" si="2204">E900/1000</f>
        <v>231.0265</v>
      </c>
      <c r="F952" s="77">
        <f t="shared" si="2204"/>
        <v>236.63499999999999</v>
      </c>
      <c r="G952" s="77">
        <f t="shared" si="2204"/>
        <v>243.64500000000001</v>
      </c>
      <c r="H952" s="77">
        <f t="shared" si="2204"/>
        <v>253.96850000000001</v>
      </c>
      <c r="I952" s="77">
        <f t="shared" si="2204"/>
        <v>265.45400000000001</v>
      </c>
      <c r="J952" s="77">
        <f t="shared" si="2204"/>
        <v>268.50450000000001</v>
      </c>
      <c r="K952" s="77">
        <f t="shared" si="2204"/>
        <v>275.24299999999999</v>
      </c>
      <c r="L952" s="77">
        <f t="shared" si="2204"/>
        <v>282.35649999999998</v>
      </c>
      <c r="M952" s="77">
        <f t="shared" si="2204"/>
        <v>284.79199999999997</v>
      </c>
      <c r="N952" s="77">
        <f t="shared" si="2204"/>
        <v>287.31950000000001</v>
      </c>
      <c r="O952" s="77">
        <f t="shared" si="2204"/>
        <v>285.291</v>
      </c>
      <c r="P952" s="77">
        <f t="shared" si="2204"/>
        <v>280.20049999999998</v>
      </c>
      <c r="Q952" s="77">
        <f t="shared" si="2204"/>
        <v>272.185</v>
      </c>
      <c r="R952" s="77">
        <f t="shared" si="2204"/>
        <v>268.00200000000001</v>
      </c>
      <c r="S952" s="77">
        <f t="shared" si="2204"/>
        <v>273.64550000000003</v>
      </c>
      <c r="T952" s="77">
        <f t="shared" si="2204"/>
        <v>282.60149999999999</v>
      </c>
      <c r="U952" s="77">
        <f t="shared" si="2204"/>
        <v>290.279</v>
      </c>
      <c r="V952" s="77">
        <f t="shared" si="2204"/>
        <v>291.8415</v>
      </c>
      <c r="W952" s="77">
        <f t="shared" si="2204"/>
        <v>294.53300000000002</v>
      </c>
      <c r="X952" s="77">
        <f t="shared" si="2204"/>
        <v>305.77199999999999</v>
      </c>
      <c r="Y952" s="77">
        <f t="shared" ref="Y952:Z952" si="2205">Y900/1000</f>
        <v>310.9665</v>
      </c>
      <c r="Z952" s="77">
        <f t="shared" si="2205"/>
        <v>313.45850000000002</v>
      </c>
      <c r="AA952" s="77">
        <f t="shared" ref="AA952:AB952" si="2206">AA900/1000</f>
        <v>317.08449999999999</v>
      </c>
      <c r="AB952" s="77">
        <f t="shared" si="2206"/>
        <v>323.24250000000001</v>
      </c>
      <c r="AC952" s="77">
        <f t="shared" si="2204"/>
        <v>326.47492499999998</v>
      </c>
      <c r="AD952" s="77">
        <f t="shared" si="2204"/>
        <v>329.73967425000001</v>
      </c>
      <c r="AE952" s="77">
        <f t="shared" si="2204"/>
        <v>333.03707099249999</v>
      </c>
      <c r="AF952" s="77">
        <f t="shared" ref="AF952:AI952" si="2207">AF900/1000</f>
        <v>336.36744170242503</v>
      </c>
      <c r="AG952" s="77">
        <f t="shared" si="2207"/>
        <v>339.73111611944927</v>
      </c>
      <c r="AH952" s="77">
        <f t="shared" si="2207"/>
        <v>343.12842728064379</v>
      </c>
      <c r="AI952" s="77">
        <f t="shared" si="2207"/>
        <v>345.87345469888891</v>
      </c>
      <c r="AJ952" s="77"/>
      <c r="AK952" s="77"/>
      <c r="AL952" s="77"/>
      <c r="AM952" s="77"/>
      <c r="AN952" s="77"/>
      <c r="AO952" s="77"/>
      <c r="AP952" s="77"/>
      <c r="AQ952" s="77"/>
      <c r="AS952" s="634" t="s">
        <v>350</v>
      </c>
      <c r="AT952" s="9"/>
      <c r="AU952" s="155">
        <f>AVERAGE(D952:G952)</f>
        <v>237.10216666666668</v>
      </c>
      <c r="AV952" s="155">
        <f>AVERAGE(H952:K952)</f>
        <v>265.79250000000002</v>
      </c>
      <c r="AW952" s="155">
        <f>AVERAGE(L952:O952)</f>
        <v>284.93975</v>
      </c>
      <c r="AX952" s="155">
        <f>AVERAGE(P952:S952)</f>
        <v>273.50825000000003</v>
      </c>
      <c r="AY952" s="155">
        <f>AVERAGE(T952:W952)</f>
        <v>289.81375000000003</v>
      </c>
      <c r="AZ952" s="155">
        <f>AVERAGE(X952:AA952)</f>
        <v>311.82037499999996</v>
      </c>
      <c r="BA952" s="155">
        <f>AVERAGE(AB952:AE952)</f>
        <v>328.12354256062503</v>
      </c>
      <c r="BB952" s="155">
        <f>AVERAGE(AF952:AI952)</f>
        <v>341.27510995035175</v>
      </c>
      <c r="BC952" s="77">
        <f t="shared" ref="BC952:BD953" si="2208">BC900/1000</f>
        <v>354.92611434836584</v>
      </c>
      <c r="BD952" s="77">
        <f t="shared" si="2208"/>
        <v>369.12315892230049</v>
      </c>
      <c r="BE952" s="77">
        <f t="shared" ref="BE952" si="2209">BE900/1000</f>
        <v>383.88808527919252</v>
      </c>
    </row>
    <row r="953" spans="1:70" ht="11.25" customHeight="1" x14ac:dyDescent="0.2">
      <c r="B953" s="634" t="s">
        <v>352</v>
      </c>
      <c r="D953" s="77" t="str">
        <f>D901</f>
        <v>NA</v>
      </c>
      <c r="E953" s="77">
        <f t="shared" ref="E953:AE953" si="2210">E901/1000</f>
        <v>497.601</v>
      </c>
      <c r="F953" s="77">
        <f t="shared" si="2210"/>
        <v>503.92</v>
      </c>
      <c r="G953" s="77">
        <f t="shared" si="2210"/>
        <v>497.73</v>
      </c>
      <c r="H953" s="77">
        <f t="shared" si="2210"/>
        <v>485.83749999999998</v>
      </c>
      <c r="I953" s="77">
        <f t="shared" si="2210"/>
        <v>481.65899999999999</v>
      </c>
      <c r="J953" s="77">
        <f t="shared" si="2210"/>
        <v>486.32150000000001</v>
      </c>
      <c r="K953" s="77">
        <f t="shared" si="2210"/>
        <v>489.57049999999998</v>
      </c>
      <c r="L953" s="77">
        <f t="shared" si="2210"/>
        <v>483.56150000000002</v>
      </c>
      <c r="M953" s="77">
        <f t="shared" si="2210"/>
        <v>476.4325</v>
      </c>
      <c r="N953" s="77">
        <f t="shared" si="2210"/>
        <v>464.81299999999999</v>
      </c>
      <c r="O953" s="77">
        <f t="shared" si="2210"/>
        <v>436.02550000000002</v>
      </c>
      <c r="P953" s="77">
        <f t="shared" si="2210"/>
        <v>415.23700000000002</v>
      </c>
      <c r="Q953" s="77">
        <f t="shared" si="2210"/>
        <v>423.72550000000001</v>
      </c>
      <c r="R953" s="77">
        <f t="shared" si="2210"/>
        <v>427.01049999999998</v>
      </c>
      <c r="S953" s="77">
        <f t="shared" si="2210"/>
        <v>419.7</v>
      </c>
      <c r="T953" s="77">
        <f t="shared" si="2210"/>
        <v>425.21550000000002</v>
      </c>
      <c r="U953" s="77">
        <f t="shared" si="2210"/>
        <v>429.57400000000001</v>
      </c>
      <c r="V953" s="77">
        <f t="shared" si="2210"/>
        <v>429.92349999999999</v>
      </c>
      <c r="W953" s="77">
        <f t="shared" si="2210"/>
        <v>424.2115</v>
      </c>
      <c r="X953" s="77">
        <f t="shared" si="2210"/>
        <v>422.51949999999999</v>
      </c>
      <c r="Y953" s="77">
        <f t="shared" ref="Y953:Z953" si="2211">Y901/1000</f>
        <v>434.50099999999998</v>
      </c>
      <c r="Z953" s="77">
        <f t="shared" si="2211"/>
        <v>437.58350000000002</v>
      </c>
      <c r="AA953" s="77">
        <f t="shared" ref="AA953:AB953" si="2212">AA901/1000</f>
        <v>431.98649999999998</v>
      </c>
      <c r="AB953" s="77">
        <f t="shared" si="2212"/>
        <v>442.21350000000001</v>
      </c>
      <c r="AC953" s="77">
        <f t="shared" si="2210"/>
        <v>446.63563500000004</v>
      </c>
      <c r="AD953" s="77">
        <f t="shared" si="2210"/>
        <v>451.10199135000005</v>
      </c>
      <c r="AE953" s="77">
        <f t="shared" si="2210"/>
        <v>455.61301126350003</v>
      </c>
      <c r="AF953" s="77">
        <f t="shared" ref="AF953:AI953" si="2213">AF901/1000</f>
        <v>460.16914137613503</v>
      </c>
      <c r="AG953" s="77">
        <f t="shared" si="2213"/>
        <v>464.77083278989642</v>
      </c>
      <c r="AH953" s="77">
        <f t="shared" si="2213"/>
        <v>469.41854111779537</v>
      </c>
      <c r="AI953" s="77">
        <f t="shared" si="2213"/>
        <v>473.17388944673775</v>
      </c>
      <c r="AJ953" s="77"/>
      <c r="AK953" s="77"/>
      <c r="AL953" s="77"/>
      <c r="AM953" s="77"/>
      <c r="AN953" s="77"/>
      <c r="AO953" s="77"/>
      <c r="AP953" s="77"/>
      <c r="AQ953" s="77"/>
      <c r="AS953" s="634" t="s">
        <v>352</v>
      </c>
      <c r="AT953" s="9"/>
      <c r="AU953" s="155">
        <f>AVERAGE(D953:G953)</f>
        <v>499.75033333333334</v>
      </c>
      <c r="AV953" s="155">
        <f>AVERAGE(H953:K953)</f>
        <v>485.84712500000001</v>
      </c>
      <c r="AW953" s="155">
        <f>AVERAGE(L953:O953)</f>
        <v>465.208125</v>
      </c>
      <c r="AX953" s="155">
        <f>AVERAGE(P953:S953)</f>
        <v>421.41825</v>
      </c>
      <c r="AY953" s="155">
        <f>AVERAGE(T953:W953)</f>
        <v>427.23112500000002</v>
      </c>
      <c r="AZ953" s="155">
        <f>AVERAGE(X953:AA953)</f>
        <v>431.64762500000001</v>
      </c>
      <c r="BA953" s="155">
        <f>AVERAGE(AB953:AE953)</f>
        <v>448.89103440337504</v>
      </c>
      <c r="BB953" s="155">
        <f>AVERAGE(AF953:AI953)</f>
        <v>466.88310118264116</v>
      </c>
      <c r="BC953" s="77">
        <f t="shared" si="2208"/>
        <v>485.55842522994681</v>
      </c>
      <c r="BD953" s="77">
        <f t="shared" si="2208"/>
        <v>504.98076223914472</v>
      </c>
      <c r="BE953" s="77">
        <f t="shared" ref="BE953" si="2214">BE901/1000</f>
        <v>525.17999272871054</v>
      </c>
    </row>
    <row r="954" spans="1:70" ht="11.25" customHeight="1" x14ac:dyDescent="0.2">
      <c r="B954" s="634" t="s">
        <v>349</v>
      </c>
      <c r="D954" s="77" t="str">
        <f>D910</f>
        <v>NA</v>
      </c>
      <c r="E954" s="77">
        <f t="shared" ref="E954:AE954" si="2215">E910/1000</f>
        <v>121.3145</v>
      </c>
      <c r="F954" s="77">
        <f t="shared" si="2215"/>
        <v>127.1525</v>
      </c>
      <c r="G954" s="77">
        <f t="shared" si="2215"/>
        <v>131.81899999999999</v>
      </c>
      <c r="H954" s="77">
        <f t="shared" si="2215"/>
        <v>127.072</v>
      </c>
      <c r="I954" s="77">
        <f t="shared" si="2215"/>
        <v>124.31399999999999</v>
      </c>
      <c r="J954" s="77">
        <f t="shared" si="2215"/>
        <v>127.20699999999999</v>
      </c>
      <c r="K954" s="77">
        <f t="shared" si="2215"/>
        <v>129.33600000000001</v>
      </c>
      <c r="L954" s="77">
        <f t="shared" si="2215"/>
        <v>132.0155</v>
      </c>
      <c r="M954" s="77">
        <f t="shared" si="2215"/>
        <v>133.14250000000001</v>
      </c>
      <c r="N954" s="77">
        <f t="shared" si="2215"/>
        <v>129.44800000000001</v>
      </c>
      <c r="O954" s="77">
        <f t="shared" si="2215"/>
        <v>128.60050000000001</v>
      </c>
      <c r="P954" s="77">
        <f t="shared" si="2215"/>
        <v>132.76300000000001</v>
      </c>
      <c r="Q954" s="77">
        <f t="shared" si="2215"/>
        <v>135.79050000000001</v>
      </c>
      <c r="R954" s="77">
        <f t="shared" si="2215"/>
        <v>138.21899999999999</v>
      </c>
      <c r="S954" s="77">
        <f t="shared" si="2215"/>
        <v>140.33699999999999</v>
      </c>
      <c r="T954" s="77">
        <f t="shared" si="2215"/>
        <v>138.70099999999999</v>
      </c>
      <c r="U954" s="77">
        <f t="shared" si="2215"/>
        <v>139.149</v>
      </c>
      <c r="V954" s="77">
        <f t="shared" si="2215"/>
        <v>141.02199999999999</v>
      </c>
      <c r="W954" s="77">
        <f t="shared" si="2215"/>
        <v>139.29849999999999</v>
      </c>
      <c r="X954" s="77">
        <f t="shared" si="2215"/>
        <v>133.06700000000001</v>
      </c>
      <c r="Y954" s="77">
        <f t="shared" ref="Y954:Z954" si="2216">Y910/1000</f>
        <v>127.8445</v>
      </c>
      <c r="Z954" s="77">
        <f t="shared" si="2216"/>
        <v>126.73650000000001</v>
      </c>
      <c r="AA954" s="77">
        <f t="shared" ref="AA954:AB954" si="2217">AA910/1000</f>
        <v>127.05</v>
      </c>
      <c r="AB954" s="77">
        <f t="shared" si="2217"/>
        <v>126.10599999999999</v>
      </c>
      <c r="AC954" s="77">
        <f t="shared" si="2215"/>
        <v>124.84494000000001</v>
      </c>
      <c r="AD954" s="77">
        <f t="shared" si="2215"/>
        <v>123.59649060000001</v>
      </c>
      <c r="AE954" s="77">
        <f t="shared" si="2215"/>
        <v>122.360525694</v>
      </c>
      <c r="AF954" s="77">
        <f t="shared" ref="AF954:AI954" si="2218">AF910/1000</f>
        <v>121.13692043705998</v>
      </c>
      <c r="AG954" s="77">
        <f t="shared" si="2218"/>
        <v>119.9255512326894</v>
      </c>
      <c r="AH954" s="77">
        <f t="shared" si="2218"/>
        <v>118.7262957203625</v>
      </c>
      <c r="AI954" s="77">
        <f t="shared" si="2218"/>
        <v>117.30158017171814</v>
      </c>
      <c r="AJ954" s="77"/>
      <c r="AK954" s="77"/>
      <c r="AL954" s="77"/>
      <c r="AM954" s="77"/>
      <c r="AN954" s="77"/>
      <c r="AO954" s="77"/>
      <c r="AP954" s="77"/>
      <c r="AQ954" s="77"/>
      <c r="AS954" s="634" t="s">
        <v>349</v>
      </c>
      <c r="AT954" s="9"/>
      <c r="AU954" s="155">
        <f>AVERAGE(D954:G954)</f>
        <v>126.76199999999999</v>
      </c>
      <c r="AV954" s="155">
        <f>AVERAGE(H954:K954)</f>
        <v>126.98224999999999</v>
      </c>
      <c r="AW954" s="155">
        <f>AVERAGE(L954:O954)</f>
        <v>130.801625</v>
      </c>
      <c r="AX954" s="155">
        <f>AVERAGE(P954:S954)</f>
        <v>136.77737500000001</v>
      </c>
      <c r="AY954" s="155">
        <f>AVERAGE(T954:W954)</f>
        <v>139.54262499999999</v>
      </c>
      <c r="AZ954" s="155">
        <f>AVERAGE(X954:AA954)</f>
        <v>128.67449999999999</v>
      </c>
      <c r="BA954" s="155">
        <f>AVERAGE(AB954:AE954)</f>
        <v>124.22698907349999</v>
      </c>
      <c r="BB954" s="155">
        <f>AVERAGE(AF954:AI954)</f>
        <v>119.27258689045752</v>
      </c>
      <c r="BC954" s="77">
        <f t="shared" ref="BC954:BD955" si="2219">BC910/1000</f>
        <v>119.29283482820227</v>
      </c>
      <c r="BD954" s="77">
        <f t="shared" si="2219"/>
        <v>119.31308620327489</v>
      </c>
      <c r="BE954" s="77">
        <f t="shared" ref="BE954" si="2220">BE910/1000</f>
        <v>119.33334101625888</v>
      </c>
    </row>
    <row r="955" spans="1:70" ht="11.25" customHeight="1" x14ac:dyDescent="0.2">
      <c r="B955" s="650" t="s">
        <v>351</v>
      </c>
      <c r="C955" s="25"/>
      <c r="D955" s="205" t="str">
        <f>D911</f>
        <v>NA</v>
      </c>
      <c r="E955" s="205">
        <f t="shared" ref="E955:X955" si="2221">E956-SUM(E952:E954)</f>
        <v>43.45799999999997</v>
      </c>
      <c r="F955" s="205">
        <f t="shared" si="2221"/>
        <v>53.49249999999995</v>
      </c>
      <c r="G955" s="205">
        <f t="shared" si="2221"/>
        <v>55.706000000000017</v>
      </c>
      <c r="H955" s="205">
        <f t="shared" si="2221"/>
        <v>53.521999999999935</v>
      </c>
      <c r="I955" s="205">
        <f t="shared" si="2221"/>
        <v>53.072999999999979</v>
      </c>
      <c r="J955" s="205">
        <f t="shared" si="2221"/>
        <v>40.067000000000007</v>
      </c>
      <c r="K955" s="205">
        <f t="shared" si="2221"/>
        <v>62.250499999999988</v>
      </c>
      <c r="L955" s="205">
        <f t="shared" si="2221"/>
        <v>59.466499999999996</v>
      </c>
      <c r="M955" s="205">
        <f t="shared" si="2221"/>
        <v>65.132999999999925</v>
      </c>
      <c r="N955" s="205">
        <f t="shared" si="2221"/>
        <v>72.61950000000013</v>
      </c>
      <c r="O955" s="205">
        <f t="shared" si="2221"/>
        <v>88.783000000000015</v>
      </c>
      <c r="P955" s="205">
        <f t="shared" si="2221"/>
        <v>71.299499999999966</v>
      </c>
      <c r="Q955" s="205">
        <f t="shared" si="2221"/>
        <v>74.698999999999955</v>
      </c>
      <c r="R955" s="205">
        <f t="shared" si="2221"/>
        <v>69.868499999999926</v>
      </c>
      <c r="S955" s="205">
        <f t="shared" si="2221"/>
        <v>75.11749999999995</v>
      </c>
      <c r="T955" s="205">
        <f t="shared" si="2221"/>
        <v>65.182000000000016</v>
      </c>
      <c r="U955" s="205">
        <f t="shared" si="2221"/>
        <v>76.597999999999956</v>
      </c>
      <c r="V955" s="205">
        <f t="shared" si="2221"/>
        <v>81.413000000000011</v>
      </c>
      <c r="W955" s="205">
        <f t="shared" si="2221"/>
        <v>77.057000000000016</v>
      </c>
      <c r="X955" s="205">
        <f t="shared" si="2221"/>
        <v>79.541499999999928</v>
      </c>
      <c r="Y955" s="205">
        <f t="shared" ref="Y955:Z955" si="2222">Y956-SUM(Y952:Y954)</f>
        <v>86.687999999999988</v>
      </c>
      <c r="Z955" s="205">
        <f t="shared" si="2222"/>
        <v>88.121499999999969</v>
      </c>
      <c r="AA955" s="205">
        <f t="shared" ref="AA955:AB955" si="2223">AA956-SUM(AA952:AA954)</f>
        <v>97.179000000000087</v>
      </c>
      <c r="AB955" s="205">
        <f t="shared" si="2223"/>
        <v>90.337999999999965</v>
      </c>
      <c r="AC955" s="205">
        <f t="shared" ref="AC955:AE955" si="2224">AC911/1000</f>
        <v>91.241379999999978</v>
      </c>
      <c r="AD955" s="205">
        <f t="shared" si="2224"/>
        <v>92.153793799999974</v>
      </c>
      <c r="AE955" s="205">
        <f t="shared" si="2224"/>
        <v>93.07533173799996</v>
      </c>
      <c r="AF955" s="205">
        <f t="shared" ref="AF955:AI955" si="2225">AF911/1000</f>
        <v>93.07533173799996</v>
      </c>
      <c r="AG955" s="205">
        <f t="shared" si="2225"/>
        <v>93.07533173799996</v>
      </c>
      <c r="AH955" s="205">
        <f t="shared" si="2225"/>
        <v>93.07533173799996</v>
      </c>
      <c r="AI955" s="205">
        <f t="shared" si="2225"/>
        <v>93.07533173799996</v>
      </c>
      <c r="AJ955" s="77"/>
      <c r="AK955" s="77"/>
      <c r="AL955" s="77"/>
      <c r="AM955" s="77"/>
      <c r="AN955" s="77"/>
      <c r="AO955" s="77"/>
      <c r="AP955" s="77"/>
      <c r="AQ955" s="77"/>
      <c r="AS955" s="650" t="s">
        <v>351</v>
      </c>
      <c r="AT955" s="25"/>
      <c r="AU955" s="282">
        <f>AVERAGE(D955:G955)</f>
        <v>50.885499999999979</v>
      </c>
      <c r="AV955" s="282">
        <f>AVERAGE(H955:K955)</f>
        <v>52.228124999999977</v>
      </c>
      <c r="AW955" s="282">
        <f>AVERAGE(L955:O955)</f>
        <v>71.500500000000017</v>
      </c>
      <c r="AX955" s="282">
        <f>AVERAGE(P955:S955)</f>
        <v>72.74612499999995</v>
      </c>
      <c r="AY955" s="282">
        <f>AVERAGE(T955:W955)</f>
        <v>75.0625</v>
      </c>
      <c r="AZ955" s="282">
        <f>AVERAGE(X955:AA955)</f>
        <v>87.882499999999993</v>
      </c>
      <c r="BA955" s="282">
        <f>AVERAGE(AB955:AE955)</f>
        <v>91.702126384499962</v>
      </c>
      <c r="BB955" s="282">
        <f>AVERAGE(AF955:AI955)</f>
        <v>93.07533173799996</v>
      </c>
      <c r="BC955" s="205">
        <f t="shared" si="2219"/>
        <v>93.07533173799996</v>
      </c>
      <c r="BD955" s="205">
        <f t="shared" si="2219"/>
        <v>93.07533173799996</v>
      </c>
      <c r="BE955" s="205">
        <f t="shared" ref="BE955" si="2226">BE911/1000</f>
        <v>93.07533173799996</v>
      </c>
    </row>
    <row r="956" spans="1:70" ht="11.25" customHeight="1" x14ac:dyDescent="0.2">
      <c r="B956" s="9" t="s">
        <v>41</v>
      </c>
      <c r="C956" s="70"/>
      <c r="D956" s="598">
        <v>869.1</v>
      </c>
      <c r="E956" s="598">
        <v>893.4</v>
      </c>
      <c r="F956" s="598">
        <v>921.2</v>
      </c>
      <c r="G956" s="598">
        <v>928.9</v>
      </c>
      <c r="H956" s="598">
        <v>920.4</v>
      </c>
      <c r="I956" s="598">
        <v>924.5</v>
      </c>
      <c r="J956" s="598">
        <v>922.1</v>
      </c>
      <c r="K956" s="598">
        <v>956.4</v>
      </c>
      <c r="L956" s="598">
        <v>957.4</v>
      </c>
      <c r="M956" s="598">
        <v>959.5</v>
      </c>
      <c r="N956" s="598">
        <v>954.2</v>
      </c>
      <c r="O956" s="598">
        <v>938.7</v>
      </c>
      <c r="P956" s="598">
        <v>899.5</v>
      </c>
      <c r="Q956" s="598">
        <v>906.4</v>
      </c>
      <c r="R956" s="598">
        <v>903.1</v>
      </c>
      <c r="S956" s="598">
        <v>908.8</v>
      </c>
      <c r="T956" s="598">
        <v>911.7</v>
      </c>
      <c r="U956" s="598">
        <v>935.6</v>
      </c>
      <c r="V956" s="598">
        <v>944.2</v>
      </c>
      <c r="W956" s="598">
        <v>935.1</v>
      </c>
      <c r="X956" s="598">
        <v>940.9</v>
      </c>
      <c r="Y956" s="598">
        <v>960</v>
      </c>
      <c r="Z956" s="598">
        <v>965.9</v>
      </c>
      <c r="AA956" s="598">
        <v>973.3</v>
      </c>
      <c r="AB956" s="598">
        <v>981.9</v>
      </c>
      <c r="AC956" s="77">
        <f t="shared" ref="AC956:AE956" si="2227">SUM(AC952:AC955)</f>
        <v>989.19687999999996</v>
      </c>
      <c r="AD956" s="77">
        <f t="shared" si="2227"/>
        <v>996.59195000000011</v>
      </c>
      <c r="AE956" s="77">
        <f t="shared" si="2227"/>
        <v>1004.0859396879999</v>
      </c>
      <c r="AF956" s="77">
        <f t="shared" ref="AF956:AI956" si="2228">SUM(AF952:AF955)</f>
        <v>1010.74883525362</v>
      </c>
      <c r="AG956" s="77">
        <f t="shared" si="2228"/>
        <v>1017.5028318800349</v>
      </c>
      <c r="AH956" s="77">
        <f t="shared" si="2228"/>
        <v>1024.3485958568017</v>
      </c>
      <c r="AI956" s="77">
        <f t="shared" si="2228"/>
        <v>1029.4242560553448</v>
      </c>
      <c r="AJ956" s="77"/>
      <c r="AK956" s="77"/>
      <c r="AL956" s="77"/>
      <c r="AM956" s="77"/>
      <c r="AN956" s="77"/>
      <c r="AO956" s="77"/>
      <c r="AP956" s="77"/>
      <c r="AQ956" s="77"/>
      <c r="AS956" s="9" t="s">
        <v>41</v>
      </c>
      <c r="AU956" s="77">
        <f t="shared" ref="AU956:BD956" si="2229">SUM(AU952:AU955)</f>
        <v>914.49999999999989</v>
      </c>
      <c r="AV956" s="77">
        <f t="shared" si="2229"/>
        <v>930.85</v>
      </c>
      <c r="AW956" s="77">
        <f t="shared" si="2229"/>
        <v>952.44999999999993</v>
      </c>
      <c r="AX956" s="77">
        <f t="shared" si="2229"/>
        <v>904.45</v>
      </c>
      <c r="AY956" s="77">
        <f t="shared" si="2229"/>
        <v>931.65000000000009</v>
      </c>
      <c r="AZ956" s="77">
        <f t="shared" si="2229"/>
        <v>960.02499999999986</v>
      </c>
      <c r="BA956" s="77">
        <f t="shared" si="2229"/>
        <v>992.94369242200003</v>
      </c>
      <c r="BB956" s="77">
        <f t="shared" ref="BB956" si="2230">SUM(BB952:BB955)</f>
        <v>1020.5061297614503</v>
      </c>
      <c r="BC956" s="77">
        <f t="shared" si="2229"/>
        <v>1052.852706144515</v>
      </c>
      <c r="BD956" s="77">
        <f t="shared" si="2229"/>
        <v>1086.4923391027201</v>
      </c>
      <c r="BE956" s="77">
        <f t="shared" ref="BE956" si="2231">SUM(BE952:BE955)</f>
        <v>1121.4767507621618</v>
      </c>
    </row>
    <row r="957" spans="1:70" s="72" customFormat="1" ht="11.25" customHeight="1" x14ac:dyDescent="0.2">
      <c r="A957" s="831"/>
      <c r="B957" s="331"/>
      <c r="C957" s="53" t="s">
        <v>592</v>
      </c>
      <c r="D957" s="332"/>
      <c r="E957" s="333">
        <f t="shared" ref="E957:AE957" si="2232">E956/D956-1</f>
        <v>2.7959958577839172E-2</v>
      </c>
      <c r="F957" s="333">
        <f t="shared" si="2232"/>
        <v>3.1117080814864639E-2</v>
      </c>
      <c r="G957" s="333">
        <f t="shared" si="2232"/>
        <v>8.358662613981771E-3</v>
      </c>
      <c r="H957" s="333">
        <f t="shared" si="2232"/>
        <v>-9.1506082463128635E-3</v>
      </c>
      <c r="I957" s="333">
        <f t="shared" si="2232"/>
        <v>4.4545849630595047E-3</v>
      </c>
      <c r="J957" s="333">
        <f t="shared" si="2232"/>
        <v>-2.5959978366684178E-3</v>
      </c>
      <c r="K957" s="333">
        <f t="shared" si="2232"/>
        <v>3.7197700900119202E-2</v>
      </c>
      <c r="L957" s="333">
        <f t="shared" si="2232"/>
        <v>1.0455876202426495E-3</v>
      </c>
      <c r="M957" s="333">
        <f t="shared" si="2232"/>
        <v>2.1934405682055846E-3</v>
      </c>
      <c r="N957" s="333">
        <f t="shared" si="2232"/>
        <v>-5.5237102657633708E-3</v>
      </c>
      <c r="O957" s="333">
        <f t="shared" si="2232"/>
        <v>-1.6243974009641615E-2</v>
      </c>
      <c r="P957" s="333">
        <f t="shared" si="2232"/>
        <v>-4.1759880686055184E-2</v>
      </c>
      <c r="Q957" s="333">
        <f t="shared" si="2232"/>
        <v>7.6709282934963596E-3</v>
      </c>
      <c r="R957" s="333">
        <f t="shared" si="2232"/>
        <v>-3.6407766990290691E-3</v>
      </c>
      <c r="S957" s="333">
        <f t="shared" si="2232"/>
        <v>6.3115934005093521E-3</v>
      </c>
      <c r="T957" s="333">
        <f t="shared" si="2232"/>
        <v>3.1910211267607291E-3</v>
      </c>
      <c r="U957" s="333">
        <f t="shared" si="2232"/>
        <v>2.6214763628386484E-2</v>
      </c>
      <c r="V957" s="333">
        <f t="shared" si="2232"/>
        <v>9.1919623770841952E-3</v>
      </c>
      <c r="W957" s="333">
        <f t="shared" si="2232"/>
        <v>-9.6377886041093541E-3</v>
      </c>
      <c r="X957" s="333">
        <f t="shared" si="2232"/>
        <v>6.2025451823333189E-3</v>
      </c>
      <c r="Y957" s="333">
        <f t="shared" si="2232"/>
        <v>2.0299713040705658E-2</v>
      </c>
      <c r="Z957" s="333">
        <f t="shared" si="2232"/>
        <v>6.1458333333332948E-3</v>
      </c>
      <c r="AA957" s="333">
        <f t="shared" si="2232"/>
        <v>7.6612485764571137E-3</v>
      </c>
      <c r="AB957" s="333">
        <f t="shared" si="2232"/>
        <v>8.8359190383231478E-3</v>
      </c>
      <c r="AC957" s="333">
        <f t="shared" si="2232"/>
        <v>7.4313881250636094E-3</v>
      </c>
      <c r="AD957" s="333">
        <f t="shared" si="2232"/>
        <v>7.4758323135837301E-3</v>
      </c>
      <c r="AE957" s="333">
        <f t="shared" si="2232"/>
        <v>7.5196169184386097E-3</v>
      </c>
      <c r="AF957" s="333">
        <f t="shared" ref="AF957" si="2233">AF956/AE956-1</f>
        <v>6.63578215993188E-3</v>
      </c>
      <c r="AG957" s="333">
        <f t="shared" ref="AG957" si="2234">AG956/AF956-1</f>
        <v>6.6821710704423332E-3</v>
      </c>
      <c r="AH957" s="333">
        <f t="shared" ref="AH957" si="2235">AH956/AG956-1</f>
        <v>6.7280048391784586E-3</v>
      </c>
      <c r="AI957" s="333">
        <f t="shared" ref="AI957" si="2236">AI956/AH956-1</f>
        <v>4.9550125992974259E-3</v>
      </c>
      <c r="AJ957" s="333"/>
      <c r="AK957" s="333"/>
      <c r="AL957" s="333"/>
      <c r="AM957" s="333"/>
      <c r="AN957" s="333"/>
      <c r="AO957" s="333"/>
      <c r="AP957" s="333"/>
      <c r="AQ957" s="333"/>
      <c r="AR957" s="70"/>
      <c r="AS957" s="331"/>
      <c r="AT957" s="53" t="s">
        <v>592</v>
      </c>
      <c r="AU957" s="333"/>
      <c r="AV957" s="333">
        <f t="shared" ref="AV957:BE957" si="2237">AV956/AU956-1</f>
        <v>1.7878622197922578E-2</v>
      </c>
      <c r="AW957" s="333">
        <f t="shared" si="2237"/>
        <v>2.3204597948111916E-2</v>
      </c>
      <c r="AX957" s="333">
        <f t="shared" si="2237"/>
        <v>-5.0396346264895642E-2</v>
      </c>
      <c r="AY957" s="333">
        <f t="shared" si="2237"/>
        <v>3.0073525346896002E-2</v>
      </c>
      <c r="AZ957" s="333">
        <f t="shared" si="2237"/>
        <v>3.0456716578113774E-2</v>
      </c>
      <c r="BA957" s="333">
        <f t="shared" si="2237"/>
        <v>3.4289411652821622E-2</v>
      </c>
      <c r="BB957" s="333">
        <f t="shared" si="2237"/>
        <v>2.7758308502086049E-2</v>
      </c>
      <c r="BC957" s="333">
        <f t="shared" si="2237"/>
        <v>3.1696601754489961E-2</v>
      </c>
      <c r="BD957" s="333">
        <f t="shared" si="2237"/>
        <v>3.1950939349713492E-2</v>
      </c>
      <c r="BE957" s="333">
        <f t="shared" si="2237"/>
        <v>3.2199409420901715E-2</v>
      </c>
      <c r="BM957"/>
      <c r="BN957"/>
      <c r="BO957"/>
      <c r="BP957"/>
      <c r="BQ957"/>
      <c r="BR957"/>
    </row>
    <row r="958" spans="1:70" ht="11.25" customHeight="1" x14ac:dyDescent="0.2">
      <c r="B958" s="9"/>
      <c r="C958" s="70"/>
      <c r="D958" s="77"/>
      <c r="E958" s="77"/>
      <c r="F958" s="77"/>
      <c r="G958" s="77"/>
      <c r="H958" s="77"/>
      <c r="I958" s="77"/>
      <c r="J958" s="77"/>
      <c r="K958" s="77"/>
      <c r="L958" s="77"/>
      <c r="M958" s="77"/>
      <c r="N958" s="77"/>
      <c r="O958" s="77"/>
      <c r="P958" s="77"/>
      <c r="Q958" s="77"/>
      <c r="R958" s="77"/>
      <c r="S958" s="77"/>
      <c r="T958" s="77"/>
      <c r="U958" s="77"/>
      <c r="V958" s="77"/>
      <c r="W958" s="77"/>
      <c r="X958" s="77"/>
      <c r="Y958" s="77"/>
      <c r="Z958" s="77"/>
      <c r="AA958" s="77"/>
      <c r="AB958" s="77"/>
      <c r="AC958" s="77"/>
      <c r="AD958" s="77"/>
      <c r="AE958" s="77"/>
      <c r="AF958" s="77"/>
      <c r="AG958" s="77"/>
      <c r="AH958" s="77"/>
      <c r="AI958" s="77"/>
      <c r="AJ958" s="77"/>
      <c r="AK958" s="77"/>
      <c r="AL958" s="77"/>
      <c r="AM958" s="77"/>
      <c r="AN958" s="77"/>
      <c r="AO958" s="77"/>
      <c r="AP958" s="77"/>
      <c r="AQ958" s="77"/>
      <c r="AS958" s="9"/>
      <c r="AU958" s="77"/>
      <c r="AV958" s="77"/>
      <c r="AW958" s="77"/>
      <c r="AX958" s="77"/>
      <c r="AY958" s="77"/>
      <c r="AZ958" s="77"/>
      <c r="BA958" s="77"/>
      <c r="BB958" s="77"/>
      <c r="BC958" s="77"/>
      <c r="BD958" s="77"/>
      <c r="BE958" s="77"/>
    </row>
    <row r="959" spans="1:70" s="146" customFormat="1" x14ac:dyDescent="0.2">
      <c r="A959" s="831"/>
      <c r="B959" s="62" t="s">
        <v>673</v>
      </c>
      <c r="C959" s="62"/>
      <c r="D959" s="668" t="s">
        <v>229</v>
      </c>
      <c r="E959" s="669">
        <f t="shared" ref="E959:AE959" si="2238">E1057/E956</f>
        <v>0.71765166778598621</v>
      </c>
      <c r="F959" s="669">
        <f t="shared" si="2238"/>
        <v>0.70641554494138081</v>
      </c>
      <c r="G959" s="669">
        <f t="shared" si="2238"/>
        <v>0.69749165679836378</v>
      </c>
      <c r="H959" s="669">
        <f t="shared" si="2238"/>
        <v>0.69953281182094751</v>
      </c>
      <c r="I959" s="669">
        <f t="shared" si="2238"/>
        <v>0.69594375338020553</v>
      </c>
      <c r="J959" s="669">
        <f t="shared" si="2238"/>
        <v>0.69694176336622926</v>
      </c>
      <c r="K959" s="669">
        <f t="shared" si="2238"/>
        <v>0.68695106649937265</v>
      </c>
      <c r="L959" s="669">
        <f t="shared" si="2238"/>
        <v>0.68748694380614173</v>
      </c>
      <c r="M959" s="669">
        <f t="shared" si="2238"/>
        <v>0.69134966128191755</v>
      </c>
      <c r="N959" s="669">
        <f t="shared" si="2238"/>
        <v>0.69094529448752873</v>
      </c>
      <c r="O959" s="669">
        <f t="shared" si="2238"/>
        <v>0.69250026632576955</v>
      </c>
      <c r="P959" s="669">
        <f t="shared" si="2238"/>
        <v>0.70394663702056703</v>
      </c>
      <c r="Q959" s="669">
        <f t="shared" si="2238"/>
        <v>0.69213371579876426</v>
      </c>
      <c r="R959" s="669">
        <f t="shared" si="2238"/>
        <v>0.69034436939430854</v>
      </c>
      <c r="S959" s="669">
        <f t="shared" si="2238"/>
        <v>0.68634463028169013</v>
      </c>
      <c r="T959" s="669">
        <f t="shared" si="2238"/>
        <v>0.67154765822090601</v>
      </c>
      <c r="U959" s="669">
        <f t="shared" si="2238"/>
        <v>0.66321077383497218</v>
      </c>
      <c r="V959" s="669">
        <f t="shared" si="2238"/>
        <v>0.67295064604956567</v>
      </c>
      <c r="W959" s="669">
        <f t="shared" si="2238"/>
        <v>0.6692867073040315</v>
      </c>
      <c r="X959" s="669">
        <f t="shared" si="2238"/>
        <v>0.66245084493569983</v>
      </c>
      <c r="Y959" s="669">
        <f t="shared" ref="Y959:Z959" si="2239">Y1057/Y956</f>
        <v>0.66104166666666664</v>
      </c>
      <c r="Z959" s="669">
        <f t="shared" si="2239"/>
        <v>0.66932394657832073</v>
      </c>
      <c r="AA959" s="669">
        <f t="shared" ref="AA959:AB959" si="2240">AA1057/AA956</f>
        <v>0.6728655090927772</v>
      </c>
      <c r="AB959" s="669">
        <f t="shared" si="2240"/>
        <v>0.67990630410428765</v>
      </c>
      <c r="AC959" s="669">
        <f t="shared" si="2238"/>
        <v>0.6823419216607316</v>
      </c>
      <c r="AD959" s="669">
        <f t="shared" si="2238"/>
        <v>0.68522244485318173</v>
      </c>
      <c r="AE959" s="669">
        <f t="shared" si="2238"/>
        <v>0.69058612220529936</v>
      </c>
      <c r="AF959" s="669">
        <f t="shared" ref="AF959:AI959" si="2241">AF1057/AF956</f>
        <v>0.69155813897065432</v>
      </c>
      <c r="AG959" s="669">
        <f t="shared" si="2241"/>
        <v>0.69511901519493058</v>
      </c>
      <c r="AH959" s="669">
        <f t="shared" si="2241"/>
        <v>0.70300787113353014</v>
      </c>
      <c r="AI959" s="669">
        <f t="shared" si="2241"/>
        <v>0.71484786837769498</v>
      </c>
      <c r="AJ959" s="669"/>
      <c r="AK959" s="669"/>
      <c r="AL959" s="669"/>
      <c r="AM959" s="669"/>
      <c r="AN959" s="669"/>
      <c r="AO959" s="669"/>
      <c r="AP959" s="669"/>
      <c r="AQ959" s="669"/>
      <c r="AR959" s="70"/>
      <c r="AS959" s="62" t="s">
        <v>673</v>
      </c>
      <c r="AT959" s="62"/>
      <c r="AU959" s="668" t="s">
        <v>229</v>
      </c>
      <c r="AV959" s="669">
        <f t="shared" ref="AV959:BD959" si="2242">AV1057/AV956</f>
        <v>0.69476822259225435</v>
      </c>
      <c r="AW959" s="669">
        <f t="shared" si="2242"/>
        <v>0.69056118431413727</v>
      </c>
      <c r="AX959" s="669">
        <f t="shared" si="2242"/>
        <v>0.69316988224888054</v>
      </c>
      <c r="AY959" s="669">
        <f t="shared" si="2242"/>
        <v>0.66924274137283313</v>
      </c>
      <c r="AZ959" s="669">
        <f t="shared" si="2242"/>
        <v>0.66646701908804473</v>
      </c>
      <c r="BA959" s="669">
        <f t="shared" si="2242"/>
        <v>0.68454674436727403</v>
      </c>
      <c r="BB959" s="669">
        <f t="shared" ref="BB959" si="2243">BB1057/BB956</f>
        <v>0.70119226313900196</v>
      </c>
      <c r="BC959" s="669">
        <f t="shared" si="2242"/>
        <v>0.71508973665065734</v>
      </c>
      <c r="BD959" s="669">
        <f t="shared" si="2242"/>
        <v>0.73042054519983646</v>
      </c>
      <c r="BE959" s="669">
        <f t="shared" ref="BE959" si="2244">BE1057/BE956</f>
        <v>0.74298728553237858</v>
      </c>
      <c r="BM959"/>
      <c r="BN959"/>
      <c r="BO959"/>
      <c r="BP959"/>
      <c r="BQ959"/>
      <c r="BR959"/>
    </row>
    <row r="960" spans="1:70" ht="11.25" customHeight="1" x14ac:dyDescent="0.2">
      <c r="B960" s="634"/>
      <c r="D960" s="77"/>
      <c r="E960" s="77"/>
      <c r="F960" s="250"/>
      <c r="G960" s="250"/>
      <c r="H960" s="250"/>
      <c r="I960" s="250"/>
      <c r="J960" s="250"/>
      <c r="K960" s="250"/>
      <c r="L960" s="250"/>
      <c r="M960" s="250"/>
      <c r="N960" s="250"/>
      <c r="O960" s="250"/>
      <c r="P960" s="250"/>
      <c r="Q960" s="250"/>
      <c r="R960" s="250"/>
      <c r="S960" s="250"/>
      <c r="T960" s="250"/>
      <c r="U960" s="250"/>
      <c r="V960" s="250"/>
      <c r="W960" s="250"/>
      <c r="X960" s="250"/>
      <c r="Y960" s="250"/>
      <c r="Z960" s="250"/>
      <c r="AA960" s="250"/>
      <c r="AB960" s="250"/>
      <c r="AC960" s="250"/>
      <c r="AD960" s="250"/>
      <c r="AE960" s="250"/>
      <c r="AF960" s="250"/>
      <c r="AG960" s="250"/>
      <c r="AH960" s="250"/>
      <c r="AI960" s="250"/>
      <c r="AJ960" s="250"/>
      <c r="AK960" s="250"/>
      <c r="AL960" s="250"/>
      <c r="AM960" s="250"/>
      <c r="AN960" s="250"/>
      <c r="AO960" s="250"/>
      <c r="AP960" s="250"/>
      <c r="AQ960" s="250"/>
      <c r="AS960" s="634"/>
      <c r="AT960" s="9"/>
      <c r="BC960" s="250"/>
      <c r="BD960" s="250"/>
      <c r="BE960" s="250"/>
    </row>
    <row r="962" spans="1:70" x14ac:dyDescent="0.2">
      <c r="A962" s="411" t="s">
        <v>194</v>
      </c>
      <c r="B962" s="13" t="s">
        <v>311</v>
      </c>
      <c r="C962" s="13"/>
      <c r="D962" s="14"/>
      <c r="E962" s="14"/>
      <c r="F962" s="14"/>
      <c r="G962" s="14"/>
      <c r="H962" s="14"/>
      <c r="I962" s="14"/>
      <c r="J962" s="14"/>
      <c r="K962" s="14"/>
      <c r="L962" s="14"/>
      <c r="M962" s="14"/>
      <c r="N962" s="14"/>
      <c r="O962" s="14"/>
      <c r="P962" s="14"/>
      <c r="Q962" s="14"/>
      <c r="R962" s="14"/>
      <c r="S962" s="14"/>
      <c r="T962" s="14"/>
      <c r="U962" s="14"/>
      <c r="V962" s="14"/>
      <c r="W962" s="14"/>
      <c r="X962" s="14"/>
      <c r="Y962" s="14"/>
      <c r="Z962" s="14"/>
      <c r="AA962" s="14"/>
      <c r="AB962" s="14"/>
      <c r="AC962" s="14"/>
      <c r="AD962" s="14"/>
      <c r="AE962" s="14"/>
      <c r="AF962" s="14"/>
      <c r="AG962" s="14"/>
      <c r="AH962" s="14"/>
      <c r="AI962" s="14"/>
      <c r="AJ962" s="14"/>
      <c r="AK962" s="14"/>
      <c r="AL962" s="14"/>
      <c r="AM962" s="14"/>
      <c r="AN962" s="14"/>
      <c r="AO962" s="14"/>
      <c r="AP962" s="14"/>
      <c r="AQ962" s="14"/>
      <c r="AS962" s="13" t="s">
        <v>311</v>
      </c>
      <c r="AT962" s="13"/>
      <c r="AU962" s="14"/>
      <c r="AV962" s="14"/>
      <c r="AW962" s="14"/>
      <c r="AX962" s="14"/>
      <c r="AY962" s="14"/>
      <c r="AZ962" s="14"/>
      <c r="BA962" s="14"/>
      <c r="BB962" s="14"/>
      <c r="BC962" s="14"/>
      <c r="BD962" s="14"/>
      <c r="BE962" s="14"/>
      <c r="BF962" s="15"/>
      <c r="BG962" s="15"/>
      <c r="BH962" s="15"/>
      <c r="BI962" s="15"/>
      <c r="BJ962" s="15"/>
      <c r="BK962" s="15"/>
      <c r="BL962" s="15"/>
    </row>
    <row r="963" spans="1:70" x14ac:dyDescent="0.2">
      <c r="AS963" s="10"/>
      <c r="AT963" s="9"/>
    </row>
    <row r="964" spans="1:70" s="674" customFormat="1" x14ac:dyDescent="0.2">
      <c r="A964" s="837"/>
      <c r="B964" s="670" t="s">
        <v>100</v>
      </c>
      <c r="C964" s="671"/>
      <c r="D964" s="671"/>
      <c r="E964" s="671"/>
      <c r="F964" s="671"/>
      <c r="G964" s="671"/>
      <c r="H964" s="671"/>
      <c r="I964" s="671"/>
      <c r="J964" s="671"/>
      <c r="K964" s="671"/>
      <c r="L964" s="671"/>
      <c r="M964" s="672"/>
      <c r="N964" s="672"/>
      <c r="O964" s="672"/>
      <c r="P964" s="672"/>
      <c r="Q964" s="672"/>
      <c r="R964" s="672"/>
      <c r="S964" s="672"/>
      <c r="T964" s="672"/>
      <c r="U964" s="672"/>
      <c r="V964" s="672"/>
      <c r="W964" s="673"/>
      <c r="X964" s="671"/>
      <c r="Y964" s="671"/>
      <c r="Z964" s="671"/>
      <c r="AA964" s="671"/>
      <c r="AB964" s="671"/>
      <c r="AC964" s="671"/>
      <c r="AD964" s="671"/>
      <c r="AE964" s="671"/>
      <c r="AF964" s="671"/>
      <c r="AG964" s="671"/>
      <c r="AH964" s="671"/>
      <c r="AI964" s="671"/>
      <c r="AJ964" s="671"/>
      <c r="AK964" s="671"/>
      <c r="AL964" s="671"/>
      <c r="AM964" s="671"/>
      <c r="AN964" s="671"/>
      <c r="AO964" s="671"/>
      <c r="AP964" s="671"/>
      <c r="AQ964" s="671"/>
      <c r="AR964" s="70"/>
      <c r="AS964" s="670" t="s">
        <v>100</v>
      </c>
      <c r="AT964" s="671"/>
      <c r="AU964" s="671"/>
      <c r="AV964" s="671"/>
      <c r="AW964" s="671"/>
      <c r="AX964" s="671"/>
      <c r="AY964" s="671"/>
      <c r="AZ964" s="671"/>
      <c r="BA964" s="671"/>
      <c r="BB964" s="671"/>
      <c r="BC964" s="671"/>
      <c r="BD964" s="671"/>
      <c r="BE964" s="672"/>
      <c r="BF964" s="1076"/>
      <c r="BG964" s="1076"/>
      <c r="BH964" s="1076"/>
      <c r="BI964" s="1076"/>
      <c r="BJ964" s="1076"/>
      <c r="BK964" s="1076"/>
      <c r="BL964" s="1076"/>
      <c r="BM964"/>
      <c r="BN964"/>
      <c r="BO964"/>
      <c r="BP964"/>
      <c r="BQ964"/>
      <c r="BR964"/>
    </row>
    <row r="965" spans="1:70" s="679" customFormat="1" x14ac:dyDescent="0.2">
      <c r="A965" s="838"/>
      <c r="B965" s="329"/>
      <c r="C965" s="675"/>
      <c r="D965" s="329"/>
      <c r="E965" s="329"/>
      <c r="F965" s="329"/>
      <c r="G965" s="329"/>
      <c r="H965" s="329"/>
      <c r="I965" s="329"/>
      <c r="J965" s="329"/>
      <c r="K965" s="329"/>
      <c r="L965" s="329"/>
      <c r="M965" s="676"/>
      <c r="N965" s="676"/>
      <c r="O965" s="677"/>
      <c r="P965" s="676"/>
      <c r="Q965" s="676"/>
      <c r="R965" s="676"/>
      <c r="S965" s="676"/>
      <c r="T965" s="676"/>
      <c r="U965" s="676"/>
      <c r="V965" s="678"/>
      <c r="W965" s="329"/>
      <c r="X965" s="329"/>
      <c r="Y965" s="675"/>
      <c r="Z965" s="675"/>
      <c r="AA965" s="675"/>
      <c r="AB965" s="675"/>
      <c r="AC965" s="675"/>
      <c r="AD965" s="675"/>
      <c r="AE965" s="675"/>
      <c r="AF965" s="675"/>
      <c r="AG965" s="675"/>
      <c r="AH965" s="675"/>
      <c r="AI965" s="675"/>
      <c r="AJ965" s="675"/>
      <c r="AK965" s="675"/>
      <c r="AL965" s="675"/>
      <c r="AM965" s="675"/>
      <c r="AN965" s="675"/>
      <c r="AO965" s="675"/>
      <c r="AP965" s="675"/>
      <c r="AQ965" s="675"/>
      <c r="AR965" s="70"/>
      <c r="AS965" s="329"/>
      <c r="AT965" s="675"/>
      <c r="BM965"/>
      <c r="BN965"/>
      <c r="BO965"/>
      <c r="BP965"/>
      <c r="BQ965"/>
      <c r="BR965"/>
    </row>
    <row r="966" spans="1:70" s="679" customFormat="1" x14ac:dyDescent="0.2">
      <c r="A966" s="838"/>
      <c r="B966" s="680" t="s">
        <v>76</v>
      </c>
      <c r="C966" s="675"/>
      <c r="D966" s="329"/>
      <c r="E966" s="329"/>
      <c r="F966" s="329"/>
      <c r="G966" s="329"/>
      <c r="H966" s="329"/>
      <c r="I966" s="329"/>
      <c r="J966" s="329"/>
      <c r="K966" s="329"/>
      <c r="L966" s="329"/>
      <c r="M966" s="677"/>
      <c r="N966" s="677"/>
      <c r="O966" s="677"/>
      <c r="P966" s="676"/>
      <c r="Q966" s="676"/>
      <c r="R966" s="676"/>
      <c r="S966" s="676"/>
      <c r="T966" s="676"/>
      <c r="U966" s="676"/>
      <c r="V966" s="678"/>
      <c r="W966" s="329"/>
      <c r="X966" s="329"/>
      <c r="Y966" s="675"/>
      <c r="Z966" s="675"/>
      <c r="AA966" s="675"/>
      <c r="AB966" s="675"/>
      <c r="AC966" s="675"/>
      <c r="AD966" s="675"/>
      <c r="AE966" s="675"/>
      <c r="AF966" s="675"/>
      <c r="AG966" s="675"/>
      <c r="AH966" s="675"/>
      <c r="AI966" s="675"/>
      <c r="AJ966" s="675"/>
      <c r="AK966" s="675"/>
      <c r="AL966" s="675"/>
      <c r="AM966" s="675"/>
      <c r="AN966" s="675"/>
      <c r="AO966" s="675"/>
      <c r="AP966" s="675"/>
      <c r="AQ966" s="675"/>
      <c r="AR966" s="70"/>
      <c r="AS966" s="680" t="s">
        <v>76</v>
      </c>
      <c r="AT966" s="675"/>
      <c r="BM966"/>
      <c r="BN966"/>
      <c r="BO966"/>
      <c r="BP966"/>
      <c r="BQ966"/>
      <c r="BR966"/>
    </row>
    <row r="967" spans="1:70" s="679" customFormat="1" x14ac:dyDescent="0.2">
      <c r="A967" s="838"/>
      <c r="B967" s="675" t="s">
        <v>92</v>
      </c>
      <c r="C967" s="675"/>
      <c r="D967" s="77">
        <f t="shared" ref="D967:AE967" si="2245">D232</f>
        <v>109.4</v>
      </c>
      <c r="E967" s="77">
        <f t="shared" si="2245"/>
        <v>109.30000000000001</v>
      </c>
      <c r="F967" s="77">
        <f t="shared" si="2245"/>
        <v>108.80000000000001</v>
      </c>
      <c r="G967" s="77">
        <f t="shared" si="2245"/>
        <v>111.5</v>
      </c>
      <c r="H967" s="77">
        <f t="shared" si="2245"/>
        <v>104.6</v>
      </c>
      <c r="I967" s="77">
        <f t="shared" si="2245"/>
        <v>105.3</v>
      </c>
      <c r="J967" s="77">
        <f t="shared" si="2245"/>
        <v>111.8</v>
      </c>
      <c r="K967" s="77">
        <f t="shared" si="2245"/>
        <v>116.8</v>
      </c>
      <c r="L967" s="77">
        <f t="shared" si="2245"/>
        <v>109.1</v>
      </c>
      <c r="M967" s="77">
        <f t="shared" si="2245"/>
        <v>110.4</v>
      </c>
      <c r="N967" s="77">
        <f t="shared" si="2245"/>
        <v>109.5</v>
      </c>
      <c r="O967" s="77">
        <f t="shared" si="2245"/>
        <v>114</v>
      </c>
      <c r="P967" s="77">
        <f t="shared" si="2245"/>
        <v>105.9</v>
      </c>
      <c r="Q967" s="77">
        <f t="shared" si="2245"/>
        <v>107.7</v>
      </c>
      <c r="R967" s="77">
        <f t="shared" si="2245"/>
        <v>107.9</v>
      </c>
      <c r="S967" s="77">
        <f t="shared" si="2245"/>
        <v>113.30000000000001</v>
      </c>
      <c r="T967" s="77">
        <f t="shared" si="2245"/>
        <v>107.4</v>
      </c>
      <c r="U967" s="77">
        <f t="shared" si="2245"/>
        <v>120.8</v>
      </c>
      <c r="V967" s="77">
        <f t="shared" si="2245"/>
        <v>125.19999999999999</v>
      </c>
      <c r="W967" s="77">
        <f t="shared" si="2245"/>
        <v>133.30000000000001</v>
      </c>
      <c r="X967" s="77">
        <f t="shared" si="2245"/>
        <v>126.4</v>
      </c>
      <c r="Y967" s="77">
        <f t="shared" ref="Y967:Z967" si="2246">Y232</f>
        <v>130.80000000000001</v>
      </c>
      <c r="Z967" s="77">
        <f t="shared" si="2246"/>
        <v>132.19999999999999</v>
      </c>
      <c r="AA967" s="77">
        <f t="shared" ref="AA967:AB967" si="2247">AA232</f>
        <v>139.69999999999999</v>
      </c>
      <c r="AB967" s="77">
        <f t="shared" si="2247"/>
        <v>131.69999999999999</v>
      </c>
      <c r="AC967" s="77">
        <f t="shared" si="2245"/>
        <v>131.93</v>
      </c>
      <c r="AD967" s="77">
        <f t="shared" si="2245"/>
        <v>133.48044999999999</v>
      </c>
      <c r="AE967" s="77">
        <f t="shared" si="2245"/>
        <v>136.150059</v>
      </c>
      <c r="AF967" s="77">
        <f t="shared" ref="AF967:AI967" si="2248">AF232</f>
        <v>135.02786800499999</v>
      </c>
      <c r="AG967" s="77">
        <f t="shared" si="2248"/>
        <v>135.31360366142999</v>
      </c>
      <c r="AH967" s="77">
        <f t="shared" si="2248"/>
        <v>137.78033400935144</v>
      </c>
      <c r="AI967" s="77">
        <f t="shared" si="2248"/>
        <v>141.6706091784452</v>
      </c>
      <c r="AJ967" s="77"/>
      <c r="AK967" s="77"/>
      <c r="AL967" s="77"/>
      <c r="AM967" s="77"/>
      <c r="AN967" s="77"/>
      <c r="AO967" s="77"/>
      <c r="AP967" s="77"/>
      <c r="AQ967" s="77"/>
      <c r="AR967" s="70"/>
      <c r="AS967" s="675" t="s">
        <v>92</v>
      </c>
      <c r="AT967" s="675"/>
      <c r="AU967" s="467">
        <f>G967</f>
        <v>111.5</v>
      </c>
      <c r="AV967" s="467">
        <f>K967</f>
        <v>116.8</v>
      </c>
      <c r="AW967" s="467">
        <f>O967</f>
        <v>114</v>
      </c>
      <c r="AX967" s="467">
        <f>S967</f>
        <v>113.30000000000001</v>
      </c>
      <c r="AY967" s="467">
        <f>W967</f>
        <v>133.30000000000001</v>
      </c>
      <c r="AZ967" s="467">
        <f>AA967</f>
        <v>139.69999999999999</v>
      </c>
      <c r="BA967" s="467">
        <f>AE967</f>
        <v>136.150059</v>
      </c>
      <c r="BB967" s="467">
        <f>AI967</f>
        <v>141.6706091784452</v>
      </c>
      <c r="BC967" s="77">
        <f>BC232</f>
        <v>147.33743354558305</v>
      </c>
      <c r="BD967" s="77">
        <f>BD232</f>
        <v>153.23093088740637</v>
      </c>
      <c r="BE967" s="77">
        <f>BE232</f>
        <v>159.36016812290262</v>
      </c>
      <c r="BM967"/>
      <c r="BN967"/>
      <c r="BO967"/>
      <c r="BP967"/>
      <c r="BQ967"/>
      <c r="BR967"/>
    </row>
    <row r="968" spans="1:70" s="679" customFormat="1" x14ac:dyDescent="0.2">
      <c r="A968" s="838"/>
      <c r="B968" s="675" t="s">
        <v>74</v>
      </c>
      <c r="C968" s="675"/>
      <c r="D968" s="77">
        <f t="shared" ref="D968:AE968" si="2249">D228</f>
        <v>40.6</v>
      </c>
      <c r="E968" s="77">
        <f t="shared" si="2249"/>
        <v>40.900000000000006</v>
      </c>
      <c r="F968" s="77">
        <f t="shared" si="2249"/>
        <v>41.5</v>
      </c>
      <c r="G968" s="77">
        <f t="shared" si="2249"/>
        <v>42.7</v>
      </c>
      <c r="H968" s="77">
        <f t="shared" si="2249"/>
        <v>43.199999999999996</v>
      </c>
      <c r="I968" s="77">
        <f t="shared" si="2249"/>
        <v>41.800000000000004</v>
      </c>
      <c r="J968" s="77">
        <f t="shared" si="2249"/>
        <v>43.300000000000004</v>
      </c>
      <c r="K968" s="77">
        <f t="shared" si="2249"/>
        <v>44.3</v>
      </c>
      <c r="L968" s="77">
        <f t="shared" si="2249"/>
        <v>45.199999999999996</v>
      </c>
      <c r="M968" s="77">
        <f t="shared" si="2249"/>
        <v>46.4</v>
      </c>
      <c r="N968" s="77">
        <f t="shared" si="2249"/>
        <v>47.800000000000004</v>
      </c>
      <c r="O968" s="77">
        <f t="shared" si="2249"/>
        <v>47.1</v>
      </c>
      <c r="P968" s="77">
        <f t="shared" si="2249"/>
        <v>48.099999999999994</v>
      </c>
      <c r="Q968" s="77">
        <f t="shared" si="2249"/>
        <v>49.199999999999996</v>
      </c>
      <c r="R968" s="77">
        <f t="shared" si="2249"/>
        <v>51</v>
      </c>
      <c r="S968" s="77">
        <f t="shared" si="2249"/>
        <v>52.2</v>
      </c>
      <c r="T968" s="77">
        <f t="shared" si="2249"/>
        <v>53.5</v>
      </c>
      <c r="U968" s="77">
        <f t="shared" si="2249"/>
        <v>54.800000000000004</v>
      </c>
      <c r="V968" s="77">
        <f t="shared" si="2249"/>
        <v>54.8</v>
      </c>
      <c r="W968" s="77">
        <f t="shared" si="2249"/>
        <v>55.300000000000004</v>
      </c>
      <c r="X968" s="77">
        <f t="shared" si="2249"/>
        <v>55.5</v>
      </c>
      <c r="Y968" s="77">
        <f t="shared" ref="Y968:Z968" si="2250">Y228</f>
        <v>55.6</v>
      </c>
      <c r="Z968" s="77">
        <f t="shared" si="2250"/>
        <v>55.7</v>
      </c>
      <c r="AA968" s="77">
        <f t="shared" ref="AA968:AB968" si="2251">AA228</f>
        <v>56</v>
      </c>
      <c r="AB968" s="77">
        <f t="shared" si="2251"/>
        <v>55.400000000000006</v>
      </c>
      <c r="AC968" s="77">
        <f t="shared" si="2249"/>
        <v>55.954000000000008</v>
      </c>
      <c r="AD968" s="77">
        <f t="shared" si="2249"/>
        <v>56.513540000000006</v>
      </c>
      <c r="AE968" s="77">
        <f t="shared" si="2249"/>
        <v>57.643810800000004</v>
      </c>
      <c r="AF968" s="77">
        <f t="shared" ref="AF968:AI968" si="2252">AF228</f>
        <v>58.220248908000002</v>
      </c>
      <c r="AG968" s="77">
        <f t="shared" si="2252"/>
        <v>59.384653886160002</v>
      </c>
      <c r="AH968" s="77">
        <f t="shared" si="2252"/>
        <v>59.978500425021601</v>
      </c>
      <c r="AI968" s="77">
        <f t="shared" si="2252"/>
        <v>61.178070433522031</v>
      </c>
      <c r="AJ968" s="77"/>
      <c r="AK968" s="77"/>
      <c r="AL968" s="77"/>
      <c r="AM968" s="77"/>
      <c r="AN968" s="77"/>
      <c r="AO968" s="77"/>
      <c r="AP968" s="77"/>
      <c r="AQ968" s="77"/>
      <c r="AR968" s="70"/>
      <c r="AS968" s="675" t="s">
        <v>74</v>
      </c>
      <c r="AT968" s="675"/>
      <c r="AU968" s="467">
        <f>G968</f>
        <v>42.7</v>
      </c>
      <c r="AV968" s="467">
        <f>K968</f>
        <v>44.3</v>
      </c>
      <c r="AW968" s="467">
        <f>O968</f>
        <v>47.1</v>
      </c>
      <c r="AX968" s="467">
        <f>S968</f>
        <v>52.2</v>
      </c>
      <c r="AY968" s="467">
        <f>W968</f>
        <v>55.300000000000004</v>
      </c>
      <c r="AZ968" s="467">
        <f>AA968</f>
        <v>56</v>
      </c>
      <c r="BA968" s="467">
        <f>AE968</f>
        <v>57.643810800000004</v>
      </c>
      <c r="BB968" s="467">
        <f>AI968</f>
        <v>61.178070433522031</v>
      </c>
      <c r="BC968" s="77">
        <f>BC228</f>
        <v>64.848754659533384</v>
      </c>
      <c r="BD968" s="77">
        <f>BD228</f>
        <v>68.091192392510052</v>
      </c>
      <c r="BE968" s="77">
        <f>BE228</f>
        <v>71.495752012135554</v>
      </c>
      <c r="BM968"/>
      <c r="BN968"/>
      <c r="BO968"/>
      <c r="BP968"/>
      <c r="BQ968"/>
      <c r="BR968"/>
    </row>
    <row r="969" spans="1:70" s="674" customFormat="1" x14ac:dyDescent="0.2">
      <c r="A969" s="837"/>
      <c r="B969" s="329"/>
      <c r="C969" s="329" t="s">
        <v>314</v>
      </c>
      <c r="D969" s="681">
        <f t="shared" ref="D969:AE969" si="2253">SUM(D967:D968)</f>
        <v>150</v>
      </c>
      <c r="E969" s="681">
        <f t="shared" si="2253"/>
        <v>150.20000000000002</v>
      </c>
      <c r="F969" s="681">
        <f t="shared" si="2253"/>
        <v>150.30000000000001</v>
      </c>
      <c r="G969" s="681">
        <f t="shared" si="2253"/>
        <v>154.19999999999999</v>
      </c>
      <c r="H969" s="681">
        <f t="shared" si="2253"/>
        <v>147.79999999999998</v>
      </c>
      <c r="I969" s="681">
        <f t="shared" si="2253"/>
        <v>147.1</v>
      </c>
      <c r="J969" s="681">
        <f t="shared" si="2253"/>
        <v>155.1</v>
      </c>
      <c r="K969" s="681">
        <f t="shared" si="2253"/>
        <v>161.1</v>
      </c>
      <c r="L969" s="681">
        <f t="shared" si="2253"/>
        <v>154.29999999999998</v>
      </c>
      <c r="M969" s="681">
        <f t="shared" si="2253"/>
        <v>156.80000000000001</v>
      </c>
      <c r="N969" s="681">
        <f t="shared" si="2253"/>
        <v>157.30000000000001</v>
      </c>
      <c r="O969" s="681">
        <f t="shared" si="2253"/>
        <v>161.1</v>
      </c>
      <c r="P969" s="681">
        <f t="shared" si="2253"/>
        <v>154</v>
      </c>
      <c r="Q969" s="681">
        <f t="shared" si="2253"/>
        <v>156.9</v>
      </c>
      <c r="R969" s="681">
        <f t="shared" si="2253"/>
        <v>158.9</v>
      </c>
      <c r="S969" s="681">
        <f t="shared" si="2253"/>
        <v>165.5</v>
      </c>
      <c r="T969" s="681">
        <f t="shared" si="2253"/>
        <v>160.9</v>
      </c>
      <c r="U969" s="681">
        <f t="shared" si="2253"/>
        <v>175.6</v>
      </c>
      <c r="V969" s="681">
        <f t="shared" si="2253"/>
        <v>180</v>
      </c>
      <c r="W969" s="681">
        <f t="shared" si="2253"/>
        <v>188.60000000000002</v>
      </c>
      <c r="X969" s="681">
        <f t="shared" si="2253"/>
        <v>181.9</v>
      </c>
      <c r="Y969" s="681">
        <f t="shared" ref="Y969:Z969" si="2254">SUM(Y967:Y968)</f>
        <v>186.4</v>
      </c>
      <c r="Z969" s="681">
        <f t="shared" si="2254"/>
        <v>187.89999999999998</v>
      </c>
      <c r="AA969" s="681">
        <f t="shared" ref="AA969:AB969" si="2255">SUM(AA967:AA968)</f>
        <v>195.7</v>
      </c>
      <c r="AB969" s="681">
        <f t="shared" si="2255"/>
        <v>187.1</v>
      </c>
      <c r="AC969" s="681">
        <f t="shared" si="2253"/>
        <v>187.88400000000001</v>
      </c>
      <c r="AD969" s="681">
        <f t="shared" si="2253"/>
        <v>189.99399</v>
      </c>
      <c r="AE969" s="681">
        <f t="shared" si="2253"/>
        <v>193.79386980000001</v>
      </c>
      <c r="AF969" s="681">
        <f t="shared" ref="AF969:AI969" si="2256">SUM(AF967:AF968)</f>
        <v>193.24811691299999</v>
      </c>
      <c r="AG969" s="681">
        <f t="shared" si="2256"/>
        <v>194.69825754759</v>
      </c>
      <c r="AH969" s="681">
        <f t="shared" si="2256"/>
        <v>197.75883443437303</v>
      </c>
      <c r="AI969" s="681">
        <f t="shared" si="2256"/>
        <v>202.84867961196724</v>
      </c>
      <c r="AJ969" s="381"/>
      <c r="AK969" s="381"/>
      <c r="AL969" s="381"/>
      <c r="AM969" s="381"/>
      <c r="AN969" s="381"/>
      <c r="AO969" s="381"/>
      <c r="AP969" s="381"/>
      <c r="AQ969" s="381"/>
      <c r="AR969" s="70"/>
      <c r="AS969" s="329"/>
      <c r="AT969" s="329" t="s">
        <v>314</v>
      </c>
      <c r="AU969" s="681">
        <f>G969</f>
        <v>154.19999999999999</v>
      </c>
      <c r="AV969" s="681">
        <f>K969</f>
        <v>161.1</v>
      </c>
      <c r="AW969" s="681">
        <f>O969</f>
        <v>161.1</v>
      </c>
      <c r="AX969" s="681">
        <f>S969</f>
        <v>165.5</v>
      </c>
      <c r="AY969" s="681">
        <f>W969</f>
        <v>188.60000000000002</v>
      </c>
      <c r="AZ969" s="681">
        <f>AA969</f>
        <v>195.7</v>
      </c>
      <c r="BA969" s="681">
        <f>AE969</f>
        <v>193.79386980000001</v>
      </c>
      <c r="BB969" s="681">
        <f>AI969</f>
        <v>202.84867961196724</v>
      </c>
      <c r="BC969" s="681">
        <f>SUM(BC967:BC968)</f>
        <v>212.18618820511642</v>
      </c>
      <c r="BD969" s="681">
        <f>SUM(BD967:BD968)</f>
        <v>221.32212327991641</v>
      </c>
      <c r="BE969" s="681">
        <f>SUM(BE967:BE968)</f>
        <v>230.85592013503816</v>
      </c>
      <c r="BM969"/>
      <c r="BN969"/>
      <c r="BO969"/>
      <c r="BP969"/>
      <c r="BQ969"/>
      <c r="BR969"/>
    </row>
    <row r="970" spans="1:70" s="674" customFormat="1" x14ac:dyDescent="0.2">
      <c r="A970" s="837"/>
      <c r="B970" s="329"/>
      <c r="C970" s="329"/>
      <c r="D970" s="682"/>
      <c r="E970" s="682"/>
      <c r="F970" s="682"/>
      <c r="G970" s="682"/>
      <c r="H970" s="682"/>
      <c r="I970" s="682"/>
      <c r="J970" s="682"/>
      <c r="K970" s="682"/>
      <c r="L970" s="682"/>
      <c r="M970" s="682"/>
      <c r="N970" s="682"/>
      <c r="O970" s="682"/>
      <c r="P970" s="682"/>
      <c r="Q970" s="682"/>
      <c r="R970" s="682"/>
      <c r="S970" s="682"/>
      <c r="T970" s="682"/>
      <c r="U970" s="682"/>
      <c r="V970" s="682"/>
      <c r="W970" s="682"/>
      <c r="X970" s="682"/>
      <c r="Y970" s="682"/>
      <c r="Z970" s="682"/>
      <c r="AA970" s="682"/>
      <c r="AB970" s="682"/>
      <c r="AC970" s="329"/>
      <c r="AD970" s="329"/>
      <c r="AE970" s="329"/>
      <c r="AF970" s="329"/>
      <c r="AG970" s="329"/>
      <c r="AH970" s="329"/>
      <c r="AI970" s="329"/>
      <c r="AJ970" s="329"/>
      <c r="AK970" s="329"/>
      <c r="AL970" s="329"/>
      <c r="AM970" s="329"/>
      <c r="AN970" s="329"/>
      <c r="AO970" s="329"/>
      <c r="AP970" s="329"/>
      <c r="AQ970" s="329"/>
      <c r="AR970" s="70"/>
      <c r="AS970" s="329"/>
      <c r="AT970" s="329"/>
      <c r="BC970" s="329"/>
      <c r="BD970" s="329"/>
      <c r="BE970" s="329"/>
      <c r="BM970"/>
      <c r="BN970"/>
      <c r="BO970"/>
      <c r="BP970"/>
      <c r="BQ970"/>
      <c r="BR970"/>
    </row>
    <row r="971" spans="1:70" s="679" customFormat="1" x14ac:dyDescent="0.2">
      <c r="A971" s="838"/>
      <c r="B971" s="680" t="s">
        <v>5</v>
      </c>
      <c r="C971" s="675"/>
      <c r="D971" s="676"/>
      <c r="E971" s="676"/>
      <c r="F971" s="676"/>
      <c r="G971" s="676"/>
      <c r="H971" s="676"/>
      <c r="I971" s="676"/>
      <c r="J971" s="676"/>
      <c r="K971" s="676"/>
      <c r="L971" s="676"/>
      <c r="M971" s="676"/>
      <c r="N971" s="676"/>
      <c r="O971" s="676"/>
      <c r="P971" s="676"/>
      <c r="Q971" s="676"/>
      <c r="R971" s="676"/>
      <c r="S971" s="676"/>
      <c r="T971" s="676"/>
      <c r="U971" s="676"/>
      <c r="V971" s="676"/>
      <c r="W971" s="676"/>
      <c r="X971" s="676"/>
      <c r="Y971" s="676"/>
      <c r="Z971" s="676"/>
      <c r="AA971" s="676"/>
      <c r="AB971" s="676"/>
      <c r="AC971" s="675"/>
      <c r="AD971" s="675"/>
      <c r="AE971" s="675"/>
      <c r="AF971" s="675"/>
      <c r="AG971" s="675"/>
      <c r="AH971" s="675"/>
      <c r="AI971" s="675"/>
      <c r="AJ971" s="675"/>
      <c r="AK971" s="675"/>
      <c r="AL971" s="675"/>
      <c r="AM971" s="675"/>
      <c r="AN971" s="675"/>
      <c r="AO971" s="675"/>
      <c r="AP971" s="675"/>
      <c r="AQ971" s="675"/>
      <c r="AR971" s="70"/>
      <c r="AS971" s="680" t="s">
        <v>5</v>
      </c>
      <c r="AT971" s="675"/>
      <c r="BC971" s="675"/>
      <c r="BD971" s="675"/>
      <c r="BE971" s="675"/>
      <c r="BM971"/>
      <c r="BN971"/>
      <c r="BO971"/>
      <c r="BP971"/>
      <c r="BQ971"/>
      <c r="BR971"/>
    </row>
    <row r="972" spans="1:70" s="679" customFormat="1" x14ac:dyDescent="0.2">
      <c r="A972" s="838"/>
      <c r="B972" s="675" t="s">
        <v>92</v>
      </c>
      <c r="C972" s="675"/>
      <c r="D972" s="77">
        <f t="shared" ref="D972:AE972" si="2257">D338</f>
        <v>6</v>
      </c>
      <c r="E972" s="77">
        <f t="shared" si="2257"/>
        <v>5.9</v>
      </c>
      <c r="F972" s="77">
        <f t="shared" si="2257"/>
        <v>6.3</v>
      </c>
      <c r="G972" s="77">
        <f t="shared" si="2257"/>
        <v>6.6</v>
      </c>
      <c r="H972" s="77">
        <f t="shared" si="2257"/>
        <v>7.1</v>
      </c>
      <c r="I972" s="77">
        <f t="shared" si="2257"/>
        <v>7</v>
      </c>
      <c r="J972" s="77">
        <f t="shared" si="2257"/>
        <v>7.1</v>
      </c>
      <c r="K972" s="77">
        <f t="shared" si="2257"/>
        <v>7.4</v>
      </c>
      <c r="L972" s="77">
        <f t="shared" si="2257"/>
        <v>7.2</v>
      </c>
      <c r="M972" s="77">
        <f t="shared" si="2257"/>
        <v>7.4</v>
      </c>
      <c r="N972" s="77">
        <f t="shared" si="2257"/>
        <v>7.3</v>
      </c>
      <c r="O972" s="77">
        <f t="shared" si="2257"/>
        <v>6.7</v>
      </c>
      <c r="P972" s="77">
        <f t="shared" si="2257"/>
        <v>6.1</v>
      </c>
      <c r="Q972" s="77">
        <f t="shared" si="2257"/>
        <v>5.9</v>
      </c>
      <c r="R972" s="77">
        <f t="shared" si="2257"/>
        <v>5.4</v>
      </c>
      <c r="S972" s="77">
        <f t="shared" si="2257"/>
        <v>5.4</v>
      </c>
      <c r="T972" s="77">
        <f t="shared" si="2257"/>
        <v>5.3</v>
      </c>
      <c r="U972" s="77">
        <f t="shared" si="2257"/>
        <v>5</v>
      </c>
      <c r="V972" s="77">
        <f t="shared" si="2257"/>
        <v>4.9000000000000004</v>
      </c>
      <c r="W972" s="77">
        <f t="shared" si="2257"/>
        <v>4.8</v>
      </c>
      <c r="X972" s="77">
        <f t="shared" si="2257"/>
        <v>5.2</v>
      </c>
      <c r="Y972" s="77">
        <f t="shared" ref="Y972:Z972" si="2258">Y338</f>
        <v>5.5</v>
      </c>
      <c r="Z972" s="77">
        <f t="shared" si="2258"/>
        <v>5.6</v>
      </c>
      <c r="AA972" s="77">
        <f t="shared" ref="AA972:AB972" si="2259">AA338</f>
        <v>5.4</v>
      </c>
      <c r="AB972" s="77">
        <f t="shared" si="2259"/>
        <v>5.7</v>
      </c>
      <c r="AC972" s="77">
        <f t="shared" si="2257"/>
        <v>5.5860000000000003</v>
      </c>
      <c r="AD972" s="77">
        <f t="shared" si="2257"/>
        <v>5.725649999999999</v>
      </c>
      <c r="AE972" s="77">
        <f t="shared" si="2257"/>
        <v>5.9260477499999986</v>
      </c>
      <c r="AF972" s="77">
        <f t="shared" ref="AF972:AI972" si="2260">AF338</f>
        <v>5.8075267949999994</v>
      </c>
      <c r="AG972" s="77">
        <f t="shared" si="2260"/>
        <v>5.9236773308999995</v>
      </c>
      <c r="AH972" s="77">
        <f t="shared" si="2260"/>
        <v>6.0125324908634994</v>
      </c>
      <c r="AI972" s="77">
        <f t="shared" si="2260"/>
        <v>6.2229711280437217</v>
      </c>
      <c r="AJ972" s="77"/>
      <c r="AK972" s="77"/>
      <c r="AL972" s="77"/>
      <c r="AM972" s="77"/>
      <c r="AN972" s="77"/>
      <c r="AO972" s="77"/>
      <c r="AP972" s="77"/>
      <c r="AQ972" s="77"/>
      <c r="AR972" s="70"/>
      <c r="AS972" s="675" t="s">
        <v>92</v>
      </c>
      <c r="AT972" s="675"/>
      <c r="AU972" s="467">
        <f>G972</f>
        <v>6.6</v>
      </c>
      <c r="AV972" s="467">
        <f>K972</f>
        <v>7.4</v>
      </c>
      <c r="AW972" s="467">
        <f>O972</f>
        <v>6.7</v>
      </c>
      <c r="AX972" s="467">
        <f>S972</f>
        <v>5.4</v>
      </c>
      <c r="AY972" s="467">
        <f>W972</f>
        <v>4.8</v>
      </c>
      <c r="AZ972" s="467">
        <f>AA972</f>
        <v>5.4</v>
      </c>
      <c r="BA972" s="467">
        <f>AE972</f>
        <v>5.9260477499999986</v>
      </c>
      <c r="BB972" s="467">
        <f>AI972</f>
        <v>6.2229711280437217</v>
      </c>
      <c r="BC972" s="77">
        <f>BC338</f>
        <v>6.5341196844459075</v>
      </c>
      <c r="BD972" s="77">
        <f>BD338</f>
        <v>6.8608256686682036</v>
      </c>
      <c r="BE972" s="77">
        <f>BE338</f>
        <v>7.2038669521016141</v>
      </c>
      <c r="BM972"/>
      <c r="BN972"/>
      <c r="BO972"/>
      <c r="BP972"/>
      <c r="BQ972"/>
      <c r="BR972"/>
    </row>
    <row r="973" spans="1:70" s="679" customFormat="1" x14ac:dyDescent="0.2">
      <c r="A973" s="838"/>
      <c r="B973" s="675" t="s">
        <v>74</v>
      </c>
      <c r="C973" s="675"/>
      <c r="D973" s="77">
        <f t="shared" ref="D973:AE973" si="2261">D336</f>
        <v>19.8</v>
      </c>
      <c r="E973" s="77">
        <f t="shared" si="2261"/>
        <v>19.600000000000001</v>
      </c>
      <c r="F973" s="77">
        <f t="shared" si="2261"/>
        <v>21</v>
      </c>
      <c r="G973" s="77">
        <f t="shared" si="2261"/>
        <v>21.7</v>
      </c>
      <c r="H973" s="77">
        <f t="shared" si="2261"/>
        <v>23.4</v>
      </c>
      <c r="I973" s="77">
        <f t="shared" si="2261"/>
        <v>22.8</v>
      </c>
      <c r="J973" s="77">
        <f t="shared" si="2261"/>
        <v>22.200000000000003</v>
      </c>
      <c r="K973" s="77">
        <f t="shared" si="2261"/>
        <v>23.5</v>
      </c>
      <c r="L973" s="77">
        <f t="shared" si="2261"/>
        <v>23.1</v>
      </c>
      <c r="M973" s="77">
        <f t="shared" si="2261"/>
        <v>23.5</v>
      </c>
      <c r="N973" s="77">
        <f t="shared" si="2261"/>
        <v>22.8</v>
      </c>
      <c r="O973" s="77">
        <f t="shared" si="2261"/>
        <v>21</v>
      </c>
      <c r="P973" s="77">
        <f t="shared" si="2261"/>
        <v>20.799999999999997</v>
      </c>
      <c r="Q973" s="77">
        <f t="shared" si="2261"/>
        <v>20.8</v>
      </c>
      <c r="R973" s="77">
        <f t="shared" si="2261"/>
        <v>19.5</v>
      </c>
      <c r="S973" s="77">
        <f t="shared" si="2261"/>
        <v>19.700000000000003</v>
      </c>
      <c r="T973" s="77">
        <f t="shared" si="2261"/>
        <v>19.8</v>
      </c>
      <c r="U973" s="77">
        <f t="shared" si="2261"/>
        <v>19.100000000000001</v>
      </c>
      <c r="V973" s="77">
        <f t="shared" si="2261"/>
        <v>18.7</v>
      </c>
      <c r="W973" s="77">
        <f t="shared" si="2261"/>
        <v>18</v>
      </c>
      <c r="X973" s="77">
        <f t="shared" si="2261"/>
        <v>19.7</v>
      </c>
      <c r="Y973" s="77">
        <f t="shared" ref="Y973:Z973" si="2262">Y336</f>
        <v>21</v>
      </c>
      <c r="Z973" s="77">
        <f t="shared" si="2262"/>
        <v>21</v>
      </c>
      <c r="AA973" s="77">
        <f t="shared" ref="AA973:AB973" si="2263">AA336</f>
        <v>19.899999999999999</v>
      </c>
      <c r="AB973" s="77">
        <f t="shared" si="2263"/>
        <v>21.2</v>
      </c>
      <c r="AC973" s="77">
        <f t="shared" si="2261"/>
        <v>21.411999999999999</v>
      </c>
      <c r="AD973" s="77">
        <f t="shared" si="2261"/>
        <v>21.733179999999997</v>
      </c>
      <c r="AE973" s="77">
        <f t="shared" si="2261"/>
        <v>22.167843599999998</v>
      </c>
      <c r="AF973" s="77">
        <f t="shared" ref="AF973:AI973" si="2264">AF336</f>
        <v>21.946165163999996</v>
      </c>
      <c r="AG973" s="77">
        <f t="shared" si="2264"/>
        <v>22.165626815639996</v>
      </c>
      <c r="AH973" s="77">
        <f t="shared" si="2264"/>
        <v>22.498111217874595</v>
      </c>
      <c r="AI973" s="77">
        <f t="shared" si="2264"/>
        <v>22.94807344223209</v>
      </c>
      <c r="AJ973" s="77"/>
      <c r="AK973" s="77"/>
      <c r="AL973" s="77"/>
      <c r="AM973" s="77"/>
      <c r="AN973" s="77"/>
      <c r="AO973" s="77"/>
      <c r="AP973" s="77"/>
      <c r="AQ973" s="77"/>
      <c r="AR973" s="70"/>
      <c r="AS973" s="675" t="s">
        <v>74</v>
      </c>
      <c r="AT973" s="675"/>
      <c r="AU973" s="467">
        <f>G973</f>
        <v>21.7</v>
      </c>
      <c r="AV973" s="467">
        <f>K973</f>
        <v>23.5</v>
      </c>
      <c r="AW973" s="467">
        <f>O973</f>
        <v>21</v>
      </c>
      <c r="AX973" s="467">
        <f>S973</f>
        <v>19.700000000000003</v>
      </c>
      <c r="AY973" s="467">
        <f>W973</f>
        <v>18</v>
      </c>
      <c r="AZ973" s="467">
        <f>AA973</f>
        <v>19.899999999999999</v>
      </c>
      <c r="BA973" s="467">
        <f>AE973</f>
        <v>22.167843599999998</v>
      </c>
      <c r="BB973" s="467">
        <f>AI973</f>
        <v>22.94807344223209</v>
      </c>
      <c r="BC973" s="77">
        <f>BC336</f>
        <v>23.865996379921373</v>
      </c>
      <c r="BD973" s="77">
        <f>BD336</f>
        <v>24.820636235118233</v>
      </c>
      <c r="BE973" s="77">
        <f>BE336</f>
        <v>25.813461684522967</v>
      </c>
      <c r="BM973"/>
      <c r="BN973"/>
      <c r="BO973"/>
      <c r="BP973"/>
      <c r="BQ973"/>
      <c r="BR973"/>
    </row>
    <row r="974" spans="1:70" s="674" customFormat="1" x14ac:dyDescent="0.2">
      <c r="A974" s="837"/>
      <c r="B974" s="329"/>
      <c r="C974" s="329" t="s">
        <v>313</v>
      </c>
      <c r="D974" s="681">
        <f t="shared" ref="D974:AE974" si="2265">SUM(D972:D973)</f>
        <v>25.8</v>
      </c>
      <c r="E974" s="681">
        <f t="shared" si="2265"/>
        <v>25.5</v>
      </c>
      <c r="F974" s="681">
        <f t="shared" si="2265"/>
        <v>27.3</v>
      </c>
      <c r="G974" s="681">
        <f t="shared" si="2265"/>
        <v>28.299999999999997</v>
      </c>
      <c r="H974" s="681">
        <f t="shared" si="2265"/>
        <v>30.5</v>
      </c>
      <c r="I974" s="681">
        <f t="shared" si="2265"/>
        <v>29.8</v>
      </c>
      <c r="J974" s="681">
        <f t="shared" si="2265"/>
        <v>29.300000000000004</v>
      </c>
      <c r="K974" s="681">
        <f t="shared" si="2265"/>
        <v>30.9</v>
      </c>
      <c r="L974" s="681">
        <f t="shared" si="2265"/>
        <v>30.3</v>
      </c>
      <c r="M974" s="681">
        <f t="shared" si="2265"/>
        <v>30.9</v>
      </c>
      <c r="N974" s="681">
        <f t="shared" si="2265"/>
        <v>30.1</v>
      </c>
      <c r="O974" s="681">
        <f t="shared" si="2265"/>
        <v>27.7</v>
      </c>
      <c r="P974" s="681">
        <f t="shared" si="2265"/>
        <v>26.9</v>
      </c>
      <c r="Q974" s="681">
        <f t="shared" si="2265"/>
        <v>26.700000000000003</v>
      </c>
      <c r="R974" s="681">
        <f t="shared" si="2265"/>
        <v>24.9</v>
      </c>
      <c r="S974" s="681">
        <f t="shared" si="2265"/>
        <v>25.1</v>
      </c>
      <c r="T974" s="681">
        <f t="shared" si="2265"/>
        <v>25.1</v>
      </c>
      <c r="U974" s="681">
        <f t="shared" si="2265"/>
        <v>24.1</v>
      </c>
      <c r="V974" s="681">
        <f t="shared" si="2265"/>
        <v>23.6</v>
      </c>
      <c r="W974" s="681">
        <f t="shared" si="2265"/>
        <v>22.8</v>
      </c>
      <c r="X974" s="681">
        <f t="shared" si="2265"/>
        <v>24.9</v>
      </c>
      <c r="Y974" s="681">
        <f t="shared" ref="Y974:Z974" si="2266">SUM(Y972:Y973)</f>
        <v>26.5</v>
      </c>
      <c r="Z974" s="681">
        <f t="shared" si="2266"/>
        <v>26.6</v>
      </c>
      <c r="AA974" s="681">
        <f t="shared" ref="AA974:AB974" si="2267">SUM(AA972:AA973)</f>
        <v>25.299999999999997</v>
      </c>
      <c r="AB974" s="681">
        <f t="shared" si="2267"/>
        <v>26.9</v>
      </c>
      <c r="AC974" s="681">
        <f t="shared" si="2265"/>
        <v>26.997999999999998</v>
      </c>
      <c r="AD974" s="681">
        <f t="shared" si="2265"/>
        <v>27.458829999999995</v>
      </c>
      <c r="AE974" s="681">
        <f t="shared" si="2265"/>
        <v>28.093891349999996</v>
      </c>
      <c r="AF974" s="681">
        <f t="shared" ref="AF974:AI974" si="2268">SUM(AF972:AF973)</f>
        <v>27.753691958999994</v>
      </c>
      <c r="AG974" s="681">
        <f t="shared" si="2268"/>
        <v>28.089304146539995</v>
      </c>
      <c r="AH974" s="681">
        <f t="shared" si="2268"/>
        <v>28.510643708738094</v>
      </c>
      <c r="AI974" s="681">
        <f t="shared" si="2268"/>
        <v>29.171044570275811</v>
      </c>
      <c r="AJ974" s="381"/>
      <c r="AK974" s="381"/>
      <c r="AL974" s="381"/>
      <c r="AM974" s="381"/>
      <c r="AN974" s="381"/>
      <c r="AO974" s="381"/>
      <c r="AP974" s="381"/>
      <c r="AQ974" s="381"/>
      <c r="AR974" s="70"/>
      <c r="AS974" s="329"/>
      <c r="AT974" s="329" t="s">
        <v>313</v>
      </c>
      <c r="AU974" s="681">
        <f>G974</f>
        <v>28.299999999999997</v>
      </c>
      <c r="AV974" s="681">
        <f>K974</f>
        <v>30.9</v>
      </c>
      <c r="AW974" s="681">
        <f>O974</f>
        <v>27.7</v>
      </c>
      <c r="AX974" s="681">
        <f>S974</f>
        <v>25.1</v>
      </c>
      <c r="AY974" s="681">
        <f>W974</f>
        <v>22.8</v>
      </c>
      <c r="AZ974" s="681">
        <f>AA974</f>
        <v>25.299999999999997</v>
      </c>
      <c r="BA974" s="681">
        <f>AE974</f>
        <v>28.093891349999996</v>
      </c>
      <c r="BB974" s="681">
        <f>AI974</f>
        <v>29.171044570275811</v>
      </c>
      <c r="BC974" s="681">
        <f>SUM(BC972:BC973)</f>
        <v>30.400116064367282</v>
      </c>
      <c r="BD974" s="681">
        <f>SUM(BD972:BD973)</f>
        <v>31.681461903786435</v>
      </c>
      <c r="BE974" s="681">
        <f>SUM(BE972:BE973)</f>
        <v>33.017328636624583</v>
      </c>
      <c r="BM974"/>
      <c r="BN974"/>
      <c r="BO974"/>
      <c r="BP974"/>
      <c r="BQ974"/>
      <c r="BR974"/>
    </row>
    <row r="975" spans="1:70" s="674" customFormat="1" x14ac:dyDescent="0.2">
      <c r="A975" s="837"/>
      <c r="B975" s="329"/>
      <c r="C975" s="329"/>
      <c r="D975" s="682"/>
      <c r="E975" s="682"/>
      <c r="F975" s="682"/>
      <c r="G975" s="682"/>
      <c r="H975" s="682"/>
      <c r="I975" s="682"/>
      <c r="J975" s="682"/>
      <c r="K975" s="682"/>
      <c r="L975" s="682"/>
      <c r="M975" s="682"/>
      <c r="N975" s="682"/>
      <c r="O975" s="682"/>
      <c r="P975" s="682"/>
      <c r="Q975" s="682"/>
      <c r="R975" s="682"/>
      <c r="S975" s="682"/>
      <c r="T975" s="682"/>
      <c r="U975" s="682"/>
      <c r="V975" s="682"/>
      <c r="W975" s="682"/>
      <c r="X975" s="682"/>
      <c r="Y975" s="682"/>
      <c r="Z975" s="682"/>
      <c r="AA975" s="682"/>
      <c r="AB975" s="682"/>
      <c r="AC975" s="329"/>
      <c r="AD975" s="329"/>
      <c r="AE975" s="329"/>
      <c r="AF975" s="329"/>
      <c r="AG975" s="329"/>
      <c r="AH975" s="329"/>
      <c r="AI975" s="675"/>
      <c r="AJ975" s="675"/>
      <c r="AK975" s="675"/>
      <c r="AL975" s="675"/>
      <c r="AM975" s="675"/>
      <c r="AN975" s="675"/>
      <c r="AO975" s="675"/>
      <c r="AP975" s="675"/>
      <c r="AQ975" s="675"/>
      <c r="AR975" s="70"/>
      <c r="AS975" s="329"/>
      <c r="AT975" s="329"/>
      <c r="BC975" s="675"/>
      <c r="BD975" s="675"/>
      <c r="BE975" s="675"/>
      <c r="BM975"/>
      <c r="BN975"/>
      <c r="BO975"/>
      <c r="BP975"/>
      <c r="BQ975"/>
      <c r="BR975"/>
    </row>
    <row r="976" spans="1:70" s="679" customFormat="1" x14ac:dyDescent="0.2">
      <c r="A976" s="838"/>
      <c r="B976" s="680" t="s">
        <v>239</v>
      </c>
      <c r="C976" s="675"/>
      <c r="D976" s="676"/>
      <c r="E976" s="676"/>
      <c r="F976" s="676"/>
      <c r="G976" s="676"/>
      <c r="H976" s="676"/>
      <c r="I976" s="676"/>
      <c r="J976" s="676"/>
      <c r="K976" s="676"/>
      <c r="L976" s="676"/>
      <c r="M976" s="676"/>
      <c r="N976" s="676"/>
      <c r="O976" s="676"/>
      <c r="P976" s="676"/>
      <c r="Q976" s="676"/>
      <c r="R976" s="676"/>
      <c r="S976" s="676"/>
      <c r="T976" s="676"/>
      <c r="U976" s="676"/>
      <c r="V976" s="676"/>
      <c r="W976" s="676"/>
      <c r="X976" s="676"/>
      <c r="Y976" s="676"/>
      <c r="Z976" s="676"/>
      <c r="AA976" s="676"/>
      <c r="AB976" s="676"/>
      <c r="AC976" s="675"/>
      <c r="AD976" s="675"/>
      <c r="AE976" s="675"/>
      <c r="AF976" s="675"/>
      <c r="AG976" s="675"/>
      <c r="AH976" s="675"/>
      <c r="AI976" s="675"/>
      <c r="AJ976" s="675"/>
      <c r="AK976" s="675"/>
      <c r="AL976" s="675"/>
      <c r="AM976" s="675"/>
      <c r="AN976" s="675"/>
      <c r="AO976" s="675"/>
      <c r="AP976" s="675"/>
      <c r="AQ976" s="675"/>
      <c r="AR976" s="70"/>
      <c r="AS976" s="680" t="s">
        <v>239</v>
      </c>
      <c r="AT976" s="675"/>
      <c r="BC976" s="675"/>
      <c r="BD976" s="675"/>
      <c r="BE976" s="675"/>
      <c r="BM976"/>
      <c r="BN976"/>
      <c r="BO976"/>
      <c r="BP976"/>
      <c r="BQ976"/>
      <c r="BR976"/>
    </row>
    <row r="977" spans="1:70" s="679" customFormat="1" x14ac:dyDescent="0.2">
      <c r="A977" s="838"/>
      <c r="B977" s="675" t="s">
        <v>92</v>
      </c>
      <c r="C977" s="675"/>
      <c r="D977" s="77">
        <f t="shared" ref="D977:AE977" si="2269">D416</f>
        <v>19.899999999999999</v>
      </c>
      <c r="E977" s="77">
        <f t="shared" si="2269"/>
        <v>19.7</v>
      </c>
      <c r="F977" s="77">
        <f t="shared" si="2269"/>
        <v>20.100000000000001</v>
      </c>
      <c r="G977" s="77">
        <f t="shared" si="2269"/>
        <v>20.8</v>
      </c>
      <c r="H977" s="77">
        <f t="shared" si="2269"/>
        <v>20</v>
      </c>
      <c r="I977" s="77">
        <f t="shared" si="2269"/>
        <v>19.5</v>
      </c>
      <c r="J977" s="77">
        <f t="shared" si="2269"/>
        <v>18.8</v>
      </c>
      <c r="K977" s="77">
        <f t="shared" si="2269"/>
        <v>19.3</v>
      </c>
      <c r="L977" s="77">
        <f t="shared" si="2269"/>
        <v>18.8</v>
      </c>
      <c r="M977" s="77">
        <f t="shared" si="2269"/>
        <v>19.600000000000001</v>
      </c>
      <c r="N977" s="77">
        <f t="shared" si="2269"/>
        <v>18.899999999999999</v>
      </c>
      <c r="O977" s="77">
        <f t="shared" si="2269"/>
        <v>18.600000000000001</v>
      </c>
      <c r="P977" s="77">
        <f t="shared" si="2269"/>
        <v>17.8</v>
      </c>
      <c r="Q977" s="77">
        <f t="shared" si="2269"/>
        <v>18.100000000000001</v>
      </c>
      <c r="R977" s="77">
        <f t="shared" si="2269"/>
        <v>17</v>
      </c>
      <c r="S977" s="77">
        <f t="shared" si="2269"/>
        <v>17.600000000000001</v>
      </c>
      <c r="T977" s="77">
        <f t="shared" si="2269"/>
        <v>17.600000000000001</v>
      </c>
      <c r="U977" s="77">
        <f t="shared" si="2269"/>
        <v>17.600000000000001</v>
      </c>
      <c r="V977" s="77">
        <f t="shared" si="2269"/>
        <v>17.7</v>
      </c>
      <c r="W977" s="77">
        <f t="shared" si="2269"/>
        <v>17.5</v>
      </c>
      <c r="X977" s="77">
        <f t="shared" si="2269"/>
        <v>18.3</v>
      </c>
      <c r="Y977" s="77">
        <f t="shared" ref="Y977:Z977" si="2270">Y416</f>
        <v>18.8</v>
      </c>
      <c r="Z977" s="77">
        <f t="shared" si="2270"/>
        <v>18.8</v>
      </c>
      <c r="AA977" s="77">
        <f t="shared" ref="AA977:AB977" si="2271">AA416</f>
        <v>19.8</v>
      </c>
      <c r="AB977" s="77">
        <f t="shared" si="2271"/>
        <v>19.2</v>
      </c>
      <c r="AC977" s="77">
        <f t="shared" si="2269"/>
        <v>19.391999999999999</v>
      </c>
      <c r="AD977" s="77">
        <f t="shared" si="2269"/>
        <v>19.585920000000002</v>
      </c>
      <c r="AE977" s="77">
        <f t="shared" si="2269"/>
        <v>19.977638400000004</v>
      </c>
      <c r="AF977" s="77">
        <f t="shared" ref="AF977:AI977" si="2272">AF416</f>
        <v>20.177414784000007</v>
      </c>
      <c r="AG977" s="77">
        <f t="shared" si="2272"/>
        <v>20.177414784000007</v>
      </c>
      <c r="AH977" s="77">
        <f t="shared" si="2272"/>
        <v>20.580963079680011</v>
      </c>
      <c r="AI977" s="77">
        <f t="shared" si="2272"/>
        <v>21.198391972070411</v>
      </c>
      <c r="AJ977" s="77"/>
      <c r="AK977" s="77"/>
      <c r="AL977" s="77"/>
      <c r="AM977" s="77"/>
      <c r="AN977" s="77"/>
      <c r="AO977" s="77"/>
      <c r="AP977" s="77"/>
      <c r="AQ977" s="77"/>
      <c r="AR977" s="70"/>
      <c r="AS977" s="675" t="s">
        <v>92</v>
      </c>
      <c r="AT977" s="675"/>
      <c r="AU977" s="467">
        <f>G977</f>
        <v>20.8</v>
      </c>
      <c r="AV977" s="467">
        <f>K977</f>
        <v>19.3</v>
      </c>
      <c r="AW977" s="467">
        <f>O977</f>
        <v>18.600000000000001</v>
      </c>
      <c r="AX977" s="467">
        <f>S977</f>
        <v>17.600000000000001</v>
      </c>
      <c r="AY977" s="467">
        <f>W977</f>
        <v>17.5</v>
      </c>
      <c r="AZ977" s="467">
        <f>AA977</f>
        <v>19.8</v>
      </c>
      <c r="BA977" s="467">
        <f>AE977</f>
        <v>19.977638400000004</v>
      </c>
      <c r="BB977" s="467">
        <f>AI977</f>
        <v>21.198391972070411</v>
      </c>
      <c r="BC977" s="77">
        <f>BC416</f>
        <v>22.258311570673936</v>
      </c>
      <c r="BD977" s="77">
        <f>BD416</f>
        <v>23.371227149207634</v>
      </c>
      <c r="BE977" s="77">
        <f>BE416</f>
        <v>24.539788506668017</v>
      </c>
      <c r="BM977"/>
      <c r="BN977"/>
      <c r="BO977"/>
      <c r="BP977"/>
      <c r="BQ977"/>
      <c r="BR977"/>
    </row>
    <row r="978" spans="1:70" s="679" customFormat="1" x14ac:dyDescent="0.2">
      <c r="A978" s="838"/>
      <c r="B978" s="675" t="s">
        <v>74</v>
      </c>
      <c r="C978" s="675"/>
      <c r="D978" s="77">
        <f t="shared" ref="D978:AE978" si="2273">D414</f>
        <v>68.5</v>
      </c>
      <c r="E978" s="77">
        <f t="shared" si="2273"/>
        <v>67.400000000000006</v>
      </c>
      <c r="F978" s="77">
        <f t="shared" si="2273"/>
        <v>69.3</v>
      </c>
      <c r="G978" s="77">
        <f t="shared" si="2273"/>
        <v>69.900000000000006</v>
      </c>
      <c r="H978" s="77">
        <f t="shared" si="2273"/>
        <v>69.8</v>
      </c>
      <c r="I978" s="77">
        <f t="shared" si="2273"/>
        <v>69.099999999999994</v>
      </c>
      <c r="J978" s="77">
        <f t="shared" si="2273"/>
        <v>70.800000000000011</v>
      </c>
      <c r="K978" s="77">
        <f t="shared" si="2273"/>
        <v>72.3</v>
      </c>
      <c r="L978" s="77">
        <f t="shared" si="2273"/>
        <v>74.3</v>
      </c>
      <c r="M978" s="77">
        <f t="shared" si="2273"/>
        <v>76.599999999999994</v>
      </c>
      <c r="N978" s="77">
        <f t="shared" si="2273"/>
        <v>75.3</v>
      </c>
      <c r="O978" s="77">
        <f t="shared" si="2273"/>
        <v>73.3</v>
      </c>
      <c r="P978" s="77">
        <f t="shared" si="2273"/>
        <v>71.8</v>
      </c>
      <c r="Q978" s="77">
        <f t="shared" si="2273"/>
        <v>72.400000000000006</v>
      </c>
      <c r="R978" s="77">
        <f t="shared" si="2273"/>
        <v>68.599999999999994</v>
      </c>
      <c r="S978" s="77">
        <f t="shared" si="2273"/>
        <v>68.400000000000006</v>
      </c>
      <c r="T978" s="77">
        <f t="shared" si="2273"/>
        <v>68.7</v>
      </c>
      <c r="U978" s="77">
        <f t="shared" si="2273"/>
        <v>67.5</v>
      </c>
      <c r="V978" s="77">
        <f t="shared" si="2273"/>
        <v>68.099999999999994</v>
      </c>
      <c r="W978" s="77">
        <f t="shared" si="2273"/>
        <v>63</v>
      </c>
      <c r="X978" s="77">
        <f t="shared" si="2273"/>
        <v>66.2</v>
      </c>
      <c r="Y978" s="77">
        <f t="shared" ref="Y978:Z978" si="2274">Y414</f>
        <v>66.800000000000011</v>
      </c>
      <c r="Z978" s="77">
        <f t="shared" si="2274"/>
        <v>67.5</v>
      </c>
      <c r="AA978" s="77">
        <f t="shared" ref="AA978:AB978" si="2275">AA414</f>
        <v>70</v>
      </c>
      <c r="AB978" s="77">
        <f t="shared" si="2275"/>
        <v>70.8</v>
      </c>
      <c r="AC978" s="77">
        <f t="shared" si="2273"/>
        <v>71.507999999999981</v>
      </c>
      <c r="AD978" s="77">
        <f t="shared" si="2273"/>
        <v>72.580619999999982</v>
      </c>
      <c r="AE978" s="77">
        <f t="shared" si="2273"/>
        <v>74.03223239999997</v>
      </c>
      <c r="AF978" s="77">
        <f t="shared" ref="AF978:AI978" si="2276">AF414</f>
        <v>74.402393561999958</v>
      </c>
      <c r="AG978" s="77">
        <f t="shared" si="2276"/>
        <v>74.774405529809954</v>
      </c>
      <c r="AH978" s="77">
        <f t="shared" si="2276"/>
        <v>75.335213571283546</v>
      </c>
      <c r="AI978" s="77">
        <f t="shared" si="2276"/>
        <v>76.013230493425084</v>
      </c>
      <c r="AJ978" s="77"/>
      <c r="AK978" s="77"/>
      <c r="AL978" s="77"/>
      <c r="AM978" s="77"/>
      <c r="AN978" s="77"/>
      <c r="AO978" s="77"/>
      <c r="AP978" s="77"/>
      <c r="AQ978" s="77"/>
      <c r="AR978" s="70"/>
      <c r="AS978" s="675" t="s">
        <v>74</v>
      </c>
      <c r="AT978" s="675"/>
      <c r="AU978" s="467">
        <f>G978</f>
        <v>69.900000000000006</v>
      </c>
      <c r="AV978" s="467">
        <f>K978</f>
        <v>72.3</v>
      </c>
      <c r="AW978" s="467">
        <f>O978</f>
        <v>73.3</v>
      </c>
      <c r="AX978" s="467">
        <f>S978</f>
        <v>68.400000000000006</v>
      </c>
      <c r="AY978" s="467">
        <f>W978</f>
        <v>63</v>
      </c>
      <c r="AZ978" s="467">
        <f>AA978</f>
        <v>70</v>
      </c>
      <c r="BA978" s="467">
        <f>AE978</f>
        <v>74.03223239999997</v>
      </c>
      <c r="BB978" s="467">
        <f>AI978</f>
        <v>76.013230493425084</v>
      </c>
      <c r="BC978" s="77">
        <f>BC414</f>
        <v>79.05375971316208</v>
      </c>
      <c r="BD978" s="77">
        <f>BD414</f>
        <v>83.006447698820196</v>
      </c>
      <c r="BE978" s="77">
        <f>BE414</f>
        <v>87.156770083761216</v>
      </c>
      <c r="BM978"/>
      <c r="BN978"/>
      <c r="BO978"/>
      <c r="BP978"/>
      <c r="BQ978"/>
      <c r="BR978"/>
    </row>
    <row r="979" spans="1:70" s="674" customFormat="1" x14ac:dyDescent="0.2">
      <c r="A979" s="837"/>
      <c r="B979" s="329"/>
      <c r="C979" s="329" t="s">
        <v>312</v>
      </c>
      <c r="D979" s="681">
        <f t="shared" ref="D979:AE979" si="2277">SUM(D977:D978)</f>
        <v>88.4</v>
      </c>
      <c r="E979" s="681">
        <f t="shared" si="2277"/>
        <v>87.100000000000009</v>
      </c>
      <c r="F979" s="681">
        <f t="shared" si="2277"/>
        <v>89.4</v>
      </c>
      <c r="G979" s="681">
        <f t="shared" si="2277"/>
        <v>90.7</v>
      </c>
      <c r="H979" s="681">
        <f t="shared" si="2277"/>
        <v>89.8</v>
      </c>
      <c r="I979" s="681">
        <f t="shared" si="2277"/>
        <v>88.6</v>
      </c>
      <c r="J979" s="681">
        <f t="shared" si="2277"/>
        <v>89.600000000000009</v>
      </c>
      <c r="K979" s="681">
        <f t="shared" si="2277"/>
        <v>91.6</v>
      </c>
      <c r="L979" s="681">
        <f t="shared" si="2277"/>
        <v>93.1</v>
      </c>
      <c r="M979" s="681">
        <f t="shared" si="2277"/>
        <v>96.199999999999989</v>
      </c>
      <c r="N979" s="681">
        <f t="shared" si="2277"/>
        <v>94.199999999999989</v>
      </c>
      <c r="O979" s="681">
        <f t="shared" si="2277"/>
        <v>91.9</v>
      </c>
      <c r="P979" s="681">
        <f t="shared" si="2277"/>
        <v>89.6</v>
      </c>
      <c r="Q979" s="681">
        <f t="shared" si="2277"/>
        <v>90.5</v>
      </c>
      <c r="R979" s="681">
        <f t="shared" si="2277"/>
        <v>85.6</v>
      </c>
      <c r="S979" s="681">
        <f t="shared" si="2277"/>
        <v>86</v>
      </c>
      <c r="T979" s="681">
        <f t="shared" si="2277"/>
        <v>86.300000000000011</v>
      </c>
      <c r="U979" s="681">
        <f t="shared" si="2277"/>
        <v>85.1</v>
      </c>
      <c r="V979" s="681">
        <f t="shared" si="2277"/>
        <v>85.8</v>
      </c>
      <c r="W979" s="681">
        <f t="shared" si="2277"/>
        <v>80.5</v>
      </c>
      <c r="X979" s="681">
        <f t="shared" si="2277"/>
        <v>84.5</v>
      </c>
      <c r="Y979" s="681">
        <f t="shared" ref="Y979:Z979" si="2278">SUM(Y977:Y978)</f>
        <v>85.600000000000009</v>
      </c>
      <c r="Z979" s="681">
        <f t="shared" si="2278"/>
        <v>86.3</v>
      </c>
      <c r="AA979" s="681">
        <f t="shared" ref="AA979:AB979" si="2279">SUM(AA977:AA978)</f>
        <v>89.8</v>
      </c>
      <c r="AB979" s="681">
        <f t="shared" si="2279"/>
        <v>90</v>
      </c>
      <c r="AC979" s="681">
        <f t="shared" si="2277"/>
        <v>90.899999999999977</v>
      </c>
      <c r="AD979" s="681">
        <f t="shared" si="2277"/>
        <v>92.166539999999983</v>
      </c>
      <c r="AE979" s="681">
        <f t="shared" si="2277"/>
        <v>94.009870799999973</v>
      </c>
      <c r="AF979" s="681">
        <f t="shared" ref="AF979:AI979" si="2280">SUM(AF977:AF978)</f>
        <v>94.579808345999965</v>
      </c>
      <c r="AG979" s="681">
        <f t="shared" si="2280"/>
        <v>94.951820313809961</v>
      </c>
      <c r="AH979" s="681">
        <f t="shared" si="2280"/>
        <v>95.916176650963564</v>
      </c>
      <c r="AI979" s="681">
        <f t="shared" si="2280"/>
        <v>97.211622465495495</v>
      </c>
      <c r="AJ979" s="381"/>
      <c r="AK979" s="381"/>
      <c r="AL979" s="381"/>
      <c r="AM979" s="381"/>
      <c r="AN979" s="381"/>
      <c r="AO979" s="381"/>
      <c r="AP979" s="381"/>
      <c r="AQ979" s="381"/>
      <c r="AR979" s="70"/>
      <c r="AS979" s="329"/>
      <c r="AT979" s="329" t="s">
        <v>312</v>
      </c>
      <c r="AU979" s="681">
        <f>G979</f>
        <v>90.7</v>
      </c>
      <c r="AV979" s="681">
        <f>K979</f>
        <v>91.6</v>
      </c>
      <c r="AW979" s="681">
        <f>O979</f>
        <v>91.9</v>
      </c>
      <c r="AX979" s="681">
        <f>S979</f>
        <v>86</v>
      </c>
      <c r="AY979" s="681">
        <f>W979</f>
        <v>80.5</v>
      </c>
      <c r="AZ979" s="681">
        <f>AA979</f>
        <v>89.8</v>
      </c>
      <c r="BA979" s="681">
        <f>AE979</f>
        <v>94.009870799999973</v>
      </c>
      <c r="BB979" s="681">
        <f>AI979</f>
        <v>97.211622465495495</v>
      </c>
      <c r="BC979" s="681">
        <f>SUM(BC977:BC978)</f>
        <v>101.31207128383602</v>
      </c>
      <c r="BD979" s="681">
        <f>SUM(BD977:BD978)</f>
        <v>106.37767484802782</v>
      </c>
      <c r="BE979" s="681">
        <f>SUM(BE977:BE978)</f>
        <v>111.69655859042923</v>
      </c>
      <c r="BM979"/>
      <c r="BN979"/>
      <c r="BO979"/>
      <c r="BP979"/>
      <c r="BQ979"/>
      <c r="BR979"/>
    </row>
    <row r="980" spans="1:70" s="674" customFormat="1" x14ac:dyDescent="0.2">
      <c r="A980" s="837"/>
      <c r="B980" s="329"/>
      <c r="C980" s="329"/>
      <c r="D980" s="329"/>
      <c r="E980" s="682"/>
      <c r="F980" s="682"/>
      <c r="G980" s="682"/>
      <c r="H980" s="682"/>
      <c r="I980" s="682"/>
      <c r="J980" s="682"/>
      <c r="K980" s="682"/>
      <c r="L980" s="682"/>
      <c r="M980" s="682"/>
      <c r="N980" s="682"/>
      <c r="O980" s="682"/>
      <c r="P980" s="682"/>
      <c r="Q980" s="682"/>
      <c r="R980" s="682"/>
      <c r="S980" s="682"/>
      <c r="T980" s="682"/>
      <c r="U980" s="682"/>
      <c r="V980" s="682"/>
      <c r="W980" s="682"/>
      <c r="X980" s="682"/>
      <c r="Y980" s="682"/>
      <c r="Z980" s="682"/>
      <c r="AA980" s="682"/>
      <c r="AB980" s="682"/>
      <c r="AC980" s="329"/>
      <c r="AD980" s="329"/>
      <c r="AE980" s="329"/>
      <c r="AF980" s="329"/>
      <c r="AG980" s="329"/>
      <c r="AH980" s="329"/>
      <c r="AI980" s="675"/>
      <c r="AJ980" s="675"/>
      <c r="AK980" s="675"/>
      <c r="AL980" s="675"/>
      <c r="AM980" s="675"/>
      <c r="AN980" s="675"/>
      <c r="AO980" s="675"/>
      <c r="AP980" s="675"/>
      <c r="AQ980" s="675"/>
      <c r="AR980" s="70"/>
      <c r="AS980" s="329"/>
      <c r="AT980" s="329"/>
      <c r="BC980" s="675"/>
      <c r="BD980" s="675"/>
      <c r="BE980" s="675"/>
      <c r="BM980"/>
      <c r="BN980"/>
      <c r="BO980"/>
      <c r="BP980"/>
      <c r="BQ980"/>
      <c r="BR980"/>
    </row>
    <row r="981" spans="1:70" s="679" customFormat="1" x14ac:dyDescent="0.2">
      <c r="A981" s="838"/>
      <c r="B981" s="683" t="s">
        <v>137</v>
      </c>
      <c r="C981" s="684"/>
      <c r="D981" s="685"/>
      <c r="E981" s="686"/>
      <c r="F981" s="686"/>
      <c r="G981" s="686"/>
      <c r="H981" s="686"/>
      <c r="I981" s="686"/>
      <c r="J981" s="686"/>
      <c r="K981" s="686"/>
      <c r="L981" s="686"/>
      <c r="M981" s="686"/>
      <c r="N981" s="686"/>
      <c r="O981" s="686"/>
      <c r="P981" s="686"/>
      <c r="Q981" s="686"/>
      <c r="R981" s="686"/>
      <c r="S981" s="686"/>
      <c r="T981" s="686"/>
      <c r="U981" s="686"/>
      <c r="V981" s="686"/>
      <c r="W981" s="686"/>
      <c r="X981" s="686"/>
      <c r="Y981" s="686"/>
      <c r="Z981" s="686"/>
      <c r="AA981" s="686"/>
      <c r="AB981" s="686"/>
      <c r="AC981" s="686"/>
      <c r="AD981" s="686"/>
      <c r="AE981" s="686"/>
      <c r="AF981" s="686"/>
      <c r="AG981" s="686"/>
      <c r="AH981" s="686"/>
      <c r="AI981" s="686"/>
      <c r="AJ981" s="676"/>
      <c r="AK981" s="676"/>
      <c r="AL981" s="676"/>
      <c r="AM981" s="676"/>
      <c r="AN981" s="676"/>
      <c r="AO981" s="676"/>
      <c r="AP981" s="676"/>
      <c r="AQ981" s="676"/>
      <c r="AR981" s="70"/>
      <c r="AS981" s="683" t="s">
        <v>137</v>
      </c>
      <c r="AT981" s="684"/>
      <c r="BC981" s="686"/>
      <c r="BD981" s="686"/>
      <c r="BE981" s="686"/>
      <c r="BM981"/>
      <c r="BN981"/>
      <c r="BO981"/>
      <c r="BP981"/>
      <c r="BQ981"/>
      <c r="BR981"/>
    </row>
    <row r="982" spans="1:70" s="679" customFormat="1" x14ac:dyDescent="0.2">
      <c r="A982" s="838"/>
      <c r="B982" s="687" t="s">
        <v>92</v>
      </c>
      <c r="C982" s="675"/>
      <c r="D982" s="688">
        <f t="shared" ref="D982:AE982" si="2281">D967+D972+D977</f>
        <v>135.30000000000001</v>
      </c>
      <c r="E982" s="688">
        <f t="shared" si="2281"/>
        <v>134.9</v>
      </c>
      <c r="F982" s="688">
        <f t="shared" si="2281"/>
        <v>135.20000000000002</v>
      </c>
      <c r="G982" s="688">
        <f t="shared" si="2281"/>
        <v>138.9</v>
      </c>
      <c r="H982" s="688">
        <f t="shared" si="2281"/>
        <v>131.69999999999999</v>
      </c>
      <c r="I982" s="688">
        <f t="shared" si="2281"/>
        <v>131.80000000000001</v>
      </c>
      <c r="J982" s="688">
        <f t="shared" si="2281"/>
        <v>137.69999999999999</v>
      </c>
      <c r="K982" s="688">
        <f t="shared" si="2281"/>
        <v>143.5</v>
      </c>
      <c r="L982" s="688">
        <f t="shared" si="2281"/>
        <v>135.1</v>
      </c>
      <c r="M982" s="688">
        <f t="shared" si="2281"/>
        <v>137.4</v>
      </c>
      <c r="N982" s="688">
        <f t="shared" si="2281"/>
        <v>135.69999999999999</v>
      </c>
      <c r="O982" s="688">
        <f t="shared" si="2281"/>
        <v>139.30000000000001</v>
      </c>
      <c r="P982" s="688">
        <f t="shared" si="2281"/>
        <v>129.80000000000001</v>
      </c>
      <c r="Q982" s="688">
        <f t="shared" si="2281"/>
        <v>131.70000000000002</v>
      </c>
      <c r="R982" s="688">
        <f t="shared" si="2281"/>
        <v>130.30000000000001</v>
      </c>
      <c r="S982" s="688">
        <f t="shared" si="2281"/>
        <v>136.30000000000001</v>
      </c>
      <c r="T982" s="688">
        <f t="shared" si="2281"/>
        <v>130.30000000000001</v>
      </c>
      <c r="U982" s="688">
        <f t="shared" si="2281"/>
        <v>143.4</v>
      </c>
      <c r="V982" s="688">
        <f t="shared" si="2281"/>
        <v>147.79999999999998</v>
      </c>
      <c r="W982" s="688">
        <f t="shared" si="2281"/>
        <v>155.60000000000002</v>
      </c>
      <c r="X982" s="688">
        <f t="shared" si="2281"/>
        <v>149.9</v>
      </c>
      <c r="Y982" s="688">
        <f t="shared" ref="Y982:Z982" si="2282">Y967+Y972+Y977</f>
        <v>155.10000000000002</v>
      </c>
      <c r="Z982" s="688">
        <f t="shared" si="2282"/>
        <v>156.6</v>
      </c>
      <c r="AA982" s="688">
        <f t="shared" ref="AA982:AB982" si="2283">AA967+AA972+AA977</f>
        <v>164.9</v>
      </c>
      <c r="AB982" s="688">
        <f t="shared" si="2283"/>
        <v>156.59999999999997</v>
      </c>
      <c r="AC982" s="688">
        <f t="shared" si="2281"/>
        <v>156.90800000000002</v>
      </c>
      <c r="AD982" s="688">
        <f t="shared" si="2281"/>
        <v>158.79201999999998</v>
      </c>
      <c r="AE982" s="688">
        <f t="shared" si="2281"/>
        <v>162.05374515</v>
      </c>
      <c r="AF982" s="688">
        <f t="shared" ref="AF982:AI982" si="2284">AF967+AF972+AF977</f>
        <v>161.012809584</v>
      </c>
      <c r="AG982" s="688">
        <f t="shared" si="2284"/>
        <v>161.41469577633001</v>
      </c>
      <c r="AH982" s="688">
        <f t="shared" si="2284"/>
        <v>164.37382957989493</v>
      </c>
      <c r="AI982" s="688">
        <f t="shared" si="2284"/>
        <v>169.09197227855935</v>
      </c>
      <c r="AJ982" s="688"/>
      <c r="AK982" s="688"/>
      <c r="AL982" s="688"/>
      <c r="AM982" s="688"/>
      <c r="AN982" s="688"/>
      <c r="AO982" s="688"/>
      <c r="AP982" s="688"/>
      <c r="AQ982" s="688"/>
      <c r="AR982" s="70"/>
      <c r="AS982" s="687" t="s">
        <v>92</v>
      </c>
      <c r="AT982" s="675"/>
      <c r="AU982" s="467">
        <f>G982</f>
        <v>138.9</v>
      </c>
      <c r="AV982" s="467">
        <f>K982</f>
        <v>143.5</v>
      </c>
      <c r="AW982" s="467">
        <f>O982</f>
        <v>139.30000000000001</v>
      </c>
      <c r="AX982" s="467">
        <f>S982</f>
        <v>136.30000000000001</v>
      </c>
      <c r="AY982" s="467">
        <f>W982</f>
        <v>155.60000000000002</v>
      </c>
      <c r="AZ982" s="467">
        <f>AA982</f>
        <v>164.9</v>
      </c>
      <c r="BA982" s="467">
        <f>AE982</f>
        <v>162.05374515</v>
      </c>
      <c r="BB982" s="467">
        <f>AI982</f>
        <v>169.09197227855935</v>
      </c>
      <c r="BC982" s="688">
        <f t="shared" ref="BC982:BD983" si="2285">BC967+BC972+BC977</f>
        <v>176.12986480070288</v>
      </c>
      <c r="BD982" s="688">
        <f t="shared" si="2285"/>
        <v>183.46298370528223</v>
      </c>
      <c r="BE982" s="688">
        <f t="shared" ref="BE982" si="2286">BE967+BE972+BE977</f>
        <v>191.10382358167226</v>
      </c>
      <c r="BM982"/>
      <c r="BN982"/>
      <c r="BO982"/>
      <c r="BP982"/>
      <c r="BQ982"/>
      <c r="BR982"/>
    </row>
    <row r="983" spans="1:70" s="679" customFormat="1" x14ac:dyDescent="0.2">
      <c r="A983" s="838"/>
      <c r="B983" s="687" t="s">
        <v>74</v>
      </c>
      <c r="C983" s="675"/>
      <c r="D983" s="446">
        <f t="shared" ref="D983:AE983" si="2287">D968+D973+D978</f>
        <v>128.9</v>
      </c>
      <c r="E983" s="446">
        <f t="shared" si="2287"/>
        <v>127.9</v>
      </c>
      <c r="F983" s="446">
        <f t="shared" si="2287"/>
        <v>131.80000000000001</v>
      </c>
      <c r="G983" s="446">
        <f t="shared" si="2287"/>
        <v>134.30000000000001</v>
      </c>
      <c r="H983" s="446">
        <f t="shared" si="2287"/>
        <v>136.39999999999998</v>
      </c>
      <c r="I983" s="446">
        <f t="shared" si="2287"/>
        <v>133.69999999999999</v>
      </c>
      <c r="J983" s="446">
        <f t="shared" si="2287"/>
        <v>136.30000000000001</v>
      </c>
      <c r="K983" s="446">
        <f t="shared" si="2287"/>
        <v>140.1</v>
      </c>
      <c r="L983" s="446">
        <f t="shared" si="2287"/>
        <v>142.6</v>
      </c>
      <c r="M983" s="446">
        <f t="shared" si="2287"/>
        <v>146.5</v>
      </c>
      <c r="N983" s="446">
        <f t="shared" si="2287"/>
        <v>145.9</v>
      </c>
      <c r="O983" s="446">
        <f t="shared" si="2287"/>
        <v>141.39999999999998</v>
      </c>
      <c r="P983" s="446">
        <f t="shared" si="2287"/>
        <v>140.69999999999999</v>
      </c>
      <c r="Q983" s="446">
        <f t="shared" si="2287"/>
        <v>142.4</v>
      </c>
      <c r="R983" s="446">
        <f t="shared" si="2287"/>
        <v>139.1</v>
      </c>
      <c r="S983" s="446">
        <f t="shared" si="2287"/>
        <v>140.30000000000001</v>
      </c>
      <c r="T983" s="446">
        <f t="shared" si="2287"/>
        <v>142</v>
      </c>
      <c r="U983" s="446">
        <f t="shared" si="2287"/>
        <v>141.4</v>
      </c>
      <c r="V983" s="446">
        <f t="shared" si="2287"/>
        <v>141.6</v>
      </c>
      <c r="W983" s="446">
        <f t="shared" si="2287"/>
        <v>136.30000000000001</v>
      </c>
      <c r="X983" s="446">
        <f t="shared" si="2287"/>
        <v>141.4</v>
      </c>
      <c r="Y983" s="446">
        <f t="shared" ref="Y983:Z983" si="2288">Y968+Y973+Y978</f>
        <v>143.4</v>
      </c>
      <c r="Z983" s="446">
        <f t="shared" si="2288"/>
        <v>144.19999999999999</v>
      </c>
      <c r="AA983" s="446">
        <f t="shared" ref="AA983:AB983" si="2289">AA968+AA973+AA978</f>
        <v>145.9</v>
      </c>
      <c r="AB983" s="446">
        <f t="shared" si="2289"/>
        <v>147.4</v>
      </c>
      <c r="AC983" s="446">
        <f t="shared" si="2287"/>
        <v>148.874</v>
      </c>
      <c r="AD983" s="446">
        <f t="shared" si="2287"/>
        <v>150.82733999999999</v>
      </c>
      <c r="AE983" s="446">
        <f t="shared" si="2287"/>
        <v>153.84388679999998</v>
      </c>
      <c r="AF983" s="446">
        <f t="shared" ref="AF983:AI983" si="2290">AF968+AF973+AF978</f>
        <v>154.56880763399994</v>
      </c>
      <c r="AG983" s="446">
        <f t="shared" si="2290"/>
        <v>156.32468623160997</v>
      </c>
      <c r="AH983" s="446">
        <f t="shared" si="2290"/>
        <v>157.81182521417975</v>
      </c>
      <c r="AI983" s="446">
        <f t="shared" si="2290"/>
        <v>160.13937436917922</v>
      </c>
      <c r="AJ983" s="446"/>
      <c r="AK983" s="446"/>
      <c r="AL983" s="446"/>
      <c r="AM983" s="446"/>
      <c r="AN983" s="446"/>
      <c r="AO983" s="446"/>
      <c r="AP983" s="446"/>
      <c r="AQ983" s="446"/>
      <c r="AR983" s="70"/>
      <c r="AS983" s="687" t="s">
        <v>74</v>
      </c>
      <c r="AT983" s="675"/>
      <c r="AU983" s="467">
        <f>G983</f>
        <v>134.30000000000001</v>
      </c>
      <c r="AV983" s="467">
        <f>K983</f>
        <v>140.1</v>
      </c>
      <c r="AW983" s="467">
        <f>O983</f>
        <v>141.39999999999998</v>
      </c>
      <c r="AX983" s="467">
        <f>S983</f>
        <v>140.30000000000001</v>
      </c>
      <c r="AY983" s="467">
        <f>W983</f>
        <v>136.30000000000001</v>
      </c>
      <c r="AZ983" s="467">
        <f>AA983</f>
        <v>145.9</v>
      </c>
      <c r="BA983" s="467">
        <f>AE983</f>
        <v>153.84388679999998</v>
      </c>
      <c r="BB983" s="467">
        <f>AI983</f>
        <v>160.13937436917922</v>
      </c>
      <c r="BC983" s="446">
        <f t="shared" si="2285"/>
        <v>167.76851075261683</v>
      </c>
      <c r="BD983" s="446">
        <f t="shared" si="2285"/>
        <v>175.91827632644848</v>
      </c>
      <c r="BE983" s="446">
        <f t="shared" ref="BE983" si="2291">BE968+BE973+BE978</f>
        <v>184.46598378041972</v>
      </c>
      <c r="BM983"/>
      <c r="BN983"/>
      <c r="BO983"/>
      <c r="BP983"/>
      <c r="BQ983"/>
      <c r="BR983"/>
    </row>
    <row r="984" spans="1:70" s="674" customFormat="1" x14ac:dyDescent="0.2">
      <c r="A984" s="837"/>
      <c r="B984" s="689"/>
      <c r="C984" s="690" t="s">
        <v>122</v>
      </c>
      <c r="D984" s="691">
        <f t="shared" ref="D984:AE984" si="2292">SUM(D982:D983)</f>
        <v>264.20000000000005</v>
      </c>
      <c r="E984" s="691">
        <f t="shared" si="2292"/>
        <v>262.8</v>
      </c>
      <c r="F984" s="691">
        <f t="shared" si="2292"/>
        <v>267</v>
      </c>
      <c r="G984" s="691">
        <f t="shared" si="2292"/>
        <v>273.20000000000005</v>
      </c>
      <c r="H984" s="691">
        <f t="shared" si="2292"/>
        <v>268.09999999999997</v>
      </c>
      <c r="I984" s="691">
        <f t="shared" si="2292"/>
        <v>265.5</v>
      </c>
      <c r="J984" s="691">
        <f t="shared" si="2292"/>
        <v>274</v>
      </c>
      <c r="K984" s="691">
        <f t="shared" si="2292"/>
        <v>283.60000000000002</v>
      </c>
      <c r="L984" s="691">
        <f t="shared" si="2292"/>
        <v>277.7</v>
      </c>
      <c r="M984" s="691">
        <f t="shared" si="2292"/>
        <v>283.89999999999998</v>
      </c>
      <c r="N984" s="691">
        <f t="shared" si="2292"/>
        <v>281.60000000000002</v>
      </c>
      <c r="O984" s="691">
        <f t="shared" si="2292"/>
        <v>280.7</v>
      </c>
      <c r="P984" s="691">
        <f t="shared" si="2292"/>
        <v>270.5</v>
      </c>
      <c r="Q984" s="691">
        <f t="shared" si="2292"/>
        <v>274.10000000000002</v>
      </c>
      <c r="R984" s="691">
        <f t="shared" si="2292"/>
        <v>269.39999999999998</v>
      </c>
      <c r="S984" s="691">
        <f t="shared" si="2292"/>
        <v>276.60000000000002</v>
      </c>
      <c r="T984" s="691">
        <f t="shared" si="2292"/>
        <v>272.3</v>
      </c>
      <c r="U984" s="691">
        <f t="shared" si="2292"/>
        <v>284.8</v>
      </c>
      <c r="V984" s="691">
        <f t="shared" si="2292"/>
        <v>289.39999999999998</v>
      </c>
      <c r="W984" s="691">
        <f t="shared" si="2292"/>
        <v>291.90000000000003</v>
      </c>
      <c r="X984" s="691">
        <f t="shared" si="2292"/>
        <v>291.3</v>
      </c>
      <c r="Y984" s="691">
        <f t="shared" ref="Y984:Z984" si="2293">SUM(Y982:Y983)</f>
        <v>298.5</v>
      </c>
      <c r="Z984" s="691">
        <f t="shared" si="2293"/>
        <v>300.79999999999995</v>
      </c>
      <c r="AA984" s="691">
        <f t="shared" ref="AA984:AB984" si="2294">SUM(AA982:AA983)</f>
        <v>310.8</v>
      </c>
      <c r="AB984" s="691">
        <f t="shared" si="2294"/>
        <v>304</v>
      </c>
      <c r="AC984" s="691">
        <f t="shared" si="2292"/>
        <v>305.78200000000004</v>
      </c>
      <c r="AD984" s="691">
        <f t="shared" si="2292"/>
        <v>309.61935999999997</v>
      </c>
      <c r="AE984" s="691">
        <f t="shared" si="2292"/>
        <v>315.89763195</v>
      </c>
      <c r="AF984" s="691">
        <f t="shared" ref="AF984:AI984" si="2295">SUM(AF982:AF983)</f>
        <v>315.58161721799991</v>
      </c>
      <c r="AG984" s="691">
        <f t="shared" si="2295"/>
        <v>317.73938200793998</v>
      </c>
      <c r="AH984" s="691">
        <f t="shared" si="2295"/>
        <v>322.18565479407471</v>
      </c>
      <c r="AI984" s="691">
        <f t="shared" si="2295"/>
        <v>329.23134664773858</v>
      </c>
      <c r="AJ984" s="361"/>
      <c r="AK984" s="361"/>
      <c r="AL984" s="361"/>
      <c r="AM984" s="361"/>
      <c r="AN984" s="361"/>
      <c r="AO984" s="361"/>
      <c r="AP984" s="361"/>
      <c r="AQ984" s="361"/>
      <c r="AR984" s="70"/>
      <c r="AS984" s="689"/>
      <c r="AT984" s="690" t="s">
        <v>122</v>
      </c>
      <c r="AU984" s="681">
        <f>G984</f>
        <v>273.20000000000005</v>
      </c>
      <c r="AV984" s="681">
        <f>K984</f>
        <v>283.60000000000002</v>
      </c>
      <c r="AW984" s="681">
        <f>O984</f>
        <v>280.7</v>
      </c>
      <c r="AX984" s="681">
        <f>S984</f>
        <v>276.60000000000002</v>
      </c>
      <c r="AY984" s="681">
        <f>W984</f>
        <v>291.90000000000003</v>
      </c>
      <c r="AZ984" s="681">
        <f>AA984</f>
        <v>310.8</v>
      </c>
      <c r="BA984" s="681">
        <f>AE984</f>
        <v>315.89763195</v>
      </c>
      <c r="BB984" s="681">
        <f>AI984</f>
        <v>329.23134664773858</v>
      </c>
      <c r="BC984" s="691">
        <f>SUM(BC982:BC983)</f>
        <v>343.89837555331974</v>
      </c>
      <c r="BD984" s="691">
        <f>SUM(BD982:BD983)</f>
        <v>359.38126003173068</v>
      </c>
      <c r="BE984" s="691">
        <f>SUM(BE982:BE983)</f>
        <v>375.56980736209198</v>
      </c>
      <c r="BM984"/>
      <c r="BN984"/>
      <c r="BO984"/>
      <c r="BP984"/>
      <c r="BQ984"/>
      <c r="BR984"/>
    </row>
    <row r="985" spans="1:70" s="674" customFormat="1" x14ac:dyDescent="0.2">
      <c r="A985" s="837"/>
      <c r="D985" s="360"/>
      <c r="E985" s="361"/>
      <c r="F985" s="361"/>
      <c r="G985" s="361"/>
      <c r="H985" s="361"/>
      <c r="I985" s="361"/>
      <c r="J985" s="361"/>
      <c r="K985" s="361"/>
      <c r="L985" s="361"/>
      <c r="M985" s="361"/>
      <c r="N985" s="361"/>
      <c r="O985" s="361"/>
      <c r="P985" s="361"/>
      <c r="Q985" s="361"/>
      <c r="R985" s="361"/>
      <c r="S985" s="361"/>
      <c r="T985" s="361"/>
      <c r="U985" s="361"/>
      <c r="V985" s="361"/>
      <c r="W985" s="361"/>
      <c r="X985" s="361"/>
      <c r="Y985" s="361"/>
      <c r="Z985" s="361"/>
      <c r="AA985" s="361"/>
      <c r="AB985" s="329"/>
      <c r="AC985" s="329"/>
      <c r="AD985" s="329"/>
      <c r="AE985" s="329"/>
      <c r="AF985" s="329"/>
      <c r="AG985" s="329"/>
      <c r="AH985" s="329"/>
      <c r="AI985" s="329"/>
      <c r="AJ985" s="329"/>
      <c r="AK985" s="329"/>
      <c r="AL985" s="329"/>
      <c r="AM985" s="329"/>
      <c r="AN985" s="329"/>
      <c r="AO985" s="329"/>
      <c r="AP985" s="329"/>
      <c r="AQ985" s="329"/>
      <c r="AR985" s="70"/>
      <c r="BC985" s="329"/>
      <c r="BD985" s="329"/>
      <c r="BE985" s="329"/>
      <c r="BM985"/>
      <c r="BN985"/>
      <c r="BO985"/>
      <c r="BP985"/>
      <c r="BQ985"/>
      <c r="BR985"/>
    </row>
    <row r="986" spans="1:70" s="674" customFormat="1" x14ac:dyDescent="0.2">
      <c r="A986" s="837"/>
      <c r="B986" s="670" t="s">
        <v>141</v>
      </c>
      <c r="C986" s="671"/>
      <c r="D986" s="671"/>
      <c r="E986" s="671"/>
      <c r="F986" s="671"/>
      <c r="G986" s="671"/>
      <c r="H986" s="671"/>
      <c r="I986" s="671"/>
      <c r="J986" s="671"/>
      <c r="K986" s="671"/>
      <c r="L986" s="671"/>
      <c r="M986" s="671"/>
      <c r="N986" s="692"/>
      <c r="O986" s="692"/>
      <c r="P986" s="692"/>
      <c r="Q986" s="671"/>
      <c r="R986" s="692"/>
      <c r="S986" s="692"/>
      <c r="T986" s="692"/>
      <c r="U986" s="692"/>
      <c r="V986" s="693"/>
      <c r="W986" s="692"/>
      <c r="X986" s="692"/>
      <c r="Y986" s="694"/>
      <c r="Z986" s="694"/>
      <c r="AA986" s="694"/>
      <c r="AB986" s="671"/>
      <c r="AC986" s="671"/>
      <c r="AD986" s="671"/>
      <c r="AE986" s="671"/>
      <c r="AF986" s="671"/>
      <c r="AG986" s="671"/>
      <c r="AH986" s="671"/>
      <c r="AI986" s="671"/>
      <c r="AJ986" s="671"/>
      <c r="AK986" s="671"/>
      <c r="AL986" s="671"/>
      <c r="AM986" s="671"/>
      <c r="AN986" s="671"/>
      <c r="AO986" s="671"/>
      <c r="AP986" s="671"/>
      <c r="AQ986" s="671"/>
      <c r="AR986" s="70"/>
      <c r="AS986" s="670" t="s">
        <v>141</v>
      </c>
      <c r="AT986" s="671"/>
      <c r="AU986" s="671"/>
      <c r="AV986" s="671"/>
      <c r="AW986" s="671"/>
      <c r="AX986" s="671"/>
      <c r="AY986" s="671"/>
      <c r="AZ986" s="671"/>
      <c r="BA986" s="671"/>
      <c r="BB986" s="671"/>
      <c r="BC986" s="671"/>
      <c r="BD986" s="671"/>
      <c r="BE986" s="671"/>
      <c r="BM986"/>
      <c r="BN986"/>
      <c r="BO986"/>
      <c r="BP986"/>
      <c r="BQ986"/>
      <c r="BR986"/>
    </row>
    <row r="987" spans="1:70" s="679" customFormat="1" x14ac:dyDescent="0.2">
      <c r="A987" s="838"/>
      <c r="B987" s="675"/>
      <c r="C987" s="329"/>
      <c r="D987" s="329"/>
      <c r="E987" s="329"/>
      <c r="F987" s="329"/>
      <c r="G987" s="329"/>
      <c r="H987" s="329"/>
      <c r="I987" s="676"/>
      <c r="J987" s="676"/>
      <c r="K987" s="676"/>
      <c r="L987" s="676"/>
      <c r="M987" s="676"/>
      <c r="N987" s="676"/>
      <c r="O987" s="677"/>
      <c r="P987" s="676"/>
      <c r="Q987" s="676"/>
      <c r="R987" s="676"/>
      <c r="S987" s="676"/>
      <c r="T987" s="676"/>
      <c r="U987" s="676"/>
      <c r="V987" s="695"/>
      <c r="W987" s="676"/>
      <c r="X987" s="676"/>
      <c r="AC987" s="675"/>
      <c r="AD987" s="675"/>
      <c r="AE987" s="675"/>
      <c r="AF987" s="675"/>
      <c r="AG987" s="675"/>
      <c r="AH987" s="675"/>
      <c r="AI987" s="675"/>
      <c r="AJ987" s="675"/>
      <c r="AK987" s="675"/>
      <c r="AL987" s="675"/>
      <c r="AM987" s="675"/>
      <c r="AN987" s="675"/>
      <c r="AO987" s="675"/>
      <c r="AP987" s="675"/>
      <c r="AQ987" s="675"/>
      <c r="AR987" s="70"/>
      <c r="AS987" s="675"/>
      <c r="AT987" s="329"/>
      <c r="BC987" s="675"/>
      <c r="BD987" s="675"/>
      <c r="BE987" s="675"/>
      <c r="BM987"/>
      <c r="BN987"/>
      <c r="BO987"/>
      <c r="BP987"/>
      <c r="BQ987"/>
      <c r="BR987"/>
    </row>
    <row r="988" spans="1:70" s="679" customFormat="1" x14ac:dyDescent="0.2">
      <c r="A988" s="838"/>
      <c r="B988" s="680" t="s">
        <v>129</v>
      </c>
      <c r="C988" s="675"/>
      <c r="D988" s="329"/>
      <c r="E988" s="329"/>
      <c r="F988" s="329"/>
      <c r="G988" s="329"/>
      <c r="H988" s="329"/>
      <c r="I988" s="677"/>
      <c r="J988" s="677"/>
      <c r="K988" s="677"/>
      <c r="L988" s="677"/>
      <c r="M988" s="677"/>
      <c r="N988" s="677"/>
      <c r="O988" s="677"/>
      <c r="P988" s="676"/>
      <c r="Q988" s="676"/>
      <c r="R988" s="676"/>
      <c r="S988" s="676"/>
      <c r="T988" s="676"/>
      <c r="U988" s="676"/>
      <c r="V988" s="676"/>
      <c r="W988" s="676"/>
      <c r="X988" s="676"/>
      <c r="AC988" s="675"/>
      <c r="AD988" s="675"/>
      <c r="AE988" s="675"/>
      <c r="AF988" s="675"/>
      <c r="AG988" s="675"/>
      <c r="AH988" s="675"/>
      <c r="AI988" s="675"/>
      <c r="AJ988" s="675"/>
      <c r="AK988" s="675"/>
      <c r="AL988" s="675"/>
      <c r="AM988" s="675"/>
      <c r="AN988" s="675"/>
      <c r="AO988" s="675"/>
      <c r="AP988" s="675"/>
      <c r="AQ988" s="675"/>
      <c r="AR988" s="70"/>
      <c r="AS988" s="680" t="s">
        <v>129</v>
      </c>
      <c r="AT988" s="675"/>
      <c r="BC988" s="675"/>
      <c r="BD988" s="675"/>
      <c r="BE988" s="675"/>
      <c r="BM988"/>
      <c r="BN988"/>
      <c r="BO988"/>
      <c r="BP988"/>
      <c r="BQ988"/>
      <c r="BR988"/>
    </row>
    <row r="989" spans="1:70" s="679" customFormat="1" x14ac:dyDescent="0.2">
      <c r="A989" s="838"/>
      <c r="B989" s="675" t="s">
        <v>134</v>
      </c>
      <c r="C989" s="675"/>
      <c r="D989" s="77">
        <f t="shared" ref="D989:AE989" si="2296">D704</f>
        <v>103.6</v>
      </c>
      <c r="E989" s="77">
        <f t="shared" si="2296"/>
        <v>99.800000000000011</v>
      </c>
      <c r="F989" s="77">
        <f t="shared" si="2296"/>
        <v>95.3</v>
      </c>
      <c r="G989" s="77">
        <f t="shared" si="2296"/>
        <v>91.800000000000011</v>
      </c>
      <c r="H989" s="77">
        <f t="shared" si="2296"/>
        <v>86.1</v>
      </c>
      <c r="I989" s="77">
        <f t="shared" si="2296"/>
        <v>79.8</v>
      </c>
      <c r="J989" s="77">
        <f t="shared" si="2296"/>
        <v>76.3</v>
      </c>
      <c r="K989" s="77">
        <f t="shared" si="2296"/>
        <v>73.3</v>
      </c>
      <c r="L989" s="77">
        <f t="shared" si="2296"/>
        <v>70.900000000000006</v>
      </c>
      <c r="M989" s="77">
        <f t="shared" si="2296"/>
        <v>66.900000000000006</v>
      </c>
      <c r="N989" s="77">
        <f t="shared" si="2296"/>
        <v>63.4</v>
      </c>
      <c r="O989" s="77">
        <f t="shared" si="2296"/>
        <v>59.3</v>
      </c>
      <c r="P989" s="77">
        <f t="shared" si="2296"/>
        <v>53.6</v>
      </c>
      <c r="Q989" s="77">
        <f t="shared" si="2296"/>
        <v>51.3</v>
      </c>
      <c r="R989" s="77">
        <f t="shared" si="2296"/>
        <v>47.9</v>
      </c>
      <c r="S989" s="77">
        <f t="shared" si="2296"/>
        <v>37.799999999999997</v>
      </c>
      <c r="T989" s="77">
        <f t="shared" si="2296"/>
        <v>35.900000000000006</v>
      </c>
      <c r="U989" s="77">
        <f t="shared" si="2296"/>
        <v>33.1</v>
      </c>
      <c r="V989" s="77">
        <f t="shared" si="2296"/>
        <v>30.900000000000002</v>
      </c>
      <c r="W989" s="77">
        <f t="shared" si="2296"/>
        <v>28.4</v>
      </c>
      <c r="X989" s="77">
        <f t="shared" si="2296"/>
        <v>25.700000000000003</v>
      </c>
      <c r="Y989" s="77">
        <f t="shared" ref="Y989:Z989" si="2297">Y704</f>
        <v>23.4</v>
      </c>
      <c r="Z989" s="77">
        <f t="shared" si="2297"/>
        <v>21.6</v>
      </c>
      <c r="AA989" s="77">
        <f t="shared" ref="AA989:AB989" si="2298">AA704</f>
        <v>19.899999999999999</v>
      </c>
      <c r="AB989" s="77">
        <f t="shared" si="2298"/>
        <v>18</v>
      </c>
      <c r="AC989" s="77">
        <f t="shared" si="2296"/>
        <v>17.100000000000001</v>
      </c>
      <c r="AD989" s="77">
        <f t="shared" si="2296"/>
        <v>16.245000000000001</v>
      </c>
      <c r="AE989" s="77">
        <f t="shared" si="2296"/>
        <v>15.432750000000002</v>
      </c>
      <c r="AF989" s="77">
        <f t="shared" ref="AF989:AI989" si="2299">AF704</f>
        <v>14.506785000000004</v>
      </c>
      <c r="AG989" s="77">
        <f t="shared" si="2299"/>
        <v>13.636377900000003</v>
      </c>
      <c r="AH989" s="77">
        <f t="shared" si="2299"/>
        <v>12.954559005000004</v>
      </c>
      <c r="AI989" s="77">
        <f t="shared" si="2299"/>
        <v>12.306831054750003</v>
      </c>
      <c r="AJ989" s="77"/>
      <c r="AK989" s="77"/>
      <c r="AL989" s="77"/>
      <c r="AM989" s="77"/>
      <c r="AN989" s="77"/>
      <c r="AO989" s="77"/>
      <c r="AP989" s="77"/>
      <c r="AQ989" s="77"/>
      <c r="AR989" s="70"/>
      <c r="AS989" s="675" t="s">
        <v>134</v>
      </c>
      <c r="AT989" s="675"/>
      <c r="AU989" s="467">
        <f>G989</f>
        <v>91.800000000000011</v>
      </c>
      <c r="AV989" s="467">
        <f>K989</f>
        <v>73.3</v>
      </c>
      <c r="AW989" s="467">
        <f>O989</f>
        <v>59.3</v>
      </c>
      <c r="AX989" s="467">
        <f>S989</f>
        <v>37.799999999999997</v>
      </c>
      <c r="AY989" s="467">
        <f>W989</f>
        <v>28.4</v>
      </c>
      <c r="AZ989" s="467">
        <f>AA989</f>
        <v>19.899999999999999</v>
      </c>
      <c r="BA989" s="467">
        <f>AE989</f>
        <v>15.432750000000002</v>
      </c>
      <c r="BB989" s="467">
        <f>AI989</f>
        <v>12.306831054750003</v>
      </c>
      <c r="BC989" s="77">
        <f t="shared" ref="BC989:BD990" si="2300">BC704</f>
        <v>9.8454648438000021</v>
      </c>
      <c r="BD989" s="77">
        <f t="shared" si="2300"/>
        <v>7.876371875040002</v>
      </c>
      <c r="BE989" s="77">
        <f t="shared" ref="BE989" si="2301">BE704</f>
        <v>6.3010975000320002</v>
      </c>
      <c r="BM989"/>
      <c r="BN989"/>
      <c r="BO989"/>
      <c r="BP989"/>
      <c r="BQ989"/>
      <c r="BR989"/>
    </row>
    <row r="990" spans="1:70" s="679" customFormat="1" x14ac:dyDescent="0.2">
      <c r="A990" s="838"/>
      <c r="B990" s="675" t="s">
        <v>16</v>
      </c>
      <c r="C990" s="675"/>
      <c r="D990" s="77">
        <f t="shared" ref="D990:AE990" si="2302">D705</f>
        <v>15.300000000000011</v>
      </c>
      <c r="E990" s="77">
        <f t="shared" si="2302"/>
        <v>14.799999999999983</v>
      </c>
      <c r="F990" s="77">
        <f t="shared" si="2302"/>
        <v>13.799999999999997</v>
      </c>
      <c r="G990" s="77">
        <f t="shared" si="2302"/>
        <v>13.299999999999983</v>
      </c>
      <c r="H990" s="77">
        <f t="shared" si="2302"/>
        <v>12.200000000000003</v>
      </c>
      <c r="I990" s="77">
        <f t="shared" si="2302"/>
        <v>11.900000000000006</v>
      </c>
      <c r="J990" s="77">
        <f t="shared" si="2302"/>
        <v>12</v>
      </c>
      <c r="K990" s="77">
        <f t="shared" si="2302"/>
        <v>12</v>
      </c>
      <c r="L990" s="77">
        <f t="shared" si="2302"/>
        <v>11.399999999999991</v>
      </c>
      <c r="M990" s="77">
        <f t="shared" si="2302"/>
        <v>11.599999999999994</v>
      </c>
      <c r="N990" s="77">
        <f t="shared" si="2302"/>
        <v>11.500000000000007</v>
      </c>
      <c r="O990" s="77">
        <f t="shared" si="2302"/>
        <v>11.5</v>
      </c>
      <c r="P990" s="77">
        <f t="shared" si="2302"/>
        <v>3</v>
      </c>
      <c r="Q990" s="77">
        <f t="shared" si="2302"/>
        <v>2.9000000000000057</v>
      </c>
      <c r="R990" s="77">
        <f t="shared" si="2302"/>
        <v>2.8000000000000043</v>
      </c>
      <c r="S990" s="77">
        <f t="shared" si="2302"/>
        <v>2.7000000000000028</v>
      </c>
      <c r="T990" s="77">
        <f t="shared" si="2302"/>
        <v>2.6999999999999957</v>
      </c>
      <c r="U990" s="77">
        <f t="shared" si="2302"/>
        <v>2.6000000000000014</v>
      </c>
      <c r="V990" s="77">
        <f t="shared" si="2302"/>
        <v>2.4999999999999964</v>
      </c>
      <c r="W990" s="77">
        <f t="shared" si="2302"/>
        <v>2.4000000000000021</v>
      </c>
      <c r="X990" s="77">
        <f t="shared" si="2302"/>
        <v>1.4999999999999964</v>
      </c>
      <c r="Y990" s="77">
        <f t="shared" ref="Y990:Z990" si="2303">Y705</f>
        <v>1.5</v>
      </c>
      <c r="Z990" s="77">
        <f t="shared" si="2303"/>
        <v>1.3999999999999986</v>
      </c>
      <c r="AA990" s="77">
        <f t="shared" ref="AA990:AB990" si="2304">AA705</f>
        <v>1.3000000000000007</v>
      </c>
      <c r="AB990" s="77">
        <f t="shared" si="2304"/>
        <v>1.3000000000000007</v>
      </c>
      <c r="AC990" s="77">
        <f t="shared" si="2302"/>
        <v>1.2350000000000005</v>
      </c>
      <c r="AD990" s="77">
        <f t="shared" si="2302"/>
        <v>1.1732500000000006</v>
      </c>
      <c r="AE990" s="77">
        <f t="shared" si="2302"/>
        <v>1.1145875000000005</v>
      </c>
      <c r="AF990" s="77">
        <f t="shared" ref="AF990:AI990" si="2305">AF705</f>
        <v>1.0477122500000005</v>
      </c>
      <c r="AG990" s="77">
        <f t="shared" si="2305"/>
        <v>0.98484951500000051</v>
      </c>
      <c r="AH990" s="77">
        <f t="shared" si="2305"/>
        <v>0.93560703925000033</v>
      </c>
      <c r="AI990" s="77">
        <f t="shared" si="2305"/>
        <v>0.88882668728750025</v>
      </c>
      <c r="AJ990" s="77"/>
      <c r="AK990" s="77"/>
      <c r="AL990" s="77"/>
      <c r="AM990" s="77"/>
      <c r="AN990" s="77"/>
      <c r="AO990" s="77"/>
      <c r="AP990" s="77"/>
      <c r="AQ990" s="77"/>
      <c r="AR990" s="70"/>
      <c r="AS990" s="675" t="s">
        <v>16</v>
      </c>
      <c r="AT990" s="675"/>
      <c r="AU990" s="467">
        <f>G990</f>
        <v>13.299999999999983</v>
      </c>
      <c r="AV990" s="467">
        <f>K990</f>
        <v>12</v>
      </c>
      <c r="AW990" s="467">
        <f>O990</f>
        <v>11.5</v>
      </c>
      <c r="AX990" s="467">
        <f>S990</f>
        <v>2.7000000000000028</v>
      </c>
      <c r="AY990" s="467">
        <f>W990</f>
        <v>2.4000000000000021</v>
      </c>
      <c r="AZ990" s="467">
        <f>AA990</f>
        <v>1.3000000000000007</v>
      </c>
      <c r="BA990" s="467">
        <f>AE990</f>
        <v>1.1145875000000005</v>
      </c>
      <c r="BB990" s="467">
        <f>AI990</f>
        <v>0.88882668728750025</v>
      </c>
      <c r="BC990" s="77">
        <f t="shared" si="2300"/>
        <v>0.71106134983000024</v>
      </c>
      <c r="BD990" s="77">
        <f t="shared" si="2300"/>
        <v>0.56884907986400024</v>
      </c>
      <c r="BE990" s="77">
        <f t="shared" ref="BE990" si="2306">BE705</f>
        <v>0.45507926389120018</v>
      </c>
      <c r="BM990"/>
      <c r="BN990"/>
      <c r="BO990"/>
      <c r="BP990"/>
      <c r="BQ990"/>
      <c r="BR990"/>
    </row>
    <row r="991" spans="1:70" s="674" customFormat="1" x14ac:dyDescent="0.2">
      <c r="A991" s="837"/>
      <c r="B991" s="329"/>
      <c r="C991" s="329" t="s">
        <v>314</v>
      </c>
      <c r="D991" s="696">
        <f t="shared" ref="D991:AE991" si="2307">SUM(D989:D990)</f>
        <v>118.9</v>
      </c>
      <c r="E991" s="696">
        <f t="shared" si="2307"/>
        <v>114.6</v>
      </c>
      <c r="F991" s="696">
        <f t="shared" si="2307"/>
        <v>109.1</v>
      </c>
      <c r="G991" s="696">
        <f t="shared" si="2307"/>
        <v>105.1</v>
      </c>
      <c r="H991" s="696">
        <f t="shared" si="2307"/>
        <v>98.3</v>
      </c>
      <c r="I991" s="696">
        <f t="shared" si="2307"/>
        <v>91.7</v>
      </c>
      <c r="J991" s="696">
        <f t="shared" si="2307"/>
        <v>88.3</v>
      </c>
      <c r="K991" s="696">
        <f t="shared" si="2307"/>
        <v>85.3</v>
      </c>
      <c r="L991" s="696">
        <f t="shared" si="2307"/>
        <v>82.3</v>
      </c>
      <c r="M991" s="696">
        <f t="shared" si="2307"/>
        <v>78.5</v>
      </c>
      <c r="N991" s="696">
        <f t="shared" si="2307"/>
        <v>74.900000000000006</v>
      </c>
      <c r="O991" s="696">
        <f t="shared" si="2307"/>
        <v>70.8</v>
      </c>
      <c r="P991" s="696">
        <f t="shared" si="2307"/>
        <v>56.6</v>
      </c>
      <c r="Q991" s="696">
        <f t="shared" si="2307"/>
        <v>54.2</v>
      </c>
      <c r="R991" s="696">
        <f t="shared" si="2307"/>
        <v>50.7</v>
      </c>
      <c r="S991" s="696">
        <f t="shared" si="2307"/>
        <v>40.5</v>
      </c>
      <c r="T991" s="696">
        <f t="shared" si="2307"/>
        <v>38.6</v>
      </c>
      <c r="U991" s="696">
        <f t="shared" si="2307"/>
        <v>35.700000000000003</v>
      </c>
      <c r="V991" s="696">
        <f t="shared" si="2307"/>
        <v>33.4</v>
      </c>
      <c r="W991" s="696">
        <f t="shared" si="2307"/>
        <v>30.8</v>
      </c>
      <c r="X991" s="696">
        <f t="shared" si="2307"/>
        <v>27.2</v>
      </c>
      <c r="Y991" s="696">
        <f t="shared" ref="Y991:Z991" si="2308">SUM(Y989:Y990)</f>
        <v>24.9</v>
      </c>
      <c r="Z991" s="696">
        <f t="shared" si="2308"/>
        <v>23</v>
      </c>
      <c r="AA991" s="696">
        <f t="shared" ref="AA991:AB991" si="2309">SUM(AA989:AA990)</f>
        <v>21.2</v>
      </c>
      <c r="AB991" s="696">
        <f t="shared" si="2309"/>
        <v>19.3</v>
      </c>
      <c r="AC991" s="696">
        <f t="shared" si="2307"/>
        <v>18.335000000000001</v>
      </c>
      <c r="AD991" s="696">
        <f t="shared" si="2307"/>
        <v>17.41825</v>
      </c>
      <c r="AE991" s="696">
        <f t="shared" si="2307"/>
        <v>16.547337500000001</v>
      </c>
      <c r="AF991" s="696">
        <f t="shared" ref="AF991:AI991" si="2310">SUM(AF989:AF990)</f>
        <v>15.554497250000004</v>
      </c>
      <c r="AG991" s="696">
        <f t="shared" si="2310"/>
        <v>14.621227415000003</v>
      </c>
      <c r="AH991" s="696">
        <f t="shared" si="2310"/>
        <v>13.890166044250003</v>
      </c>
      <c r="AI991" s="696">
        <f t="shared" si="2310"/>
        <v>13.195657742037502</v>
      </c>
      <c r="AJ991" s="688"/>
      <c r="AK991" s="688"/>
      <c r="AL991" s="688"/>
      <c r="AM991" s="688"/>
      <c r="AN991" s="688"/>
      <c r="AO991" s="688"/>
      <c r="AP991" s="688"/>
      <c r="AQ991" s="688"/>
      <c r="AR991" s="70"/>
      <c r="AS991" s="329"/>
      <c r="AT991" s="329" t="s">
        <v>314</v>
      </c>
      <c r="AU991" s="681">
        <f>G991</f>
        <v>105.1</v>
      </c>
      <c r="AV991" s="681">
        <f>K991</f>
        <v>85.3</v>
      </c>
      <c r="AW991" s="681">
        <f>O991</f>
        <v>70.8</v>
      </c>
      <c r="AX991" s="681">
        <f>S991</f>
        <v>40.5</v>
      </c>
      <c r="AY991" s="681">
        <f>W991</f>
        <v>30.8</v>
      </c>
      <c r="AZ991" s="681">
        <f>AA991</f>
        <v>21.2</v>
      </c>
      <c r="BA991" s="681">
        <f>AE991</f>
        <v>16.547337500000001</v>
      </c>
      <c r="BB991" s="681">
        <f>AI991</f>
        <v>13.195657742037502</v>
      </c>
      <c r="BC991" s="696">
        <f>SUM(BC989:BC990)</f>
        <v>10.556526193630003</v>
      </c>
      <c r="BD991" s="696">
        <f>SUM(BD989:BD990)</f>
        <v>8.445220954904002</v>
      </c>
      <c r="BE991" s="696">
        <f>SUM(BE989:BE990)</f>
        <v>6.7561767639232002</v>
      </c>
      <c r="BM991"/>
      <c r="BN991"/>
      <c r="BO991"/>
      <c r="BP991"/>
      <c r="BQ991"/>
      <c r="BR991"/>
    </row>
    <row r="992" spans="1:70" s="674" customFormat="1" x14ac:dyDescent="0.2">
      <c r="A992" s="837"/>
      <c r="B992" s="329"/>
      <c r="C992" s="329"/>
      <c r="D992" s="697"/>
      <c r="E992" s="697"/>
      <c r="F992" s="697"/>
      <c r="G992" s="697"/>
      <c r="H992" s="697"/>
      <c r="I992" s="697"/>
      <c r="J992" s="697"/>
      <c r="K992" s="697"/>
      <c r="L992" s="697"/>
      <c r="M992" s="697"/>
      <c r="N992" s="697"/>
      <c r="O992" s="697"/>
      <c r="P992" s="697"/>
      <c r="Q992" s="697"/>
      <c r="R992" s="697"/>
      <c r="S992" s="697"/>
      <c r="T992" s="697"/>
      <c r="U992" s="697"/>
      <c r="V992" s="697"/>
      <c r="W992" s="697"/>
      <c r="X992" s="697"/>
      <c r="Y992" s="697"/>
      <c r="Z992" s="697"/>
      <c r="AA992" s="697"/>
      <c r="AB992" s="697"/>
      <c r="AC992" s="697"/>
      <c r="AD992" s="697"/>
      <c r="AE992" s="697"/>
      <c r="AF992" s="697"/>
      <c r="AG992" s="697"/>
      <c r="AH992" s="697"/>
      <c r="AI992" s="697"/>
      <c r="AJ992" s="697"/>
      <c r="AK992" s="697"/>
      <c r="AL992" s="697"/>
      <c r="AM992" s="697"/>
      <c r="AN992" s="697"/>
      <c r="AO992" s="697"/>
      <c r="AP992" s="697"/>
      <c r="AQ992" s="697"/>
      <c r="AR992" s="70"/>
      <c r="AS992" s="329"/>
      <c r="AT992" s="329"/>
      <c r="BC992" s="697"/>
      <c r="BD992" s="697"/>
      <c r="BE992" s="697"/>
      <c r="BM992"/>
      <c r="BN992"/>
      <c r="BO992"/>
      <c r="BP992"/>
      <c r="BQ992"/>
      <c r="BR992"/>
    </row>
    <row r="993" spans="1:70" s="674" customFormat="1" x14ac:dyDescent="0.2">
      <c r="A993" s="837"/>
      <c r="B993" s="680" t="s">
        <v>37</v>
      </c>
      <c r="C993" s="329"/>
      <c r="D993" s="77">
        <f t="shared" ref="D993:AE993" si="2311">D708</f>
        <v>29.4</v>
      </c>
      <c r="E993" s="77">
        <f t="shared" si="2311"/>
        <v>28.1</v>
      </c>
      <c r="F993" s="77">
        <f t="shared" si="2311"/>
        <v>27.8</v>
      </c>
      <c r="G993" s="77">
        <f t="shared" si="2311"/>
        <v>26.6</v>
      </c>
      <c r="H993" s="77">
        <f t="shared" si="2311"/>
        <v>24.9</v>
      </c>
      <c r="I993" s="77">
        <f t="shared" si="2311"/>
        <v>21</v>
      </c>
      <c r="J993" s="77">
        <f t="shared" si="2311"/>
        <v>21.2</v>
      </c>
      <c r="K993" s="77">
        <f t="shared" si="2311"/>
        <v>20.7</v>
      </c>
      <c r="L993" s="77">
        <f t="shared" si="2311"/>
        <v>20.100000000000001</v>
      </c>
      <c r="M993" s="77">
        <f t="shared" si="2311"/>
        <v>19.899999999999999</v>
      </c>
      <c r="N993" s="77">
        <f t="shared" si="2311"/>
        <v>15.4</v>
      </c>
      <c r="O993" s="77">
        <f t="shared" si="2311"/>
        <v>14.4</v>
      </c>
      <c r="P993" s="77">
        <f t="shared" si="2311"/>
        <v>10.199999999999999</v>
      </c>
      <c r="Q993" s="77">
        <f t="shared" si="2311"/>
        <v>9.4</v>
      </c>
      <c r="R993" s="77">
        <f t="shared" si="2311"/>
        <v>8.6999999999999993</v>
      </c>
      <c r="S993" s="77">
        <f t="shared" si="2311"/>
        <v>8.1999999999999993</v>
      </c>
      <c r="T993" s="77">
        <f t="shared" si="2311"/>
        <v>6.4</v>
      </c>
      <c r="U993" s="77">
        <f t="shared" si="2311"/>
        <v>5.5</v>
      </c>
      <c r="V993" s="77">
        <f t="shared" si="2311"/>
        <v>5.5</v>
      </c>
      <c r="W993" s="77">
        <f t="shared" si="2311"/>
        <v>2.4</v>
      </c>
      <c r="X993" s="77">
        <f t="shared" si="2311"/>
        <v>2.1</v>
      </c>
      <c r="Y993" s="77">
        <f t="shared" ref="Y993:Z993" si="2312">Y708</f>
        <v>1.8</v>
      </c>
      <c r="Z993" s="77">
        <f t="shared" si="2312"/>
        <v>1.7</v>
      </c>
      <c r="AA993" s="77">
        <f t="shared" ref="AA993:AB993" si="2313">AA708</f>
        <v>1.6</v>
      </c>
      <c r="AB993" s="77">
        <f t="shared" si="2313"/>
        <v>1.7</v>
      </c>
      <c r="AC993" s="77">
        <f t="shared" si="2311"/>
        <v>1.53</v>
      </c>
      <c r="AD993" s="77">
        <f t="shared" si="2311"/>
        <v>1.3769999999999998</v>
      </c>
      <c r="AE993" s="77">
        <f t="shared" si="2311"/>
        <v>1.2392999999999998</v>
      </c>
      <c r="AF993" s="77">
        <f t="shared" ref="AF993:AI993" si="2314">AF708</f>
        <v>1.0781909999999999</v>
      </c>
      <c r="AG993" s="77">
        <f t="shared" si="2314"/>
        <v>0.93802616999999988</v>
      </c>
      <c r="AH993" s="77">
        <f t="shared" si="2314"/>
        <v>0.80295040151999986</v>
      </c>
      <c r="AI993" s="77">
        <f t="shared" si="2314"/>
        <v>0.68732554370111998</v>
      </c>
      <c r="AJ993" s="77"/>
      <c r="AK993" s="77"/>
      <c r="AL993" s="77"/>
      <c r="AM993" s="77"/>
      <c r="AN993" s="77"/>
      <c r="AO993" s="77"/>
      <c r="AP993" s="77"/>
      <c r="AQ993" s="77"/>
      <c r="AR993" s="70"/>
      <c r="AS993" s="680" t="s">
        <v>37</v>
      </c>
      <c r="AT993" s="329"/>
      <c r="AU993" s="467">
        <f>G993</f>
        <v>26.6</v>
      </c>
      <c r="AV993" s="467">
        <f>K993</f>
        <v>20.7</v>
      </c>
      <c r="AW993" s="467">
        <f>O993</f>
        <v>14.4</v>
      </c>
      <c r="AX993" s="467">
        <f>S993</f>
        <v>8.1999999999999993</v>
      </c>
      <c r="AY993" s="467">
        <f>W993</f>
        <v>2.4</v>
      </c>
      <c r="AZ993" s="467">
        <f>AA993</f>
        <v>1.6</v>
      </c>
      <c r="BA993" s="467">
        <f>AE993</f>
        <v>1.2392999999999998</v>
      </c>
      <c r="BB993" s="467">
        <f>AI993</f>
        <v>0.68732554370111998</v>
      </c>
      <c r="BC993" s="77">
        <f>BC708</f>
        <v>0.41239532622067199</v>
      </c>
      <c r="BD993" s="77">
        <f>BD708</f>
        <v>0.24743719573240319</v>
      </c>
      <c r="BE993" s="77">
        <f>BE708</f>
        <v>0.14846231743944191</v>
      </c>
      <c r="BM993"/>
      <c r="BN993"/>
      <c r="BO993"/>
      <c r="BP993"/>
      <c r="BQ993"/>
      <c r="BR993"/>
    </row>
    <row r="994" spans="1:70" s="674" customFormat="1" x14ac:dyDescent="0.2">
      <c r="A994" s="837"/>
      <c r="B994" s="329"/>
      <c r="C994" s="329"/>
      <c r="D994" s="682"/>
      <c r="E994" s="682"/>
      <c r="F994" s="682"/>
      <c r="G994" s="682"/>
      <c r="H994" s="682"/>
      <c r="I994" s="682"/>
      <c r="J994" s="682"/>
      <c r="K994" s="682"/>
      <c r="L994" s="682"/>
      <c r="M994" s="682"/>
      <c r="N994" s="682"/>
      <c r="O994" s="682"/>
      <c r="P994" s="682"/>
      <c r="Q994" s="682"/>
      <c r="R994" s="682"/>
      <c r="S994" s="682"/>
      <c r="T994" s="682"/>
      <c r="U994" s="682"/>
      <c r="V994" s="682"/>
      <c r="W994" s="682"/>
      <c r="X994" s="682"/>
      <c r="Y994" s="682"/>
      <c r="Z994" s="682"/>
      <c r="AA994" s="682"/>
      <c r="AB994" s="682"/>
      <c r="AC994" s="682"/>
      <c r="AD994" s="682"/>
      <c r="AE994" s="682"/>
      <c r="AF994" s="682"/>
      <c r="AG994" s="682"/>
      <c r="AH994" s="682"/>
      <c r="AI994" s="682"/>
      <c r="AJ994" s="682"/>
      <c r="AK994" s="682"/>
      <c r="AL994" s="682"/>
      <c r="AM994" s="682"/>
      <c r="AN994" s="682"/>
      <c r="AO994" s="682"/>
      <c r="AP994" s="682"/>
      <c r="AQ994" s="682"/>
      <c r="AR994" s="70"/>
      <c r="AS994" s="329"/>
      <c r="AT994" s="329"/>
      <c r="BC994" s="682"/>
      <c r="BD994" s="682"/>
      <c r="BE994" s="682"/>
      <c r="BM994"/>
      <c r="BN994"/>
      <c r="BO994"/>
      <c r="BP994"/>
      <c r="BQ994"/>
      <c r="BR994"/>
    </row>
    <row r="995" spans="1:70" s="674" customFormat="1" x14ac:dyDescent="0.2">
      <c r="A995" s="837"/>
      <c r="B995" s="698" t="s">
        <v>140</v>
      </c>
      <c r="C995" s="329"/>
      <c r="D995" s="598">
        <v>1.1000000000000001</v>
      </c>
      <c r="E995" s="598">
        <v>1</v>
      </c>
      <c r="F995" s="598">
        <v>1.1000000000000001</v>
      </c>
      <c r="G995" s="598">
        <v>0.9</v>
      </c>
      <c r="H995" s="598">
        <v>0.8</v>
      </c>
      <c r="I995" s="598">
        <v>0.8</v>
      </c>
      <c r="J995" s="598">
        <v>0.9</v>
      </c>
      <c r="K995" s="598">
        <v>0.7</v>
      </c>
      <c r="L995" s="598">
        <v>0.5</v>
      </c>
      <c r="M995" s="598">
        <v>-2.2000000000000002</v>
      </c>
      <c r="N995" s="598">
        <v>0.2</v>
      </c>
      <c r="O995" s="598">
        <v>-0.3</v>
      </c>
      <c r="P995" s="598">
        <v>0.1</v>
      </c>
      <c r="Q995" s="598">
        <v>0.2</v>
      </c>
      <c r="R995" s="598">
        <v>0.1</v>
      </c>
      <c r="S995" s="598">
        <v>0.2</v>
      </c>
      <c r="T995" s="598">
        <v>0.3</v>
      </c>
      <c r="U995" s="598">
        <v>0.1</v>
      </c>
      <c r="V995" s="598">
        <v>0.1</v>
      </c>
      <c r="W995" s="598">
        <v>0</v>
      </c>
      <c r="X995" s="598">
        <v>0</v>
      </c>
      <c r="Y995" s="598">
        <v>0</v>
      </c>
      <c r="Z995" s="598">
        <v>0</v>
      </c>
      <c r="AA995" s="598">
        <v>0</v>
      </c>
      <c r="AB995" s="598">
        <v>0</v>
      </c>
      <c r="AC995" s="699">
        <v>0</v>
      </c>
      <c r="AD995" s="699">
        <v>0</v>
      </c>
      <c r="AE995" s="699">
        <v>0</v>
      </c>
      <c r="AF995" s="699">
        <v>0</v>
      </c>
      <c r="AG995" s="699">
        <v>0</v>
      </c>
      <c r="AH995" s="699">
        <v>0</v>
      </c>
      <c r="AI995" s="699">
        <v>0</v>
      </c>
      <c r="AJ995" s="699"/>
      <c r="AK995" s="699"/>
      <c r="AL995" s="699"/>
      <c r="AM995" s="699"/>
      <c r="AN995" s="699"/>
      <c r="AO995" s="699"/>
      <c r="AP995" s="699"/>
      <c r="AQ995" s="699"/>
      <c r="AR995" s="70"/>
      <c r="AS995" s="698" t="s">
        <v>140</v>
      </c>
      <c r="AT995" s="329"/>
      <c r="AU995" s="467">
        <f>G995</f>
        <v>0.9</v>
      </c>
      <c r="AV995" s="467">
        <f>K995</f>
        <v>0.7</v>
      </c>
      <c r="AW995" s="467">
        <f>O995</f>
        <v>-0.3</v>
      </c>
      <c r="AX995" s="467">
        <f>S995</f>
        <v>0.2</v>
      </c>
      <c r="AY995" s="467">
        <f>W995</f>
        <v>0</v>
      </c>
      <c r="AZ995" s="467">
        <f>AA995</f>
        <v>0</v>
      </c>
      <c r="BA995" s="467">
        <f>AE995</f>
        <v>0</v>
      </c>
      <c r="BB995" s="467">
        <f>AI995</f>
        <v>0</v>
      </c>
      <c r="BC995" s="699">
        <v>0</v>
      </c>
      <c r="BD995" s="699">
        <v>0</v>
      </c>
      <c r="BE995" s="699">
        <v>0</v>
      </c>
      <c r="BM995"/>
      <c r="BN995"/>
      <c r="BO995"/>
      <c r="BP995"/>
      <c r="BQ995"/>
      <c r="BR995"/>
    </row>
    <row r="996" spans="1:70" s="674" customFormat="1" x14ac:dyDescent="0.2">
      <c r="A996" s="837"/>
      <c r="D996" s="697"/>
      <c r="E996" s="697"/>
      <c r="F996" s="697"/>
      <c r="G996" s="697"/>
      <c r="H996" s="697"/>
      <c r="I996" s="697"/>
      <c r="J996" s="697"/>
      <c r="K996" s="697"/>
      <c r="L996" s="697"/>
      <c r="M996" s="697"/>
      <c r="N996" s="697"/>
      <c r="O996" s="697"/>
      <c r="P996" s="697"/>
      <c r="Q996" s="697"/>
      <c r="R996" s="697"/>
      <c r="S996" s="697"/>
      <c r="T996" s="697"/>
      <c r="U996" s="697"/>
      <c r="V996" s="697"/>
      <c r="W996" s="697"/>
      <c r="X996" s="697"/>
      <c r="Y996" s="697"/>
      <c r="Z996" s="697"/>
      <c r="AA996" s="697"/>
      <c r="AB996" s="697"/>
      <c r="AC996" s="697"/>
      <c r="AD996" s="697"/>
      <c r="AE996" s="697"/>
      <c r="AF996" s="697"/>
      <c r="AG996" s="697"/>
      <c r="AH996" s="697"/>
      <c r="AI996" s="697"/>
      <c r="AJ996" s="697"/>
      <c r="AK996" s="697"/>
      <c r="AL996" s="697"/>
      <c r="AM996" s="697"/>
      <c r="AN996" s="697"/>
      <c r="AO996" s="697"/>
      <c r="AP996" s="697"/>
      <c r="AQ996" s="697"/>
      <c r="AR996" s="70"/>
      <c r="BC996" s="697"/>
      <c r="BD996" s="697"/>
      <c r="BE996" s="697"/>
      <c r="BM996"/>
      <c r="BN996"/>
      <c r="BO996"/>
      <c r="BP996"/>
      <c r="BQ996"/>
      <c r="BR996"/>
    </row>
    <row r="997" spans="1:70" s="674" customFormat="1" x14ac:dyDescent="0.2">
      <c r="A997" s="837"/>
      <c r="B997" s="698" t="s">
        <v>146</v>
      </c>
      <c r="C997" s="698"/>
      <c r="D997" s="700">
        <f t="shared" ref="D997:AE997" si="2315">D991+D993+D995</f>
        <v>149.4</v>
      </c>
      <c r="E997" s="700">
        <f t="shared" si="2315"/>
        <v>143.69999999999999</v>
      </c>
      <c r="F997" s="700">
        <f t="shared" si="2315"/>
        <v>138</v>
      </c>
      <c r="G997" s="700">
        <f t="shared" si="2315"/>
        <v>132.6</v>
      </c>
      <c r="H997" s="700">
        <f t="shared" si="2315"/>
        <v>123.99999999999999</v>
      </c>
      <c r="I997" s="700">
        <f t="shared" si="2315"/>
        <v>113.5</v>
      </c>
      <c r="J997" s="700">
        <f t="shared" si="2315"/>
        <v>110.4</v>
      </c>
      <c r="K997" s="700">
        <f t="shared" si="2315"/>
        <v>106.7</v>
      </c>
      <c r="L997" s="700">
        <f t="shared" si="2315"/>
        <v>102.9</v>
      </c>
      <c r="M997" s="700">
        <f t="shared" si="2315"/>
        <v>96.2</v>
      </c>
      <c r="N997" s="700">
        <f t="shared" si="2315"/>
        <v>90.500000000000014</v>
      </c>
      <c r="O997" s="700">
        <f t="shared" si="2315"/>
        <v>84.9</v>
      </c>
      <c r="P997" s="700">
        <f t="shared" si="2315"/>
        <v>66.899999999999991</v>
      </c>
      <c r="Q997" s="700">
        <f t="shared" si="2315"/>
        <v>63.800000000000004</v>
      </c>
      <c r="R997" s="700">
        <f t="shared" si="2315"/>
        <v>59.500000000000007</v>
      </c>
      <c r="S997" s="700">
        <f t="shared" si="2315"/>
        <v>48.900000000000006</v>
      </c>
      <c r="T997" s="700">
        <f t="shared" si="2315"/>
        <v>45.3</v>
      </c>
      <c r="U997" s="700">
        <f t="shared" si="2315"/>
        <v>41.300000000000004</v>
      </c>
      <c r="V997" s="700">
        <f t="shared" si="2315"/>
        <v>39</v>
      </c>
      <c r="W997" s="700">
        <f t="shared" si="2315"/>
        <v>33.200000000000003</v>
      </c>
      <c r="X997" s="700">
        <f t="shared" si="2315"/>
        <v>29.3</v>
      </c>
      <c r="Y997" s="700">
        <f t="shared" ref="Y997:Z997" si="2316">Y991+Y993+Y995</f>
        <v>26.7</v>
      </c>
      <c r="Z997" s="700">
        <f t="shared" si="2316"/>
        <v>24.7</v>
      </c>
      <c r="AA997" s="700">
        <f t="shared" ref="AA997:AB997" si="2317">AA991+AA993+AA995</f>
        <v>22.8</v>
      </c>
      <c r="AB997" s="700">
        <f t="shared" si="2317"/>
        <v>21</v>
      </c>
      <c r="AC997" s="700">
        <f t="shared" si="2315"/>
        <v>19.865000000000002</v>
      </c>
      <c r="AD997" s="700">
        <f t="shared" si="2315"/>
        <v>18.795249999999999</v>
      </c>
      <c r="AE997" s="700">
        <f t="shared" si="2315"/>
        <v>17.786637500000001</v>
      </c>
      <c r="AF997" s="700">
        <f t="shared" ref="AF997:AI997" si="2318">AF991+AF993+AF995</f>
        <v>16.632688250000005</v>
      </c>
      <c r="AG997" s="700">
        <f t="shared" si="2318"/>
        <v>15.559253585000004</v>
      </c>
      <c r="AH997" s="700">
        <f t="shared" si="2318"/>
        <v>14.693116445770004</v>
      </c>
      <c r="AI997" s="700">
        <f t="shared" si="2318"/>
        <v>13.882983285738622</v>
      </c>
      <c r="AJ997" s="1769"/>
      <c r="AK997" s="1769"/>
      <c r="AL997" s="1769"/>
      <c r="AM997" s="1769"/>
      <c r="AN997" s="1769"/>
      <c r="AO997" s="1769"/>
      <c r="AP997" s="1769"/>
      <c r="AQ997" s="1769"/>
      <c r="AR997" s="70"/>
      <c r="AS997" s="698" t="s">
        <v>146</v>
      </c>
      <c r="AT997" s="698"/>
      <c r="AU997" s="700">
        <f>G997</f>
        <v>132.6</v>
      </c>
      <c r="AV997" s="700">
        <f>K997</f>
        <v>106.7</v>
      </c>
      <c r="AW997" s="700">
        <f>O997</f>
        <v>84.9</v>
      </c>
      <c r="AX997" s="700">
        <f>S997</f>
        <v>48.900000000000006</v>
      </c>
      <c r="AY997" s="700">
        <f>W997</f>
        <v>33.200000000000003</v>
      </c>
      <c r="AZ997" s="700">
        <f>AA997</f>
        <v>22.8</v>
      </c>
      <c r="BA997" s="700">
        <f>AE997</f>
        <v>17.786637500000001</v>
      </c>
      <c r="BB997" s="700">
        <f>AI997</f>
        <v>13.882983285738622</v>
      </c>
      <c r="BC997" s="700">
        <f>BC991+BC993+BC995</f>
        <v>10.968921519850674</v>
      </c>
      <c r="BD997" s="700">
        <f>BD991+BD993+BD995</f>
        <v>8.6926581506364045</v>
      </c>
      <c r="BE997" s="700">
        <f>BE991+BE993+BE995</f>
        <v>6.9046390813626424</v>
      </c>
      <c r="BM997"/>
      <c r="BN997"/>
      <c r="BO997"/>
      <c r="BP997"/>
      <c r="BQ997"/>
      <c r="BR997"/>
    </row>
    <row r="998" spans="1:70" s="674" customFormat="1" x14ac:dyDescent="0.2">
      <c r="A998" s="837"/>
      <c r="D998" s="361"/>
      <c r="E998" s="361"/>
      <c r="F998" s="361"/>
      <c r="G998" s="361"/>
      <c r="H998" s="361"/>
      <c r="I998" s="361"/>
      <c r="J998" s="361"/>
      <c r="K998" s="361"/>
      <c r="L998" s="361"/>
      <c r="M998" s="361"/>
      <c r="N998" s="361"/>
      <c r="O998" s="361"/>
      <c r="P998" s="361"/>
      <c r="Q998" s="361"/>
      <c r="R998" s="361"/>
      <c r="S998" s="361"/>
      <c r="T998" s="361"/>
      <c r="U998" s="361"/>
      <c r="V998" s="361"/>
      <c r="W998" s="361"/>
      <c r="X998" s="361"/>
      <c r="Y998" s="361"/>
      <c r="Z998" s="361"/>
      <c r="AA998" s="361"/>
      <c r="AB998" s="361"/>
      <c r="AC998" s="361"/>
      <c r="AD998" s="361"/>
      <c r="AE998" s="361"/>
      <c r="AF998" s="361"/>
      <c r="AG998" s="361"/>
      <c r="AH998" s="361"/>
      <c r="AI998" s="361"/>
      <c r="AJ998" s="361"/>
      <c r="AK998" s="361"/>
      <c r="AL998" s="361"/>
      <c r="AM998" s="361"/>
      <c r="AN998" s="361"/>
      <c r="AO998" s="361"/>
      <c r="AP998" s="361"/>
      <c r="AQ998" s="361"/>
      <c r="AR998" s="70"/>
      <c r="AU998" s="361"/>
      <c r="AV998" s="361"/>
      <c r="AW998" s="361"/>
      <c r="AX998" s="361"/>
      <c r="AY998" s="361"/>
      <c r="AZ998" s="361"/>
      <c r="BA998" s="361"/>
      <c r="BB998" s="361"/>
      <c r="BC998" s="361"/>
      <c r="BD998" s="361"/>
      <c r="BE998" s="361"/>
      <c r="BM998"/>
      <c r="BN998"/>
      <c r="BO998"/>
      <c r="BP998"/>
      <c r="BQ998"/>
      <c r="BR998"/>
    </row>
    <row r="999" spans="1:70" s="674" customFormat="1" ht="13.5" thickBot="1" x14ac:dyDescent="0.25">
      <c r="A999" s="837"/>
      <c r="B999" s="680" t="s">
        <v>94</v>
      </c>
      <c r="C999" s="680"/>
      <c r="D999" s="701">
        <f t="shared" ref="D999:AE999" si="2319">D997+D984</f>
        <v>413.6</v>
      </c>
      <c r="E999" s="701">
        <f t="shared" si="2319"/>
        <v>406.5</v>
      </c>
      <c r="F999" s="701">
        <f t="shared" si="2319"/>
        <v>405</v>
      </c>
      <c r="G999" s="701">
        <f t="shared" si="2319"/>
        <v>405.80000000000007</v>
      </c>
      <c r="H999" s="701">
        <f t="shared" si="2319"/>
        <v>392.09999999999997</v>
      </c>
      <c r="I999" s="701">
        <f t="shared" si="2319"/>
        <v>379</v>
      </c>
      <c r="J999" s="701">
        <f t="shared" si="2319"/>
        <v>384.4</v>
      </c>
      <c r="K999" s="701">
        <f t="shared" si="2319"/>
        <v>390.3</v>
      </c>
      <c r="L999" s="701">
        <f t="shared" si="2319"/>
        <v>380.6</v>
      </c>
      <c r="M999" s="701">
        <f t="shared" si="2319"/>
        <v>380.09999999999997</v>
      </c>
      <c r="N999" s="701">
        <f t="shared" si="2319"/>
        <v>372.1</v>
      </c>
      <c r="O999" s="701">
        <f t="shared" si="2319"/>
        <v>365.6</v>
      </c>
      <c r="P999" s="701">
        <f t="shared" si="2319"/>
        <v>337.4</v>
      </c>
      <c r="Q999" s="701">
        <f t="shared" si="2319"/>
        <v>337.90000000000003</v>
      </c>
      <c r="R999" s="701">
        <f t="shared" si="2319"/>
        <v>328.9</v>
      </c>
      <c r="S999" s="701">
        <f t="shared" si="2319"/>
        <v>325.5</v>
      </c>
      <c r="T999" s="701">
        <f t="shared" si="2319"/>
        <v>317.60000000000002</v>
      </c>
      <c r="U999" s="701">
        <f t="shared" si="2319"/>
        <v>326.10000000000002</v>
      </c>
      <c r="V999" s="701">
        <f t="shared" si="2319"/>
        <v>328.4</v>
      </c>
      <c r="W999" s="701">
        <f t="shared" si="2319"/>
        <v>325.10000000000002</v>
      </c>
      <c r="X999" s="701">
        <f t="shared" si="2319"/>
        <v>320.60000000000002</v>
      </c>
      <c r="Y999" s="701">
        <f t="shared" ref="Y999:Z999" si="2320">Y997+Y984</f>
        <v>325.2</v>
      </c>
      <c r="Z999" s="701">
        <f t="shared" si="2320"/>
        <v>325.49999999999994</v>
      </c>
      <c r="AA999" s="701">
        <f t="shared" ref="AA999:AB999" si="2321">AA997+AA984</f>
        <v>333.6</v>
      </c>
      <c r="AB999" s="701">
        <f t="shared" si="2321"/>
        <v>325</v>
      </c>
      <c r="AC999" s="701">
        <f t="shared" si="2319"/>
        <v>325.64700000000005</v>
      </c>
      <c r="AD999" s="701">
        <f t="shared" si="2319"/>
        <v>328.41460999999998</v>
      </c>
      <c r="AE999" s="701">
        <f t="shared" si="2319"/>
        <v>333.68426944999999</v>
      </c>
      <c r="AF999" s="701">
        <f t="shared" ref="AF999:AI999" si="2322">AF997+AF984</f>
        <v>332.21430546799991</v>
      </c>
      <c r="AG999" s="701">
        <f t="shared" si="2322"/>
        <v>333.29863559294</v>
      </c>
      <c r="AH999" s="701">
        <f t="shared" si="2322"/>
        <v>336.8787712398447</v>
      </c>
      <c r="AI999" s="701">
        <f t="shared" si="2322"/>
        <v>343.11432993347722</v>
      </c>
      <c r="AJ999" s="1769"/>
      <c r="AK999" s="1769"/>
      <c r="AL999" s="1769"/>
      <c r="AM999" s="1769"/>
      <c r="AN999" s="1769"/>
      <c r="AO999" s="1769"/>
      <c r="AP999" s="1769"/>
      <c r="AQ999" s="1769"/>
      <c r="AR999" s="70"/>
      <c r="AS999" s="680" t="s">
        <v>94</v>
      </c>
      <c r="AT999" s="680"/>
      <c r="AU999" s="701">
        <f>G999</f>
        <v>405.80000000000007</v>
      </c>
      <c r="AV999" s="701">
        <f>K999</f>
        <v>390.3</v>
      </c>
      <c r="AW999" s="701">
        <f>O999</f>
        <v>365.6</v>
      </c>
      <c r="AX999" s="701">
        <f>S999</f>
        <v>325.5</v>
      </c>
      <c r="AY999" s="701">
        <f>W999</f>
        <v>325.10000000000002</v>
      </c>
      <c r="AZ999" s="701">
        <f>AA999</f>
        <v>333.6</v>
      </c>
      <c r="BA999" s="701">
        <f>AE999</f>
        <v>333.68426944999999</v>
      </c>
      <c r="BB999" s="701">
        <f>AI999</f>
        <v>343.11432993347722</v>
      </c>
      <c r="BC999" s="701">
        <f>BC997+BC984</f>
        <v>354.86729707317039</v>
      </c>
      <c r="BD999" s="701">
        <f>BD997+BD984</f>
        <v>368.07391818236709</v>
      </c>
      <c r="BE999" s="701">
        <f>BE997+BE984</f>
        <v>382.47444644345461</v>
      </c>
      <c r="BM999"/>
      <c r="BN999"/>
      <c r="BO999"/>
      <c r="BP999"/>
      <c r="BQ999"/>
      <c r="BR999"/>
    </row>
    <row r="1000" spans="1:70" s="674" customFormat="1" ht="13.5" thickTop="1" x14ac:dyDescent="0.2">
      <c r="A1000" s="837"/>
      <c r="B1000" s="329"/>
      <c r="C1000" s="329"/>
      <c r="D1000" s="329"/>
      <c r="E1000" s="702"/>
      <c r="F1000" s="682"/>
      <c r="G1000" s="682"/>
      <c r="H1000" s="682"/>
      <c r="I1000" s="702"/>
      <c r="J1000" s="682"/>
      <c r="K1000" s="682"/>
      <c r="L1000" s="682"/>
      <c r="M1000" s="702"/>
      <c r="N1000" s="682"/>
      <c r="O1000" s="682"/>
      <c r="P1000" s="682"/>
      <c r="Q1000" s="702"/>
      <c r="R1000" s="682"/>
      <c r="S1000" s="682"/>
      <c r="T1000" s="682"/>
      <c r="U1000" s="702"/>
      <c r="V1000" s="682"/>
      <c r="W1000" s="682"/>
      <c r="X1000" s="703"/>
      <c r="Y1000" s="703"/>
      <c r="Z1000" s="703"/>
      <c r="AA1000" s="329"/>
      <c r="AB1000" s="329"/>
      <c r="AC1000" s="329"/>
      <c r="AD1000" s="329"/>
      <c r="AE1000" s="329"/>
      <c r="AF1000" s="329"/>
      <c r="AG1000" s="329"/>
      <c r="AH1000" s="329"/>
      <c r="AI1000" s="329"/>
      <c r="AJ1000" s="329"/>
      <c r="AK1000" s="329"/>
      <c r="AL1000" s="329"/>
      <c r="AM1000" s="329"/>
      <c r="AN1000" s="329"/>
      <c r="AO1000" s="329"/>
      <c r="AP1000" s="329"/>
      <c r="AQ1000" s="329"/>
      <c r="AR1000" s="70"/>
      <c r="AS1000" s="329"/>
      <c r="AT1000" s="329"/>
      <c r="AU1000" s="329"/>
      <c r="AV1000" s="329"/>
      <c r="AW1000" s="329"/>
      <c r="AX1000" s="329"/>
      <c r="AY1000" s="329"/>
      <c r="AZ1000" s="329"/>
      <c r="BA1000" s="329"/>
      <c r="BB1000" s="329"/>
      <c r="BC1000" s="329"/>
      <c r="BD1000" s="329"/>
      <c r="BE1000" s="329"/>
      <c r="BM1000"/>
      <c r="BN1000"/>
      <c r="BO1000"/>
      <c r="BP1000"/>
      <c r="BQ1000"/>
      <c r="BR1000"/>
    </row>
    <row r="1001" spans="1:70" s="674" customFormat="1" x14ac:dyDescent="0.2">
      <c r="A1001" s="839"/>
      <c r="B1001" s="698" t="s">
        <v>95</v>
      </c>
      <c r="C1001" s="698"/>
      <c r="E1001" s="676"/>
      <c r="F1001" s="676"/>
      <c r="G1001" s="676"/>
      <c r="H1001" s="676"/>
      <c r="I1001" s="676"/>
      <c r="J1001" s="676"/>
      <c r="K1001" s="676"/>
      <c r="L1001" s="676"/>
      <c r="M1001" s="676"/>
      <c r="N1001" s="676"/>
      <c r="O1001" s="676"/>
      <c r="P1001" s="676"/>
      <c r="Q1001" s="676"/>
      <c r="R1001" s="676"/>
      <c r="S1001" s="676"/>
      <c r="T1001" s="676"/>
      <c r="U1001" s="676"/>
      <c r="V1001" s="676"/>
      <c r="W1001" s="676"/>
      <c r="X1001" s="676"/>
      <c r="Y1001" s="676"/>
      <c r="AR1001" s="70"/>
      <c r="AS1001" s="698" t="s">
        <v>95</v>
      </c>
      <c r="AT1001" s="698"/>
      <c r="BM1001"/>
      <c r="BN1001"/>
      <c r="BO1001"/>
      <c r="BP1001"/>
      <c r="BQ1001"/>
      <c r="BR1001"/>
    </row>
    <row r="1002" spans="1:70" s="674" customFormat="1" x14ac:dyDescent="0.2">
      <c r="A1002" s="839"/>
      <c r="B1002" s="679" t="s">
        <v>76</v>
      </c>
      <c r="D1002" s="598">
        <v>80.400000000000006</v>
      </c>
      <c r="E1002" s="598">
        <v>88.4</v>
      </c>
      <c r="F1002" s="598">
        <v>94.3</v>
      </c>
      <c r="G1002" s="598">
        <v>93.5</v>
      </c>
      <c r="H1002" s="598">
        <v>91.6</v>
      </c>
      <c r="I1002" s="598">
        <v>99.8</v>
      </c>
      <c r="J1002" s="598">
        <v>103.6</v>
      </c>
      <c r="K1002" s="598">
        <v>106.2</v>
      </c>
      <c r="L1002" s="598">
        <v>107.3</v>
      </c>
      <c r="M1002" s="598">
        <v>108.8</v>
      </c>
      <c r="N1002" s="598">
        <v>114.1</v>
      </c>
      <c r="O1002" s="598">
        <v>117.3</v>
      </c>
      <c r="P1002" s="598">
        <v>118.8</v>
      </c>
      <c r="Q1002" s="598">
        <v>126.7</v>
      </c>
      <c r="R1002" s="598">
        <v>128.80000000000001</v>
      </c>
      <c r="S1002" s="598">
        <v>130.5</v>
      </c>
      <c r="T1002" s="598">
        <v>135.69999999999999</v>
      </c>
      <c r="U1002" s="598">
        <v>139.30000000000001</v>
      </c>
      <c r="V1002" s="598">
        <v>148.30000000000001</v>
      </c>
      <c r="W1002" s="598">
        <v>148</v>
      </c>
      <c r="X1002" s="598">
        <v>147.80000000000001</v>
      </c>
      <c r="Y1002" s="598">
        <v>151.80000000000001</v>
      </c>
      <c r="Z1002" s="598">
        <v>155.80000000000001</v>
      </c>
      <c r="AA1002" s="598">
        <v>159.19999999999999</v>
      </c>
      <c r="AB1002" s="598">
        <v>163</v>
      </c>
      <c r="AC1002" s="358" t="s">
        <v>226</v>
      </c>
      <c r="AD1002" s="358" t="s">
        <v>226</v>
      </c>
      <c r="AE1002" s="358" t="s">
        <v>226</v>
      </c>
      <c r="AF1002" s="358" t="s">
        <v>226</v>
      </c>
      <c r="AG1002" s="358" t="s">
        <v>226</v>
      </c>
      <c r="AH1002" s="358" t="s">
        <v>226</v>
      </c>
      <c r="AI1002" s="358" t="s">
        <v>226</v>
      </c>
      <c r="AJ1002" s="358"/>
      <c r="AK1002" s="358"/>
      <c r="AL1002" s="358"/>
      <c r="AM1002" s="358"/>
      <c r="AN1002" s="358"/>
      <c r="AO1002" s="358"/>
      <c r="AP1002" s="358"/>
      <c r="AQ1002" s="358"/>
      <c r="AR1002" s="70"/>
      <c r="AS1002" s="679" t="s">
        <v>76</v>
      </c>
      <c r="AU1002" s="358">
        <f>G1002</f>
        <v>93.5</v>
      </c>
      <c r="AV1002" s="358">
        <f>K1002</f>
        <v>106.2</v>
      </c>
      <c r="AW1002" s="358">
        <f>O1002</f>
        <v>117.3</v>
      </c>
      <c r="AX1002" s="358">
        <f>S1002</f>
        <v>130.5</v>
      </c>
      <c r="AY1002" s="358">
        <f>W1002</f>
        <v>148</v>
      </c>
      <c r="AZ1002" s="358">
        <f>AA1002</f>
        <v>159.19999999999999</v>
      </c>
      <c r="BA1002" s="358" t="str">
        <f>AE1002</f>
        <v>NF</v>
      </c>
      <c r="BB1002" s="358" t="str">
        <f>AI1002</f>
        <v>NF</v>
      </c>
      <c r="BC1002" s="358" t="s">
        <v>226</v>
      </c>
      <c r="BD1002" s="358" t="s">
        <v>226</v>
      </c>
      <c r="BE1002" s="358" t="s">
        <v>226</v>
      </c>
      <c r="BM1002"/>
      <c r="BN1002"/>
      <c r="BO1002"/>
      <c r="BP1002"/>
      <c r="BQ1002"/>
      <c r="BR1002"/>
    </row>
    <row r="1003" spans="1:70" s="674" customFormat="1" x14ac:dyDescent="0.2">
      <c r="A1003" s="839"/>
      <c r="B1003" s="679" t="s">
        <v>27</v>
      </c>
      <c r="D1003" s="598">
        <v>55.9</v>
      </c>
      <c r="E1003" s="598">
        <v>61</v>
      </c>
      <c r="F1003" s="598">
        <v>58.8</v>
      </c>
      <c r="G1003" s="598">
        <v>57.1</v>
      </c>
      <c r="H1003" s="598">
        <v>61.4</v>
      </c>
      <c r="I1003" s="598">
        <v>60.6</v>
      </c>
      <c r="J1003" s="598">
        <v>62.1</v>
      </c>
      <c r="K1003" s="598">
        <v>62.4</v>
      </c>
      <c r="L1003" s="598">
        <v>64.8</v>
      </c>
      <c r="M1003" s="598">
        <v>64.900000000000006</v>
      </c>
      <c r="N1003" s="598">
        <v>60.8</v>
      </c>
      <c r="O1003" s="598">
        <v>59.5</v>
      </c>
      <c r="P1003" s="598">
        <v>61.8</v>
      </c>
      <c r="Q1003" s="598">
        <v>64.3</v>
      </c>
      <c r="R1003" s="598">
        <v>63.3</v>
      </c>
      <c r="S1003" s="598">
        <v>60.6</v>
      </c>
      <c r="T1003" s="598">
        <v>65.2</v>
      </c>
      <c r="U1003" s="598">
        <v>69</v>
      </c>
      <c r="V1003" s="598">
        <v>68.7</v>
      </c>
      <c r="W1003" s="598">
        <v>62.7</v>
      </c>
      <c r="X1003" s="598">
        <v>66.400000000000006</v>
      </c>
      <c r="Y1003" s="598">
        <v>71.3</v>
      </c>
      <c r="Z1003" s="598">
        <v>72.7</v>
      </c>
      <c r="AA1003" s="598">
        <v>74.400000000000006</v>
      </c>
      <c r="AB1003" s="598">
        <v>82.1</v>
      </c>
      <c r="AC1003" s="358" t="s">
        <v>226</v>
      </c>
      <c r="AD1003" s="358" t="s">
        <v>226</v>
      </c>
      <c r="AE1003" s="358" t="s">
        <v>226</v>
      </c>
      <c r="AF1003" s="358" t="s">
        <v>226</v>
      </c>
      <c r="AG1003" s="358" t="s">
        <v>226</v>
      </c>
      <c r="AH1003" s="358" t="s">
        <v>226</v>
      </c>
      <c r="AI1003" s="358" t="s">
        <v>226</v>
      </c>
      <c r="AJ1003" s="358"/>
      <c r="AK1003" s="358"/>
      <c r="AL1003" s="358"/>
      <c r="AM1003" s="358"/>
      <c r="AN1003" s="358"/>
      <c r="AO1003" s="358"/>
      <c r="AP1003" s="358"/>
      <c r="AQ1003" s="358"/>
      <c r="AR1003" s="70"/>
      <c r="AS1003" s="679" t="s">
        <v>27</v>
      </c>
      <c r="AU1003" s="358">
        <f>G1003</f>
        <v>57.1</v>
      </c>
      <c r="AV1003" s="358">
        <f>K1003</f>
        <v>62.4</v>
      </c>
      <c r="AW1003" s="358">
        <f>O1003</f>
        <v>59.5</v>
      </c>
      <c r="AX1003" s="358">
        <f>S1003</f>
        <v>60.6</v>
      </c>
      <c r="AY1003" s="358">
        <f>W1003</f>
        <v>62.7</v>
      </c>
      <c r="AZ1003" s="358">
        <f>AA1003</f>
        <v>74.400000000000006</v>
      </c>
      <c r="BA1003" s="358" t="str">
        <f t="shared" ref="BA1003:BA1005" si="2323">AE1003</f>
        <v>NF</v>
      </c>
      <c r="BB1003" s="358" t="str">
        <f t="shared" ref="BB1003:BB1005" si="2324">AI1003</f>
        <v>NF</v>
      </c>
      <c r="BC1003" s="358" t="s">
        <v>226</v>
      </c>
      <c r="BD1003" s="358" t="s">
        <v>226</v>
      </c>
      <c r="BE1003" s="358" t="s">
        <v>226</v>
      </c>
      <c r="BM1003"/>
      <c r="BN1003"/>
      <c r="BO1003"/>
      <c r="BP1003"/>
      <c r="BQ1003"/>
      <c r="BR1003"/>
    </row>
    <row r="1004" spans="1:70" s="674" customFormat="1" x14ac:dyDescent="0.2">
      <c r="A1004" s="839"/>
      <c r="B1004" s="679" t="s">
        <v>5</v>
      </c>
      <c r="D1004" s="598">
        <v>35</v>
      </c>
      <c r="E1004" s="598">
        <v>34.6</v>
      </c>
      <c r="F1004" s="598">
        <v>36.6</v>
      </c>
      <c r="G1004" s="598">
        <v>38</v>
      </c>
      <c r="H1004" s="598">
        <v>38.4</v>
      </c>
      <c r="I1004" s="598">
        <v>37.9</v>
      </c>
      <c r="J1004" s="598">
        <v>39.5</v>
      </c>
      <c r="K1004" s="598">
        <v>40.1</v>
      </c>
      <c r="L1004" s="598">
        <v>42.1</v>
      </c>
      <c r="M1004" s="598">
        <v>42</v>
      </c>
      <c r="N1004" s="598">
        <v>40.1</v>
      </c>
      <c r="O1004" s="598">
        <v>39.299999999999997</v>
      </c>
      <c r="P1004" s="598">
        <v>40.299999999999997</v>
      </c>
      <c r="Q1004" s="598">
        <v>40.4</v>
      </c>
      <c r="R1004" s="598">
        <v>40.6</v>
      </c>
      <c r="S1004" s="598">
        <v>40.299999999999997</v>
      </c>
      <c r="T1004" s="598">
        <v>38.700000000000003</v>
      </c>
      <c r="U1004" s="598">
        <v>38</v>
      </c>
      <c r="V1004" s="598">
        <v>35.1</v>
      </c>
      <c r="W1004" s="598">
        <v>33.799999999999997</v>
      </c>
      <c r="X1004" s="598">
        <v>35.1</v>
      </c>
      <c r="Y1004" s="598">
        <v>34.1</v>
      </c>
      <c r="Z1004" s="598">
        <v>33.700000000000003</v>
      </c>
      <c r="AA1004" s="598">
        <v>33.5</v>
      </c>
      <c r="AB1004" s="598">
        <v>33.799999999999997</v>
      </c>
      <c r="AC1004" s="358" t="s">
        <v>226</v>
      </c>
      <c r="AD1004" s="358" t="s">
        <v>226</v>
      </c>
      <c r="AE1004" s="358" t="s">
        <v>226</v>
      </c>
      <c r="AF1004" s="358" t="s">
        <v>226</v>
      </c>
      <c r="AG1004" s="358" t="s">
        <v>226</v>
      </c>
      <c r="AH1004" s="358" t="s">
        <v>226</v>
      </c>
      <c r="AI1004" s="358" t="s">
        <v>226</v>
      </c>
      <c r="AJ1004" s="358"/>
      <c r="AK1004" s="358"/>
      <c r="AL1004" s="358"/>
      <c r="AM1004" s="358"/>
      <c r="AN1004" s="358"/>
      <c r="AO1004" s="358"/>
      <c r="AP1004" s="358"/>
      <c r="AQ1004" s="358"/>
      <c r="AR1004" s="70"/>
      <c r="AS1004" s="679" t="s">
        <v>5</v>
      </c>
      <c r="AU1004" s="358">
        <f>G1004</f>
        <v>38</v>
      </c>
      <c r="AV1004" s="358">
        <f>K1004</f>
        <v>40.1</v>
      </c>
      <c r="AW1004" s="358">
        <f>O1004</f>
        <v>39.299999999999997</v>
      </c>
      <c r="AX1004" s="358">
        <f>S1004</f>
        <v>40.299999999999997</v>
      </c>
      <c r="AY1004" s="358">
        <f>W1004</f>
        <v>33.799999999999997</v>
      </c>
      <c r="AZ1004" s="358">
        <f>AA1004</f>
        <v>33.5</v>
      </c>
      <c r="BA1004" s="358" t="str">
        <f t="shared" si="2323"/>
        <v>NF</v>
      </c>
      <c r="BB1004" s="358" t="str">
        <f t="shared" si="2324"/>
        <v>NF</v>
      </c>
      <c r="BC1004" s="358" t="s">
        <v>226</v>
      </c>
      <c r="BD1004" s="358" t="s">
        <v>226</v>
      </c>
      <c r="BE1004" s="358" t="s">
        <v>226</v>
      </c>
      <c r="BM1004"/>
      <c r="BN1004"/>
      <c r="BO1004"/>
      <c r="BP1004"/>
      <c r="BQ1004"/>
      <c r="BR1004"/>
    </row>
    <row r="1005" spans="1:70" s="674" customFormat="1" x14ac:dyDescent="0.2">
      <c r="A1005" s="839"/>
      <c r="B1005" s="679" t="s">
        <v>77</v>
      </c>
      <c r="D1005" s="598">
        <v>63.2</v>
      </c>
      <c r="E1005" s="598">
        <v>64.5</v>
      </c>
      <c r="F1005" s="598">
        <v>63.8</v>
      </c>
      <c r="G1005" s="598">
        <v>61</v>
      </c>
      <c r="H1005" s="598">
        <v>62.8</v>
      </c>
      <c r="I1005" s="598">
        <v>66.400000000000006</v>
      </c>
      <c r="J1005" s="598">
        <v>68</v>
      </c>
      <c r="K1005" s="598">
        <v>66.5</v>
      </c>
      <c r="L1005" s="598">
        <v>69.400000000000006</v>
      </c>
      <c r="M1005" s="598">
        <v>71.7</v>
      </c>
      <c r="N1005" s="598">
        <v>66.7</v>
      </c>
      <c r="O1005" s="598">
        <v>62.9</v>
      </c>
      <c r="P1005" s="598">
        <v>62.7</v>
      </c>
      <c r="Q1005" s="598">
        <v>62.8</v>
      </c>
      <c r="R1005" s="598">
        <v>60.8</v>
      </c>
      <c r="S1005" s="598">
        <v>60.8</v>
      </c>
      <c r="T1005" s="598">
        <v>61.7</v>
      </c>
      <c r="U1005" s="598">
        <v>61.1</v>
      </c>
      <c r="V1005" s="598">
        <v>58</v>
      </c>
      <c r="W1005" s="598">
        <v>54.8</v>
      </c>
      <c r="X1005" s="598">
        <v>58.7</v>
      </c>
      <c r="Y1005" s="598">
        <v>62.2</v>
      </c>
      <c r="Z1005" s="598">
        <v>65.400000000000006</v>
      </c>
      <c r="AA1005" s="598">
        <v>66.3</v>
      </c>
      <c r="AB1005" s="598">
        <v>69</v>
      </c>
      <c r="AC1005" s="358" t="s">
        <v>226</v>
      </c>
      <c r="AD1005" s="358" t="s">
        <v>226</v>
      </c>
      <c r="AE1005" s="358" t="s">
        <v>226</v>
      </c>
      <c r="AF1005" s="358" t="s">
        <v>226</v>
      </c>
      <c r="AG1005" s="358" t="s">
        <v>226</v>
      </c>
      <c r="AH1005" s="358" t="s">
        <v>226</v>
      </c>
      <c r="AI1005" s="358" t="s">
        <v>226</v>
      </c>
      <c r="AJ1005" s="358"/>
      <c r="AK1005" s="358"/>
      <c r="AL1005" s="358"/>
      <c r="AM1005" s="358"/>
      <c r="AN1005" s="358"/>
      <c r="AO1005" s="358"/>
      <c r="AP1005" s="358"/>
      <c r="AQ1005" s="358"/>
      <c r="AR1005" s="70"/>
      <c r="AS1005" s="679" t="s">
        <v>77</v>
      </c>
      <c r="AU1005" s="358">
        <f>G1005</f>
        <v>61</v>
      </c>
      <c r="AV1005" s="358">
        <f>K1005</f>
        <v>66.5</v>
      </c>
      <c r="AW1005" s="358">
        <f>O1005</f>
        <v>62.9</v>
      </c>
      <c r="AX1005" s="358">
        <f>S1005</f>
        <v>60.8</v>
      </c>
      <c r="AY1005" s="358">
        <f>W1005</f>
        <v>54.8</v>
      </c>
      <c r="AZ1005" s="358">
        <f>AA1005</f>
        <v>66.3</v>
      </c>
      <c r="BA1005" s="358" t="str">
        <f t="shared" si="2323"/>
        <v>NF</v>
      </c>
      <c r="BB1005" s="358" t="str">
        <f t="shared" si="2324"/>
        <v>NF</v>
      </c>
      <c r="BC1005" s="358" t="s">
        <v>226</v>
      </c>
      <c r="BD1005" s="358" t="s">
        <v>226</v>
      </c>
      <c r="BE1005" s="358" t="s">
        <v>226</v>
      </c>
      <c r="BM1005"/>
      <c r="BN1005"/>
      <c r="BO1005"/>
      <c r="BP1005"/>
      <c r="BQ1005"/>
      <c r="BR1005"/>
    </row>
    <row r="1006" spans="1:70" s="360" customFormat="1" x14ac:dyDescent="0.2">
      <c r="A1006" s="840"/>
      <c r="C1006" s="360" t="s">
        <v>95</v>
      </c>
      <c r="D1006" s="361">
        <f t="shared" ref="D1006:X1006" si="2325">SUM(D1002:D1005)</f>
        <v>234.5</v>
      </c>
      <c r="E1006" s="361">
        <f t="shared" si="2325"/>
        <v>248.5</v>
      </c>
      <c r="F1006" s="361">
        <f t="shared" si="2325"/>
        <v>253.5</v>
      </c>
      <c r="G1006" s="361">
        <f t="shared" si="2325"/>
        <v>249.6</v>
      </c>
      <c r="H1006" s="361">
        <f t="shared" si="2325"/>
        <v>254.2</v>
      </c>
      <c r="I1006" s="361">
        <f t="shared" si="2325"/>
        <v>264.70000000000005</v>
      </c>
      <c r="J1006" s="361">
        <f t="shared" si="2325"/>
        <v>273.2</v>
      </c>
      <c r="K1006" s="361">
        <f t="shared" si="2325"/>
        <v>275.2</v>
      </c>
      <c r="L1006" s="361">
        <f t="shared" si="2325"/>
        <v>283.60000000000002</v>
      </c>
      <c r="M1006" s="361">
        <f t="shared" si="2325"/>
        <v>287.39999999999998</v>
      </c>
      <c r="N1006" s="361">
        <f t="shared" si="2325"/>
        <v>281.7</v>
      </c>
      <c r="O1006" s="361">
        <f t="shared" si="2325"/>
        <v>279</v>
      </c>
      <c r="P1006" s="361">
        <f t="shared" si="2325"/>
        <v>283.59999999999997</v>
      </c>
      <c r="Q1006" s="361">
        <f t="shared" si="2325"/>
        <v>294.2</v>
      </c>
      <c r="R1006" s="361">
        <f t="shared" si="2325"/>
        <v>293.5</v>
      </c>
      <c r="S1006" s="361">
        <f t="shared" si="2325"/>
        <v>292.2</v>
      </c>
      <c r="T1006" s="361">
        <f t="shared" si="2325"/>
        <v>301.29999999999995</v>
      </c>
      <c r="U1006" s="361">
        <f t="shared" si="2325"/>
        <v>307.40000000000003</v>
      </c>
      <c r="V1006" s="361">
        <f t="shared" si="2325"/>
        <v>310.10000000000002</v>
      </c>
      <c r="W1006" s="361">
        <f t="shared" si="2325"/>
        <v>299.3</v>
      </c>
      <c r="X1006" s="361">
        <f t="shared" si="2325"/>
        <v>308</v>
      </c>
      <c r="Y1006" s="361">
        <f t="shared" ref="Y1006:Z1006" si="2326">SUM(Y1002:Y1005)</f>
        <v>319.40000000000003</v>
      </c>
      <c r="Z1006" s="361">
        <f t="shared" si="2326"/>
        <v>327.60000000000002</v>
      </c>
      <c r="AA1006" s="361">
        <f t="shared" ref="AA1006:AB1006" si="2327">SUM(AA1002:AA1005)</f>
        <v>333.40000000000003</v>
      </c>
      <c r="AB1006" s="361">
        <f t="shared" si="2327"/>
        <v>347.9</v>
      </c>
      <c r="AC1006" s="361">
        <f t="shared" ref="AC1006:AE1006" si="2328">AB1006*AC1055/AB1055</f>
        <v>354.858</v>
      </c>
      <c r="AD1006" s="361">
        <f t="shared" si="2328"/>
        <v>360.18086999999997</v>
      </c>
      <c r="AE1006" s="361">
        <f t="shared" si="2328"/>
        <v>365.5835830499999</v>
      </c>
      <c r="AF1006" s="361">
        <f t="shared" ref="AF1006" si="2329">AE1006*AF1055/AE1055</f>
        <v>372.89525471099989</v>
      </c>
      <c r="AG1006" s="361">
        <f t="shared" ref="AG1006" si="2330">AF1006*AG1055/AF1055</f>
        <v>380.35315980521989</v>
      </c>
      <c r="AH1006" s="361">
        <f t="shared" ref="AH1006" si="2331">AG1006*AH1055/AG1055</f>
        <v>389.86198880035039</v>
      </c>
      <c r="AI1006" s="361">
        <f t="shared" ref="AI1006" si="2332">AH1006*AI1055/AH1055</f>
        <v>399.6085385203591</v>
      </c>
      <c r="AJ1006" s="361"/>
      <c r="AK1006" s="361"/>
      <c r="AL1006" s="361"/>
      <c r="AM1006" s="361"/>
      <c r="AN1006" s="361"/>
      <c r="AO1006" s="361"/>
      <c r="AP1006" s="361"/>
      <c r="AQ1006" s="361"/>
      <c r="AR1006" s="70"/>
      <c r="AT1006" s="360" t="s">
        <v>95</v>
      </c>
      <c r="AU1006" s="361">
        <f>G1006</f>
        <v>249.6</v>
      </c>
      <c r="AV1006" s="361">
        <f>K1006</f>
        <v>275.2</v>
      </c>
      <c r="AW1006" s="361">
        <f>O1006</f>
        <v>279</v>
      </c>
      <c r="AX1006" s="361">
        <f>S1006</f>
        <v>292.2</v>
      </c>
      <c r="AY1006" s="361">
        <f>W1006</f>
        <v>299.3</v>
      </c>
      <c r="AZ1006" s="361">
        <f>AA1006</f>
        <v>333.40000000000003</v>
      </c>
      <c r="BA1006" s="361">
        <f>AE1006</f>
        <v>365.5835830499999</v>
      </c>
      <c r="BB1006" s="361">
        <f>AI1006</f>
        <v>399.6085385203591</v>
      </c>
      <c r="BC1006" s="361">
        <f>BB1006*BC1055/BB1055</f>
        <v>427.58113621678427</v>
      </c>
      <c r="BD1006" s="361">
        <f>BC1006*BD1055/BC1055</f>
        <v>457.5118157519592</v>
      </c>
      <c r="BE1006" s="361">
        <f>BD1006*BE1055/BD1055</f>
        <v>484.96252469707679</v>
      </c>
      <c r="BM1006"/>
      <c r="BN1006"/>
      <c r="BO1006"/>
      <c r="BP1006"/>
      <c r="BQ1006"/>
      <c r="BR1006"/>
    </row>
    <row r="1007" spans="1:70" s="674" customFormat="1" x14ac:dyDescent="0.2">
      <c r="A1007" s="837"/>
      <c r="B1007" s="329"/>
      <c r="C1007" s="329"/>
      <c r="D1007" s="329"/>
      <c r="E1007" s="704"/>
      <c r="F1007" s="704"/>
      <c r="G1007" s="704"/>
      <c r="H1007" s="704"/>
      <c r="I1007" s="704"/>
      <c r="J1007" s="704"/>
      <c r="K1007" s="704"/>
      <c r="L1007" s="704"/>
      <c r="M1007" s="704"/>
      <c r="N1007" s="704"/>
      <c r="O1007" s="704"/>
      <c r="P1007" s="704"/>
      <c r="Q1007" s="704"/>
      <c r="R1007" s="704"/>
      <c r="S1007" s="704"/>
      <c r="T1007" s="704"/>
      <c r="U1007" s="704"/>
      <c r="V1007" s="704"/>
      <c r="W1007" s="704"/>
      <c r="X1007" s="704"/>
      <c r="Y1007" s="704"/>
      <c r="Z1007" s="704"/>
      <c r="AA1007" s="704"/>
      <c r="AB1007" s="704"/>
      <c r="AC1007" s="329"/>
      <c r="AD1007" s="329"/>
      <c r="AE1007" s="329"/>
      <c r="AF1007" s="329"/>
      <c r="AG1007" s="329"/>
      <c r="AH1007" s="329"/>
      <c r="AI1007" s="329"/>
      <c r="AJ1007" s="329"/>
      <c r="AK1007" s="329"/>
      <c r="AL1007" s="329"/>
      <c r="AM1007" s="329"/>
      <c r="AN1007" s="329"/>
      <c r="AO1007" s="329"/>
      <c r="AP1007" s="329"/>
      <c r="AQ1007" s="329"/>
      <c r="AR1007" s="70"/>
      <c r="AS1007" s="329"/>
      <c r="AT1007" s="329"/>
      <c r="AU1007" s="329"/>
      <c r="AV1007" s="329"/>
      <c r="AW1007" s="329"/>
      <c r="AX1007" s="329"/>
      <c r="AY1007" s="329"/>
      <c r="AZ1007" s="329"/>
      <c r="BA1007" s="329"/>
      <c r="BB1007" s="329"/>
      <c r="BC1007" s="329"/>
      <c r="BD1007" s="329"/>
      <c r="BE1007" s="329"/>
      <c r="BM1007"/>
      <c r="BN1007"/>
      <c r="BO1007"/>
      <c r="BP1007"/>
      <c r="BQ1007"/>
      <c r="BR1007"/>
    </row>
    <row r="1008" spans="1:70" s="674" customFormat="1" ht="13.5" thickBot="1" x14ac:dyDescent="0.25">
      <c r="A1008" s="837"/>
      <c r="B1008" s="680" t="s">
        <v>136</v>
      </c>
      <c r="C1008" s="680"/>
      <c r="D1008" s="701">
        <f t="shared" ref="D1008:AE1008" si="2333">D1006+D999</f>
        <v>648.1</v>
      </c>
      <c r="E1008" s="701">
        <f t="shared" si="2333"/>
        <v>655</v>
      </c>
      <c r="F1008" s="701">
        <f t="shared" si="2333"/>
        <v>658.5</v>
      </c>
      <c r="G1008" s="701">
        <f t="shared" si="2333"/>
        <v>655.40000000000009</v>
      </c>
      <c r="H1008" s="701">
        <f t="shared" si="2333"/>
        <v>646.29999999999995</v>
      </c>
      <c r="I1008" s="701">
        <f t="shared" si="2333"/>
        <v>643.70000000000005</v>
      </c>
      <c r="J1008" s="701">
        <f t="shared" si="2333"/>
        <v>657.59999999999991</v>
      </c>
      <c r="K1008" s="701">
        <f t="shared" si="2333"/>
        <v>665.5</v>
      </c>
      <c r="L1008" s="701">
        <f t="shared" si="2333"/>
        <v>664.2</v>
      </c>
      <c r="M1008" s="701">
        <f t="shared" si="2333"/>
        <v>667.5</v>
      </c>
      <c r="N1008" s="701">
        <f t="shared" si="2333"/>
        <v>653.79999999999995</v>
      </c>
      <c r="O1008" s="701">
        <f t="shared" si="2333"/>
        <v>644.6</v>
      </c>
      <c r="P1008" s="701">
        <f t="shared" si="2333"/>
        <v>621</v>
      </c>
      <c r="Q1008" s="701">
        <f t="shared" si="2333"/>
        <v>632.1</v>
      </c>
      <c r="R1008" s="701">
        <f t="shared" si="2333"/>
        <v>622.4</v>
      </c>
      <c r="S1008" s="701">
        <f t="shared" si="2333"/>
        <v>617.70000000000005</v>
      </c>
      <c r="T1008" s="701">
        <f t="shared" si="2333"/>
        <v>618.9</v>
      </c>
      <c r="U1008" s="701">
        <f t="shared" si="2333"/>
        <v>633.5</v>
      </c>
      <c r="V1008" s="701">
        <f t="shared" si="2333"/>
        <v>638.5</v>
      </c>
      <c r="W1008" s="701">
        <f t="shared" si="2333"/>
        <v>624.40000000000009</v>
      </c>
      <c r="X1008" s="701">
        <f t="shared" si="2333"/>
        <v>628.6</v>
      </c>
      <c r="Y1008" s="701">
        <f t="shared" ref="Y1008:Z1008" si="2334">Y1006+Y999</f>
        <v>644.6</v>
      </c>
      <c r="Z1008" s="701">
        <f t="shared" si="2334"/>
        <v>653.09999999999991</v>
      </c>
      <c r="AA1008" s="701">
        <f t="shared" ref="AA1008:AB1008" si="2335">AA1006+AA999</f>
        <v>667</v>
      </c>
      <c r="AB1008" s="701">
        <f t="shared" si="2335"/>
        <v>672.9</v>
      </c>
      <c r="AC1008" s="701">
        <f t="shared" si="2333"/>
        <v>680.50500000000011</v>
      </c>
      <c r="AD1008" s="701">
        <f t="shared" si="2333"/>
        <v>688.59547999999995</v>
      </c>
      <c r="AE1008" s="701">
        <f t="shared" si="2333"/>
        <v>699.26785249999989</v>
      </c>
      <c r="AF1008" s="701">
        <f t="shared" ref="AF1008:AI1008" si="2336">AF1006+AF999</f>
        <v>705.1095601789998</v>
      </c>
      <c r="AG1008" s="701">
        <f t="shared" si="2336"/>
        <v>713.65179539815995</v>
      </c>
      <c r="AH1008" s="701">
        <f t="shared" si="2336"/>
        <v>726.74076004019503</v>
      </c>
      <c r="AI1008" s="701">
        <f t="shared" si="2336"/>
        <v>742.72286845383633</v>
      </c>
      <c r="AJ1008" s="1769"/>
      <c r="AK1008" s="1769"/>
      <c r="AL1008" s="1769"/>
      <c r="AM1008" s="1769"/>
      <c r="AN1008" s="1769"/>
      <c r="AO1008" s="1769"/>
      <c r="AP1008" s="1769"/>
      <c r="AQ1008" s="1769"/>
      <c r="AR1008" s="70"/>
      <c r="AS1008" s="680" t="s">
        <v>136</v>
      </c>
      <c r="AT1008" s="680"/>
      <c r="AU1008" s="701">
        <f>G1008</f>
        <v>655.40000000000009</v>
      </c>
      <c r="AV1008" s="701">
        <f>K1008</f>
        <v>665.5</v>
      </c>
      <c r="AW1008" s="701">
        <f>O1008</f>
        <v>644.6</v>
      </c>
      <c r="AX1008" s="701">
        <f>S1008</f>
        <v>617.70000000000005</v>
      </c>
      <c r="AY1008" s="701">
        <f>W1008</f>
        <v>624.40000000000009</v>
      </c>
      <c r="AZ1008" s="701">
        <f>AA1008</f>
        <v>667</v>
      </c>
      <c r="BA1008" s="701">
        <f>AE1008</f>
        <v>699.26785249999989</v>
      </c>
      <c r="BB1008" s="701">
        <f>AI1008</f>
        <v>742.72286845383633</v>
      </c>
      <c r="BC1008" s="701">
        <f>BC1006+BC999</f>
        <v>782.44843328995466</v>
      </c>
      <c r="BD1008" s="701">
        <f>BD1006+BD999</f>
        <v>825.5857339343263</v>
      </c>
      <c r="BE1008" s="701">
        <f>BE1006+BE999</f>
        <v>867.43697114053134</v>
      </c>
      <c r="BM1008"/>
      <c r="BN1008"/>
      <c r="BO1008"/>
      <c r="BP1008"/>
      <c r="BQ1008"/>
      <c r="BR1008"/>
    </row>
    <row r="1009" spans="1:70" s="193" customFormat="1" ht="13.5" thickTop="1" x14ac:dyDescent="0.2">
      <c r="A1009" s="841"/>
      <c r="B1009" s="149"/>
      <c r="C1009" s="151" t="s">
        <v>237</v>
      </c>
      <c r="D1009" s="150">
        <f t="shared" ref="D1009:AE1009" si="2337">ROUND(D1008-D837/1000,0)</f>
        <v>0</v>
      </c>
      <c r="E1009" s="150">
        <f t="shared" si="2337"/>
        <v>0</v>
      </c>
      <c r="F1009" s="150">
        <f t="shared" si="2337"/>
        <v>0</v>
      </c>
      <c r="G1009" s="150">
        <f t="shared" si="2337"/>
        <v>0</v>
      </c>
      <c r="H1009" s="150">
        <f t="shared" si="2337"/>
        <v>0</v>
      </c>
      <c r="I1009" s="150">
        <f t="shared" si="2337"/>
        <v>0</v>
      </c>
      <c r="J1009" s="150">
        <f t="shared" si="2337"/>
        <v>0</v>
      </c>
      <c r="K1009" s="150">
        <f t="shared" si="2337"/>
        <v>0</v>
      </c>
      <c r="L1009" s="150">
        <f t="shared" si="2337"/>
        <v>0</v>
      </c>
      <c r="M1009" s="150">
        <f t="shared" si="2337"/>
        <v>0</v>
      </c>
      <c r="N1009" s="150">
        <f t="shared" si="2337"/>
        <v>0</v>
      </c>
      <c r="O1009" s="150">
        <f t="shared" si="2337"/>
        <v>0</v>
      </c>
      <c r="P1009" s="150">
        <f t="shared" si="2337"/>
        <v>0</v>
      </c>
      <c r="Q1009" s="150">
        <f t="shared" si="2337"/>
        <v>0</v>
      </c>
      <c r="R1009" s="150">
        <f t="shared" si="2337"/>
        <v>0</v>
      </c>
      <c r="S1009" s="150">
        <f t="shared" si="2337"/>
        <v>0</v>
      </c>
      <c r="T1009" s="150">
        <f t="shared" si="2337"/>
        <v>0</v>
      </c>
      <c r="U1009" s="150">
        <f t="shared" si="2337"/>
        <v>0</v>
      </c>
      <c r="V1009" s="150">
        <f t="shared" si="2337"/>
        <v>0</v>
      </c>
      <c r="W1009" s="150">
        <f t="shared" si="2337"/>
        <v>0</v>
      </c>
      <c r="X1009" s="150">
        <f t="shared" si="2337"/>
        <v>0</v>
      </c>
      <c r="Y1009" s="150">
        <f t="shared" ref="Y1009:Z1009" si="2338">ROUND(Y1008-Y837/1000,0)</f>
        <v>0</v>
      </c>
      <c r="Z1009" s="150">
        <f t="shared" si="2338"/>
        <v>0</v>
      </c>
      <c r="AA1009" s="150">
        <f t="shared" ref="AA1009:AB1009" si="2339">ROUND(AA1008-AA837/1000,0)</f>
        <v>0</v>
      </c>
      <c r="AB1009" s="150">
        <f t="shared" si="2339"/>
        <v>0</v>
      </c>
      <c r="AC1009" s="150">
        <f t="shared" si="2337"/>
        <v>0</v>
      </c>
      <c r="AD1009" s="150">
        <f t="shared" si="2337"/>
        <v>0</v>
      </c>
      <c r="AE1009" s="150">
        <f t="shared" si="2337"/>
        <v>0</v>
      </c>
      <c r="AF1009" s="150">
        <f t="shared" ref="AF1009:AI1009" si="2340">ROUND(AF1008-AF837/1000,0)</f>
        <v>0</v>
      </c>
      <c r="AG1009" s="150">
        <f t="shared" si="2340"/>
        <v>0</v>
      </c>
      <c r="AH1009" s="150">
        <f t="shared" si="2340"/>
        <v>0</v>
      </c>
      <c r="AI1009" s="150">
        <f t="shared" si="2340"/>
        <v>0</v>
      </c>
      <c r="AJ1009" s="150"/>
      <c r="AK1009" s="150"/>
      <c r="AL1009" s="150"/>
      <c r="AM1009" s="150"/>
      <c r="AN1009" s="150"/>
      <c r="AO1009" s="150"/>
      <c r="AP1009" s="150"/>
      <c r="AQ1009" s="150"/>
      <c r="AR1009" s="70"/>
      <c r="AS1009" s="149"/>
      <c r="AT1009" s="151" t="s">
        <v>237</v>
      </c>
      <c r="AU1009" s="150">
        <f t="shared" ref="AU1009:BD1009" si="2341">ROUND(AU1008-AU837/1000,0)</f>
        <v>0</v>
      </c>
      <c r="AV1009" s="150">
        <f t="shared" si="2341"/>
        <v>0</v>
      </c>
      <c r="AW1009" s="150">
        <f t="shared" si="2341"/>
        <v>0</v>
      </c>
      <c r="AX1009" s="150">
        <f t="shared" si="2341"/>
        <v>0</v>
      </c>
      <c r="AY1009" s="150">
        <f t="shared" si="2341"/>
        <v>0</v>
      </c>
      <c r="AZ1009" s="150">
        <f t="shared" si="2341"/>
        <v>0</v>
      </c>
      <c r="BA1009" s="150">
        <f t="shared" si="2341"/>
        <v>0</v>
      </c>
      <c r="BB1009" s="150">
        <f t="shared" ref="BB1009" si="2342">ROUND(BB1008-BB837/1000,0)</f>
        <v>0</v>
      </c>
      <c r="BC1009" s="150">
        <f t="shared" si="2341"/>
        <v>0</v>
      </c>
      <c r="BD1009" s="150">
        <f t="shared" si="2341"/>
        <v>0</v>
      </c>
      <c r="BE1009" s="150">
        <f t="shared" ref="BE1009" si="2343">ROUND(BE1008-BE837/1000,0)</f>
        <v>0</v>
      </c>
      <c r="BM1009"/>
      <c r="BN1009"/>
      <c r="BO1009"/>
      <c r="BP1009"/>
      <c r="BQ1009"/>
      <c r="BR1009"/>
    </row>
    <row r="1010" spans="1:70" x14ac:dyDescent="0.2">
      <c r="Y1010" s="1215"/>
      <c r="Z1010" s="1688"/>
      <c r="AA1010" s="1742"/>
      <c r="AB1010" s="1785"/>
      <c r="AS1010" s="10"/>
      <c r="AT1010" s="9"/>
    </row>
    <row r="1011" spans="1:70" x14ac:dyDescent="0.2">
      <c r="A1011" s="411" t="s">
        <v>194</v>
      </c>
      <c r="B1011" s="13" t="s">
        <v>605</v>
      </c>
      <c r="C1011" s="13"/>
      <c r="D1011" s="14"/>
      <c r="E1011" s="14"/>
      <c r="F1011" s="14"/>
      <c r="G1011" s="14"/>
      <c r="H1011" s="14"/>
      <c r="I1011" s="14"/>
      <c r="J1011" s="14"/>
      <c r="K1011" s="14"/>
      <c r="L1011" s="14"/>
      <c r="M1011" s="14"/>
      <c r="N1011" s="14"/>
      <c r="O1011" s="14"/>
      <c r="P1011" s="14"/>
      <c r="Q1011" s="14"/>
      <c r="R1011" s="14"/>
      <c r="S1011" s="14"/>
      <c r="T1011" s="14"/>
      <c r="U1011" s="14"/>
      <c r="V1011" s="14"/>
      <c r="W1011" s="14"/>
      <c r="X1011" s="14"/>
      <c r="Y1011" s="14"/>
      <c r="Z1011" s="14"/>
      <c r="AA1011" s="14"/>
      <c r="AB1011" s="14"/>
      <c r="AC1011" s="14"/>
      <c r="AD1011" s="14"/>
      <c r="AE1011" s="14"/>
      <c r="AF1011" s="14"/>
      <c r="AG1011" s="14"/>
      <c r="AH1011" s="14"/>
      <c r="AI1011" s="14"/>
      <c r="AJ1011" s="14"/>
      <c r="AK1011" s="14"/>
      <c r="AL1011" s="14"/>
      <c r="AM1011" s="14"/>
      <c r="AN1011" s="14"/>
      <c r="AO1011" s="14"/>
      <c r="AP1011" s="14"/>
      <c r="AQ1011" s="14"/>
      <c r="AS1011" s="13" t="s">
        <v>605</v>
      </c>
      <c r="AT1011" s="13"/>
      <c r="AU1011" s="13"/>
      <c r="AV1011" s="13"/>
      <c r="AW1011" s="13"/>
      <c r="AX1011" s="13"/>
      <c r="AY1011" s="13"/>
      <c r="AZ1011" s="13"/>
      <c r="BA1011" s="13"/>
      <c r="BB1011" s="13"/>
      <c r="BC1011" s="13"/>
      <c r="BD1011" s="13"/>
      <c r="BE1011" s="13"/>
    </row>
    <row r="1012" spans="1:70" x14ac:dyDescent="0.2">
      <c r="B1012" s="363"/>
      <c r="AA1012" s="1742"/>
      <c r="AS1012" s="363"/>
      <c r="AT1012" s="9"/>
    </row>
    <row r="1013" spans="1:70" s="674" customFormat="1" x14ac:dyDescent="0.2">
      <c r="A1013" s="837"/>
      <c r="B1013" s="670" t="s">
        <v>100</v>
      </c>
      <c r="C1013" s="671"/>
      <c r="D1013" s="671"/>
      <c r="E1013" s="671"/>
      <c r="F1013" s="671"/>
      <c r="G1013" s="671"/>
      <c r="H1013" s="671"/>
      <c r="I1013" s="671"/>
      <c r="J1013" s="671"/>
      <c r="K1013" s="671"/>
      <c r="L1013" s="671"/>
      <c r="M1013" s="672"/>
      <c r="N1013" s="672"/>
      <c r="O1013" s="672"/>
      <c r="P1013" s="672"/>
      <c r="Q1013" s="672"/>
      <c r="R1013" s="672"/>
      <c r="S1013" s="672"/>
      <c r="T1013" s="672"/>
      <c r="U1013" s="672"/>
      <c r="V1013" s="672"/>
      <c r="W1013" s="673"/>
      <c r="X1013" s="671"/>
      <c r="Y1013" s="671"/>
      <c r="Z1013" s="671"/>
      <c r="AA1013" s="671"/>
      <c r="AB1013" s="671"/>
      <c r="AC1013" s="671"/>
      <c r="AD1013" s="671"/>
      <c r="AE1013" s="671"/>
      <c r="AF1013" s="671"/>
      <c r="AG1013" s="671"/>
      <c r="AH1013" s="671"/>
      <c r="AI1013" s="671"/>
      <c r="AJ1013" s="671"/>
      <c r="AK1013" s="671"/>
      <c r="AL1013" s="671"/>
      <c r="AM1013" s="671"/>
      <c r="AN1013" s="671"/>
      <c r="AO1013" s="671"/>
      <c r="AP1013" s="671"/>
      <c r="AQ1013" s="671"/>
      <c r="AR1013" s="70"/>
      <c r="AS1013" s="670" t="s">
        <v>100</v>
      </c>
      <c r="AT1013" s="671"/>
      <c r="AU1013" s="670"/>
      <c r="AV1013" s="670"/>
      <c r="AW1013" s="670"/>
      <c r="AX1013" s="670"/>
      <c r="AY1013" s="670"/>
      <c r="AZ1013" s="670"/>
      <c r="BA1013" s="670"/>
      <c r="BB1013" s="670"/>
      <c r="BC1013" s="670"/>
      <c r="BD1013" s="670"/>
      <c r="BE1013" s="670"/>
      <c r="BM1013"/>
      <c r="BN1013"/>
      <c r="BO1013"/>
      <c r="BP1013"/>
      <c r="BQ1013"/>
      <c r="BR1013"/>
    </row>
    <row r="1014" spans="1:70" x14ac:dyDescent="0.2">
      <c r="B1014" s="363"/>
      <c r="AA1014" s="1742"/>
      <c r="AB1014" s="1785"/>
      <c r="AS1014" s="363"/>
      <c r="AT1014" s="9"/>
    </row>
    <row r="1015" spans="1:70" x14ac:dyDescent="0.2">
      <c r="B1015" s="680" t="s">
        <v>76</v>
      </c>
      <c r="C1015" s="675"/>
      <c r="D1015" s="70"/>
      <c r="E1015" s="70"/>
      <c r="F1015" s="70"/>
      <c r="G1015" s="70"/>
      <c r="H1015" s="70"/>
      <c r="I1015" s="70"/>
      <c r="J1015" s="70"/>
      <c r="K1015" s="70"/>
      <c r="L1015" s="70"/>
      <c r="M1015" s="70"/>
      <c r="N1015" s="70"/>
      <c r="O1015" s="70"/>
      <c r="P1015" s="70"/>
      <c r="Q1015" s="70"/>
      <c r="R1015" s="70"/>
      <c r="S1015" s="70"/>
      <c r="T1015" s="70"/>
      <c r="U1015" s="70"/>
      <c r="V1015" s="70"/>
      <c r="W1015" s="70"/>
      <c r="X1015" s="70"/>
      <c r="Y1015" s="70"/>
      <c r="Z1015" s="70"/>
      <c r="AA1015" s="70"/>
      <c r="AB1015" s="70"/>
      <c r="AC1015" s="70"/>
      <c r="AD1015" s="70"/>
      <c r="AE1015" s="70"/>
      <c r="AF1015" s="70"/>
      <c r="AG1015" s="70"/>
      <c r="AH1015" s="70"/>
      <c r="AI1015" s="70"/>
      <c r="AJ1015" s="70"/>
      <c r="AK1015" s="70"/>
      <c r="AL1015" s="70"/>
      <c r="AM1015" s="70"/>
      <c r="AN1015" s="70"/>
      <c r="AO1015" s="70"/>
      <c r="AP1015" s="70"/>
      <c r="AQ1015" s="70"/>
      <c r="AS1015" s="680" t="s">
        <v>76</v>
      </c>
      <c r="AT1015" s="675"/>
    </row>
    <row r="1016" spans="1:70" x14ac:dyDescent="0.2">
      <c r="B1016" s="675" t="s">
        <v>92</v>
      </c>
      <c r="C1016" s="675"/>
      <c r="D1016" s="83">
        <f t="shared" ref="D1016:AE1016" si="2344">D219</f>
        <v>111.1</v>
      </c>
      <c r="E1016" s="83">
        <f t="shared" si="2344"/>
        <v>108.2</v>
      </c>
      <c r="F1016" s="83">
        <f t="shared" si="2344"/>
        <v>108</v>
      </c>
      <c r="G1016" s="83">
        <f t="shared" si="2344"/>
        <v>108.1</v>
      </c>
      <c r="H1016" s="83">
        <f t="shared" si="2344"/>
        <v>106.4</v>
      </c>
      <c r="I1016" s="83">
        <f t="shared" si="2344"/>
        <v>104.2</v>
      </c>
      <c r="J1016" s="83">
        <f t="shared" si="2344"/>
        <v>106.2</v>
      </c>
      <c r="K1016" s="83">
        <f t="shared" si="2344"/>
        <v>111.80000000000001</v>
      </c>
      <c r="L1016" s="83">
        <f t="shared" si="2344"/>
        <v>111.1</v>
      </c>
      <c r="M1016" s="83">
        <f t="shared" si="2344"/>
        <v>108.80000000000001</v>
      </c>
      <c r="N1016" s="83">
        <f t="shared" si="2344"/>
        <v>109</v>
      </c>
      <c r="O1016" s="83">
        <f t="shared" si="2344"/>
        <v>109.6</v>
      </c>
      <c r="P1016" s="83">
        <f t="shared" si="2344"/>
        <v>108</v>
      </c>
      <c r="Q1016" s="83">
        <f t="shared" si="2344"/>
        <v>105.80000000000001</v>
      </c>
      <c r="R1016" s="83">
        <f t="shared" si="2344"/>
        <v>107</v>
      </c>
      <c r="S1016" s="83">
        <f t="shared" si="2344"/>
        <v>108.69999999999999</v>
      </c>
      <c r="T1016" s="83">
        <f t="shared" si="2344"/>
        <v>108.7</v>
      </c>
      <c r="U1016" s="83">
        <f t="shared" si="2344"/>
        <v>109.4</v>
      </c>
      <c r="V1016" s="83">
        <f t="shared" si="2344"/>
        <v>122.80000000000001</v>
      </c>
      <c r="W1016" s="83">
        <f t="shared" si="2344"/>
        <v>127</v>
      </c>
      <c r="X1016" s="83">
        <f t="shared" si="2344"/>
        <v>127.89999999999999</v>
      </c>
      <c r="Y1016" s="83">
        <f t="shared" ref="Y1016:Z1016" si="2345">Y219</f>
        <v>127.8</v>
      </c>
      <c r="Z1016" s="83">
        <f t="shared" si="2345"/>
        <v>131</v>
      </c>
      <c r="AA1016" s="83">
        <f t="shared" ref="AA1016:AB1016" si="2346">AA219</f>
        <v>133.69999999999999</v>
      </c>
      <c r="AB1016" s="83">
        <f t="shared" si="2346"/>
        <v>134</v>
      </c>
      <c r="AC1016" s="83">
        <f t="shared" si="2344"/>
        <v>134.2355</v>
      </c>
      <c r="AD1016" s="83">
        <f t="shared" si="2344"/>
        <v>135.81453249999998</v>
      </c>
      <c r="AE1016" s="83">
        <f t="shared" si="2344"/>
        <v>138.53082315</v>
      </c>
      <c r="AF1016" s="83">
        <f t="shared" ref="AF1016:AI1016" si="2347">AF219</f>
        <v>137.39054713425</v>
      </c>
      <c r="AG1016" s="83">
        <f t="shared" si="2347"/>
        <v>137.68311559985551</v>
      </c>
      <c r="AH1016" s="83">
        <f t="shared" si="2347"/>
        <v>140.19150801485333</v>
      </c>
      <c r="AI1016" s="83">
        <f t="shared" si="2347"/>
        <v>144.14830430984466</v>
      </c>
      <c r="AJ1016" s="83"/>
      <c r="AK1016" s="83"/>
      <c r="AL1016" s="83"/>
      <c r="AM1016" s="83"/>
      <c r="AN1016" s="83"/>
      <c r="AO1016" s="83"/>
      <c r="AP1016" s="83"/>
      <c r="AQ1016" s="83"/>
      <c r="AS1016" s="675" t="s">
        <v>92</v>
      </c>
      <c r="AT1016" s="675"/>
      <c r="AU1016" s="155">
        <f>AVERAGE(D1016:G1016)</f>
        <v>108.85</v>
      </c>
      <c r="AV1016" s="155">
        <f>AVERAGE(H1016:K1016)</f>
        <v>107.15</v>
      </c>
      <c r="AW1016" s="155">
        <f>AVERAGE(L1016:O1016)</f>
        <v>109.625</v>
      </c>
      <c r="AX1016" s="155">
        <f>AVERAGE(P1016:S1016)</f>
        <v>107.375</v>
      </c>
      <c r="AY1016" s="155">
        <f>AVERAGE(T1016:W1016)</f>
        <v>116.97500000000001</v>
      </c>
      <c r="AZ1016" s="155">
        <f>AVERAGE(X1016:AA1016)</f>
        <v>130.1</v>
      </c>
      <c r="BA1016" s="155">
        <f>AVERAGE(AB1016:AE1016)</f>
        <v>135.6452139125</v>
      </c>
      <c r="BB1016" s="155">
        <f>AVERAGE(AF1016:AI1016)</f>
        <v>139.85336876470086</v>
      </c>
      <c r="BC1016" s="83">
        <f>BC219</f>
        <v>145.44750351528893</v>
      </c>
      <c r="BD1016" s="83">
        <f>BD219</f>
        <v>151.26540365590049</v>
      </c>
      <c r="BE1016" s="83">
        <f>BE219</f>
        <v>157.31601980213651</v>
      </c>
    </row>
    <row r="1017" spans="1:70" x14ac:dyDescent="0.2">
      <c r="B1017" s="675" t="s">
        <v>74</v>
      </c>
      <c r="C1017" s="675"/>
      <c r="D1017" s="83">
        <f t="shared" ref="D1017:AE1017" si="2348">D214</f>
        <v>40.5</v>
      </c>
      <c r="E1017" s="83">
        <f t="shared" si="2348"/>
        <v>41.1</v>
      </c>
      <c r="F1017" s="83">
        <f t="shared" si="2348"/>
        <v>41.3</v>
      </c>
      <c r="G1017" s="83">
        <f t="shared" si="2348"/>
        <v>42.2</v>
      </c>
      <c r="H1017" s="83">
        <f t="shared" si="2348"/>
        <v>43.3</v>
      </c>
      <c r="I1017" s="83">
        <f t="shared" si="2348"/>
        <v>41.1</v>
      </c>
      <c r="J1017" s="83">
        <f t="shared" si="2348"/>
        <v>43</v>
      </c>
      <c r="K1017" s="83">
        <f t="shared" si="2348"/>
        <v>44</v>
      </c>
      <c r="L1017" s="83">
        <f t="shared" si="2348"/>
        <v>45</v>
      </c>
      <c r="M1017" s="83">
        <f t="shared" si="2348"/>
        <v>45.7</v>
      </c>
      <c r="N1017" s="83">
        <f t="shared" si="2348"/>
        <v>47.3</v>
      </c>
      <c r="O1017" s="83">
        <f t="shared" si="2348"/>
        <v>48.6</v>
      </c>
      <c r="P1017" s="83">
        <f t="shared" si="2348"/>
        <v>47.8</v>
      </c>
      <c r="Q1017" s="83">
        <f t="shared" si="2348"/>
        <v>49.3</v>
      </c>
      <c r="R1017" s="83">
        <f t="shared" si="2348"/>
        <v>50.3</v>
      </c>
      <c r="S1017" s="83">
        <f t="shared" si="2348"/>
        <v>51.8</v>
      </c>
      <c r="T1017" s="83">
        <f t="shared" si="2348"/>
        <v>52.9</v>
      </c>
      <c r="U1017" s="83">
        <f t="shared" si="2348"/>
        <v>54.4</v>
      </c>
      <c r="V1017" s="83">
        <f t="shared" si="2348"/>
        <v>55</v>
      </c>
      <c r="W1017" s="83">
        <f t="shared" si="2348"/>
        <v>55</v>
      </c>
      <c r="X1017" s="83">
        <f t="shared" si="2348"/>
        <v>55.4</v>
      </c>
      <c r="Y1017" s="83">
        <f t="shared" ref="Y1017:Z1017" si="2349">Y214</f>
        <v>55.6</v>
      </c>
      <c r="Z1017" s="83">
        <f t="shared" si="2349"/>
        <v>55.7</v>
      </c>
      <c r="AA1017" s="83">
        <f t="shared" ref="AA1017:AB1017" si="2350">AA214</f>
        <v>56</v>
      </c>
      <c r="AB1017" s="83">
        <f t="shared" si="2350"/>
        <v>55.7</v>
      </c>
      <c r="AC1017" s="83">
        <f t="shared" si="2348"/>
        <v>56.257000000000005</v>
      </c>
      <c r="AD1017" s="83">
        <f t="shared" si="2348"/>
        <v>56.819570000000006</v>
      </c>
      <c r="AE1017" s="83">
        <f t="shared" si="2348"/>
        <v>57.955961400000007</v>
      </c>
      <c r="AF1017" s="83">
        <f t="shared" ref="AF1017:AI1017" si="2351">AF214</f>
        <v>58.535521014000004</v>
      </c>
      <c r="AG1017" s="83">
        <f t="shared" si="2351"/>
        <v>59.706231434280006</v>
      </c>
      <c r="AH1017" s="83">
        <f t="shared" si="2351"/>
        <v>60.303293748622806</v>
      </c>
      <c r="AI1017" s="83">
        <f t="shared" si="2351"/>
        <v>61.509359623595266</v>
      </c>
      <c r="AJ1017" s="83"/>
      <c r="AK1017" s="83"/>
      <c r="AL1017" s="83"/>
      <c r="AM1017" s="83"/>
      <c r="AN1017" s="83"/>
      <c r="AO1017" s="83"/>
      <c r="AP1017" s="83"/>
      <c r="AQ1017" s="83"/>
      <c r="AS1017" s="675" t="s">
        <v>74</v>
      </c>
      <c r="AT1017" s="675"/>
      <c r="AU1017" s="155">
        <f>AVERAGE(D1017:G1017)</f>
        <v>41.274999999999999</v>
      </c>
      <c r="AV1017" s="155">
        <f>AVERAGE(H1017:K1017)</f>
        <v>42.85</v>
      </c>
      <c r="AW1017" s="155">
        <f>AVERAGE(L1017:O1017)</f>
        <v>46.65</v>
      </c>
      <c r="AX1017" s="155">
        <f>AVERAGE(P1017:S1017)</f>
        <v>49.8</v>
      </c>
      <c r="AY1017" s="155">
        <f>AVERAGE(T1017:W1017)</f>
        <v>54.325000000000003</v>
      </c>
      <c r="AZ1017" s="155">
        <f>AVERAGE(X1017:AA1017)</f>
        <v>55.674999999999997</v>
      </c>
      <c r="BA1017" s="155">
        <f>AVERAGE(AB1017:AE1017)</f>
        <v>56.683132850000007</v>
      </c>
      <c r="BB1017" s="155">
        <f>AVERAGE(AF1017:AI1017)</f>
        <v>60.013601455124522</v>
      </c>
      <c r="BC1017" s="83">
        <f>BC214</f>
        <v>63.614417542431994</v>
      </c>
      <c r="BD1017" s="83">
        <f>BD214</f>
        <v>66.795138419553595</v>
      </c>
      <c r="BE1017" s="83">
        <f>BE214</f>
        <v>70.134895340531273</v>
      </c>
    </row>
    <row r="1018" spans="1:70" x14ac:dyDescent="0.2">
      <c r="B1018" s="329"/>
      <c r="C1018" s="329" t="s">
        <v>314</v>
      </c>
      <c r="D1018" s="188">
        <f t="shared" ref="D1018:AE1018" si="2352">D221</f>
        <v>151.6</v>
      </c>
      <c r="E1018" s="188">
        <f t="shared" si="2352"/>
        <v>149.30000000000001</v>
      </c>
      <c r="F1018" s="188">
        <f t="shared" si="2352"/>
        <v>149.30000000000001</v>
      </c>
      <c r="G1018" s="188">
        <f t="shared" si="2352"/>
        <v>150.30000000000001</v>
      </c>
      <c r="H1018" s="188">
        <f t="shared" si="2352"/>
        <v>149.69999999999999</v>
      </c>
      <c r="I1018" s="188">
        <f t="shared" si="2352"/>
        <v>145.30000000000001</v>
      </c>
      <c r="J1018" s="188">
        <f t="shared" si="2352"/>
        <v>149.19999999999999</v>
      </c>
      <c r="K1018" s="188">
        <f t="shared" si="2352"/>
        <v>155.80000000000001</v>
      </c>
      <c r="L1018" s="188">
        <f t="shared" si="2352"/>
        <v>156.1</v>
      </c>
      <c r="M1018" s="188">
        <f t="shared" si="2352"/>
        <v>154.5</v>
      </c>
      <c r="N1018" s="188">
        <f t="shared" si="2352"/>
        <v>156.30000000000001</v>
      </c>
      <c r="O1018" s="188">
        <f t="shared" si="2352"/>
        <v>158.19999999999999</v>
      </c>
      <c r="P1018" s="188">
        <f t="shared" si="2352"/>
        <v>155.80000000000001</v>
      </c>
      <c r="Q1018" s="188">
        <f t="shared" si="2352"/>
        <v>155.10000000000002</v>
      </c>
      <c r="R1018" s="188">
        <f t="shared" si="2352"/>
        <v>157.30000000000001</v>
      </c>
      <c r="S1018" s="188">
        <f t="shared" si="2352"/>
        <v>160.5</v>
      </c>
      <c r="T1018" s="188">
        <f t="shared" si="2352"/>
        <v>161.6</v>
      </c>
      <c r="U1018" s="188">
        <f t="shared" si="2352"/>
        <v>163.80000000000001</v>
      </c>
      <c r="V1018" s="188">
        <f t="shared" si="2352"/>
        <v>177.8</v>
      </c>
      <c r="W1018" s="188">
        <f t="shared" si="2352"/>
        <v>182</v>
      </c>
      <c r="X1018" s="188">
        <f t="shared" si="2352"/>
        <v>183.29999999999998</v>
      </c>
      <c r="Y1018" s="188">
        <f t="shared" ref="Y1018:Z1018" si="2353">Y221</f>
        <v>183.4</v>
      </c>
      <c r="Z1018" s="188">
        <f t="shared" si="2353"/>
        <v>186.7</v>
      </c>
      <c r="AA1018" s="188">
        <f t="shared" ref="AA1018:AB1018" si="2354">AA221</f>
        <v>189.7</v>
      </c>
      <c r="AB1018" s="188">
        <f t="shared" si="2354"/>
        <v>189.7</v>
      </c>
      <c r="AC1018" s="188">
        <f t="shared" si="2352"/>
        <v>190.49250000000001</v>
      </c>
      <c r="AD1018" s="188">
        <f t="shared" si="2352"/>
        <v>192.63410249999998</v>
      </c>
      <c r="AE1018" s="188">
        <f t="shared" si="2352"/>
        <v>196.48678455000001</v>
      </c>
      <c r="AF1018" s="188">
        <f t="shared" ref="AF1018:AI1018" si="2355">AF221</f>
        <v>195.92606814825001</v>
      </c>
      <c r="AG1018" s="188">
        <f t="shared" si="2355"/>
        <v>197.38934703413551</v>
      </c>
      <c r="AH1018" s="188">
        <f t="shared" si="2355"/>
        <v>200.49480176347612</v>
      </c>
      <c r="AI1018" s="188">
        <f t="shared" si="2355"/>
        <v>205.65766393343992</v>
      </c>
      <c r="AJ1018" s="188"/>
      <c r="AK1018" s="188"/>
      <c r="AL1018" s="188"/>
      <c r="AM1018" s="188"/>
      <c r="AN1018" s="188"/>
      <c r="AO1018" s="188"/>
      <c r="AP1018" s="188"/>
      <c r="AQ1018" s="188"/>
      <c r="AS1018" s="329"/>
      <c r="AT1018" s="329" t="s">
        <v>314</v>
      </c>
      <c r="AU1018" s="235">
        <f t="shared" ref="AU1018:BA1018" si="2356">SUM(AU1016:AU1017)</f>
        <v>150.125</v>
      </c>
      <c r="AV1018" s="235">
        <f t="shared" si="2356"/>
        <v>150</v>
      </c>
      <c r="AW1018" s="235">
        <f t="shared" si="2356"/>
        <v>156.27500000000001</v>
      </c>
      <c r="AX1018" s="235">
        <f t="shared" si="2356"/>
        <v>157.17500000000001</v>
      </c>
      <c r="AY1018" s="235">
        <f t="shared" si="2356"/>
        <v>171.3</v>
      </c>
      <c r="AZ1018" s="235">
        <f t="shared" si="2356"/>
        <v>185.77499999999998</v>
      </c>
      <c r="BA1018" s="235">
        <f t="shared" si="2356"/>
        <v>192.32834676250002</v>
      </c>
      <c r="BB1018" s="235">
        <f t="shared" ref="BB1018" si="2357">SUM(BB1016:BB1017)</f>
        <v>199.86697021982539</v>
      </c>
      <c r="BC1018" s="188">
        <f>BC221</f>
        <v>209.06192105772092</v>
      </c>
      <c r="BD1018" s="188">
        <f>BD221</f>
        <v>218.06054207545407</v>
      </c>
      <c r="BE1018" s="188">
        <f>BE221</f>
        <v>227.45091514266778</v>
      </c>
    </row>
    <row r="1019" spans="1:70" x14ac:dyDescent="0.2">
      <c r="B1019" s="329"/>
      <c r="C1019" s="329"/>
      <c r="D1019" s="33"/>
      <c r="E1019" s="33"/>
      <c r="F1019" s="33"/>
      <c r="G1019" s="33"/>
      <c r="H1019" s="33"/>
      <c r="I1019" s="33"/>
      <c r="J1019" s="33"/>
      <c r="K1019" s="33"/>
      <c r="L1019" s="33"/>
      <c r="M1019" s="33"/>
      <c r="N1019" s="33"/>
      <c r="O1019" s="33"/>
      <c r="P1019" s="33"/>
      <c r="Q1019" s="33"/>
      <c r="R1019" s="33"/>
      <c r="S1019" s="33"/>
      <c r="T1019" s="33"/>
      <c r="U1019" s="33"/>
      <c r="V1019" s="33"/>
      <c r="W1019" s="33"/>
      <c r="X1019" s="33"/>
      <c r="Y1019" s="33"/>
      <c r="Z1019" s="33"/>
      <c r="AA1019" s="33"/>
      <c r="AB1019" s="33"/>
      <c r="AC1019" s="33"/>
      <c r="AD1019" s="33"/>
      <c r="AE1019" s="33"/>
      <c r="AF1019" s="33"/>
      <c r="AG1019" s="33"/>
      <c r="AH1019" s="33"/>
      <c r="AI1019" s="33"/>
      <c r="AJ1019" s="33"/>
      <c r="AK1019" s="33"/>
      <c r="AL1019" s="33"/>
      <c r="AM1019" s="33"/>
      <c r="AN1019" s="33"/>
      <c r="AO1019" s="33"/>
      <c r="AP1019" s="33"/>
      <c r="AQ1019" s="33"/>
      <c r="AS1019" s="329"/>
      <c r="AT1019" s="329"/>
      <c r="BC1019" s="33"/>
      <c r="BD1019" s="33"/>
      <c r="BE1019" s="33"/>
    </row>
    <row r="1020" spans="1:70" x14ac:dyDescent="0.2">
      <c r="B1020" s="680" t="s">
        <v>5</v>
      </c>
      <c r="C1020" s="675"/>
      <c r="D1020" s="70"/>
      <c r="E1020" s="70"/>
      <c r="F1020" s="70"/>
      <c r="G1020" s="70"/>
      <c r="H1020" s="70"/>
      <c r="I1020" s="70"/>
      <c r="J1020" s="70"/>
      <c r="K1020" s="70"/>
      <c r="L1020" s="70"/>
      <c r="M1020" s="70"/>
      <c r="N1020" s="70"/>
      <c r="O1020" s="70"/>
      <c r="P1020" s="70"/>
      <c r="Q1020" s="70"/>
      <c r="R1020" s="70"/>
      <c r="S1020" s="70"/>
      <c r="T1020" s="70"/>
      <c r="U1020" s="70"/>
      <c r="V1020" s="70"/>
      <c r="W1020" s="70"/>
      <c r="X1020" s="70"/>
      <c r="Y1020" s="70"/>
      <c r="Z1020" s="70"/>
      <c r="AA1020" s="70"/>
      <c r="AB1020" s="70"/>
      <c r="AC1020" s="70"/>
      <c r="AD1020" s="70"/>
      <c r="AE1020" s="70"/>
      <c r="AF1020" s="70"/>
      <c r="AG1020" s="70"/>
      <c r="AH1020" s="70"/>
      <c r="AI1020" s="70"/>
      <c r="AJ1020" s="70"/>
      <c r="AK1020" s="70"/>
      <c r="AL1020" s="70"/>
      <c r="AM1020" s="70"/>
      <c r="AN1020" s="70"/>
      <c r="AO1020" s="70"/>
      <c r="AP1020" s="70"/>
      <c r="AQ1020" s="70"/>
      <c r="AS1020" s="680" t="s">
        <v>5</v>
      </c>
      <c r="AT1020" s="675"/>
    </row>
    <row r="1021" spans="1:70" x14ac:dyDescent="0.2">
      <c r="B1021" s="675" t="s">
        <v>92</v>
      </c>
      <c r="C1021" s="675"/>
      <c r="D1021" s="188">
        <f t="shared" ref="D1021:AE1021" si="2358">D327</f>
        <v>5.9</v>
      </c>
      <c r="E1021" s="188">
        <f t="shared" si="2358"/>
        <v>5.7</v>
      </c>
      <c r="F1021" s="188">
        <f t="shared" si="2358"/>
        <v>6.1</v>
      </c>
      <c r="G1021" s="188">
        <f t="shared" si="2358"/>
        <v>6.4</v>
      </c>
      <c r="H1021" s="188">
        <f t="shared" si="2358"/>
        <v>6.8</v>
      </c>
      <c r="I1021" s="188">
        <f t="shared" si="2358"/>
        <v>7</v>
      </c>
      <c r="J1021" s="188">
        <f t="shared" si="2358"/>
        <v>7</v>
      </c>
      <c r="K1021" s="188">
        <f t="shared" si="2358"/>
        <v>7.4</v>
      </c>
      <c r="L1021" s="188">
        <f t="shared" si="2358"/>
        <v>7.2</v>
      </c>
      <c r="M1021" s="188">
        <f t="shared" si="2358"/>
        <v>7.4</v>
      </c>
      <c r="N1021" s="188">
        <f t="shared" si="2358"/>
        <v>7.3</v>
      </c>
      <c r="O1021" s="188">
        <f t="shared" si="2358"/>
        <v>7.1</v>
      </c>
      <c r="P1021" s="188">
        <f t="shared" si="2358"/>
        <v>6.4</v>
      </c>
      <c r="Q1021" s="188">
        <f t="shared" si="2358"/>
        <v>6.1</v>
      </c>
      <c r="R1021" s="188">
        <f t="shared" si="2358"/>
        <v>5.6</v>
      </c>
      <c r="S1021" s="188">
        <f t="shared" si="2358"/>
        <v>5.5</v>
      </c>
      <c r="T1021" s="188">
        <f t="shared" si="2358"/>
        <v>5.2</v>
      </c>
      <c r="U1021" s="188">
        <f t="shared" si="2358"/>
        <v>5.0999999999999996</v>
      </c>
      <c r="V1021" s="188">
        <f t="shared" si="2358"/>
        <v>5.0999999999999996</v>
      </c>
      <c r="W1021" s="188">
        <f t="shared" si="2358"/>
        <v>5</v>
      </c>
      <c r="X1021" s="188">
        <f t="shared" si="2358"/>
        <v>4.8</v>
      </c>
      <c r="Y1021" s="188">
        <f t="shared" ref="Y1021:Z1021" si="2359">Y327</f>
        <v>5.3</v>
      </c>
      <c r="Z1021" s="188">
        <f t="shared" si="2359"/>
        <v>5.6</v>
      </c>
      <c r="AA1021" s="188">
        <f t="shared" ref="AA1021:AB1021" si="2360">AA327</f>
        <v>5.4</v>
      </c>
      <c r="AB1021" s="188">
        <f t="shared" si="2360"/>
        <v>5.6</v>
      </c>
      <c r="AC1021" s="188">
        <f t="shared" si="2358"/>
        <v>5.4879999999999995</v>
      </c>
      <c r="AD1021" s="188">
        <f t="shared" si="2358"/>
        <v>5.6251999999999986</v>
      </c>
      <c r="AE1021" s="188">
        <f t="shared" si="2358"/>
        <v>5.8220819999999982</v>
      </c>
      <c r="AF1021" s="188">
        <f t="shared" ref="AF1021:AI1021" si="2361">AF327</f>
        <v>5.7056403599999985</v>
      </c>
      <c r="AG1021" s="188">
        <f t="shared" si="2361"/>
        <v>5.8197531671999982</v>
      </c>
      <c r="AH1021" s="188">
        <f t="shared" si="2361"/>
        <v>5.9070494647079981</v>
      </c>
      <c r="AI1021" s="188">
        <f t="shared" si="2361"/>
        <v>6.1137961959727773</v>
      </c>
      <c r="AJ1021" s="188"/>
      <c r="AK1021" s="188"/>
      <c r="AL1021" s="188"/>
      <c r="AM1021" s="188"/>
      <c r="AN1021" s="188"/>
      <c r="AO1021" s="188"/>
      <c r="AP1021" s="188"/>
      <c r="AQ1021" s="188"/>
      <c r="AS1021" s="675" t="s">
        <v>92</v>
      </c>
      <c r="AT1021" s="675"/>
      <c r="AU1021" s="155">
        <f>AVERAGE(D1021:G1021)</f>
        <v>6.0250000000000004</v>
      </c>
      <c r="AV1021" s="155">
        <f>AVERAGE(H1021:K1021)</f>
        <v>7.0500000000000007</v>
      </c>
      <c r="AW1021" s="155">
        <f>AVERAGE(L1021:O1021)</f>
        <v>7.25</v>
      </c>
      <c r="AX1021" s="155">
        <f>AVERAGE(P1021:S1021)</f>
        <v>5.9</v>
      </c>
      <c r="AY1021" s="155">
        <f>AVERAGE(T1021:W1021)</f>
        <v>5.0999999999999996</v>
      </c>
      <c r="AZ1021" s="155">
        <f>AVERAGE(X1021:AA1021)</f>
        <v>5.2750000000000004</v>
      </c>
      <c r="BA1021" s="155">
        <f>AVERAGE(AB1021:AE1021)</f>
        <v>5.6338204999999988</v>
      </c>
      <c r="BB1021" s="155">
        <f>AVERAGE(AF1021:AI1021)</f>
        <v>5.886559796970193</v>
      </c>
      <c r="BC1021" s="188">
        <f>BC327</f>
        <v>6.1808877868187029</v>
      </c>
      <c r="BD1021" s="188">
        <f>BD327</f>
        <v>6.4899321761596385</v>
      </c>
      <c r="BE1021" s="188">
        <f>BE327</f>
        <v>6.8144287849676211</v>
      </c>
    </row>
    <row r="1022" spans="1:70" x14ac:dyDescent="0.2">
      <c r="B1022" s="675" t="s">
        <v>74</v>
      </c>
      <c r="C1022" s="675"/>
      <c r="D1022" s="188">
        <f t="shared" ref="D1022:AE1022" si="2362">D325</f>
        <v>19.399999999999999</v>
      </c>
      <c r="E1022" s="188">
        <f t="shared" si="2362"/>
        <v>19</v>
      </c>
      <c r="F1022" s="188">
        <f t="shared" si="2362"/>
        <v>20.3</v>
      </c>
      <c r="G1022" s="188">
        <f t="shared" si="2362"/>
        <v>21.3</v>
      </c>
      <c r="H1022" s="188">
        <f t="shared" si="2362"/>
        <v>22.6</v>
      </c>
      <c r="I1022" s="188">
        <f t="shared" si="2362"/>
        <v>23</v>
      </c>
      <c r="J1022" s="188">
        <f t="shared" si="2362"/>
        <v>22.6</v>
      </c>
      <c r="K1022" s="188">
        <f t="shared" si="2362"/>
        <v>23.1</v>
      </c>
      <c r="L1022" s="188">
        <f t="shared" si="2362"/>
        <v>22.9</v>
      </c>
      <c r="M1022" s="188">
        <f t="shared" si="2362"/>
        <v>23.4</v>
      </c>
      <c r="N1022" s="188">
        <f t="shared" si="2362"/>
        <v>23</v>
      </c>
      <c r="O1022" s="188">
        <f t="shared" si="2362"/>
        <v>22.1</v>
      </c>
      <c r="P1022" s="188">
        <f t="shared" si="2362"/>
        <v>20.8</v>
      </c>
      <c r="Q1022" s="188">
        <f t="shared" si="2362"/>
        <v>20.8</v>
      </c>
      <c r="R1022" s="188">
        <f t="shared" si="2362"/>
        <v>19.8</v>
      </c>
      <c r="S1022" s="188">
        <f t="shared" si="2362"/>
        <v>20</v>
      </c>
      <c r="T1022" s="188">
        <f t="shared" si="2362"/>
        <v>19.2</v>
      </c>
      <c r="U1022" s="188">
        <f t="shared" si="2362"/>
        <v>19.2</v>
      </c>
      <c r="V1022" s="188">
        <f t="shared" si="2362"/>
        <v>19.100000000000001</v>
      </c>
      <c r="W1022" s="188">
        <f t="shared" si="2362"/>
        <v>18.5</v>
      </c>
      <c r="X1022" s="188">
        <f t="shared" si="2362"/>
        <v>18.3</v>
      </c>
      <c r="Y1022" s="188">
        <f t="shared" ref="Y1022:Z1022" si="2363">Y325</f>
        <v>20.2</v>
      </c>
      <c r="Z1022" s="188">
        <f t="shared" si="2363"/>
        <v>21.2</v>
      </c>
      <c r="AA1022" s="188">
        <f t="shared" ref="AA1022:AB1022" si="2364">AA325</f>
        <v>20.3</v>
      </c>
      <c r="AB1022" s="188">
        <f t="shared" si="2364"/>
        <v>20.7</v>
      </c>
      <c r="AC1022" s="188">
        <f t="shared" si="2362"/>
        <v>20.907</v>
      </c>
      <c r="AD1022" s="188">
        <f t="shared" si="2362"/>
        <v>21.220604999999999</v>
      </c>
      <c r="AE1022" s="188">
        <f t="shared" si="2362"/>
        <v>21.6450171</v>
      </c>
      <c r="AF1022" s="188">
        <f t="shared" ref="AF1022:AI1022" si="2365">AF325</f>
        <v>21.428566928999999</v>
      </c>
      <c r="AG1022" s="188">
        <f t="shared" si="2365"/>
        <v>21.642852598289998</v>
      </c>
      <c r="AH1022" s="188">
        <f t="shared" si="2365"/>
        <v>21.967495387264346</v>
      </c>
      <c r="AI1022" s="188">
        <f t="shared" si="2365"/>
        <v>22.406845295009635</v>
      </c>
      <c r="AJ1022" s="188"/>
      <c r="AK1022" s="188"/>
      <c r="AL1022" s="188"/>
      <c r="AM1022" s="188"/>
      <c r="AN1022" s="188"/>
      <c r="AO1022" s="188"/>
      <c r="AP1022" s="188"/>
      <c r="AQ1022" s="188"/>
      <c r="AS1022" s="675" t="s">
        <v>74</v>
      </c>
      <c r="AT1022" s="675"/>
      <c r="AU1022" s="155">
        <f>AVERAGE(D1022:G1022)</f>
        <v>20</v>
      </c>
      <c r="AV1022" s="155">
        <f>AVERAGE(H1022:K1022)</f>
        <v>22.825000000000003</v>
      </c>
      <c r="AW1022" s="155">
        <f>AVERAGE(L1022:O1022)</f>
        <v>22.85</v>
      </c>
      <c r="AX1022" s="155">
        <f>AVERAGE(P1022:S1022)</f>
        <v>20.350000000000001</v>
      </c>
      <c r="AY1022" s="155">
        <f>AVERAGE(T1022:W1022)</f>
        <v>19</v>
      </c>
      <c r="AZ1022" s="155">
        <f>AVERAGE(X1022:AA1022)</f>
        <v>20</v>
      </c>
      <c r="BA1022" s="155">
        <f>AVERAGE(AB1022:AE1022)</f>
        <v>21.118155524999999</v>
      </c>
      <c r="BB1022" s="155">
        <f>AVERAGE(AF1022:AI1022)</f>
        <v>21.861440052390993</v>
      </c>
      <c r="BC1022" s="188">
        <f>BC325</f>
        <v>22.735897654486632</v>
      </c>
      <c r="BD1022" s="188">
        <f>BD325</f>
        <v>23.645333560666099</v>
      </c>
      <c r="BE1022" s="188">
        <f>BE325</f>
        <v>24.591146903092746</v>
      </c>
    </row>
    <row r="1023" spans="1:70" x14ac:dyDescent="0.2">
      <c r="B1023" s="329"/>
      <c r="C1023" s="329" t="s">
        <v>313</v>
      </c>
      <c r="D1023" s="188">
        <f t="shared" ref="D1023:AE1023" si="2366">D329</f>
        <v>25.299999999999997</v>
      </c>
      <c r="E1023" s="188">
        <f t="shared" si="2366"/>
        <v>24.7</v>
      </c>
      <c r="F1023" s="188">
        <f t="shared" si="2366"/>
        <v>26.4</v>
      </c>
      <c r="G1023" s="188">
        <f t="shared" si="2366"/>
        <v>27.700000000000003</v>
      </c>
      <c r="H1023" s="188">
        <f t="shared" si="2366"/>
        <v>29.400000000000002</v>
      </c>
      <c r="I1023" s="188">
        <f t="shared" si="2366"/>
        <v>30</v>
      </c>
      <c r="J1023" s="188">
        <f t="shared" si="2366"/>
        <v>29.6</v>
      </c>
      <c r="K1023" s="188">
        <f t="shared" si="2366"/>
        <v>30.5</v>
      </c>
      <c r="L1023" s="188">
        <f t="shared" si="2366"/>
        <v>30.099999999999998</v>
      </c>
      <c r="M1023" s="188">
        <f t="shared" si="2366"/>
        <v>30.799999999999997</v>
      </c>
      <c r="N1023" s="188">
        <f t="shared" si="2366"/>
        <v>30.3</v>
      </c>
      <c r="O1023" s="188">
        <f t="shared" si="2366"/>
        <v>29.200000000000003</v>
      </c>
      <c r="P1023" s="188">
        <f t="shared" si="2366"/>
        <v>27.200000000000003</v>
      </c>
      <c r="Q1023" s="188">
        <f t="shared" si="2366"/>
        <v>26.9</v>
      </c>
      <c r="R1023" s="188">
        <f t="shared" si="2366"/>
        <v>25.4</v>
      </c>
      <c r="S1023" s="188">
        <f t="shared" si="2366"/>
        <v>25.5</v>
      </c>
      <c r="T1023" s="188">
        <f t="shared" si="2366"/>
        <v>24.4</v>
      </c>
      <c r="U1023" s="188">
        <f t="shared" si="2366"/>
        <v>24.299999999999997</v>
      </c>
      <c r="V1023" s="188">
        <f t="shared" si="2366"/>
        <v>24.200000000000003</v>
      </c>
      <c r="W1023" s="188">
        <f t="shared" si="2366"/>
        <v>23.5</v>
      </c>
      <c r="X1023" s="188">
        <f t="shared" si="2366"/>
        <v>23.1</v>
      </c>
      <c r="Y1023" s="188">
        <f t="shared" ref="Y1023:Z1023" si="2367">Y329</f>
        <v>25.5</v>
      </c>
      <c r="Z1023" s="188">
        <f t="shared" si="2367"/>
        <v>26.799999999999997</v>
      </c>
      <c r="AA1023" s="188">
        <f t="shared" ref="AA1023:AB1023" si="2368">AA329</f>
        <v>25.700000000000003</v>
      </c>
      <c r="AB1023" s="188">
        <f t="shared" si="2368"/>
        <v>26.299999999999997</v>
      </c>
      <c r="AC1023" s="188">
        <f t="shared" si="2366"/>
        <v>26.395</v>
      </c>
      <c r="AD1023" s="188">
        <f t="shared" si="2366"/>
        <v>26.845804999999999</v>
      </c>
      <c r="AE1023" s="188">
        <f t="shared" si="2366"/>
        <v>27.467099099999999</v>
      </c>
      <c r="AF1023" s="188">
        <f t="shared" ref="AF1023:AI1023" si="2369">AF329</f>
        <v>27.134207288999995</v>
      </c>
      <c r="AG1023" s="188">
        <f t="shared" si="2369"/>
        <v>27.462605765489997</v>
      </c>
      <c r="AH1023" s="188">
        <f t="shared" si="2369"/>
        <v>27.874544851972345</v>
      </c>
      <c r="AI1023" s="188">
        <f t="shared" si="2369"/>
        <v>28.520641490982413</v>
      </c>
      <c r="AJ1023" s="188"/>
      <c r="AK1023" s="188"/>
      <c r="AL1023" s="188"/>
      <c r="AM1023" s="188"/>
      <c r="AN1023" s="188"/>
      <c r="AO1023" s="188"/>
      <c r="AP1023" s="188"/>
      <c r="AQ1023" s="188"/>
      <c r="AS1023" s="329"/>
      <c r="AT1023" s="329" t="s">
        <v>313</v>
      </c>
      <c r="AU1023" s="235">
        <f t="shared" ref="AU1023:BA1023" si="2370">SUM(AU1021:AU1022)</f>
        <v>26.024999999999999</v>
      </c>
      <c r="AV1023" s="235">
        <f t="shared" si="2370"/>
        <v>29.875000000000004</v>
      </c>
      <c r="AW1023" s="235">
        <f t="shared" si="2370"/>
        <v>30.1</v>
      </c>
      <c r="AX1023" s="235">
        <f t="shared" si="2370"/>
        <v>26.25</v>
      </c>
      <c r="AY1023" s="235">
        <f t="shared" si="2370"/>
        <v>24.1</v>
      </c>
      <c r="AZ1023" s="235">
        <f t="shared" si="2370"/>
        <v>25.274999999999999</v>
      </c>
      <c r="BA1023" s="235">
        <f t="shared" si="2370"/>
        <v>26.751976024999998</v>
      </c>
      <c r="BB1023" s="235">
        <f t="shared" ref="BB1023" si="2371">SUM(BB1021:BB1022)</f>
        <v>27.747999849361186</v>
      </c>
      <c r="BC1023" s="188">
        <f>BC329</f>
        <v>28.916785441305336</v>
      </c>
      <c r="BD1023" s="188">
        <f>BD329</f>
        <v>30.135265736825737</v>
      </c>
      <c r="BE1023" s="188">
        <f>BE329</f>
        <v>31.405575688060367</v>
      </c>
    </row>
    <row r="1024" spans="1:70" x14ac:dyDescent="0.2">
      <c r="B1024" s="329"/>
      <c r="C1024" s="329"/>
      <c r="D1024" s="33"/>
      <c r="E1024" s="33"/>
      <c r="F1024" s="33"/>
      <c r="G1024" s="33"/>
      <c r="H1024" s="33"/>
      <c r="I1024" s="33"/>
      <c r="J1024" s="33"/>
      <c r="K1024" s="33"/>
      <c r="L1024" s="33"/>
      <c r="M1024" s="33"/>
      <c r="N1024" s="33"/>
      <c r="O1024" s="33"/>
      <c r="P1024" s="33"/>
      <c r="Q1024" s="33"/>
      <c r="R1024" s="33"/>
      <c r="S1024" s="33"/>
      <c r="T1024" s="33"/>
      <c r="U1024" s="33"/>
      <c r="V1024" s="33"/>
      <c r="W1024" s="33"/>
      <c r="X1024" s="33"/>
      <c r="Y1024" s="33"/>
      <c r="Z1024" s="33"/>
      <c r="AA1024" s="33"/>
      <c r="AB1024" s="33"/>
      <c r="AC1024" s="33"/>
      <c r="AD1024" s="33"/>
      <c r="AE1024" s="33"/>
      <c r="AF1024" s="33"/>
      <c r="AG1024" s="33"/>
      <c r="AH1024" s="33"/>
      <c r="AI1024" s="33"/>
      <c r="AJ1024" s="33"/>
      <c r="AK1024" s="33"/>
      <c r="AL1024" s="33"/>
      <c r="AM1024" s="33"/>
      <c r="AN1024" s="33"/>
      <c r="AO1024" s="33"/>
      <c r="AP1024" s="33"/>
      <c r="AQ1024" s="33"/>
      <c r="AS1024" s="329"/>
      <c r="AT1024" s="329"/>
      <c r="BC1024" s="33"/>
      <c r="BD1024" s="33"/>
      <c r="BE1024" s="33"/>
    </row>
    <row r="1025" spans="1:70" x14ac:dyDescent="0.2">
      <c r="B1025" s="680" t="s">
        <v>239</v>
      </c>
      <c r="C1025" s="675"/>
      <c r="D1025" s="70"/>
      <c r="E1025" s="70"/>
      <c r="F1025" s="70"/>
      <c r="G1025" s="70"/>
      <c r="H1025" s="70"/>
      <c r="I1025" s="70"/>
      <c r="J1025" s="70"/>
      <c r="K1025" s="70"/>
      <c r="L1025" s="70"/>
      <c r="M1025" s="70"/>
      <c r="N1025" s="70"/>
      <c r="O1025" s="70"/>
      <c r="P1025" s="70"/>
      <c r="Q1025" s="70"/>
      <c r="R1025" s="70"/>
      <c r="S1025" s="70"/>
      <c r="T1025" s="70"/>
      <c r="U1025" s="70"/>
      <c r="V1025" s="70"/>
      <c r="W1025" s="70"/>
      <c r="X1025" s="70"/>
      <c r="Y1025" s="70"/>
      <c r="Z1025" s="70"/>
      <c r="AA1025" s="70"/>
      <c r="AB1025" s="70"/>
      <c r="AC1025" s="70"/>
      <c r="AD1025" s="70"/>
      <c r="AE1025" s="70"/>
      <c r="AF1025" s="70"/>
      <c r="AG1025" s="70"/>
      <c r="AH1025" s="70"/>
      <c r="AI1025" s="70"/>
      <c r="AJ1025" s="70"/>
      <c r="AK1025" s="70"/>
      <c r="AL1025" s="70"/>
      <c r="AM1025" s="70"/>
      <c r="AN1025" s="70"/>
      <c r="AO1025" s="70"/>
      <c r="AP1025" s="70"/>
      <c r="AQ1025" s="70"/>
      <c r="AS1025" s="680" t="s">
        <v>239</v>
      </c>
      <c r="AT1025" s="675"/>
    </row>
    <row r="1026" spans="1:70" x14ac:dyDescent="0.2">
      <c r="B1026" s="675" t="s">
        <v>92</v>
      </c>
      <c r="C1026" s="675"/>
      <c r="D1026" s="188">
        <f t="shared" ref="D1026:AE1026" si="2372">D405</f>
        <v>20.2</v>
      </c>
      <c r="E1026" s="188">
        <f t="shared" si="2372"/>
        <v>19.600000000000001</v>
      </c>
      <c r="F1026" s="188">
        <f t="shared" si="2372"/>
        <v>19.899999999999999</v>
      </c>
      <c r="G1026" s="188">
        <f t="shared" si="2372"/>
        <v>20.3</v>
      </c>
      <c r="H1026" s="188">
        <f t="shared" si="2372"/>
        <v>20.399999999999999</v>
      </c>
      <c r="I1026" s="188">
        <f t="shared" si="2372"/>
        <v>19.7</v>
      </c>
      <c r="J1026" s="188">
        <f t="shared" si="2372"/>
        <v>18.5</v>
      </c>
      <c r="K1026" s="188">
        <f t="shared" si="2372"/>
        <v>19</v>
      </c>
      <c r="L1026" s="188">
        <f t="shared" si="2372"/>
        <v>18.899999999999999</v>
      </c>
      <c r="M1026" s="188">
        <f t="shared" si="2372"/>
        <v>19.2</v>
      </c>
      <c r="N1026" s="188">
        <f t="shared" si="2372"/>
        <v>19.2</v>
      </c>
      <c r="O1026" s="188">
        <f t="shared" si="2372"/>
        <v>18.600000000000001</v>
      </c>
      <c r="P1026" s="188">
        <f t="shared" si="2372"/>
        <v>18</v>
      </c>
      <c r="Q1026" s="188">
        <f t="shared" si="2372"/>
        <v>18</v>
      </c>
      <c r="R1026" s="188">
        <f t="shared" si="2372"/>
        <v>17.100000000000001</v>
      </c>
      <c r="S1026" s="188">
        <f t="shared" si="2372"/>
        <v>17.3</v>
      </c>
      <c r="T1026" s="188">
        <f t="shared" si="2372"/>
        <v>17.399999999999999</v>
      </c>
      <c r="U1026" s="188">
        <f t="shared" si="2372"/>
        <v>17.399999999999999</v>
      </c>
      <c r="V1026" s="188">
        <f t="shared" si="2372"/>
        <v>17.600000000000001</v>
      </c>
      <c r="W1026" s="188">
        <f t="shared" si="2372"/>
        <v>17.3</v>
      </c>
      <c r="X1026" s="188">
        <f t="shared" si="2372"/>
        <v>18.100000000000001</v>
      </c>
      <c r="Y1026" s="188">
        <f t="shared" ref="Y1026:Z1026" si="2373">Y405</f>
        <v>18.399999999999999</v>
      </c>
      <c r="Z1026" s="188">
        <f t="shared" si="2373"/>
        <v>18.8</v>
      </c>
      <c r="AA1026" s="188">
        <f t="shared" ref="AA1026:AB1026" si="2374">AA405</f>
        <v>19.100000000000001</v>
      </c>
      <c r="AB1026" s="188">
        <f t="shared" si="2374"/>
        <v>19.600000000000001</v>
      </c>
      <c r="AC1026" s="188">
        <f t="shared" si="2372"/>
        <v>19.796000000000003</v>
      </c>
      <c r="AD1026" s="188">
        <f t="shared" si="2372"/>
        <v>19.993960000000005</v>
      </c>
      <c r="AE1026" s="188">
        <f t="shared" si="2372"/>
        <v>20.393839200000006</v>
      </c>
      <c r="AF1026" s="188">
        <f t="shared" ref="AF1026:AI1026" si="2375">AF405</f>
        <v>20.597777592000007</v>
      </c>
      <c r="AG1026" s="188">
        <f t="shared" si="2375"/>
        <v>20.597777592000007</v>
      </c>
      <c r="AH1026" s="188">
        <f t="shared" si="2375"/>
        <v>21.009733143840009</v>
      </c>
      <c r="AI1026" s="188">
        <f t="shared" si="2375"/>
        <v>21.64002513815521</v>
      </c>
      <c r="AJ1026" s="188"/>
      <c r="AK1026" s="188"/>
      <c r="AL1026" s="188"/>
      <c r="AM1026" s="188"/>
      <c r="AN1026" s="188"/>
      <c r="AO1026" s="188"/>
      <c r="AP1026" s="188"/>
      <c r="AQ1026" s="188"/>
      <c r="AS1026" s="675" t="s">
        <v>92</v>
      </c>
      <c r="AT1026" s="675"/>
      <c r="AU1026" s="155">
        <f>AVERAGE(D1026:G1026)</f>
        <v>20</v>
      </c>
      <c r="AV1026" s="155">
        <f>AVERAGE(H1026:K1026)</f>
        <v>19.399999999999999</v>
      </c>
      <c r="AW1026" s="155">
        <f>AVERAGE(L1026:O1026)</f>
        <v>18.975000000000001</v>
      </c>
      <c r="AX1026" s="155">
        <f>AVERAGE(P1026:S1026)</f>
        <v>17.600000000000001</v>
      </c>
      <c r="AY1026" s="155">
        <f>AVERAGE(T1026:W1026)</f>
        <v>17.425000000000001</v>
      </c>
      <c r="AZ1026" s="155">
        <f>AVERAGE(X1026:AA1026)</f>
        <v>18.600000000000001</v>
      </c>
      <c r="BA1026" s="155">
        <f>AVERAGE(AB1026:AE1026)</f>
        <v>19.945949800000001</v>
      </c>
      <c r="BB1026" s="155">
        <f>AVERAGE(AF1026:AI1026)</f>
        <v>20.961328366498808</v>
      </c>
      <c r="BC1026" s="188">
        <f>BC405</f>
        <v>22.009394784823751</v>
      </c>
      <c r="BD1026" s="188">
        <f>BD405</f>
        <v>23.109864524064939</v>
      </c>
      <c r="BE1026" s="188">
        <f>BE405</f>
        <v>24.265357750268187</v>
      </c>
    </row>
    <row r="1027" spans="1:70" x14ac:dyDescent="0.2">
      <c r="B1027" s="675" t="s">
        <v>74</v>
      </c>
      <c r="C1027" s="675"/>
      <c r="D1027" s="188">
        <f t="shared" ref="D1027:AE1027" si="2376">D403</f>
        <v>68.3</v>
      </c>
      <c r="E1027" s="188">
        <f t="shared" si="2376"/>
        <v>67.2</v>
      </c>
      <c r="F1027" s="188">
        <f t="shared" si="2376"/>
        <v>68.400000000000006</v>
      </c>
      <c r="G1027" s="188">
        <f t="shared" si="2376"/>
        <v>69.8</v>
      </c>
      <c r="H1027" s="188">
        <f t="shared" si="2376"/>
        <v>69.7</v>
      </c>
      <c r="I1027" s="188">
        <f t="shared" si="2376"/>
        <v>69.400000000000006</v>
      </c>
      <c r="J1027" s="188">
        <f t="shared" si="2376"/>
        <v>69.7</v>
      </c>
      <c r="K1027" s="188">
        <f t="shared" si="2376"/>
        <v>72.099999999999994</v>
      </c>
      <c r="L1027" s="188">
        <f t="shared" si="2376"/>
        <v>72.8</v>
      </c>
      <c r="M1027" s="188">
        <f t="shared" si="2376"/>
        <v>75.8</v>
      </c>
      <c r="N1027" s="188">
        <f t="shared" si="2376"/>
        <v>75.900000000000006</v>
      </c>
      <c r="O1027" s="188">
        <f t="shared" si="2376"/>
        <v>74.3</v>
      </c>
      <c r="P1027" s="188">
        <f t="shared" si="2376"/>
        <v>72.400000000000006</v>
      </c>
      <c r="Q1027" s="188">
        <f t="shared" si="2376"/>
        <v>72.3</v>
      </c>
      <c r="R1027" s="188">
        <f t="shared" si="2376"/>
        <v>69.7</v>
      </c>
      <c r="S1027" s="188">
        <f t="shared" si="2376"/>
        <v>69</v>
      </c>
      <c r="T1027" s="188">
        <f t="shared" si="2376"/>
        <v>67.5</v>
      </c>
      <c r="U1027" s="188">
        <f t="shared" si="2376"/>
        <v>67.5</v>
      </c>
      <c r="V1027" s="188">
        <f t="shared" si="2376"/>
        <v>67.900000000000006</v>
      </c>
      <c r="W1027" s="188">
        <f t="shared" si="2376"/>
        <v>64.599999999999994</v>
      </c>
      <c r="X1027" s="188">
        <f t="shared" si="2376"/>
        <v>65.099999999999994</v>
      </c>
      <c r="Y1027" s="188">
        <f t="shared" ref="Y1027:Z1027" si="2377">Y403</f>
        <v>66.5</v>
      </c>
      <c r="Z1027" s="188">
        <f t="shared" si="2377"/>
        <v>67.400000000000006</v>
      </c>
      <c r="AA1027" s="188">
        <f t="shared" ref="AA1027:AB1027" si="2378">AA403</f>
        <v>68.8</v>
      </c>
      <c r="AB1027" s="188">
        <f t="shared" si="2378"/>
        <v>70.7</v>
      </c>
      <c r="AC1027" s="188">
        <f t="shared" si="2376"/>
        <v>71.406999999999996</v>
      </c>
      <c r="AD1027" s="188">
        <f t="shared" si="2376"/>
        <v>72.478104999999985</v>
      </c>
      <c r="AE1027" s="188">
        <f t="shared" si="2376"/>
        <v>73.927667099999979</v>
      </c>
      <c r="AF1027" s="188">
        <f t="shared" ref="AF1027:AI1027" si="2379">AF403</f>
        <v>74.297305435499965</v>
      </c>
      <c r="AG1027" s="188">
        <f t="shared" si="2379"/>
        <v>74.66879196267746</v>
      </c>
      <c r="AH1027" s="188">
        <f t="shared" si="2379"/>
        <v>75.228807902397548</v>
      </c>
      <c r="AI1027" s="188">
        <f t="shared" si="2379"/>
        <v>75.905867173519113</v>
      </c>
      <c r="AJ1027" s="188"/>
      <c r="AK1027" s="188"/>
      <c r="AL1027" s="188"/>
      <c r="AM1027" s="188"/>
      <c r="AN1027" s="188"/>
      <c r="AO1027" s="188"/>
      <c r="AP1027" s="188"/>
      <c r="AQ1027" s="188"/>
      <c r="AS1027" s="675" t="s">
        <v>74</v>
      </c>
      <c r="AT1027" s="675"/>
      <c r="AU1027" s="155">
        <f>AVERAGE(D1027:G1027)</f>
        <v>68.424999999999997</v>
      </c>
      <c r="AV1027" s="155">
        <f>AVERAGE(H1027:K1027)</f>
        <v>70.224999999999994</v>
      </c>
      <c r="AW1027" s="155">
        <f>AVERAGE(L1027:O1027)</f>
        <v>74.7</v>
      </c>
      <c r="AX1027" s="155">
        <f>AVERAGE(P1027:S1027)</f>
        <v>70.849999999999994</v>
      </c>
      <c r="AY1027" s="155">
        <f>AVERAGE(T1027:W1027)</f>
        <v>66.875</v>
      </c>
      <c r="AZ1027" s="155">
        <f>AVERAGE(X1027:AA1027)</f>
        <v>66.95</v>
      </c>
      <c r="BA1027" s="155">
        <f>AVERAGE(AB1027:AE1027)</f>
        <v>72.128193025000002</v>
      </c>
      <c r="BB1027" s="155">
        <f>AVERAGE(AF1027:AI1027)</f>
        <v>75.025193118523532</v>
      </c>
      <c r="BC1027" s="188">
        <f>BC403</f>
        <v>78.026200843264476</v>
      </c>
      <c r="BD1027" s="188">
        <f>BD403</f>
        <v>81.927510885427708</v>
      </c>
      <c r="BE1027" s="188">
        <f>BE403</f>
        <v>86.023886429699104</v>
      </c>
    </row>
    <row r="1028" spans="1:70" x14ac:dyDescent="0.2">
      <c r="B1028" s="329"/>
      <c r="C1028" s="329" t="s">
        <v>312</v>
      </c>
      <c r="D1028" s="188">
        <f t="shared" ref="D1028:AE1028" si="2380">D407</f>
        <v>88.5</v>
      </c>
      <c r="E1028" s="188">
        <f t="shared" si="2380"/>
        <v>86.800000000000011</v>
      </c>
      <c r="F1028" s="188">
        <f t="shared" si="2380"/>
        <v>88.300000000000011</v>
      </c>
      <c r="G1028" s="188">
        <f t="shared" si="2380"/>
        <v>90.1</v>
      </c>
      <c r="H1028" s="188">
        <f t="shared" si="2380"/>
        <v>90.1</v>
      </c>
      <c r="I1028" s="188">
        <f t="shared" si="2380"/>
        <v>89.100000000000009</v>
      </c>
      <c r="J1028" s="188">
        <f t="shared" si="2380"/>
        <v>88.2</v>
      </c>
      <c r="K1028" s="188">
        <f t="shared" si="2380"/>
        <v>91.1</v>
      </c>
      <c r="L1028" s="188">
        <f t="shared" si="2380"/>
        <v>91.699999999999989</v>
      </c>
      <c r="M1028" s="188">
        <f t="shared" si="2380"/>
        <v>95</v>
      </c>
      <c r="N1028" s="188">
        <f t="shared" si="2380"/>
        <v>95.100000000000009</v>
      </c>
      <c r="O1028" s="188">
        <f t="shared" si="2380"/>
        <v>92.9</v>
      </c>
      <c r="P1028" s="188">
        <f t="shared" si="2380"/>
        <v>90.4</v>
      </c>
      <c r="Q1028" s="188">
        <f t="shared" si="2380"/>
        <v>90.3</v>
      </c>
      <c r="R1028" s="188">
        <f t="shared" si="2380"/>
        <v>86.800000000000011</v>
      </c>
      <c r="S1028" s="188">
        <f t="shared" si="2380"/>
        <v>86.3</v>
      </c>
      <c r="T1028" s="188">
        <f t="shared" si="2380"/>
        <v>84.9</v>
      </c>
      <c r="U1028" s="188">
        <f t="shared" si="2380"/>
        <v>84.9</v>
      </c>
      <c r="V1028" s="188">
        <f t="shared" si="2380"/>
        <v>85.5</v>
      </c>
      <c r="W1028" s="188">
        <f t="shared" si="2380"/>
        <v>81.899999999999991</v>
      </c>
      <c r="X1028" s="188">
        <f t="shared" si="2380"/>
        <v>83.199999999999989</v>
      </c>
      <c r="Y1028" s="188">
        <f t="shared" ref="Y1028:Z1028" si="2381">Y407</f>
        <v>84.9</v>
      </c>
      <c r="Z1028" s="188">
        <f t="shared" si="2381"/>
        <v>86.2</v>
      </c>
      <c r="AA1028" s="188">
        <f t="shared" ref="AA1028:AB1028" si="2382">AA407</f>
        <v>87.9</v>
      </c>
      <c r="AB1028" s="188">
        <f t="shared" si="2382"/>
        <v>90.300000000000011</v>
      </c>
      <c r="AC1028" s="188">
        <f t="shared" si="2380"/>
        <v>91.203000000000003</v>
      </c>
      <c r="AD1028" s="188">
        <f t="shared" si="2380"/>
        <v>92.472064999999986</v>
      </c>
      <c r="AE1028" s="188">
        <f t="shared" si="2380"/>
        <v>94.321506299999982</v>
      </c>
      <c r="AF1028" s="188">
        <f t="shared" ref="AF1028:AI1028" si="2383">AF407</f>
        <v>94.895083027499965</v>
      </c>
      <c r="AG1028" s="188">
        <f t="shared" si="2383"/>
        <v>95.26656955467746</v>
      </c>
      <c r="AH1028" s="188">
        <f t="shared" si="2383"/>
        <v>96.238541046237557</v>
      </c>
      <c r="AI1028" s="188">
        <f t="shared" si="2383"/>
        <v>97.545892311674322</v>
      </c>
      <c r="AJ1028" s="188"/>
      <c r="AK1028" s="188"/>
      <c r="AL1028" s="188"/>
      <c r="AM1028" s="188"/>
      <c r="AN1028" s="188"/>
      <c r="AO1028" s="188"/>
      <c r="AP1028" s="188"/>
      <c r="AQ1028" s="188"/>
      <c r="AS1028" s="329"/>
      <c r="AT1028" s="329" t="s">
        <v>312</v>
      </c>
      <c r="AU1028" s="235">
        <f t="shared" ref="AU1028:BA1028" si="2384">SUM(AU1026:AU1027)</f>
        <v>88.424999999999997</v>
      </c>
      <c r="AV1028" s="235">
        <f t="shared" si="2384"/>
        <v>89.625</v>
      </c>
      <c r="AW1028" s="235">
        <f t="shared" si="2384"/>
        <v>93.675000000000011</v>
      </c>
      <c r="AX1028" s="235">
        <f t="shared" si="2384"/>
        <v>88.449999999999989</v>
      </c>
      <c r="AY1028" s="235">
        <f t="shared" si="2384"/>
        <v>84.3</v>
      </c>
      <c r="AZ1028" s="235">
        <f t="shared" si="2384"/>
        <v>85.550000000000011</v>
      </c>
      <c r="BA1028" s="235">
        <f t="shared" si="2384"/>
        <v>92.074142824999996</v>
      </c>
      <c r="BB1028" s="235">
        <f t="shared" ref="BB1028" si="2385">SUM(BB1026:BB1027)</f>
        <v>95.986521485022337</v>
      </c>
      <c r="BC1028" s="188">
        <f>BC407</f>
        <v>100.03559562808823</v>
      </c>
      <c r="BD1028" s="188">
        <f>BD407</f>
        <v>105.03737540949265</v>
      </c>
      <c r="BE1028" s="188">
        <f>BE407</f>
        <v>110.28924417996728</v>
      </c>
    </row>
    <row r="1029" spans="1:70" x14ac:dyDescent="0.2">
      <c r="B1029" s="329"/>
      <c r="C1029" s="329"/>
      <c r="D1029" s="188"/>
      <c r="E1029" s="188"/>
      <c r="F1029" s="188"/>
      <c r="G1029" s="188"/>
      <c r="H1029" s="188"/>
      <c r="I1029" s="188"/>
      <c r="J1029" s="188"/>
      <c r="K1029" s="188"/>
      <c r="L1029" s="188"/>
      <c r="M1029" s="188"/>
      <c r="N1029" s="188"/>
      <c r="O1029" s="188"/>
      <c r="P1029" s="188"/>
      <c r="Q1029" s="188"/>
      <c r="R1029" s="188"/>
      <c r="S1029" s="188"/>
      <c r="T1029" s="188"/>
      <c r="U1029" s="188"/>
      <c r="V1029" s="188"/>
      <c r="W1029" s="188"/>
      <c r="X1029" s="188"/>
      <c r="Y1029" s="188"/>
      <c r="Z1029" s="188"/>
      <c r="AA1029" s="188"/>
      <c r="AB1029" s="188"/>
      <c r="AC1029" s="188"/>
      <c r="AD1029" s="188"/>
      <c r="AE1029" s="188"/>
      <c r="AF1029" s="188"/>
      <c r="AG1029" s="188"/>
      <c r="AH1029" s="188"/>
      <c r="AI1029" s="188"/>
      <c r="AJ1029" s="188"/>
      <c r="AK1029" s="188"/>
      <c r="AL1029" s="188"/>
      <c r="AM1029" s="188"/>
      <c r="AN1029" s="188"/>
      <c r="AO1029" s="188"/>
      <c r="AP1029" s="188"/>
      <c r="AQ1029" s="188"/>
      <c r="AS1029" s="329"/>
      <c r="AT1029" s="329"/>
      <c r="BC1029" s="188"/>
      <c r="BD1029" s="188"/>
      <c r="BE1029" s="188"/>
    </row>
    <row r="1030" spans="1:70" x14ac:dyDescent="0.2">
      <c r="B1030" s="683" t="s">
        <v>137</v>
      </c>
      <c r="C1030" s="684"/>
      <c r="D1030" s="242"/>
      <c r="E1030" s="242"/>
      <c r="F1030" s="242"/>
      <c r="G1030" s="242"/>
      <c r="H1030" s="242"/>
      <c r="I1030" s="242"/>
      <c r="J1030" s="242"/>
      <c r="K1030" s="242"/>
      <c r="L1030" s="242"/>
      <c r="M1030" s="242"/>
      <c r="N1030" s="242"/>
      <c r="O1030" s="242"/>
      <c r="P1030" s="242"/>
      <c r="Q1030" s="242"/>
      <c r="R1030" s="242"/>
      <c r="S1030" s="242"/>
      <c r="T1030" s="242"/>
      <c r="U1030" s="242"/>
      <c r="V1030" s="242"/>
      <c r="W1030" s="242"/>
      <c r="X1030" s="242"/>
      <c r="Y1030" s="242"/>
      <c r="Z1030" s="242"/>
      <c r="AA1030" s="242"/>
      <c r="AB1030" s="242"/>
      <c r="AC1030" s="242"/>
      <c r="AD1030" s="242"/>
      <c r="AE1030" s="242"/>
      <c r="AF1030" s="242"/>
      <c r="AG1030" s="242"/>
      <c r="AH1030" s="242"/>
      <c r="AI1030" s="243"/>
      <c r="AJ1030" s="244"/>
      <c r="AK1030" s="244"/>
      <c r="AL1030" s="244"/>
      <c r="AM1030" s="244"/>
      <c r="AN1030" s="244"/>
      <c r="AO1030" s="244"/>
      <c r="AP1030" s="244"/>
      <c r="AQ1030" s="244"/>
      <c r="AS1030" s="683" t="s">
        <v>137</v>
      </c>
      <c r="AT1030" s="684"/>
      <c r="AU1030" s="1140"/>
      <c r="AV1030" s="1140"/>
      <c r="AW1030" s="1140"/>
      <c r="AX1030" s="1140"/>
      <c r="AY1030" s="1140"/>
      <c r="AZ1030" s="1140"/>
      <c r="BA1030" s="1140"/>
      <c r="BB1030" s="1140"/>
      <c r="BC1030" s="242"/>
      <c r="BD1030" s="242"/>
      <c r="BE1030" s="243"/>
    </row>
    <row r="1031" spans="1:70" x14ac:dyDescent="0.2">
      <c r="B1031" s="687" t="s">
        <v>92</v>
      </c>
      <c r="C1031" s="679"/>
      <c r="D1031" s="244">
        <f t="shared" ref="D1031:AE1031" si="2386">D1026+D1021+D1016</f>
        <v>137.19999999999999</v>
      </c>
      <c r="E1031" s="244">
        <f t="shared" si="2386"/>
        <v>133.5</v>
      </c>
      <c r="F1031" s="244">
        <f t="shared" si="2386"/>
        <v>134</v>
      </c>
      <c r="G1031" s="244">
        <f t="shared" si="2386"/>
        <v>134.80000000000001</v>
      </c>
      <c r="H1031" s="244">
        <f t="shared" si="2386"/>
        <v>133.6</v>
      </c>
      <c r="I1031" s="244">
        <f t="shared" si="2386"/>
        <v>130.9</v>
      </c>
      <c r="J1031" s="244">
        <f t="shared" si="2386"/>
        <v>131.69999999999999</v>
      </c>
      <c r="K1031" s="244">
        <f t="shared" si="2386"/>
        <v>138.20000000000002</v>
      </c>
      <c r="L1031" s="244">
        <f t="shared" si="2386"/>
        <v>137.19999999999999</v>
      </c>
      <c r="M1031" s="244">
        <f t="shared" si="2386"/>
        <v>135.4</v>
      </c>
      <c r="N1031" s="244">
        <f t="shared" si="2386"/>
        <v>135.5</v>
      </c>
      <c r="O1031" s="244">
        <f t="shared" si="2386"/>
        <v>135.30000000000001</v>
      </c>
      <c r="P1031" s="244">
        <f t="shared" si="2386"/>
        <v>132.4</v>
      </c>
      <c r="Q1031" s="244">
        <f t="shared" si="2386"/>
        <v>129.9</v>
      </c>
      <c r="R1031" s="244">
        <f t="shared" si="2386"/>
        <v>129.69999999999999</v>
      </c>
      <c r="S1031" s="244">
        <f t="shared" si="2386"/>
        <v>131.5</v>
      </c>
      <c r="T1031" s="244">
        <f t="shared" si="2386"/>
        <v>131.30000000000001</v>
      </c>
      <c r="U1031" s="244">
        <f t="shared" si="2386"/>
        <v>131.9</v>
      </c>
      <c r="V1031" s="244">
        <f t="shared" si="2386"/>
        <v>145.5</v>
      </c>
      <c r="W1031" s="244">
        <f t="shared" si="2386"/>
        <v>149.30000000000001</v>
      </c>
      <c r="X1031" s="244">
        <f t="shared" si="2386"/>
        <v>150.79999999999998</v>
      </c>
      <c r="Y1031" s="244">
        <f t="shared" ref="Y1031:Z1031" si="2387">Y1026+Y1021+Y1016</f>
        <v>151.5</v>
      </c>
      <c r="Z1031" s="244">
        <f t="shared" si="2387"/>
        <v>155.4</v>
      </c>
      <c r="AA1031" s="244">
        <f t="shared" ref="AA1031:AB1031" si="2388">AA1026+AA1021+AA1016</f>
        <v>158.19999999999999</v>
      </c>
      <c r="AB1031" s="244">
        <f t="shared" si="2388"/>
        <v>159.19999999999999</v>
      </c>
      <c r="AC1031" s="244">
        <f t="shared" si="2386"/>
        <v>159.51949999999999</v>
      </c>
      <c r="AD1031" s="244">
        <f t="shared" si="2386"/>
        <v>161.43369249999998</v>
      </c>
      <c r="AE1031" s="244">
        <f t="shared" si="2386"/>
        <v>164.74674435</v>
      </c>
      <c r="AF1031" s="244">
        <f t="shared" ref="AF1031:AI1031" si="2389">AF1026+AF1021+AF1016</f>
        <v>163.69396508624999</v>
      </c>
      <c r="AG1031" s="244">
        <f t="shared" si="2389"/>
        <v>164.10064635905553</v>
      </c>
      <c r="AH1031" s="244">
        <f t="shared" si="2389"/>
        <v>167.10829062340133</v>
      </c>
      <c r="AI1031" s="245">
        <f t="shared" si="2389"/>
        <v>171.90212564397265</v>
      </c>
      <c r="AJ1031" s="244"/>
      <c r="AK1031" s="244"/>
      <c r="AL1031" s="244"/>
      <c r="AM1031" s="244"/>
      <c r="AN1031" s="244"/>
      <c r="AO1031" s="244"/>
      <c r="AP1031" s="244"/>
      <c r="AQ1031" s="244"/>
      <c r="AS1031" s="687" t="s">
        <v>92</v>
      </c>
      <c r="AT1031" s="679"/>
      <c r="AU1031" s="244">
        <f t="shared" ref="AU1031:BD1031" si="2390">AU1026+AU1021+AU1016</f>
        <v>134.875</v>
      </c>
      <c r="AV1031" s="244">
        <f t="shared" si="2390"/>
        <v>133.6</v>
      </c>
      <c r="AW1031" s="244">
        <f t="shared" si="2390"/>
        <v>135.85</v>
      </c>
      <c r="AX1031" s="244">
        <f t="shared" si="2390"/>
        <v>130.875</v>
      </c>
      <c r="AY1031" s="244">
        <f t="shared" si="2390"/>
        <v>139.5</v>
      </c>
      <c r="AZ1031" s="244">
        <f t="shared" si="2390"/>
        <v>153.97499999999999</v>
      </c>
      <c r="BA1031" s="244">
        <f t="shared" si="2390"/>
        <v>161.2249842125</v>
      </c>
      <c r="BB1031" s="244">
        <f t="shared" ref="BB1031" si="2391">BB1026+BB1021+BB1016</f>
        <v>166.70125692816987</v>
      </c>
      <c r="BC1031" s="244">
        <f t="shared" si="2390"/>
        <v>173.63778608693138</v>
      </c>
      <c r="BD1031" s="244">
        <f t="shared" si="2390"/>
        <v>180.86520035612506</v>
      </c>
      <c r="BE1031" s="245">
        <f t="shared" ref="BE1031" si="2392">BE1026+BE1021+BE1016</f>
        <v>188.39580633737231</v>
      </c>
    </row>
    <row r="1032" spans="1:70" x14ac:dyDescent="0.2">
      <c r="B1032" s="687" t="s">
        <v>74</v>
      </c>
      <c r="C1032" s="679"/>
      <c r="D1032" s="244">
        <f t="shared" ref="D1032:AE1032" si="2393">D1027+D1022+D1017</f>
        <v>128.19999999999999</v>
      </c>
      <c r="E1032" s="244">
        <f t="shared" si="2393"/>
        <v>127.30000000000001</v>
      </c>
      <c r="F1032" s="244">
        <f t="shared" si="2393"/>
        <v>130</v>
      </c>
      <c r="G1032" s="244">
        <f t="shared" si="2393"/>
        <v>133.30000000000001</v>
      </c>
      <c r="H1032" s="244">
        <f t="shared" si="2393"/>
        <v>135.60000000000002</v>
      </c>
      <c r="I1032" s="244">
        <f t="shared" si="2393"/>
        <v>133.5</v>
      </c>
      <c r="J1032" s="244">
        <f t="shared" si="2393"/>
        <v>135.30000000000001</v>
      </c>
      <c r="K1032" s="244">
        <f t="shared" si="2393"/>
        <v>139.19999999999999</v>
      </c>
      <c r="L1032" s="244">
        <f t="shared" si="2393"/>
        <v>140.69999999999999</v>
      </c>
      <c r="M1032" s="244">
        <f t="shared" si="2393"/>
        <v>144.89999999999998</v>
      </c>
      <c r="N1032" s="244">
        <f t="shared" si="2393"/>
        <v>146.19999999999999</v>
      </c>
      <c r="O1032" s="244">
        <f t="shared" si="2393"/>
        <v>145</v>
      </c>
      <c r="P1032" s="244">
        <f t="shared" si="2393"/>
        <v>141</v>
      </c>
      <c r="Q1032" s="244">
        <f t="shared" si="2393"/>
        <v>142.39999999999998</v>
      </c>
      <c r="R1032" s="244">
        <f t="shared" si="2393"/>
        <v>139.80000000000001</v>
      </c>
      <c r="S1032" s="244">
        <f t="shared" si="2393"/>
        <v>140.80000000000001</v>
      </c>
      <c r="T1032" s="244">
        <f t="shared" si="2393"/>
        <v>139.6</v>
      </c>
      <c r="U1032" s="244">
        <f t="shared" si="2393"/>
        <v>141.1</v>
      </c>
      <c r="V1032" s="244">
        <f t="shared" si="2393"/>
        <v>142</v>
      </c>
      <c r="W1032" s="244">
        <f t="shared" si="2393"/>
        <v>138.1</v>
      </c>
      <c r="X1032" s="244">
        <f t="shared" si="2393"/>
        <v>138.79999999999998</v>
      </c>
      <c r="Y1032" s="244">
        <f t="shared" ref="Y1032:Z1032" si="2394">Y1027+Y1022+Y1017</f>
        <v>142.30000000000001</v>
      </c>
      <c r="Z1032" s="244">
        <f t="shared" si="2394"/>
        <v>144.30000000000001</v>
      </c>
      <c r="AA1032" s="244">
        <f t="shared" ref="AA1032:AB1032" si="2395">AA1027+AA1022+AA1017</f>
        <v>145.1</v>
      </c>
      <c r="AB1032" s="244">
        <f t="shared" si="2395"/>
        <v>147.10000000000002</v>
      </c>
      <c r="AC1032" s="244">
        <f t="shared" si="2393"/>
        <v>148.571</v>
      </c>
      <c r="AD1032" s="244">
        <f t="shared" si="2393"/>
        <v>150.51827999999998</v>
      </c>
      <c r="AE1032" s="244">
        <f t="shared" si="2393"/>
        <v>153.5286456</v>
      </c>
      <c r="AF1032" s="244">
        <f t="shared" ref="AF1032:AI1032" si="2396">AF1027+AF1022+AF1017</f>
        <v>154.26139337849997</v>
      </c>
      <c r="AG1032" s="244">
        <f t="shared" si="2396"/>
        <v>156.01787599524746</v>
      </c>
      <c r="AH1032" s="244">
        <f t="shared" si="2396"/>
        <v>157.49959703828472</v>
      </c>
      <c r="AI1032" s="245">
        <f t="shared" si="2396"/>
        <v>159.82207209212402</v>
      </c>
      <c r="AJ1032" s="244"/>
      <c r="AK1032" s="244"/>
      <c r="AL1032" s="244"/>
      <c r="AM1032" s="244"/>
      <c r="AN1032" s="244"/>
      <c r="AO1032" s="244"/>
      <c r="AP1032" s="244"/>
      <c r="AQ1032" s="244"/>
      <c r="AS1032" s="687" t="s">
        <v>74</v>
      </c>
      <c r="AT1032" s="679"/>
      <c r="AU1032" s="244">
        <f t="shared" ref="AU1032:BD1032" si="2397">AU1027+AU1022+AU1017</f>
        <v>129.69999999999999</v>
      </c>
      <c r="AV1032" s="244">
        <f t="shared" si="2397"/>
        <v>135.9</v>
      </c>
      <c r="AW1032" s="244">
        <f t="shared" si="2397"/>
        <v>144.20000000000002</v>
      </c>
      <c r="AX1032" s="244">
        <f t="shared" si="2397"/>
        <v>141</v>
      </c>
      <c r="AY1032" s="244">
        <f t="shared" si="2397"/>
        <v>140.19999999999999</v>
      </c>
      <c r="AZ1032" s="244">
        <f t="shared" si="2397"/>
        <v>142.625</v>
      </c>
      <c r="BA1032" s="244">
        <f t="shared" si="2397"/>
        <v>149.92948139999999</v>
      </c>
      <c r="BB1032" s="244">
        <f t="shared" ref="BB1032" si="2398">BB1027+BB1022+BB1017</f>
        <v>156.90023462603904</v>
      </c>
      <c r="BC1032" s="244">
        <f t="shared" si="2397"/>
        <v>164.37651604018311</v>
      </c>
      <c r="BD1032" s="244">
        <f t="shared" si="2397"/>
        <v>172.36798286564741</v>
      </c>
      <c r="BE1032" s="245">
        <f t="shared" ref="BE1032" si="2399">BE1027+BE1022+BE1017</f>
        <v>180.74992867332313</v>
      </c>
    </row>
    <row r="1033" spans="1:70" x14ac:dyDescent="0.2">
      <c r="B1033" s="689"/>
      <c r="C1033" s="690" t="s">
        <v>122</v>
      </c>
      <c r="D1033" s="203">
        <f t="shared" ref="D1033:AE1033" si="2400">SUM(D1031:D1032)</f>
        <v>265.39999999999998</v>
      </c>
      <c r="E1033" s="203">
        <f t="shared" si="2400"/>
        <v>260.8</v>
      </c>
      <c r="F1033" s="203">
        <f t="shared" si="2400"/>
        <v>264</v>
      </c>
      <c r="G1033" s="203">
        <f t="shared" si="2400"/>
        <v>268.10000000000002</v>
      </c>
      <c r="H1033" s="203">
        <f t="shared" si="2400"/>
        <v>269.20000000000005</v>
      </c>
      <c r="I1033" s="203">
        <f t="shared" si="2400"/>
        <v>264.39999999999998</v>
      </c>
      <c r="J1033" s="203">
        <f t="shared" si="2400"/>
        <v>267</v>
      </c>
      <c r="K1033" s="203">
        <f t="shared" si="2400"/>
        <v>277.39999999999998</v>
      </c>
      <c r="L1033" s="203">
        <f t="shared" si="2400"/>
        <v>277.89999999999998</v>
      </c>
      <c r="M1033" s="203">
        <f t="shared" si="2400"/>
        <v>280.29999999999995</v>
      </c>
      <c r="N1033" s="203">
        <f t="shared" si="2400"/>
        <v>281.7</v>
      </c>
      <c r="O1033" s="203">
        <f t="shared" si="2400"/>
        <v>280.3</v>
      </c>
      <c r="P1033" s="203">
        <f t="shared" si="2400"/>
        <v>273.39999999999998</v>
      </c>
      <c r="Q1033" s="203">
        <f t="shared" si="2400"/>
        <v>272.29999999999995</v>
      </c>
      <c r="R1033" s="203">
        <f t="shared" si="2400"/>
        <v>269.5</v>
      </c>
      <c r="S1033" s="203">
        <f t="shared" si="2400"/>
        <v>272.3</v>
      </c>
      <c r="T1033" s="203">
        <f t="shared" si="2400"/>
        <v>270.89999999999998</v>
      </c>
      <c r="U1033" s="203">
        <f t="shared" si="2400"/>
        <v>273</v>
      </c>
      <c r="V1033" s="203">
        <f t="shared" si="2400"/>
        <v>287.5</v>
      </c>
      <c r="W1033" s="203">
        <f t="shared" si="2400"/>
        <v>287.39999999999998</v>
      </c>
      <c r="X1033" s="203">
        <f t="shared" si="2400"/>
        <v>289.59999999999997</v>
      </c>
      <c r="Y1033" s="203">
        <f t="shared" ref="Y1033:Z1033" si="2401">SUM(Y1031:Y1032)</f>
        <v>293.8</v>
      </c>
      <c r="Z1033" s="203">
        <f t="shared" si="2401"/>
        <v>299.70000000000005</v>
      </c>
      <c r="AA1033" s="203">
        <f t="shared" ref="AA1033:AB1033" si="2402">SUM(AA1031:AA1032)</f>
        <v>303.29999999999995</v>
      </c>
      <c r="AB1033" s="203">
        <f t="shared" si="2402"/>
        <v>306.3</v>
      </c>
      <c r="AC1033" s="203">
        <f t="shared" si="2400"/>
        <v>308.09050000000002</v>
      </c>
      <c r="AD1033" s="203">
        <f t="shared" si="2400"/>
        <v>311.95197249999995</v>
      </c>
      <c r="AE1033" s="203">
        <f t="shared" si="2400"/>
        <v>318.27538994999998</v>
      </c>
      <c r="AF1033" s="203">
        <f t="shared" ref="AF1033:AI1033" si="2403">SUM(AF1031:AF1032)</f>
        <v>317.95535846474996</v>
      </c>
      <c r="AG1033" s="203">
        <f t="shared" si="2403"/>
        <v>320.11852235430297</v>
      </c>
      <c r="AH1033" s="203">
        <f t="shared" si="2403"/>
        <v>324.60788766168605</v>
      </c>
      <c r="AI1033" s="246">
        <f t="shared" si="2403"/>
        <v>331.7241977360967</v>
      </c>
      <c r="AJ1033" s="244"/>
      <c r="AK1033" s="244"/>
      <c r="AL1033" s="244"/>
      <c r="AM1033" s="244"/>
      <c r="AN1033" s="244"/>
      <c r="AO1033" s="244"/>
      <c r="AP1033" s="244"/>
      <c r="AQ1033" s="244"/>
      <c r="AS1033" s="689"/>
      <c r="AT1033" s="690" t="s">
        <v>122</v>
      </c>
      <c r="AU1033" s="203">
        <f t="shared" ref="AU1033:BD1033" si="2404">SUM(AU1031:AU1032)</f>
        <v>264.57499999999999</v>
      </c>
      <c r="AV1033" s="203">
        <f t="shared" si="2404"/>
        <v>269.5</v>
      </c>
      <c r="AW1033" s="203">
        <f t="shared" si="2404"/>
        <v>280.05</v>
      </c>
      <c r="AX1033" s="203">
        <f t="shared" si="2404"/>
        <v>271.875</v>
      </c>
      <c r="AY1033" s="203">
        <f t="shared" si="2404"/>
        <v>279.7</v>
      </c>
      <c r="AZ1033" s="203">
        <f t="shared" si="2404"/>
        <v>296.60000000000002</v>
      </c>
      <c r="BA1033" s="203">
        <f t="shared" si="2404"/>
        <v>311.15446561249996</v>
      </c>
      <c r="BB1033" s="203">
        <f t="shared" ref="BB1033" si="2405">SUM(BB1031:BB1032)</f>
        <v>323.60149155420891</v>
      </c>
      <c r="BC1033" s="203">
        <f t="shared" si="2404"/>
        <v>338.01430212711449</v>
      </c>
      <c r="BD1033" s="203">
        <f t="shared" si="2404"/>
        <v>353.23318322177249</v>
      </c>
      <c r="BE1033" s="246">
        <f t="shared" ref="BE1033" si="2406">SUM(BE1031:BE1032)</f>
        <v>369.14573501069543</v>
      </c>
    </row>
    <row r="1034" spans="1:70" x14ac:dyDescent="0.2">
      <c r="B1034" s="329"/>
      <c r="C1034" s="329"/>
      <c r="D1034" s="33"/>
      <c r="E1034" s="33"/>
      <c r="F1034" s="33"/>
      <c r="G1034" s="33"/>
      <c r="H1034" s="33"/>
      <c r="I1034" s="33"/>
      <c r="J1034" s="33"/>
      <c r="K1034" s="33"/>
      <c r="L1034" s="33"/>
      <c r="M1034" s="33"/>
      <c r="N1034" s="33"/>
      <c r="O1034" s="33"/>
      <c r="P1034" s="33"/>
      <c r="Q1034" s="33"/>
      <c r="R1034" s="33"/>
      <c r="S1034" s="33"/>
      <c r="T1034" s="33"/>
      <c r="U1034" s="33"/>
      <c r="V1034" s="33"/>
      <c r="W1034" s="33"/>
      <c r="X1034" s="33"/>
      <c r="Y1034" s="33"/>
      <c r="Z1034" s="33"/>
      <c r="AA1034" s="33"/>
      <c r="AB1034" s="33"/>
      <c r="AC1034" s="33"/>
      <c r="AD1034" s="33"/>
      <c r="AE1034" s="33"/>
      <c r="AF1034" s="33"/>
      <c r="AG1034" s="33"/>
      <c r="AH1034" s="33"/>
      <c r="AI1034" s="33"/>
      <c r="AJ1034" s="33"/>
      <c r="AK1034" s="33"/>
      <c r="AL1034" s="33"/>
      <c r="AM1034" s="33"/>
      <c r="AN1034" s="33"/>
      <c r="AO1034" s="33"/>
      <c r="AP1034" s="33"/>
      <c r="AQ1034" s="33"/>
      <c r="AS1034" s="329"/>
      <c r="AT1034" s="329"/>
    </row>
    <row r="1035" spans="1:70" s="674" customFormat="1" x14ac:dyDescent="0.2">
      <c r="A1035" s="837"/>
      <c r="B1035" s="670" t="s">
        <v>141</v>
      </c>
      <c r="C1035" s="671"/>
      <c r="D1035" s="671"/>
      <c r="E1035" s="671"/>
      <c r="F1035" s="671"/>
      <c r="G1035" s="671"/>
      <c r="H1035" s="671"/>
      <c r="I1035" s="671"/>
      <c r="J1035" s="671"/>
      <c r="K1035" s="671"/>
      <c r="L1035" s="671"/>
      <c r="M1035" s="671"/>
      <c r="N1035" s="692"/>
      <c r="O1035" s="692"/>
      <c r="P1035" s="692"/>
      <c r="Q1035" s="671"/>
      <c r="R1035" s="692"/>
      <c r="S1035" s="692"/>
      <c r="T1035" s="692"/>
      <c r="U1035" s="692"/>
      <c r="V1035" s="693"/>
      <c r="W1035" s="692"/>
      <c r="X1035" s="692"/>
      <c r="Y1035" s="692"/>
      <c r="Z1035" s="692"/>
      <c r="AA1035" s="671"/>
      <c r="AB1035" s="671"/>
      <c r="AC1035" s="671"/>
      <c r="AD1035" s="671"/>
      <c r="AE1035" s="671"/>
      <c r="AF1035" s="671"/>
      <c r="AG1035" s="671"/>
      <c r="AH1035" s="671"/>
      <c r="AI1035" s="671"/>
      <c r="AJ1035" s="671"/>
      <c r="AK1035" s="671"/>
      <c r="AL1035" s="671"/>
      <c r="AM1035" s="671"/>
      <c r="AN1035" s="671"/>
      <c r="AO1035" s="671"/>
      <c r="AP1035" s="671"/>
      <c r="AQ1035" s="671"/>
      <c r="AR1035" s="70"/>
      <c r="AS1035" s="670" t="s">
        <v>141</v>
      </c>
      <c r="AT1035" s="671"/>
      <c r="AU1035" s="671"/>
      <c r="AV1035" s="671"/>
      <c r="AW1035" s="671"/>
      <c r="AX1035" s="671"/>
      <c r="AY1035" s="671"/>
      <c r="AZ1035" s="671"/>
      <c r="BA1035" s="671"/>
      <c r="BB1035" s="671"/>
      <c r="BC1035" s="671"/>
      <c r="BD1035" s="671"/>
      <c r="BE1035" s="671"/>
      <c r="BF1035" s="704"/>
      <c r="BG1035" s="704"/>
      <c r="BH1035" s="704"/>
      <c r="BI1035" s="329"/>
      <c r="BJ1035" s="704"/>
      <c r="BK1035" s="704"/>
      <c r="BL1035" s="704"/>
      <c r="BM1035"/>
      <c r="BN1035"/>
      <c r="BO1035"/>
      <c r="BP1035"/>
      <c r="BQ1035"/>
      <c r="BR1035"/>
    </row>
    <row r="1036" spans="1:70" x14ac:dyDescent="0.2">
      <c r="B1036" s="362"/>
      <c r="D1036" s="33"/>
      <c r="E1036" s="33"/>
      <c r="F1036" s="33"/>
      <c r="G1036" s="33"/>
      <c r="H1036" s="33"/>
      <c r="I1036" s="33"/>
      <c r="J1036" s="33"/>
      <c r="K1036" s="33"/>
      <c r="L1036" s="33"/>
      <c r="M1036" s="33"/>
      <c r="N1036" s="33"/>
      <c r="O1036" s="33"/>
      <c r="P1036" s="33"/>
      <c r="Q1036" s="33"/>
      <c r="R1036" s="33"/>
      <c r="S1036" s="33"/>
      <c r="T1036" s="33"/>
      <c r="U1036" s="33"/>
      <c r="V1036" s="33"/>
      <c r="W1036" s="33"/>
      <c r="X1036" s="33"/>
      <c r="Y1036" s="33"/>
      <c r="Z1036" s="33"/>
      <c r="AA1036" s="33"/>
      <c r="AB1036" s="33"/>
      <c r="AC1036" s="33"/>
      <c r="AD1036" s="33"/>
      <c r="AE1036" s="33"/>
      <c r="AF1036" s="33"/>
      <c r="AG1036" s="33"/>
      <c r="AH1036" s="33"/>
      <c r="AI1036" s="33"/>
      <c r="AJ1036" s="33"/>
      <c r="AK1036" s="33"/>
      <c r="AL1036" s="33"/>
      <c r="AM1036" s="33"/>
      <c r="AN1036" s="33"/>
      <c r="AO1036" s="33"/>
      <c r="AP1036" s="33"/>
      <c r="AQ1036" s="33"/>
      <c r="AS1036" s="362"/>
      <c r="AT1036" s="9"/>
    </row>
    <row r="1037" spans="1:70" x14ac:dyDescent="0.2">
      <c r="B1037" s="680" t="s">
        <v>129</v>
      </c>
      <c r="C1037" s="675"/>
      <c r="D1037" s="33"/>
      <c r="E1037" s="33"/>
      <c r="F1037" s="33"/>
      <c r="G1037" s="33"/>
      <c r="H1037" s="33"/>
      <c r="I1037" s="33"/>
      <c r="J1037" s="33"/>
      <c r="K1037" s="33"/>
      <c r="L1037" s="33"/>
      <c r="M1037" s="33"/>
      <c r="N1037" s="33"/>
      <c r="O1037" s="33"/>
      <c r="P1037" s="33"/>
      <c r="Q1037" s="33"/>
      <c r="R1037" s="33"/>
      <c r="S1037" s="33"/>
      <c r="T1037" s="33"/>
      <c r="U1037" s="33"/>
      <c r="V1037" s="33"/>
      <c r="W1037" s="33"/>
      <c r="X1037" s="33"/>
      <c r="Y1037" s="33"/>
      <c r="Z1037" s="33"/>
      <c r="AA1037" s="33"/>
      <c r="AB1037" s="33"/>
      <c r="AC1037" s="33"/>
      <c r="AD1037" s="33"/>
      <c r="AE1037" s="33"/>
      <c r="AF1037" s="33"/>
      <c r="AG1037" s="33"/>
      <c r="AH1037" s="33"/>
      <c r="AI1037" s="33"/>
      <c r="AJ1037" s="33"/>
      <c r="AK1037" s="33"/>
      <c r="AL1037" s="33"/>
      <c r="AM1037" s="33"/>
      <c r="AN1037" s="33"/>
      <c r="AO1037" s="33"/>
      <c r="AP1037" s="33"/>
      <c r="AQ1037" s="33"/>
      <c r="AS1037" s="680" t="s">
        <v>129</v>
      </c>
      <c r="AT1037" s="675"/>
    </row>
    <row r="1038" spans="1:70" x14ac:dyDescent="0.2">
      <c r="B1038" s="675" t="s">
        <v>134</v>
      </c>
      <c r="C1038" s="675"/>
      <c r="D1038" s="188">
        <f t="shared" ref="D1038:AE1038" si="2407">D690</f>
        <v>107</v>
      </c>
      <c r="E1038" s="188">
        <f t="shared" si="2407"/>
        <v>102</v>
      </c>
      <c r="F1038" s="188">
        <f t="shared" si="2407"/>
        <v>99</v>
      </c>
      <c r="G1038" s="188">
        <f t="shared" si="2407"/>
        <v>94</v>
      </c>
      <c r="H1038" s="188">
        <f t="shared" si="2407"/>
        <v>91</v>
      </c>
      <c r="I1038" s="188">
        <f t="shared" si="2407"/>
        <v>85</v>
      </c>
      <c r="J1038" s="188">
        <f t="shared" si="2407"/>
        <v>79</v>
      </c>
      <c r="K1038" s="188">
        <f t="shared" si="2407"/>
        <v>75</v>
      </c>
      <c r="L1038" s="188">
        <f t="shared" si="2407"/>
        <v>72</v>
      </c>
      <c r="M1038" s="188">
        <f t="shared" si="2407"/>
        <v>69</v>
      </c>
      <c r="N1038" s="188">
        <f t="shared" si="2407"/>
        <v>65</v>
      </c>
      <c r="O1038" s="188">
        <f t="shared" si="2407"/>
        <v>62</v>
      </c>
      <c r="P1038" s="188">
        <f t="shared" si="2407"/>
        <v>57</v>
      </c>
      <c r="Q1038" s="188">
        <f t="shared" si="2407"/>
        <v>52</v>
      </c>
      <c r="R1038" s="188">
        <f t="shared" si="2407"/>
        <v>50</v>
      </c>
      <c r="S1038" s="188">
        <f t="shared" si="2407"/>
        <v>47</v>
      </c>
      <c r="T1038" s="188">
        <f t="shared" si="2407"/>
        <v>36.700000000000003</v>
      </c>
      <c r="U1038" s="188">
        <f t="shared" si="2407"/>
        <v>34.5</v>
      </c>
      <c r="V1038" s="188">
        <f t="shared" si="2407"/>
        <v>32.200000000000003</v>
      </c>
      <c r="W1038" s="188">
        <f t="shared" si="2407"/>
        <v>29.5</v>
      </c>
      <c r="X1038" s="188">
        <f t="shared" si="2407"/>
        <v>27</v>
      </c>
      <c r="Y1038" s="188">
        <f t="shared" ref="Y1038:Z1038" si="2408">Y690</f>
        <v>24.3</v>
      </c>
      <c r="Z1038" s="188">
        <f t="shared" si="2408"/>
        <v>22.1</v>
      </c>
      <c r="AA1038" s="188">
        <f t="shared" ref="AA1038:AB1038" si="2409">AA690</f>
        <v>20.5</v>
      </c>
      <c r="AB1038" s="188">
        <f t="shared" si="2409"/>
        <v>19.3</v>
      </c>
      <c r="AC1038" s="188">
        <f t="shared" si="2407"/>
        <v>18.335000000000001</v>
      </c>
      <c r="AD1038" s="188">
        <f t="shared" si="2407"/>
        <v>17.41825</v>
      </c>
      <c r="AE1038" s="188">
        <f t="shared" si="2407"/>
        <v>16.547337500000001</v>
      </c>
      <c r="AF1038" s="188">
        <f t="shared" ref="AF1038:AI1038" si="2410">AF690</f>
        <v>15.554497250000001</v>
      </c>
      <c r="AG1038" s="188">
        <f t="shared" si="2410"/>
        <v>14.621227415</v>
      </c>
      <c r="AH1038" s="188">
        <f t="shared" si="2410"/>
        <v>13.89016604425</v>
      </c>
      <c r="AI1038" s="188">
        <f t="shared" si="2410"/>
        <v>13.195657742037499</v>
      </c>
      <c r="AJ1038" s="188"/>
      <c r="AK1038" s="188"/>
      <c r="AL1038" s="188"/>
      <c r="AM1038" s="188"/>
      <c r="AN1038" s="188"/>
      <c r="AO1038" s="188"/>
      <c r="AP1038" s="188"/>
      <c r="AQ1038" s="188"/>
      <c r="AS1038" s="675" t="s">
        <v>134</v>
      </c>
      <c r="AT1038" s="675"/>
      <c r="AU1038" s="155">
        <f>AVERAGE(D1038:G1038)</f>
        <v>100.5</v>
      </c>
      <c r="AV1038" s="155">
        <f>AVERAGE(H1038:K1038)</f>
        <v>82.5</v>
      </c>
      <c r="AW1038" s="155">
        <f>AVERAGE(L1038:O1038)</f>
        <v>67</v>
      </c>
      <c r="AX1038" s="155">
        <f>AVERAGE(P1038:S1038)</f>
        <v>51.5</v>
      </c>
      <c r="AY1038" s="155">
        <f>AVERAGE(T1038:W1038)</f>
        <v>33.225000000000001</v>
      </c>
      <c r="AZ1038" s="155">
        <f>AVERAGE(X1038:AA1038)</f>
        <v>23.475000000000001</v>
      </c>
      <c r="BA1038" s="155">
        <f>AVERAGE(AB1038:AE1038)</f>
        <v>17.900146875000001</v>
      </c>
      <c r="BB1038" s="155">
        <f>AVERAGE(AF1038:AI1038)</f>
        <v>14.315387112821874</v>
      </c>
      <c r="BC1038" s="188">
        <f t="shared" ref="BC1038:BD1040" si="2411">BC690</f>
        <v>11.452309690257501</v>
      </c>
      <c r="BD1038" s="188">
        <f t="shared" si="2411"/>
        <v>9.1618477522060005</v>
      </c>
      <c r="BE1038" s="188">
        <f t="shared" ref="BE1038" si="2412">BE690</f>
        <v>7.3294782017648004</v>
      </c>
    </row>
    <row r="1039" spans="1:70" x14ac:dyDescent="0.2">
      <c r="B1039" s="675" t="s">
        <v>16</v>
      </c>
      <c r="C1039" s="675"/>
      <c r="D1039" s="188">
        <f t="shared" ref="D1039:AE1039" si="2413">D691</f>
        <v>15</v>
      </c>
      <c r="E1039" s="188">
        <f t="shared" si="2413"/>
        <v>15</v>
      </c>
      <c r="F1039" s="188">
        <f t="shared" si="2413"/>
        <v>14</v>
      </c>
      <c r="G1039" s="188">
        <f t="shared" si="2413"/>
        <v>14</v>
      </c>
      <c r="H1039" s="188">
        <f t="shared" si="2413"/>
        <v>12</v>
      </c>
      <c r="I1039" s="188">
        <f t="shared" si="2413"/>
        <v>12</v>
      </c>
      <c r="J1039" s="188">
        <f t="shared" si="2413"/>
        <v>12</v>
      </c>
      <c r="K1039" s="188">
        <f t="shared" si="2413"/>
        <v>12</v>
      </c>
      <c r="L1039" s="188">
        <f t="shared" si="2413"/>
        <v>12</v>
      </c>
      <c r="M1039" s="188">
        <f t="shared" si="2413"/>
        <v>12</v>
      </c>
      <c r="N1039" s="188">
        <f t="shared" si="2413"/>
        <v>12</v>
      </c>
      <c r="O1039" s="188">
        <f t="shared" si="2413"/>
        <v>12</v>
      </c>
      <c r="P1039" s="188">
        <f t="shared" si="2413"/>
        <v>12</v>
      </c>
      <c r="Q1039" s="188">
        <f t="shared" si="2413"/>
        <v>4</v>
      </c>
      <c r="R1039" s="188">
        <f t="shared" si="2413"/>
        <v>3</v>
      </c>
      <c r="S1039" s="188">
        <f t="shared" si="2413"/>
        <v>2</v>
      </c>
      <c r="T1039" s="188">
        <f t="shared" si="2413"/>
        <v>2.6999999999999957</v>
      </c>
      <c r="U1039" s="188">
        <f t="shared" si="2413"/>
        <v>2.7000000000000028</v>
      </c>
      <c r="V1039" s="188">
        <f t="shared" si="2413"/>
        <v>3.1999999999999957</v>
      </c>
      <c r="W1039" s="188">
        <f t="shared" si="2413"/>
        <v>2.5</v>
      </c>
      <c r="X1039" s="188">
        <f t="shared" si="2413"/>
        <v>2.6000000000000014</v>
      </c>
      <c r="Y1039" s="188">
        <f t="shared" ref="Y1039:Z1039" si="2414">Y691</f>
        <v>1.5999999999999979</v>
      </c>
      <c r="Z1039" s="188">
        <f t="shared" si="2414"/>
        <v>1.7999999999999972</v>
      </c>
      <c r="AA1039" s="188">
        <f t="shared" ref="AA1039:AB1039" si="2415">AA691</f>
        <v>1.3999999999999986</v>
      </c>
      <c r="AB1039" s="188">
        <f t="shared" si="2415"/>
        <v>1.3000000000000007</v>
      </c>
      <c r="AC1039" s="188">
        <f t="shared" si="2413"/>
        <v>1.2350000000000005</v>
      </c>
      <c r="AD1039" s="188">
        <f t="shared" si="2413"/>
        <v>1.1732500000000006</v>
      </c>
      <c r="AE1039" s="188">
        <f t="shared" si="2413"/>
        <v>1.1145875000000005</v>
      </c>
      <c r="AF1039" s="188">
        <f t="shared" ref="AF1039:AI1039" si="2416">AF691</f>
        <v>1.0477122500000005</v>
      </c>
      <c r="AG1039" s="188">
        <f t="shared" si="2416"/>
        <v>0.9848495150000004</v>
      </c>
      <c r="AH1039" s="188">
        <f t="shared" si="2416"/>
        <v>0.93560703925000033</v>
      </c>
      <c r="AI1039" s="188">
        <f t="shared" si="2416"/>
        <v>0.88882668728750025</v>
      </c>
      <c r="AJ1039" s="188"/>
      <c r="AK1039" s="188"/>
      <c r="AL1039" s="188"/>
      <c r="AM1039" s="188"/>
      <c r="AN1039" s="188"/>
      <c r="AO1039" s="188"/>
      <c r="AP1039" s="188"/>
      <c r="AQ1039" s="188"/>
      <c r="AS1039" s="675" t="s">
        <v>16</v>
      </c>
      <c r="AT1039" s="675"/>
      <c r="AU1039" s="155">
        <f>AVERAGE(D1039:G1039)</f>
        <v>14.5</v>
      </c>
      <c r="AV1039" s="155">
        <f>AVERAGE(H1039:K1039)</f>
        <v>12</v>
      </c>
      <c r="AW1039" s="155">
        <f>AVERAGE(L1039:O1039)</f>
        <v>12</v>
      </c>
      <c r="AX1039" s="155">
        <f>AVERAGE(P1039:S1039)</f>
        <v>5.25</v>
      </c>
      <c r="AY1039" s="155">
        <f>AVERAGE(T1039:W1039)</f>
        <v>2.7749999999999986</v>
      </c>
      <c r="AZ1039" s="155">
        <f>AVERAGE(X1039:AA1039)</f>
        <v>1.8499999999999988</v>
      </c>
      <c r="BA1039" s="155">
        <f>AVERAGE(AB1039:AE1039)</f>
        <v>1.2057093750000005</v>
      </c>
      <c r="BB1039" s="155">
        <f>AVERAGE(AF1039:AI1039)</f>
        <v>0.96424887288437533</v>
      </c>
      <c r="BC1039" s="188">
        <f t="shared" si="2411"/>
        <v>0.77139909830750031</v>
      </c>
      <c r="BD1039" s="188">
        <f t="shared" si="2411"/>
        <v>0.61711927864600025</v>
      </c>
      <c r="BE1039" s="188">
        <f t="shared" ref="BE1039" si="2417">BE691</f>
        <v>0.49369542291680024</v>
      </c>
    </row>
    <row r="1040" spans="1:70" x14ac:dyDescent="0.2">
      <c r="B1040" s="329"/>
      <c r="C1040" s="329" t="s">
        <v>314</v>
      </c>
      <c r="D1040" s="188">
        <f t="shared" ref="D1040:AE1040" si="2418">D692</f>
        <v>122</v>
      </c>
      <c r="E1040" s="188">
        <f t="shared" si="2418"/>
        <v>117</v>
      </c>
      <c r="F1040" s="188">
        <f t="shared" si="2418"/>
        <v>113</v>
      </c>
      <c r="G1040" s="188">
        <f t="shared" si="2418"/>
        <v>108</v>
      </c>
      <c r="H1040" s="188">
        <f t="shared" si="2418"/>
        <v>103</v>
      </c>
      <c r="I1040" s="188">
        <f t="shared" si="2418"/>
        <v>97</v>
      </c>
      <c r="J1040" s="188">
        <f t="shared" si="2418"/>
        <v>91</v>
      </c>
      <c r="K1040" s="188">
        <f t="shared" si="2418"/>
        <v>87</v>
      </c>
      <c r="L1040" s="188">
        <f t="shared" si="2418"/>
        <v>84</v>
      </c>
      <c r="M1040" s="188">
        <f t="shared" si="2418"/>
        <v>81</v>
      </c>
      <c r="N1040" s="188">
        <f t="shared" si="2418"/>
        <v>77</v>
      </c>
      <c r="O1040" s="188">
        <f t="shared" si="2418"/>
        <v>74</v>
      </c>
      <c r="P1040" s="188">
        <f t="shared" si="2418"/>
        <v>69</v>
      </c>
      <c r="Q1040" s="188">
        <f t="shared" si="2418"/>
        <v>56</v>
      </c>
      <c r="R1040" s="188">
        <f t="shared" si="2418"/>
        <v>53</v>
      </c>
      <c r="S1040" s="188">
        <f t="shared" si="2418"/>
        <v>49</v>
      </c>
      <c r="T1040" s="188">
        <f t="shared" si="2418"/>
        <v>39.4</v>
      </c>
      <c r="U1040" s="188">
        <f t="shared" si="2418"/>
        <v>37.200000000000003</v>
      </c>
      <c r="V1040" s="188">
        <f t="shared" si="2418"/>
        <v>35.4</v>
      </c>
      <c r="W1040" s="188">
        <f t="shared" si="2418"/>
        <v>32</v>
      </c>
      <c r="X1040" s="188">
        <f t="shared" si="2418"/>
        <v>29.6</v>
      </c>
      <c r="Y1040" s="188">
        <f t="shared" ref="Y1040:Z1040" si="2419">Y692</f>
        <v>25.9</v>
      </c>
      <c r="Z1040" s="188">
        <f t="shared" si="2419"/>
        <v>23.9</v>
      </c>
      <c r="AA1040" s="188">
        <f t="shared" ref="AA1040:AB1040" si="2420">AA692</f>
        <v>21.9</v>
      </c>
      <c r="AB1040" s="188">
        <f t="shared" si="2420"/>
        <v>20.6</v>
      </c>
      <c r="AC1040" s="188">
        <f t="shared" si="2418"/>
        <v>19.57</v>
      </c>
      <c r="AD1040" s="188">
        <f t="shared" si="2418"/>
        <v>18.5915</v>
      </c>
      <c r="AE1040" s="188">
        <f t="shared" si="2418"/>
        <v>17.661925</v>
      </c>
      <c r="AF1040" s="188">
        <f t="shared" ref="AF1040:AI1040" si="2421">AF692</f>
        <v>16.602209500000001</v>
      </c>
      <c r="AG1040" s="188">
        <f t="shared" si="2421"/>
        <v>15.60607693</v>
      </c>
      <c r="AH1040" s="188">
        <f t="shared" si="2421"/>
        <v>14.8257730835</v>
      </c>
      <c r="AI1040" s="188">
        <f t="shared" si="2421"/>
        <v>14.084484429324998</v>
      </c>
      <c r="AJ1040" s="188"/>
      <c r="AK1040" s="188"/>
      <c r="AL1040" s="188"/>
      <c r="AM1040" s="188"/>
      <c r="AN1040" s="188"/>
      <c r="AO1040" s="188"/>
      <c r="AP1040" s="188"/>
      <c r="AQ1040" s="188"/>
      <c r="AS1040" s="329"/>
      <c r="AT1040" s="329" t="s">
        <v>314</v>
      </c>
      <c r="AU1040" s="235">
        <f t="shared" ref="AU1040:BA1040" si="2422">SUM(AU1038:AU1039)</f>
        <v>115</v>
      </c>
      <c r="AV1040" s="235">
        <f t="shared" si="2422"/>
        <v>94.5</v>
      </c>
      <c r="AW1040" s="235">
        <f t="shared" si="2422"/>
        <v>79</v>
      </c>
      <c r="AX1040" s="235">
        <f t="shared" si="2422"/>
        <v>56.75</v>
      </c>
      <c r="AY1040" s="235">
        <f t="shared" si="2422"/>
        <v>36</v>
      </c>
      <c r="AZ1040" s="235">
        <f t="shared" si="2422"/>
        <v>25.324999999999999</v>
      </c>
      <c r="BA1040" s="235">
        <f t="shared" si="2422"/>
        <v>19.105856250000002</v>
      </c>
      <c r="BB1040" s="235">
        <f t="shared" ref="BB1040" si="2423">SUM(BB1038:BB1039)</f>
        <v>15.27963598570625</v>
      </c>
      <c r="BC1040" s="188">
        <f t="shared" si="2411"/>
        <v>12.223708788565</v>
      </c>
      <c r="BD1040" s="188">
        <f t="shared" si="2411"/>
        <v>9.7789670308520016</v>
      </c>
      <c r="BE1040" s="188">
        <f t="shared" ref="BE1040" si="2424">BE692</f>
        <v>7.8231736246816004</v>
      </c>
    </row>
    <row r="1041" spans="1:57" x14ac:dyDescent="0.2">
      <c r="B1041" s="329"/>
      <c r="C1041" s="329"/>
      <c r="D1041" s="188"/>
      <c r="E1041" s="188"/>
      <c r="F1041" s="188"/>
      <c r="G1041" s="188"/>
      <c r="H1041" s="188"/>
      <c r="I1041" s="188"/>
      <c r="J1041" s="188"/>
      <c r="K1041" s="188"/>
      <c r="L1041" s="188"/>
      <c r="M1041" s="188"/>
      <c r="N1041" s="188"/>
      <c r="O1041" s="188"/>
      <c r="P1041" s="188"/>
      <c r="Q1041" s="188"/>
      <c r="R1041" s="188"/>
      <c r="S1041" s="188"/>
      <c r="T1041" s="188"/>
      <c r="U1041" s="188"/>
      <c r="V1041" s="188"/>
      <c r="W1041" s="188"/>
      <c r="X1041" s="188"/>
      <c r="Y1041" s="188"/>
      <c r="Z1041" s="188"/>
      <c r="AA1041" s="188"/>
      <c r="AB1041" s="188"/>
      <c r="AC1041" s="188"/>
      <c r="AD1041" s="188"/>
      <c r="AE1041" s="188"/>
      <c r="AF1041" s="188"/>
      <c r="AG1041" s="188"/>
      <c r="AH1041" s="188"/>
      <c r="AI1041" s="188"/>
      <c r="AJ1041" s="188"/>
      <c r="AK1041" s="188"/>
      <c r="AL1041" s="188"/>
      <c r="AM1041" s="188"/>
      <c r="AN1041" s="188"/>
      <c r="AO1041" s="188"/>
      <c r="AP1041" s="188"/>
      <c r="AQ1041" s="188"/>
      <c r="AS1041" s="329"/>
      <c r="AT1041" s="329"/>
      <c r="BC1041" s="188"/>
      <c r="BD1041" s="188"/>
      <c r="BE1041" s="188"/>
    </row>
    <row r="1042" spans="1:57" x14ac:dyDescent="0.2">
      <c r="B1042" s="680" t="s">
        <v>37</v>
      </c>
      <c r="C1042" s="329"/>
      <c r="D1042" s="219">
        <f t="shared" ref="D1042:AE1042" si="2425">D694</f>
        <v>30</v>
      </c>
      <c r="E1042" s="219">
        <f t="shared" si="2425"/>
        <v>28.3</v>
      </c>
      <c r="F1042" s="219">
        <f t="shared" si="2425"/>
        <v>27.7</v>
      </c>
      <c r="G1042" s="219">
        <f t="shared" si="2425"/>
        <v>26.8</v>
      </c>
      <c r="H1042" s="219">
        <f t="shared" si="2425"/>
        <v>25.8</v>
      </c>
      <c r="I1042" s="219">
        <f t="shared" si="2425"/>
        <v>24.2</v>
      </c>
      <c r="J1042" s="219">
        <f t="shared" si="2425"/>
        <v>20.8</v>
      </c>
      <c r="K1042" s="219">
        <f t="shared" si="2425"/>
        <v>20.8</v>
      </c>
      <c r="L1042" s="219">
        <f t="shared" si="2425"/>
        <v>19.7</v>
      </c>
      <c r="M1042" s="219">
        <f t="shared" si="2425"/>
        <v>19.899999999999999</v>
      </c>
      <c r="N1042" s="219">
        <f t="shared" si="2425"/>
        <v>18.600000000000001</v>
      </c>
      <c r="O1042" s="219">
        <f t="shared" si="2425"/>
        <v>14.8</v>
      </c>
      <c r="P1042" s="219">
        <f t="shared" si="2425"/>
        <v>12.9</v>
      </c>
      <c r="Q1042" s="219">
        <f t="shared" si="2425"/>
        <v>9.9</v>
      </c>
      <c r="R1042" s="219">
        <f t="shared" si="2425"/>
        <v>8.8000000000000007</v>
      </c>
      <c r="S1042" s="219">
        <f t="shared" si="2425"/>
        <v>8.3000000000000007</v>
      </c>
      <c r="T1042" s="219">
        <f t="shared" si="2425"/>
        <v>6.7</v>
      </c>
      <c r="U1042" s="219">
        <f t="shared" si="2425"/>
        <v>6.1</v>
      </c>
      <c r="V1042" s="219">
        <f t="shared" si="2425"/>
        <v>5.4</v>
      </c>
      <c r="W1042" s="219">
        <f t="shared" si="2425"/>
        <v>2.4</v>
      </c>
      <c r="X1042" s="219">
        <f t="shared" si="2425"/>
        <v>2.1</v>
      </c>
      <c r="Y1042" s="219">
        <f t="shared" ref="Y1042:Z1042" si="2426">Y694</f>
        <v>1.9</v>
      </c>
      <c r="Z1042" s="219">
        <f t="shared" si="2426"/>
        <v>1.9</v>
      </c>
      <c r="AA1042" s="219">
        <f t="shared" ref="AA1042:AB1042" si="2427">AA694</f>
        <v>1.7</v>
      </c>
      <c r="AB1042" s="219">
        <f t="shared" si="2427"/>
        <v>1.7</v>
      </c>
      <c r="AC1042" s="219">
        <f t="shared" si="2425"/>
        <v>1.53</v>
      </c>
      <c r="AD1042" s="219">
        <f t="shared" si="2425"/>
        <v>1.377</v>
      </c>
      <c r="AE1042" s="219">
        <f t="shared" si="2425"/>
        <v>1.2393000000000001</v>
      </c>
      <c r="AF1042" s="219">
        <f t="shared" ref="AF1042:AI1042" si="2428">AF694</f>
        <v>1.0781910000000001</v>
      </c>
      <c r="AG1042" s="219">
        <f t="shared" si="2428"/>
        <v>0.9380261700000001</v>
      </c>
      <c r="AH1042" s="219">
        <f t="shared" si="2428"/>
        <v>0.80295040152000008</v>
      </c>
      <c r="AI1042" s="219">
        <f t="shared" si="2428"/>
        <v>0.68732554370112009</v>
      </c>
      <c r="AJ1042" s="219"/>
      <c r="AK1042" s="219"/>
      <c r="AL1042" s="219"/>
      <c r="AM1042" s="219"/>
      <c r="AN1042" s="219"/>
      <c r="AO1042" s="219"/>
      <c r="AP1042" s="219"/>
      <c r="AQ1042" s="219"/>
      <c r="AS1042" s="680" t="s">
        <v>37</v>
      </c>
      <c r="AT1042" s="329"/>
      <c r="AU1042" s="155">
        <f>AVERAGE(D1042:G1042)</f>
        <v>28.2</v>
      </c>
      <c r="AV1042" s="155">
        <f>AVERAGE(H1042:K1042)</f>
        <v>22.9</v>
      </c>
      <c r="AW1042" s="155">
        <f>AVERAGE(L1042:O1042)</f>
        <v>18.25</v>
      </c>
      <c r="AX1042" s="155">
        <f>AVERAGE(P1042:S1042)</f>
        <v>9.9750000000000014</v>
      </c>
      <c r="AY1042" s="155">
        <f>AVERAGE(T1042:W1042)</f>
        <v>5.15</v>
      </c>
      <c r="AZ1042" s="155">
        <f>AVERAGE(X1042:AA1042)</f>
        <v>1.9000000000000001</v>
      </c>
      <c r="BA1042" s="155">
        <f>AVERAGE(AB1042:AE1042)</f>
        <v>1.4615750000000001</v>
      </c>
      <c r="BB1042" s="155">
        <f>AVERAGE(AF1042:AI1042)</f>
        <v>0.87662327880528002</v>
      </c>
      <c r="BC1042" s="219">
        <f>BC694</f>
        <v>0.52597396728316803</v>
      </c>
      <c r="BD1042" s="219">
        <f>BD694</f>
        <v>0.31558438036990083</v>
      </c>
      <c r="BE1042" s="219">
        <f>BE694</f>
        <v>0.18935062822194049</v>
      </c>
    </row>
    <row r="1043" spans="1:57" x14ac:dyDescent="0.2">
      <c r="B1043" s="329"/>
      <c r="C1043" s="329"/>
      <c r="D1043" s="219"/>
      <c r="E1043" s="219"/>
      <c r="F1043" s="219"/>
      <c r="G1043" s="219"/>
      <c r="H1043" s="219"/>
      <c r="I1043" s="219"/>
      <c r="J1043" s="219"/>
      <c r="K1043" s="219"/>
      <c r="L1043" s="219"/>
      <c r="M1043" s="219"/>
      <c r="N1043" s="219"/>
      <c r="O1043" s="219"/>
      <c r="P1043" s="219"/>
      <c r="Q1043" s="219"/>
      <c r="R1043" s="219"/>
      <c r="S1043" s="219"/>
      <c r="T1043" s="219"/>
      <c r="U1043" s="219"/>
      <c r="V1043" s="219"/>
      <c r="W1043" s="219"/>
      <c r="X1043" s="219"/>
      <c r="Y1043" s="219"/>
      <c r="Z1043" s="219"/>
      <c r="AA1043" s="219"/>
      <c r="AB1043" s="219"/>
      <c r="AC1043" s="219"/>
      <c r="AD1043" s="219"/>
      <c r="AE1043" s="219"/>
      <c r="AF1043" s="219"/>
      <c r="AG1043" s="219"/>
      <c r="AH1043" s="219"/>
      <c r="AI1043" s="219"/>
      <c r="AJ1043" s="219"/>
      <c r="AK1043" s="219"/>
      <c r="AL1043" s="219"/>
      <c r="AM1043" s="219"/>
      <c r="AN1043" s="219"/>
      <c r="AO1043" s="219"/>
      <c r="AP1043" s="219"/>
      <c r="AQ1043" s="219"/>
      <c r="AS1043" s="329"/>
      <c r="AT1043" s="329"/>
      <c r="BC1043" s="219"/>
      <c r="BD1043" s="219"/>
      <c r="BE1043" s="219"/>
    </row>
    <row r="1044" spans="1:57" x14ac:dyDescent="0.2">
      <c r="B1044" s="698" t="s">
        <v>140</v>
      </c>
      <c r="C1044" s="329"/>
      <c r="D1044" s="219" t="str">
        <f t="shared" ref="D1044:AE1044" si="2429">D696</f>
        <v>NA</v>
      </c>
      <c r="E1044" s="219">
        <f t="shared" si="2429"/>
        <v>1.0499999999999972</v>
      </c>
      <c r="F1044" s="219">
        <f t="shared" si="2429"/>
        <v>1.0500000000000043</v>
      </c>
      <c r="G1044" s="219">
        <f t="shared" si="2429"/>
        <v>1.0000000000000071</v>
      </c>
      <c r="H1044" s="219">
        <f t="shared" si="2429"/>
        <v>0.85000000000000142</v>
      </c>
      <c r="I1044" s="219">
        <f t="shared" si="2429"/>
        <v>0.79999999999999716</v>
      </c>
      <c r="J1044" s="219">
        <f t="shared" si="2429"/>
        <v>0.85000000000000142</v>
      </c>
      <c r="K1044" s="219">
        <f t="shared" si="2429"/>
        <v>0.80000000000000426</v>
      </c>
      <c r="L1044" s="219">
        <f t="shared" si="2429"/>
        <v>0.60000000000000853</v>
      </c>
      <c r="M1044" s="219">
        <f t="shared" si="2429"/>
        <v>-0.84999999999998721</v>
      </c>
      <c r="N1044" s="219">
        <f t="shared" si="2429"/>
        <v>-0.99999999999999289</v>
      </c>
      <c r="O1044" s="219">
        <f t="shared" si="2429"/>
        <v>-4.9999999999997158E-2</v>
      </c>
      <c r="P1044" s="219">
        <f t="shared" si="2429"/>
        <v>-0.10000000000000497</v>
      </c>
      <c r="Q1044" s="219">
        <f t="shared" si="2429"/>
        <v>0.14999999999999503</v>
      </c>
      <c r="R1044" s="219">
        <f t="shared" si="2429"/>
        <v>0.15000000000000568</v>
      </c>
      <c r="S1044" s="219">
        <f t="shared" si="2429"/>
        <v>0.15000000000000568</v>
      </c>
      <c r="T1044" s="219">
        <f t="shared" si="2429"/>
        <v>0.25</v>
      </c>
      <c r="U1044" s="219">
        <f t="shared" si="2429"/>
        <v>0.19999999999999929</v>
      </c>
      <c r="V1044" s="219">
        <f t="shared" si="2429"/>
        <v>0.10000000000000142</v>
      </c>
      <c r="W1044" s="219">
        <f t="shared" si="2429"/>
        <v>5.0000000000000711E-2</v>
      </c>
      <c r="X1044" s="219">
        <f t="shared" si="2429"/>
        <v>0</v>
      </c>
      <c r="Y1044" s="219">
        <f t="shared" ref="Y1044:Z1044" si="2430">Y696</f>
        <v>0</v>
      </c>
      <c r="Z1044" s="219">
        <f t="shared" si="2430"/>
        <v>0</v>
      </c>
      <c r="AA1044" s="219">
        <f t="shared" ref="AA1044:AB1044" si="2431">AA696</f>
        <v>0</v>
      </c>
      <c r="AB1044" s="219">
        <f t="shared" si="2431"/>
        <v>0</v>
      </c>
      <c r="AC1044" s="219">
        <f t="shared" si="2429"/>
        <v>0</v>
      </c>
      <c r="AD1044" s="219">
        <f t="shared" si="2429"/>
        <v>0</v>
      </c>
      <c r="AE1044" s="219">
        <f t="shared" si="2429"/>
        <v>0</v>
      </c>
      <c r="AF1044" s="219">
        <f t="shared" ref="AF1044:AI1044" si="2432">AF696</f>
        <v>0</v>
      </c>
      <c r="AG1044" s="219">
        <f t="shared" si="2432"/>
        <v>0</v>
      </c>
      <c r="AH1044" s="219">
        <f t="shared" si="2432"/>
        <v>0</v>
      </c>
      <c r="AI1044" s="219">
        <f t="shared" si="2432"/>
        <v>0</v>
      </c>
      <c r="AJ1044" s="219"/>
      <c r="AK1044" s="219"/>
      <c r="AL1044" s="219"/>
      <c r="AM1044" s="219"/>
      <c r="AN1044" s="219"/>
      <c r="AO1044" s="219"/>
      <c r="AP1044" s="219"/>
      <c r="AQ1044" s="219"/>
      <c r="AS1044" s="698" t="s">
        <v>140</v>
      </c>
      <c r="AT1044" s="329"/>
      <c r="AU1044" s="155">
        <f>AVERAGE(D1044:G1044)</f>
        <v>1.0333333333333361</v>
      </c>
      <c r="AV1044" s="155">
        <f>AVERAGE(H1044:K1044)</f>
        <v>0.82500000000000107</v>
      </c>
      <c r="AW1044" s="155">
        <f>AVERAGE(L1044:O1044)</f>
        <v>-0.32499999999999218</v>
      </c>
      <c r="AX1044" s="155">
        <f>AVERAGE(P1044:S1044)</f>
        <v>8.7500000000000355E-2</v>
      </c>
      <c r="AY1044" s="155">
        <f>AVERAGE(T1044:W1044)</f>
        <v>0.15000000000000036</v>
      </c>
      <c r="AZ1044" s="155">
        <f>AVERAGE(X1044:AA1044)</f>
        <v>0</v>
      </c>
      <c r="BA1044" s="155">
        <f>AVERAGE(AB1044:AE1044)</f>
        <v>0</v>
      </c>
      <c r="BB1044" s="155">
        <f>AVERAGE(AF1044:AI1044)</f>
        <v>0</v>
      </c>
      <c r="BC1044" s="219">
        <f>BC696</f>
        <v>0</v>
      </c>
      <c r="BD1044" s="219">
        <f>BD696</f>
        <v>0</v>
      </c>
      <c r="BE1044" s="219">
        <f>BE696</f>
        <v>0</v>
      </c>
    </row>
    <row r="1045" spans="1:57" x14ac:dyDescent="0.2">
      <c r="B1045" s="674"/>
      <c r="C1045" s="674"/>
      <c r="D1045" s="188"/>
      <c r="E1045" s="188"/>
      <c r="F1045" s="188"/>
      <c r="G1045" s="188"/>
      <c r="H1045" s="188"/>
      <c r="I1045" s="188"/>
      <c r="J1045" s="188"/>
      <c r="K1045" s="188"/>
      <c r="L1045" s="188"/>
      <c r="M1045" s="188"/>
      <c r="N1045" s="188"/>
      <c r="O1045" s="188"/>
      <c r="P1045" s="188"/>
      <c r="Q1045" s="188"/>
      <c r="R1045" s="188"/>
      <c r="S1045" s="188"/>
      <c r="T1045" s="188"/>
      <c r="U1045" s="188"/>
      <c r="V1045" s="188"/>
      <c r="W1045" s="188"/>
      <c r="X1045" s="188"/>
      <c r="Y1045" s="188"/>
      <c r="Z1045" s="188"/>
      <c r="AA1045" s="188"/>
      <c r="AB1045" s="188"/>
      <c r="AC1045" s="188"/>
      <c r="AD1045" s="188"/>
      <c r="AE1045" s="188"/>
      <c r="AF1045" s="188"/>
      <c r="AG1045" s="188"/>
      <c r="AH1045" s="188"/>
      <c r="AI1045" s="188"/>
      <c r="AJ1045" s="188"/>
      <c r="AK1045" s="188"/>
      <c r="AL1045" s="188"/>
      <c r="AM1045" s="188"/>
      <c r="AN1045" s="188"/>
      <c r="AO1045" s="188"/>
      <c r="AP1045" s="188"/>
      <c r="AQ1045" s="188"/>
      <c r="AS1045" s="674"/>
      <c r="AT1045" s="674"/>
      <c r="BC1045" s="188"/>
      <c r="BD1045" s="188"/>
      <c r="BE1045" s="188"/>
    </row>
    <row r="1046" spans="1:57" x14ac:dyDescent="0.2">
      <c r="B1046" s="698" t="s">
        <v>146</v>
      </c>
      <c r="C1046" s="698"/>
      <c r="D1046" s="219" t="str">
        <f t="shared" ref="D1046:AE1046" si="2433">D698</f>
        <v>NA</v>
      </c>
      <c r="E1046" s="219">
        <f t="shared" si="2433"/>
        <v>146.35000000000002</v>
      </c>
      <c r="F1046" s="219">
        <f t="shared" si="2433"/>
        <v>141.75</v>
      </c>
      <c r="G1046" s="219">
        <f t="shared" si="2433"/>
        <v>135.80000000000001</v>
      </c>
      <c r="H1046" s="219">
        <f t="shared" si="2433"/>
        <v>129.65</v>
      </c>
      <c r="I1046" s="219">
        <f t="shared" si="2433"/>
        <v>122</v>
      </c>
      <c r="J1046" s="219">
        <f t="shared" si="2433"/>
        <v>112.65</v>
      </c>
      <c r="K1046" s="219">
        <f t="shared" si="2433"/>
        <v>108.6</v>
      </c>
      <c r="L1046" s="219">
        <f t="shared" si="2433"/>
        <v>104.30000000000001</v>
      </c>
      <c r="M1046" s="219">
        <f t="shared" si="2433"/>
        <v>100.05000000000001</v>
      </c>
      <c r="N1046" s="219">
        <f t="shared" si="2433"/>
        <v>94.6</v>
      </c>
      <c r="O1046" s="219">
        <f t="shared" si="2433"/>
        <v>88.75</v>
      </c>
      <c r="P1046" s="219">
        <f t="shared" si="2433"/>
        <v>81.8</v>
      </c>
      <c r="Q1046" s="219">
        <f t="shared" si="2433"/>
        <v>66.05</v>
      </c>
      <c r="R1046" s="219">
        <f t="shared" si="2433"/>
        <v>61.95</v>
      </c>
      <c r="S1046" s="219">
        <f t="shared" si="2433"/>
        <v>57.45</v>
      </c>
      <c r="T1046" s="219">
        <f t="shared" si="2433"/>
        <v>46.35</v>
      </c>
      <c r="U1046" s="219">
        <f t="shared" si="2433"/>
        <v>43.5</v>
      </c>
      <c r="V1046" s="219">
        <f t="shared" si="2433"/>
        <v>40.9</v>
      </c>
      <c r="W1046" s="219">
        <f t="shared" si="2433"/>
        <v>34.450000000000003</v>
      </c>
      <c r="X1046" s="219">
        <f t="shared" si="2433"/>
        <v>31.700000000000003</v>
      </c>
      <c r="Y1046" s="219">
        <f t="shared" ref="Y1046:Z1046" si="2434">Y698</f>
        <v>27.799999999999997</v>
      </c>
      <c r="Z1046" s="219">
        <f t="shared" si="2434"/>
        <v>25.799999999999997</v>
      </c>
      <c r="AA1046" s="219">
        <f t="shared" ref="AA1046:AB1046" si="2435">AA698</f>
        <v>23.599999999999998</v>
      </c>
      <c r="AB1046" s="219">
        <f t="shared" si="2435"/>
        <v>22.3</v>
      </c>
      <c r="AC1046" s="219">
        <f t="shared" si="2433"/>
        <v>21.1</v>
      </c>
      <c r="AD1046" s="219">
        <f t="shared" si="2433"/>
        <v>19.968499999999999</v>
      </c>
      <c r="AE1046" s="219">
        <f t="shared" si="2433"/>
        <v>18.901225</v>
      </c>
      <c r="AF1046" s="219">
        <f t="shared" ref="AF1046:AI1046" si="2436">AF698</f>
        <v>17.680400500000001</v>
      </c>
      <c r="AG1046" s="219">
        <f t="shared" si="2436"/>
        <v>16.544103100000001</v>
      </c>
      <c r="AH1046" s="219">
        <f t="shared" si="2436"/>
        <v>15.62872348502</v>
      </c>
      <c r="AI1046" s="219">
        <f t="shared" si="2436"/>
        <v>14.771809973026119</v>
      </c>
      <c r="AJ1046" s="219"/>
      <c r="AK1046" s="219"/>
      <c r="AL1046" s="219"/>
      <c r="AM1046" s="219"/>
      <c r="AN1046" s="219"/>
      <c r="AO1046" s="219"/>
      <c r="AP1046" s="219"/>
      <c r="AQ1046" s="219"/>
      <c r="AS1046" s="698" t="s">
        <v>146</v>
      </c>
      <c r="AT1046" s="698"/>
      <c r="AU1046" s="283">
        <f>AVERAGE(D1046:G1046)</f>
        <v>141.30000000000001</v>
      </c>
      <c r="AV1046" s="283">
        <f>AVERAGE(H1046:K1046)</f>
        <v>118.22499999999999</v>
      </c>
      <c r="AW1046" s="283">
        <f>AVERAGE(L1046:O1046)</f>
        <v>96.925000000000011</v>
      </c>
      <c r="AX1046" s="219">
        <f>AVERAGE(P1046:S1046)</f>
        <v>66.8125</v>
      </c>
      <c r="AY1046" s="219">
        <f>AVERAGE(T1046:W1046)</f>
        <v>41.3</v>
      </c>
      <c r="AZ1046" s="219">
        <f>AVERAGE(X1046:AA1046)</f>
        <v>27.224999999999998</v>
      </c>
      <c r="BA1046" s="219">
        <f>AVERAGE(AB1046:AE1046)</f>
        <v>20.567431250000002</v>
      </c>
      <c r="BB1046" s="219">
        <f>AVERAGE(AF1046:AI1046)</f>
        <v>16.156259264511533</v>
      </c>
      <c r="BC1046" s="219">
        <f>BC698</f>
        <v>12.749682755848168</v>
      </c>
      <c r="BD1046" s="219">
        <f>BD698</f>
        <v>10.094551411221902</v>
      </c>
      <c r="BE1046" s="219">
        <f>BE698</f>
        <v>8.0125242529035408</v>
      </c>
    </row>
    <row r="1047" spans="1:57" x14ac:dyDescent="0.2">
      <c r="B1047" s="674"/>
      <c r="C1047" s="674"/>
      <c r="D1047" s="188"/>
      <c r="E1047" s="188"/>
      <c r="F1047" s="188"/>
      <c r="G1047" s="188"/>
      <c r="H1047" s="188"/>
      <c r="I1047" s="188"/>
      <c r="J1047" s="188"/>
      <c r="K1047" s="188"/>
      <c r="L1047" s="188"/>
      <c r="M1047" s="188"/>
      <c r="N1047" s="188"/>
      <c r="O1047" s="188"/>
      <c r="P1047" s="188"/>
      <c r="Q1047" s="188"/>
      <c r="R1047" s="188"/>
      <c r="S1047" s="188"/>
      <c r="T1047" s="188"/>
      <c r="U1047" s="188"/>
      <c r="V1047" s="188"/>
      <c r="W1047" s="188"/>
      <c r="X1047" s="188"/>
      <c r="Y1047" s="188"/>
      <c r="Z1047" s="188"/>
      <c r="AA1047" s="188"/>
      <c r="AB1047" s="188"/>
      <c r="AC1047" s="188"/>
      <c r="AD1047" s="188"/>
      <c r="AE1047" s="188"/>
      <c r="AF1047" s="188"/>
      <c r="AG1047" s="188"/>
      <c r="AH1047" s="188"/>
      <c r="AI1047" s="188"/>
      <c r="AJ1047" s="188"/>
      <c r="AK1047" s="188"/>
      <c r="AL1047" s="188"/>
      <c r="AM1047" s="188"/>
      <c r="AN1047" s="188"/>
      <c r="AO1047" s="188"/>
      <c r="AP1047" s="188"/>
      <c r="AQ1047" s="188"/>
      <c r="AS1047" s="674"/>
      <c r="AT1047" s="674"/>
      <c r="BC1047" s="188"/>
      <c r="BD1047" s="188"/>
      <c r="BE1047" s="188"/>
    </row>
    <row r="1048" spans="1:57" ht="13.5" thickBot="1" x14ac:dyDescent="0.25">
      <c r="B1048" s="680" t="s">
        <v>94</v>
      </c>
      <c r="C1048" s="680"/>
      <c r="D1048" s="247" t="s">
        <v>229</v>
      </c>
      <c r="E1048" s="247">
        <f t="shared" ref="E1048:AE1048" si="2437">E1033+E1046</f>
        <v>407.15000000000003</v>
      </c>
      <c r="F1048" s="247">
        <f t="shared" si="2437"/>
        <v>405.75</v>
      </c>
      <c r="G1048" s="247">
        <f t="shared" si="2437"/>
        <v>403.90000000000003</v>
      </c>
      <c r="H1048" s="247">
        <f t="shared" si="2437"/>
        <v>398.85</v>
      </c>
      <c r="I1048" s="247">
        <f t="shared" si="2437"/>
        <v>386.4</v>
      </c>
      <c r="J1048" s="247">
        <f t="shared" si="2437"/>
        <v>379.65</v>
      </c>
      <c r="K1048" s="247">
        <f t="shared" si="2437"/>
        <v>386</v>
      </c>
      <c r="L1048" s="247">
        <f t="shared" si="2437"/>
        <v>382.2</v>
      </c>
      <c r="M1048" s="247">
        <f t="shared" si="2437"/>
        <v>380.34999999999997</v>
      </c>
      <c r="N1048" s="247">
        <f t="shared" si="2437"/>
        <v>376.29999999999995</v>
      </c>
      <c r="O1048" s="247">
        <f t="shared" si="2437"/>
        <v>369.05</v>
      </c>
      <c r="P1048" s="247">
        <f t="shared" si="2437"/>
        <v>355.2</v>
      </c>
      <c r="Q1048" s="247">
        <f t="shared" si="2437"/>
        <v>338.34999999999997</v>
      </c>
      <c r="R1048" s="247">
        <f t="shared" si="2437"/>
        <v>331.45</v>
      </c>
      <c r="S1048" s="247">
        <f t="shared" si="2437"/>
        <v>329.75</v>
      </c>
      <c r="T1048" s="247">
        <f t="shared" si="2437"/>
        <v>317.25</v>
      </c>
      <c r="U1048" s="247">
        <f t="shared" si="2437"/>
        <v>316.5</v>
      </c>
      <c r="V1048" s="247">
        <f t="shared" si="2437"/>
        <v>328.4</v>
      </c>
      <c r="W1048" s="247">
        <f t="shared" si="2437"/>
        <v>321.84999999999997</v>
      </c>
      <c r="X1048" s="247">
        <f t="shared" si="2437"/>
        <v>321.29999999999995</v>
      </c>
      <c r="Y1048" s="247">
        <f t="shared" ref="Y1048:Z1048" si="2438">Y1033+Y1046</f>
        <v>321.60000000000002</v>
      </c>
      <c r="Z1048" s="247">
        <f t="shared" si="2438"/>
        <v>325.50000000000006</v>
      </c>
      <c r="AA1048" s="247">
        <f t="shared" ref="AA1048:AB1048" si="2439">AA1033+AA1046</f>
        <v>326.89999999999998</v>
      </c>
      <c r="AB1048" s="247">
        <f t="shared" si="2439"/>
        <v>328.6</v>
      </c>
      <c r="AC1048" s="247">
        <f t="shared" si="2437"/>
        <v>329.19050000000004</v>
      </c>
      <c r="AD1048" s="247">
        <f t="shared" si="2437"/>
        <v>331.92047249999996</v>
      </c>
      <c r="AE1048" s="247">
        <f t="shared" si="2437"/>
        <v>337.17661494999999</v>
      </c>
      <c r="AF1048" s="247">
        <f t="shared" ref="AF1048:AI1048" si="2440">AF1033+AF1046</f>
        <v>335.63575896474998</v>
      </c>
      <c r="AG1048" s="247">
        <f t="shared" si="2440"/>
        <v>336.662625454303</v>
      </c>
      <c r="AH1048" s="247">
        <f t="shared" si="2440"/>
        <v>340.23661114670603</v>
      </c>
      <c r="AI1048" s="247">
        <f t="shared" si="2440"/>
        <v>346.49600770912281</v>
      </c>
      <c r="AJ1048" s="359"/>
      <c r="AK1048" s="359"/>
      <c r="AL1048" s="359"/>
      <c r="AM1048" s="359"/>
      <c r="AN1048" s="359"/>
      <c r="AO1048" s="359"/>
      <c r="AP1048" s="359"/>
      <c r="AQ1048" s="359"/>
      <c r="AS1048" s="680" t="s">
        <v>94</v>
      </c>
      <c r="AT1048" s="680"/>
      <c r="AU1048" s="247">
        <f t="shared" ref="AU1048:BD1048" si="2441">AU1033+AU1046</f>
        <v>405.875</v>
      </c>
      <c r="AV1048" s="247">
        <f t="shared" si="2441"/>
        <v>387.72500000000002</v>
      </c>
      <c r="AW1048" s="247">
        <f t="shared" si="2441"/>
        <v>376.97500000000002</v>
      </c>
      <c r="AX1048" s="247">
        <f t="shared" si="2441"/>
        <v>338.6875</v>
      </c>
      <c r="AY1048" s="247">
        <f t="shared" si="2441"/>
        <v>321</v>
      </c>
      <c r="AZ1048" s="247">
        <f t="shared" si="2441"/>
        <v>323.82500000000005</v>
      </c>
      <c r="BA1048" s="247">
        <f t="shared" si="2441"/>
        <v>331.72189686249999</v>
      </c>
      <c r="BB1048" s="247">
        <f t="shared" ref="BB1048" si="2442">BB1033+BB1046</f>
        <v>339.75775081872041</v>
      </c>
      <c r="BC1048" s="247">
        <f t="shared" si="2441"/>
        <v>350.76398488296263</v>
      </c>
      <c r="BD1048" s="247">
        <f t="shared" si="2441"/>
        <v>363.32773463299441</v>
      </c>
      <c r="BE1048" s="247">
        <f t="shared" ref="BE1048" si="2443">BE1033+BE1046</f>
        <v>377.15825926359895</v>
      </c>
    </row>
    <row r="1049" spans="1:57" ht="13.5" thickTop="1" x14ac:dyDescent="0.2">
      <c r="B1049" s="362"/>
      <c r="D1049" s="188"/>
      <c r="E1049" s="188"/>
      <c r="F1049" s="188"/>
      <c r="G1049" s="188"/>
      <c r="H1049" s="188"/>
      <c r="I1049" s="188"/>
      <c r="J1049" s="188"/>
      <c r="K1049" s="188"/>
      <c r="L1049" s="188"/>
      <c r="M1049" s="188"/>
      <c r="N1049" s="188"/>
      <c r="O1049" s="188"/>
      <c r="P1049" s="188"/>
      <c r="Q1049" s="188"/>
      <c r="R1049" s="188"/>
      <c r="S1049" s="188"/>
      <c r="T1049" s="188"/>
      <c r="U1049" s="188"/>
      <c r="V1049" s="188"/>
      <c r="W1049" s="188"/>
      <c r="X1049" s="188"/>
      <c r="Y1049" s="188"/>
      <c r="Z1049" s="188"/>
      <c r="AA1049" s="188"/>
      <c r="AB1049" s="188"/>
      <c r="AC1049" s="188"/>
      <c r="AD1049" s="188"/>
      <c r="AE1049" s="188"/>
      <c r="AF1049" s="188"/>
      <c r="AG1049" s="188"/>
      <c r="AH1049" s="188"/>
      <c r="AI1049" s="188"/>
      <c r="AJ1049" s="188"/>
      <c r="AK1049" s="188"/>
      <c r="AL1049" s="188"/>
      <c r="AM1049" s="188"/>
      <c r="AN1049" s="188"/>
      <c r="AO1049" s="188"/>
      <c r="AP1049" s="188"/>
      <c r="AQ1049" s="188"/>
      <c r="AS1049" s="362"/>
      <c r="AT1049" s="9"/>
      <c r="BC1049" s="188"/>
      <c r="BD1049" s="188"/>
      <c r="BE1049" s="188"/>
    </row>
    <row r="1050" spans="1:57" x14ac:dyDescent="0.2">
      <c r="A1050" s="830"/>
      <c r="B1050" s="698" t="s">
        <v>95</v>
      </c>
      <c r="C1050" s="698"/>
      <c r="D1050" s="244"/>
      <c r="E1050" s="244"/>
      <c r="F1050" s="244"/>
      <c r="G1050" s="244"/>
      <c r="H1050" s="244"/>
      <c r="I1050" s="244"/>
      <c r="J1050" s="244"/>
      <c r="K1050" s="244"/>
      <c r="L1050" s="244"/>
      <c r="M1050" s="244"/>
      <c r="N1050" s="244"/>
      <c r="O1050" s="244"/>
      <c r="P1050" s="244"/>
      <c r="Q1050" s="244"/>
      <c r="R1050" s="244"/>
      <c r="S1050" s="244"/>
      <c r="T1050" s="244"/>
      <c r="U1050" s="244"/>
      <c r="V1050" s="244"/>
      <c r="W1050" s="244"/>
      <c r="X1050" s="244"/>
      <c r="Y1050" s="244"/>
      <c r="Z1050" s="244"/>
      <c r="AA1050" s="244"/>
      <c r="AB1050" s="244"/>
      <c r="AC1050" s="244"/>
      <c r="AD1050" s="244"/>
      <c r="AE1050" s="244"/>
      <c r="AF1050" s="244"/>
      <c r="AG1050" s="244"/>
      <c r="AH1050" s="244"/>
      <c r="AI1050" s="244"/>
      <c r="AJ1050" s="244"/>
      <c r="AK1050" s="244"/>
      <c r="AL1050" s="244"/>
      <c r="AM1050" s="244"/>
      <c r="AN1050" s="244"/>
      <c r="AO1050" s="244"/>
      <c r="AP1050" s="244"/>
      <c r="AQ1050" s="244"/>
      <c r="AS1050" s="698" t="s">
        <v>95</v>
      </c>
      <c r="AT1050" s="698"/>
      <c r="BC1050" s="244"/>
      <c r="BD1050" s="244"/>
      <c r="BE1050" s="244"/>
    </row>
    <row r="1051" spans="1:57" x14ac:dyDescent="0.2">
      <c r="A1051" s="830"/>
      <c r="B1051" s="679" t="s">
        <v>76</v>
      </c>
      <c r="C1051" s="674"/>
      <c r="D1051" s="244">
        <f t="shared" ref="D1051:AE1051" si="2444">D603</f>
        <v>77</v>
      </c>
      <c r="E1051" s="244">
        <f t="shared" si="2444"/>
        <v>83</v>
      </c>
      <c r="F1051" s="244">
        <f t="shared" si="2444"/>
        <v>91</v>
      </c>
      <c r="G1051" s="244">
        <f t="shared" si="2444"/>
        <v>91</v>
      </c>
      <c r="H1051" s="244">
        <f t="shared" si="2444"/>
        <v>91</v>
      </c>
      <c r="I1051" s="244">
        <f t="shared" si="2444"/>
        <v>97</v>
      </c>
      <c r="J1051" s="244">
        <f t="shared" si="2444"/>
        <v>100</v>
      </c>
      <c r="K1051" s="244">
        <f t="shared" si="2444"/>
        <v>105</v>
      </c>
      <c r="L1051" s="244">
        <f t="shared" si="2444"/>
        <v>108</v>
      </c>
      <c r="M1051" s="244">
        <f t="shared" si="2444"/>
        <v>111</v>
      </c>
      <c r="N1051" s="244">
        <f t="shared" si="2444"/>
        <v>111</v>
      </c>
      <c r="O1051" s="244">
        <f t="shared" si="2444"/>
        <v>115</v>
      </c>
      <c r="P1051" s="244">
        <f t="shared" si="2444"/>
        <v>117</v>
      </c>
      <c r="Q1051" s="244">
        <f t="shared" si="2444"/>
        <v>121</v>
      </c>
      <c r="R1051" s="244">
        <f t="shared" si="2444"/>
        <v>127</v>
      </c>
      <c r="S1051" s="244">
        <f t="shared" si="2444"/>
        <v>130</v>
      </c>
      <c r="T1051" s="244">
        <f t="shared" si="2444"/>
        <v>133</v>
      </c>
      <c r="U1051" s="244">
        <f t="shared" si="2444"/>
        <v>138</v>
      </c>
      <c r="V1051" s="244">
        <f t="shared" si="2444"/>
        <v>145</v>
      </c>
      <c r="W1051" s="244">
        <f t="shared" si="2444"/>
        <v>149</v>
      </c>
      <c r="X1051" s="244">
        <f t="shared" si="2444"/>
        <v>146</v>
      </c>
      <c r="Y1051" s="244">
        <f t="shared" ref="Y1051:Z1051" si="2445">Y603</f>
        <v>150</v>
      </c>
      <c r="Z1051" s="244">
        <f t="shared" si="2445"/>
        <v>152</v>
      </c>
      <c r="AA1051" s="244">
        <f t="shared" ref="AA1051:AB1051" si="2446">AA603</f>
        <v>157</v>
      </c>
      <c r="AB1051" s="244">
        <f t="shared" si="2446"/>
        <v>160</v>
      </c>
      <c r="AC1051" s="359" t="str">
        <f t="shared" si="2444"/>
        <v>NF</v>
      </c>
      <c r="AD1051" s="359" t="str">
        <f t="shared" si="2444"/>
        <v>NF</v>
      </c>
      <c r="AE1051" s="359" t="str">
        <f t="shared" si="2444"/>
        <v>NF</v>
      </c>
      <c r="AF1051" s="359" t="str">
        <f t="shared" ref="AF1051:AI1051" si="2447">AF603</f>
        <v>NF</v>
      </c>
      <c r="AG1051" s="359" t="str">
        <f t="shared" si="2447"/>
        <v>NF</v>
      </c>
      <c r="AH1051" s="359" t="str">
        <f t="shared" si="2447"/>
        <v>NF</v>
      </c>
      <c r="AI1051" s="359" t="str">
        <f t="shared" si="2447"/>
        <v>NF</v>
      </c>
      <c r="AJ1051" s="359"/>
      <c r="AK1051" s="359"/>
      <c r="AL1051" s="359"/>
      <c r="AM1051" s="359"/>
      <c r="AN1051" s="359"/>
      <c r="AO1051" s="359"/>
      <c r="AP1051" s="359"/>
      <c r="AQ1051" s="359"/>
      <c r="AS1051" s="679" t="s">
        <v>76</v>
      </c>
      <c r="AT1051" s="674"/>
      <c r="AU1051" s="155">
        <f>AVERAGE(D1051:G1051)</f>
        <v>85.5</v>
      </c>
      <c r="AV1051" s="155">
        <f>AVERAGE(H1051:K1051)</f>
        <v>98.25</v>
      </c>
      <c r="AW1051" s="155">
        <f>AVERAGE(L1051:O1051)</f>
        <v>111.25</v>
      </c>
      <c r="AX1051" s="155">
        <f>AVERAGE(P1051:S1051)</f>
        <v>123.75</v>
      </c>
      <c r="AY1051" s="155">
        <f>AVERAGE(T1051:W1051)</f>
        <v>141.25</v>
      </c>
      <c r="AZ1051" s="359" t="str">
        <f t="shared" ref="AZ1051:BD1055" si="2448">AZ603</f>
        <v>NF</v>
      </c>
      <c r="BA1051" s="359" t="str">
        <f t="shared" si="2448"/>
        <v>NF</v>
      </c>
      <c r="BB1051" s="359" t="str">
        <f t="shared" ref="BB1051" si="2449">BB603</f>
        <v>NF</v>
      </c>
      <c r="BC1051" s="359" t="str">
        <f t="shared" si="2448"/>
        <v>NF</v>
      </c>
      <c r="BD1051" s="359" t="str">
        <f t="shared" si="2448"/>
        <v>NF</v>
      </c>
      <c r="BE1051" s="359" t="str">
        <f t="shared" ref="BE1051" si="2450">BE603</f>
        <v>NF</v>
      </c>
    </row>
    <row r="1052" spans="1:57" x14ac:dyDescent="0.2">
      <c r="A1052" s="830"/>
      <c r="B1052" s="679" t="s">
        <v>27</v>
      </c>
      <c r="C1052" s="674"/>
      <c r="D1052" s="244">
        <f t="shared" ref="D1052:AE1052" si="2451">D604</f>
        <v>53</v>
      </c>
      <c r="E1052" s="244">
        <f t="shared" si="2451"/>
        <v>54</v>
      </c>
      <c r="F1052" s="244">
        <f t="shared" si="2451"/>
        <v>55</v>
      </c>
      <c r="G1052" s="244">
        <f t="shared" si="2451"/>
        <v>55</v>
      </c>
      <c r="H1052" s="244">
        <f t="shared" si="2451"/>
        <v>56</v>
      </c>
      <c r="I1052" s="244">
        <f t="shared" si="2451"/>
        <v>58</v>
      </c>
      <c r="J1052" s="244">
        <f t="shared" si="2451"/>
        <v>58</v>
      </c>
      <c r="K1052" s="244">
        <f t="shared" si="2451"/>
        <v>59</v>
      </c>
      <c r="L1052" s="244">
        <f t="shared" si="2451"/>
        <v>60</v>
      </c>
      <c r="M1052" s="244">
        <f t="shared" si="2451"/>
        <v>61</v>
      </c>
      <c r="N1052" s="244">
        <f t="shared" si="2451"/>
        <v>62</v>
      </c>
      <c r="O1052" s="244">
        <f t="shared" si="2451"/>
        <v>61</v>
      </c>
      <c r="P1052" s="244">
        <f t="shared" si="2451"/>
        <v>60</v>
      </c>
      <c r="Q1052" s="244">
        <f t="shared" si="2451"/>
        <v>64</v>
      </c>
      <c r="R1052" s="244">
        <f t="shared" si="2451"/>
        <v>63</v>
      </c>
      <c r="S1052" s="244">
        <f t="shared" si="2451"/>
        <v>62</v>
      </c>
      <c r="T1052" s="244">
        <f t="shared" si="2451"/>
        <v>63</v>
      </c>
      <c r="U1052" s="244">
        <f t="shared" si="2451"/>
        <v>67</v>
      </c>
      <c r="V1052" s="244">
        <f t="shared" si="2451"/>
        <v>68</v>
      </c>
      <c r="W1052" s="244">
        <f t="shared" si="2451"/>
        <v>66</v>
      </c>
      <c r="X1052" s="244">
        <f t="shared" si="2451"/>
        <v>65</v>
      </c>
      <c r="Y1052" s="244">
        <f t="shared" ref="Y1052:Z1052" si="2452">Y604</f>
        <v>67</v>
      </c>
      <c r="Z1052" s="244">
        <f t="shared" si="2452"/>
        <v>71</v>
      </c>
      <c r="AA1052" s="244">
        <f t="shared" ref="AA1052:AB1052" si="2453">AA604</f>
        <v>73</v>
      </c>
      <c r="AB1052" s="244">
        <f t="shared" si="2453"/>
        <v>78</v>
      </c>
      <c r="AC1052" s="359" t="str">
        <f t="shared" si="2451"/>
        <v>NF</v>
      </c>
      <c r="AD1052" s="359" t="str">
        <f t="shared" si="2451"/>
        <v>NF</v>
      </c>
      <c r="AE1052" s="359" t="str">
        <f t="shared" si="2451"/>
        <v>NF</v>
      </c>
      <c r="AF1052" s="359" t="str">
        <f t="shared" ref="AF1052:AI1052" si="2454">AF604</f>
        <v>NF</v>
      </c>
      <c r="AG1052" s="359" t="str">
        <f t="shared" si="2454"/>
        <v>NF</v>
      </c>
      <c r="AH1052" s="359" t="str">
        <f t="shared" si="2454"/>
        <v>NF</v>
      </c>
      <c r="AI1052" s="359" t="str">
        <f t="shared" si="2454"/>
        <v>NF</v>
      </c>
      <c r="AJ1052" s="359"/>
      <c r="AK1052" s="359"/>
      <c r="AL1052" s="359"/>
      <c r="AM1052" s="359"/>
      <c r="AN1052" s="359"/>
      <c r="AO1052" s="359"/>
      <c r="AP1052" s="359"/>
      <c r="AQ1052" s="359"/>
      <c r="AS1052" s="679" t="s">
        <v>27</v>
      </c>
      <c r="AT1052" s="674"/>
      <c r="AU1052" s="155">
        <f>AVERAGE(D1052:G1052)</f>
        <v>54.25</v>
      </c>
      <c r="AV1052" s="155">
        <f>AVERAGE(H1052:K1052)</f>
        <v>57.75</v>
      </c>
      <c r="AW1052" s="155">
        <f>AVERAGE(L1052:O1052)</f>
        <v>61</v>
      </c>
      <c r="AX1052" s="155">
        <f>AVERAGE(P1052:S1052)</f>
        <v>62.25</v>
      </c>
      <c r="AY1052" s="155">
        <f>AVERAGE(T1052:W1052)</f>
        <v>66</v>
      </c>
      <c r="AZ1052" s="359" t="str">
        <f t="shared" si="2448"/>
        <v>NF</v>
      </c>
      <c r="BA1052" s="359" t="str">
        <f t="shared" si="2448"/>
        <v>NF</v>
      </c>
      <c r="BB1052" s="359" t="str">
        <f t="shared" ref="BB1052" si="2455">BB604</f>
        <v>NF</v>
      </c>
      <c r="BC1052" s="359" t="str">
        <f t="shared" si="2448"/>
        <v>NF</v>
      </c>
      <c r="BD1052" s="359" t="str">
        <f t="shared" si="2448"/>
        <v>NF</v>
      </c>
      <c r="BE1052" s="359" t="str">
        <f t="shared" ref="BE1052" si="2456">BE604</f>
        <v>NF</v>
      </c>
    </row>
    <row r="1053" spans="1:57" x14ac:dyDescent="0.2">
      <c r="A1053" s="830"/>
      <c r="B1053" s="679" t="s">
        <v>5</v>
      </c>
      <c r="C1053" s="674"/>
      <c r="D1053" s="244">
        <f t="shared" ref="D1053:AE1053" si="2457">D605</f>
        <v>35</v>
      </c>
      <c r="E1053" s="244">
        <f t="shared" si="2457"/>
        <v>34</v>
      </c>
      <c r="F1053" s="244">
        <f t="shared" si="2457"/>
        <v>35</v>
      </c>
      <c r="G1053" s="244">
        <f t="shared" si="2457"/>
        <v>37</v>
      </c>
      <c r="H1053" s="244">
        <f t="shared" si="2457"/>
        <v>38</v>
      </c>
      <c r="I1053" s="244">
        <f t="shared" si="2457"/>
        <v>38</v>
      </c>
      <c r="J1053" s="244">
        <f t="shared" si="2457"/>
        <v>38</v>
      </c>
      <c r="K1053" s="244">
        <f t="shared" si="2457"/>
        <v>39</v>
      </c>
      <c r="L1053" s="244">
        <f t="shared" si="2457"/>
        <v>40</v>
      </c>
      <c r="M1053" s="244">
        <f t="shared" si="2457"/>
        <v>41</v>
      </c>
      <c r="N1053" s="244">
        <f t="shared" si="2457"/>
        <v>41</v>
      </c>
      <c r="O1053" s="244">
        <f t="shared" si="2457"/>
        <v>39</v>
      </c>
      <c r="P1053" s="244">
        <f t="shared" si="2457"/>
        <v>39</v>
      </c>
      <c r="Q1053" s="244">
        <f t="shared" si="2457"/>
        <v>41</v>
      </c>
      <c r="R1053" s="244">
        <f t="shared" si="2457"/>
        <v>40</v>
      </c>
      <c r="S1053" s="244">
        <f t="shared" si="2457"/>
        <v>41</v>
      </c>
      <c r="T1053" s="244">
        <f t="shared" si="2457"/>
        <v>39</v>
      </c>
      <c r="U1053" s="244">
        <f t="shared" si="2457"/>
        <v>38</v>
      </c>
      <c r="V1053" s="244">
        <f t="shared" si="2457"/>
        <v>36</v>
      </c>
      <c r="W1053" s="244">
        <f t="shared" si="2457"/>
        <v>34</v>
      </c>
      <c r="X1053" s="244">
        <f t="shared" si="2457"/>
        <v>34</v>
      </c>
      <c r="Y1053" s="244">
        <f t="shared" ref="Y1053:Z1053" si="2458">Y605</f>
        <v>35</v>
      </c>
      <c r="Z1053" s="244">
        <f t="shared" si="2458"/>
        <v>34</v>
      </c>
      <c r="AA1053" s="244">
        <f t="shared" ref="AA1053:AB1053" si="2459">AA605</f>
        <v>33</v>
      </c>
      <c r="AB1053" s="244">
        <f t="shared" si="2459"/>
        <v>34</v>
      </c>
      <c r="AC1053" s="359" t="str">
        <f t="shared" si="2457"/>
        <v>NF</v>
      </c>
      <c r="AD1053" s="359" t="str">
        <f t="shared" si="2457"/>
        <v>NF</v>
      </c>
      <c r="AE1053" s="359" t="str">
        <f t="shared" si="2457"/>
        <v>NF</v>
      </c>
      <c r="AF1053" s="359" t="str">
        <f t="shared" ref="AF1053:AI1053" si="2460">AF605</f>
        <v>NF</v>
      </c>
      <c r="AG1053" s="359" t="str">
        <f t="shared" si="2460"/>
        <v>NF</v>
      </c>
      <c r="AH1053" s="359" t="str">
        <f t="shared" si="2460"/>
        <v>NF</v>
      </c>
      <c r="AI1053" s="359" t="str">
        <f t="shared" si="2460"/>
        <v>NF</v>
      </c>
      <c r="AJ1053" s="359"/>
      <c r="AK1053" s="359"/>
      <c r="AL1053" s="359"/>
      <c r="AM1053" s="359"/>
      <c r="AN1053" s="359"/>
      <c r="AO1053" s="359"/>
      <c r="AP1053" s="359"/>
      <c r="AQ1053" s="359"/>
      <c r="AS1053" s="679" t="s">
        <v>5</v>
      </c>
      <c r="AT1053" s="674"/>
      <c r="AU1053" s="155">
        <f>AVERAGE(D1053:G1053)</f>
        <v>35.25</v>
      </c>
      <c r="AV1053" s="155">
        <f>AVERAGE(H1053:K1053)</f>
        <v>38.25</v>
      </c>
      <c r="AW1053" s="155">
        <f>AVERAGE(L1053:O1053)</f>
        <v>40.25</v>
      </c>
      <c r="AX1053" s="155">
        <f>AVERAGE(P1053:S1053)</f>
        <v>40.25</v>
      </c>
      <c r="AY1053" s="155">
        <f>AVERAGE(T1053:W1053)</f>
        <v>36.75</v>
      </c>
      <c r="AZ1053" s="359" t="str">
        <f t="shared" si="2448"/>
        <v>NF</v>
      </c>
      <c r="BA1053" s="359" t="str">
        <f t="shared" si="2448"/>
        <v>NF</v>
      </c>
      <c r="BB1053" s="359" t="str">
        <f t="shared" ref="BB1053" si="2461">BB605</f>
        <v>NF</v>
      </c>
      <c r="BC1053" s="359" t="str">
        <f t="shared" si="2448"/>
        <v>NF</v>
      </c>
      <c r="BD1053" s="359" t="str">
        <f t="shared" si="2448"/>
        <v>NF</v>
      </c>
      <c r="BE1053" s="359" t="str">
        <f t="shared" ref="BE1053" si="2462">BE605</f>
        <v>NF</v>
      </c>
    </row>
    <row r="1054" spans="1:57" x14ac:dyDescent="0.2">
      <c r="A1054" s="830"/>
      <c r="B1054" s="679" t="s">
        <v>77</v>
      </c>
      <c r="C1054" s="674"/>
      <c r="D1054" s="244">
        <f t="shared" ref="D1054:AE1054" si="2463">D606</f>
        <v>59</v>
      </c>
      <c r="E1054" s="244">
        <f t="shared" si="2463"/>
        <v>63</v>
      </c>
      <c r="F1054" s="244">
        <f t="shared" si="2463"/>
        <v>64</v>
      </c>
      <c r="G1054" s="244">
        <f t="shared" si="2463"/>
        <v>61</v>
      </c>
      <c r="H1054" s="244">
        <f t="shared" si="2463"/>
        <v>60</v>
      </c>
      <c r="I1054" s="244">
        <f t="shared" si="2463"/>
        <v>64</v>
      </c>
      <c r="J1054" s="244">
        <f t="shared" si="2463"/>
        <v>67</v>
      </c>
      <c r="K1054" s="244">
        <f t="shared" si="2463"/>
        <v>68</v>
      </c>
      <c r="L1054" s="244">
        <f t="shared" si="2463"/>
        <v>68</v>
      </c>
      <c r="M1054" s="244">
        <f t="shared" si="2463"/>
        <v>70</v>
      </c>
      <c r="N1054" s="244">
        <f t="shared" si="2463"/>
        <v>69</v>
      </c>
      <c r="O1054" s="244">
        <f t="shared" si="2463"/>
        <v>66</v>
      </c>
      <c r="P1054" s="244">
        <f t="shared" si="2463"/>
        <v>62</v>
      </c>
      <c r="Q1054" s="244">
        <f t="shared" si="2463"/>
        <v>63</v>
      </c>
      <c r="R1054" s="244">
        <f t="shared" si="2463"/>
        <v>62</v>
      </c>
      <c r="S1054" s="244">
        <f t="shared" si="2463"/>
        <v>61</v>
      </c>
      <c r="T1054" s="244">
        <f t="shared" si="2463"/>
        <v>60</v>
      </c>
      <c r="U1054" s="244">
        <f t="shared" si="2463"/>
        <v>61</v>
      </c>
      <c r="V1054" s="244">
        <f t="shared" si="2463"/>
        <v>58</v>
      </c>
      <c r="W1054" s="244">
        <f t="shared" si="2463"/>
        <v>55</v>
      </c>
      <c r="X1054" s="244">
        <f t="shared" si="2463"/>
        <v>57</v>
      </c>
      <c r="Y1054" s="244">
        <f t="shared" ref="Y1054:Z1054" si="2464">Y606</f>
        <v>61</v>
      </c>
      <c r="Z1054" s="244">
        <f t="shared" si="2464"/>
        <v>64</v>
      </c>
      <c r="AA1054" s="244">
        <f t="shared" ref="AA1054:AB1054" si="2465">AA606</f>
        <v>65</v>
      </c>
      <c r="AB1054" s="244">
        <f t="shared" si="2465"/>
        <v>67</v>
      </c>
      <c r="AC1054" s="359" t="str">
        <f t="shared" si="2463"/>
        <v>NF</v>
      </c>
      <c r="AD1054" s="359" t="str">
        <f t="shared" si="2463"/>
        <v>NF</v>
      </c>
      <c r="AE1054" s="359" t="str">
        <f t="shared" si="2463"/>
        <v>NF</v>
      </c>
      <c r="AF1054" s="359" t="str">
        <f t="shared" ref="AF1054:AI1054" si="2466">AF606</f>
        <v>NF</v>
      </c>
      <c r="AG1054" s="359" t="str">
        <f t="shared" si="2466"/>
        <v>NF</v>
      </c>
      <c r="AH1054" s="359" t="str">
        <f t="shared" si="2466"/>
        <v>NF</v>
      </c>
      <c r="AI1054" s="359" t="str">
        <f t="shared" si="2466"/>
        <v>NF</v>
      </c>
      <c r="AJ1054" s="359"/>
      <c r="AK1054" s="359"/>
      <c r="AL1054" s="359"/>
      <c r="AM1054" s="359"/>
      <c r="AN1054" s="359"/>
      <c r="AO1054" s="359"/>
      <c r="AP1054" s="359"/>
      <c r="AQ1054" s="359"/>
      <c r="AS1054" s="679" t="s">
        <v>77</v>
      </c>
      <c r="AT1054" s="674"/>
      <c r="AU1054" s="155">
        <f>AVERAGE(D1054:G1054)</f>
        <v>61.75</v>
      </c>
      <c r="AV1054" s="155">
        <f>AVERAGE(H1054:K1054)</f>
        <v>64.75</v>
      </c>
      <c r="AW1054" s="155">
        <f>AVERAGE(L1054:O1054)</f>
        <v>68.25</v>
      </c>
      <c r="AX1054" s="155">
        <f>AVERAGE(P1054:S1054)</f>
        <v>62</v>
      </c>
      <c r="AY1054" s="155">
        <f>AVERAGE(T1054:W1054)</f>
        <v>58.5</v>
      </c>
      <c r="AZ1054" s="359" t="str">
        <f t="shared" si="2448"/>
        <v>NF</v>
      </c>
      <c r="BA1054" s="359" t="str">
        <f t="shared" si="2448"/>
        <v>NF</v>
      </c>
      <c r="BB1054" s="359" t="str">
        <f t="shared" ref="BB1054" si="2467">BB606</f>
        <v>NF</v>
      </c>
      <c r="BC1054" s="359" t="str">
        <f t="shared" si="2448"/>
        <v>NF</v>
      </c>
      <c r="BD1054" s="359" t="str">
        <f t="shared" si="2448"/>
        <v>NF</v>
      </c>
      <c r="BE1054" s="359" t="str">
        <f t="shared" ref="BE1054" si="2468">BE606</f>
        <v>NF</v>
      </c>
    </row>
    <row r="1055" spans="1:57" x14ac:dyDescent="0.2">
      <c r="A1055" s="830"/>
      <c r="B1055" s="674"/>
      <c r="C1055" s="360" t="s">
        <v>95</v>
      </c>
      <c r="D1055" s="244">
        <f t="shared" ref="D1055:AE1055" si="2469">D607</f>
        <v>224</v>
      </c>
      <c r="E1055" s="244">
        <f t="shared" si="2469"/>
        <v>234</v>
      </c>
      <c r="F1055" s="244">
        <f t="shared" si="2469"/>
        <v>245</v>
      </c>
      <c r="G1055" s="244">
        <f t="shared" si="2469"/>
        <v>244</v>
      </c>
      <c r="H1055" s="244">
        <f t="shared" si="2469"/>
        <v>245</v>
      </c>
      <c r="I1055" s="244">
        <f t="shared" si="2469"/>
        <v>257</v>
      </c>
      <c r="J1055" s="244">
        <f t="shared" si="2469"/>
        <v>263</v>
      </c>
      <c r="K1055" s="244">
        <f t="shared" si="2469"/>
        <v>271</v>
      </c>
      <c r="L1055" s="244">
        <f t="shared" si="2469"/>
        <v>276</v>
      </c>
      <c r="M1055" s="244">
        <f t="shared" si="2469"/>
        <v>283</v>
      </c>
      <c r="N1055" s="244">
        <f t="shared" si="2469"/>
        <v>283</v>
      </c>
      <c r="O1055" s="244">
        <f t="shared" si="2469"/>
        <v>281</v>
      </c>
      <c r="P1055" s="244">
        <f t="shared" si="2469"/>
        <v>278</v>
      </c>
      <c r="Q1055" s="244">
        <f t="shared" si="2469"/>
        <v>289</v>
      </c>
      <c r="R1055" s="244">
        <f t="shared" si="2469"/>
        <v>292</v>
      </c>
      <c r="S1055" s="244">
        <f t="shared" si="2469"/>
        <v>294</v>
      </c>
      <c r="T1055" s="244">
        <f t="shared" si="2469"/>
        <v>295</v>
      </c>
      <c r="U1055" s="244">
        <f t="shared" si="2469"/>
        <v>304</v>
      </c>
      <c r="V1055" s="244">
        <f t="shared" si="2469"/>
        <v>307</v>
      </c>
      <c r="W1055" s="244">
        <f t="shared" si="2469"/>
        <v>304</v>
      </c>
      <c r="X1055" s="244">
        <f t="shared" si="2469"/>
        <v>302</v>
      </c>
      <c r="Y1055" s="244">
        <f t="shared" ref="Y1055:Z1055" si="2470">Y607</f>
        <v>313</v>
      </c>
      <c r="Z1055" s="244">
        <f t="shared" si="2470"/>
        <v>321</v>
      </c>
      <c r="AA1055" s="244">
        <f t="shared" ref="AA1055:AB1055" si="2471">AA607</f>
        <v>328</v>
      </c>
      <c r="AB1055" s="244">
        <f t="shared" si="2471"/>
        <v>339</v>
      </c>
      <c r="AC1055" s="244">
        <f t="shared" si="2469"/>
        <v>345.78000000000003</v>
      </c>
      <c r="AD1055" s="244">
        <f t="shared" si="2469"/>
        <v>350.9667</v>
      </c>
      <c r="AE1055" s="244">
        <f t="shared" si="2469"/>
        <v>356.23120049999994</v>
      </c>
      <c r="AF1055" s="244">
        <f t="shared" ref="AF1055:AI1055" si="2472">AF607</f>
        <v>363.35582450999993</v>
      </c>
      <c r="AG1055" s="244">
        <f t="shared" si="2472"/>
        <v>370.62294100019994</v>
      </c>
      <c r="AH1055" s="244">
        <f t="shared" si="2472"/>
        <v>379.88851452520493</v>
      </c>
      <c r="AI1055" s="244">
        <f t="shared" si="2472"/>
        <v>389.385727388335</v>
      </c>
      <c r="AJ1055" s="244"/>
      <c r="AK1055" s="244"/>
      <c r="AL1055" s="244"/>
      <c r="AM1055" s="244"/>
      <c r="AN1055" s="244"/>
      <c r="AO1055" s="244"/>
      <c r="AP1055" s="244"/>
      <c r="AQ1055" s="244"/>
      <c r="AS1055" s="674"/>
      <c r="AT1055" s="360" t="s">
        <v>95</v>
      </c>
      <c r="AU1055" s="244">
        <f>AU607</f>
        <v>236.75</v>
      </c>
      <c r="AV1055" s="244">
        <f>AV607</f>
        <v>259</v>
      </c>
      <c r="AW1055" s="244">
        <f>AW607</f>
        <v>280.75</v>
      </c>
      <c r="AX1055" s="244">
        <f>AX607</f>
        <v>288.25</v>
      </c>
      <c r="AY1055" s="244">
        <f>AY607</f>
        <v>302.5</v>
      </c>
      <c r="AZ1055" s="244">
        <f t="shared" si="2448"/>
        <v>316</v>
      </c>
      <c r="BA1055" s="244">
        <f t="shared" si="2448"/>
        <v>347.99447512499995</v>
      </c>
      <c r="BB1055" s="244">
        <f t="shared" ref="BB1055" si="2473">BB607</f>
        <v>375.81325185593494</v>
      </c>
      <c r="BC1055" s="244">
        <f t="shared" si="2448"/>
        <v>402.12017948585043</v>
      </c>
      <c r="BD1055" s="244">
        <f t="shared" si="2448"/>
        <v>430.26859204985999</v>
      </c>
      <c r="BE1055" s="244">
        <f t="shared" ref="BE1055" si="2474">BE607</f>
        <v>456.08470757285158</v>
      </c>
    </row>
    <row r="1056" spans="1:57" x14ac:dyDescent="0.2">
      <c r="B1056" s="362"/>
      <c r="D1056" s="33"/>
      <c r="E1056" s="33"/>
      <c r="F1056" s="33"/>
      <c r="G1056" s="33"/>
      <c r="H1056" s="33"/>
      <c r="I1056" s="33"/>
      <c r="J1056" s="33"/>
      <c r="K1056" s="33"/>
      <c r="L1056" s="33"/>
      <c r="M1056" s="33"/>
      <c r="N1056" s="33"/>
      <c r="O1056" s="33"/>
      <c r="P1056" s="33"/>
      <c r="Q1056" s="33"/>
      <c r="R1056" s="33"/>
      <c r="S1056" s="33"/>
      <c r="T1056" s="33"/>
      <c r="U1056" s="33"/>
      <c r="V1056" s="33"/>
      <c r="W1056" s="33"/>
      <c r="X1056" s="33"/>
      <c r="Y1056" s="33"/>
      <c r="Z1056" s="33"/>
      <c r="AA1056" s="33"/>
      <c r="AB1056" s="33"/>
      <c r="AC1056" s="33"/>
      <c r="AD1056" s="33"/>
      <c r="AE1056" s="33"/>
      <c r="AF1056" s="33"/>
      <c r="AG1056" s="33"/>
      <c r="AH1056" s="33"/>
      <c r="AI1056" s="33"/>
      <c r="AJ1056" s="33"/>
      <c r="AK1056" s="33"/>
      <c r="AL1056" s="33"/>
      <c r="AM1056" s="33"/>
      <c r="AN1056" s="33"/>
      <c r="AO1056" s="33"/>
      <c r="AP1056" s="33"/>
      <c r="AQ1056" s="33"/>
      <c r="AS1056" s="362"/>
      <c r="AT1056" s="9"/>
      <c r="BC1056" s="33"/>
      <c r="BD1056" s="33"/>
      <c r="BE1056" s="33"/>
    </row>
    <row r="1057" spans="1:70" s="160" customFormat="1" x14ac:dyDescent="0.2">
      <c r="A1057" s="829"/>
      <c r="B1057" s="363" t="s">
        <v>570</v>
      </c>
      <c r="C1057" s="59"/>
      <c r="D1057" s="221" t="s">
        <v>229</v>
      </c>
      <c r="E1057" s="221">
        <f t="shared" ref="E1057:AE1057" si="2475">E1055+E1048</f>
        <v>641.15000000000009</v>
      </c>
      <c r="F1057" s="221">
        <f t="shared" si="2475"/>
        <v>650.75</v>
      </c>
      <c r="G1057" s="221">
        <f t="shared" si="2475"/>
        <v>647.90000000000009</v>
      </c>
      <c r="H1057" s="221">
        <f t="shared" si="2475"/>
        <v>643.85</v>
      </c>
      <c r="I1057" s="221">
        <f t="shared" si="2475"/>
        <v>643.4</v>
      </c>
      <c r="J1057" s="221">
        <f t="shared" si="2475"/>
        <v>642.65</v>
      </c>
      <c r="K1057" s="221">
        <f t="shared" si="2475"/>
        <v>657</v>
      </c>
      <c r="L1057" s="221">
        <f t="shared" si="2475"/>
        <v>658.2</v>
      </c>
      <c r="M1057" s="221">
        <f t="shared" si="2475"/>
        <v>663.34999999999991</v>
      </c>
      <c r="N1057" s="221">
        <f t="shared" si="2475"/>
        <v>659.3</v>
      </c>
      <c r="O1057" s="221">
        <f t="shared" si="2475"/>
        <v>650.04999999999995</v>
      </c>
      <c r="P1057" s="221">
        <f t="shared" si="2475"/>
        <v>633.20000000000005</v>
      </c>
      <c r="Q1057" s="221">
        <f t="shared" si="2475"/>
        <v>627.34999999999991</v>
      </c>
      <c r="R1057" s="221">
        <f t="shared" si="2475"/>
        <v>623.45000000000005</v>
      </c>
      <c r="S1057" s="221">
        <f t="shared" si="2475"/>
        <v>623.75</v>
      </c>
      <c r="T1057" s="221">
        <f t="shared" si="2475"/>
        <v>612.25</v>
      </c>
      <c r="U1057" s="221">
        <f t="shared" si="2475"/>
        <v>620.5</v>
      </c>
      <c r="V1057" s="221">
        <f t="shared" si="2475"/>
        <v>635.4</v>
      </c>
      <c r="W1057" s="221">
        <f t="shared" si="2475"/>
        <v>625.84999999999991</v>
      </c>
      <c r="X1057" s="221">
        <f t="shared" si="2475"/>
        <v>623.29999999999995</v>
      </c>
      <c r="Y1057" s="221">
        <f t="shared" ref="Y1057:Z1057" si="2476">Y1055+Y1048</f>
        <v>634.6</v>
      </c>
      <c r="Z1057" s="221">
        <f t="shared" si="2476"/>
        <v>646.5</v>
      </c>
      <c r="AA1057" s="221">
        <f t="shared" ref="AA1057" si="2477">AA1055+AA1048</f>
        <v>654.9</v>
      </c>
      <c r="AB1057" s="221">
        <f t="shared" ref="AB1057" si="2478">AB1055+AB1048</f>
        <v>667.6</v>
      </c>
      <c r="AC1057" s="221">
        <f t="shared" si="2475"/>
        <v>674.97050000000013</v>
      </c>
      <c r="AD1057" s="221">
        <f t="shared" si="2475"/>
        <v>682.88717249999991</v>
      </c>
      <c r="AE1057" s="221">
        <f t="shared" si="2475"/>
        <v>693.40781544999993</v>
      </c>
      <c r="AF1057" s="221">
        <f t="shared" ref="AF1057:AI1057" si="2479">AF1055+AF1048</f>
        <v>698.99158347474986</v>
      </c>
      <c r="AG1057" s="221">
        <f t="shared" si="2479"/>
        <v>707.28556645450294</v>
      </c>
      <c r="AH1057" s="221">
        <f t="shared" si="2479"/>
        <v>720.12512567191095</v>
      </c>
      <c r="AI1057" s="221">
        <f t="shared" si="2479"/>
        <v>735.88173509745775</v>
      </c>
      <c r="AJ1057" s="221"/>
      <c r="AK1057" s="221"/>
      <c r="AL1057" s="221"/>
      <c r="AM1057" s="221"/>
      <c r="AN1057" s="221"/>
      <c r="AO1057" s="221"/>
      <c r="AP1057" s="221"/>
      <c r="AQ1057" s="221"/>
      <c r="AR1057" s="70"/>
      <c r="AS1057" s="363" t="s">
        <v>570</v>
      </c>
      <c r="AT1057" s="59"/>
      <c r="AU1057" s="221">
        <f t="shared" ref="AU1057:BD1057" si="2480">AU1055+AU1048</f>
        <v>642.625</v>
      </c>
      <c r="AV1057" s="221">
        <f t="shared" si="2480"/>
        <v>646.72500000000002</v>
      </c>
      <c r="AW1057" s="221">
        <f t="shared" si="2480"/>
        <v>657.72500000000002</v>
      </c>
      <c r="AX1057" s="221">
        <f t="shared" si="2480"/>
        <v>626.9375</v>
      </c>
      <c r="AY1057" s="221">
        <f t="shared" si="2480"/>
        <v>623.5</v>
      </c>
      <c r="AZ1057" s="221">
        <f t="shared" si="2480"/>
        <v>639.82500000000005</v>
      </c>
      <c r="BA1057" s="221">
        <f t="shared" si="2480"/>
        <v>679.7163719875</v>
      </c>
      <c r="BB1057" s="221">
        <f t="shared" ref="BB1057" si="2481">BB1055+BB1048</f>
        <v>715.57100267465535</v>
      </c>
      <c r="BC1057" s="221">
        <f t="shared" si="2480"/>
        <v>752.88416436881312</v>
      </c>
      <c r="BD1057" s="221">
        <f t="shared" si="2480"/>
        <v>793.5963266828544</v>
      </c>
      <c r="BE1057" s="221">
        <f t="shared" ref="BE1057" si="2482">BE1055+BE1048</f>
        <v>833.24296683645048</v>
      </c>
      <c r="BM1057"/>
      <c r="BN1057"/>
      <c r="BO1057"/>
      <c r="BP1057"/>
      <c r="BQ1057"/>
      <c r="BR1057"/>
    </row>
    <row r="1058" spans="1:70" x14ac:dyDescent="0.2">
      <c r="C1058" s="53" t="s">
        <v>571</v>
      </c>
      <c r="F1058" s="222">
        <f t="shared" ref="F1058:AE1058" si="2483">F1057/E1057-1</f>
        <v>1.4973095219527277E-2</v>
      </c>
      <c r="G1058" s="222">
        <f t="shared" si="2483"/>
        <v>-4.3795620437955263E-3</v>
      </c>
      <c r="H1058" s="222">
        <f t="shared" si="2483"/>
        <v>-6.2509646550394926E-3</v>
      </c>
      <c r="I1058" s="222">
        <f t="shared" si="2483"/>
        <v>-6.9892055603015812E-4</v>
      </c>
      <c r="J1058" s="222">
        <f t="shared" si="2483"/>
        <v>-1.165682312713745E-3</v>
      </c>
      <c r="K1058" s="222">
        <f t="shared" si="2483"/>
        <v>2.2329417256671702E-2</v>
      </c>
      <c r="L1058" s="222">
        <f t="shared" si="2483"/>
        <v>1.8264840182649067E-3</v>
      </c>
      <c r="M1058" s="222">
        <f t="shared" si="2483"/>
        <v>7.824369492555272E-3</v>
      </c>
      <c r="N1058" s="222">
        <f t="shared" si="2483"/>
        <v>-6.1053742368281094E-3</v>
      </c>
      <c r="O1058" s="222">
        <f t="shared" si="2483"/>
        <v>-1.4030031851964164E-2</v>
      </c>
      <c r="P1058" s="222">
        <f t="shared" si="2483"/>
        <v>-2.5921082993615729E-2</v>
      </c>
      <c r="Q1058" s="222">
        <f t="shared" si="2483"/>
        <v>-9.2387871130766852E-3</v>
      </c>
      <c r="R1058" s="222">
        <f t="shared" si="2483"/>
        <v>-6.2166254881642624E-3</v>
      </c>
      <c r="S1058" s="222">
        <f t="shared" si="2483"/>
        <v>4.8119335953167308E-4</v>
      </c>
      <c r="T1058" s="222">
        <f t="shared" si="2483"/>
        <v>-1.8436873747495031E-2</v>
      </c>
      <c r="U1058" s="222">
        <f t="shared" si="2483"/>
        <v>1.347488770926919E-2</v>
      </c>
      <c r="V1058" s="222">
        <f t="shared" si="2483"/>
        <v>2.4012892828364274E-2</v>
      </c>
      <c r="W1058" s="222">
        <f t="shared" si="2483"/>
        <v>-1.5029902423670194E-2</v>
      </c>
      <c r="X1058" s="222">
        <f t="shared" si="2483"/>
        <v>-4.0744587361187801E-3</v>
      </c>
      <c r="Y1058" s="222">
        <f t="shared" si="2483"/>
        <v>1.8129311727899999E-2</v>
      </c>
      <c r="Z1058" s="222">
        <f t="shared" si="2483"/>
        <v>1.8751969744721153E-2</v>
      </c>
      <c r="AA1058" s="222">
        <f t="shared" si="2483"/>
        <v>1.2993039443155441E-2</v>
      </c>
      <c r="AB1058" s="222">
        <f t="shared" si="2483"/>
        <v>1.9392273629561751E-2</v>
      </c>
      <c r="AC1058" s="222">
        <f t="shared" si="2483"/>
        <v>1.1040293588975514E-2</v>
      </c>
      <c r="AD1058" s="222">
        <f t="shared" si="2483"/>
        <v>1.1728916300786096E-2</v>
      </c>
      <c r="AE1058" s="222">
        <f t="shared" si="2483"/>
        <v>1.5406121792396199E-2</v>
      </c>
      <c r="AF1058" s="222">
        <f t="shared" ref="AF1058" si="2484">AF1057/AE1057-1</f>
        <v>8.0526465095094313E-3</v>
      </c>
      <c r="AG1058" s="222">
        <f t="shared" ref="AG1058" si="2485">AG1057/AF1057-1</f>
        <v>1.1865640697021007E-2</v>
      </c>
      <c r="AH1058" s="222">
        <f t="shared" ref="AH1058" si="2486">AH1057/AG1057-1</f>
        <v>1.815328889259038E-2</v>
      </c>
      <c r="AI1058" s="222">
        <f t="shared" ref="AI1058" si="2487">AI1057/AH1057-1</f>
        <v>2.1880377262000206E-2</v>
      </c>
      <c r="AJ1058" s="222"/>
      <c r="AK1058" s="222"/>
      <c r="AL1058" s="222"/>
      <c r="AM1058" s="222"/>
      <c r="AN1058" s="222"/>
      <c r="AO1058" s="222"/>
      <c r="AP1058" s="222"/>
      <c r="AQ1058" s="222"/>
      <c r="AS1058" s="10"/>
      <c r="AT1058" s="53" t="s">
        <v>571</v>
      </c>
      <c r="AU1058" s="284" t="s">
        <v>229</v>
      </c>
      <c r="AV1058" s="222">
        <f t="shared" ref="AV1058:BE1058" si="2488">AV1057/AU1057-1</f>
        <v>6.3800816961681051E-3</v>
      </c>
      <c r="AW1058" s="222">
        <f t="shared" si="2488"/>
        <v>1.700877498163833E-2</v>
      </c>
      <c r="AX1058" s="222">
        <f t="shared" si="2488"/>
        <v>-4.680907674179946E-2</v>
      </c>
      <c r="AY1058" s="222">
        <f t="shared" si="2488"/>
        <v>-5.4830026916559138E-3</v>
      </c>
      <c r="AZ1058" s="222">
        <f t="shared" si="2488"/>
        <v>2.6182838813151532E-2</v>
      </c>
      <c r="BA1058" s="222">
        <f t="shared" si="2488"/>
        <v>6.2347316824912902E-2</v>
      </c>
      <c r="BB1058" s="222">
        <f t="shared" si="2488"/>
        <v>5.2749399844991052E-2</v>
      </c>
      <c r="BC1058" s="222">
        <f t="shared" si="2488"/>
        <v>5.2144597188383823E-2</v>
      </c>
      <c r="BD1058" s="222">
        <f t="shared" si="2488"/>
        <v>5.4074935084034603E-2</v>
      </c>
      <c r="BE1058" s="222">
        <f t="shared" si="2488"/>
        <v>4.9958195143511741E-2</v>
      </c>
    </row>
    <row r="1059" spans="1:70" x14ac:dyDescent="0.2">
      <c r="Y1059" s="1215"/>
      <c r="Z1059" s="1688"/>
      <c r="AA1059" s="1742"/>
      <c r="AB1059" s="1785"/>
      <c r="AS1059" s="10"/>
      <c r="AT1059" s="9"/>
    </row>
    <row r="1060" spans="1:70" x14ac:dyDescent="0.2">
      <c r="Y1060" s="1215"/>
      <c r="AB1060" s="1785"/>
      <c r="AS1060" s="10"/>
      <c r="AT1060" s="9"/>
    </row>
    <row r="1061" spans="1:70" x14ac:dyDescent="0.2">
      <c r="A1061" s="411" t="s">
        <v>194</v>
      </c>
      <c r="B1061" s="13" t="s">
        <v>515</v>
      </c>
      <c r="C1061" s="13"/>
      <c r="D1061" s="14"/>
      <c r="E1061" s="14"/>
      <c r="F1061" s="14"/>
      <c r="G1061" s="14"/>
      <c r="H1061" s="14"/>
      <c r="I1061" s="14"/>
      <c r="J1061" s="14"/>
      <c r="K1061" s="14"/>
      <c r="L1061" s="14"/>
      <c r="M1061" s="14"/>
      <c r="N1061" s="14"/>
      <c r="O1061" s="14"/>
      <c r="P1061" s="14"/>
      <c r="Q1061" s="14"/>
      <c r="R1061" s="14"/>
      <c r="S1061" s="14"/>
      <c r="T1061" s="14"/>
      <c r="U1061" s="14"/>
      <c r="V1061" s="14"/>
      <c r="W1061" s="14"/>
      <c r="X1061" s="14"/>
      <c r="Y1061" s="14"/>
      <c r="Z1061" s="14"/>
      <c r="AA1061" s="14"/>
      <c r="AB1061" s="14"/>
      <c r="AC1061" s="14"/>
      <c r="AD1061" s="14"/>
      <c r="AE1061" s="14"/>
      <c r="AF1061" s="14"/>
      <c r="AG1061" s="14"/>
      <c r="AH1061" s="14"/>
      <c r="AI1061" s="14"/>
      <c r="AJ1061" s="14"/>
      <c r="AK1061" s="14"/>
      <c r="AL1061" s="14"/>
      <c r="AM1061" s="14"/>
      <c r="AN1061" s="14"/>
      <c r="AO1061" s="14"/>
      <c r="AP1061" s="14"/>
      <c r="AQ1061" s="14"/>
      <c r="AS1061" s="13" t="s">
        <v>515</v>
      </c>
      <c r="AT1061" s="13"/>
      <c r="AU1061" s="14"/>
      <c r="AV1061" s="14"/>
      <c r="AW1061" s="14"/>
      <c r="AX1061" s="14"/>
      <c r="AY1061" s="14"/>
      <c r="AZ1061" s="14"/>
      <c r="BA1061" s="14"/>
      <c r="BB1061" s="14"/>
      <c r="BC1061" s="14"/>
      <c r="BD1061" s="14"/>
      <c r="BE1061" s="14"/>
      <c r="BF1061" s="15"/>
      <c r="BG1061" s="15"/>
      <c r="BH1061" s="15"/>
      <c r="BI1061" s="15"/>
      <c r="BJ1061" s="15"/>
      <c r="BK1061" s="15"/>
      <c r="BL1061" s="15"/>
    </row>
    <row r="1062" spans="1:70" x14ac:dyDescent="0.2">
      <c r="B1062" s="35"/>
      <c r="C1062" s="35"/>
      <c r="D1062" s="66"/>
      <c r="E1062" s="66"/>
      <c r="F1062" s="66"/>
      <c r="Y1062" s="1215"/>
      <c r="AB1062" s="1785"/>
      <c r="AS1062" s="35"/>
      <c r="AT1062" s="35"/>
    </row>
    <row r="1063" spans="1:70" x14ac:dyDescent="0.2">
      <c r="B1063" s="35" t="s">
        <v>864</v>
      </c>
      <c r="C1063" s="35"/>
      <c r="D1063" s="66">
        <f t="shared" ref="D1063:X1063" si="2489">D749/(D$889)*D$1</f>
        <v>4.1411479717347724E-2</v>
      </c>
      <c r="E1063" s="66">
        <f t="shared" si="2489"/>
        <v>3.9905695657232912E-2</v>
      </c>
      <c r="F1063" s="66">
        <f t="shared" si="2489"/>
        <v>3.9690620932852069E-2</v>
      </c>
      <c r="G1063" s="66">
        <f t="shared" si="2489"/>
        <v>3.9591016922066347E-2</v>
      </c>
      <c r="H1063" s="66">
        <f t="shared" si="2489"/>
        <v>3.9118537549303598E-2</v>
      </c>
      <c r="I1063" s="66">
        <f t="shared" si="2489"/>
        <v>3.8136334784777855E-2</v>
      </c>
      <c r="J1063" s="66">
        <f t="shared" si="2489"/>
        <v>3.73485133955022E-2</v>
      </c>
      <c r="K1063" s="66">
        <f t="shared" si="2489"/>
        <v>3.7353913263442673E-2</v>
      </c>
      <c r="L1063" s="66">
        <f t="shared" si="2489"/>
        <v>3.73921773516094E-2</v>
      </c>
      <c r="M1063" s="66">
        <f t="shared" si="2489"/>
        <v>3.6983927116509885E-2</v>
      </c>
      <c r="N1063" s="66">
        <f t="shared" si="2489"/>
        <v>3.6720923034401214E-2</v>
      </c>
      <c r="O1063" s="66">
        <f t="shared" si="2489"/>
        <v>3.6463807639840362E-2</v>
      </c>
      <c r="P1063" s="66">
        <f t="shared" si="2489"/>
        <v>3.643052250215411E-2</v>
      </c>
      <c r="Q1063" s="66">
        <f t="shared" si="2489"/>
        <v>3.6756821764733161E-2</v>
      </c>
      <c r="R1063" s="66">
        <f t="shared" si="2489"/>
        <v>3.6436070223070882E-2</v>
      </c>
      <c r="S1063" s="66">
        <f t="shared" si="2489"/>
        <v>3.6231100861122169E-2</v>
      </c>
      <c r="T1063" s="66">
        <f t="shared" si="2489"/>
        <v>3.6463804973008697E-2</v>
      </c>
      <c r="U1063" s="66">
        <f t="shared" si="2489"/>
        <v>3.6194378405250353E-2</v>
      </c>
      <c r="V1063" s="66">
        <f t="shared" si="2489"/>
        <v>3.6184618458796197E-2</v>
      </c>
      <c r="W1063" s="66">
        <f t="shared" si="2489"/>
        <v>3.576883909697718E-2</v>
      </c>
      <c r="X1063" s="66">
        <f t="shared" si="2489"/>
        <v>3.6238727286289948E-2</v>
      </c>
      <c r="Y1063" s="66">
        <f t="shared" ref="Y1063:Z1063" si="2490">Y749/(Y$889)*Y$1</f>
        <v>3.6895867764727704E-2</v>
      </c>
      <c r="Z1063" s="66">
        <f t="shared" si="2490"/>
        <v>3.7425113820189461E-2</v>
      </c>
      <c r="AA1063" s="66">
        <f t="shared" ref="AA1063:AB1063" si="2491">AA749/(AA$889)*AA$1</f>
        <v>3.6722319004431819E-2</v>
      </c>
      <c r="AB1063" s="66">
        <f t="shared" si="2491"/>
        <v>3.8325398460241154E-2</v>
      </c>
      <c r="AC1063" s="32" t="s">
        <v>226</v>
      </c>
      <c r="AD1063" s="32" t="s">
        <v>226</v>
      </c>
      <c r="AE1063" s="32" t="s">
        <v>226</v>
      </c>
      <c r="AF1063" s="32" t="s">
        <v>226</v>
      </c>
      <c r="AG1063" s="32" t="s">
        <v>226</v>
      </c>
      <c r="AH1063" s="32" t="s">
        <v>226</v>
      </c>
      <c r="AI1063" s="32" t="s">
        <v>226</v>
      </c>
      <c r="AJ1063" s="32"/>
      <c r="AK1063" s="32"/>
      <c r="AL1063" s="32"/>
      <c r="AM1063" s="32"/>
      <c r="AN1063" s="32"/>
      <c r="AO1063" s="32"/>
      <c r="AP1063" s="32"/>
      <c r="AQ1063" s="32"/>
      <c r="AS1063" s="35" t="s">
        <v>517</v>
      </c>
      <c r="AT1063" s="35"/>
      <c r="AU1063" s="241" t="s">
        <v>229</v>
      </c>
      <c r="AV1063" s="66">
        <f t="shared" ref="AV1063:AY1065" si="2492">AV749/(AV$889)*AV$1</f>
        <v>3.7982752139017958E-2</v>
      </c>
      <c r="AW1063" s="66">
        <f t="shared" si="2492"/>
        <v>3.6887493980583282E-2</v>
      </c>
      <c r="AX1063" s="66">
        <f t="shared" si="2492"/>
        <v>3.6461416167108129E-2</v>
      </c>
      <c r="AY1063" s="66">
        <f t="shared" si="2492"/>
        <v>3.6151625999616931E-2</v>
      </c>
      <c r="AZ1063" s="108" t="s">
        <v>226</v>
      </c>
      <c r="BA1063" s="108" t="s">
        <v>226</v>
      </c>
      <c r="BB1063" s="108" t="s">
        <v>226</v>
      </c>
      <c r="BC1063" s="108" t="s">
        <v>226</v>
      </c>
      <c r="BD1063" s="108" t="s">
        <v>226</v>
      </c>
      <c r="BE1063" s="108" t="s">
        <v>226</v>
      </c>
    </row>
    <row r="1064" spans="1:70" x14ac:dyDescent="0.2">
      <c r="B1064" s="43" t="s">
        <v>865</v>
      </c>
      <c r="C1064" s="43"/>
      <c r="D1064" s="161">
        <f t="shared" ref="D1064:X1064" si="2493">D750/(D$889)*D$1</f>
        <v>1.3356842480823732E-2</v>
      </c>
      <c r="E1064" s="161">
        <f t="shared" si="2493"/>
        <v>1.2778145265287992E-2</v>
      </c>
      <c r="F1064" s="161">
        <f t="shared" si="2493"/>
        <v>1.1918806285984017E-2</v>
      </c>
      <c r="G1064" s="161">
        <f t="shared" si="2493"/>
        <v>1.1138778960342531E-2</v>
      </c>
      <c r="H1064" s="161">
        <f t="shared" si="2493"/>
        <v>1.0612986691007804E-2</v>
      </c>
      <c r="I1064" s="161">
        <f t="shared" si="2493"/>
        <v>1.0010787881004186E-2</v>
      </c>
      <c r="J1064" s="161">
        <f t="shared" si="2493"/>
        <v>9.5454520428781414E-3</v>
      </c>
      <c r="K1064" s="161">
        <f t="shared" si="2493"/>
        <v>8.8872205937152397E-3</v>
      </c>
      <c r="L1064" s="161">
        <f t="shared" si="2493"/>
        <v>8.7475771250572851E-3</v>
      </c>
      <c r="M1064" s="161">
        <f t="shared" si="2493"/>
        <v>8.591793363291772E-3</v>
      </c>
      <c r="N1064" s="161">
        <f t="shared" si="2493"/>
        <v>7.8711364807493578E-3</v>
      </c>
      <c r="O1064" s="161">
        <f t="shared" si="2493"/>
        <v>7.548438291890937E-3</v>
      </c>
      <c r="P1064" s="161">
        <f t="shared" si="2493"/>
        <v>7.5555905572960713E-3</v>
      </c>
      <c r="Q1064" s="161">
        <f t="shared" si="2493"/>
        <v>7.5401777182949551E-3</v>
      </c>
      <c r="R1064" s="161">
        <f t="shared" si="2493"/>
        <v>7.2827567300565088E-3</v>
      </c>
      <c r="S1064" s="161">
        <f t="shared" si="2493"/>
        <v>7.3173505707404213E-3</v>
      </c>
      <c r="T1064" s="161">
        <f t="shared" si="2493"/>
        <v>7.5671339465409456E-3</v>
      </c>
      <c r="U1064" s="161">
        <f t="shared" si="2493"/>
        <v>7.8661507818599263E-3</v>
      </c>
      <c r="V1064" s="161">
        <f t="shared" si="2493"/>
        <v>7.837983961524542E-3</v>
      </c>
      <c r="W1064" s="161">
        <f t="shared" si="2493"/>
        <v>8.1179088386172313E-3</v>
      </c>
      <c r="X1064" s="161">
        <f t="shared" si="2493"/>
        <v>8.8993389920053699E-3</v>
      </c>
      <c r="Y1064" s="161">
        <f t="shared" ref="Y1064:Z1064" si="2494">Y750/(Y$889)*Y$1</f>
        <v>9.736610585748727E-3</v>
      </c>
      <c r="Z1064" s="161">
        <f t="shared" si="2494"/>
        <v>1.029813833219867E-2</v>
      </c>
      <c r="AA1064" s="161">
        <f t="shared" ref="AA1064:AB1064" si="2495">AA750/(AA$889)*AA$1</f>
        <v>1.051161901092159E-2</v>
      </c>
      <c r="AB1064" s="161">
        <f t="shared" si="2495"/>
        <v>1.2108685773625052E-2</v>
      </c>
      <c r="AC1064" s="98" t="s">
        <v>226</v>
      </c>
      <c r="AD1064" s="98" t="s">
        <v>226</v>
      </c>
      <c r="AE1064" s="98" t="s">
        <v>226</v>
      </c>
      <c r="AF1064" s="98" t="s">
        <v>226</v>
      </c>
      <c r="AG1064" s="98" t="s">
        <v>226</v>
      </c>
      <c r="AH1064" s="98" t="s">
        <v>226</v>
      </c>
      <c r="AI1064" s="98" t="s">
        <v>226</v>
      </c>
      <c r="AJ1064" s="290"/>
      <c r="AK1064" s="290"/>
      <c r="AL1064" s="290"/>
      <c r="AM1064" s="290"/>
      <c r="AN1064" s="290"/>
      <c r="AO1064" s="290"/>
      <c r="AP1064" s="290"/>
      <c r="AQ1064" s="290"/>
      <c r="AS1064" s="43" t="s">
        <v>518</v>
      </c>
      <c r="AT1064" s="43"/>
      <c r="AU1064" s="285" t="s">
        <v>229</v>
      </c>
      <c r="AV1064" s="161">
        <f t="shared" si="2492"/>
        <v>9.7577732468301336E-3</v>
      </c>
      <c r="AW1064" s="161">
        <f t="shared" si="2492"/>
        <v>8.1868552533791335E-3</v>
      </c>
      <c r="AX1064" s="161">
        <f t="shared" si="2492"/>
        <v>7.423554544381753E-3</v>
      </c>
      <c r="AY1064" s="161">
        <f t="shared" si="2492"/>
        <v>7.8502645644573012E-3</v>
      </c>
      <c r="AZ1064" s="148" t="s">
        <v>226</v>
      </c>
      <c r="BA1064" s="148" t="s">
        <v>226</v>
      </c>
      <c r="BB1064" s="148" t="s">
        <v>226</v>
      </c>
      <c r="BC1064" s="148" t="s">
        <v>226</v>
      </c>
      <c r="BD1064" s="148" t="s">
        <v>226</v>
      </c>
      <c r="BE1064" s="148" t="s">
        <v>226</v>
      </c>
    </row>
    <row r="1065" spans="1:70" x14ac:dyDescent="0.2">
      <c r="B1065" s="65" t="s">
        <v>866</v>
      </c>
      <c r="C1065" s="119"/>
      <c r="D1065" s="248">
        <f t="shared" ref="D1065:X1065" si="2496">D751/(D$889)*D$1</f>
        <v>2.8054637236523992E-2</v>
      </c>
      <c r="E1065" s="248">
        <f t="shared" si="2496"/>
        <v>2.7127550391944918E-2</v>
      </c>
      <c r="F1065" s="248">
        <f t="shared" si="2496"/>
        <v>2.7771814646868051E-2</v>
      </c>
      <c r="G1065" s="248">
        <f t="shared" si="2496"/>
        <v>2.8452237961723813E-2</v>
      </c>
      <c r="H1065" s="248">
        <f t="shared" si="2496"/>
        <v>2.8505550858295793E-2</v>
      </c>
      <c r="I1065" s="248">
        <f t="shared" si="2496"/>
        <v>2.8125546903773668E-2</v>
      </c>
      <c r="J1065" s="248">
        <f t="shared" si="2496"/>
        <v>2.7803061352624062E-2</v>
      </c>
      <c r="K1065" s="248">
        <f t="shared" si="2496"/>
        <v>2.8466692669727435E-2</v>
      </c>
      <c r="L1065" s="248">
        <f t="shared" si="2496"/>
        <v>2.8644600226552113E-2</v>
      </c>
      <c r="M1065" s="248">
        <f t="shared" si="2496"/>
        <v>2.8392133753218116E-2</v>
      </c>
      <c r="N1065" s="248">
        <f t="shared" si="2496"/>
        <v>2.8849786553651856E-2</v>
      </c>
      <c r="O1065" s="248">
        <f t="shared" si="2496"/>
        <v>2.8915369347949423E-2</v>
      </c>
      <c r="P1065" s="248">
        <f t="shared" si="2496"/>
        <v>2.8874931944858039E-2</v>
      </c>
      <c r="Q1065" s="248">
        <f t="shared" si="2496"/>
        <v>2.92166440464382E-2</v>
      </c>
      <c r="R1065" s="248">
        <f t="shared" si="2496"/>
        <v>2.9153313493014373E-2</v>
      </c>
      <c r="S1065" s="248">
        <f t="shared" si="2496"/>
        <v>2.8913750290381745E-2</v>
      </c>
      <c r="T1065" s="248">
        <f t="shared" si="2496"/>
        <v>2.8896671026467754E-2</v>
      </c>
      <c r="U1065" s="248">
        <f t="shared" si="2496"/>
        <v>2.8328227623390424E-2</v>
      </c>
      <c r="V1065" s="248">
        <f t="shared" si="2496"/>
        <v>2.8346634497271653E-2</v>
      </c>
      <c r="W1065" s="248">
        <f t="shared" si="2496"/>
        <v>2.7650930258359945E-2</v>
      </c>
      <c r="X1065" s="248">
        <f t="shared" si="2496"/>
        <v>2.7339388294284582E-2</v>
      </c>
      <c r="Y1065" s="248">
        <f t="shared" ref="Y1065:Z1065" si="2497">Y751/(Y$889)*Y$1</f>
        <v>2.715925717897898E-2</v>
      </c>
      <c r="Z1065" s="248">
        <f t="shared" si="2497"/>
        <v>2.7126975487990788E-2</v>
      </c>
      <c r="AA1065" s="248">
        <f t="shared" ref="AA1065:AB1065" si="2498">AA751/(AA$889)*AA$1</f>
        <v>2.6210699993510236E-2</v>
      </c>
      <c r="AB1065" s="248">
        <f t="shared" si="2498"/>
        <v>2.6216712686616104E-2</v>
      </c>
      <c r="AC1065" s="248">
        <f t="shared" ref="AC1065:AE1065" si="2499">AC751/(AC$889)*AC$1</f>
        <v>2.6327679486008466E-2</v>
      </c>
      <c r="AD1065" s="248">
        <f t="shared" si="2499"/>
        <v>2.6803091329107048E-2</v>
      </c>
      <c r="AE1065" s="248">
        <f t="shared" si="2499"/>
        <v>2.732723813735085E-2</v>
      </c>
      <c r="AF1065" s="248">
        <f t="shared" ref="AF1065:AI1065" si="2500">AF751/(AF$889)*AF$1</f>
        <v>2.7463575313788773E-2</v>
      </c>
      <c r="AG1065" s="248">
        <f t="shared" si="2500"/>
        <v>2.7702088306547832E-2</v>
      </c>
      <c r="AH1065" s="248">
        <f t="shared" si="2500"/>
        <v>2.8196550312067931E-2</v>
      </c>
      <c r="AI1065" s="248">
        <f t="shared" si="2500"/>
        <v>2.86589261187069E-2</v>
      </c>
      <c r="AJ1065" s="248"/>
      <c r="AK1065" s="248"/>
      <c r="AL1065" s="248"/>
      <c r="AM1065" s="248"/>
      <c r="AN1065" s="248"/>
      <c r="AO1065" s="248"/>
      <c r="AP1065" s="248"/>
      <c r="AQ1065" s="248"/>
      <c r="AS1065" s="65" t="s">
        <v>866</v>
      </c>
      <c r="AT1065" s="119"/>
      <c r="AU1065" s="248">
        <f>AU751/(AU$889)*AU$1</f>
        <v>2.7851167527135068E-2</v>
      </c>
      <c r="AV1065" s="248">
        <f t="shared" si="2492"/>
        <v>2.8224978892187825E-2</v>
      </c>
      <c r="AW1065" s="248">
        <f t="shared" si="2492"/>
        <v>2.8700638727204145E-2</v>
      </c>
      <c r="AX1065" s="248">
        <f t="shared" si="2492"/>
        <v>2.9037861622726376E-2</v>
      </c>
      <c r="AY1065" s="248">
        <f t="shared" si="2492"/>
        <v>2.8301361435159628E-2</v>
      </c>
      <c r="AZ1065" s="248">
        <f t="shared" ref="AZ1065:BE1065" si="2501">AZ751/(AZ$889)*AZ$1</f>
        <v>2.6953889295308418E-2</v>
      </c>
      <c r="BA1065" s="248">
        <f t="shared" si="2501"/>
        <v>2.6675645580707855E-2</v>
      </c>
      <c r="BB1065" s="248">
        <f t="shared" ref="BB1065" si="2502">BB751/(BB$889)*BB$1</f>
        <v>2.8016770036993245E-2</v>
      </c>
      <c r="BC1065" s="248">
        <f t="shared" si="2501"/>
        <v>2.9041411033357944E-2</v>
      </c>
      <c r="BD1065" s="248">
        <f t="shared" si="2501"/>
        <v>2.9734001379652368E-2</v>
      </c>
      <c r="BE1065" s="248">
        <f t="shared" si="2501"/>
        <v>3.0321484638143985E-2</v>
      </c>
    </row>
    <row r="1066" spans="1:70" x14ac:dyDescent="0.2">
      <c r="A1066" s="830"/>
      <c r="B1066" s="119"/>
      <c r="C1066" s="119"/>
      <c r="D1066" s="248"/>
      <c r="E1066" s="248"/>
      <c r="F1066" s="248"/>
      <c r="G1066" s="248"/>
      <c r="H1066" s="248"/>
      <c r="I1066" s="248"/>
      <c r="J1066" s="248"/>
      <c r="K1066" s="248"/>
      <c r="L1066" s="248"/>
      <c r="M1066" s="248"/>
      <c r="N1066" s="248"/>
      <c r="O1066" s="248"/>
      <c r="P1066" s="248"/>
      <c r="Q1066" s="248"/>
      <c r="R1066" s="248"/>
      <c r="S1066" s="248"/>
      <c r="T1066" s="248"/>
      <c r="U1066" s="248"/>
      <c r="V1066" s="248"/>
      <c r="W1066" s="248"/>
      <c r="X1066" s="248"/>
      <c r="Y1066" s="248"/>
      <c r="Z1066" s="248"/>
      <c r="AA1066" s="248"/>
      <c r="AB1066" s="248"/>
      <c r="AC1066" s="290"/>
      <c r="AD1066" s="290"/>
      <c r="AE1066" s="290"/>
      <c r="AF1066" s="290"/>
      <c r="AG1066" s="290"/>
      <c r="AH1066" s="290"/>
      <c r="AI1066" s="290"/>
      <c r="AJ1066" s="290"/>
      <c r="AK1066" s="290"/>
      <c r="AL1066" s="290"/>
      <c r="AM1066" s="290"/>
      <c r="AN1066" s="290"/>
      <c r="AO1066" s="290"/>
      <c r="AP1066" s="290"/>
      <c r="AQ1066" s="290"/>
      <c r="AS1066" s="119"/>
      <c r="AT1066" s="119"/>
      <c r="AU1066" s="241"/>
      <c r="AV1066" s="248"/>
      <c r="AW1066" s="248"/>
      <c r="AX1066" s="248"/>
      <c r="AY1066" s="248"/>
      <c r="AZ1066" s="398"/>
      <c r="BA1066" s="398"/>
      <c r="BB1066" s="398"/>
      <c r="BC1066" s="398"/>
      <c r="BD1066" s="398"/>
      <c r="BE1066" s="398"/>
    </row>
    <row r="1067" spans="1:70" s="160" customFormat="1" x14ac:dyDescent="0.2">
      <c r="A1067" s="829"/>
      <c r="B1067" s="65" t="s">
        <v>860</v>
      </c>
      <c r="C1067" s="59"/>
      <c r="D1067" s="162">
        <f t="shared" ref="D1067:AE1067" si="2503">D755/(D$889)*D$1</f>
        <v>2.8375507959440879E-2</v>
      </c>
      <c r="E1067" s="162">
        <f t="shared" si="2503"/>
        <v>2.7644128976504569E-2</v>
      </c>
      <c r="F1067" s="162">
        <f t="shared" si="2503"/>
        <v>2.8172586286806633E-2</v>
      </c>
      <c r="G1067" s="162">
        <f t="shared" si="2503"/>
        <v>2.8769806579457054E-2</v>
      </c>
      <c r="H1067" s="162">
        <f t="shared" si="2503"/>
        <v>2.8816832454082859E-2</v>
      </c>
      <c r="I1067" s="162">
        <f t="shared" si="2503"/>
        <v>2.8467425662576599E-2</v>
      </c>
      <c r="J1067" s="162">
        <f t="shared" si="2503"/>
        <v>2.8104979749729267E-2</v>
      </c>
      <c r="K1067" s="162">
        <f t="shared" si="2503"/>
        <v>2.8768720236064561E-2</v>
      </c>
      <c r="L1067" s="162">
        <f t="shared" si="2503"/>
        <v>2.8956404702187681E-2</v>
      </c>
      <c r="M1067" s="162">
        <f t="shared" si="2503"/>
        <v>2.8679715218490123E-2</v>
      </c>
      <c r="N1067" s="162">
        <f t="shared" si="2503"/>
        <v>2.9143326681054238E-2</v>
      </c>
      <c r="O1067" s="162">
        <f t="shared" si="2503"/>
        <v>2.9211667653803959E-2</v>
      </c>
      <c r="P1067" s="162">
        <f t="shared" si="2503"/>
        <v>2.9181846620732348E-2</v>
      </c>
      <c r="Q1067" s="162">
        <f t="shared" si="2503"/>
        <v>2.9530509195642873E-2</v>
      </c>
      <c r="R1067" s="162">
        <f t="shared" si="2503"/>
        <v>2.9440562653397426E-2</v>
      </c>
      <c r="S1067" s="162">
        <f t="shared" si="2503"/>
        <v>2.9236611673716727E-2</v>
      </c>
      <c r="T1067" s="162">
        <f t="shared" si="2503"/>
        <v>2.920295978144679E-2</v>
      </c>
      <c r="U1067" s="162">
        <f t="shared" si="2503"/>
        <v>2.8618165873362824E-2</v>
      </c>
      <c r="V1067" s="162">
        <f t="shared" si="2503"/>
        <v>2.8628149989273478E-2</v>
      </c>
      <c r="W1067" s="162">
        <f t="shared" si="2503"/>
        <v>2.793085814934675E-2</v>
      </c>
      <c r="X1067" s="162">
        <f t="shared" si="2503"/>
        <v>2.7646348108086229E-2</v>
      </c>
      <c r="Y1067" s="162">
        <f t="shared" ref="Y1067:Z1067" si="2504">Y755/(Y$889)*Y$1</f>
        <v>2.7453574941977331E-2</v>
      </c>
      <c r="Z1067" s="162">
        <f t="shared" si="2504"/>
        <v>2.741623582479381E-2</v>
      </c>
      <c r="AA1067" s="162">
        <f t="shared" ref="AA1067:AB1067" si="2505">AA755/(AA$889)*AA$1</f>
        <v>2.6507258784208485E-2</v>
      </c>
      <c r="AB1067" s="162">
        <f t="shared" si="2505"/>
        <v>2.6366897936521527E-2</v>
      </c>
      <c r="AC1067" s="162">
        <f t="shared" si="2503"/>
        <v>2.6504270143807476E-2</v>
      </c>
      <c r="AD1067" s="162">
        <f t="shared" si="2503"/>
        <v>2.6976647531188856E-2</v>
      </c>
      <c r="AE1067" s="162">
        <f t="shared" si="2503"/>
        <v>2.7505173411769803E-2</v>
      </c>
      <c r="AF1067" s="162">
        <f t="shared" ref="AF1067:AI1067" si="2506">AF755/(AF$889)*AF$1</f>
        <v>2.76137605636942E-2</v>
      </c>
      <c r="AG1067" s="162">
        <f t="shared" si="2506"/>
        <v>2.7878678964346846E-2</v>
      </c>
      <c r="AH1067" s="162">
        <f t="shared" si="2506"/>
        <v>2.8370106514149743E-2</v>
      </c>
      <c r="AI1067" s="162">
        <f t="shared" si="2506"/>
        <v>2.883686139312585E-2</v>
      </c>
      <c r="AJ1067" s="162"/>
      <c r="AK1067" s="162"/>
      <c r="AL1067" s="162"/>
      <c r="AM1067" s="162"/>
      <c r="AN1067" s="162"/>
      <c r="AO1067" s="162"/>
      <c r="AP1067" s="162"/>
      <c r="AQ1067" s="162"/>
      <c r="AR1067" s="70"/>
      <c r="AS1067" s="65" t="s">
        <v>516</v>
      </c>
      <c r="AT1067" s="59"/>
      <c r="AU1067" s="162">
        <f t="shared" ref="AU1067:BD1067" si="2507">AU755/(AU$889)*AU$1</f>
        <v>2.8240126984524692E-2</v>
      </c>
      <c r="AV1067" s="162">
        <f t="shared" si="2507"/>
        <v>2.8539239871454593E-2</v>
      </c>
      <c r="AW1067" s="162">
        <f t="shared" si="2507"/>
        <v>2.8997853267812578E-2</v>
      </c>
      <c r="AX1067" s="162">
        <f t="shared" si="2507"/>
        <v>2.934548983721548E-2</v>
      </c>
      <c r="AY1067" s="162">
        <f>AY755/(AY$889)*AY$1</f>
        <v>2.8590624640675959E-2</v>
      </c>
      <c r="AZ1067" s="162">
        <f t="shared" si="2507"/>
        <v>2.725057887366826E-2</v>
      </c>
      <c r="BA1067" s="162">
        <f t="shared" si="2507"/>
        <v>2.6845353044412511E-2</v>
      </c>
      <c r="BB1067" s="162">
        <f t="shared" ref="BB1067" si="2508">BB755/(BB$889)*BB$1</f>
        <v>2.8186531909965604E-2</v>
      </c>
      <c r="BC1067" s="162">
        <f t="shared" si="2507"/>
        <v>2.9211172906330306E-2</v>
      </c>
      <c r="BD1067" s="162">
        <f t="shared" si="2507"/>
        <v>2.9903763252624723E-2</v>
      </c>
      <c r="BE1067" s="162">
        <f t="shared" ref="BE1067" si="2509">BE755/(BE$889)*BE$1</f>
        <v>3.0491246511116343E-2</v>
      </c>
      <c r="BM1067"/>
      <c r="BN1067"/>
      <c r="BO1067"/>
      <c r="BP1067"/>
      <c r="BQ1067"/>
      <c r="BR1067"/>
    </row>
    <row r="1068" spans="1:70" x14ac:dyDescent="0.2">
      <c r="B1068" s="35"/>
      <c r="C1068" s="35"/>
      <c r="D1068" s="67"/>
      <c r="Y1068" s="1215"/>
      <c r="Z1068" s="846"/>
      <c r="AA1068" s="846"/>
      <c r="AB1068" s="846"/>
      <c r="AC1068" s="67"/>
      <c r="AD1068" s="67"/>
      <c r="AE1068" s="67"/>
      <c r="AF1068" s="67"/>
      <c r="AG1068" s="67"/>
      <c r="AH1068" s="67"/>
      <c r="AI1068" s="67"/>
      <c r="AJ1068" s="67"/>
      <c r="AK1068" s="67"/>
      <c r="AL1068" s="67"/>
      <c r="AM1068" s="67"/>
      <c r="AN1068" s="67"/>
      <c r="AO1068" s="67"/>
      <c r="AP1068" s="67"/>
      <c r="AQ1068" s="67"/>
      <c r="AS1068" s="35"/>
      <c r="AT1068" s="35"/>
      <c r="AV1068" s="9"/>
      <c r="AW1068" s="9"/>
      <c r="AX1068" s="9"/>
      <c r="AY1068" s="9"/>
      <c r="AZ1068" s="9"/>
      <c r="BA1068" s="9"/>
      <c r="BB1068" s="1707"/>
      <c r="BC1068" s="9"/>
      <c r="BD1068" s="1704"/>
      <c r="BE1068" s="1702"/>
    </row>
    <row r="1069" spans="1:70" s="160" customFormat="1" x14ac:dyDescent="0.2">
      <c r="A1069" s="829"/>
      <c r="B1069" s="65" t="s">
        <v>1148</v>
      </c>
      <c r="C1069" s="65"/>
      <c r="D1069" s="1122"/>
      <c r="E1069" s="59"/>
      <c r="F1069" s="59"/>
      <c r="G1069" s="59"/>
      <c r="H1069" s="59"/>
      <c r="I1069" s="59"/>
      <c r="J1069" s="59"/>
      <c r="K1069" s="59"/>
      <c r="L1069" s="59"/>
      <c r="M1069" s="59"/>
      <c r="N1069" s="59"/>
      <c r="O1069" s="59"/>
      <c r="P1069" s="59"/>
      <c r="Q1069" s="59"/>
      <c r="R1069" s="59"/>
      <c r="S1069" s="59"/>
      <c r="T1069" s="174">
        <f t="shared" ref="T1069:AE1069" si="2510">T41</f>
        <v>11346</v>
      </c>
      <c r="U1069" s="174">
        <f t="shared" si="2510"/>
        <v>11351</v>
      </c>
      <c r="V1069" s="174">
        <f t="shared" si="2510"/>
        <v>11593</v>
      </c>
      <c r="W1069" s="174">
        <f t="shared" si="2510"/>
        <v>11275</v>
      </c>
      <c r="X1069" s="174">
        <f t="shared" si="2510"/>
        <v>11078</v>
      </c>
      <c r="Y1069" s="174">
        <f t="shared" ref="Y1069:Z1069" si="2511">Y41</f>
        <v>11380</v>
      </c>
      <c r="Z1069" s="174">
        <f t="shared" si="2511"/>
        <v>11658</v>
      </c>
      <c r="AA1069" s="174">
        <f t="shared" ref="AA1069:AB1069" si="2512">AA41</f>
        <v>11441</v>
      </c>
      <c r="AB1069" s="174">
        <f t="shared" si="2512"/>
        <v>11236</v>
      </c>
      <c r="AC1069" s="174">
        <f t="shared" si="2510"/>
        <v>11466.590789838856</v>
      </c>
      <c r="AD1069" s="174">
        <f t="shared" si="2510"/>
        <v>11853.038702033275</v>
      </c>
      <c r="AE1069" s="174">
        <f t="shared" si="2510"/>
        <v>12158.20080100847</v>
      </c>
      <c r="AF1069" s="174">
        <f t="shared" ref="AF1069:AI1069" si="2513">AF41</f>
        <v>12014.964534956456</v>
      </c>
      <c r="AG1069" s="174">
        <f t="shared" si="2513"/>
        <v>12359.694025665238</v>
      </c>
      <c r="AH1069" s="174">
        <f t="shared" si="2513"/>
        <v>12845.881714910509</v>
      </c>
      <c r="AI1069" s="174">
        <f t="shared" si="2513"/>
        <v>13210.868164188989</v>
      </c>
      <c r="AJ1069" s="174"/>
      <c r="AK1069" s="174"/>
      <c r="AL1069" s="174"/>
      <c r="AM1069" s="174"/>
      <c r="AN1069" s="174"/>
      <c r="AO1069" s="174"/>
      <c r="AP1069" s="174"/>
      <c r="AQ1069" s="174"/>
      <c r="AS1069" s="65" t="s">
        <v>1148</v>
      </c>
      <c r="AT1069" s="65"/>
      <c r="AU1069" s="1122"/>
      <c r="AV1069" s="59"/>
      <c r="AW1069" s="59"/>
      <c r="AX1069" s="59"/>
      <c r="AY1069" s="233">
        <f>SUM(T1069:W1069)</f>
        <v>45565</v>
      </c>
      <c r="AZ1069" s="233">
        <f>SUM(X1069:AA1069)</f>
        <v>45557</v>
      </c>
      <c r="BA1069" s="233">
        <f>SUM(AB1069:AE1069)</f>
        <v>46713.830292880593</v>
      </c>
      <c r="BB1069" s="233">
        <f>SUM(AF1069:AI1069)</f>
        <v>50431.408439721185</v>
      </c>
      <c r="BC1069" s="174">
        <f>BC41</f>
        <v>53668.280013172516</v>
      </c>
      <c r="BD1069" s="174">
        <f>BD41</f>
        <v>56806.723198482418</v>
      </c>
      <c r="BE1069" s="174">
        <f>BE41</f>
        <v>59806.111927837759</v>
      </c>
      <c r="BF1069" s="233">
        <f>BA1069-AZ1069</f>
        <v>1156.8302928805933</v>
      </c>
      <c r="BG1069" s="233">
        <f t="shared" ref="BG1069:BH1073" si="2514">BB1069-BA1069</f>
        <v>3717.5781468405912</v>
      </c>
      <c r="BH1069" s="233">
        <f t="shared" si="2514"/>
        <v>3236.8715734513316</v>
      </c>
      <c r="BI1069" s="233">
        <f t="shared" ref="BI1069:BI1073" si="2515">BD1069-BC1069</f>
        <v>3138.4431853099013</v>
      </c>
      <c r="BJ1069" s="233">
        <f t="shared" ref="BJ1069:BJ1073" si="2516">BE1069-BD1069</f>
        <v>2999.3887293553416</v>
      </c>
      <c r="BM1069"/>
      <c r="BN1069"/>
      <c r="BO1069"/>
      <c r="BP1069"/>
      <c r="BQ1069"/>
      <c r="BR1069"/>
    </row>
    <row r="1070" spans="1:70" x14ac:dyDescent="0.2">
      <c r="B1070" s="35"/>
      <c r="C1070" s="1125" t="s">
        <v>1149</v>
      </c>
      <c r="D1070" s="67"/>
      <c r="E1070" s="1097"/>
      <c r="F1070" s="1097"/>
      <c r="G1070" s="1097"/>
      <c r="H1070" s="1097"/>
      <c r="I1070" s="1097"/>
      <c r="J1070" s="1097"/>
      <c r="K1070" s="1097"/>
      <c r="L1070" s="1097"/>
      <c r="M1070" s="1097"/>
      <c r="N1070" s="1097"/>
      <c r="O1070" s="1097"/>
      <c r="P1070" s="1097"/>
      <c r="Q1070" s="1097"/>
      <c r="R1070" s="1097"/>
      <c r="S1070" s="1097"/>
      <c r="T1070" s="1120">
        <v>9450</v>
      </c>
      <c r="U1070" s="1120">
        <v>9420</v>
      </c>
      <c r="V1070" s="1120">
        <v>9950</v>
      </c>
      <c r="W1070" s="1120">
        <v>9930</v>
      </c>
      <c r="X1070" s="1120">
        <v>9930</v>
      </c>
      <c r="Y1070" s="1120">
        <v>10150</v>
      </c>
      <c r="Z1070" s="1120">
        <v>10490</v>
      </c>
      <c r="AA1070" s="1120">
        <v>10610</v>
      </c>
      <c r="AB1070" s="1120">
        <v>10680</v>
      </c>
      <c r="AC1070" s="232">
        <f t="shared" ref="AC1070:AE1070" si="2517">AC1069-AC1071-AC1072-AC1073</f>
        <v>10774.379868195021</v>
      </c>
      <c r="AD1070" s="232">
        <f t="shared" si="2517"/>
        <v>11106.090224830536</v>
      </c>
      <c r="AE1070" s="232">
        <f t="shared" si="2517"/>
        <v>11318.337653225841</v>
      </c>
      <c r="AF1070" s="232">
        <f t="shared" ref="AF1070:AI1070" si="2518">AF1069-AF1071-AF1072-AF1073</f>
        <v>11188.25958241075</v>
      </c>
      <c r="AG1070" s="232">
        <f t="shared" si="2518"/>
        <v>11517.350718122001</v>
      </c>
      <c r="AH1070" s="232">
        <f t="shared" si="2518"/>
        <v>11985.568580514739</v>
      </c>
      <c r="AI1070" s="232">
        <f t="shared" si="2518"/>
        <v>12340.431913524671</v>
      </c>
      <c r="AJ1070" s="232"/>
      <c r="AK1070" s="232"/>
      <c r="AL1070" s="232"/>
      <c r="AM1070" s="232"/>
      <c r="AN1070" s="232"/>
      <c r="AO1070" s="232"/>
      <c r="AP1070" s="232"/>
      <c r="AQ1070" s="232"/>
      <c r="AS1070" s="35"/>
      <c r="AT1070" s="1125" t="s">
        <v>1149</v>
      </c>
      <c r="AU1070" s="67"/>
      <c r="AV1070" s="1097"/>
      <c r="AW1070" s="1097"/>
      <c r="AX1070" s="1097"/>
      <c r="AY1070" s="232">
        <f>SUM(T1070:W1070)</f>
        <v>38750</v>
      </c>
      <c r="AZ1070" s="232">
        <f>SUM(X1070:AA1070)</f>
        <v>41180</v>
      </c>
      <c r="BA1070" s="232">
        <f>SUM(AB1070:AE1070)</f>
        <v>43878.807746251397</v>
      </c>
      <c r="BB1070" s="232">
        <f>SUM(AF1070:AI1070)</f>
        <v>47031.61079457216</v>
      </c>
      <c r="BC1070" s="232">
        <f t="shared" ref="BC1070:BD1070" si="2519">BC1069-BC1071-BC1072-BC1073</f>
        <v>50177.501592463159</v>
      </c>
      <c r="BD1070" s="232">
        <f t="shared" si="2519"/>
        <v>53197.385699208207</v>
      </c>
      <c r="BE1070" s="232">
        <f t="shared" ref="BE1070" si="2520">BE1069-BE1071-BE1072-BE1073</f>
        <v>56079.415722700178</v>
      </c>
      <c r="BF1070" s="233">
        <f t="shared" ref="BF1070:BF1073" si="2521">BA1070-AZ1070</f>
        <v>2698.8077462513975</v>
      </c>
      <c r="BG1070" s="233">
        <f t="shared" si="2514"/>
        <v>3152.8030483207622</v>
      </c>
      <c r="BH1070" s="233">
        <f t="shared" si="2514"/>
        <v>3145.8907978909992</v>
      </c>
      <c r="BI1070" s="233">
        <f t="shared" si="2515"/>
        <v>3019.8841067450485</v>
      </c>
      <c r="BJ1070" s="233">
        <f t="shared" si="2516"/>
        <v>2882.0300234919705</v>
      </c>
    </row>
    <row r="1071" spans="1:70" x14ac:dyDescent="0.2">
      <c r="B1071" s="35"/>
      <c r="C1071" s="1125" t="s">
        <v>1150</v>
      </c>
      <c r="D1071" s="67"/>
      <c r="E1071" s="1097"/>
      <c r="F1071" s="1097"/>
      <c r="G1071" s="1097"/>
      <c r="H1071" s="1097"/>
      <c r="I1071" s="1097"/>
      <c r="J1071" s="1097"/>
      <c r="K1071" s="1097"/>
      <c r="L1071" s="1097"/>
      <c r="M1071" s="1097"/>
      <c r="N1071" s="1097"/>
      <c r="O1071" s="1097"/>
      <c r="P1071" s="1097"/>
      <c r="Q1071" s="1097"/>
      <c r="R1071" s="1097"/>
      <c r="S1071" s="1097"/>
      <c r="T1071" s="1120">
        <v>1230</v>
      </c>
      <c r="U1071" s="1120">
        <v>1270</v>
      </c>
      <c r="V1071" s="1120">
        <v>1120</v>
      </c>
      <c r="W1071" s="1120">
        <v>940</v>
      </c>
      <c r="X1071" s="1120">
        <v>740</v>
      </c>
      <c r="Y1071" s="1120">
        <v>900</v>
      </c>
      <c r="Z1071" s="1120">
        <v>740</v>
      </c>
      <c r="AA1071" s="1120">
        <v>500</v>
      </c>
      <c r="AB1071" s="1120">
        <v>260</v>
      </c>
      <c r="AC1071" s="846">
        <f t="shared" ref="AC1071:AE1073" si="2522">AC$1081*AC1077/AC$1</f>
        <v>432.63182602739727</v>
      </c>
      <c r="AD1071" s="846">
        <f t="shared" si="2522"/>
        <v>527.2577486136986</v>
      </c>
      <c r="AE1071" s="846">
        <f t="shared" si="2522"/>
        <v>663.04985351260279</v>
      </c>
      <c r="AF1071" s="846">
        <f t="shared" ref="AF1071:AI1071" si="2523">AF$1081*AF1077/AF$1</f>
        <v>652.66180464134584</v>
      </c>
      <c r="AG1071" s="846">
        <f t="shared" si="2523"/>
        <v>665.00787437623876</v>
      </c>
      <c r="AH1071" s="846">
        <f t="shared" si="2523"/>
        <v>679.19457978613275</v>
      </c>
      <c r="AI1071" s="846">
        <f t="shared" si="2523"/>
        <v>687.18651368235624</v>
      </c>
      <c r="AJ1071" s="846"/>
      <c r="AK1071" s="846"/>
      <c r="AL1071" s="846"/>
      <c r="AM1071" s="846"/>
      <c r="AN1071" s="846"/>
      <c r="AO1071" s="846"/>
      <c r="AP1071" s="846"/>
      <c r="AQ1071" s="846"/>
      <c r="AS1071" s="35"/>
      <c r="AT1071" s="1125" t="s">
        <v>1150</v>
      </c>
      <c r="AU1071" s="67"/>
      <c r="AV1071" s="1097"/>
      <c r="AW1071" s="1097"/>
      <c r="AX1071" s="1097"/>
      <c r="AY1071" s="232">
        <f t="shared" ref="AY1071:AY1073" si="2524">SUM(T1071:W1071)</f>
        <v>4560</v>
      </c>
      <c r="AZ1071" s="232">
        <f t="shared" ref="AZ1071:AZ1073" si="2525">SUM(X1071:AA1071)</f>
        <v>2880</v>
      </c>
      <c r="BA1071" s="232">
        <f t="shared" ref="BA1071:BA1073" si="2526">SUM(AB1071:AE1071)</f>
        <v>1882.9394281536986</v>
      </c>
      <c r="BB1071" s="232">
        <f>SUM(AF1071:AI1071)</f>
        <v>2684.0507724860736</v>
      </c>
      <c r="BC1071" s="846">
        <f t="shared" ref="BC1071:BD1073" si="2527">BC$1081*BC1077/BC$1</f>
        <v>2755.8777005600218</v>
      </c>
      <c r="BD1071" s="846">
        <f t="shared" si="2527"/>
        <v>2849.4769731112201</v>
      </c>
      <c r="BE1071" s="846">
        <f t="shared" ref="BE1071" si="2528">BE$1081*BE1077/BE$1</f>
        <v>2942.1285830033526</v>
      </c>
      <c r="BF1071" s="233">
        <f t="shared" si="2521"/>
        <v>-997.0605718463014</v>
      </c>
      <c r="BG1071" s="233">
        <f t="shared" si="2514"/>
        <v>801.11134433237498</v>
      </c>
      <c r="BH1071" s="233">
        <f t="shared" si="2514"/>
        <v>71.826928073948238</v>
      </c>
      <c r="BI1071" s="233">
        <f t="shared" si="2515"/>
        <v>93.599272551198283</v>
      </c>
      <c r="BJ1071" s="233">
        <f t="shared" si="2516"/>
        <v>92.651609892132456</v>
      </c>
    </row>
    <row r="1072" spans="1:70" x14ac:dyDescent="0.2">
      <c r="B1072" s="35"/>
      <c r="C1072" s="1125" t="s">
        <v>1151</v>
      </c>
      <c r="D1072" s="67"/>
      <c r="E1072" s="1097"/>
      <c r="F1072" s="1097"/>
      <c r="G1072" s="1097"/>
      <c r="H1072" s="1097"/>
      <c r="I1072" s="1097"/>
      <c r="J1072" s="1097"/>
      <c r="K1072" s="1097"/>
      <c r="L1072" s="1097"/>
      <c r="M1072" s="1097"/>
      <c r="N1072" s="1097"/>
      <c r="O1072" s="1097"/>
      <c r="P1072" s="1097"/>
      <c r="Q1072" s="1097"/>
      <c r="R1072" s="1097"/>
      <c r="S1072" s="1097"/>
      <c r="T1072" s="1120">
        <v>620</v>
      </c>
      <c r="U1072" s="1120">
        <v>560</v>
      </c>
      <c r="V1072" s="1120">
        <v>480</v>
      </c>
      <c r="W1072" s="1120">
        <v>410</v>
      </c>
      <c r="X1072" s="1120">
        <v>410</v>
      </c>
      <c r="Y1072" s="1120">
        <v>290</v>
      </c>
      <c r="Z1072" s="1120">
        <v>310</v>
      </c>
      <c r="AA1072" s="1120">
        <v>280</v>
      </c>
      <c r="AB1072" s="1120">
        <v>260</v>
      </c>
      <c r="AC1072" s="846">
        <f t="shared" si="2522"/>
        <v>216.31591301369863</v>
      </c>
      <c r="AD1072" s="846">
        <f t="shared" si="2522"/>
        <v>175.7525828712329</v>
      </c>
      <c r="AE1072" s="846">
        <f t="shared" si="2522"/>
        <v>132.60997070252054</v>
      </c>
      <c r="AF1072" s="846">
        <f t="shared" ref="AF1072:AI1072" si="2529">AF$1081*AF1078/AF$1</f>
        <v>130.53236092826918</v>
      </c>
      <c r="AG1072" s="846">
        <f t="shared" si="2529"/>
        <v>133.00157487524774</v>
      </c>
      <c r="AH1072" s="846">
        <f t="shared" si="2529"/>
        <v>135.83891595722653</v>
      </c>
      <c r="AI1072" s="846">
        <f t="shared" si="2529"/>
        <v>137.4373027364712</v>
      </c>
      <c r="AJ1072" s="846"/>
      <c r="AK1072" s="846"/>
      <c r="AL1072" s="846"/>
      <c r="AM1072" s="846"/>
      <c r="AN1072" s="846"/>
      <c r="AO1072" s="846"/>
      <c r="AP1072" s="846"/>
      <c r="AQ1072" s="846"/>
      <c r="AS1072" s="35"/>
      <c r="AT1072" s="1125" t="s">
        <v>1151</v>
      </c>
      <c r="AU1072" s="67"/>
      <c r="AV1072" s="1097"/>
      <c r="AW1072" s="1097"/>
      <c r="AX1072" s="1097"/>
      <c r="AY1072" s="232">
        <f t="shared" si="2524"/>
        <v>2070</v>
      </c>
      <c r="AZ1072" s="232">
        <f t="shared" si="2525"/>
        <v>1290</v>
      </c>
      <c r="BA1072" s="232">
        <f t="shared" si="2526"/>
        <v>784.67846658745202</v>
      </c>
      <c r="BB1072" s="232">
        <f>SUM(AF1072:AI1072)</f>
        <v>536.81015449721463</v>
      </c>
      <c r="BC1072" s="846">
        <f t="shared" si="2527"/>
        <v>551.17554011200434</v>
      </c>
      <c r="BD1072" s="846">
        <f t="shared" si="2527"/>
        <v>569.89539462224388</v>
      </c>
      <c r="BE1072" s="846">
        <f t="shared" ref="BE1072" si="2530">BE$1081*BE1078/BE$1</f>
        <v>588.4257166006704</v>
      </c>
      <c r="BF1072" s="233">
        <f t="shared" si="2521"/>
        <v>-505.32153341254798</v>
      </c>
      <c r="BG1072" s="233">
        <f t="shared" si="2514"/>
        <v>-247.8683120902374</v>
      </c>
      <c r="BH1072" s="233">
        <f t="shared" si="2514"/>
        <v>14.365385614789716</v>
      </c>
      <c r="BI1072" s="233">
        <f t="shared" si="2515"/>
        <v>18.719854510239543</v>
      </c>
      <c r="BJ1072" s="233">
        <f t="shared" si="2516"/>
        <v>18.530321978426514</v>
      </c>
    </row>
    <row r="1073" spans="1:70" x14ac:dyDescent="0.2">
      <c r="B1073" s="35"/>
      <c r="C1073" s="1125" t="s">
        <v>1152</v>
      </c>
      <c r="D1073" s="67"/>
      <c r="E1073" s="1097"/>
      <c r="F1073" s="1097"/>
      <c r="G1073" s="1097"/>
      <c r="H1073" s="1097"/>
      <c r="I1073" s="1097"/>
      <c r="J1073" s="1097"/>
      <c r="K1073" s="1097"/>
      <c r="L1073" s="1097"/>
      <c r="M1073" s="1097"/>
      <c r="N1073" s="1097"/>
      <c r="O1073" s="1097"/>
      <c r="P1073" s="1097"/>
      <c r="Q1073" s="1097"/>
      <c r="R1073" s="1097"/>
      <c r="S1073" s="1097"/>
      <c r="T1073" s="1121">
        <f>T1069-T1070-T1071-T1072</f>
        <v>46</v>
      </c>
      <c r="U1073" s="1121">
        <f t="shared" ref="U1073:X1073" si="2531">U1069-U1070-U1071-U1072</f>
        <v>101</v>
      </c>
      <c r="V1073" s="1121">
        <f t="shared" si="2531"/>
        <v>43</v>
      </c>
      <c r="W1073" s="1121">
        <f t="shared" si="2531"/>
        <v>-5</v>
      </c>
      <c r="X1073" s="1121">
        <f t="shared" si="2531"/>
        <v>-2</v>
      </c>
      <c r="Y1073" s="1121">
        <f t="shared" ref="Y1073" si="2532">Y1069-Y1070-Y1071-Y1072</f>
        <v>40</v>
      </c>
      <c r="Z1073" s="1121">
        <f t="shared" ref="Z1073:AA1073" si="2533">Z1069-Z1070-Z1071-Z1072</f>
        <v>118</v>
      </c>
      <c r="AA1073" s="1121">
        <f t="shared" si="2533"/>
        <v>51</v>
      </c>
      <c r="AB1073" s="1121">
        <f t="shared" ref="AB1073" si="2534">AB1069-AB1070-AB1071-AB1072</f>
        <v>36</v>
      </c>
      <c r="AC1073" s="846">
        <f t="shared" si="2522"/>
        <v>43.263182602739732</v>
      </c>
      <c r="AD1073" s="846">
        <f t="shared" si="2522"/>
        <v>43.938145717808226</v>
      </c>
      <c r="AE1073" s="846">
        <f t="shared" si="2522"/>
        <v>44.203323567506857</v>
      </c>
      <c r="AF1073" s="846">
        <f t="shared" ref="AF1073:AI1073" si="2535">AF$1081*AF1079/AF$1</f>
        <v>43.510786976089726</v>
      </c>
      <c r="AG1073" s="846">
        <f t="shared" si="2535"/>
        <v>44.333858291749259</v>
      </c>
      <c r="AH1073" s="846">
        <f t="shared" si="2535"/>
        <v>45.279638652408849</v>
      </c>
      <c r="AI1073" s="846">
        <f t="shared" si="2535"/>
        <v>45.812434245490408</v>
      </c>
      <c r="AJ1073" s="846"/>
      <c r="AK1073" s="846"/>
      <c r="AL1073" s="846"/>
      <c r="AM1073" s="846"/>
      <c r="AN1073" s="846"/>
      <c r="AO1073" s="846"/>
      <c r="AP1073" s="846"/>
      <c r="AQ1073" s="846"/>
      <c r="AS1073" s="35"/>
      <c r="AT1073" s="1125" t="s">
        <v>1152</v>
      </c>
      <c r="AU1073" s="67"/>
      <c r="AV1073" s="1097"/>
      <c r="AW1073" s="1097"/>
      <c r="AX1073" s="1097"/>
      <c r="AY1073" s="232">
        <f t="shared" si="2524"/>
        <v>185</v>
      </c>
      <c r="AZ1073" s="232">
        <f t="shared" si="2525"/>
        <v>207</v>
      </c>
      <c r="BA1073" s="232">
        <f t="shared" si="2526"/>
        <v>167.40465188805481</v>
      </c>
      <c r="BB1073" s="232">
        <f>SUM(AF1073:AI1073)</f>
        <v>178.93671816573823</v>
      </c>
      <c r="BC1073" s="846">
        <f t="shared" si="2527"/>
        <v>183.72518003733481</v>
      </c>
      <c r="BD1073" s="846">
        <f t="shared" si="2527"/>
        <v>189.96513154074799</v>
      </c>
      <c r="BE1073" s="846">
        <f t="shared" ref="BE1073" si="2536">BE$1081*BE1079/BE$1</f>
        <v>196.14190553355684</v>
      </c>
      <c r="BF1073" s="233">
        <f t="shared" si="2521"/>
        <v>-39.595348111945185</v>
      </c>
      <c r="BG1073" s="233">
        <f t="shared" si="2514"/>
        <v>11.532066277683413</v>
      </c>
      <c r="BH1073" s="233">
        <f t="shared" si="2514"/>
        <v>4.7884618715965814</v>
      </c>
      <c r="BI1073" s="233">
        <f t="shared" si="2515"/>
        <v>6.2399515034131809</v>
      </c>
      <c r="BJ1073" s="233">
        <f t="shared" si="2516"/>
        <v>6.1767739928088474</v>
      </c>
    </row>
    <row r="1074" spans="1:70" x14ac:dyDescent="0.2">
      <c r="B1074" s="35"/>
      <c r="C1074" s="35"/>
      <c r="D1074" s="67"/>
      <c r="E1074" s="1097"/>
      <c r="F1074" s="1097"/>
      <c r="G1074" s="1097"/>
      <c r="H1074" s="1097"/>
      <c r="I1074" s="1097"/>
      <c r="J1074" s="1097"/>
      <c r="K1074" s="1097"/>
      <c r="L1074" s="1097"/>
      <c r="M1074" s="1097"/>
      <c r="N1074" s="1097"/>
      <c r="O1074" s="1097"/>
      <c r="P1074" s="1097"/>
      <c r="Q1074" s="1097"/>
      <c r="R1074" s="1097"/>
      <c r="S1074" s="1097"/>
      <c r="T1074" s="1120"/>
      <c r="U1074" s="1120"/>
      <c r="V1074" s="1120"/>
      <c r="W1074" s="1120"/>
      <c r="X1074" s="1123"/>
      <c r="Y1074" s="1123"/>
      <c r="Z1074" s="1123"/>
      <c r="AA1074" s="1123"/>
      <c r="AB1074" s="1123"/>
      <c r="AC1074" s="67"/>
      <c r="AD1074" s="67"/>
      <c r="AE1074" s="67"/>
      <c r="AF1074" s="67"/>
      <c r="AG1074" s="67"/>
      <c r="AH1074" s="67"/>
      <c r="AI1074" s="67"/>
      <c r="AJ1074" s="67"/>
      <c r="AK1074" s="67"/>
      <c r="AL1074" s="67"/>
      <c r="AM1074" s="67"/>
      <c r="AN1074" s="67"/>
      <c r="AO1074" s="67"/>
      <c r="AP1074" s="67"/>
      <c r="AQ1074" s="67"/>
      <c r="AS1074" s="35"/>
      <c r="AT1074" s="35"/>
      <c r="AU1074" s="67"/>
      <c r="AV1074" s="1097"/>
      <c r="AW1074" s="1097"/>
      <c r="AX1074" s="1097"/>
      <c r="AY1074" s="1097"/>
      <c r="AZ1074" s="1085"/>
      <c r="BA1074" s="1085"/>
      <c r="BB1074" s="1085"/>
      <c r="BC1074" s="1097"/>
      <c r="BD1074" s="1704"/>
      <c r="BE1074" s="1702"/>
    </row>
    <row r="1075" spans="1:70" s="160" customFormat="1" x14ac:dyDescent="0.2">
      <c r="A1075" s="829"/>
      <c r="B1075" s="65" t="s">
        <v>1154</v>
      </c>
      <c r="C1075" s="65"/>
      <c r="D1075" s="1122"/>
      <c r="E1075" s="59"/>
      <c r="F1075" s="59"/>
      <c r="G1075" s="59"/>
      <c r="H1075" s="59"/>
      <c r="I1075" s="59"/>
      <c r="J1075" s="59"/>
      <c r="K1075" s="59"/>
      <c r="L1075" s="59"/>
      <c r="M1075" s="59"/>
      <c r="N1075" s="59"/>
      <c r="O1075" s="59"/>
      <c r="P1075" s="59"/>
      <c r="Q1075" s="59"/>
      <c r="R1075" s="59"/>
      <c r="S1075" s="59"/>
      <c r="T1075" s="1139">
        <f t="shared" ref="T1075:AE1075" si="2537">T1069/T$1081*T$1</f>
        <v>2.920295978144679E-2</v>
      </c>
      <c r="U1075" s="1139">
        <f t="shared" si="2537"/>
        <v>2.8618165873362824E-2</v>
      </c>
      <c r="V1075" s="1139">
        <f t="shared" si="2537"/>
        <v>2.8628149989273478E-2</v>
      </c>
      <c r="W1075" s="1139">
        <f t="shared" si="2537"/>
        <v>2.793085814934675E-2</v>
      </c>
      <c r="X1075" s="1139">
        <f t="shared" si="2537"/>
        <v>2.7646348108086229E-2</v>
      </c>
      <c r="Y1075" s="1139">
        <f t="shared" ref="Y1075:Z1075" si="2538">Y1069/Y$1081*Y$1</f>
        <v>2.7453574941977331E-2</v>
      </c>
      <c r="Z1075" s="1139">
        <f t="shared" si="2538"/>
        <v>2.741623582479381E-2</v>
      </c>
      <c r="AA1075" s="1139">
        <f t="shared" ref="AA1075:AB1075" si="2539">AA1069/AA$1081*AA$1</f>
        <v>2.6507258784208485E-2</v>
      </c>
      <c r="AB1075" s="1139">
        <f t="shared" si="2539"/>
        <v>2.6366897936521527E-2</v>
      </c>
      <c r="AC1075" s="1139">
        <f t="shared" si="2537"/>
        <v>2.6504270143807476E-2</v>
      </c>
      <c r="AD1075" s="1139">
        <f t="shared" si="2537"/>
        <v>2.6976647531188856E-2</v>
      </c>
      <c r="AE1075" s="1139">
        <f t="shared" si="2537"/>
        <v>2.7505173411769803E-2</v>
      </c>
      <c r="AF1075" s="1139">
        <f t="shared" ref="AF1075:AI1075" si="2540">AF1069/AF$1081*AF$1</f>
        <v>2.76137605636942E-2</v>
      </c>
      <c r="AG1075" s="1139">
        <f t="shared" si="2540"/>
        <v>2.7878678964346846E-2</v>
      </c>
      <c r="AH1075" s="1139">
        <f t="shared" si="2540"/>
        <v>2.8370106514149743E-2</v>
      </c>
      <c r="AI1075" s="1139">
        <f t="shared" si="2540"/>
        <v>2.883686139312585E-2</v>
      </c>
      <c r="AJ1075" s="1139"/>
      <c r="AK1075" s="1139"/>
      <c r="AL1075" s="1139"/>
      <c r="AM1075" s="1139"/>
      <c r="AN1075" s="1139"/>
      <c r="AO1075" s="1139"/>
      <c r="AP1075" s="1139"/>
      <c r="AQ1075" s="1139"/>
      <c r="AS1075" s="65" t="s">
        <v>1154</v>
      </c>
      <c r="AT1075" s="65"/>
      <c r="AU1075" s="1139"/>
      <c r="AV1075" s="1139"/>
      <c r="AW1075" s="1139"/>
      <c r="AX1075" s="1139"/>
      <c r="AY1075" s="1139">
        <f t="shared" ref="AY1075:BD1076" si="2541">AY1069/AY$1081*AY$1</f>
        <v>2.8590624640675959E-2</v>
      </c>
      <c r="AZ1075" s="1139">
        <f t="shared" si="2541"/>
        <v>2.725057887366826E-2</v>
      </c>
      <c r="BA1075" s="1139">
        <f t="shared" si="2541"/>
        <v>2.6845353044412511E-2</v>
      </c>
      <c r="BB1075" s="1139">
        <f t="shared" ref="BB1075" si="2542">BB1069/BB$1081*BB$1</f>
        <v>2.8186531909965604E-2</v>
      </c>
      <c r="BC1075" s="1139">
        <f t="shared" si="2541"/>
        <v>2.9211172906330306E-2</v>
      </c>
      <c r="BD1075" s="1139">
        <f t="shared" si="2541"/>
        <v>2.9903763252624723E-2</v>
      </c>
      <c r="BE1075" s="1139">
        <f t="shared" ref="BE1075" si="2543">BE1069/BE$1081*BE$1</f>
        <v>3.0491246511116343E-2</v>
      </c>
      <c r="BM1075"/>
      <c r="BN1075"/>
      <c r="BO1075"/>
      <c r="BP1075"/>
      <c r="BQ1075"/>
      <c r="BR1075"/>
    </row>
    <row r="1076" spans="1:70" x14ac:dyDescent="0.2">
      <c r="B1076" s="35"/>
      <c r="C1076" s="1125" t="s">
        <v>1149</v>
      </c>
      <c r="D1076" s="67"/>
      <c r="E1076" s="1097"/>
      <c r="F1076" s="1097"/>
      <c r="G1076" s="1097"/>
      <c r="H1076" s="1097"/>
      <c r="I1076" s="1097"/>
      <c r="J1076" s="1097"/>
      <c r="K1076" s="1097"/>
      <c r="L1076" s="1097"/>
      <c r="M1076" s="1097"/>
      <c r="N1076" s="1097"/>
      <c r="O1076" s="1097"/>
      <c r="P1076" s="1097"/>
      <c r="Q1076" s="1097"/>
      <c r="R1076" s="1097"/>
      <c r="S1076" s="1097"/>
      <c r="T1076" s="1124">
        <f t="shared" ref="T1076:AE1076" si="2544">T1070/T$1081*T$1</f>
        <v>2.4322930542453037E-2</v>
      </c>
      <c r="U1076" s="1124">
        <f t="shared" si="2544"/>
        <v>2.3749724476000159E-2</v>
      </c>
      <c r="V1076" s="1124">
        <f t="shared" si="2544"/>
        <v>2.4570869696650663E-2</v>
      </c>
      <c r="W1076" s="1124">
        <f t="shared" si="2544"/>
        <v>2.4598973075211812E-2</v>
      </c>
      <c r="X1076" s="1124">
        <f t="shared" si="2544"/>
        <v>2.4781389845937554E-2</v>
      </c>
      <c r="Y1076" s="1124">
        <f t="shared" ref="Y1076:Z1076" si="2545">Y1070/Y$1081*Y$1</f>
        <v>2.4486272905190679E-2</v>
      </c>
      <c r="Z1076" s="1124">
        <f t="shared" si="2545"/>
        <v>2.4669438480192749E-2</v>
      </c>
      <c r="AA1076" s="1124">
        <f t="shared" ref="AA1076:AB1076" si="2546">AA1070/AA$1081*AA$1</f>
        <v>2.4581943510222186E-2</v>
      </c>
      <c r="AB1076" s="1124">
        <f t="shared" si="2546"/>
        <v>2.506216357796813E-2</v>
      </c>
      <c r="AC1076" s="1124">
        <f t="shared" si="2544"/>
        <v>2.4904270143807479E-2</v>
      </c>
      <c r="AD1076" s="1124">
        <f t="shared" si="2544"/>
        <v>2.527664753118886E-2</v>
      </c>
      <c r="AE1076" s="1124">
        <f t="shared" si="2544"/>
        <v>2.5605173411769808E-2</v>
      </c>
      <c r="AF1076" s="1124">
        <f t="shared" ref="AF1076:AI1076" si="2547">AF1070/AF$1081*AF$1</f>
        <v>2.5713760563694198E-2</v>
      </c>
      <c r="AG1076" s="1124">
        <f t="shared" si="2547"/>
        <v>2.5978678964346844E-2</v>
      </c>
      <c r="AH1076" s="1124">
        <f t="shared" si="2547"/>
        <v>2.647010651414974E-2</v>
      </c>
      <c r="AI1076" s="1124">
        <f t="shared" si="2547"/>
        <v>2.6936861393125847E-2</v>
      </c>
      <c r="AJ1076" s="1124"/>
      <c r="AK1076" s="1124"/>
      <c r="AL1076" s="1124"/>
      <c r="AM1076" s="1124"/>
      <c r="AN1076" s="1124"/>
      <c r="AO1076" s="1124"/>
      <c r="AP1076" s="1124"/>
      <c r="AQ1076" s="1124"/>
      <c r="AS1076" s="35"/>
      <c r="AT1076" s="1125" t="s">
        <v>1149</v>
      </c>
      <c r="AU1076" s="1124"/>
      <c r="AV1076" s="1124"/>
      <c r="AW1076" s="1124"/>
      <c r="AX1076" s="1124"/>
      <c r="AY1076" s="1124">
        <f t="shared" si="2541"/>
        <v>2.431442345717532E-2</v>
      </c>
      <c r="AZ1076" s="1124">
        <f t="shared" si="2541"/>
        <v>2.463241297753713E-2</v>
      </c>
      <c r="BA1076" s="1124">
        <f t="shared" si="2541"/>
        <v>2.5216131448239327E-2</v>
      </c>
      <c r="BB1076" s="1124">
        <f t="shared" ref="BB1076" si="2548">BB1070/BB$1081*BB$1</f>
        <v>2.6286356844917418E-2</v>
      </c>
      <c r="BC1076" s="1124">
        <f t="shared" si="2541"/>
        <v>2.7311172906330308E-2</v>
      </c>
      <c r="BD1076" s="1124">
        <f t="shared" si="2541"/>
        <v>2.8003763252624724E-2</v>
      </c>
      <c r="BE1076" s="1124">
        <f t="shared" ref="BE1076" si="2549">BE1070/BE$1081*BE$1</f>
        <v>2.8591246511116341E-2</v>
      </c>
    </row>
    <row r="1077" spans="1:70" x14ac:dyDescent="0.2">
      <c r="B1077" s="35"/>
      <c r="C1077" s="1125" t="s">
        <v>1150</v>
      </c>
      <c r="D1077" s="67"/>
      <c r="E1077" s="1097"/>
      <c r="F1077" s="1097"/>
      <c r="G1077" s="1097"/>
      <c r="H1077" s="1097"/>
      <c r="I1077" s="1097"/>
      <c r="J1077" s="1097"/>
      <c r="K1077" s="1097"/>
      <c r="L1077" s="1097"/>
      <c r="M1077" s="1097"/>
      <c r="N1077" s="1097"/>
      <c r="O1077" s="1097"/>
      <c r="P1077" s="1097"/>
      <c r="Q1077" s="1097"/>
      <c r="R1077" s="1097"/>
      <c r="S1077" s="1097"/>
      <c r="T1077" s="1124">
        <f t="shared" ref="T1077:X1079" si="2550">T1071/T$1081*T$1</f>
        <v>3.1658417531446811E-3</v>
      </c>
      <c r="U1077" s="1124">
        <f t="shared" si="2550"/>
        <v>3.2019267605647773E-3</v>
      </c>
      <c r="V1077" s="1124">
        <f t="shared" si="2550"/>
        <v>2.7657662372109286E-3</v>
      </c>
      <c r="W1077" s="1124">
        <f t="shared" si="2550"/>
        <v>2.3286036949344518E-3</v>
      </c>
      <c r="X1077" s="1124">
        <f t="shared" si="2550"/>
        <v>1.8467500992944404E-3</v>
      </c>
      <c r="Y1077" s="1124">
        <f t="shared" ref="Y1077:Z1077" si="2551">Y1071/Y$1081*Y$1</f>
        <v>2.1711966122829173E-3</v>
      </c>
      <c r="Z1077" s="1124">
        <f t="shared" si="2551"/>
        <v>1.7402654409287544E-3</v>
      </c>
      <c r="AA1077" s="1124">
        <f t="shared" ref="AA1077:AB1077" si="2552">AA1071/AA$1081*AA$1</f>
        <v>1.1584327761650418E-3</v>
      </c>
      <c r="AB1077" s="1124">
        <f t="shared" si="2552"/>
        <v>6.1012757774079717E-4</v>
      </c>
      <c r="AC1077" s="1126">
        <f>Drivers!AC284</f>
        <v>1E-3</v>
      </c>
      <c r="AD1077" s="1126">
        <f>Drivers!AD284</f>
        <v>1.1999999999999999E-3</v>
      </c>
      <c r="AE1077" s="1126">
        <f>Drivers!AE284</f>
        <v>1.5E-3</v>
      </c>
      <c r="AF1077" s="1126">
        <f>Drivers!AF284</f>
        <v>1.5E-3</v>
      </c>
      <c r="AG1077" s="1126">
        <f>Drivers!AG284</f>
        <v>1.5E-3</v>
      </c>
      <c r="AH1077" s="1126">
        <f>Drivers!AH284</f>
        <v>1.5E-3</v>
      </c>
      <c r="AI1077" s="1126">
        <f>Drivers!AI284</f>
        <v>1.5E-3</v>
      </c>
      <c r="AJ1077" s="1126"/>
      <c r="AK1077" s="1126"/>
      <c r="AL1077" s="1126"/>
      <c r="AM1077" s="1126"/>
      <c r="AN1077" s="1126"/>
      <c r="AO1077" s="1126"/>
      <c r="AP1077" s="1126"/>
      <c r="AQ1077" s="1126"/>
      <c r="AS1077" s="35"/>
      <c r="AT1077" s="1125" t="s">
        <v>1150</v>
      </c>
      <c r="AU1077" s="1124"/>
      <c r="AV1077" s="1124"/>
      <c r="AW1077" s="1124"/>
      <c r="AX1077" s="1124"/>
      <c r="AY1077" s="1124">
        <f t="shared" ref="AY1077:BA1079" si="2553">AY1071/AY$1081*AY$1</f>
        <v>2.8612586055411474E-3</v>
      </c>
      <c r="AZ1077" s="1124">
        <f t="shared" si="2553"/>
        <v>1.7227136807990999E-3</v>
      </c>
      <c r="BA1077" s="1124">
        <f t="shared" si="2553"/>
        <v>1.0820815461525968E-3</v>
      </c>
      <c r="BB1077" s="1124">
        <f t="shared" ref="BB1077" si="2554">BB1071/BB$1081*BB$1</f>
        <v>1.5001382092485697E-3</v>
      </c>
      <c r="BC1077" s="1126">
        <f>Drivers!BC284</f>
        <v>1.5E-3</v>
      </c>
      <c r="BD1077" s="1126">
        <f>Drivers!BD284</f>
        <v>1.5E-3</v>
      </c>
      <c r="BE1077" s="1126">
        <f>Drivers!BE284</f>
        <v>1.5E-3</v>
      </c>
    </row>
    <row r="1078" spans="1:70" x14ac:dyDescent="0.2">
      <c r="B1078" s="35"/>
      <c r="C1078" s="1125" t="s">
        <v>1151</v>
      </c>
      <c r="D1078" s="67"/>
      <c r="E1078" s="1097"/>
      <c r="F1078" s="1097"/>
      <c r="G1078" s="1097"/>
      <c r="H1078" s="1097"/>
      <c r="I1078" s="1097"/>
      <c r="J1078" s="1097"/>
      <c r="K1078" s="1097"/>
      <c r="L1078" s="1097"/>
      <c r="M1078" s="1097"/>
      <c r="N1078" s="1097"/>
      <c r="O1078" s="1097"/>
      <c r="P1078" s="1097"/>
      <c r="Q1078" s="1097"/>
      <c r="R1078" s="1097"/>
      <c r="S1078" s="1097"/>
      <c r="T1078" s="1124">
        <f t="shared" si="2550"/>
        <v>1.595790151991628E-3</v>
      </c>
      <c r="U1078" s="1124">
        <f t="shared" si="2550"/>
        <v>1.4118732172569098E-3</v>
      </c>
      <c r="V1078" s="1124">
        <f t="shared" si="2550"/>
        <v>1.1853283873761123E-3</v>
      </c>
      <c r="W1078" s="1124">
        <f t="shared" si="2550"/>
        <v>1.0156675690671543E-3</v>
      </c>
      <c r="X1078" s="1124">
        <f t="shared" si="2550"/>
        <v>1.0231993793388115E-3</v>
      </c>
      <c r="Y1078" s="1124">
        <f t="shared" ref="Y1078:Z1078" si="2555">Y1072/Y$1081*Y$1</f>
        <v>6.9960779729116222E-4</v>
      </c>
      <c r="Z1078" s="1124">
        <f t="shared" si="2555"/>
        <v>7.2903011714582958E-4</v>
      </c>
      <c r="AA1078" s="1124">
        <f t="shared" ref="AA1078:AB1078" si="2556">AA1072/AA$1081*AA$1</f>
        <v>6.4872235465242333E-4</v>
      </c>
      <c r="AB1078" s="1124">
        <f t="shared" si="2556"/>
        <v>6.1012757774079717E-4</v>
      </c>
      <c r="AC1078" s="1126">
        <f>Drivers!AC285</f>
        <v>5.0000000000000001E-4</v>
      </c>
      <c r="AD1078" s="1126">
        <f>Drivers!AD285</f>
        <v>4.0000000000000002E-4</v>
      </c>
      <c r="AE1078" s="1126">
        <f>Drivers!AE285</f>
        <v>2.9999999999999997E-4</v>
      </c>
      <c r="AF1078" s="1126">
        <f>Drivers!AF285</f>
        <v>2.9999999999999997E-4</v>
      </c>
      <c r="AG1078" s="1126">
        <f>Drivers!AG285</f>
        <v>2.9999999999999997E-4</v>
      </c>
      <c r="AH1078" s="1126">
        <f>Drivers!AH285</f>
        <v>2.9999999999999997E-4</v>
      </c>
      <c r="AI1078" s="1126">
        <f>Drivers!AI285</f>
        <v>2.9999999999999997E-4</v>
      </c>
      <c r="AJ1078" s="1126"/>
      <c r="AK1078" s="1126"/>
      <c r="AL1078" s="1126"/>
      <c r="AM1078" s="1126"/>
      <c r="AN1078" s="1126"/>
      <c r="AO1078" s="1126"/>
      <c r="AP1078" s="1126"/>
      <c r="AQ1078" s="1126"/>
      <c r="AS1078" s="35"/>
      <c r="AT1078" s="1125" t="s">
        <v>1151</v>
      </c>
      <c r="AU1078" s="1124"/>
      <c r="AV1078" s="1124"/>
      <c r="AW1078" s="1124"/>
      <c r="AX1078" s="1124"/>
      <c r="AY1078" s="1124">
        <f t="shared" si="2553"/>
        <v>1.2988608143574944E-3</v>
      </c>
      <c r="AZ1078" s="1124">
        <f t="shared" si="2553"/>
        <v>7.7163216952459679E-4</v>
      </c>
      <c r="BA1078" s="1124">
        <f t="shared" si="2553"/>
        <v>4.5093648561502772E-4</v>
      </c>
      <c r="BB1078" s="1124">
        <f t="shared" ref="BB1078" si="2557">BB1072/BB$1081*BB$1</f>
        <v>3.0002764184971391E-4</v>
      </c>
      <c r="BC1078" s="1126">
        <f>Drivers!BC285</f>
        <v>2.9999999999999997E-4</v>
      </c>
      <c r="BD1078" s="1126">
        <f>Drivers!BD285</f>
        <v>2.9999999999999997E-4</v>
      </c>
      <c r="BE1078" s="1126">
        <f>Drivers!BE285</f>
        <v>2.9999999999999997E-4</v>
      </c>
    </row>
    <row r="1079" spans="1:70" x14ac:dyDescent="0.2">
      <c r="B1079" s="35"/>
      <c r="C1079" s="1125" t="s">
        <v>1152</v>
      </c>
      <c r="D1079" s="67"/>
      <c r="E1079" s="1097"/>
      <c r="F1079" s="1097"/>
      <c r="G1079" s="1097"/>
      <c r="H1079" s="1097"/>
      <c r="I1079" s="1097"/>
      <c r="J1079" s="1097"/>
      <c r="K1079" s="1097"/>
      <c r="L1079" s="1097"/>
      <c r="M1079" s="1097"/>
      <c r="N1079" s="1097"/>
      <c r="O1079" s="1097"/>
      <c r="P1079" s="1097"/>
      <c r="Q1079" s="1097"/>
      <c r="R1079" s="1097"/>
      <c r="S1079" s="1097"/>
      <c r="T1079" s="1124">
        <f t="shared" si="2550"/>
        <v>1.1839733385744336E-4</v>
      </c>
      <c r="U1079" s="1124">
        <f t="shared" si="2550"/>
        <v>2.546414195409784E-4</v>
      </c>
      <c r="V1079" s="1124">
        <f t="shared" si="2550"/>
        <v>1.0618566803577672E-4</v>
      </c>
      <c r="W1079" s="1124">
        <f t="shared" si="2550"/>
        <v>-1.2386189866672616E-5</v>
      </c>
      <c r="X1079" s="1124">
        <f t="shared" si="2550"/>
        <v>-4.9912164845795677E-6</v>
      </c>
      <c r="Y1079" s="1124">
        <f t="shared" ref="Y1079:Z1079" si="2558">Y1073/Y$1081*Y$1</f>
        <v>9.6497627212574109E-5</v>
      </c>
      <c r="Z1079" s="1124">
        <f t="shared" si="2558"/>
        <v>2.7750178652647707E-4</v>
      </c>
      <c r="AA1079" s="1124">
        <f t="shared" ref="AA1079:AB1079" si="2559">AA1073/AA$1081*AA$1</f>
        <v>1.1816014316883427E-4</v>
      </c>
      <c r="AB1079" s="1124">
        <f t="shared" si="2559"/>
        <v>8.4479203071802689E-5</v>
      </c>
      <c r="AC1079" s="1126">
        <f>Drivers!AC286</f>
        <v>1E-4</v>
      </c>
      <c r="AD1079" s="1126">
        <f>Drivers!AD286</f>
        <v>1E-4</v>
      </c>
      <c r="AE1079" s="1126">
        <f>Drivers!AE286</f>
        <v>1E-4</v>
      </c>
      <c r="AF1079" s="1126">
        <f>Drivers!AF286</f>
        <v>1E-4</v>
      </c>
      <c r="AG1079" s="1126">
        <f>Drivers!AG286</f>
        <v>1E-4</v>
      </c>
      <c r="AH1079" s="1126">
        <f>Drivers!AH286</f>
        <v>1E-4</v>
      </c>
      <c r="AI1079" s="1126">
        <f>Drivers!AI286</f>
        <v>1E-4</v>
      </c>
      <c r="AJ1079" s="1126"/>
      <c r="AK1079" s="1126"/>
      <c r="AL1079" s="1126"/>
      <c r="AM1079" s="1126"/>
      <c r="AN1079" s="1126"/>
      <c r="AO1079" s="1126"/>
      <c r="AP1079" s="1126"/>
      <c r="AQ1079" s="1126"/>
      <c r="AS1079" s="35"/>
      <c r="AT1079" s="1125" t="s">
        <v>1152</v>
      </c>
      <c r="AU1079" s="1124"/>
      <c r="AV1079" s="1124"/>
      <c r="AW1079" s="1124"/>
      <c r="AX1079" s="1124"/>
      <c r="AY1079" s="1124">
        <f t="shared" si="2553"/>
        <v>1.160817636019983E-4</v>
      </c>
      <c r="AZ1079" s="1124">
        <f t="shared" si="2553"/>
        <v>1.2382004580743531E-4</v>
      </c>
      <c r="BA1079" s="1124">
        <f t="shared" si="2553"/>
        <v>9.6203564405565809E-5</v>
      </c>
      <c r="BB1079" s="1124">
        <f t="shared" ref="BB1079" si="2560">BB1073/BB$1081*BB$1</f>
        <v>1.0000921394990464E-4</v>
      </c>
      <c r="BC1079" s="1126">
        <f>Drivers!BC286</f>
        <v>1E-4</v>
      </c>
      <c r="BD1079" s="1126">
        <f>Drivers!BD286</f>
        <v>1E-4</v>
      </c>
      <c r="BE1079" s="1126">
        <f>Drivers!BE286</f>
        <v>1E-4</v>
      </c>
    </row>
    <row r="1080" spans="1:70" x14ac:dyDescent="0.2">
      <c r="B1080" s="35"/>
      <c r="C1080" s="35"/>
      <c r="D1080" s="67"/>
      <c r="E1080" s="1097"/>
      <c r="F1080" s="1097"/>
      <c r="G1080" s="1097"/>
      <c r="H1080" s="1097"/>
      <c r="I1080" s="1097"/>
      <c r="J1080" s="1097"/>
      <c r="K1080" s="1097"/>
      <c r="L1080" s="1097"/>
      <c r="M1080" s="1097"/>
      <c r="N1080" s="1097"/>
      <c r="O1080" s="1097"/>
      <c r="P1080" s="1097"/>
      <c r="Q1080" s="1097"/>
      <c r="R1080" s="1097"/>
      <c r="S1080" s="1097"/>
      <c r="T1080" s="1120"/>
      <c r="U1080" s="1120"/>
      <c r="V1080" s="1120"/>
      <c r="W1080" s="1120"/>
      <c r="X1080" s="1120"/>
      <c r="Y1080" s="1120"/>
      <c r="Z1080" s="1120"/>
      <c r="AA1080" s="1120"/>
      <c r="AB1080" s="1120"/>
      <c r="AC1080" s="67"/>
      <c r="AD1080" s="67"/>
      <c r="AE1080" s="67"/>
      <c r="AF1080" s="67"/>
      <c r="AG1080" s="67"/>
      <c r="AH1080" s="67"/>
      <c r="AI1080" s="67"/>
      <c r="AJ1080" s="67"/>
      <c r="AK1080" s="67"/>
      <c r="AL1080" s="67"/>
      <c r="AM1080" s="67"/>
      <c r="AN1080" s="67"/>
      <c r="AO1080" s="67"/>
      <c r="AP1080" s="67"/>
      <c r="AQ1080" s="67"/>
      <c r="AS1080" s="35"/>
      <c r="AT1080" s="35"/>
      <c r="AV1080" s="1097"/>
      <c r="AW1080" s="1097"/>
      <c r="AX1080" s="1097"/>
      <c r="AY1080" s="1097"/>
      <c r="AZ1080" s="1097"/>
      <c r="BA1080" s="1097"/>
      <c r="BB1080" s="1707"/>
      <c r="BC1080" s="1097"/>
      <c r="BD1080" s="1704"/>
      <c r="BE1080" s="1702"/>
    </row>
    <row r="1081" spans="1:70" x14ac:dyDescent="0.2">
      <c r="B1081" s="65" t="s">
        <v>1153</v>
      </c>
      <c r="C1081" s="35"/>
      <c r="D1081" s="99">
        <f>D$889</f>
        <v>1679633</v>
      </c>
      <c r="E1081" s="99">
        <f t="shared" ref="E1081:AI1081" si="2561">E$889</f>
        <v>1681733</v>
      </c>
      <c r="F1081" s="99">
        <f t="shared" si="2561"/>
        <v>1677579</v>
      </c>
      <c r="G1081" s="99">
        <f t="shared" si="2561"/>
        <v>1666124</v>
      </c>
      <c r="H1081" s="99">
        <f t="shared" si="2561"/>
        <v>1654629</v>
      </c>
      <c r="I1081" s="99">
        <f t="shared" si="2561"/>
        <v>1665972</v>
      </c>
      <c r="J1081" s="99">
        <f t="shared" si="2561"/>
        <v>1642576</v>
      </c>
      <c r="K1081" s="99">
        <f t="shared" si="2561"/>
        <v>1668254</v>
      </c>
      <c r="L1081" s="99">
        <f t="shared" si="2561"/>
        <v>1664861</v>
      </c>
      <c r="M1081" s="99">
        <f t="shared" si="2561"/>
        <v>1687625</v>
      </c>
      <c r="N1081" s="99">
        <f t="shared" si="2561"/>
        <v>1675943</v>
      </c>
      <c r="O1081" s="99">
        <f t="shared" si="2561"/>
        <v>1660342</v>
      </c>
      <c r="P1081" s="99">
        <f t="shared" si="2561"/>
        <v>1625316</v>
      </c>
      <c r="Q1081" s="99">
        <f t="shared" si="2561"/>
        <v>1622976</v>
      </c>
      <c r="R1081" s="99">
        <f t="shared" si="2561"/>
        <v>1602154</v>
      </c>
      <c r="S1081" s="99">
        <f t="shared" si="2561"/>
        <v>1572892</v>
      </c>
      <c r="T1081" s="99">
        <f t="shared" si="2561"/>
        <v>1562628</v>
      </c>
      <c r="U1081" s="99">
        <f t="shared" si="2561"/>
        <v>1595262</v>
      </c>
      <c r="V1081" s="99">
        <f t="shared" si="2561"/>
        <v>1611001</v>
      </c>
      <c r="W1081" s="99">
        <f t="shared" si="2561"/>
        <v>1605926</v>
      </c>
      <c r="X1081" s="99">
        <f t="shared" si="2561"/>
        <v>1625077</v>
      </c>
      <c r="Y1081" s="99">
        <f t="shared" si="2561"/>
        <v>1662627</v>
      </c>
      <c r="Z1081" s="99">
        <f t="shared" si="2561"/>
        <v>1687024</v>
      </c>
      <c r="AA1081" s="99">
        <f t="shared" si="2561"/>
        <v>1712396</v>
      </c>
      <c r="AB1081" s="99">
        <f t="shared" si="2561"/>
        <v>1728236</v>
      </c>
      <c r="AC1081" s="99">
        <f t="shared" si="2561"/>
        <v>1735281.5</v>
      </c>
      <c r="AD1081" s="99">
        <f t="shared" si="2561"/>
        <v>1743198.1724999999</v>
      </c>
      <c r="AE1081" s="99">
        <f t="shared" si="2561"/>
        <v>1753718.8154499999</v>
      </c>
      <c r="AF1081" s="99">
        <f t="shared" si="2561"/>
        <v>1764604.1384747499</v>
      </c>
      <c r="AG1081" s="99">
        <f t="shared" si="2561"/>
        <v>1778226.1842295029</v>
      </c>
      <c r="AH1081" s="99">
        <f t="shared" si="2561"/>
        <v>1796420.4465357857</v>
      </c>
      <c r="AI1081" s="99">
        <f t="shared" si="2561"/>
        <v>1817558.5325656519</v>
      </c>
      <c r="AJ1081" s="99"/>
      <c r="AK1081" s="99"/>
      <c r="AL1081" s="99"/>
      <c r="AM1081" s="99"/>
      <c r="AN1081" s="99"/>
      <c r="AO1081" s="99"/>
      <c r="AP1081" s="99"/>
      <c r="AQ1081" s="99"/>
      <c r="AS1081" s="65" t="s">
        <v>1153</v>
      </c>
      <c r="AT1081" s="35"/>
      <c r="AU1081" s="99">
        <f t="shared" ref="AU1081:BE1081" si="2562">AU$889</f>
        <v>1676267.25</v>
      </c>
      <c r="AV1081" s="99">
        <f t="shared" si="2562"/>
        <v>1657857.75</v>
      </c>
      <c r="AW1081" s="99">
        <f t="shared" si="2562"/>
        <v>1672192.75</v>
      </c>
      <c r="AX1081" s="99">
        <f t="shared" si="2562"/>
        <v>1605834.5</v>
      </c>
      <c r="AY1081" s="99">
        <f t="shared" si="2562"/>
        <v>1593704.25</v>
      </c>
      <c r="AZ1081" s="99">
        <f t="shared" si="2562"/>
        <v>1671781</v>
      </c>
      <c r="BA1081" s="99">
        <f t="shared" si="2562"/>
        <v>1740108.6219875</v>
      </c>
      <c r="BB1081" s="99">
        <f t="shared" si="2562"/>
        <v>1789202.3254514225</v>
      </c>
      <c r="BC1081" s="99">
        <f t="shared" si="2562"/>
        <v>1837251.8003733479</v>
      </c>
      <c r="BD1081" s="99">
        <f t="shared" si="2562"/>
        <v>1899651.3154074799</v>
      </c>
      <c r="BE1081" s="99">
        <f t="shared" si="2562"/>
        <v>1961419.0553355683</v>
      </c>
    </row>
    <row r="1082" spans="1:70" x14ac:dyDescent="0.2">
      <c r="B1082" s="35"/>
      <c r="C1082" s="35"/>
      <c r="D1082" s="67"/>
      <c r="E1082" s="1097"/>
      <c r="F1082" s="1097"/>
      <c r="G1082" s="1097"/>
      <c r="H1082" s="1097"/>
      <c r="I1082" s="1097"/>
      <c r="J1082" s="1097"/>
      <c r="K1082" s="1097"/>
      <c r="L1082" s="1097"/>
      <c r="M1082" s="1097"/>
      <c r="N1082" s="1097"/>
      <c r="O1082" s="1097"/>
      <c r="P1082" s="1097"/>
      <c r="Q1082" s="1097"/>
      <c r="R1082" s="1097"/>
      <c r="S1082" s="1097"/>
      <c r="T1082" s="1120"/>
      <c r="U1082" s="1120"/>
      <c r="V1082" s="1120"/>
      <c r="W1082" s="1120"/>
      <c r="X1082" s="1120"/>
      <c r="Y1082" s="1120"/>
      <c r="Z1082" s="1120"/>
      <c r="AA1082" s="1120"/>
      <c r="AB1082" s="1120"/>
      <c r="AC1082" s="67"/>
      <c r="AD1082" s="67"/>
      <c r="AE1082" s="67"/>
      <c r="AF1082" s="67"/>
      <c r="AG1082" s="67"/>
      <c r="AH1082" s="67"/>
      <c r="AI1082" s="67"/>
      <c r="AJ1082" s="67"/>
      <c r="AK1082" s="67"/>
      <c r="AL1082" s="67"/>
      <c r="AM1082" s="67"/>
      <c r="AN1082" s="67"/>
      <c r="AO1082" s="67"/>
      <c r="AP1082" s="67"/>
      <c r="AQ1082" s="67"/>
      <c r="AS1082" s="35"/>
      <c r="AT1082" s="35"/>
      <c r="AV1082" s="1097"/>
      <c r="AW1082" s="1097"/>
      <c r="AX1082" s="1097"/>
      <c r="AY1082" s="1097"/>
      <c r="AZ1082" s="1097"/>
      <c r="BA1082" s="1097"/>
      <c r="BB1082" s="1707"/>
      <c r="BC1082" s="1097"/>
      <c r="BD1082" s="1704"/>
      <c r="BE1082" s="1702"/>
    </row>
    <row r="1083" spans="1:70" x14ac:dyDescent="0.2">
      <c r="B1083" s="160" t="s">
        <v>861</v>
      </c>
      <c r="C1083" s="35"/>
      <c r="D1083" s="67">
        <f t="shared" ref="D1083:AE1083" si="2563">D447</f>
        <v>7.5482676449915145E-2</v>
      </c>
      <c r="E1083" s="67">
        <f t="shared" si="2563"/>
        <v>7.4499797139231549E-2</v>
      </c>
      <c r="F1083" s="67">
        <f t="shared" si="2563"/>
        <v>7.2618561872909701E-2</v>
      </c>
      <c r="G1083" s="67">
        <f t="shared" si="2563"/>
        <v>7.1745979973254187E-2</v>
      </c>
      <c r="H1083" s="67">
        <f t="shared" si="2563"/>
        <v>7.061332350049164E-2</v>
      </c>
      <c r="I1083" s="67">
        <f t="shared" si="2563"/>
        <v>6.9674033831337204E-2</v>
      </c>
      <c r="J1083" s="67">
        <f t="shared" si="2563"/>
        <v>6.5566052893730506E-2</v>
      </c>
      <c r="K1083" s="67">
        <f t="shared" si="2563"/>
        <v>6.3586566091954025E-2</v>
      </c>
      <c r="L1083" s="67">
        <f t="shared" si="2563"/>
        <v>6.2116007265260995E-2</v>
      </c>
      <c r="M1083" s="67">
        <f t="shared" si="2563"/>
        <v>6.2199394808090461E-2</v>
      </c>
      <c r="N1083" s="67">
        <f t="shared" si="2563"/>
        <v>6.2414500683994519E-2</v>
      </c>
      <c r="O1083" s="67">
        <f t="shared" si="2563"/>
        <v>6.2657421289355322E-2</v>
      </c>
      <c r="P1083" s="67">
        <f t="shared" si="2563"/>
        <v>6.0689519306540582E-2</v>
      </c>
      <c r="Q1083" s="67">
        <f t="shared" si="2563"/>
        <v>6.1038013952339792E-2</v>
      </c>
      <c r="R1083" s="67">
        <f t="shared" si="2563"/>
        <v>6.101495925856814E-2</v>
      </c>
      <c r="S1083" s="67">
        <f t="shared" si="2563"/>
        <v>6.0976099308300391E-2</v>
      </c>
      <c r="T1083" s="67">
        <f t="shared" si="2563"/>
        <v>6.237523221763909E-2</v>
      </c>
      <c r="U1083" s="67">
        <f t="shared" si="2563"/>
        <v>6.1427091689317058E-2</v>
      </c>
      <c r="V1083" s="67">
        <f t="shared" si="2563"/>
        <v>6.1382884262094303E-2</v>
      </c>
      <c r="W1083" s="67">
        <f t="shared" si="2563"/>
        <v>6.1330321443188618E-2</v>
      </c>
      <c r="X1083" s="67">
        <f t="shared" si="2563"/>
        <v>6.2878642331091888E-2</v>
      </c>
      <c r="Y1083" s="67">
        <f t="shared" ref="Y1083:Z1083" si="2564">Y447</f>
        <v>6.4406956360575474E-2</v>
      </c>
      <c r="Z1083" s="67">
        <f t="shared" si="2564"/>
        <v>6.5518319322667148E-2</v>
      </c>
      <c r="AA1083" s="67">
        <f t="shared" ref="AA1083:AB1083" si="2565">AA447</f>
        <v>6.4637581278278844E-2</v>
      </c>
      <c r="AB1083" s="67">
        <f t="shared" si="2565"/>
        <v>6.52031875519299E-2</v>
      </c>
      <c r="AC1083" s="67">
        <f t="shared" si="2563"/>
        <v>6.39844074550215E-2</v>
      </c>
      <c r="AD1083" s="67">
        <f t="shared" si="2563"/>
        <v>6.4286082268545736E-2</v>
      </c>
      <c r="AE1083" s="67">
        <f t="shared" si="2563"/>
        <v>6.4235803445269218E-2</v>
      </c>
      <c r="AF1083" s="67">
        <f t="shared" ref="AF1083:AI1083" si="2566">AF447</f>
        <v>6.4187153938567193E-2</v>
      </c>
      <c r="AG1083" s="67">
        <f t="shared" si="2566"/>
        <v>6.4360856316198076E-2</v>
      </c>
      <c r="AH1083" s="67">
        <f t="shared" si="2566"/>
        <v>6.4646382290770202E-2</v>
      </c>
      <c r="AI1083" s="67">
        <f t="shared" si="2566"/>
        <v>6.4832692078450993E-2</v>
      </c>
      <c r="AJ1083" s="67"/>
      <c r="AK1083" s="67"/>
      <c r="AL1083" s="67"/>
      <c r="AM1083" s="67"/>
      <c r="AN1083" s="67"/>
      <c r="AO1083" s="67"/>
      <c r="AP1083" s="67"/>
      <c r="AQ1083" s="67"/>
      <c r="AS1083" s="160" t="s">
        <v>511</v>
      </c>
      <c r="AT1083" s="35"/>
      <c r="AU1083" s="67">
        <f t="shared" ref="AU1083:BD1083" si="2567">AU447</f>
        <v>7.3562066306862003E-2</v>
      </c>
      <c r="AV1083" s="67">
        <f t="shared" si="2567"/>
        <v>6.7306843267108174E-2</v>
      </c>
      <c r="AW1083" s="67">
        <f t="shared" si="2567"/>
        <v>6.2357836338418862E-2</v>
      </c>
      <c r="AX1083" s="67">
        <f t="shared" si="2567"/>
        <v>6.0929078014184394E-2</v>
      </c>
      <c r="AY1083" s="67">
        <f t="shared" si="2567"/>
        <v>6.1626248216833095E-2</v>
      </c>
      <c r="AZ1083" s="67">
        <f t="shared" si="2567"/>
        <v>6.4392638036809821E-2</v>
      </c>
      <c r="BA1083" s="67">
        <f t="shared" si="2567"/>
        <v>6.4428685914169781E-2</v>
      </c>
      <c r="BB1083" s="67">
        <f t="shared" ref="BB1083" si="2568">BB447</f>
        <v>6.4519055154216562E-2</v>
      </c>
      <c r="BC1083" s="67">
        <f t="shared" si="2567"/>
        <v>6.4139640931713718E-2</v>
      </c>
      <c r="BD1083" s="67">
        <f t="shared" si="2567"/>
        <v>6.396955088824266E-2</v>
      </c>
      <c r="BE1083" s="67">
        <f t="shared" ref="BE1083" si="2569">BE447</f>
        <v>6.3979999760715986E-2</v>
      </c>
    </row>
    <row r="1084" spans="1:70" x14ac:dyDescent="0.2">
      <c r="B1084" s="160" t="s">
        <v>862</v>
      </c>
      <c r="C1084" s="35"/>
      <c r="D1084" s="67">
        <f t="shared" ref="D1084:AE1084" si="2570">D462</f>
        <v>0.12033687886457566</v>
      </c>
      <c r="E1084" s="67">
        <f t="shared" si="2570"/>
        <v>0.12111124830225954</v>
      </c>
      <c r="F1084" s="67">
        <f t="shared" si="2570"/>
        <v>0.12400892277741725</v>
      </c>
      <c r="G1084" s="67">
        <f t="shared" si="2570"/>
        <v>0.12581102438395048</v>
      </c>
      <c r="H1084" s="67">
        <f t="shared" si="2570"/>
        <v>0.12719145043246841</v>
      </c>
      <c r="I1084" s="67">
        <f t="shared" si="2570"/>
        <v>0.12704018670405223</v>
      </c>
      <c r="J1084" s="67">
        <f t="shared" si="2570"/>
        <v>0.12914355749232445</v>
      </c>
      <c r="K1084" s="67">
        <f t="shared" si="2570"/>
        <v>0.12955743094444094</v>
      </c>
      <c r="L1084" s="67">
        <f t="shared" si="2570"/>
        <v>0.12911564625850339</v>
      </c>
      <c r="M1084" s="67">
        <f t="shared" si="2570"/>
        <v>0.12998685214342526</v>
      </c>
      <c r="N1084" s="67">
        <f t="shared" si="2570"/>
        <v>0.13272461094176158</v>
      </c>
      <c r="O1084" s="67">
        <f t="shared" si="2570"/>
        <v>0.1324516372634082</v>
      </c>
      <c r="P1084" s="67">
        <f t="shared" si="2570"/>
        <v>0.13140735146022153</v>
      </c>
      <c r="Q1084" s="67">
        <f t="shared" si="2570"/>
        <v>0.13079714742532295</v>
      </c>
      <c r="R1084" s="67">
        <f t="shared" si="2570"/>
        <v>0.13177734571418995</v>
      </c>
      <c r="S1084" s="67">
        <f t="shared" si="2570"/>
        <v>0.13042610348817987</v>
      </c>
      <c r="T1084" s="67">
        <f t="shared" si="2570"/>
        <v>0.12825606990115748</v>
      </c>
      <c r="U1084" s="67">
        <f t="shared" si="2570"/>
        <v>0.1266663889560023</v>
      </c>
      <c r="V1084" s="67">
        <f t="shared" si="2570"/>
        <v>0.1235311519497983</v>
      </c>
      <c r="W1084" s="67">
        <f t="shared" si="2570"/>
        <v>0.12062683828882612</v>
      </c>
      <c r="X1084" s="67">
        <f t="shared" si="2570"/>
        <v>0.11905798703212496</v>
      </c>
      <c r="Y1084" s="67">
        <f t="shared" ref="Y1084:Z1084" si="2571">Y462</f>
        <v>0.11847640808036848</v>
      </c>
      <c r="Z1084" s="67">
        <f t="shared" si="2571"/>
        <v>0.11968552403335012</v>
      </c>
      <c r="AA1084" s="67">
        <f t="shared" ref="AA1084:AB1084" si="2572">AA462</f>
        <v>0.11663929808167975</v>
      </c>
      <c r="AB1084" s="67">
        <f t="shared" si="2572"/>
        <v>0.11756525683975431</v>
      </c>
      <c r="AC1084" s="67">
        <f t="shared" si="2570"/>
        <v>0.11756949934020604</v>
      </c>
      <c r="AD1084" s="67">
        <f t="shared" si="2570"/>
        <v>0.11948674060868675</v>
      </c>
      <c r="AE1084" s="67">
        <f t="shared" si="2570"/>
        <v>0.11898426307065896</v>
      </c>
      <c r="AF1084" s="67">
        <f t="shared" ref="AF1084:AI1084" si="2573">AF462</f>
        <v>0.11902280334650872</v>
      </c>
      <c r="AG1084" s="67">
        <f t="shared" si="2573"/>
        <v>0.1199393428291439</v>
      </c>
      <c r="AH1084" s="67">
        <f t="shared" si="2573"/>
        <v>0.12064896476373256</v>
      </c>
      <c r="AI1084" s="67">
        <f t="shared" si="2573"/>
        <v>0.11989755890549807</v>
      </c>
      <c r="AJ1084" s="67"/>
      <c r="AK1084" s="67"/>
      <c r="AL1084" s="67"/>
      <c r="AM1084" s="67"/>
      <c r="AN1084" s="67"/>
      <c r="AO1084" s="67"/>
      <c r="AP1084" s="67"/>
      <c r="AQ1084" s="67"/>
      <c r="AS1084" s="160" t="s">
        <v>620</v>
      </c>
      <c r="AT1084" s="35"/>
      <c r="AU1084" s="67">
        <f t="shared" ref="AU1084:BD1084" si="2574">AU462</f>
        <v>0.12281742354031511</v>
      </c>
      <c r="AV1084" s="67">
        <f t="shared" si="2574"/>
        <v>0.12826347305389221</v>
      </c>
      <c r="AW1084" s="67">
        <f t="shared" si="2574"/>
        <v>0.13107103422892893</v>
      </c>
      <c r="AX1084" s="67">
        <f t="shared" si="2574"/>
        <v>0.13109455587392549</v>
      </c>
      <c r="AY1084" s="67">
        <f t="shared" si="2574"/>
        <v>0.12463082437275985</v>
      </c>
      <c r="AZ1084" s="67">
        <f t="shared" si="2574"/>
        <v>0.11846728364994315</v>
      </c>
      <c r="BA1084" s="67">
        <f t="shared" si="2574"/>
        <v>0.1184282279397602</v>
      </c>
      <c r="BB1084" s="67">
        <f t="shared" ref="BB1084" si="2575">BB462</f>
        <v>0.11990284592646018</v>
      </c>
      <c r="BC1084" s="67">
        <f t="shared" si="2574"/>
        <v>0.1208556499781933</v>
      </c>
      <c r="BD1084" s="67">
        <f t="shared" si="2574"/>
        <v>0.12123332326136751</v>
      </c>
      <c r="BE1084" s="67">
        <f t="shared" ref="BE1084" si="2576">BE462</f>
        <v>0.12050842239159201</v>
      </c>
    </row>
    <row r="1085" spans="1:70" x14ac:dyDescent="0.2">
      <c r="B1085" s="65" t="s">
        <v>863</v>
      </c>
      <c r="C1085" s="35"/>
      <c r="D1085" s="67">
        <f t="shared" ref="D1085:AE1085" si="2577">D514</f>
        <v>7.0564167974882255E-2</v>
      </c>
      <c r="E1085" s="67">
        <f t="shared" si="2577"/>
        <v>6.6981403212172441E-2</v>
      </c>
      <c r="F1085" s="67">
        <f t="shared" si="2577"/>
        <v>6.599041703637977E-2</v>
      </c>
      <c r="G1085" s="67">
        <f t="shared" si="2577"/>
        <v>6.875543478260869E-2</v>
      </c>
      <c r="H1085" s="67">
        <f t="shared" si="2577"/>
        <v>6.4160544217687063E-2</v>
      </c>
      <c r="I1085" s="67">
        <f t="shared" si="2577"/>
        <v>6.2224954034292554E-2</v>
      </c>
      <c r="J1085" s="67">
        <f t="shared" si="2577"/>
        <v>5.8017440899322197E-2</v>
      </c>
      <c r="K1085" s="67">
        <f t="shared" si="2577"/>
        <v>5.7578413284132837E-2</v>
      </c>
      <c r="L1085" s="67">
        <f t="shared" si="2577"/>
        <v>5.6689613526570044E-2</v>
      </c>
      <c r="M1085" s="67">
        <f t="shared" si="2577"/>
        <v>5.4665670019026905E-2</v>
      </c>
      <c r="N1085" s="67">
        <f t="shared" si="2577"/>
        <v>5.6777154708864644E-2</v>
      </c>
      <c r="O1085" s="67">
        <f t="shared" si="2577"/>
        <v>5.7830728763732006E-2</v>
      </c>
      <c r="P1085" s="67">
        <f t="shared" si="2577"/>
        <v>5.4866706634692244E-2</v>
      </c>
      <c r="Q1085" s="67">
        <f t="shared" si="2577"/>
        <v>5.559869196547397E-2</v>
      </c>
      <c r="R1085" s="67">
        <f t="shared" si="2577"/>
        <v>5.4144021739130431E-2</v>
      </c>
      <c r="S1085" s="67">
        <f t="shared" si="2577"/>
        <v>5.2844572611653352E-2</v>
      </c>
      <c r="T1085" s="67">
        <f t="shared" si="2577"/>
        <v>5.4330787856211586E-2</v>
      </c>
      <c r="U1085" s="67">
        <f t="shared" si="2577"/>
        <v>5.434962406015037E-2</v>
      </c>
      <c r="V1085" s="67">
        <f t="shared" si="2577"/>
        <v>5.2663362130009911E-2</v>
      </c>
      <c r="W1085" s="67">
        <f t="shared" si="2577"/>
        <v>5.1521095537757439E-2</v>
      </c>
      <c r="X1085" s="67">
        <f t="shared" si="2577"/>
        <v>5.1271891096394406E-2</v>
      </c>
      <c r="Y1085" s="67">
        <f t="shared" ref="Y1085:Z1085" si="2578">Y514</f>
        <v>5.1271460169223744E-2</v>
      </c>
      <c r="Z1085" s="67">
        <f t="shared" si="2578"/>
        <v>4.879520520113774E-2</v>
      </c>
      <c r="AA1085" s="67">
        <f t="shared" ref="AA1085:AB1085" si="2579">AA514</f>
        <v>4.6798283404029688E-2</v>
      </c>
      <c r="AB1085" s="67">
        <f t="shared" si="2579"/>
        <v>4.3713864306784658E-2</v>
      </c>
      <c r="AC1085" s="67">
        <f t="shared" si="2577"/>
        <v>4.5999999999999999E-2</v>
      </c>
      <c r="AD1085" s="67">
        <f t="shared" si="2577"/>
        <v>4.65E-2</v>
      </c>
      <c r="AE1085" s="67">
        <f t="shared" si="2577"/>
        <v>4.8000000000000001E-2</v>
      </c>
      <c r="AF1085" s="67">
        <f t="shared" ref="AF1085:AI1085" si="2580">AF514</f>
        <v>4.9000000000000002E-2</v>
      </c>
      <c r="AG1085" s="67">
        <f t="shared" si="2580"/>
        <v>4.9500000000000002E-2</v>
      </c>
      <c r="AH1085" s="67">
        <f t="shared" si="2580"/>
        <v>5.0500000000000003E-2</v>
      </c>
      <c r="AI1085" s="67">
        <f t="shared" si="2580"/>
        <v>5.1499999999999997E-2</v>
      </c>
      <c r="AJ1085" s="67"/>
      <c r="AK1085" s="67"/>
      <c r="AL1085" s="67"/>
      <c r="AM1085" s="67"/>
      <c r="AN1085" s="67"/>
      <c r="AO1085" s="67"/>
      <c r="AP1085" s="67"/>
      <c r="AQ1085" s="67"/>
      <c r="AS1085" s="65" t="s">
        <v>558</v>
      </c>
      <c r="AT1085" s="35"/>
      <c r="AU1085" s="67">
        <f t="shared" ref="AU1085:BD1085" si="2581">AU514</f>
        <v>6.8038014783526932E-2</v>
      </c>
      <c r="AV1085" s="67">
        <f t="shared" si="2581"/>
        <v>6.0393822393822391E-2</v>
      </c>
      <c r="AW1085" s="67">
        <f t="shared" si="2581"/>
        <v>5.6495102404274265E-2</v>
      </c>
      <c r="AX1085" s="67">
        <f t="shared" si="2581"/>
        <v>5.4355594102341719E-2</v>
      </c>
      <c r="AY1085" s="67">
        <f t="shared" si="2581"/>
        <v>5.3203305785123965E-2</v>
      </c>
      <c r="AZ1085" s="67">
        <f t="shared" si="2581"/>
        <v>4.9481012658227845E-2</v>
      </c>
      <c r="BA1085" s="67">
        <f t="shared" si="2581"/>
        <v>4.6101327121661435E-2</v>
      </c>
      <c r="BB1085" s="67">
        <f t="shared" ref="BB1085" si="2582">BB514</f>
        <v>5.0168766365037247E-2</v>
      </c>
      <c r="BC1085" s="67">
        <f t="shared" si="2581"/>
        <v>5.1999999999999998E-2</v>
      </c>
      <c r="BD1085" s="67">
        <f t="shared" si="2581"/>
        <v>5.2999999999999999E-2</v>
      </c>
      <c r="BE1085" s="67">
        <f t="shared" ref="BE1085" si="2583">BE514</f>
        <v>5.3999999999999999E-2</v>
      </c>
    </row>
    <row r="1086" spans="1:70" x14ac:dyDescent="0.2">
      <c r="B1086" s="65"/>
      <c r="C1086" s="35"/>
      <c r="D1086" s="67"/>
      <c r="Y1086" s="1215"/>
      <c r="Z1086" s="1688"/>
      <c r="AA1086" s="1742"/>
      <c r="AB1086" s="1785"/>
      <c r="AS1086" s="35"/>
      <c r="AT1086" s="35"/>
      <c r="AV1086" s="9"/>
      <c r="AW1086" s="9"/>
      <c r="AX1086" s="9"/>
      <c r="AY1086" s="9"/>
      <c r="AZ1086" s="9"/>
      <c r="BA1086" s="9"/>
      <c r="BB1086" s="1707"/>
      <c r="BC1086" s="9"/>
      <c r="BD1086" s="1704"/>
      <c r="BE1086" s="1702"/>
    </row>
    <row r="1087" spans="1:70" x14ac:dyDescent="0.2">
      <c r="B1087" s="35" t="s">
        <v>519</v>
      </c>
      <c r="D1087" s="67">
        <f t="shared" ref="D1087:X1087" si="2584">D1064</f>
        <v>1.3356842480823732E-2</v>
      </c>
      <c r="E1087" s="67">
        <f t="shared" si="2584"/>
        <v>1.2778145265287992E-2</v>
      </c>
      <c r="F1087" s="67">
        <f t="shared" si="2584"/>
        <v>1.1918806285984017E-2</v>
      </c>
      <c r="G1087" s="67">
        <f t="shared" si="2584"/>
        <v>1.1138778960342531E-2</v>
      </c>
      <c r="H1087" s="67">
        <f t="shared" si="2584"/>
        <v>1.0612986691007804E-2</v>
      </c>
      <c r="I1087" s="67">
        <f t="shared" si="2584"/>
        <v>1.0010787881004186E-2</v>
      </c>
      <c r="J1087" s="67">
        <f t="shared" si="2584"/>
        <v>9.5454520428781414E-3</v>
      </c>
      <c r="K1087" s="67">
        <f t="shared" si="2584"/>
        <v>8.8872205937152397E-3</v>
      </c>
      <c r="L1087" s="67">
        <f t="shared" si="2584"/>
        <v>8.7475771250572851E-3</v>
      </c>
      <c r="M1087" s="67">
        <f t="shared" si="2584"/>
        <v>8.591793363291772E-3</v>
      </c>
      <c r="N1087" s="67">
        <f t="shared" si="2584"/>
        <v>7.8711364807493578E-3</v>
      </c>
      <c r="O1087" s="67">
        <f t="shared" si="2584"/>
        <v>7.548438291890937E-3</v>
      </c>
      <c r="P1087" s="67">
        <f t="shared" si="2584"/>
        <v>7.5555905572960713E-3</v>
      </c>
      <c r="Q1087" s="67">
        <f t="shared" si="2584"/>
        <v>7.5401777182949551E-3</v>
      </c>
      <c r="R1087" s="67">
        <f t="shared" si="2584"/>
        <v>7.2827567300565088E-3</v>
      </c>
      <c r="S1087" s="67">
        <f t="shared" si="2584"/>
        <v>7.3173505707404213E-3</v>
      </c>
      <c r="T1087" s="67">
        <f t="shared" si="2584"/>
        <v>7.5671339465409456E-3</v>
      </c>
      <c r="U1087" s="67">
        <f t="shared" si="2584"/>
        <v>7.8661507818599263E-3</v>
      </c>
      <c r="V1087" s="67">
        <f t="shared" si="2584"/>
        <v>7.837983961524542E-3</v>
      </c>
      <c r="W1087" s="67">
        <f t="shared" si="2584"/>
        <v>8.1179088386172313E-3</v>
      </c>
      <c r="X1087" s="67">
        <f t="shared" si="2584"/>
        <v>8.8993389920053699E-3</v>
      </c>
      <c r="Y1087" s="67">
        <f t="shared" ref="Y1087:Z1087" si="2585">Y1064</f>
        <v>9.736610585748727E-3</v>
      </c>
      <c r="Z1087" s="67">
        <f t="shared" si="2585"/>
        <v>1.029813833219867E-2</v>
      </c>
      <c r="AA1087" s="67">
        <f t="shared" ref="AA1087:AB1087" si="2586">AA1064</f>
        <v>1.051161901092159E-2</v>
      </c>
      <c r="AB1087" s="67">
        <f t="shared" si="2586"/>
        <v>1.2108685773625052E-2</v>
      </c>
      <c r="AC1087" s="32" t="s">
        <v>226</v>
      </c>
      <c r="AD1087" s="32" t="s">
        <v>226</v>
      </c>
      <c r="AE1087" s="32" t="s">
        <v>226</v>
      </c>
      <c r="AF1087" s="32" t="s">
        <v>226</v>
      </c>
      <c r="AG1087" s="32" t="s">
        <v>226</v>
      </c>
      <c r="AH1087" s="32" t="s">
        <v>226</v>
      </c>
      <c r="AI1087" s="32" t="s">
        <v>226</v>
      </c>
      <c r="AJ1087" s="32"/>
      <c r="AK1087" s="32"/>
      <c r="AL1087" s="32"/>
      <c r="AM1087" s="32"/>
      <c r="AN1087" s="32"/>
      <c r="AO1087" s="32"/>
      <c r="AP1087" s="32"/>
      <c r="AQ1087" s="32"/>
      <c r="AS1087" s="35" t="s">
        <v>519</v>
      </c>
      <c r="AT1087" s="9"/>
      <c r="AU1087" s="241" t="s">
        <v>229</v>
      </c>
      <c r="AV1087" s="67">
        <f>AV1064</f>
        <v>9.7577732468301336E-3</v>
      </c>
      <c r="AW1087" s="67">
        <f>AW1064</f>
        <v>8.1868552533791335E-3</v>
      </c>
      <c r="AX1087" s="67">
        <f>AX1064</f>
        <v>7.423554544381753E-3</v>
      </c>
      <c r="AY1087" s="67">
        <f>AY1064</f>
        <v>7.8502645644573012E-3</v>
      </c>
      <c r="AZ1087" s="108" t="s">
        <v>226</v>
      </c>
      <c r="BA1087" s="108" t="s">
        <v>226</v>
      </c>
      <c r="BB1087" s="108" t="s">
        <v>226</v>
      </c>
      <c r="BC1087" s="108" t="s">
        <v>226</v>
      </c>
      <c r="BD1087" s="108" t="s">
        <v>226</v>
      </c>
      <c r="BE1087" s="108" t="s">
        <v>226</v>
      </c>
    </row>
    <row r="1088" spans="1:70" x14ac:dyDescent="0.2">
      <c r="B1088" s="35" t="s">
        <v>520</v>
      </c>
      <c r="D1088" s="66">
        <f t="shared" ref="D1088:X1088" si="2587">D750/D906*D1</f>
        <v>1.5816530146841118E-2</v>
      </c>
      <c r="E1088" s="66">
        <f t="shared" si="2587"/>
        <v>1.5229744624925547E-2</v>
      </c>
      <c r="F1088" s="66">
        <f t="shared" si="2587"/>
        <v>1.4297285254000742E-2</v>
      </c>
      <c r="G1088" s="66">
        <f t="shared" si="2587"/>
        <v>1.3545909573090155E-2</v>
      </c>
      <c r="H1088" s="66">
        <f t="shared" si="2587"/>
        <v>1.2867326784263344E-2</v>
      </c>
      <c r="I1088" s="66">
        <f t="shared" si="2587"/>
        <v>1.2079708357585888E-2</v>
      </c>
      <c r="J1088" s="66">
        <f t="shared" si="2587"/>
        <v>1.1637713355523365E-2</v>
      </c>
      <c r="K1088" s="66">
        <f t="shared" si="2587"/>
        <v>1.090332222690683E-2</v>
      </c>
      <c r="L1088" s="66">
        <f t="shared" si="2587"/>
        <v>1.0834446151385412E-2</v>
      </c>
      <c r="M1088" s="66">
        <f t="shared" si="2587"/>
        <v>1.0728918219472893E-2</v>
      </c>
      <c r="N1088" s="66">
        <f t="shared" si="2587"/>
        <v>9.8430861416776323E-3</v>
      </c>
      <c r="O1088" s="66">
        <f t="shared" si="2587"/>
        <v>9.5104530315665535E-3</v>
      </c>
      <c r="P1088" s="66">
        <f t="shared" si="2587"/>
        <v>9.6209147868921499E-3</v>
      </c>
      <c r="Q1088" s="66">
        <f t="shared" si="2587"/>
        <v>9.7166496134608125E-3</v>
      </c>
      <c r="R1088" s="66">
        <f t="shared" si="2587"/>
        <v>9.2511879653796574E-3</v>
      </c>
      <c r="S1088" s="66">
        <f t="shared" si="2587"/>
        <v>9.6002727369063675E-3</v>
      </c>
      <c r="T1088" s="66">
        <f t="shared" si="2587"/>
        <v>9.9476106741253466E-3</v>
      </c>
      <c r="U1088" s="66">
        <f t="shared" si="2587"/>
        <v>1.0424349590722044E-2</v>
      </c>
      <c r="V1088" s="66">
        <f t="shared" si="2587"/>
        <v>1.027680723112195E-2</v>
      </c>
      <c r="W1088" s="66">
        <f t="shared" si="2587"/>
        <v>1.0605459320370322E-2</v>
      </c>
      <c r="X1088" s="66">
        <f t="shared" si="2587"/>
        <v>1.1556865391050979E-2</v>
      </c>
      <c r="Y1088" s="66">
        <f t="shared" ref="Y1088:Z1088" si="2588">Y750/Y906*Y1</f>
        <v>1.2575821239183729E-2</v>
      </c>
      <c r="Z1088" s="66">
        <f t="shared" si="2588"/>
        <v>1.3297334228643716E-2</v>
      </c>
      <c r="AA1088" s="66">
        <f t="shared" ref="AA1088:AB1088" si="2589">AA750/AA906*AA1</f>
        <v>1.3580908279218169E-2</v>
      </c>
      <c r="AB1088" s="66">
        <f t="shared" si="2589"/>
        <v>1.5582981735792256E-2</v>
      </c>
      <c r="AC1088" s="32" t="s">
        <v>226</v>
      </c>
      <c r="AD1088" s="32" t="s">
        <v>226</v>
      </c>
      <c r="AE1088" s="32" t="s">
        <v>226</v>
      </c>
      <c r="AF1088" s="32" t="s">
        <v>226</v>
      </c>
      <c r="AG1088" s="32" t="s">
        <v>226</v>
      </c>
      <c r="AH1088" s="32" t="s">
        <v>226</v>
      </c>
      <c r="AI1088" s="32" t="s">
        <v>226</v>
      </c>
      <c r="AJ1088" s="32"/>
      <c r="AK1088" s="32"/>
      <c r="AL1088" s="32"/>
      <c r="AM1088" s="32"/>
      <c r="AN1088" s="32"/>
      <c r="AO1088" s="32"/>
      <c r="AP1088" s="32"/>
      <c r="AQ1088" s="32"/>
      <c r="AS1088" s="35" t="s">
        <v>520</v>
      </c>
      <c r="AT1088" s="9"/>
      <c r="AU1088" s="241" t="s">
        <v>229</v>
      </c>
      <c r="AV1088" s="66">
        <f>AV750/AV906*AV1</f>
        <v>1.186774039015279E-2</v>
      </c>
      <c r="AW1088" s="66">
        <f>AW750/AW906*AW1</f>
        <v>1.0228543314219879E-2</v>
      </c>
      <c r="AX1088" s="66">
        <f>AX750/AX906*AX1</f>
        <v>9.544504323890245E-3</v>
      </c>
      <c r="AY1088" s="66">
        <f>AY750/AY906*AY1</f>
        <v>1.0317493206234617E-2</v>
      </c>
      <c r="AZ1088" s="108" t="s">
        <v>226</v>
      </c>
      <c r="BA1088" s="108" t="s">
        <v>226</v>
      </c>
      <c r="BB1088" s="108" t="s">
        <v>226</v>
      </c>
      <c r="BC1088" s="108" t="s">
        <v>226</v>
      </c>
      <c r="BD1088" s="108" t="s">
        <v>226</v>
      </c>
      <c r="BE1088" s="108" t="s">
        <v>226</v>
      </c>
    </row>
    <row r="1089" spans="1:70" x14ac:dyDescent="0.2">
      <c r="Z1089" s="1688"/>
      <c r="AA1089" s="1742"/>
      <c r="AS1089" s="10"/>
      <c r="AT1089" s="9"/>
    </row>
    <row r="1090" spans="1:70" x14ac:dyDescent="0.2">
      <c r="A1090" s="411" t="s">
        <v>194</v>
      </c>
      <c r="B1090" s="13" t="s">
        <v>340</v>
      </c>
      <c r="C1090" s="13"/>
      <c r="D1090" s="14"/>
      <c r="E1090" s="14"/>
      <c r="F1090" s="14"/>
      <c r="G1090" s="14"/>
      <c r="H1090" s="14"/>
      <c r="I1090" s="14"/>
      <c r="J1090" s="14"/>
      <c r="K1090" s="14"/>
      <c r="L1090" s="14"/>
      <c r="M1090" s="14"/>
      <c r="N1090" s="14"/>
      <c r="O1090" s="14"/>
      <c r="P1090" s="14"/>
      <c r="Q1090" s="14"/>
      <c r="R1090" s="14"/>
      <c r="S1090" s="14"/>
      <c r="T1090" s="14"/>
      <c r="U1090" s="14"/>
      <c r="V1090" s="14"/>
      <c r="W1090" s="14"/>
      <c r="X1090" s="14"/>
      <c r="Y1090" s="14"/>
      <c r="Z1090" s="14"/>
      <c r="AA1090" s="14"/>
      <c r="AB1090" s="14"/>
      <c r="AC1090" s="14"/>
      <c r="AD1090" s="14"/>
      <c r="AE1090" s="14"/>
      <c r="AF1090" s="14"/>
      <c r="AG1090" s="14"/>
      <c r="AH1090" s="14"/>
      <c r="AI1090" s="14"/>
      <c r="AJ1090" s="14"/>
      <c r="AK1090" s="14"/>
      <c r="AL1090" s="14"/>
      <c r="AM1090" s="14"/>
      <c r="AN1090" s="14"/>
      <c r="AO1090" s="14"/>
      <c r="AP1090" s="14"/>
      <c r="AQ1090" s="14"/>
      <c r="AS1090" s="13" t="s">
        <v>340</v>
      </c>
      <c r="AT1090" s="13"/>
      <c r="AU1090" s="14"/>
      <c r="AV1090" s="14"/>
      <c r="AW1090" s="14"/>
      <c r="AX1090" s="14"/>
      <c r="AY1090" s="14"/>
      <c r="AZ1090" s="14"/>
      <c r="BA1090" s="14"/>
      <c r="BB1090" s="14"/>
      <c r="BC1090" s="14"/>
      <c r="BD1090" s="14"/>
      <c r="BE1090" s="14"/>
      <c r="BF1090" s="15"/>
      <c r="BG1090" s="15"/>
      <c r="BH1090" s="15"/>
      <c r="BI1090" s="15"/>
      <c r="BJ1090" s="15"/>
      <c r="BK1090" s="15"/>
      <c r="BL1090" s="15"/>
    </row>
    <row r="1091" spans="1:70" x14ac:dyDescent="0.2">
      <c r="B1091" s="35"/>
      <c r="D1091" s="81"/>
      <c r="E1091" s="81"/>
      <c r="F1091" s="81"/>
      <c r="G1091" s="81"/>
      <c r="H1091" s="81"/>
      <c r="I1091" s="81"/>
      <c r="J1091" s="81"/>
      <c r="K1091" s="81"/>
      <c r="L1091" s="81"/>
      <c r="M1091" s="81"/>
      <c r="N1091" s="81"/>
      <c r="O1091" s="81"/>
      <c r="P1091" s="81"/>
      <c r="Q1091" s="81"/>
      <c r="R1091" s="81"/>
      <c r="S1091" s="81"/>
      <c r="T1091" s="81"/>
      <c r="U1091" s="81"/>
      <c r="V1091" s="81"/>
      <c r="W1091" s="81"/>
      <c r="AS1091" s="35"/>
      <c r="AT1091" s="9"/>
      <c r="AU1091" s="81"/>
      <c r="AV1091" s="81"/>
      <c r="AW1091" s="81"/>
      <c r="AX1091" s="81"/>
      <c r="AY1091" s="81"/>
      <c r="AZ1091" s="81"/>
      <c r="BA1091" s="81"/>
      <c r="BB1091" s="81"/>
      <c r="BC1091" s="81"/>
      <c r="BD1091" s="81"/>
      <c r="BE1091" s="81"/>
      <c r="BF1091" s="107"/>
      <c r="BG1091" s="107"/>
      <c r="BH1091" s="107"/>
      <c r="BI1091" s="107"/>
      <c r="BJ1091" s="107"/>
      <c r="BK1091" s="107"/>
      <c r="BL1091" s="107"/>
    </row>
    <row r="1092" spans="1:70" s="342" customFormat="1" hidden="1" outlineLevel="1" x14ac:dyDescent="0.2">
      <c r="A1092" s="830"/>
      <c r="B1092" s="705" t="s">
        <v>317</v>
      </c>
      <c r="C1092" s="706"/>
      <c r="D1092" s="706"/>
      <c r="E1092" s="706"/>
      <c r="F1092" s="706"/>
      <c r="G1092" s="706"/>
      <c r="H1092" s="706"/>
      <c r="I1092" s="707"/>
      <c r="J1092" s="708"/>
      <c r="K1092" s="707"/>
      <c r="L1092" s="708"/>
      <c r="M1092" s="707"/>
      <c r="N1092" s="707"/>
      <c r="O1092" s="707"/>
      <c r="P1092" s="708"/>
      <c r="Q1092" s="705"/>
      <c r="R1092" s="705"/>
      <c r="S1092" s="705"/>
      <c r="T1092" s="705"/>
      <c r="U1092" s="705"/>
      <c r="V1092" s="705"/>
      <c r="W1092" s="705"/>
      <c r="X1092" s="705"/>
      <c r="Y1092" s="707"/>
      <c r="Z1092" s="709"/>
      <c r="AA1092" s="709"/>
      <c r="AB1092" s="709"/>
      <c r="AC1092" s="709"/>
      <c r="AD1092" s="709"/>
      <c r="AE1092" s="709"/>
      <c r="AF1092" s="709"/>
      <c r="AG1092" s="709"/>
      <c r="AH1092" s="709"/>
      <c r="AI1092" s="706"/>
      <c r="AJ1092" s="706"/>
      <c r="AK1092" s="706"/>
      <c r="AL1092" s="706"/>
      <c r="AM1092" s="706"/>
      <c r="AN1092" s="706"/>
      <c r="AO1092" s="706"/>
      <c r="AP1092" s="706"/>
      <c r="AQ1092" s="706"/>
      <c r="AR1092" s="70"/>
      <c r="AS1092" s="705" t="s">
        <v>317</v>
      </c>
      <c r="AT1092" s="706"/>
      <c r="AU1092" s="706"/>
      <c r="AV1092" s="706"/>
      <c r="AW1092" s="706"/>
      <c r="AX1092" s="706"/>
      <c r="AY1092" s="706"/>
      <c r="AZ1092" s="707"/>
      <c r="BA1092" s="708"/>
      <c r="BB1092" s="708"/>
      <c r="BC1092" s="708"/>
      <c r="BD1092" s="708"/>
      <c r="BE1092" s="707"/>
      <c r="BF1092" s="720"/>
      <c r="BG1092" s="720"/>
      <c r="BH1092" s="723"/>
      <c r="BI1092" s="712"/>
      <c r="BJ1092" s="712"/>
      <c r="BK1092" s="712"/>
      <c r="BL1092" s="712"/>
      <c r="BM1092"/>
      <c r="BN1092"/>
      <c r="BO1092"/>
      <c r="BP1092"/>
      <c r="BQ1092"/>
      <c r="BR1092"/>
    </row>
    <row r="1093" spans="1:70" s="369" customFormat="1" hidden="1" outlineLevel="1" x14ac:dyDescent="0.2">
      <c r="A1093" s="830"/>
      <c r="B1093" s="334" t="s">
        <v>315</v>
      </c>
      <c r="C1093" s="334"/>
      <c r="D1093" s="560">
        <v>711</v>
      </c>
      <c r="E1093" s="560">
        <v>744</v>
      </c>
      <c r="F1093" s="560">
        <v>742</v>
      </c>
      <c r="G1093" s="560">
        <v>742</v>
      </c>
      <c r="H1093" s="560">
        <v>742</v>
      </c>
      <c r="I1093" s="560">
        <v>710</v>
      </c>
      <c r="J1093" s="560">
        <v>745</v>
      </c>
      <c r="K1093" s="560">
        <v>840</v>
      </c>
      <c r="L1093" s="560">
        <v>890</v>
      </c>
      <c r="M1093" s="560">
        <v>904</v>
      </c>
      <c r="N1093" s="560">
        <v>868</v>
      </c>
      <c r="O1093" s="560">
        <v>736</v>
      </c>
      <c r="P1093" s="560">
        <v>540</v>
      </c>
      <c r="Q1093" s="560">
        <v>567</v>
      </c>
      <c r="R1093" s="560">
        <v>529</v>
      </c>
      <c r="S1093" s="560">
        <v>523</v>
      </c>
      <c r="T1093" s="560">
        <v>498</v>
      </c>
      <c r="U1093" s="560">
        <v>515</v>
      </c>
      <c r="V1093" s="560">
        <v>579</v>
      </c>
      <c r="W1093" s="560">
        <v>474</v>
      </c>
      <c r="X1093" s="560">
        <v>488</v>
      </c>
      <c r="Y1093" s="560">
        <v>477</v>
      </c>
      <c r="Z1093" s="560">
        <v>489</v>
      </c>
      <c r="AA1093" s="560">
        <v>515</v>
      </c>
      <c r="AB1093" s="560">
        <v>493</v>
      </c>
      <c r="AC1093" s="626"/>
      <c r="AD1093" s="710"/>
      <c r="AE1093" s="710"/>
      <c r="AF1093" s="710"/>
      <c r="AG1093" s="710"/>
      <c r="AH1093" s="710"/>
      <c r="AI1093" s="633"/>
      <c r="AJ1093" s="633"/>
      <c r="AK1093" s="633"/>
      <c r="AL1093" s="633"/>
      <c r="AM1093" s="633"/>
      <c r="AN1093" s="633"/>
      <c r="AO1093" s="633"/>
      <c r="AP1093" s="633"/>
      <c r="AQ1093" s="633"/>
      <c r="AR1093" s="70"/>
      <c r="AS1093" s="334" t="s">
        <v>315</v>
      </c>
      <c r="AT1093" s="334"/>
      <c r="AU1093" s="467">
        <f>G1093</f>
        <v>742</v>
      </c>
      <c r="AV1093" s="467">
        <f>K1093</f>
        <v>840</v>
      </c>
      <c r="AW1093" s="467">
        <f>O1093</f>
        <v>736</v>
      </c>
      <c r="AX1093" s="467">
        <f>S1093</f>
        <v>523</v>
      </c>
      <c r="AY1093" s="467">
        <f>W1093</f>
        <v>474</v>
      </c>
      <c r="BM1093"/>
      <c r="BN1093"/>
      <c r="BO1093"/>
      <c r="BP1093"/>
      <c r="BQ1093"/>
      <c r="BR1093"/>
    </row>
    <row r="1094" spans="1:70" s="369" customFormat="1" hidden="1" outlineLevel="1" x14ac:dyDescent="0.2">
      <c r="A1094" s="830"/>
      <c r="B1094" s="334" t="s">
        <v>108</v>
      </c>
      <c r="C1094" s="334"/>
      <c r="D1094" s="579">
        <v>2221</v>
      </c>
      <c r="E1094" s="579">
        <v>1948</v>
      </c>
      <c r="F1094" s="579">
        <v>1888</v>
      </c>
      <c r="G1094" s="579">
        <v>1946</v>
      </c>
      <c r="H1094" s="579">
        <v>1830</v>
      </c>
      <c r="I1094" s="579">
        <v>1649</v>
      </c>
      <c r="J1094" s="579">
        <v>1683</v>
      </c>
      <c r="K1094" s="579">
        <v>1878</v>
      </c>
      <c r="L1094" s="579">
        <v>1784</v>
      </c>
      <c r="M1094" s="579">
        <v>1657</v>
      </c>
      <c r="N1094" s="579">
        <v>1640</v>
      </c>
      <c r="O1094" s="579">
        <v>1708</v>
      </c>
      <c r="P1094" s="579">
        <v>1592</v>
      </c>
      <c r="Q1094" s="579">
        <v>1453</v>
      </c>
      <c r="R1094" s="579">
        <v>1452</v>
      </c>
      <c r="S1094" s="579">
        <v>1596</v>
      </c>
      <c r="T1094" s="579">
        <v>1524</v>
      </c>
      <c r="U1094" s="579">
        <v>1450</v>
      </c>
      <c r="V1094" s="579">
        <v>1587</v>
      </c>
      <c r="W1094" s="579">
        <v>1819</v>
      </c>
      <c r="X1094" s="579">
        <v>1753</v>
      </c>
      <c r="Y1094" s="579">
        <v>1706</v>
      </c>
      <c r="Z1094" s="579">
        <v>1790</v>
      </c>
      <c r="AA1094" s="579">
        <v>1963</v>
      </c>
      <c r="AB1094" s="579">
        <v>1886</v>
      </c>
      <c r="AC1094" s="626"/>
      <c r="AD1094" s="710"/>
      <c r="AE1094" s="710"/>
      <c r="AF1094" s="710"/>
      <c r="AG1094" s="710"/>
      <c r="AH1094" s="710"/>
      <c r="AI1094" s="633"/>
      <c r="AJ1094" s="633"/>
      <c r="AK1094" s="633"/>
      <c r="AL1094" s="633"/>
      <c r="AM1094" s="633"/>
      <c r="AN1094" s="633"/>
      <c r="AO1094" s="633"/>
      <c r="AP1094" s="633"/>
      <c r="AQ1094" s="633"/>
      <c r="AR1094" s="70"/>
      <c r="AS1094" s="334" t="s">
        <v>108</v>
      </c>
      <c r="AT1094" s="334"/>
      <c r="AU1094" s="532">
        <f>G1094</f>
        <v>1946</v>
      </c>
      <c r="AV1094" s="532">
        <f>K1094</f>
        <v>1878</v>
      </c>
      <c r="AW1094" s="532">
        <f>O1094</f>
        <v>1708</v>
      </c>
      <c r="AX1094" s="532">
        <f>S1094</f>
        <v>1596</v>
      </c>
      <c r="AY1094" s="532">
        <f>W1094</f>
        <v>1819</v>
      </c>
      <c r="BM1094"/>
      <c r="BN1094"/>
      <c r="BO1094"/>
      <c r="BP1094"/>
      <c r="BQ1094"/>
      <c r="BR1094"/>
    </row>
    <row r="1095" spans="1:70" s="369" customFormat="1" hidden="1" outlineLevel="1" x14ac:dyDescent="0.2">
      <c r="A1095" s="830"/>
      <c r="B1095" s="334"/>
      <c r="C1095" s="334" t="s">
        <v>122</v>
      </c>
      <c r="D1095" s="69">
        <f t="shared" ref="D1095:X1095" si="2590">SUM(D1093:D1094)</f>
        <v>2932</v>
      </c>
      <c r="E1095" s="69">
        <f t="shared" si="2590"/>
        <v>2692</v>
      </c>
      <c r="F1095" s="69">
        <f t="shared" si="2590"/>
        <v>2630</v>
      </c>
      <c r="G1095" s="69">
        <f t="shared" si="2590"/>
        <v>2688</v>
      </c>
      <c r="H1095" s="69">
        <f t="shared" si="2590"/>
        <v>2572</v>
      </c>
      <c r="I1095" s="69">
        <f t="shared" si="2590"/>
        <v>2359</v>
      </c>
      <c r="J1095" s="69">
        <f t="shared" si="2590"/>
        <v>2428</v>
      </c>
      <c r="K1095" s="69">
        <f t="shared" si="2590"/>
        <v>2718</v>
      </c>
      <c r="L1095" s="69">
        <f t="shared" si="2590"/>
        <v>2674</v>
      </c>
      <c r="M1095" s="69">
        <f t="shared" si="2590"/>
        <v>2561</v>
      </c>
      <c r="N1095" s="69">
        <f t="shared" si="2590"/>
        <v>2508</v>
      </c>
      <c r="O1095" s="69">
        <f t="shared" si="2590"/>
        <v>2444</v>
      </c>
      <c r="P1095" s="69">
        <f t="shared" si="2590"/>
        <v>2132</v>
      </c>
      <c r="Q1095" s="69">
        <f t="shared" si="2590"/>
        <v>2020</v>
      </c>
      <c r="R1095" s="69">
        <f t="shared" si="2590"/>
        <v>1981</v>
      </c>
      <c r="S1095" s="69">
        <f t="shared" si="2590"/>
        <v>2119</v>
      </c>
      <c r="T1095" s="69">
        <f t="shared" si="2590"/>
        <v>2022</v>
      </c>
      <c r="U1095" s="69">
        <f t="shared" si="2590"/>
        <v>1965</v>
      </c>
      <c r="V1095" s="69">
        <f t="shared" si="2590"/>
        <v>2166</v>
      </c>
      <c r="W1095" s="69">
        <f t="shared" si="2590"/>
        <v>2293</v>
      </c>
      <c r="X1095" s="69">
        <f t="shared" si="2590"/>
        <v>2241</v>
      </c>
      <c r="Y1095" s="69">
        <f t="shared" ref="Y1095:Z1095" si="2591">SUM(Y1093:Y1094)</f>
        <v>2183</v>
      </c>
      <c r="Z1095" s="69">
        <f t="shared" si="2591"/>
        <v>2279</v>
      </c>
      <c r="AA1095" s="69">
        <f t="shared" ref="AA1095:AB1095" si="2592">SUM(AA1093:AA1094)</f>
        <v>2478</v>
      </c>
      <c r="AB1095" s="69">
        <f t="shared" si="2592"/>
        <v>2379</v>
      </c>
      <c r="AC1095" s="626"/>
      <c r="AD1095" s="710"/>
      <c r="AE1095" s="710"/>
      <c r="AF1095" s="710"/>
      <c r="AG1095" s="710"/>
      <c r="AH1095" s="710"/>
      <c r="AI1095" s="633"/>
      <c r="AJ1095" s="633"/>
      <c r="AK1095" s="633"/>
      <c r="AL1095" s="633"/>
      <c r="AM1095" s="633"/>
      <c r="AN1095" s="633"/>
      <c r="AO1095" s="633"/>
      <c r="AP1095" s="633"/>
      <c r="AQ1095" s="633"/>
      <c r="AR1095" s="70"/>
      <c r="AS1095" s="334"/>
      <c r="AT1095" s="334" t="s">
        <v>122</v>
      </c>
      <c r="AU1095" s="69">
        <f>SUM(AU1093:AU1094)</f>
        <v>2688</v>
      </c>
      <c r="AV1095" s="69">
        <f>SUM(AV1093:AV1094)</f>
        <v>2718</v>
      </c>
      <c r="AW1095" s="69">
        <f>SUM(AW1093:AW1094)</f>
        <v>2444</v>
      </c>
      <c r="AX1095" s="69">
        <f>SUM(AX1093:AX1094)</f>
        <v>2119</v>
      </c>
      <c r="AY1095" s="69">
        <f>SUM(AY1093:AY1094)</f>
        <v>2293</v>
      </c>
      <c r="BM1095"/>
      <c r="BN1095"/>
      <c r="BO1095"/>
      <c r="BP1095"/>
      <c r="BQ1095"/>
      <c r="BR1095"/>
    </row>
    <row r="1096" spans="1:70" s="369" customFormat="1" hidden="1" outlineLevel="1" x14ac:dyDescent="0.2">
      <c r="A1096" s="830"/>
      <c r="B1096" s="334" t="s">
        <v>316</v>
      </c>
      <c r="C1096" s="334"/>
      <c r="D1096" s="579">
        <v>6020</v>
      </c>
      <c r="E1096" s="579">
        <v>5733</v>
      </c>
      <c r="F1096" s="579">
        <v>5338</v>
      </c>
      <c r="G1096" s="579">
        <v>4976</v>
      </c>
      <c r="H1096" s="579">
        <v>4054</v>
      </c>
      <c r="I1096" s="579">
        <v>3498</v>
      </c>
      <c r="J1096" s="579">
        <v>3228</v>
      </c>
      <c r="K1096" s="579">
        <v>2981</v>
      </c>
      <c r="L1096" s="579">
        <v>2932</v>
      </c>
      <c r="M1096" s="579">
        <v>2837</v>
      </c>
      <c r="N1096" s="579">
        <v>2341</v>
      </c>
      <c r="O1096" s="579">
        <v>2188</v>
      </c>
      <c r="P1096" s="579">
        <v>1801</v>
      </c>
      <c r="Q1096" s="579">
        <v>1647</v>
      </c>
      <c r="R1096" s="579">
        <v>1528</v>
      </c>
      <c r="S1096" s="579">
        <v>927</v>
      </c>
      <c r="T1096" s="579">
        <v>896</v>
      </c>
      <c r="U1096" s="579">
        <v>878</v>
      </c>
      <c r="V1096" s="579">
        <v>857</v>
      </c>
      <c r="W1096" s="579">
        <v>834</v>
      </c>
      <c r="X1096" s="579">
        <v>684</v>
      </c>
      <c r="Y1096" s="579">
        <v>601</v>
      </c>
      <c r="Z1096" s="579">
        <v>605</v>
      </c>
      <c r="AA1096" s="579">
        <v>557</v>
      </c>
      <c r="AB1096" s="579">
        <v>478</v>
      </c>
      <c r="AC1096" s="626"/>
      <c r="AD1096" s="710"/>
      <c r="AE1096" s="710"/>
      <c r="AF1096" s="710"/>
      <c r="AG1096" s="710"/>
      <c r="AH1096" s="710"/>
      <c r="AI1096" s="633"/>
      <c r="AJ1096" s="633"/>
      <c r="AK1096" s="633"/>
      <c r="AL1096" s="633"/>
      <c r="AM1096" s="633"/>
      <c r="AN1096" s="633"/>
      <c r="AO1096" s="633"/>
      <c r="AP1096" s="633"/>
      <c r="AQ1096" s="633"/>
      <c r="AR1096" s="70"/>
      <c r="AS1096" s="334" t="s">
        <v>316</v>
      </c>
      <c r="AT1096" s="334"/>
      <c r="AU1096" s="532">
        <f>G1096</f>
        <v>4976</v>
      </c>
      <c r="AV1096" s="532">
        <f>K1096</f>
        <v>2981</v>
      </c>
      <c r="AW1096" s="532">
        <f>O1096</f>
        <v>2188</v>
      </c>
      <c r="AX1096" s="532">
        <f>S1096</f>
        <v>927</v>
      </c>
      <c r="AY1096" s="532">
        <f>W1096</f>
        <v>834</v>
      </c>
      <c r="BM1096"/>
      <c r="BN1096"/>
      <c r="BO1096"/>
      <c r="BP1096"/>
      <c r="BQ1096"/>
      <c r="BR1096"/>
    </row>
    <row r="1097" spans="1:70" s="369" customFormat="1" hidden="1" outlineLevel="1" x14ac:dyDescent="0.2">
      <c r="A1097" s="830"/>
      <c r="B1097" s="321"/>
      <c r="C1097" s="334" t="s">
        <v>318</v>
      </c>
      <c r="D1097" s="378">
        <f t="shared" ref="D1097:X1097" si="2593">D1096+D1095</f>
        <v>8952</v>
      </c>
      <c r="E1097" s="378">
        <f t="shared" si="2593"/>
        <v>8425</v>
      </c>
      <c r="F1097" s="378">
        <f t="shared" si="2593"/>
        <v>7968</v>
      </c>
      <c r="G1097" s="378">
        <f t="shared" si="2593"/>
        <v>7664</v>
      </c>
      <c r="H1097" s="378">
        <f t="shared" si="2593"/>
        <v>6626</v>
      </c>
      <c r="I1097" s="378">
        <f t="shared" si="2593"/>
        <v>5857</v>
      </c>
      <c r="J1097" s="378">
        <f t="shared" si="2593"/>
        <v>5656</v>
      </c>
      <c r="K1097" s="378">
        <f t="shared" si="2593"/>
        <v>5699</v>
      </c>
      <c r="L1097" s="378">
        <f t="shared" si="2593"/>
        <v>5606</v>
      </c>
      <c r="M1097" s="378">
        <f t="shared" si="2593"/>
        <v>5398</v>
      </c>
      <c r="N1097" s="378">
        <f t="shared" si="2593"/>
        <v>4849</v>
      </c>
      <c r="O1097" s="378">
        <f t="shared" si="2593"/>
        <v>4632</v>
      </c>
      <c r="P1097" s="378">
        <f t="shared" si="2593"/>
        <v>3933</v>
      </c>
      <c r="Q1097" s="378">
        <f t="shared" si="2593"/>
        <v>3667</v>
      </c>
      <c r="R1097" s="378">
        <f t="shared" si="2593"/>
        <v>3509</v>
      </c>
      <c r="S1097" s="378">
        <f t="shared" si="2593"/>
        <v>3046</v>
      </c>
      <c r="T1097" s="378">
        <f t="shared" si="2593"/>
        <v>2918</v>
      </c>
      <c r="U1097" s="378">
        <f t="shared" si="2593"/>
        <v>2843</v>
      </c>
      <c r="V1097" s="378">
        <f t="shared" si="2593"/>
        <v>3023</v>
      </c>
      <c r="W1097" s="378">
        <f t="shared" si="2593"/>
        <v>3127</v>
      </c>
      <c r="X1097" s="378">
        <f t="shared" si="2593"/>
        <v>2925</v>
      </c>
      <c r="Y1097" s="378">
        <f t="shared" ref="Y1097:Z1097" si="2594">Y1096+Y1095</f>
        <v>2784</v>
      </c>
      <c r="Z1097" s="378">
        <f t="shared" si="2594"/>
        <v>2884</v>
      </c>
      <c r="AA1097" s="378">
        <f t="shared" ref="AA1097:AB1097" si="2595">AA1096+AA1095</f>
        <v>3035</v>
      </c>
      <c r="AB1097" s="378">
        <f t="shared" si="2595"/>
        <v>2857</v>
      </c>
      <c r="AC1097" s="626"/>
      <c r="AD1097" s="711"/>
      <c r="AE1097" s="711"/>
      <c r="AF1097" s="711"/>
      <c r="AG1097" s="711"/>
      <c r="AH1097" s="711"/>
      <c r="AI1097" s="633"/>
      <c r="AJ1097" s="633"/>
      <c r="AK1097" s="633"/>
      <c r="AL1097" s="633"/>
      <c r="AM1097" s="633"/>
      <c r="AN1097" s="633"/>
      <c r="AO1097" s="633"/>
      <c r="AP1097" s="633"/>
      <c r="AQ1097" s="633"/>
      <c r="AR1097" s="70"/>
      <c r="AS1097" s="321"/>
      <c r="AT1097" s="334" t="s">
        <v>318</v>
      </c>
      <c r="AU1097" s="69">
        <f>SUM(AU1095:AU1096)</f>
        <v>7664</v>
      </c>
      <c r="AV1097" s="69">
        <f>SUM(AV1095:AV1096)</f>
        <v>5699</v>
      </c>
      <c r="AW1097" s="69">
        <f>SUM(AW1095:AW1096)</f>
        <v>4632</v>
      </c>
      <c r="AX1097" s="69">
        <f>SUM(AX1095:AX1096)</f>
        <v>3046</v>
      </c>
      <c r="AY1097" s="69">
        <f>SUM(AY1095:AY1096)</f>
        <v>3127</v>
      </c>
      <c r="BM1097"/>
      <c r="BN1097"/>
      <c r="BO1097"/>
      <c r="BP1097"/>
      <c r="BQ1097"/>
      <c r="BR1097"/>
    </row>
    <row r="1098" spans="1:70" s="369" customFormat="1" hidden="1" outlineLevel="1" x14ac:dyDescent="0.2">
      <c r="A1098" s="830"/>
      <c r="B1098" s="450"/>
      <c r="C1098" s="450"/>
      <c r="D1098" s="69"/>
      <c r="E1098" s="69"/>
      <c r="F1098" s="69"/>
      <c r="G1098" s="69"/>
      <c r="H1098" s="69"/>
      <c r="I1098" s="69"/>
      <c r="J1098" s="69"/>
      <c r="K1098" s="69"/>
      <c r="L1098" s="69"/>
      <c r="M1098" s="69"/>
      <c r="N1098" s="69"/>
      <c r="O1098" s="69"/>
      <c r="P1098" s="69"/>
      <c r="Q1098" s="69"/>
      <c r="R1098" s="69"/>
      <c r="S1098" s="69"/>
      <c r="T1098" s="69"/>
      <c r="U1098" s="69"/>
      <c r="V1098" s="69"/>
      <c r="W1098" s="69"/>
      <c r="X1098" s="69"/>
      <c r="Y1098" s="69"/>
      <c r="Z1098" s="69"/>
      <c r="AA1098" s="69"/>
      <c r="AB1098" s="69"/>
      <c r="AC1098" s="626"/>
      <c r="AD1098" s="710"/>
      <c r="AE1098" s="710"/>
      <c r="AF1098" s="710"/>
      <c r="AG1098" s="710"/>
      <c r="AH1098" s="710"/>
      <c r="AI1098" s="633"/>
      <c r="AJ1098" s="633"/>
      <c r="AK1098" s="633"/>
      <c r="AL1098" s="633"/>
      <c r="AM1098" s="633"/>
      <c r="AN1098" s="633"/>
      <c r="AO1098" s="633"/>
      <c r="AP1098" s="633"/>
      <c r="AQ1098" s="633"/>
      <c r="AR1098" s="70"/>
      <c r="AS1098" s="450"/>
      <c r="AT1098" s="450"/>
      <c r="AU1098" s="710"/>
      <c r="BM1098"/>
      <c r="BN1098"/>
      <c r="BO1098"/>
      <c r="BP1098"/>
      <c r="BQ1098"/>
      <c r="BR1098"/>
    </row>
    <row r="1099" spans="1:70" s="369" customFormat="1" hidden="1" outlineLevel="1" x14ac:dyDescent="0.2">
      <c r="A1099" s="830"/>
      <c r="B1099" s="712" t="s">
        <v>319</v>
      </c>
      <c r="D1099" s="515"/>
      <c r="E1099" s="321"/>
      <c r="F1099" s="321"/>
      <c r="G1099" s="321"/>
      <c r="H1099" s="321"/>
      <c r="I1099" s="321"/>
      <c r="J1099" s="321"/>
      <c r="K1099" s="321"/>
      <c r="L1099" s="321"/>
      <c r="M1099" s="321"/>
      <c r="N1099" s="321"/>
      <c r="O1099" s="321"/>
      <c r="P1099" s="321"/>
      <c r="Q1099" s="321"/>
      <c r="R1099" s="321"/>
      <c r="S1099" s="321"/>
      <c r="T1099" s="321"/>
      <c r="U1099" s="321"/>
      <c r="V1099" s="321"/>
      <c r="W1099" s="321"/>
      <c r="X1099" s="321"/>
      <c r="Y1099" s="321"/>
      <c r="Z1099" s="321"/>
      <c r="AA1099" s="321"/>
      <c r="AB1099" s="321"/>
      <c r="AC1099" s="626"/>
      <c r="AD1099" s="710"/>
      <c r="AE1099" s="710"/>
      <c r="AF1099" s="710"/>
      <c r="AG1099" s="710"/>
      <c r="AH1099" s="710"/>
      <c r="AI1099" s="633"/>
      <c r="AJ1099" s="633"/>
      <c r="AK1099" s="633"/>
      <c r="AL1099" s="633"/>
      <c r="AM1099" s="633"/>
      <c r="AN1099" s="633"/>
      <c r="AO1099" s="633"/>
      <c r="AP1099" s="633"/>
      <c r="AQ1099" s="633"/>
      <c r="AR1099" s="70"/>
      <c r="AS1099" s="712" t="s">
        <v>319</v>
      </c>
      <c r="AU1099" s="710"/>
      <c r="BM1099"/>
      <c r="BN1099"/>
      <c r="BO1099"/>
      <c r="BP1099"/>
      <c r="BQ1099"/>
      <c r="BR1099"/>
    </row>
    <row r="1100" spans="1:70" s="369" customFormat="1" hidden="1" outlineLevel="1" x14ac:dyDescent="0.2">
      <c r="A1100" s="830"/>
      <c r="B1100" s="334" t="s">
        <v>315</v>
      </c>
      <c r="C1100" s="334"/>
      <c r="D1100" s="713">
        <f t="shared" ref="D1100:X1100" si="2596">D1093/(D983*1000)</f>
        <v>5.5159038013964309E-3</v>
      </c>
      <c r="E1100" s="713">
        <f t="shared" si="2596"/>
        <v>5.8170445660672403E-3</v>
      </c>
      <c r="F1100" s="713">
        <f t="shared" si="2596"/>
        <v>5.6297420333839146E-3</v>
      </c>
      <c r="G1100" s="713">
        <f t="shared" si="2596"/>
        <v>5.524944154877141E-3</v>
      </c>
      <c r="H1100" s="713">
        <f t="shared" si="2596"/>
        <v>5.4398826979472148E-3</v>
      </c>
      <c r="I1100" s="713">
        <f t="shared" si="2596"/>
        <v>5.3103964098728494E-3</v>
      </c>
      <c r="J1100" s="713">
        <f t="shared" si="2596"/>
        <v>5.4658840792369771E-3</v>
      </c>
      <c r="K1100" s="713">
        <f t="shared" si="2596"/>
        <v>5.9957173447537475E-3</v>
      </c>
      <c r="L1100" s="713">
        <f t="shared" si="2596"/>
        <v>6.2412342215988782E-3</v>
      </c>
      <c r="M1100" s="713">
        <f t="shared" si="2596"/>
        <v>6.1706484641638228E-3</v>
      </c>
      <c r="N1100" s="713">
        <f t="shared" si="2596"/>
        <v>5.9492803289924604E-3</v>
      </c>
      <c r="O1100" s="713">
        <f t="shared" si="2596"/>
        <v>5.205091937765206E-3</v>
      </c>
      <c r="P1100" s="713">
        <f t="shared" si="2596"/>
        <v>3.8379530916844351E-3</v>
      </c>
      <c r="Q1100" s="713">
        <f t="shared" si="2596"/>
        <v>3.9817415730337077E-3</v>
      </c>
      <c r="R1100" s="713">
        <f t="shared" si="2596"/>
        <v>3.8030194104960459E-3</v>
      </c>
      <c r="S1100" s="713">
        <f t="shared" si="2596"/>
        <v>3.7277263007840342E-3</v>
      </c>
      <c r="T1100" s="713">
        <f t="shared" si="2596"/>
        <v>3.5070422535211265E-3</v>
      </c>
      <c r="U1100" s="713">
        <f t="shared" si="2596"/>
        <v>3.6421499292786422E-3</v>
      </c>
      <c r="V1100" s="713">
        <f t="shared" si="2596"/>
        <v>4.0889830508474573E-3</v>
      </c>
      <c r="W1100" s="713">
        <f t="shared" si="2596"/>
        <v>3.4776228906823184E-3</v>
      </c>
      <c r="X1100" s="713">
        <f t="shared" si="2596"/>
        <v>3.4512022630834513E-3</v>
      </c>
      <c r="Y1100" s="713">
        <f t="shared" ref="Y1100:Z1100" si="2597">Y1093/(Y983*1000)</f>
        <v>3.3263598326359833E-3</v>
      </c>
      <c r="Z1100" s="713">
        <f t="shared" si="2597"/>
        <v>3.3911234396671289E-3</v>
      </c>
      <c r="AA1100" s="713">
        <f t="shared" ref="AA1100:AB1100" si="2598">AA1093/(AA983*1000)</f>
        <v>3.5298149417409184E-3</v>
      </c>
      <c r="AB1100" s="713">
        <f t="shared" si="2598"/>
        <v>3.344640434192673E-3</v>
      </c>
      <c r="AC1100" s="626"/>
      <c r="AD1100" s="710"/>
      <c r="AE1100" s="710"/>
      <c r="AF1100" s="710"/>
      <c r="AG1100" s="710"/>
      <c r="AH1100" s="710"/>
      <c r="AI1100" s="633"/>
      <c r="AJ1100" s="633"/>
      <c r="AK1100" s="633"/>
      <c r="AL1100" s="633"/>
      <c r="AM1100" s="633"/>
      <c r="AN1100" s="633"/>
      <c r="AO1100" s="633"/>
      <c r="AP1100" s="633"/>
      <c r="AQ1100" s="633"/>
      <c r="AR1100" s="70"/>
      <c r="AS1100" s="334" t="s">
        <v>315</v>
      </c>
      <c r="AT1100" s="334"/>
      <c r="AU1100" s="713">
        <f>AU1093/(AU983*1000)</f>
        <v>5.524944154877141E-3</v>
      </c>
      <c r="AV1100" s="713">
        <f>AV1093/(AV983*1000)</f>
        <v>5.9957173447537475E-3</v>
      </c>
      <c r="AW1100" s="713">
        <f>AW1093/(AW983*1000)</f>
        <v>5.205091937765206E-3</v>
      </c>
      <c r="AX1100" s="713">
        <f>AX1093/(AX983*1000)</f>
        <v>3.7277263007840342E-3</v>
      </c>
      <c r="AY1100" s="713">
        <f>AY1093/(AY983*1000)</f>
        <v>3.4776228906823184E-3</v>
      </c>
      <c r="BM1100"/>
      <c r="BN1100"/>
      <c r="BO1100"/>
      <c r="BP1100"/>
      <c r="BQ1100"/>
      <c r="BR1100"/>
    </row>
    <row r="1101" spans="1:70" s="369" customFormat="1" hidden="1" outlineLevel="1" x14ac:dyDescent="0.2">
      <c r="A1101" s="830"/>
      <c r="B1101" s="334" t="s">
        <v>108</v>
      </c>
      <c r="C1101" s="334"/>
      <c r="D1101" s="714">
        <f t="shared" ref="D1101:X1101" si="2599">D1094/(D982*1000)</f>
        <v>1.6415373244641537E-2</v>
      </c>
      <c r="E1101" s="714">
        <f t="shared" si="2599"/>
        <v>1.4440326167531504E-2</v>
      </c>
      <c r="F1101" s="714">
        <f t="shared" si="2599"/>
        <v>1.3964497041420115E-2</v>
      </c>
      <c r="G1101" s="714">
        <f t="shared" si="2599"/>
        <v>1.4010079193664506E-2</v>
      </c>
      <c r="H1101" s="714">
        <f t="shared" si="2599"/>
        <v>1.3895216400911162E-2</v>
      </c>
      <c r="I1101" s="714">
        <f t="shared" si="2599"/>
        <v>1.2511380880121397E-2</v>
      </c>
      <c r="J1101" s="714">
        <f t="shared" si="2599"/>
        <v>1.2222222222222223E-2</v>
      </c>
      <c r="K1101" s="714">
        <f t="shared" si="2599"/>
        <v>1.3087108013937282E-2</v>
      </c>
      <c r="L1101" s="714">
        <f t="shared" si="2599"/>
        <v>1.3205033308660252E-2</v>
      </c>
      <c r="M1101" s="714">
        <f t="shared" si="2599"/>
        <v>1.2059679767103348E-2</v>
      </c>
      <c r="N1101" s="714">
        <f t="shared" si="2599"/>
        <v>1.208548268238762E-2</v>
      </c>
      <c r="O1101" s="714">
        <f t="shared" si="2599"/>
        <v>1.2261306532663316E-2</v>
      </c>
      <c r="P1101" s="714">
        <f t="shared" si="2599"/>
        <v>1.2265023112480738E-2</v>
      </c>
      <c r="Q1101" s="714">
        <f t="shared" si="2599"/>
        <v>1.1032649962034926E-2</v>
      </c>
      <c r="R1101" s="714">
        <f t="shared" si="2599"/>
        <v>1.1143514965464311E-2</v>
      </c>
      <c r="S1101" s="714">
        <f t="shared" si="2599"/>
        <v>1.1709464416727806E-2</v>
      </c>
      <c r="T1101" s="714">
        <f t="shared" si="2599"/>
        <v>1.1696085955487335E-2</v>
      </c>
      <c r="U1101" s="714">
        <f t="shared" si="2599"/>
        <v>1.0111576011157601E-2</v>
      </c>
      <c r="V1101" s="714">
        <f t="shared" si="2599"/>
        <v>1.0737483085250341E-2</v>
      </c>
      <c r="W1101" s="714">
        <f t="shared" si="2599"/>
        <v>1.1690231362467864E-2</v>
      </c>
      <c r="X1101" s="714">
        <f t="shared" si="2599"/>
        <v>1.1694462975316879E-2</v>
      </c>
      <c r="Y1101" s="714">
        <f t="shared" ref="Y1101:Z1101" si="2600">Y1094/(Y982*1000)</f>
        <v>1.0999355254674402E-2</v>
      </c>
      <c r="Z1101" s="714">
        <f t="shared" si="2600"/>
        <v>1.1430395913154534E-2</v>
      </c>
      <c r="AA1101" s="714">
        <f t="shared" ref="AA1101:AB1101" si="2601">AA1094/(AA982*1000)</f>
        <v>1.1904184354154032E-2</v>
      </c>
      <c r="AB1101" s="714">
        <f t="shared" si="2601"/>
        <v>1.2043422733077907E-2</v>
      </c>
      <c r="AC1101" s="626"/>
      <c r="AD1101" s="710"/>
      <c r="AE1101" s="710"/>
      <c r="AF1101" s="710"/>
      <c r="AG1101" s="710"/>
      <c r="AH1101" s="710"/>
      <c r="AI1101" s="633"/>
      <c r="AJ1101" s="633"/>
      <c r="AK1101" s="633"/>
      <c r="AL1101" s="633"/>
      <c r="AM1101" s="633"/>
      <c r="AN1101" s="633"/>
      <c r="AO1101" s="633"/>
      <c r="AP1101" s="633"/>
      <c r="AQ1101" s="633"/>
      <c r="AR1101" s="70"/>
      <c r="AS1101" s="334" t="s">
        <v>108</v>
      </c>
      <c r="AT1101" s="334"/>
      <c r="AU1101" s="714">
        <f>AU1094/(AU982*1000)</f>
        <v>1.4010079193664506E-2</v>
      </c>
      <c r="AV1101" s="714">
        <f>AV1094/(AV982*1000)</f>
        <v>1.3087108013937282E-2</v>
      </c>
      <c r="AW1101" s="714">
        <f>AW1094/(AW982*1000)</f>
        <v>1.2261306532663316E-2</v>
      </c>
      <c r="AX1101" s="714">
        <f>AX1094/(AX982*1000)</f>
        <v>1.1709464416727806E-2</v>
      </c>
      <c r="AY1101" s="714">
        <f>AY1094/(AY982*1000)</f>
        <v>1.1690231362467864E-2</v>
      </c>
      <c r="BM1101"/>
      <c r="BN1101"/>
      <c r="BO1101"/>
      <c r="BP1101"/>
      <c r="BQ1101"/>
      <c r="BR1101"/>
    </row>
    <row r="1102" spans="1:70" s="369" customFormat="1" hidden="1" outlineLevel="1" x14ac:dyDescent="0.2">
      <c r="A1102" s="830"/>
      <c r="B1102" s="334"/>
      <c r="C1102" s="334" t="s">
        <v>122</v>
      </c>
      <c r="D1102" s="478">
        <f t="shared" ref="D1102:X1102" si="2602">D1095/(D984*1000)</f>
        <v>1.1097653292959876E-2</v>
      </c>
      <c r="E1102" s="478">
        <f t="shared" si="2602"/>
        <v>1.0243531202435312E-2</v>
      </c>
      <c r="F1102" s="478">
        <f t="shared" si="2602"/>
        <v>9.8501872659176037E-3</v>
      </c>
      <c r="G1102" s="478">
        <f t="shared" si="2602"/>
        <v>9.8389458272327944E-3</v>
      </c>
      <c r="H1102" s="478">
        <f t="shared" si="2602"/>
        <v>9.5934352853412931E-3</v>
      </c>
      <c r="I1102" s="478">
        <f t="shared" si="2602"/>
        <v>8.8851224105461393E-3</v>
      </c>
      <c r="J1102" s="478">
        <f t="shared" si="2602"/>
        <v>8.8613138686131389E-3</v>
      </c>
      <c r="K1102" s="478">
        <f t="shared" si="2602"/>
        <v>9.5839210155148104E-3</v>
      </c>
      <c r="L1102" s="478">
        <f t="shared" si="2602"/>
        <v>9.6290961469211386E-3</v>
      </c>
      <c r="M1102" s="478">
        <f t="shared" si="2602"/>
        <v>9.0207819654808032E-3</v>
      </c>
      <c r="N1102" s="478">
        <f t="shared" si="2602"/>
        <v>8.9062499999999992E-3</v>
      </c>
      <c r="O1102" s="478">
        <f t="shared" si="2602"/>
        <v>8.70680441752761E-3</v>
      </c>
      <c r="P1102" s="478">
        <f t="shared" si="2602"/>
        <v>7.8817005545286506E-3</v>
      </c>
      <c r="Q1102" s="478">
        <f t="shared" si="2602"/>
        <v>7.3695731484859544E-3</v>
      </c>
      <c r="R1102" s="478">
        <f t="shared" si="2602"/>
        <v>7.3533778767631772E-3</v>
      </c>
      <c r="S1102" s="478">
        <f t="shared" si="2602"/>
        <v>7.6608821402747648E-3</v>
      </c>
      <c r="T1102" s="478">
        <f t="shared" si="2602"/>
        <v>7.4256334924715384E-3</v>
      </c>
      <c r="U1102" s="478">
        <f t="shared" si="2602"/>
        <v>6.8995786516853931E-3</v>
      </c>
      <c r="V1102" s="478">
        <f t="shared" si="2602"/>
        <v>7.4844505874222533E-3</v>
      </c>
      <c r="W1102" s="478">
        <f t="shared" si="2602"/>
        <v>7.8554299417608747E-3</v>
      </c>
      <c r="X1102" s="478">
        <f t="shared" si="2602"/>
        <v>7.6930998970133882E-3</v>
      </c>
      <c r="Y1102" s="478">
        <f t="shared" ref="Y1102:Z1102" si="2603">Y1095/(Y984*1000)</f>
        <v>7.3132328308207709E-3</v>
      </c>
      <c r="Z1102" s="478">
        <f t="shared" si="2603"/>
        <v>7.5764627659574485E-3</v>
      </c>
      <c r="AA1102" s="478">
        <f t="shared" ref="AA1102:AB1102" si="2604">AA1095/(AA984*1000)</f>
        <v>7.9729729729729731E-3</v>
      </c>
      <c r="AB1102" s="478">
        <f t="shared" si="2604"/>
        <v>7.8256578947368417E-3</v>
      </c>
      <c r="AC1102" s="626"/>
      <c r="AD1102" s="710"/>
      <c r="AE1102" s="710"/>
      <c r="AF1102" s="710"/>
      <c r="AG1102" s="710"/>
      <c r="AH1102" s="710"/>
      <c r="AI1102" s="633"/>
      <c r="AJ1102" s="633"/>
      <c r="AK1102" s="633"/>
      <c r="AL1102" s="633"/>
      <c r="AM1102" s="633"/>
      <c r="AN1102" s="633"/>
      <c r="AO1102" s="633"/>
      <c r="AP1102" s="633"/>
      <c r="AQ1102" s="633"/>
      <c r="AR1102" s="70"/>
      <c r="AS1102" s="334"/>
      <c r="AT1102" s="334" t="s">
        <v>122</v>
      </c>
      <c r="AU1102" s="478">
        <f>AU1095/(AU984*1000)</f>
        <v>9.8389458272327944E-3</v>
      </c>
      <c r="AV1102" s="478">
        <f>AV1095/(AV984*1000)</f>
        <v>9.5839210155148104E-3</v>
      </c>
      <c r="AW1102" s="478">
        <f>AW1095/(AW984*1000)</f>
        <v>8.70680441752761E-3</v>
      </c>
      <c r="AX1102" s="478">
        <f>AX1095/(AX984*1000)</f>
        <v>7.6608821402747648E-3</v>
      </c>
      <c r="AY1102" s="478">
        <f>AY1095/(AY984*1000)</f>
        <v>7.8554299417608747E-3</v>
      </c>
      <c r="BM1102"/>
      <c r="BN1102"/>
      <c r="BO1102"/>
      <c r="BP1102"/>
      <c r="BQ1102"/>
      <c r="BR1102"/>
    </row>
    <row r="1103" spans="1:70" s="369" customFormat="1" hidden="1" outlineLevel="1" x14ac:dyDescent="0.2">
      <c r="A1103" s="830"/>
      <c r="B1103" s="334" t="s">
        <v>316</v>
      </c>
      <c r="C1103" s="334"/>
      <c r="D1103" s="715">
        <v>4.3200000000000002E-2</v>
      </c>
      <c r="E1103" s="715">
        <v>4.2799999999999998E-2</v>
      </c>
      <c r="F1103" s="715">
        <v>4.1500000000000002E-2</v>
      </c>
      <c r="G1103" s="715">
        <v>4.0300000000000002E-2</v>
      </c>
      <c r="H1103" s="715">
        <v>3.5299999999999998E-2</v>
      </c>
      <c r="I1103" s="715">
        <v>3.3300000000000003E-2</v>
      </c>
      <c r="J1103" s="715">
        <v>3.1600000000000003E-2</v>
      </c>
      <c r="K1103" s="715">
        <v>3.0200000000000001E-2</v>
      </c>
      <c r="L1103" s="715">
        <v>3.0700000000000002E-2</v>
      </c>
      <c r="M1103" s="715">
        <v>3.04E-2</v>
      </c>
      <c r="N1103" s="715">
        <v>2.7400000000000001E-2</v>
      </c>
      <c r="O1103" s="715">
        <v>2.69E-2</v>
      </c>
      <c r="P1103" s="715">
        <v>2.8000000000000001E-2</v>
      </c>
      <c r="Q1103" s="715">
        <v>2.7E-2</v>
      </c>
      <c r="R1103" s="715">
        <v>2.69E-2</v>
      </c>
      <c r="S1103" s="715">
        <v>1.9900000000000001E-2</v>
      </c>
      <c r="T1103" s="716">
        <v>2.0799999999999999E-2</v>
      </c>
      <c r="U1103" s="716">
        <v>2.23E-2</v>
      </c>
      <c r="V1103" s="716">
        <v>2.29E-2</v>
      </c>
      <c r="W1103" s="716">
        <v>2.6200000000000001E-2</v>
      </c>
      <c r="X1103" s="716">
        <v>2.4500000000000001E-2</v>
      </c>
      <c r="Y1103" s="716">
        <v>2.3699999999999999E-2</v>
      </c>
      <c r="Z1103" s="716">
        <v>2.5700000000000001E-2</v>
      </c>
      <c r="AA1103" s="716">
        <v>2.5700000000000001E-2</v>
      </c>
      <c r="AB1103" s="716">
        <v>2.5700000000000001E-2</v>
      </c>
      <c r="AC1103" s="626"/>
      <c r="AD1103" s="710"/>
      <c r="AE1103" s="710"/>
      <c r="AF1103" s="710"/>
      <c r="AG1103" s="710"/>
      <c r="AH1103" s="710"/>
      <c r="AI1103" s="633"/>
      <c r="AJ1103" s="633"/>
      <c r="AK1103" s="633"/>
      <c r="AL1103" s="633"/>
      <c r="AM1103" s="633"/>
      <c r="AN1103" s="633"/>
      <c r="AO1103" s="633"/>
      <c r="AP1103" s="633"/>
      <c r="AQ1103" s="633"/>
      <c r="AR1103" s="70"/>
      <c r="AS1103" s="334" t="s">
        <v>316</v>
      </c>
      <c r="AT1103" s="334"/>
      <c r="AU1103" s="717">
        <f>G1103</f>
        <v>4.0300000000000002E-2</v>
      </c>
      <c r="AV1103" s="717">
        <f>K1103</f>
        <v>3.0200000000000001E-2</v>
      </c>
      <c r="AW1103" s="717">
        <f>O1103</f>
        <v>2.69E-2</v>
      </c>
      <c r="AX1103" s="717">
        <f>S1103</f>
        <v>1.9900000000000001E-2</v>
      </c>
      <c r="AY1103" s="717">
        <f>W1103</f>
        <v>2.6200000000000001E-2</v>
      </c>
      <c r="BM1103"/>
      <c r="BN1103"/>
      <c r="BO1103"/>
      <c r="BP1103"/>
      <c r="BQ1103"/>
      <c r="BR1103"/>
    </row>
    <row r="1104" spans="1:70" hidden="1" outlineLevel="1" x14ac:dyDescent="0.2">
      <c r="B1104" s="9"/>
      <c r="C1104" s="334" t="s">
        <v>318</v>
      </c>
      <c r="D1104" s="477">
        <v>2.23E-2</v>
      </c>
      <c r="E1104" s="477">
        <v>2.1299999999999999E-2</v>
      </c>
      <c r="F1104" s="477">
        <v>2.0199999999999999E-2</v>
      </c>
      <c r="G1104" s="477">
        <v>1.9400000000000001E-2</v>
      </c>
      <c r="H1104" s="477">
        <v>1.7399999999999999E-2</v>
      </c>
      <c r="I1104" s="477">
        <v>1.5900000000000001E-2</v>
      </c>
      <c r="J1104" s="477">
        <v>1.5100000000000001E-2</v>
      </c>
      <c r="K1104" s="477">
        <v>1.4999999999999999E-2</v>
      </c>
      <c r="L1104" s="477">
        <v>1.5100000000000001E-2</v>
      </c>
      <c r="M1104" s="477">
        <v>1.44E-2</v>
      </c>
      <c r="N1104" s="477">
        <v>1.3299999999999999E-2</v>
      </c>
      <c r="O1104" s="477">
        <v>1.2800000000000001E-2</v>
      </c>
      <c r="P1104" s="477">
        <v>1.18E-2</v>
      </c>
      <c r="Q1104" s="477">
        <v>1.0999999999999999E-2</v>
      </c>
      <c r="R1104" s="477">
        <v>1.0800000000000001E-2</v>
      </c>
      <c r="S1104" s="477">
        <v>9.4999999999999998E-3</v>
      </c>
      <c r="T1104" s="477">
        <v>9.2999999999999992E-3</v>
      </c>
      <c r="U1104" s="477">
        <v>8.8000000000000005E-3</v>
      </c>
      <c r="V1104" s="477">
        <v>9.2999999999999992E-3</v>
      </c>
      <c r="W1104" s="477">
        <v>9.7000000000000003E-3</v>
      </c>
      <c r="X1104" s="477">
        <v>9.1999999999999998E-3</v>
      </c>
      <c r="Y1104" s="477">
        <v>8.6E-3</v>
      </c>
      <c r="Z1104" s="477">
        <v>8.8999999999999999E-3</v>
      </c>
      <c r="AA1104" s="477">
        <v>9.1000000000000004E-3</v>
      </c>
      <c r="AB1104" s="477">
        <v>8.8000000000000005E-3</v>
      </c>
      <c r="AS1104" s="9"/>
      <c r="AT1104" s="334" t="s">
        <v>318</v>
      </c>
      <c r="AU1104" s="718">
        <f>G1104</f>
        <v>1.9400000000000001E-2</v>
      </c>
      <c r="AV1104" s="718">
        <f>K1104</f>
        <v>1.4999999999999999E-2</v>
      </c>
      <c r="AW1104" s="718">
        <f>O1104</f>
        <v>1.2800000000000001E-2</v>
      </c>
      <c r="AX1104" s="718">
        <f>S1104</f>
        <v>9.4999999999999998E-3</v>
      </c>
      <c r="AY1104" s="718">
        <f>W1104</f>
        <v>9.7000000000000003E-3</v>
      </c>
    </row>
    <row r="1105" spans="1:70" s="369" customFormat="1" hidden="1" outlineLevel="1" x14ac:dyDescent="0.2">
      <c r="A1105" s="830"/>
      <c r="B1105" s="334"/>
      <c r="C1105" s="321"/>
      <c r="D1105" s="84"/>
      <c r="E1105" s="321"/>
      <c r="F1105" s="321"/>
      <c r="G1105" s="321"/>
      <c r="H1105" s="321"/>
      <c r="I1105" s="321"/>
      <c r="J1105" s="321"/>
      <c r="K1105" s="321"/>
      <c r="L1105" s="321"/>
      <c r="M1105" s="321"/>
      <c r="N1105" s="321"/>
      <c r="O1105" s="321"/>
      <c r="P1105" s="321"/>
      <c r="Q1105" s="321"/>
      <c r="R1105" s="321"/>
      <c r="S1105" s="321"/>
      <c r="T1105" s="321"/>
      <c r="U1105" s="321"/>
      <c r="V1105" s="321"/>
      <c r="W1105" s="321"/>
      <c r="X1105" s="321"/>
      <c r="Y1105" s="321"/>
      <c r="Z1105" s="321"/>
      <c r="AA1105" s="321"/>
      <c r="AB1105" s="321"/>
      <c r="AC1105" s="626"/>
      <c r="AD1105" s="710"/>
      <c r="AE1105" s="710"/>
      <c r="AF1105" s="710"/>
      <c r="AG1105" s="710"/>
      <c r="AH1105" s="710"/>
      <c r="AI1105" s="633"/>
      <c r="AJ1105" s="633"/>
      <c r="AK1105" s="633"/>
      <c r="AL1105" s="633"/>
      <c r="AM1105" s="633"/>
      <c r="AN1105" s="633"/>
      <c r="AO1105" s="633"/>
      <c r="AP1105" s="633"/>
      <c r="AQ1105" s="633"/>
      <c r="AR1105" s="70"/>
      <c r="AS1105" s="334"/>
      <c r="AT1105" s="321"/>
      <c r="AU1105" s="710"/>
      <c r="BM1105"/>
      <c r="BN1105"/>
      <c r="BO1105"/>
      <c r="BP1105"/>
      <c r="BQ1105"/>
      <c r="BR1105"/>
    </row>
    <row r="1106" spans="1:70" s="369" customFormat="1" hidden="1" outlineLevel="1" x14ac:dyDescent="0.2">
      <c r="A1106" s="830"/>
      <c r="B1106" s="412"/>
      <c r="C1106" s="334"/>
      <c r="D1106" s="334"/>
      <c r="AD1106" s="710"/>
      <c r="AE1106" s="710"/>
      <c r="AF1106" s="710"/>
      <c r="AG1106" s="710"/>
      <c r="AH1106" s="710"/>
      <c r="AI1106" s="719"/>
      <c r="AJ1106" s="719"/>
      <c r="AK1106" s="719"/>
      <c r="AL1106" s="719"/>
      <c r="AM1106" s="719"/>
      <c r="AN1106" s="719"/>
      <c r="AO1106" s="719"/>
      <c r="AP1106" s="719"/>
      <c r="AQ1106" s="719"/>
      <c r="AR1106" s="70"/>
      <c r="AS1106" s="412"/>
      <c r="AT1106" s="334"/>
      <c r="AU1106" s="710"/>
      <c r="BM1106"/>
      <c r="BN1106"/>
      <c r="BO1106"/>
      <c r="BP1106"/>
      <c r="BQ1106"/>
      <c r="BR1106"/>
    </row>
    <row r="1107" spans="1:70" s="342" customFormat="1" hidden="1" outlineLevel="1" x14ac:dyDescent="0.2">
      <c r="A1107" s="830"/>
      <c r="B1107" s="705" t="s">
        <v>320</v>
      </c>
      <c r="C1107" s="706"/>
      <c r="D1107" s="706"/>
      <c r="E1107" s="706"/>
      <c r="F1107" s="706"/>
      <c r="G1107" s="706"/>
      <c r="H1107" s="706"/>
      <c r="I1107" s="707"/>
      <c r="J1107" s="708"/>
      <c r="K1107" s="707"/>
      <c r="L1107" s="708"/>
      <c r="M1107" s="707"/>
      <c r="N1107" s="707"/>
      <c r="O1107" s="707"/>
      <c r="P1107" s="708"/>
      <c r="Q1107" s="705"/>
      <c r="R1107" s="705"/>
      <c r="S1107" s="705"/>
      <c r="T1107" s="705"/>
      <c r="U1107" s="705"/>
      <c r="V1107" s="705"/>
      <c r="W1107" s="705"/>
      <c r="X1107" s="705"/>
      <c r="Y1107" s="705"/>
      <c r="Z1107" s="705"/>
      <c r="AA1107" s="705"/>
      <c r="AB1107" s="705"/>
      <c r="AC1107" s="709"/>
      <c r="AD1107" s="709"/>
      <c r="AE1107" s="709"/>
      <c r="AF1107" s="709"/>
      <c r="AG1107" s="709"/>
      <c r="AH1107" s="709"/>
      <c r="AI1107" s="706"/>
      <c r="AJ1107" s="706"/>
      <c r="AK1107" s="706"/>
      <c r="AL1107" s="706"/>
      <c r="AM1107" s="706"/>
      <c r="AN1107" s="706"/>
      <c r="AO1107" s="706"/>
      <c r="AP1107" s="706"/>
      <c r="AQ1107" s="706"/>
      <c r="AR1107" s="70"/>
      <c r="AS1107" s="705" t="s">
        <v>320</v>
      </c>
      <c r="AT1107" s="706"/>
      <c r="AU1107" s="706"/>
      <c r="AV1107" s="706"/>
      <c r="AW1107" s="706"/>
      <c r="AX1107" s="706"/>
      <c r="AY1107" s="706"/>
      <c r="AZ1107" s="706"/>
      <c r="BA1107" s="706"/>
      <c r="BB1107" s="706"/>
      <c r="BC1107" s="706"/>
      <c r="BD1107" s="706"/>
      <c r="BE1107" s="706"/>
      <c r="BM1107"/>
      <c r="BN1107"/>
      <c r="BO1107"/>
      <c r="BP1107"/>
      <c r="BQ1107"/>
      <c r="BR1107"/>
    </row>
    <row r="1108" spans="1:70" s="342" customFormat="1" hidden="1" outlineLevel="1" x14ac:dyDescent="0.2">
      <c r="A1108" s="830"/>
      <c r="B1108" s="334" t="s">
        <v>315</v>
      </c>
      <c r="C1108" s="334"/>
      <c r="D1108" s="437">
        <v>857</v>
      </c>
      <c r="E1108" s="437">
        <v>878</v>
      </c>
      <c r="F1108" s="437">
        <v>969</v>
      </c>
      <c r="G1108" s="437">
        <v>921</v>
      </c>
      <c r="H1108" s="437">
        <v>1003</v>
      </c>
      <c r="I1108" s="437">
        <v>906</v>
      </c>
      <c r="J1108" s="437">
        <v>941</v>
      </c>
      <c r="K1108" s="437">
        <v>893</v>
      </c>
      <c r="L1108" s="437">
        <v>839</v>
      </c>
      <c r="M1108" s="437">
        <v>883</v>
      </c>
      <c r="N1108" s="437">
        <v>840</v>
      </c>
      <c r="O1108" s="437">
        <v>794</v>
      </c>
      <c r="P1108" s="437">
        <v>791</v>
      </c>
      <c r="Q1108" s="437">
        <v>746</v>
      </c>
      <c r="R1108" s="437">
        <v>764</v>
      </c>
      <c r="S1108" s="437">
        <v>739</v>
      </c>
      <c r="T1108" s="437">
        <v>793</v>
      </c>
      <c r="U1108" s="437">
        <v>735</v>
      </c>
      <c r="V1108" s="437">
        <v>722</v>
      </c>
      <c r="W1108" s="437">
        <v>726</v>
      </c>
      <c r="X1108" s="437">
        <v>777</v>
      </c>
      <c r="Y1108" s="437">
        <v>747</v>
      </c>
      <c r="Z1108" s="437">
        <v>805</v>
      </c>
      <c r="AA1108" s="437">
        <v>822</v>
      </c>
      <c r="AB1108" s="437">
        <v>830</v>
      </c>
      <c r="AC1108" s="345"/>
      <c r="AD1108" s="345"/>
      <c r="AE1108" s="345"/>
      <c r="AF1108" s="345"/>
      <c r="AG1108" s="345"/>
      <c r="AH1108" s="345"/>
      <c r="AR1108" s="70"/>
      <c r="AS1108" s="334" t="s">
        <v>315</v>
      </c>
      <c r="AT1108" s="334"/>
      <c r="AU1108" s="467">
        <f>G1108</f>
        <v>921</v>
      </c>
      <c r="AV1108" s="467">
        <f>K1108</f>
        <v>893</v>
      </c>
      <c r="AW1108" s="467">
        <f>O1108</f>
        <v>794</v>
      </c>
      <c r="AX1108" s="467">
        <f>S1108</f>
        <v>739</v>
      </c>
      <c r="AY1108" s="467">
        <f>W1108</f>
        <v>726</v>
      </c>
      <c r="BM1108"/>
      <c r="BN1108"/>
      <c r="BO1108"/>
      <c r="BP1108"/>
      <c r="BQ1108"/>
      <c r="BR1108"/>
    </row>
    <row r="1109" spans="1:70" s="342" customFormat="1" hidden="1" outlineLevel="1" x14ac:dyDescent="0.2">
      <c r="A1109" s="830"/>
      <c r="B1109" s="334" t="s">
        <v>108</v>
      </c>
      <c r="C1109" s="334"/>
      <c r="D1109" s="437">
        <v>2370</v>
      </c>
      <c r="E1109" s="437">
        <v>2094</v>
      </c>
      <c r="F1109" s="437">
        <v>2102</v>
      </c>
      <c r="G1109" s="437">
        <v>2109</v>
      </c>
      <c r="H1109" s="437">
        <v>1910</v>
      </c>
      <c r="I1109" s="437">
        <v>1716</v>
      </c>
      <c r="J1109" s="437">
        <v>1943</v>
      </c>
      <c r="K1109" s="437">
        <v>2023</v>
      </c>
      <c r="L1109" s="437">
        <v>1866</v>
      </c>
      <c r="M1109" s="437">
        <v>1794</v>
      </c>
      <c r="N1109" s="437">
        <v>1849</v>
      </c>
      <c r="O1109" s="437">
        <v>1792</v>
      </c>
      <c r="P1109" s="437">
        <v>1623</v>
      </c>
      <c r="Q1109" s="437">
        <v>1544</v>
      </c>
      <c r="R1109" s="437">
        <v>1663</v>
      </c>
      <c r="S1109" s="437">
        <v>1679</v>
      </c>
      <c r="T1109" s="437">
        <v>1567</v>
      </c>
      <c r="U1109" s="437">
        <v>1583</v>
      </c>
      <c r="V1109" s="437">
        <v>1831</v>
      </c>
      <c r="W1109" s="437">
        <v>1814</v>
      </c>
      <c r="X1109" s="437">
        <v>1739</v>
      </c>
      <c r="Y1109" s="437">
        <v>1751</v>
      </c>
      <c r="Z1109" s="437">
        <v>1958</v>
      </c>
      <c r="AA1109" s="437">
        <v>1940</v>
      </c>
      <c r="AB1109" s="437">
        <v>1880</v>
      </c>
      <c r="AC1109" s="345"/>
      <c r="AD1109" s="345"/>
      <c r="AE1109" s="345"/>
      <c r="AF1109" s="345"/>
      <c r="AG1109" s="345"/>
      <c r="AH1109" s="345"/>
      <c r="AR1109" s="70"/>
      <c r="AS1109" s="334" t="s">
        <v>108</v>
      </c>
      <c r="AT1109" s="334"/>
      <c r="AU1109" s="532">
        <f>G1109</f>
        <v>2109</v>
      </c>
      <c r="AV1109" s="532">
        <f>K1109</f>
        <v>2023</v>
      </c>
      <c r="AW1109" s="532">
        <f>O1109</f>
        <v>1792</v>
      </c>
      <c r="AX1109" s="532">
        <f>S1109</f>
        <v>1679</v>
      </c>
      <c r="AY1109" s="532">
        <f>W1109</f>
        <v>1814</v>
      </c>
      <c r="BM1109"/>
      <c r="BN1109"/>
      <c r="BO1109"/>
      <c r="BP1109"/>
      <c r="BQ1109"/>
      <c r="BR1109"/>
    </row>
    <row r="1110" spans="1:70" s="342" customFormat="1" hidden="1" outlineLevel="1" x14ac:dyDescent="0.2">
      <c r="A1110" s="830"/>
      <c r="B1110" s="334"/>
      <c r="C1110" s="334" t="s">
        <v>122</v>
      </c>
      <c r="D1110" s="721">
        <f t="shared" ref="D1110:X1110" si="2605">SUM(D1108:D1109)</f>
        <v>3227</v>
      </c>
      <c r="E1110" s="721">
        <f t="shared" si="2605"/>
        <v>2972</v>
      </c>
      <c r="F1110" s="721">
        <f t="shared" si="2605"/>
        <v>3071</v>
      </c>
      <c r="G1110" s="721">
        <f t="shared" si="2605"/>
        <v>3030</v>
      </c>
      <c r="H1110" s="721">
        <f t="shared" si="2605"/>
        <v>2913</v>
      </c>
      <c r="I1110" s="721">
        <f t="shared" si="2605"/>
        <v>2622</v>
      </c>
      <c r="J1110" s="721">
        <f t="shared" si="2605"/>
        <v>2884</v>
      </c>
      <c r="K1110" s="721">
        <f t="shared" si="2605"/>
        <v>2916</v>
      </c>
      <c r="L1110" s="721">
        <f t="shared" si="2605"/>
        <v>2705</v>
      </c>
      <c r="M1110" s="721">
        <f t="shared" si="2605"/>
        <v>2677</v>
      </c>
      <c r="N1110" s="721">
        <f t="shared" si="2605"/>
        <v>2689</v>
      </c>
      <c r="O1110" s="721">
        <f t="shared" si="2605"/>
        <v>2586</v>
      </c>
      <c r="P1110" s="721">
        <f t="shared" si="2605"/>
        <v>2414</v>
      </c>
      <c r="Q1110" s="721">
        <f t="shared" si="2605"/>
        <v>2290</v>
      </c>
      <c r="R1110" s="721">
        <f t="shared" si="2605"/>
        <v>2427</v>
      </c>
      <c r="S1110" s="721">
        <f t="shared" si="2605"/>
        <v>2418</v>
      </c>
      <c r="T1110" s="721">
        <f t="shared" si="2605"/>
        <v>2360</v>
      </c>
      <c r="U1110" s="721">
        <f t="shared" si="2605"/>
        <v>2318</v>
      </c>
      <c r="V1110" s="721">
        <f t="shared" si="2605"/>
        <v>2553</v>
      </c>
      <c r="W1110" s="721">
        <f t="shared" si="2605"/>
        <v>2540</v>
      </c>
      <c r="X1110" s="721">
        <f t="shared" si="2605"/>
        <v>2516</v>
      </c>
      <c r="Y1110" s="721">
        <f t="shared" ref="Y1110:Z1110" si="2606">SUM(Y1108:Y1109)</f>
        <v>2498</v>
      </c>
      <c r="Z1110" s="721">
        <f t="shared" si="2606"/>
        <v>2763</v>
      </c>
      <c r="AA1110" s="721">
        <f t="shared" ref="AA1110:AB1110" si="2607">SUM(AA1108:AA1109)</f>
        <v>2762</v>
      </c>
      <c r="AB1110" s="721">
        <f t="shared" si="2607"/>
        <v>2710</v>
      </c>
      <c r="AC1110" s="345"/>
      <c r="AD1110" s="345"/>
      <c r="AE1110" s="345"/>
      <c r="AF1110" s="345"/>
      <c r="AG1110" s="345"/>
      <c r="AH1110" s="345"/>
      <c r="AR1110" s="70"/>
      <c r="AS1110" s="334"/>
      <c r="AT1110" s="334" t="s">
        <v>122</v>
      </c>
      <c r="AU1110" s="722">
        <f>SUM(AU1108:AU1109)</f>
        <v>3030</v>
      </c>
      <c r="AV1110" s="722">
        <f>SUM(AV1108:AV1109)</f>
        <v>2916</v>
      </c>
      <c r="AW1110" s="722">
        <f>SUM(AW1108:AW1109)</f>
        <v>2586</v>
      </c>
      <c r="AX1110" s="722">
        <f>SUM(AX1108:AX1109)</f>
        <v>2418</v>
      </c>
      <c r="AY1110" s="722">
        <f>SUM(AY1108:AY1109)</f>
        <v>2540</v>
      </c>
      <c r="BM1110"/>
      <c r="BN1110"/>
      <c r="BO1110"/>
      <c r="BP1110"/>
      <c r="BQ1110"/>
      <c r="BR1110"/>
    </row>
    <row r="1111" spans="1:70" s="342" customFormat="1" hidden="1" outlineLevel="1" x14ac:dyDescent="0.2">
      <c r="A1111" s="830"/>
      <c r="B1111" s="334" t="s">
        <v>316</v>
      </c>
      <c r="C1111" s="334"/>
      <c r="D1111" s="443">
        <v>5071</v>
      </c>
      <c r="E1111" s="443">
        <v>5069</v>
      </c>
      <c r="F1111" s="443">
        <v>5199</v>
      </c>
      <c r="G1111" s="443">
        <v>4684</v>
      </c>
      <c r="H1111" s="443">
        <v>3870</v>
      </c>
      <c r="I1111" s="443">
        <v>3482</v>
      </c>
      <c r="J1111" s="443">
        <v>3180</v>
      </c>
      <c r="K1111" s="443">
        <v>3022</v>
      </c>
      <c r="L1111" s="443">
        <v>2601</v>
      </c>
      <c r="M1111" s="443">
        <v>2636</v>
      </c>
      <c r="N1111" s="443">
        <v>2264</v>
      </c>
      <c r="O1111" s="443">
        <v>1928</v>
      </c>
      <c r="P1111" s="443">
        <v>1431</v>
      </c>
      <c r="Q1111" s="443">
        <v>1366</v>
      </c>
      <c r="R1111" s="443">
        <v>1423</v>
      </c>
      <c r="S1111" s="443">
        <v>1036</v>
      </c>
      <c r="T1111" s="443">
        <v>929</v>
      </c>
      <c r="U1111" s="443">
        <v>858</v>
      </c>
      <c r="V1111" s="443">
        <v>849</v>
      </c>
      <c r="W1111" s="443">
        <v>735</v>
      </c>
      <c r="X1111" s="443">
        <v>615</v>
      </c>
      <c r="Y1111" s="443">
        <v>554</v>
      </c>
      <c r="Z1111" s="443">
        <v>643</v>
      </c>
      <c r="AA1111" s="443">
        <v>542</v>
      </c>
      <c r="AB1111" s="443">
        <v>393</v>
      </c>
      <c r="AC1111" s="345"/>
      <c r="AD1111" s="345"/>
      <c r="AE1111" s="345"/>
      <c r="AF1111" s="345"/>
      <c r="AG1111" s="345"/>
      <c r="AH1111" s="345"/>
      <c r="AR1111" s="70"/>
      <c r="AS1111" s="334" t="s">
        <v>316</v>
      </c>
      <c r="AT1111" s="334"/>
      <c r="AU1111" s="532">
        <f>G1111</f>
        <v>4684</v>
      </c>
      <c r="AV1111" s="532">
        <f>K1111</f>
        <v>3022</v>
      </c>
      <c r="AW1111" s="532">
        <f>O1111</f>
        <v>1928</v>
      </c>
      <c r="AX1111" s="532">
        <f>S1111</f>
        <v>1036</v>
      </c>
      <c r="AY1111" s="532">
        <f>W1111</f>
        <v>735</v>
      </c>
      <c r="BM1111"/>
      <c r="BN1111"/>
      <c r="BO1111"/>
      <c r="BP1111"/>
      <c r="BQ1111"/>
      <c r="BR1111"/>
    </row>
    <row r="1112" spans="1:70" s="342" customFormat="1" hidden="1" outlineLevel="1" x14ac:dyDescent="0.2">
      <c r="A1112" s="830"/>
      <c r="C1112" s="334" t="s">
        <v>318</v>
      </c>
      <c r="D1112" s="722">
        <f t="shared" ref="D1112:X1112" si="2608">D1111+D1110</f>
        <v>8298</v>
      </c>
      <c r="E1112" s="722">
        <f t="shared" si="2608"/>
        <v>8041</v>
      </c>
      <c r="F1112" s="722">
        <f t="shared" si="2608"/>
        <v>8270</v>
      </c>
      <c r="G1112" s="722">
        <f t="shared" si="2608"/>
        <v>7714</v>
      </c>
      <c r="H1112" s="722">
        <f t="shared" si="2608"/>
        <v>6783</v>
      </c>
      <c r="I1112" s="722">
        <f t="shared" si="2608"/>
        <v>6104</v>
      </c>
      <c r="J1112" s="722">
        <f t="shared" si="2608"/>
        <v>6064</v>
      </c>
      <c r="K1112" s="722">
        <f t="shared" si="2608"/>
        <v>5938</v>
      </c>
      <c r="L1112" s="722">
        <f t="shared" si="2608"/>
        <v>5306</v>
      </c>
      <c r="M1112" s="722">
        <f t="shared" si="2608"/>
        <v>5313</v>
      </c>
      <c r="N1112" s="722">
        <f t="shared" si="2608"/>
        <v>4953</v>
      </c>
      <c r="O1112" s="722">
        <f t="shared" si="2608"/>
        <v>4514</v>
      </c>
      <c r="P1112" s="722">
        <f t="shared" si="2608"/>
        <v>3845</v>
      </c>
      <c r="Q1112" s="722">
        <f t="shared" si="2608"/>
        <v>3656</v>
      </c>
      <c r="R1112" s="722">
        <f t="shared" si="2608"/>
        <v>3850</v>
      </c>
      <c r="S1112" s="722">
        <f t="shared" si="2608"/>
        <v>3454</v>
      </c>
      <c r="T1112" s="722">
        <f t="shared" si="2608"/>
        <v>3289</v>
      </c>
      <c r="U1112" s="722">
        <f t="shared" si="2608"/>
        <v>3176</v>
      </c>
      <c r="V1112" s="722">
        <f t="shared" si="2608"/>
        <v>3402</v>
      </c>
      <c r="W1112" s="722">
        <f t="shared" si="2608"/>
        <v>3275</v>
      </c>
      <c r="X1112" s="722">
        <f t="shared" si="2608"/>
        <v>3131</v>
      </c>
      <c r="Y1112" s="722">
        <f t="shared" ref="Y1112:Z1112" si="2609">Y1111+Y1110</f>
        <v>3052</v>
      </c>
      <c r="Z1112" s="722">
        <f t="shared" si="2609"/>
        <v>3406</v>
      </c>
      <c r="AA1112" s="722">
        <f t="shared" ref="AA1112:AB1112" si="2610">AA1111+AA1110</f>
        <v>3304</v>
      </c>
      <c r="AB1112" s="722">
        <f t="shared" si="2610"/>
        <v>3103</v>
      </c>
      <c r="AC1112" s="345"/>
      <c r="AD1112" s="345"/>
      <c r="AE1112" s="345"/>
      <c r="AF1112" s="345"/>
      <c r="AG1112" s="345"/>
      <c r="AH1112" s="345"/>
      <c r="AR1112" s="70"/>
      <c r="AT1112" s="334" t="s">
        <v>318</v>
      </c>
      <c r="AU1112" s="722">
        <f>AU1111+AU1110</f>
        <v>7714</v>
      </c>
      <c r="AV1112" s="722">
        <f>AV1111+AV1110</f>
        <v>5938</v>
      </c>
      <c r="AW1112" s="722">
        <f>AW1111+AW1110</f>
        <v>4514</v>
      </c>
      <c r="AX1112" s="722">
        <f>AX1111+AX1110</f>
        <v>3454</v>
      </c>
      <c r="AY1112" s="722">
        <f>AY1111+AY1110</f>
        <v>3275</v>
      </c>
      <c r="BM1112"/>
      <c r="BN1112"/>
      <c r="BO1112"/>
      <c r="BP1112"/>
      <c r="BQ1112"/>
      <c r="BR1112"/>
    </row>
    <row r="1113" spans="1:70" s="342" customFormat="1" hidden="1" outlineLevel="1" x14ac:dyDescent="0.2">
      <c r="A1113" s="830"/>
      <c r="B1113" s="712"/>
      <c r="I1113" s="720"/>
      <c r="J1113" s="723"/>
      <c r="K1113" s="720"/>
      <c r="L1113" s="723"/>
      <c r="M1113" s="720"/>
      <c r="N1113" s="720"/>
      <c r="O1113" s="720"/>
      <c r="P1113" s="723"/>
      <c r="Q1113" s="712"/>
      <c r="R1113" s="712"/>
      <c r="S1113" s="712"/>
      <c r="T1113" s="712"/>
      <c r="U1113" s="712"/>
      <c r="V1113" s="712"/>
      <c r="W1113" s="712"/>
      <c r="X1113" s="712"/>
      <c r="Y1113" s="712"/>
      <c r="Z1113" s="712"/>
      <c r="AA1113" s="712"/>
      <c r="AB1113" s="712"/>
      <c r="AC1113" s="345"/>
      <c r="AD1113" s="345"/>
      <c r="AE1113" s="345"/>
      <c r="AF1113" s="345"/>
      <c r="AG1113" s="345"/>
      <c r="AH1113" s="345"/>
      <c r="AR1113" s="70"/>
      <c r="AS1113" s="712"/>
      <c r="AU1113" s="345"/>
      <c r="BM1113"/>
      <c r="BN1113"/>
      <c r="BO1113"/>
      <c r="BP1113"/>
      <c r="BQ1113"/>
      <c r="BR1113"/>
    </row>
    <row r="1114" spans="1:70" s="342" customFormat="1" hidden="1" outlineLevel="1" x14ac:dyDescent="0.2">
      <c r="A1114" s="830"/>
      <c r="B1114" s="712" t="s">
        <v>321</v>
      </c>
      <c r="I1114" s="720"/>
      <c r="J1114" s="723"/>
      <c r="K1114" s="720"/>
      <c r="L1114" s="723"/>
      <c r="M1114" s="720"/>
      <c r="N1114" s="720"/>
      <c r="O1114" s="720"/>
      <c r="P1114" s="723"/>
      <c r="Q1114" s="712"/>
      <c r="R1114" s="712"/>
      <c r="S1114" s="712"/>
      <c r="T1114" s="712"/>
      <c r="U1114" s="712"/>
      <c r="V1114" s="712"/>
      <c r="W1114" s="712"/>
      <c r="X1114" s="712"/>
      <c r="Y1114" s="712"/>
      <c r="Z1114" s="712"/>
      <c r="AA1114" s="712"/>
      <c r="AB1114" s="712"/>
      <c r="AC1114" s="345"/>
      <c r="AD1114" s="345"/>
      <c r="AE1114" s="345"/>
      <c r="AF1114" s="345"/>
      <c r="AG1114" s="345"/>
      <c r="AH1114" s="345"/>
      <c r="AR1114" s="70"/>
      <c r="AS1114" s="712" t="s">
        <v>321</v>
      </c>
      <c r="AU1114" s="345"/>
      <c r="BM1114"/>
      <c r="BN1114"/>
      <c r="BO1114"/>
      <c r="BP1114"/>
      <c r="BQ1114"/>
      <c r="BR1114"/>
    </row>
    <row r="1115" spans="1:70" s="342" customFormat="1" hidden="1" outlineLevel="1" x14ac:dyDescent="0.2">
      <c r="A1115" s="830"/>
      <c r="B1115" s="334" t="s">
        <v>315</v>
      </c>
      <c r="C1115" s="334"/>
      <c r="D1115" s="587">
        <f t="shared" ref="D1115:X1115" si="2611">D1108/(D983*1000)</f>
        <v>6.6485647788983712E-3</v>
      </c>
      <c r="E1115" s="587">
        <f t="shared" si="2611"/>
        <v>6.8647380766223608E-3</v>
      </c>
      <c r="F1115" s="587">
        <f t="shared" si="2611"/>
        <v>7.3520485584218512E-3</v>
      </c>
      <c r="G1115" s="587">
        <f t="shared" si="2611"/>
        <v>6.8577810871183918E-3</v>
      </c>
      <c r="H1115" s="587">
        <f t="shared" si="2611"/>
        <v>7.3533724340175965E-3</v>
      </c>
      <c r="I1115" s="587">
        <f t="shared" si="2611"/>
        <v>6.7763649962602843E-3</v>
      </c>
      <c r="J1115" s="587">
        <f t="shared" si="2611"/>
        <v>6.9038884812912694E-3</v>
      </c>
      <c r="K1115" s="587">
        <f t="shared" si="2611"/>
        <v>6.3740185581727341E-3</v>
      </c>
      <c r="L1115" s="587">
        <f t="shared" si="2611"/>
        <v>5.8835904628330993E-3</v>
      </c>
      <c r="M1115" s="587">
        <f t="shared" si="2611"/>
        <v>6.0273037542662115E-3</v>
      </c>
      <c r="N1115" s="587">
        <f t="shared" si="2611"/>
        <v>5.7573680603152846E-3</v>
      </c>
      <c r="O1115" s="587">
        <f t="shared" si="2611"/>
        <v>5.6152758132956161E-3</v>
      </c>
      <c r="P1115" s="587">
        <f t="shared" si="2611"/>
        <v>5.6218905472636815E-3</v>
      </c>
      <c r="Q1115" s="587">
        <f t="shared" si="2611"/>
        <v>5.2387640449438203E-3</v>
      </c>
      <c r="R1115" s="587">
        <f t="shared" si="2611"/>
        <v>5.4924514737598852E-3</v>
      </c>
      <c r="S1115" s="587">
        <f t="shared" si="2611"/>
        <v>5.2672843905915891E-3</v>
      </c>
      <c r="T1115" s="587">
        <f t="shared" si="2611"/>
        <v>5.5845070422535208E-3</v>
      </c>
      <c r="U1115" s="587">
        <f t="shared" si="2611"/>
        <v>5.1980198019801983E-3</v>
      </c>
      <c r="V1115" s="587">
        <f t="shared" si="2611"/>
        <v>5.0988700564971751E-3</v>
      </c>
      <c r="W1115" s="587">
        <f t="shared" si="2611"/>
        <v>5.3264856933235511E-3</v>
      </c>
      <c r="X1115" s="587">
        <f t="shared" si="2611"/>
        <v>5.4950495049504947E-3</v>
      </c>
      <c r="Y1115" s="587">
        <f t="shared" ref="Y1115:Z1115" si="2612">Y1108/(Y983*1000)</f>
        <v>5.209205020920502E-3</v>
      </c>
      <c r="Z1115" s="587">
        <f t="shared" si="2612"/>
        <v>5.5825242718446598E-3</v>
      </c>
      <c r="AA1115" s="587">
        <f t="shared" ref="AA1115:AB1115" si="2613">AA1108/(AA983*1000)</f>
        <v>5.633995887594243E-3</v>
      </c>
      <c r="AB1115" s="587">
        <f t="shared" si="2613"/>
        <v>5.6309362279511532E-3</v>
      </c>
      <c r="AC1115" s="345"/>
      <c r="AD1115" s="345"/>
      <c r="AE1115" s="345"/>
      <c r="AF1115" s="345"/>
      <c r="AG1115" s="345"/>
      <c r="AH1115" s="345"/>
      <c r="AR1115" s="70"/>
      <c r="AS1115" s="334" t="s">
        <v>315</v>
      </c>
      <c r="AT1115" s="334"/>
      <c r="AU1115" s="587">
        <f>AU1108/(AU983*1000)</f>
        <v>6.8577810871183918E-3</v>
      </c>
      <c r="AV1115" s="587">
        <f>AV1108/(AV983*1000)</f>
        <v>6.3740185581727341E-3</v>
      </c>
      <c r="AW1115" s="587">
        <f>AW1108/(AW983*1000)</f>
        <v>5.6152758132956161E-3</v>
      </c>
      <c r="AX1115" s="587">
        <f>AX1108/(AX983*1000)</f>
        <v>5.2672843905915891E-3</v>
      </c>
      <c r="AY1115" s="587">
        <f>AY1108/(AY983*1000)</f>
        <v>5.3264856933235511E-3</v>
      </c>
      <c r="BM1115"/>
      <c r="BN1115"/>
      <c r="BO1115"/>
      <c r="BP1115"/>
      <c r="BQ1115"/>
      <c r="BR1115"/>
    </row>
    <row r="1116" spans="1:70" s="342" customFormat="1" hidden="1" outlineLevel="1" x14ac:dyDescent="0.2">
      <c r="A1116" s="830"/>
      <c r="B1116" s="334" t="s">
        <v>108</v>
      </c>
      <c r="C1116" s="334"/>
      <c r="D1116" s="589">
        <f t="shared" ref="D1116:X1116" si="2614">D1109/(D982*1000)</f>
        <v>1.7516629711751663E-2</v>
      </c>
      <c r="E1116" s="589">
        <f t="shared" si="2614"/>
        <v>1.5522609340252038E-2</v>
      </c>
      <c r="F1116" s="589">
        <f t="shared" si="2614"/>
        <v>1.5547337278106506E-2</v>
      </c>
      <c r="G1116" s="589">
        <f t="shared" si="2614"/>
        <v>1.5183585313174945E-2</v>
      </c>
      <c r="H1116" s="589">
        <f t="shared" si="2614"/>
        <v>1.4502657555049354E-2</v>
      </c>
      <c r="I1116" s="589">
        <f t="shared" si="2614"/>
        <v>1.3019726858877086E-2</v>
      </c>
      <c r="J1116" s="589">
        <f t="shared" si="2614"/>
        <v>1.4110384894698621E-2</v>
      </c>
      <c r="K1116" s="589">
        <f t="shared" si="2614"/>
        <v>1.4097560975609756E-2</v>
      </c>
      <c r="L1116" s="589">
        <f t="shared" si="2614"/>
        <v>1.3811991117690599E-2</v>
      </c>
      <c r="M1116" s="589">
        <f t="shared" si="2614"/>
        <v>1.3056768558951964E-2</v>
      </c>
      <c r="N1116" s="589">
        <f t="shared" si="2614"/>
        <v>1.3625644804716286E-2</v>
      </c>
      <c r="O1116" s="589">
        <f t="shared" si="2614"/>
        <v>1.2864321608040201E-2</v>
      </c>
      <c r="P1116" s="589">
        <f t="shared" si="2614"/>
        <v>1.2503852080123265E-2</v>
      </c>
      <c r="Q1116" s="589">
        <f t="shared" si="2614"/>
        <v>1.1723614274867119E-2</v>
      </c>
      <c r="R1116" s="589">
        <f t="shared" si="2614"/>
        <v>1.2762854950115117E-2</v>
      </c>
      <c r="S1116" s="589">
        <f t="shared" si="2614"/>
        <v>1.2318415260454879E-2</v>
      </c>
      <c r="T1116" s="589">
        <f t="shared" si="2614"/>
        <v>1.2026093630084419E-2</v>
      </c>
      <c r="U1116" s="589">
        <f t="shared" si="2614"/>
        <v>1.103905160390516E-2</v>
      </c>
      <c r="V1116" s="589">
        <f t="shared" si="2614"/>
        <v>1.2388362652232749E-2</v>
      </c>
      <c r="W1116" s="589">
        <f t="shared" si="2614"/>
        <v>1.1658097686375319E-2</v>
      </c>
      <c r="X1116" s="589">
        <f t="shared" si="2614"/>
        <v>1.1601067378252169E-2</v>
      </c>
      <c r="Y1116" s="589">
        <f t="shared" ref="Y1116:Z1116" si="2615">Y1109/(Y982*1000)</f>
        <v>1.1289490651192776E-2</v>
      </c>
      <c r="Z1116" s="589">
        <f t="shared" si="2615"/>
        <v>1.2503192848020435E-2</v>
      </c>
      <c r="AA1116" s="589">
        <f t="shared" ref="AA1116:AB1116" si="2616">AA1109/(AA982*1000)</f>
        <v>1.1764705882352941E-2</v>
      </c>
      <c r="AB1116" s="589">
        <f t="shared" si="2616"/>
        <v>1.2005108556832697E-2</v>
      </c>
      <c r="AC1116" s="345"/>
      <c r="AD1116" s="345"/>
      <c r="AE1116" s="345"/>
      <c r="AF1116" s="345"/>
      <c r="AG1116" s="345"/>
      <c r="AH1116" s="345"/>
      <c r="AR1116" s="70"/>
      <c r="AS1116" s="334" t="s">
        <v>108</v>
      </c>
      <c r="AT1116" s="334"/>
      <c r="AU1116" s="589">
        <f>AU1109/(AU982*1000)</f>
        <v>1.5183585313174945E-2</v>
      </c>
      <c r="AV1116" s="589">
        <f>AV1109/(AV982*1000)</f>
        <v>1.4097560975609756E-2</v>
      </c>
      <c r="AW1116" s="589">
        <f>AW1109/(AW982*1000)</f>
        <v>1.2864321608040201E-2</v>
      </c>
      <c r="AX1116" s="589">
        <f>AX1109/(AX982*1000)</f>
        <v>1.2318415260454879E-2</v>
      </c>
      <c r="AY1116" s="589">
        <f>AY1109/(AY982*1000)</f>
        <v>1.1658097686375319E-2</v>
      </c>
      <c r="BM1116"/>
      <c r="BN1116"/>
      <c r="BO1116"/>
      <c r="BP1116"/>
      <c r="BQ1116"/>
      <c r="BR1116"/>
    </row>
    <row r="1117" spans="1:70" s="342" customFormat="1" hidden="1" outlineLevel="1" x14ac:dyDescent="0.2">
      <c r="A1117" s="830"/>
      <c r="B1117" s="334"/>
      <c r="C1117" s="334" t="s">
        <v>122</v>
      </c>
      <c r="D1117" s="587">
        <f t="shared" ref="D1117:X1117" si="2617">D1110/(D984*1000)</f>
        <v>1.2214231642694926E-2</v>
      </c>
      <c r="E1117" s="587">
        <f t="shared" si="2617"/>
        <v>1.1308980213089802E-2</v>
      </c>
      <c r="F1117" s="587">
        <f t="shared" si="2617"/>
        <v>1.150187265917603E-2</v>
      </c>
      <c r="G1117" s="587">
        <f t="shared" si="2617"/>
        <v>1.1090775988286967E-2</v>
      </c>
      <c r="H1117" s="587">
        <f t="shared" si="2617"/>
        <v>1.0865348750466247E-2</v>
      </c>
      <c r="I1117" s="587">
        <f t="shared" si="2617"/>
        <v>9.8757062146892661E-3</v>
      </c>
      <c r="J1117" s="587">
        <f t="shared" si="2617"/>
        <v>1.0525547445255475E-2</v>
      </c>
      <c r="K1117" s="587">
        <f t="shared" si="2617"/>
        <v>1.0282087447108604E-2</v>
      </c>
      <c r="L1117" s="587">
        <f t="shared" si="2617"/>
        <v>9.7407274036730284E-3</v>
      </c>
      <c r="M1117" s="587">
        <f t="shared" si="2617"/>
        <v>9.4293765410355754E-3</v>
      </c>
      <c r="N1117" s="587">
        <f t="shared" si="2617"/>
        <v>9.5490056818181811E-3</v>
      </c>
      <c r="O1117" s="587">
        <f t="shared" si="2617"/>
        <v>9.212682579266121E-3</v>
      </c>
      <c r="P1117" s="587">
        <f t="shared" si="2617"/>
        <v>8.9242144177449165E-3</v>
      </c>
      <c r="Q1117" s="587">
        <f t="shared" si="2617"/>
        <v>8.3546151039766512E-3</v>
      </c>
      <c r="R1117" s="587">
        <f t="shared" si="2617"/>
        <v>9.0089086859688194E-3</v>
      </c>
      <c r="S1117" s="587">
        <f t="shared" si="2617"/>
        <v>8.7418655097613891E-3</v>
      </c>
      <c r="T1117" s="587">
        <f t="shared" si="2617"/>
        <v>8.6669114946749913E-3</v>
      </c>
      <c r="U1117" s="587">
        <f t="shared" si="2617"/>
        <v>8.1390449438202249E-3</v>
      </c>
      <c r="V1117" s="587">
        <f t="shared" si="2617"/>
        <v>8.8217000691085002E-3</v>
      </c>
      <c r="W1117" s="587">
        <f t="shared" si="2617"/>
        <v>8.7016101404590596E-3</v>
      </c>
      <c r="X1117" s="587">
        <f t="shared" si="2617"/>
        <v>8.6371438379677316E-3</v>
      </c>
      <c r="Y1117" s="587">
        <f t="shared" ref="Y1117:Z1117" si="2618">Y1110/(Y984*1000)</f>
        <v>8.3685092127303174E-3</v>
      </c>
      <c r="Z1117" s="587">
        <f t="shared" si="2618"/>
        <v>9.1855053191489382E-3</v>
      </c>
      <c r="AA1117" s="587">
        <f t="shared" ref="AA1117:AB1117" si="2619">AA1110/(AA984*1000)</f>
        <v>8.8867438867438874E-3</v>
      </c>
      <c r="AB1117" s="587">
        <f t="shared" si="2619"/>
        <v>8.9144736842105259E-3</v>
      </c>
      <c r="AC1117" s="345"/>
      <c r="AD1117" s="345"/>
      <c r="AE1117" s="345"/>
      <c r="AF1117" s="345"/>
      <c r="AG1117" s="345"/>
      <c r="AH1117" s="345"/>
      <c r="AR1117" s="70"/>
      <c r="AS1117" s="334"/>
      <c r="AT1117" s="334" t="s">
        <v>122</v>
      </c>
      <c r="AU1117" s="587">
        <f>AU1110/(AU984*1000)</f>
        <v>1.1090775988286967E-2</v>
      </c>
      <c r="AV1117" s="587">
        <f>AV1110/(AV984*1000)</f>
        <v>1.0282087447108604E-2</v>
      </c>
      <c r="AW1117" s="587">
        <f>AW1110/(AW984*1000)</f>
        <v>9.212682579266121E-3</v>
      </c>
      <c r="AX1117" s="587">
        <f>AX1110/(AX984*1000)</f>
        <v>8.7418655097613891E-3</v>
      </c>
      <c r="AY1117" s="587">
        <f>AY1110/(AY984*1000)</f>
        <v>8.7016101404590596E-3</v>
      </c>
      <c r="BM1117"/>
      <c r="BN1117"/>
      <c r="BO1117"/>
      <c r="BP1117"/>
      <c r="BQ1117"/>
      <c r="BR1117"/>
    </row>
    <row r="1118" spans="1:70" s="342" customFormat="1" hidden="1" outlineLevel="1" x14ac:dyDescent="0.2">
      <c r="A1118" s="830"/>
      <c r="B1118" s="334" t="s">
        <v>316</v>
      </c>
      <c r="C1118" s="334"/>
      <c r="D1118" s="715">
        <v>3.6400000000000002E-2</v>
      </c>
      <c r="E1118" s="715">
        <v>3.78E-2</v>
      </c>
      <c r="F1118" s="715">
        <v>4.0500000000000001E-2</v>
      </c>
      <c r="G1118" s="715">
        <v>3.7999999999999999E-2</v>
      </c>
      <c r="H1118" s="715">
        <v>3.3700000000000001E-2</v>
      </c>
      <c r="I1118" s="715">
        <v>3.32E-2</v>
      </c>
      <c r="J1118" s="715">
        <v>3.1199999999999999E-2</v>
      </c>
      <c r="K1118" s="715">
        <v>3.0599999999999999E-2</v>
      </c>
      <c r="L1118" s="715">
        <v>2.7300000000000001E-2</v>
      </c>
      <c r="M1118" s="715">
        <v>2.8299999999999999E-2</v>
      </c>
      <c r="N1118" s="715">
        <v>2.6499999999999999E-2</v>
      </c>
      <c r="O1118" s="715">
        <v>2.3699999999999999E-2</v>
      </c>
      <c r="P1118" s="715">
        <v>2.23E-2</v>
      </c>
      <c r="Q1118" s="715">
        <v>2.24E-2</v>
      </c>
      <c r="R1118" s="715">
        <v>2.5100000000000001E-2</v>
      </c>
      <c r="S1118" s="715">
        <v>2.23E-2</v>
      </c>
      <c r="T1118" s="715">
        <v>2.1600000000000001E-2</v>
      </c>
      <c r="U1118" s="715">
        <v>2.18E-2</v>
      </c>
      <c r="V1118" s="715">
        <v>2.2700000000000001E-2</v>
      </c>
      <c r="W1118" s="715">
        <v>2.3099999999999999E-2</v>
      </c>
      <c r="X1118" s="715">
        <v>2.1999999999999999E-2</v>
      </c>
      <c r="Y1118" s="715">
        <v>2.18E-2</v>
      </c>
      <c r="Z1118" s="715">
        <v>2.7400000000000001E-2</v>
      </c>
      <c r="AA1118" s="715">
        <v>2.5000000000000001E-2</v>
      </c>
      <c r="AB1118" s="715">
        <v>1.9599999999999999E-2</v>
      </c>
      <c r="AC1118" s="345"/>
      <c r="AD1118" s="345"/>
      <c r="AE1118" s="345"/>
      <c r="AF1118" s="345"/>
      <c r="AG1118" s="345"/>
      <c r="AH1118" s="345"/>
      <c r="AR1118" s="70"/>
      <c r="AS1118" s="334" t="s">
        <v>316</v>
      </c>
      <c r="AT1118" s="334"/>
      <c r="AU1118" s="724">
        <f>G1118</f>
        <v>3.7999999999999999E-2</v>
      </c>
      <c r="AV1118" s="724">
        <f>K1118</f>
        <v>3.0599999999999999E-2</v>
      </c>
      <c r="AW1118" s="724">
        <f>O1118</f>
        <v>2.3699999999999999E-2</v>
      </c>
      <c r="AX1118" s="724">
        <f>S1118</f>
        <v>2.23E-2</v>
      </c>
      <c r="AY1118" s="724">
        <f>W1118</f>
        <v>2.3099999999999999E-2</v>
      </c>
      <c r="BM1118"/>
      <c r="BN1118"/>
      <c r="BO1118"/>
      <c r="BP1118"/>
      <c r="BQ1118"/>
      <c r="BR1118"/>
    </row>
    <row r="1119" spans="1:70" s="342" customFormat="1" hidden="1" outlineLevel="1" x14ac:dyDescent="0.2">
      <c r="A1119" s="830"/>
      <c r="C1119" s="334" t="s">
        <v>318</v>
      </c>
      <c r="D1119" s="477">
        <v>2.06E-2</v>
      </c>
      <c r="E1119" s="477">
        <v>2.0400000000000001E-2</v>
      </c>
      <c r="F1119" s="477">
        <v>2.1000000000000001E-2</v>
      </c>
      <c r="G1119" s="477">
        <v>1.95E-2</v>
      </c>
      <c r="H1119" s="477">
        <v>1.78E-2</v>
      </c>
      <c r="I1119" s="477">
        <v>1.6500000000000001E-2</v>
      </c>
      <c r="J1119" s="477">
        <v>1.6199999999999999E-2</v>
      </c>
      <c r="K1119" s="477">
        <v>1.5599999999999999E-2</v>
      </c>
      <c r="L1119" s="477">
        <v>1.43E-2</v>
      </c>
      <c r="M1119" s="477">
        <v>1.41E-2</v>
      </c>
      <c r="N1119" s="477">
        <v>1.35E-2</v>
      </c>
      <c r="O1119" s="477">
        <v>1.2500000000000001E-2</v>
      </c>
      <c r="P1119" s="477">
        <v>1.15E-2</v>
      </c>
      <c r="Q1119" s="477">
        <v>1.09E-2</v>
      </c>
      <c r="R1119" s="477">
        <v>1.18E-2</v>
      </c>
      <c r="S1119" s="477">
        <v>1.0699999999999999E-2</v>
      </c>
      <c r="T1119" s="477">
        <v>1.0500000000000001E-2</v>
      </c>
      <c r="U1119" s="477">
        <v>9.7999999999999997E-3</v>
      </c>
      <c r="V1119" s="477">
        <v>1.04E-2</v>
      </c>
      <c r="W1119" s="477">
        <v>1.01E-2</v>
      </c>
      <c r="X1119" s="477">
        <v>9.7999999999999997E-3</v>
      </c>
      <c r="Y1119" s="477">
        <v>9.4000000000000004E-3</v>
      </c>
      <c r="Z1119" s="477">
        <v>1.0500000000000001E-2</v>
      </c>
      <c r="AA1119" s="477">
        <v>0.01</v>
      </c>
      <c r="AB1119" s="477">
        <v>9.5999999999999992E-3</v>
      </c>
      <c r="AC1119" s="345"/>
      <c r="AD1119" s="345"/>
      <c r="AE1119" s="345"/>
      <c r="AF1119" s="345"/>
      <c r="AG1119" s="345"/>
      <c r="AH1119" s="345"/>
      <c r="AR1119" s="70"/>
      <c r="AT1119" s="334" t="s">
        <v>318</v>
      </c>
      <c r="AU1119" s="724">
        <f>G1119</f>
        <v>1.95E-2</v>
      </c>
      <c r="AV1119" s="724">
        <f>K1119</f>
        <v>1.5599999999999999E-2</v>
      </c>
      <c r="AW1119" s="724">
        <f>O1119</f>
        <v>1.2500000000000001E-2</v>
      </c>
      <c r="AX1119" s="724">
        <f>S1119</f>
        <v>1.0699999999999999E-2</v>
      </c>
      <c r="AY1119" s="724">
        <f>W1119</f>
        <v>1.01E-2</v>
      </c>
      <c r="BM1119"/>
      <c r="BN1119"/>
      <c r="BO1119"/>
      <c r="BP1119"/>
      <c r="BQ1119"/>
      <c r="BR1119"/>
    </row>
    <row r="1120" spans="1:70" s="369" customFormat="1" hidden="1" outlineLevel="1" x14ac:dyDescent="0.2">
      <c r="A1120" s="411"/>
      <c r="B1120" s="523"/>
      <c r="C1120" s="412"/>
      <c r="D1120" s="412"/>
      <c r="E1120" s="412"/>
      <c r="F1120" s="412"/>
      <c r="G1120" s="412"/>
      <c r="H1120" s="412"/>
      <c r="I1120" s="412"/>
      <c r="J1120" s="412"/>
      <c r="K1120" s="412"/>
      <c r="L1120" s="412"/>
      <c r="M1120" s="412"/>
      <c r="N1120" s="412"/>
      <c r="O1120" s="412"/>
      <c r="P1120" s="412"/>
      <c r="Q1120" s="725"/>
      <c r="R1120" s="725"/>
      <c r="S1120" s="725"/>
      <c r="T1120" s="725"/>
      <c r="U1120" s="725"/>
      <c r="V1120" s="725"/>
      <c r="W1120" s="725"/>
      <c r="X1120" s="725"/>
      <c r="Y1120" s="725"/>
      <c r="Z1120" s="342"/>
      <c r="AA1120" s="342"/>
      <c r="AB1120" s="342"/>
      <c r="AC1120" s="726"/>
      <c r="AD1120" s="342"/>
      <c r="AE1120" s="342"/>
      <c r="AF1120" s="342"/>
      <c r="AG1120" s="342"/>
      <c r="AH1120" s="342"/>
      <c r="AI1120" s="726"/>
      <c r="AJ1120" s="726"/>
      <c r="AK1120" s="726"/>
      <c r="AL1120" s="726"/>
      <c r="AM1120" s="726"/>
      <c r="AN1120" s="726"/>
      <c r="AO1120" s="726"/>
      <c r="AP1120" s="726"/>
      <c r="AQ1120" s="726"/>
      <c r="AR1120" s="70"/>
      <c r="AS1120" s="523"/>
      <c r="AT1120" s="412"/>
      <c r="AU1120" s="342"/>
      <c r="AV1120" s="726"/>
      <c r="AW1120" s="726"/>
      <c r="AX1120" s="726"/>
      <c r="BM1120"/>
      <c r="BN1120"/>
      <c r="BO1120"/>
      <c r="BP1120"/>
      <c r="BQ1120"/>
      <c r="BR1120"/>
    </row>
    <row r="1121" spans="1:70" s="369" customFormat="1" collapsed="1" x14ac:dyDescent="0.2">
      <c r="A1121" s="411"/>
      <c r="B1121" s="523"/>
      <c r="C1121" s="412"/>
      <c r="D1121" s="412"/>
      <c r="E1121" s="412"/>
      <c r="F1121" s="412"/>
      <c r="G1121" s="412"/>
      <c r="H1121" s="412"/>
      <c r="I1121" s="412"/>
      <c r="J1121" s="412"/>
      <c r="K1121" s="412"/>
      <c r="L1121" s="412"/>
      <c r="M1121" s="412"/>
      <c r="N1121" s="412"/>
      <c r="O1121" s="412"/>
      <c r="P1121" s="412"/>
      <c r="Q1121" s="725"/>
      <c r="R1121" s="725"/>
      <c r="S1121" s="725"/>
      <c r="T1121" s="725"/>
      <c r="U1121" s="725"/>
      <c r="V1121" s="725"/>
      <c r="W1121" s="725"/>
      <c r="X1121" s="725"/>
      <c r="Y1121" s="725"/>
      <c r="Z1121" s="342"/>
      <c r="AA1121" s="726"/>
      <c r="AB1121" s="342"/>
      <c r="AC1121" s="726"/>
      <c r="AD1121" s="342"/>
      <c r="AE1121" s="342"/>
      <c r="AF1121" s="342"/>
      <c r="AG1121" s="342"/>
      <c r="AH1121" s="342"/>
      <c r="AI1121" s="726"/>
      <c r="AJ1121" s="726"/>
      <c r="AK1121" s="726"/>
      <c r="AL1121" s="726"/>
      <c r="AM1121" s="726"/>
      <c r="AN1121" s="726"/>
      <c r="AO1121" s="726"/>
      <c r="AP1121" s="726"/>
      <c r="AQ1121" s="726"/>
      <c r="AR1121" s="70"/>
      <c r="AS1121" s="523"/>
      <c r="AT1121" s="412"/>
      <c r="AU1121" s="342"/>
      <c r="AV1121" s="726"/>
      <c r="AW1121" s="726"/>
      <c r="AX1121" s="726"/>
      <c r="BM1121"/>
      <c r="BN1121"/>
      <c r="BO1121"/>
      <c r="BP1121"/>
      <c r="BQ1121"/>
      <c r="BR1121"/>
    </row>
    <row r="1122" spans="1:70" s="342" customFormat="1" x14ac:dyDescent="0.2">
      <c r="A1122" s="830"/>
      <c r="B1122" s="705" t="s">
        <v>331</v>
      </c>
      <c r="C1122" s="706"/>
      <c r="D1122" s="706"/>
      <c r="E1122" s="706"/>
      <c r="F1122" s="706"/>
      <c r="G1122" s="706"/>
      <c r="H1122" s="706"/>
      <c r="I1122" s="707"/>
      <c r="J1122" s="708"/>
      <c r="K1122" s="707"/>
      <c r="L1122" s="708"/>
      <c r="M1122" s="707"/>
      <c r="N1122" s="707"/>
      <c r="O1122" s="707"/>
      <c r="P1122" s="708"/>
      <c r="Q1122" s="705"/>
      <c r="R1122" s="705"/>
      <c r="S1122" s="705"/>
      <c r="T1122" s="705"/>
      <c r="U1122" s="705"/>
      <c r="V1122" s="705"/>
      <c r="W1122" s="705"/>
      <c r="X1122" s="705"/>
      <c r="Y1122" s="705"/>
      <c r="Z1122" s="709"/>
      <c r="AA1122" s="709"/>
      <c r="AB1122" s="709"/>
      <c r="AC1122" s="709"/>
      <c r="AD1122" s="709"/>
      <c r="AE1122" s="709"/>
      <c r="AF1122" s="709"/>
      <c r="AG1122" s="709"/>
      <c r="AH1122" s="709"/>
      <c r="AI1122" s="706"/>
      <c r="AJ1122" s="706"/>
      <c r="AK1122" s="706"/>
      <c r="AL1122" s="706"/>
      <c r="AM1122" s="706"/>
      <c r="AN1122" s="706"/>
      <c r="AO1122" s="706"/>
      <c r="AP1122" s="706"/>
      <c r="AQ1122" s="706"/>
      <c r="AR1122" s="70"/>
      <c r="AS1122" s="705" t="s">
        <v>331</v>
      </c>
      <c r="AT1122" s="706"/>
      <c r="AU1122" s="706"/>
      <c r="AV1122" s="706"/>
      <c r="AW1122" s="706"/>
      <c r="AX1122" s="706"/>
      <c r="AY1122" s="706"/>
      <c r="AZ1122" s="706"/>
      <c r="BA1122" s="706"/>
      <c r="BB1122" s="706"/>
      <c r="BC1122" s="706"/>
      <c r="BD1122" s="706"/>
      <c r="BE1122" s="706"/>
      <c r="BM1122"/>
      <c r="BN1122"/>
      <c r="BO1122"/>
      <c r="BP1122"/>
      <c r="BQ1122"/>
      <c r="BR1122"/>
    </row>
    <row r="1123" spans="1:70" s="369" customFormat="1" x14ac:dyDescent="0.2">
      <c r="A1123" s="411"/>
      <c r="B1123" s="523" t="s">
        <v>324</v>
      </c>
      <c r="C1123" s="412"/>
      <c r="D1123" s="727">
        <v>30115</v>
      </c>
      <c r="E1123" s="379">
        <f t="shared" ref="E1123:AE1123" si="2620">D1130</f>
        <v>29020</v>
      </c>
      <c r="F1123" s="379">
        <f t="shared" si="2620"/>
        <v>27611</v>
      </c>
      <c r="G1123" s="379">
        <f t="shared" si="2620"/>
        <v>25916</v>
      </c>
      <c r="H1123" s="379">
        <f t="shared" si="2620"/>
        <v>25455</v>
      </c>
      <c r="I1123" s="379">
        <f t="shared" si="2620"/>
        <v>23727</v>
      </c>
      <c r="J1123" s="379">
        <f t="shared" si="2620"/>
        <v>21580</v>
      </c>
      <c r="K1123" s="379">
        <f t="shared" si="2620"/>
        <v>20605</v>
      </c>
      <c r="L1123" s="379">
        <f t="shared" si="2620"/>
        <v>19648</v>
      </c>
      <c r="M1123" s="379">
        <f t="shared" si="2620"/>
        <v>18923</v>
      </c>
      <c r="N1123" s="379">
        <f t="shared" si="2620"/>
        <v>17890</v>
      </c>
      <c r="O1123" s="379">
        <f t="shared" si="2620"/>
        <v>16915</v>
      </c>
      <c r="P1123" s="379">
        <f t="shared" si="2620"/>
        <v>15994</v>
      </c>
      <c r="Q1123" s="379">
        <f t="shared" si="2620"/>
        <v>14598</v>
      </c>
      <c r="R1123" s="379">
        <f t="shared" si="2620"/>
        <v>14075</v>
      </c>
      <c r="S1123" s="379">
        <f t="shared" si="2620"/>
        <v>13626</v>
      </c>
      <c r="T1123" s="379">
        <f t="shared" si="2620"/>
        <v>12626</v>
      </c>
      <c r="U1123" s="379">
        <f t="shared" si="2620"/>
        <v>12712</v>
      </c>
      <c r="V1123" s="379">
        <f t="shared" si="2620"/>
        <v>12304</v>
      </c>
      <c r="W1123" s="379">
        <f t="shared" si="2620"/>
        <v>12439</v>
      </c>
      <c r="X1123" s="379">
        <f t="shared" si="2620"/>
        <v>12060</v>
      </c>
      <c r="Y1123" s="379">
        <f t="shared" si="2620"/>
        <v>12030</v>
      </c>
      <c r="Z1123" s="379">
        <f t="shared" si="2620"/>
        <v>12025</v>
      </c>
      <c r="AA1123" s="379">
        <f t="shared" si="2620"/>
        <v>12366</v>
      </c>
      <c r="AB1123" s="379">
        <f t="shared" si="2620"/>
        <v>12355</v>
      </c>
      <c r="AC1123" s="379">
        <f t="shared" si="2620"/>
        <v>12354</v>
      </c>
      <c r="AD1123" s="379">
        <f t="shared" si="2620"/>
        <v>12530.734483205479</v>
      </c>
      <c r="AE1123" s="379">
        <f t="shared" si="2620"/>
        <v>12716.305618471471</v>
      </c>
      <c r="AF1123" s="379">
        <f t="shared" ref="AF1123" si="2621">AE1130</f>
        <v>12918.282671513942</v>
      </c>
      <c r="AG1123" s="379">
        <f t="shared" ref="AG1123" si="2622">AF1130</f>
        <v>13101.683109156786</v>
      </c>
      <c r="AH1123" s="379">
        <f t="shared" ref="AH1123" si="2623">AG1130</f>
        <v>13299.525721371074</v>
      </c>
      <c r="AI1123" s="379">
        <f t="shared" ref="AI1123" si="2624">AH1130</f>
        <v>13510.078038233059</v>
      </c>
      <c r="AJ1123" s="379"/>
      <c r="AK1123" s="379"/>
      <c r="AL1123" s="379"/>
      <c r="AM1123" s="379"/>
      <c r="AN1123" s="379"/>
      <c r="AO1123" s="379"/>
      <c r="AP1123" s="379"/>
      <c r="AQ1123" s="379"/>
      <c r="AR1123" s="70"/>
      <c r="AS1123" s="523" t="s">
        <v>324</v>
      </c>
      <c r="AT1123" s="412"/>
      <c r="AU1123" s="467">
        <f>D1123</f>
        <v>30115</v>
      </c>
      <c r="AV1123" s="379">
        <f t="shared" ref="AV1123:BE1123" si="2625">AU1130</f>
        <v>25455</v>
      </c>
      <c r="AW1123" s="379">
        <f t="shared" si="2625"/>
        <v>19648</v>
      </c>
      <c r="AX1123" s="379">
        <f t="shared" si="2625"/>
        <v>15994</v>
      </c>
      <c r="AY1123" s="379">
        <f t="shared" si="2625"/>
        <v>12626</v>
      </c>
      <c r="AZ1123" s="379">
        <f t="shared" si="2625"/>
        <v>12060</v>
      </c>
      <c r="BA1123" s="379">
        <f t="shared" si="2625"/>
        <v>12355</v>
      </c>
      <c r="BB1123" s="379">
        <f t="shared" si="2625"/>
        <v>12918.282671513942</v>
      </c>
      <c r="BC1123" s="379">
        <f t="shared" si="2625"/>
        <v>13730.571199690507</v>
      </c>
      <c r="BD1123" s="379">
        <f t="shared" si="2625"/>
        <v>14649.911447978466</v>
      </c>
      <c r="BE1123" s="379">
        <f t="shared" si="2625"/>
        <v>15667.932662112735</v>
      </c>
      <c r="BM1123"/>
      <c r="BN1123"/>
      <c r="BO1123"/>
      <c r="BP1123"/>
      <c r="BQ1123"/>
      <c r="BR1123"/>
    </row>
    <row r="1124" spans="1:70" s="369" customFormat="1" x14ac:dyDescent="0.2">
      <c r="A1124" s="411"/>
      <c r="B1124" s="412" t="s">
        <v>327</v>
      </c>
      <c r="C1124" s="412"/>
      <c r="D1124" s="727">
        <v>2709</v>
      </c>
      <c r="E1124" s="727">
        <v>2475</v>
      </c>
      <c r="F1124" s="727">
        <v>2436</v>
      </c>
      <c r="G1124" s="727">
        <v>2838</v>
      </c>
      <c r="H1124" s="727">
        <v>2214</v>
      </c>
      <c r="I1124" s="727">
        <v>1827</v>
      </c>
      <c r="J1124" s="727">
        <v>1652</v>
      </c>
      <c r="K1124" s="727">
        <v>1911</v>
      </c>
      <c r="L1124" s="727">
        <v>1793</v>
      </c>
      <c r="M1124" s="727">
        <v>1579</v>
      </c>
      <c r="N1124" s="727">
        <v>1575</v>
      </c>
      <c r="O1124" s="727">
        <v>1881</v>
      </c>
      <c r="P1124" s="727">
        <v>1755</v>
      </c>
      <c r="Q1124" s="727">
        <v>1515</v>
      </c>
      <c r="R1124" s="727">
        <v>1582</v>
      </c>
      <c r="S1124" s="727">
        <v>2256</v>
      </c>
      <c r="T1124" s="727">
        <v>1886</v>
      </c>
      <c r="U1124" s="727">
        <v>1390</v>
      </c>
      <c r="V1124" s="727">
        <v>1746</v>
      </c>
      <c r="W1124" s="727">
        <v>1727</v>
      </c>
      <c r="X1124" s="727">
        <v>1675</v>
      </c>
      <c r="Y1124" s="727">
        <v>1666</v>
      </c>
      <c r="Z1124" s="727">
        <v>2146</v>
      </c>
      <c r="AA1124" s="727">
        <v>2016</v>
      </c>
      <c r="AB1124" s="727">
        <v>1803</v>
      </c>
      <c r="AC1124" s="728">
        <f t="shared" ref="AC1124:AE1124" si="2626">AC1239</f>
        <v>2201.3508752602743</v>
      </c>
      <c r="AD1124" s="728">
        <f t="shared" si="2626"/>
        <v>2318.1821994053621</v>
      </c>
      <c r="AE1124" s="728">
        <f t="shared" si="2626"/>
        <v>2430.6596766483344</v>
      </c>
      <c r="AF1124" s="728">
        <f t="shared" ref="AF1124:AI1124" si="2627">AF1239</f>
        <v>2399.0773951623601</v>
      </c>
      <c r="AG1124" s="728">
        <f t="shared" si="2627"/>
        <v>2485.4811397022422</v>
      </c>
      <c r="AH1124" s="728">
        <f t="shared" si="2627"/>
        <v>2652.3018689032192</v>
      </c>
      <c r="AI1124" s="728">
        <f t="shared" si="2627"/>
        <v>2786.541411676526</v>
      </c>
      <c r="AJ1124" s="728"/>
      <c r="AK1124" s="728"/>
      <c r="AL1124" s="728"/>
      <c r="AM1124" s="728"/>
      <c r="AN1124" s="728"/>
      <c r="AO1124" s="728"/>
      <c r="AP1124" s="728"/>
      <c r="AQ1124" s="728"/>
      <c r="AR1124" s="70"/>
      <c r="AS1124" s="412" t="s">
        <v>327</v>
      </c>
      <c r="AT1124" s="412"/>
      <c r="AU1124" s="232">
        <f>SUM(D1124:G1124)</f>
        <v>10458</v>
      </c>
      <c r="AV1124" s="232">
        <f>SUM(H1124:K1124)</f>
        <v>7604</v>
      </c>
      <c r="AW1124" s="232">
        <f>SUM(L1124:O1124)</f>
        <v>6828</v>
      </c>
      <c r="AX1124" s="232">
        <f>SUM(P1124:S1124)</f>
        <v>7108</v>
      </c>
      <c r="AY1124" s="232">
        <f>SUM(T1124:W1124)</f>
        <v>6749</v>
      </c>
      <c r="AZ1124" s="232">
        <f>SUM(X1124:AA1124)</f>
        <v>7503</v>
      </c>
      <c r="BA1124" s="232">
        <f>SUM(AB1124:AE1124)</f>
        <v>8753.1927513139708</v>
      </c>
      <c r="BB1124" s="232">
        <f>SUM(AF1124:AI1124)</f>
        <v>10323.401815444347</v>
      </c>
      <c r="BC1124" s="729">
        <f>BC1239</f>
        <v>11647.660186926505</v>
      </c>
      <c r="BD1124" s="729">
        <f>BD1239</f>
        <v>13020.253237788598</v>
      </c>
      <c r="BE1124" s="729">
        <f>BE1239</f>
        <v>14783.777943021503</v>
      </c>
      <c r="BM1124"/>
      <c r="BN1124"/>
      <c r="BO1124"/>
      <c r="BP1124"/>
      <c r="BQ1124"/>
      <c r="BR1124"/>
    </row>
    <row r="1125" spans="1:70" s="369" customFormat="1" outlineLevel="1" x14ac:dyDescent="0.2">
      <c r="A1125" s="411"/>
      <c r="B1125" s="412"/>
      <c r="C1125" s="412" t="s">
        <v>322</v>
      </c>
      <c r="D1125" s="727">
        <v>-4644</v>
      </c>
      <c r="E1125" s="727">
        <v>-4205</v>
      </c>
      <c r="F1125" s="727">
        <v>-4516</v>
      </c>
      <c r="G1125" s="727">
        <v>-3640</v>
      </c>
      <c r="H1125" s="727">
        <v>-3444</v>
      </c>
      <c r="I1125" s="727">
        <v>-3257</v>
      </c>
      <c r="J1125" s="727">
        <v>-2974</v>
      </c>
      <c r="K1125" s="727">
        <v>-3094</v>
      </c>
      <c r="L1125" s="727">
        <v>-2983</v>
      </c>
      <c r="M1125" s="727">
        <v>-2812</v>
      </c>
      <c r="N1125" s="727">
        <v>-2586</v>
      </c>
      <c r="O1125" s="727">
        <v>-2727</v>
      </c>
      <c r="P1125" s="727">
        <v>-2458</v>
      </c>
      <c r="Q1125" s="727">
        <v>-2335</v>
      </c>
      <c r="R1125" s="727">
        <v>-2068</v>
      </c>
      <c r="S1125" s="727">
        <v>-2180</v>
      </c>
      <c r="T1125" s="727">
        <v>-2143</v>
      </c>
      <c r="U1125" s="727">
        <v>-2048</v>
      </c>
      <c r="V1125" s="727">
        <v>-1948</v>
      </c>
      <c r="W1125" s="727">
        <v>-2083</v>
      </c>
      <c r="X1125" s="727">
        <v>-2144</v>
      </c>
      <c r="Y1125" s="727">
        <v>-2130</v>
      </c>
      <c r="Z1125" s="727">
        <v>-2120</v>
      </c>
      <c r="AA1125" s="727">
        <v>-2279</v>
      </c>
      <c r="AB1125" s="727">
        <v>-2296</v>
      </c>
      <c r="AC1125" s="728"/>
      <c r="AD1125" s="728"/>
      <c r="AE1125" s="728"/>
      <c r="AF1125" s="728"/>
      <c r="AG1125" s="728"/>
      <c r="AH1125" s="728"/>
      <c r="AI1125" s="728"/>
      <c r="AJ1125" s="728"/>
      <c r="AK1125" s="728"/>
      <c r="AL1125" s="728"/>
      <c r="AM1125" s="728"/>
      <c r="AN1125" s="728"/>
      <c r="AO1125" s="728"/>
      <c r="AP1125" s="728"/>
      <c r="AQ1125" s="728"/>
      <c r="AR1125" s="70"/>
      <c r="AS1125" s="412"/>
      <c r="AT1125" s="412" t="s">
        <v>322</v>
      </c>
      <c r="AU1125" s="232">
        <f>SUM(D1125:G1125)</f>
        <v>-17005</v>
      </c>
      <c r="AV1125" s="232">
        <f>SUM(H1125:K1125)</f>
        <v>-12769</v>
      </c>
      <c r="AW1125" s="232">
        <f>SUM(L1125:O1125)</f>
        <v>-11108</v>
      </c>
      <c r="AX1125" s="232">
        <f>SUM(P1125:S1125)</f>
        <v>-9041</v>
      </c>
      <c r="AY1125" s="232">
        <f>SUM(T1125:W1125)</f>
        <v>-8222</v>
      </c>
      <c r="AZ1125" s="232">
        <f>SUM(X1125:AA1125)</f>
        <v>-8673</v>
      </c>
      <c r="BA1125" s="232">
        <f>SUM(AB1125:AE1125)</f>
        <v>-2296</v>
      </c>
      <c r="BB1125" s="232">
        <f>SUM(AF1125:AI1125)</f>
        <v>0</v>
      </c>
      <c r="BC1125" s="729"/>
      <c r="BD1125" s="729"/>
      <c r="BE1125" s="729"/>
      <c r="BM1125"/>
      <c r="BN1125"/>
      <c r="BO1125"/>
      <c r="BP1125"/>
      <c r="BQ1125"/>
      <c r="BR1125"/>
    </row>
    <row r="1126" spans="1:70" s="369" customFormat="1" outlineLevel="1" x14ac:dyDescent="0.2">
      <c r="A1126" s="411"/>
      <c r="B1126" s="412"/>
      <c r="C1126" s="730" t="s">
        <v>71</v>
      </c>
      <c r="D1126" s="430">
        <v>786</v>
      </c>
      <c r="E1126" s="430">
        <v>714</v>
      </c>
      <c r="F1126" s="430">
        <v>619</v>
      </c>
      <c r="G1126" s="430">
        <v>655</v>
      </c>
      <c r="H1126" s="430">
        <v>566</v>
      </c>
      <c r="I1126" s="430">
        <v>649</v>
      </c>
      <c r="J1126" s="430">
        <v>544</v>
      </c>
      <c r="K1126" s="430">
        <v>547</v>
      </c>
      <c r="L1126" s="430">
        <v>544</v>
      </c>
      <c r="M1126" s="430">
        <v>623</v>
      </c>
      <c r="N1126" s="430">
        <v>489</v>
      </c>
      <c r="O1126" s="430">
        <v>479</v>
      </c>
      <c r="P1126" s="430">
        <v>501</v>
      </c>
      <c r="Q1126" s="430">
        <v>415</v>
      </c>
      <c r="R1126" s="430">
        <v>405</v>
      </c>
      <c r="S1126" s="430">
        <v>418</v>
      </c>
      <c r="T1126" s="430">
        <v>419</v>
      </c>
      <c r="U1126" s="430">
        <v>432</v>
      </c>
      <c r="V1126" s="430">
        <v>423</v>
      </c>
      <c r="W1126" s="430">
        <v>387</v>
      </c>
      <c r="X1126" s="430">
        <v>435</v>
      </c>
      <c r="Y1126" s="430">
        <v>420</v>
      </c>
      <c r="Z1126" s="430">
        <v>343</v>
      </c>
      <c r="AA1126" s="430">
        <v>399</v>
      </c>
      <c r="AB1126" s="430">
        <v>429</v>
      </c>
      <c r="AC1126" s="728"/>
      <c r="AD1126" s="728"/>
      <c r="AE1126" s="728"/>
      <c r="AF1126" s="728"/>
      <c r="AG1126" s="728"/>
      <c r="AH1126" s="728"/>
      <c r="AI1126" s="728"/>
      <c r="AJ1126" s="728"/>
      <c r="AK1126" s="728"/>
      <c r="AL1126" s="728"/>
      <c r="AM1126" s="728"/>
      <c r="AN1126" s="728"/>
      <c r="AO1126" s="728"/>
      <c r="AP1126" s="728"/>
      <c r="AQ1126" s="728"/>
      <c r="AR1126" s="70"/>
      <c r="AS1126" s="412"/>
      <c r="AT1126" s="730" t="s">
        <v>71</v>
      </c>
      <c r="AU1126" s="232">
        <f>SUM(D1126:G1126)</f>
        <v>2774</v>
      </c>
      <c r="AV1126" s="232">
        <f>SUM(H1126:K1126)</f>
        <v>2306</v>
      </c>
      <c r="AW1126" s="232">
        <f>SUM(L1126:O1126)</f>
        <v>2135</v>
      </c>
      <c r="AX1126" s="232">
        <f>SUM(P1126:S1126)</f>
        <v>1739</v>
      </c>
      <c r="AY1126" s="232">
        <f>SUM(T1126:W1126)</f>
        <v>1661</v>
      </c>
      <c r="AZ1126" s="232">
        <f>SUM(X1126:AA1126)</f>
        <v>1597</v>
      </c>
      <c r="BA1126" s="232">
        <f>SUM(AB1126:AE1126)</f>
        <v>429</v>
      </c>
      <c r="BB1126" s="232">
        <f>SUM(AF1126:AI1126)</f>
        <v>0</v>
      </c>
      <c r="BC1126" s="729"/>
      <c r="BD1126" s="729"/>
      <c r="BE1126" s="729"/>
      <c r="BM1126"/>
      <c r="BN1126"/>
      <c r="BO1126"/>
      <c r="BP1126"/>
      <c r="BQ1126"/>
      <c r="BR1126"/>
    </row>
    <row r="1127" spans="1:70" s="369" customFormat="1" x14ac:dyDescent="0.2">
      <c r="A1127" s="411"/>
      <c r="B1127" s="412" t="s">
        <v>337</v>
      </c>
      <c r="C1127" s="412"/>
      <c r="D1127" s="379">
        <f t="shared" ref="D1127:X1127" si="2628">SUM(D1125:D1126)*-1</f>
        <v>3858</v>
      </c>
      <c r="E1127" s="379">
        <f t="shared" si="2628"/>
        <v>3491</v>
      </c>
      <c r="F1127" s="379">
        <f t="shared" si="2628"/>
        <v>3897</v>
      </c>
      <c r="G1127" s="379">
        <f t="shared" si="2628"/>
        <v>2985</v>
      </c>
      <c r="H1127" s="379">
        <f t="shared" si="2628"/>
        <v>2878</v>
      </c>
      <c r="I1127" s="379">
        <f t="shared" si="2628"/>
        <v>2608</v>
      </c>
      <c r="J1127" s="379">
        <f t="shared" si="2628"/>
        <v>2430</v>
      </c>
      <c r="K1127" s="379">
        <f t="shared" si="2628"/>
        <v>2547</v>
      </c>
      <c r="L1127" s="379">
        <f t="shared" si="2628"/>
        <v>2439</v>
      </c>
      <c r="M1127" s="379">
        <f t="shared" si="2628"/>
        <v>2189</v>
      </c>
      <c r="N1127" s="379">
        <f t="shared" si="2628"/>
        <v>2097</v>
      </c>
      <c r="O1127" s="379">
        <f t="shared" si="2628"/>
        <v>2248</v>
      </c>
      <c r="P1127" s="379">
        <f t="shared" si="2628"/>
        <v>1957</v>
      </c>
      <c r="Q1127" s="379">
        <f t="shared" si="2628"/>
        <v>1920</v>
      </c>
      <c r="R1127" s="379">
        <f t="shared" si="2628"/>
        <v>1663</v>
      </c>
      <c r="S1127" s="379">
        <f t="shared" si="2628"/>
        <v>1762</v>
      </c>
      <c r="T1127" s="379">
        <f t="shared" si="2628"/>
        <v>1724</v>
      </c>
      <c r="U1127" s="379">
        <f t="shared" si="2628"/>
        <v>1616</v>
      </c>
      <c r="V1127" s="379">
        <f t="shared" si="2628"/>
        <v>1525</v>
      </c>
      <c r="W1127" s="379">
        <f t="shared" si="2628"/>
        <v>1696</v>
      </c>
      <c r="X1127" s="379">
        <f t="shared" si="2628"/>
        <v>1709</v>
      </c>
      <c r="Y1127" s="379">
        <f t="shared" ref="Y1127:Z1127" si="2629">SUM(Y1125:Y1126)*-1</f>
        <v>1710</v>
      </c>
      <c r="Z1127" s="379">
        <f t="shared" si="2629"/>
        <v>1777</v>
      </c>
      <c r="AA1127" s="379">
        <f t="shared" ref="AA1127:AB1127" si="2630">SUM(AA1125:AA1126)*-1</f>
        <v>1880</v>
      </c>
      <c r="AB1127" s="379">
        <f t="shared" si="2630"/>
        <v>1867</v>
      </c>
      <c r="AC1127" s="728">
        <f t="shared" ref="AC1127:AE1127" si="2631">AC1240</f>
        <v>2024.6163920547947</v>
      </c>
      <c r="AD1127" s="728">
        <f t="shared" si="2631"/>
        <v>2132.6110641393698</v>
      </c>
      <c r="AE1127" s="728">
        <f t="shared" si="2631"/>
        <v>2228.6826236058632</v>
      </c>
      <c r="AF1127" s="728">
        <f t="shared" ref="AF1127:AI1127" si="2632">AF1240</f>
        <v>2215.6769575195153</v>
      </c>
      <c r="AG1127" s="728">
        <f t="shared" si="2632"/>
        <v>2287.638527487954</v>
      </c>
      <c r="AH1127" s="728">
        <f t="shared" si="2632"/>
        <v>2441.7495520412344</v>
      </c>
      <c r="AI1127" s="728">
        <f t="shared" si="2632"/>
        <v>2566.0482502190785</v>
      </c>
      <c r="AJ1127" s="728"/>
      <c r="AK1127" s="728"/>
      <c r="AL1127" s="728"/>
      <c r="AM1127" s="728"/>
      <c r="AN1127" s="728"/>
      <c r="AO1127" s="728"/>
      <c r="AP1127" s="728"/>
      <c r="AQ1127" s="728"/>
      <c r="AR1127" s="70"/>
      <c r="AS1127" s="412" t="s">
        <v>337</v>
      </c>
      <c r="AT1127" s="412"/>
      <c r="AU1127" s="379">
        <f>SUM(AU1125:AU1126)*-1</f>
        <v>14231</v>
      </c>
      <c r="AV1127" s="379">
        <f>SUM(AV1125:AV1126)*-1</f>
        <v>10463</v>
      </c>
      <c r="AW1127" s="379">
        <f>SUM(AW1125:AW1126)*-1</f>
        <v>8973</v>
      </c>
      <c r="AX1127" s="379">
        <f>SUM(AX1125:AX1126)*-1</f>
        <v>7302</v>
      </c>
      <c r="AY1127" s="379">
        <f>SUM(AY1125:AY1126)*-1</f>
        <v>6561</v>
      </c>
      <c r="AZ1127" s="232">
        <f>SUM(X1127:AA1127)</f>
        <v>7076</v>
      </c>
      <c r="BA1127" s="232">
        <f>SUM(AB1127:AE1127)</f>
        <v>8252.9100798000291</v>
      </c>
      <c r="BB1127" s="232">
        <f>SUM(AF1127:AI1127)</f>
        <v>9511.1132872677827</v>
      </c>
      <c r="BC1127" s="729">
        <f>BC1240</f>
        <v>10728.319938638546</v>
      </c>
      <c r="BD1127" s="729">
        <f>BD1240</f>
        <v>12002.232023654329</v>
      </c>
      <c r="BE1127" s="729">
        <f>BE1240</f>
        <v>13654.393473691665</v>
      </c>
      <c r="BM1127"/>
      <c r="BN1127"/>
      <c r="BO1127"/>
      <c r="BP1127"/>
      <c r="BQ1127"/>
      <c r="BR1127"/>
    </row>
    <row r="1128" spans="1:70" s="369" customFormat="1" x14ac:dyDescent="0.2">
      <c r="A1128" s="411"/>
      <c r="B1128" s="412"/>
      <c r="C1128" s="412" t="s">
        <v>325</v>
      </c>
      <c r="D1128" s="731">
        <f t="shared" ref="D1128:AE1128" si="2633">D1124-D1127</f>
        <v>-1149</v>
      </c>
      <c r="E1128" s="731">
        <f t="shared" si="2633"/>
        <v>-1016</v>
      </c>
      <c r="F1128" s="731">
        <f t="shared" si="2633"/>
        <v>-1461</v>
      </c>
      <c r="G1128" s="731">
        <f t="shared" si="2633"/>
        <v>-147</v>
      </c>
      <c r="H1128" s="731">
        <f t="shared" si="2633"/>
        <v>-664</v>
      </c>
      <c r="I1128" s="731">
        <f t="shared" si="2633"/>
        <v>-781</v>
      </c>
      <c r="J1128" s="731">
        <f t="shared" si="2633"/>
        <v>-778</v>
      </c>
      <c r="K1128" s="731">
        <f t="shared" si="2633"/>
        <v>-636</v>
      </c>
      <c r="L1128" s="731">
        <f t="shared" si="2633"/>
        <v>-646</v>
      </c>
      <c r="M1128" s="731">
        <f t="shared" si="2633"/>
        <v>-610</v>
      </c>
      <c r="N1128" s="731">
        <f t="shared" si="2633"/>
        <v>-522</v>
      </c>
      <c r="O1128" s="731">
        <f t="shared" si="2633"/>
        <v>-367</v>
      </c>
      <c r="P1128" s="731">
        <f t="shared" si="2633"/>
        <v>-202</v>
      </c>
      <c r="Q1128" s="731">
        <f t="shared" si="2633"/>
        <v>-405</v>
      </c>
      <c r="R1128" s="731">
        <f t="shared" si="2633"/>
        <v>-81</v>
      </c>
      <c r="S1128" s="731">
        <f t="shared" si="2633"/>
        <v>494</v>
      </c>
      <c r="T1128" s="731">
        <f t="shared" si="2633"/>
        <v>162</v>
      </c>
      <c r="U1128" s="731">
        <f t="shared" si="2633"/>
        <v>-226</v>
      </c>
      <c r="V1128" s="731">
        <f t="shared" si="2633"/>
        <v>221</v>
      </c>
      <c r="W1128" s="731">
        <f t="shared" si="2633"/>
        <v>31</v>
      </c>
      <c r="X1128" s="731">
        <f t="shared" si="2633"/>
        <v>-34</v>
      </c>
      <c r="Y1128" s="731">
        <f t="shared" ref="Y1128:Z1128" si="2634">Y1124-Y1127</f>
        <v>-44</v>
      </c>
      <c r="Z1128" s="731">
        <f t="shared" si="2634"/>
        <v>369</v>
      </c>
      <c r="AA1128" s="731">
        <f t="shared" ref="AA1128:AB1128" si="2635">AA1124-AA1127</f>
        <v>136</v>
      </c>
      <c r="AB1128" s="731">
        <f t="shared" si="2635"/>
        <v>-64</v>
      </c>
      <c r="AC1128" s="731">
        <f t="shared" si="2633"/>
        <v>176.73448320547959</v>
      </c>
      <c r="AD1128" s="731">
        <f t="shared" si="2633"/>
        <v>185.57113526599233</v>
      </c>
      <c r="AE1128" s="731">
        <f t="shared" si="2633"/>
        <v>201.9770530424712</v>
      </c>
      <c r="AF1128" s="731">
        <f t="shared" ref="AF1128:AI1128" si="2636">AF1124-AF1127</f>
        <v>183.40043764284474</v>
      </c>
      <c r="AG1128" s="731">
        <f t="shared" si="2636"/>
        <v>197.84261221428824</v>
      </c>
      <c r="AH1128" s="731">
        <f t="shared" si="2636"/>
        <v>210.55231686198476</v>
      </c>
      <c r="AI1128" s="731">
        <f t="shared" si="2636"/>
        <v>220.49316145744751</v>
      </c>
      <c r="AJ1128" s="731"/>
      <c r="AK1128" s="731"/>
      <c r="AL1128" s="731"/>
      <c r="AM1128" s="731"/>
      <c r="AN1128" s="731"/>
      <c r="AO1128" s="731"/>
      <c r="AP1128" s="731"/>
      <c r="AQ1128" s="731"/>
      <c r="AR1128" s="70"/>
      <c r="AS1128" s="412"/>
      <c r="AT1128" s="412" t="s">
        <v>325</v>
      </c>
      <c r="AU1128" s="731">
        <f t="shared" ref="AU1128:BD1128" si="2637">AU1124-AU1127</f>
        <v>-3773</v>
      </c>
      <c r="AV1128" s="731">
        <f t="shared" si="2637"/>
        <v>-2859</v>
      </c>
      <c r="AW1128" s="731">
        <f t="shared" si="2637"/>
        <v>-2145</v>
      </c>
      <c r="AX1128" s="731">
        <f t="shared" si="2637"/>
        <v>-194</v>
      </c>
      <c r="AY1128" s="731">
        <f t="shared" si="2637"/>
        <v>188</v>
      </c>
      <c r="AZ1128" s="731">
        <f t="shared" si="2637"/>
        <v>427</v>
      </c>
      <c r="BA1128" s="731">
        <f t="shared" si="2637"/>
        <v>500.28267151394175</v>
      </c>
      <c r="BB1128" s="731">
        <f t="shared" ref="BB1128" si="2638">BB1124-BB1127</f>
        <v>812.2885281765648</v>
      </c>
      <c r="BC1128" s="732">
        <f t="shared" si="2637"/>
        <v>919.34024828795918</v>
      </c>
      <c r="BD1128" s="732">
        <f t="shared" si="2637"/>
        <v>1018.021214134269</v>
      </c>
      <c r="BE1128" s="732">
        <f t="shared" ref="BE1128" si="2639">BE1124-BE1127</f>
        <v>1129.3844693298379</v>
      </c>
      <c r="BM1128"/>
      <c r="BN1128"/>
      <c r="BO1128"/>
      <c r="BP1128"/>
      <c r="BQ1128"/>
      <c r="BR1128"/>
    </row>
    <row r="1129" spans="1:70" s="369" customFormat="1" x14ac:dyDescent="0.2">
      <c r="A1129" s="411"/>
      <c r="B1129" s="412" t="s">
        <v>326</v>
      </c>
      <c r="C1129" s="730"/>
      <c r="D1129" s="733">
        <f t="shared" ref="D1129:X1129" si="2640">D1130-D1123-D1128</f>
        <v>54</v>
      </c>
      <c r="E1129" s="733">
        <f t="shared" si="2640"/>
        <v>-393</v>
      </c>
      <c r="F1129" s="733">
        <f t="shared" si="2640"/>
        <v>-234</v>
      </c>
      <c r="G1129" s="733">
        <f t="shared" si="2640"/>
        <v>-314</v>
      </c>
      <c r="H1129" s="733">
        <f t="shared" si="2640"/>
        <v>-1064</v>
      </c>
      <c r="I1129" s="733">
        <f t="shared" si="2640"/>
        <v>-1366</v>
      </c>
      <c r="J1129" s="733">
        <f t="shared" si="2640"/>
        <v>-197</v>
      </c>
      <c r="K1129" s="733">
        <f t="shared" si="2640"/>
        <v>-321</v>
      </c>
      <c r="L1129" s="733">
        <f t="shared" si="2640"/>
        <v>-79</v>
      </c>
      <c r="M1129" s="733">
        <f t="shared" si="2640"/>
        <v>-423</v>
      </c>
      <c r="N1129" s="733">
        <f t="shared" si="2640"/>
        <v>-453</v>
      </c>
      <c r="O1129" s="733">
        <f t="shared" si="2640"/>
        <v>-554</v>
      </c>
      <c r="P1129" s="733">
        <f t="shared" si="2640"/>
        <v>-1194</v>
      </c>
      <c r="Q1129" s="733">
        <f t="shared" si="2640"/>
        <v>-118</v>
      </c>
      <c r="R1129" s="733">
        <f t="shared" si="2640"/>
        <v>-368</v>
      </c>
      <c r="S1129" s="733">
        <f t="shared" si="2640"/>
        <v>-1494</v>
      </c>
      <c r="T1129" s="733">
        <f t="shared" si="2640"/>
        <v>-76</v>
      </c>
      <c r="U1129" s="733">
        <f t="shared" si="2640"/>
        <v>-182</v>
      </c>
      <c r="V1129" s="733">
        <f t="shared" si="2640"/>
        <v>-86</v>
      </c>
      <c r="W1129" s="733">
        <f t="shared" si="2640"/>
        <v>-410</v>
      </c>
      <c r="X1129" s="733">
        <f t="shared" si="2640"/>
        <v>4</v>
      </c>
      <c r="Y1129" s="733">
        <f t="shared" ref="Y1129:Z1129" si="2641">Y1130-Y1123-Y1128</f>
        <v>39</v>
      </c>
      <c r="Z1129" s="733">
        <f t="shared" si="2641"/>
        <v>-28</v>
      </c>
      <c r="AA1129" s="733">
        <f t="shared" ref="AA1129:AB1129" si="2642">AA1130-AA1123-AA1128</f>
        <v>-147</v>
      </c>
      <c r="AB1129" s="733">
        <f t="shared" si="2642"/>
        <v>63</v>
      </c>
      <c r="AC1129" s="734">
        <v>0</v>
      </c>
      <c r="AD1129" s="734">
        <v>0</v>
      </c>
      <c r="AE1129" s="734">
        <v>0</v>
      </c>
      <c r="AF1129" s="734">
        <v>0</v>
      </c>
      <c r="AG1129" s="734">
        <v>0</v>
      </c>
      <c r="AH1129" s="734">
        <v>0</v>
      </c>
      <c r="AI1129" s="734">
        <v>0</v>
      </c>
      <c r="AJ1129" s="1770"/>
      <c r="AK1129" s="1770"/>
      <c r="AL1129" s="1770"/>
      <c r="AM1129" s="1770"/>
      <c r="AN1129" s="1770"/>
      <c r="AO1129" s="1770"/>
      <c r="AP1129" s="1770"/>
      <c r="AQ1129" s="1770"/>
      <c r="AR1129" s="70"/>
      <c r="AS1129" s="412" t="s">
        <v>326</v>
      </c>
      <c r="AT1129" s="730"/>
      <c r="AU1129" s="41">
        <f>SUM(D1129:G1129)</f>
        <v>-887</v>
      </c>
      <c r="AV1129" s="41">
        <f>SUM(H1129:K1129)</f>
        <v>-2948</v>
      </c>
      <c r="AW1129" s="41">
        <f>SUM(L1129:O1129)</f>
        <v>-1509</v>
      </c>
      <c r="AX1129" s="41">
        <f>SUM(P1129:S1129)</f>
        <v>-3174</v>
      </c>
      <c r="AY1129" s="41">
        <f>SUM(T1129:W1129)</f>
        <v>-754</v>
      </c>
      <c r="AZ1129" s="41">
        <f>SUM(X1129:AA1129)</f>
        <v>-132</v>
      </c>
      <c r="BA1129" s="41">
        <f>SUM(AB1129:AE1129)</f>
        <v>63</v>
      </c>
      <c r="BB1129" s="41">
        <f>SUM(AF1129:AI1129)</f>
        <v>0</v>
      </c>
      <c r="BC1129" s="734">
        <v>0</v>
      </c>
      <c r="BD1129" s="734">
        <v>0</v>
      </c>
      <c r="BE1129" s="734">
        <v>0</v>
      </c>
      <c r="BM1129"/>
      <c r="BN1129"/>
      <c r="BO1129"/>
      <c r="BP1129"/>
      <c r="BQ1129"/>
      <c r="BR1129"/>
    </row>
    <row r="1130" spans="1:70" s="369" customFormat="1" x14ac:dyDescent="0.2">
      <c r="A1130" s="411"/>
      <c r="B1130" s="735" t="s">
        <v>323</v>
      </c>
      <c r="C1130" s="736"/>
      <c r="D1130" s="163">
        <f t="shared" ref="D1130:X1130" si="2643">-1*D841</f>
        <v>29020</v>
      </c>
      <c r="E1130" s="163">
        <f t="shared" si="2643"/>
        <v>27611</v>
      </c>
      <c r="F1130" s="163">
        <f t="shared" si="2643"/>
        <v>25916</v>
      </c>
      <c r="G1130" s="163">
        <f t="shared" si="2643"/>
        <v>25455</v>
      </c>
      <c r="H1130" s="163">
        <f t="shared" si="2643"/>
        <v>23727</v>
      </c>
      <c r="I1130" s="163">
        <f t="shared" si="2643"/>
        <v>21580</v>
      </c>
      <c r="J1130" s="163">
        <f t="shared" si="2643"/>
        <v>20605</v>
      </c>
      <c r="K1130" s="163">
        <f t="shared" si="2643"/>
        <v>19648</v>
      </c>
      <c r="L1130" s="163">
        <f t="shared" si="2643"/>
        <v>18923</v>
      </c>
      <c r="M1130" s="163">
        <f t="shared" si="2643"/>
        <v>17890</v>
      </c>
      <c r="N1130" s="163">
        <f t="shared" si="2643"/>
        <v>16915</v>
      </c>
      <c r="O1130" s="163">
        <f t="shared" si="2643"/>
        <v>15994</v>
      </c>
      <c r="P1130" s="163">
        <f t="shared" si="2643"/>
        <v>14598</v>
      </c>
      <c r="Q1130" s="163">
        <f t="shared" si="2643"/>
        <v>14075</v>
      </c>
      <c r="R1130" s="163">
        <f t="shared" si="2643"/>
        <v>13626</v>
      </c>
      <c r="S1130" s="163">
        <f t="shared" si="2643"/>
        <v>12626</v>
      </c>
      <c r="T1130" s="163">
        <f t="shared" si="2643"/>
        <v>12712</v>
      </c>
      <c r="U1130" s="163">
        <f t="shared" si="2643"/>
        <v>12304</v>
      </c>
      <c r="V1130" s="163">
        <f t="shared" si="2643"/>
        <v>12439</v>
      </c>
      <c r="W1130" s="163">
        <f t="shared" si="2643"/>
        <v>12060</v>
      </c>
      <c r="X1130" s="163">
        <f t="shared" si="2643"/>
        <v>12030</v>
      </c>
      <c r="Y1130" s="163">
        <f t="shared" ref="Y1130:Z1130" si="2644">-1*Y841</f>
        <v>12025</v>
      </c>
      <c r="Z1130" s="163">
        <f t="shared" si="2644"/>
        <v>12366</v>
      </c>
      <c r="AA1130" s="163">
        <f t="shared" ref="AA1130:AB1130" si="2645">-1*AA841</f>
        <v>12355</v>
      </c>
      <c r="AB1130" s="163">
        <f t="shared" si="2645"/>
        <v>12354</v>
      </c>
      <c r="AC1130" s="737">
        <f t="shared" ref="AC1130:AE1130" si="2646">AC1123+AC1124-AC1127+AC1129</f>
        <v>12530.734483205479</v>
      </c>
      <c r="AD1130" s="737">
        <f t="shared" si="2646"/>
        <v>12716.305618471471</v>
      </c>
      <c r="AE1130" s="737">
        <f t="shared" si="2646"/>
        <v>12918.282671513942</v>
      </c>
      <c r="AF1130" s="737">
        <f t="shared" ref="AF1130:AI1130" si="2647">AF1123+AF1124-AF1127+AF1129</f>
        <v>13101.683109156786</v>
      </c>
      <c r="AG1130" s="737">
        <f t="shared" si="2647"/>
        <v>13299.525721371074</v>
      </c>
      <c r="AH1130" s="737">
        <f t="shared" si="2647"/>
        <v>13510.078038233059</v>
      </c>
      <c r="AI1130" s="737">
        <f t="shared" si="2647"/>
        <v>13730.571199690507</v>
      </c>
      <c r="AJ1130" s="737"/>
      <c r="AK1130" s="737"/>
      <c r="AL1130" s="737"/>
      <c r="AM1130" s="737"/>
      <c r="AN1130" s="737"/>
      <c r="AO1130" s="737"/>
      <c r="AP1130" s="737"/>
      <c r="AQ1130" s="737"/>
      <c r="AR1130" s="70"/>
      <c r="AS1130" s="735" t="s">
        <v>323</v>
      </c>
      <c r="AT1130" s="736"/>
      <c r="AU1130" s="163">
        <f t="shared" ref="AU1130:BA1130" si="2648">-1*AU841</f>
        <v>25455</v>
      </c>
      <c r="AV1130" s="163">
        <f t="shared" si="2648"/>
        <v>19648</v>
      </c>
      <c r="AW1130" s="163">
        <f t="shared" si="2648"/>
        <v>15994</v>
      </c>
      <c r="AX1130" s="163">
        <f t="shared" si="2648"/>
        <v>12626</v>
      </c>
      <c r="AY1130" s="163">
        <f t="shared" si="2648"/>
        <v>12060</v>
      </c>
      <c r="AZ1130" s="163">
        <f t="shared" si="2648"/>
        <v>12355</v>
      </c>
      <c r="BA1130" s="163">
        <f t="shared" si="2648"/>
        <v>12918.282671513942</v>
      </c>
      <c r="BB1130" s="163">
        <f t="shared" ref="BB1130" si="2649">-1*BB841</f>
        <v>13730.571199690507</v>
      </c>
      <c r="BC1130" s="737">
        <f>BC1123+BC1124-BC1127+BC1129</f>
        <v>14649.911447978466</v>
      </c>
      <c r="BD1130" s="737">
        <f>BD1123+BD1124-BD1127+BD1129</f>
        <v>15667.932662112735</v>
      </c>
      <c r="BE1130" s="737">
        <f>BE1123+BE1124-BE1127+BE1129</f>
        <v>16797.317131442571</v>
      </c>
      <c r="BM1130"/>
      <c r="BN1130"/>
      <c r="BO1130"/>
      <c r="BP1130"/>
      <c r="BQ1130"/>
      <c r="BR1130"/>
    </row>
    <row r="1131" spans="1:70" s="369" customFormat="1" x14ac:dyDescent="0.2">
      <c r="A1131" s="411"/>
      <c r="B1131" s="735"/>
      <c r="C1131" s="736"/>
      <c r="D1131" s="412"/>
      <c r="E1131" s="412"/>
      <c r="F1131" s="738"/>
      <c r="G1131" s="738"/>
      <c r="H1131" s="738"/>
      <c r="I1131" s="738"/>
      <c r="J1131" s="738"/>
      <c r="K1131" s="738"/>
      <c r="L1131" s="738"/>
      <c r="M1131" s="738"/>
      <c r="N1131" s="738"/>
      <c r="O1131" s="738"/>
      <c r="P1131" s="738"/>
      <c r="Q1131" s="738"/>
      <c r="R1131" s="738"/>
      <c r="S1131" s="738"/>
      <c r="T1131" s="738"/>
      <c r="U1131" s="738"/>
      <c r="V1131" s="738"/>
      <c r="W1131" s="738"/>
      <c r="X1131" s="738"/>
      <c r="Y1131" s="738"/>
      <c r="Z1131" s="738"/>
      <c r="AA1131" s="738"/>
      <c r="AB1131" s="738"/>
      <c r="AC1131" s="726"/>
      <c r="AD1131" s="342"/>
      <c r="AE1131" s="342"/>
      <c r="AF1131" s="342"/>
      <c r="AG1131" s="342"/>
      <c r="AH1131" s="342"/>
      <c r="AI1131" s="726"/>
      <c r="AJ1131" s="726"/>
      <c r="AK1131" s="726"/>
      <c r="AL1131" s="726"/>
      <c r="AM1131" s="726"/>
      <c r="AN1131" s="726"/>
      <c r="AO1131" s="726"/>
      <c r="AP1131" s="726"/>
      <c r="AQ1131" s="726"/>
      <c r="AR1131" s="70"/>
      <c r="AS1131" s="735"/>
      <c r="AT1131" s="736"/>
      <c r="AU1131" s="739"/>
      <c r="AV1131" s="726"/>
      <c r="AW1131" s="726"/>
      <c r="AX1131" s="726"/>
      <c r="BM1131"/>
      <c r="BN1131"/>
      <c r="BO1131"/>
      <c r="BP1131"/>
      <c r="BQ1131"/>
      <c r="BR1131"/>
    </row>
    <row r="1132" spans="1:70" s="369" customFormat="1" x14ac:dyDescent="0.2">
      <c r="A1132" s="411"/>
      <c r="B1132" s="315" t="s">
        <v>328</v>
      </c>
      <c r="C1132" s="523"/>
      <c r="D1132" s="727">
        <v>1097</v>
      </c>
      <c r="E1132" s="727">
        <v>1104</v>
      </c>
      <c r="F1132" s="727">
        <v>1063</v>
      </c>
      <c r="G1132" s="727">
        <v>1119</v>
      </c>
      <c r="H1132" s="727">
        <v>1132</v>
      </c>
      <c r="I1132" s="727">
        <v>1133</v>
      </c>
      <c r="J1132" s="727">
        <v>1262</v>
      </c>
      <c r="K1132" s="727">
        <v>1229</v>
      </c>
      <c r="L1132" s="727">
        <v>1202</v>
      </c>
      <c r="M1132" s="727">
        <v>1176</v>
      </c>
      <c r="N1132" s="727">
        <v>1140</v>
      </c>
      <c r="O1132" s="727">
        <v>1063</v>
      </c>
      <c r="P1132" s="727">
        <v>1023</v>
      </c>
      <c r="Q1132" s="727">
        <v>973</v>
      </c>
      <c r="R1132" s="727">
        <v>1036</v>
      </c>
      <c r="S1132" s="727">
        <v>1402</v>
      </c>
      <c r="T1132" s="727">
        <v>1473</v>
      </c>
      <c r="U1132" s="727">
        <v>1432</v>
      </c>
      <c r="V1132" s="727">
        <v>1388</v>
      </c>
      <c r="W1132" s="727">
        <v>1418</v>
      </c>
      <c r="X1132" s="727">
        <v>1377</v>
      </c>
      <c r="Y1132" s="727">
        <v>1406</v>
      </c>
      <c r="Z1132" s="727">
        <v>1232</v>
      </c>
      <c r="AA1132" s="727">
        <v>1258</v>
      </c>
      <c r="AB1132" s="727">
        <v>1290</v>
      </c>
      <c r="AC1132" s="740"/>
      <c r="AD1132" s="741"/>
      <c r="AE1132" s="741"/>
      <c r="AF1132" s="741"/>
      <c r="AG1132" s="741"/>
      <c r="AH1132" s="741"/>
      <c r="AI1132" s="740"/>
      <c r="AJ1132" s="740"/>
      <c r="AK1132" s="740"/>
      <c r="AL1132" s="740"/>
      <c r="AM1132" s="740"/>
      <c r="AN1132" s="740"/>
      <c r="AO1132" s="740"/>
      <c r="AP1132" s="740"/>
      <c r="AQ1132" s="740"/>
      <c r="AR1132" s="70"/>
      <c r="AS1132" s="315" t="s">
        <v>328</v>
      </c>
      <c r="AT1132" s="523"/>
      <c r="AU1132" s="379">
        <f>G1132</f>
        <v>1119</v>
      </c>
      <c r="AV1132" s="379">
        <f>K1132</f>
        <v>1229</v>
      </c>
      <c r="AW1132" s="379">
        <f>O1132</f>
        <v>1063</v>
      </c>
      <c r="AX1132" s="379">
        <f>S1132</f>
        <v>1402</v>
      </c>
      <c r="AY1132" s="379">
        <f>W1132</f>
        <v>1418</v>
      </c>
      <c r="AZ1132" s="379">
        <f>AA1132</f>
        <v>1258</v>
      </c>
      <c r="BA1132" s="379">
        <f>AE1132</f>
        <v>0</v>
      </c>
      <c r="BB1132" s="379">
        <f>AI1132</f>
        <v>0</v>
      </c>
      <c r="BM1132"/>
      <c r="BN1132"/>
      <c r="BO1132"/>
      <c r="BP1132"/>
      <c r="BQ1132"/>
      <c r="BR1132"/>
    </row>
    <row r="1133" spans="1:70" s="369" customFormat="1" x14ac:dyDescent="0.2">
      <c r="A1133" s="411"/>
      <c r="B1133" s="315"/>
      <c r="C1133" s="523"/>
      <c r="D1133" s="740"/>
      <c r="E1133" s="740"/>
      <c r="F1133" s="740"/>
      <c r="G1133" s="740"/>
      <c r="H1133" s="740"/>
      <c r="I1133" s="740"/>
      <c r="J1133" s="740"/>
      <c r="K1133" s="740"/>
      <c r="L1133" s="740"/>
      <c r="M1133" s="740"/>
      <c r="N1133" s="740"/>
      <c r="O1133" s="740"/>
      <c r="P1133" s="740"/>
      <c r="Q1133" s="740"/>
      <c r="R1133" s="740"/>
      <c r="S1133" s="740"/>
      <c r="T1133" s="740"/>
      <c r="U1133" s="740"/>
      <c r="V1133" s="740"/>
      <c r="W1133" s="740"/>
      <c r="X1133" s="740"/>
      <c r="Y1133" s="740"/>
      <c r="Z1133" s="740"/>
      <c r="AA1133" s="740"/>
      <c r="AB1133" s="740"/>
      <c r="AC1133" s="735"/>
      <c r="AD1133" s="414"/>
      <c r="AE1133" s="414"/>
      <c r="AF1133" s="414"/>
      <c r="AG1133" s="414"/>
      <c r="AH1133" s="414"/>
      <c r="AI1133" s="740"/>
      <c r="AJ1133" s="740"/>
      <c r="AK1133" s="740"/>
      <c r="AL1133" s="740"/>
      <c r="AM1133" s="740"/>
      <c r="AN1133" s="740"/>
      <c r="AO1133" s="740"/>
      <c r="AP1133" s="740"/>
      <c r="AQ1133" s="740"/>
      <c r="AR1133" s="70"/>
      <c r="AS1133" s="315"/>
      <c r="AT1133" s="523"/>
      <c r="AU1133" s="550"/>
      <c r="AV1133" s="550"/>
      <c r="AW1133" s="550"/>
      <c r="AX1133" s="742"/>
      <c r="AY1133" s="550"/>
      <c r="AZ1133" s="550"/>
      <c r="BM1133"/>
      <c r="BN1133"/>
      <c r="BO1133"/>
      <c r="BP1133"/>
      <c r="BQ1133"/>
      <c r="BR1133"/>
    </row>
    <row r="1134" spans="1:70" s="369" customFormat="1" x14ac:dyDescent="0.2">
      <c r="A1134" s="411"/>
      <c r="B1134" s="315" t="s">
        <v>329</v>
      </c>
      <c r="C1134" s="523"/>
      <c r="D1134" s="727">
        <v>-38</v>
      </c>
      <c r="E1134" s="727">
        <v>7</v>
      </c>
      <c r="F1134" s="727">
        <v>-41</v>
      </c>
      <c r="G1134" s="727">
        <v>56</v>
      </c>
      <c r="H1134" s="727">
        <v>14</v>
      </c>
      <c r="I1134" s="727">
        <v>-3</v>
      </c>
      <c r="J1134" s="727">
        <v>103</v>
      </c>
      <c r="K1134" s="727">
        <v>-34</v>
      </c>
      <c r="L1134" s="727">
        <v>-27</v>
      </c>
      <c r="M1134" s="727">
        <v>-31</v>
      </c>
      <c r="N1134" s="727">
        <v>-30</v>
      </c>
      <c r="O1134" s="727">
        <v>-74</v>
      </c>
      <c r="P1134" s="727">
        <v>-37</v>
      </c>
      <c r="Q1134" s="727">
        <v>-48</v>
      </c>
      <c r="R1134" s="727">
        <v>65</v>
      </c>
      <c r="S1134" s="727">
        <v>94</v>
      </c>
      <c r="T1134" s="727">
        <v>71</v>
      </c>
      <c r="U1134" s="727">
        <v>-30</v>
      </c>
      <c r="V1134" s="727">
        <v>-45</v>
      </c>
      <c r="W1134" s="727">
        <v>33</v>
      </c>
      <c r="X1134" s="727">
        <v>-43</v>
      </c>
      <c r="Y1134" s="727">
        <v>28</v>
      </c>
      <c r="Z1134" s="727">
        <v>-175</v>
      </c>
      <c r="AA1134" s="727">
        <v>29</v>
      </c>
      <c r="AB1134" s="727">
        <v>28</v>
      </c>
      <c r="AC1134" s="743"/>
      <c r="AD1134" s="492"/>
      <c r="AE1134" s="492"/>
      <c r="AF1134" s="492"/>
      <c r="AG1134" s="492"/>
      <c r="AH1134" s="492"/>
      <c r="AI1134" s="740"/>
      <c r="AJ1134" s="740"/>
      <c r="AK1134" s="740"/>
      <c r="AL1134" s="740"/>
      <c r="AM1134" s="740"/>
      <c r="AN1134" s="740"/>
      <c r="AO1134" s="740"/>
      <c r="AP1134" s="740"/>
      <c r="AQ1134" s="740"/>
      <c r="AR1134" s="70"/>
      <c r="AS1134" s="315" t="s">
        <v>329</v>
      </c>
      <c r="AT1134" s="523"/>
      <c r="AU1134" s="232">
        <f>SUM(D1134:G1134)</f>
        <v>-16</v>
      </c>
      <c r="AV1134" s="232">
        <f>SUM(H1134:K1134)</f>
        <v>80</v>
      </c>
      <c r="AW1134" s="232">
        <f>SUM(L1134:O1134)</f>
        <v>-162</v>
      </c>
      <c r="AX1134" s="232">
        <f>SUM(P1134:S1134)</f>
        <v>74</v>
      </c>
      <c r="AY1134" s="232">
        <f>SUM(T1134:W1134)</f>
        <v>29</v>
      </c>
      <c r="AZ1134" s="232">
        <f>SUM(X1134:AA1134)</f>
        <v>-161</v>
      </c>
      <c r="BA1134" s="232">
        <f>SUM(AB1134:AE1134)</f>
        <v>28</v>
      </c>
      <c r="BB1134" s="232">
        <f>SUM(AF1134:AI1134)</f>
        <v>0</v>
      </c>
      <c r="BM1134"/>
      <c r="BN1134"/>
      <c r="BO1134"/>
      <c r="BP1134"/>
      <c r="BQ1134"/>
      <c r="BR1134"/>
    </row>
    <row r="1135" spans="1:70" s="369" customFormat="1" x14ac:dyDescent="0.2">
      <c r="A1135" s="411"/>
      <c r="B1135" s="412"/>
      <c r="C1135" s="523"/>
      <c r="D1135" s="740"/>
      <c r="E1135" s="740"/>
      <c r="F1135" s="740"/>
      <c r="G1135" s="740"/>
      <c r="H1135" s="740"/>
      <c r="I1135" s="740"/>
      <c r="J1135" s="740"/>
      <c r="K1135" s="740"/>
      <c r="L1135" s="740"/>
      <c r="M1135" s="740"/>
      <c r="N1135" s="740"/>
      <c r="O1135" s="740"/>
      <c r="P1135" s="740"/>
      <c r="Q1135" s="740"/>
      <c r="R1135" s="740"/>
      <c r="S1135" s="740"/>
      <c r="T1135" s="740"/>
      <c r="U1135" s="740"/>
      <c r="V1135" s="740"/>
      <c r="W1135" s="740"/>
      <c r="X1135" s="740"/>
      <c r="Y1135" s="740"/>
      <c r="Z1135" s="740"/>
      <c r="AA1135" s="740"/>
      <c r="AB1135" s="740"/>
      <c r="AC1135" s="735"/>
      <c r="AD1135" s="382"/>
      <c r="AE1135" s="382"/>
      <c r="AF1135" s="382"/>
      <c r="AG1135" s="382"/>
      <c r="AH1135" s="382"/>
      <c r="AI1135" s="740"/>
      <c r="AJ1135" s="740"/>
      <c r="AK1135" s="740"/>
      <c r="AL1135" s="740"/>
      <c r="AM1135" s="740"/>
      <c r="AN1135" s="740"/>
      <c r="AO1135" s="740"/>
      <c r="AP1135" s="740"/>
      <c r="AQ1135" s="740"/>
      <c r="AR1135" s="70"/>
      <c r="AS1135" s="412"/>
      <c r="AT1135" s="523"/>
      <c r="AU1135" s="550"/>
      <c r="AV1135" s="550"/>
      <c r="AW1135" s="550"/>
      <c r="AX1135" s="742"/>
      <c r="AY1135" s="550"/>
      <c r="AZ1135" s="550"/>
      <c r="BM1135"/>
      <c r="BN1135"/>
      <c r="BO1135"/>
      <c r="BP1135"/>
      <c r="BQ1135"/>
      <c r="BR1135"/>
    </row>
    <row r="1136" spans="1:70" s="369" customFormat="1" x14ac:dyDescent="0.2">
      <c r="A1136" s="411"/>
      <c r="B1136" s="315" t="s">
        <v>330</v>
      </c>
      <c r="C1136" s="321"/>
      <c r="D1136" s="744">
        <f t="shared" ref="D1136:X1136" si="2650">D1130+D1132</f>
        <v>30117</v>
      </c>
      <c r="E1136" s="744">
        <f t="shared" si="2650"/>
        <v>28715</v>
      </c>
      <c r="F1136" s="744">
        <f t="shared" si="2650"/>
        <v>26979</v>
      </c>
      <c r="G1136" s="744">
        <f t="shared" si="2650"/>
        <v>26574</v>
      </c>
      <c r="H1136" s="744">
        <f t="shared" si="2650"/>
        <v>24859</v>
      </c>
      <c r="I1136" s="744">
        <f t="shared" si="2650"/>
        <v>22713</v>
      </c>
      <c r="J1136" s="744">
        <f t="shared" si="2650"/>
        <v>21867</v>
      </c>
      <c r="K1136" s="744">
        <f t="shared" si="2650"/>
        <v>20877</v>
      </c>
      <c r="L1136" s="744">
        <f t="shared" si="2650"/>
        <v>20125</v>
      </c>
      <c r="M1136" s="744">
        <f t="shared" si="2650"/>
        <v>19066</v>
      </c>
      <c r="N1136" s="744">
        <f t="shared" si="2650"/>
        <v>18055</v>
      </c>
      <c r="O1136" s="744">
        <f t="shared" si="2650"/>
        <v>17057</v>
      </c>
      <c r="P1136" s="744">
        <f t="shared" si="2650"/>
        <v>15621</v>
      </c>
      <c r="Q1136" s="744">
        <f t="shared" si="2650"/>
        <v>15048</v>
      </c>
      <c r="R1136" s="744">
        <f t="shared" si="2650"/>
        <v>14662</v>
      </c>
      <c r="S1136" s="744">
        <f t="shared" si="2650"/>
        <v>14028</v>
      </c>
      <c r="T1136" s="744">
        <f t="shared" si="2650"/>
        <v>14185</v>
      </c>
      <c r="U1136" s="744">
        <f t="shared" si="2650"/>
        <v>13736</v>
      </c>
      <c r="V1136" s="744">
        <f t="shared" si="2650"/>
        <v>13827</v>
      </c>
      <c r="W1136" s="744">
        <f t="shared" si="2650"/>
        <v>13478</v>
      </c>
      <c r="X1136" s="744">
        <f t="shared" si="2650"/>
        <v>13407</v>
      </c>
      <c r="Y1136" s="744">
        <f t="shared" ref="Y1136:Z1136" si="2651">Y1130+Y1132</f>
        <v>13431</v>
      </c>
      <c r="Z1136" s="744">
        <f t="shared" si="2651"/>
        <v>13598</v>
      </c>
      <c r="AA1136" s="744">
        <f t="shared" ref="AA1136:AB1136" si="2652">AA1130+AA1132</f>
        <v>13613</v>
      </c>
      <c r="AB1136" s="744">
        <f t="shared" si="2652"/>
        <v>13644</v>
      </c>
      <c r="AC1136" s="743"/>
      <c r="AI1136" s="743"/>
      <c r="AJ1136" s="743"/>
      <c r="AK1136" s="743"/>
      <c r="AL1136" s="743"/>
      <c r="AM1136" s="743"/>
      <c r="AN1136" s="743"/>
      <c r="AO1136" s="743"/>
      <c r="AP1136" s="743"/>
      <c r="AQ1136" s="743"/>
      <c r="AR1136" s="70"/>
      <c r="AS1136" s="315" t="s">
        <v>330</v>
      </c>
      <c r="AT1136" s="321"/>
      <c r="AU1136" s="649">
        <f t="shared" ref="AU1136:BA1136" si="2653">AU1130+AU1132</f>
        <v>26574</v>
      </c>
      <c r="AV1136" s="649">
        <f t="shared" si="2653"/>
        <v>20877</v>
      </c>
      <c r="AW1136" s="649">
        <f t="shared" si="2653"/>
        <v>17057</v>
      </c>
      <c r="AX1136" s="649">
        <f t="shared" si="2653"/>
        <v>14028</v>
      </c>
      <c r="AY1136" s="649">
        <f t="shared" si="2653"/>
        <v>13478</v>
      </c>
      <c r="AZ1136" s="649">
        <f t="shared" si="2653"/>
        <v>13613</v>
      </c>
      <c r="BA1136" s="649">
        <f t="shared" si="2653"/>
        <v>12918.282671513942</v>
      </c>
      <c r="BB1136" s="649">
        <f t="shared" ref="BB1136" si="2654">BB1130+BB1132</f>
        <v>13730.571199690507</v>
      </c>
      <c r="BM1136"/>
      <c r="BN1136"/>
      <c r="BO1136"/>
      <c r="BP1136"/>
      <c r="BQ1136"/>
      <c r="BR1136"/>
    </row>
    <row r="1137" spans="1:70" s="369" customFormat="1" x14ac:dyDescent="0.2">
      <c r="A1137" s="411"/>
      <c r="B1137" s="315"/>
      <c r="C1137" s="321"/>
      <c r="D1137" s="631"/>
      <c r="E1137" s="631"/>
      <c r="F1137" s="631"/>
      <c r="G1137" s="631"/>
      <c r="H1137" s="631"/>
      <c r="I1137" s="631"/>
      <c r="J1137" s="631"/>
      <c r="K1137" s="631"/>
      <c r="L1137" s="631"/>
      <c r="M1137" s="631"/>
      <c r="N1137" s="631"/>
      <c r="O1137" s="631"/>
      <c r="P1137" s="631"/>
      <c r="Q1137" s="631"/>
      <c r="R1137" s="631"/>
      <c r="S1137" s="631"/>
      <c r="T1137" s="631"/>
      <c r="U1137" s="631"/>
      <c r="V1137" s="631"/>
      <c r="W1137" s="745"/>
      <c r="X1137" s="745"/>
      <c r="Y1137" s="412"/>
      <c r="Z1137" s="412"/>
      <c r="AA1137" s="412"/>
      <c r="AB1137" s="412"/>
      <c r="AC1137" s="523"/>
      <c r="AI1137" s="631"/>
      <c r="AJ1137" s="631"/>
      <c r="AK1137" s="631"/>
      <c r="AL1137" s="631"/>
      <c r="AM1137" s="631"/>
      <c r="AN1137" s="631"/>
      <c r="AO1137" s="631"/>
      <c r="AP1137" s="631"/>
      <c r="AQ1137" s="631"/>
      <c r="AR1137" s="70"/>
      <c r="AS1137" s="315"/>
      <c r="AT1137" s="321"/>
      <c r="BM1137"/>
      <c r="BN1137"/>
      <c r="BO1137"/>
      <c r="BP1137"/>
      <c r="BQ1137"/>
      <c r="BR1137"/>
    </row>
    <row r="1138" spans="1:70" s="369" customFormat="1" x14ac:dyDescent="0.2">
      <c r="A1138" s="411"/>
      <c r="B1138" s="315"/>
      <c r="C1138" s="321"/>
      <c r="D1138" s="631"/>
      <c r="E1138" s="631"/>
      <c r="F1138" s="631"/>
      <c r="G1138" s="631"/>
      <c r="H1138" s="631"/>
      <c r="I1138" s="631"/>
      <c r="J1138" s="631"/>
      <c r="K1138" s="631"/>
      <c r="L1138" s="631"/>
      <c r="M1138" s="631"/>
      <c r="N1138" s="631"/>
      <c r="O1138" s="631"/>
      <c r="P1138" s="631"/>
      <c r="Q1138" s="631"/>
      <c r="R1138" s="631"/>
      <c r="S1138" s="631"/>
      <c r="T1138" s="631"/>
      <c r="U1138" s="631"/>
      <c r="V1138" s="631"/>
      <c r="W1138" s="631"/>
      <c r="X1138" s="631"/>
      <c r="Y1138" s="412"/>
      <c r="Z1138" s="523"/>
      <c r="AA1138" s="523"/>
      <c r="AB1138" s="523"/>
      <c r="AC1138" s="523"/>
      <c r="AI1138" s="631"/>
      <c r="AJ1138" s="631"/>
      <c r="AK1138" s="631"/>
      <c r="AL1138" s="631"/>
      <c r="AM1138" s="631"/>
      <c r="AN1138" s="631"/>
      <c r="AO1138" s="631"/>
      <c r="AP1138" s="631"/>
      <c r="AQ1138" s="631"/>
      <c r="AR1138" s="70"/>
      <c r="AS1138" s="315"/>
      <c r="AT1138" s="321"/>
      <c r="BM1138"/>
      <c r="BN1138"/>
      <c r="BO1138"/>
      <c r="BP1138"/>
      <c r="BQ1138"/>
      <c r="BR1138"/>
    </row>
    <row r="1139" spans="1:70" s="342" customFormat="1" x14ac:dyDescent="0.2">
      <c r="A1139" s="830"/>
      <c r="B1139" s="705" t="s">
        <v>332</v>
      </c>
      <c r="C1139" s="706"/>
      <c r="D1139" s="706"/>
      <c r="E1139" s="706"/>
      <c r="F1139" s="706"/>
      <c r="G1139" s="706"/>
      <c r="H1139" s="706"/>
      <c r="I1139" s="707"/>
      <c r="J1139" s="708"/>
      <c r="K1139" s="707"/>
      <c r="L1139" s="708"/>
      <c r="M1139" s="707"/>
      <c r="N1139" s="707"/>
      <c r="O1139" s="707"/>
      <c r="P1139" s="708"/>
      <c r="Q1139" s="705"/>
      <c r="R1139" s="705"/>
      <c r="S1139" s="705"/>
      <c r="T1139" s="705"/>
      <c r="U1139" s="705"/>
      <c r="V1139" s="705"/>
      <c r="W1139" s="705"/>
      <c r="X1139" s="705"/>
      <c r="Y1139" s="707"/>
      <c r="Z1139" s="709"/>
      <c r="AA1139" s="709"/>
      <c r="AB1139" s="709"/>
      <c r="AC1139" s="709"/>
      <c r="AD1139" s="709"/>
      <c r="AE1139" s="709"/>
      <c r="AF1139" s="709"/>
      <c r="AG1139" s="709"/>
      <c r="AH1139" s="709"/>
      <c r="AI1139" s="706"/>
      <c r="AJ1139" s="706"/>
      <c r="AK1139" s="706"/>
      <c r="AL1139" s="706"/>
      <c r="AM1139" s="706"/>
      <c r="AN1139" s="706"/>
      <c r="AO1139" s="706"/>
      <c r="AP1139" s="706"/>
      <c r="AQ1139" s="706"/>
      <c r="AR1139" s="70"/>
      <c r="AS1139" s="705" t="s">
        <v>332</v>
      </c>
      <c r="AT1139" s="706"/>
      <c r="AU1139" s="706"/>
      <c r="AV1139" s="706"/>
      <c r="AW1139" s="706"/>
      <c r="AX1139" s="706"/>
      <c r="AY1139" s="706"/>
      <c r="AZ1139" s="707"/>
      <c r="BA1139" s="708"/>
      <c r="BB1139" s="708"/>
      <c r="BC1139" s="708"/>
      <c r="BD1139" s="708"/>
      <c r="BE1139" s="707"/>
      <c r="BM1139"/>
      <c r="BN1139"/>
      <c r="BO1139"/>
      <c r="BP1139"/>
      <c r="BQ1139"/>
      <c r="BR1139"/>
    </row>
    <row r="1140" spans="1:70" s="342" customFormat="1" x14ac:dyDescent="0.2">
      <c r="A1140" s="830"/>
      <c r="B1140" s="523" t="s">
        <v>324</v>
      </c>
      <c r="C1140" s="412"/>
      <c r="D1140" s="727">
        <v>27165</v>
      </c>
      <c r="E1140" s="746">
        <f t="shared" ref="E1140:AB1140" si="2655">D1145</f>
        <v>25878</v>
      </c>
      <c r="F1140" s="746">
        <f t="shared" si="2655"/>
        <v>24565</v>
      </c>
      <c r="G1140" s="746">
        <f t="shared" si="2655"/>
        <v>23012</v>
      </c>
      <c r="H1140" s="746">
        <f t="shared" si="2655"/>
        <v>22585</v>
      </c>
      <c r="I1140" s="746">
        <f t="shared" si="2655"/>
        <v>20869</v>
      </c>
      <c r="J1140" s="746">
        <f t="shared" si="2655"/>
        <v>18789</v>
      </c>
      <c r="K1140" s="746">
        <f t="shared" si="2655"/>
        <v>17823</v>
      </c>
      <c r="L1140" s="746">
        <f t="shared" si="2655"/>
        <v>16974</v>
      </c>
      <c r="M1140" s="746">
        <f t="shared" si="2655"/>
        <v>16377</v>
      </c>
      <c r="N1140" s="746">
        <f t="shared" si="2655"/>
        <v>15445</v>
      </c>
      <c r="O1140" s="746">
        <f t="shared" si="2655"/>
        <v>14519</v>
      </c>
      <c r="P1140" s="746">
        <f t="shared" si="2655"/>
        <v>13547</v>
      </c>
      <c r="Q1140" s="746">
        <f t="shared" si="2655"/>
        <v>12052</v>
      </c>
      <c r="R1140" s="746">
        <f t="shared" si="2655"/>
        <v>11669</v>
      </c>
      <c r="S1140" s="746">
        <f t="shared" si="2655"/>
        <v>11030</v>
      </c>
      <c r="T1140" s="746">
        <f t="shared" si="2655"/>
        <v>9835</v>
      </c>
      <c r="U1140" s="746">
        <f t="shared" si="2655"/>
        <v>9807</v>
      </c>
      <c r="V1140" s="746">
        <f t="shared" si="2655"/>
        <v>9432</v>
      </c>
      <c r="W1140" s="746">
        <f t="shared" si="2655"/>
        <v>9673</v>
      </c>
      <c r="X1140" s="746">
        <f t="shared" si="2655"/>
        <v>9358</v>
      </c>
      <c r="Y1140" s="746">
        <f t="shared" si="2655"/>
        <v>9495</v>
      </c>
      <c r="Z1140" s="746">
        <f t="shared" si="2655"/>
        <v>9515</v>
      </c>
      <c r="AA1140" s="746">
        <f t="shared" si="2655"/>
        <v>9892</v>
      </c>
      <c r="AB1140" s="746">
        <f t="shared" si="2655"/>
        <v>9869</v>
      </c>
      <c r="AR1140" s="70"/>
      <c r="AS1140" s="523" t="s">
        <v>324</v>
      </c>
      <c r="AT1140" s="412"/>
      <c r="AU1140" s="467">
        <f>D1140</f>
        <v>27165</v>
      </c>
      <c r="AV1140" s="379">
        <f>AU1145</f>
        <v>22585</v>
      </c>
      <c r="AW1140" s="379">
        <f>AV1145</f>
        <v>16974</v>
      </c>
      <c r="AX1140" s="379">
        <f>AW1145</f>
        <v>13547</v>
      </c>
      <c r="AY1140" s="379">
        <f>AX1145</f>
        <v>9835</v>
      </c>
      <c r="AZ1140" s="379"/>
      <c r="BA1140" s="379"/>
      <c r="BB1140" s="379"/>
      <c r="BM1140"/>
      <c r="BN1140"/>
      <c r="BO1140"/>
      <c r="BP1140"/>
      <c r="BQ1140"/>
      <c r="BR1140"/>
    </row>
    <row r="1141" spans="1:70" s="342" customFormat="1" x14ac:dyDescent="0.2">
      <c r="A1141" s="830"/>
      <c r="B1141" s="412" t="s">
        <v>327</v>
      </c>
      <c r="C1141" s="412"/>
      <c r="D1141" s="727">
        <v>2619</v>
      </c>
      <c r="E1141" s="727">
        <v>2379</v>
      </c>
      <c r="F1141" s="727">
        <v>2480</v>
      </c>
      <c r="G1141" s="727">
        <v>2830</v>
      </c>
      <c r="H1141" s="727">
        <v>2156</v>
      </c>
      <c r="I1141" s="727">
        <v>1847</v>
      </c>
      <c r="J1141" s="727">
        <v>1578</v>
      </c>
      <c r="K1141" s="727">
        <v>2010</v>
      </c>
      <c r="L1141" s="727">
        <v>1758</v>
      </c>
      <c r="M1141" s="727">
        <v>1668</v>
      </c>
      <c r="N1141" s="727">
        <v>1613</v>
      </c>
      <c r="O1141" s="727">
        <v>1660</v>
      </c>
      <c r="P1141" s="727">
        <v>1648</v>
      </c>
      <c r="Q1141" s="727">
        <v>1559</v>
      </c>
      <c r="R1141" s="727">
        <v>1337</v>
      </c>
      <c r="S1141" s="727">
        <v>1684</v>
      </c>
      <c r="T1141" s="727">
        <v>1571</v>
      </c>
      <c r="U1141" s="727">
        <v>1276</v>
      </c>
      <c r="V1141" s="727">
        <v>1815</v>
      </c>
      <c r="W1141" s="727">
        <v>1659</v>
      </c>
      <c r="X1141" s="727">
        <v>1816</v>
      </c>
      <c r="Y1141" s="727">
        <v>1620</v>
      </c>
      <c r="Z1141" s="727">
        <v>2142</v>
      </c>
      <c r="AA1141" s="727">
        <v>1785</v>
      </c>
      <c r="AB1141" s="727">
        <v>1881</v>
      </c>
      <c r="AC1141" s="345"/>
      <c r="AD1141" s="345"/>
      <c r="AE1141" s="345"/>
      <c r="AF1141" s="345"/>
      <c r="AG1141" s="345"/>
      <c r="AH1141" s="345"/>
      <c r="AR1141" s="70"/>
      <c r="AS1141" s="412" t="s">
        <v>327</v>
      </c>
      <c r="AT1141" s="412"/>
      <c r="AU1141" s="232">
        <f>SUM(D1141:G1141)</f>
        <v>10308</v>
      </c>
      <c r="AV1141" s="232">
        <f>SUM(H1141:K1141)</f>
        <v>7591</v>
      </c>
      <c r="AW1141" s="232">
        <f>SUM(L1141:O1141)</f>
        <v>6699</v>
      </c>
      <c r="AX1141" s="232">
        <f>SUM(P1141:S1141)</f>
        <v>6228</v>
      </c>
      <c r="AY1141" s="232">
        <f>SUM(T1141:W1141)</f>
        <v>6321</v>
      </c>
      <c r="AZ1141" s="280"/>
      <c r="BA1141" s="280"/>
      <c r="BB1141" s="280"/>
      <c r="BM1141"/>
      <c r="BN1141"/>
      <c r="BO1141"/>
      <c r="BP1141"/>
      <c r="BQ1141"/>
      <c r="BR1141"/>
    </row>
    <row r="1142" spans="1:70" s="342" customFormat="1" x14ac:dyDescent="0.2">
      <c r="A1142" s="830"/>
      <c r="B1142" s="412" t="s">
        <v>337</v>
      </c>
      <c r="C1142" s="730"/>
      <c r="D1142" s="430">
        <v>3929</v>
      </c>
      <c r="E1142" s="430">
        <v>3321</v>
      </c>
      <c r="F1142" s="430">
        <v>3769</v>
      </c>
      <c r="G1142" s="430">
        <v>2940</v>
      </c>
      <c r="H1142" s="430">
        <v>2828</v>
      </c>
      <c r="I1142" s="430">
        <v>2558</v>
      </c>
      <c r="J1142" s="430">
        <v>2330</v>
      </c>
      <c r="K1142" s="430">
        <v>2531</v>
      </c>
      <c r="L1142" s="430">
        <v>2294</v>
      </c>
      <c r="M1142" s="430">
        <v>2177</v>
      </c>
      <c r="N1142" s="430">
        <v>2108</v>
      </c>
      <c r="O1142" s="430">
        <v>2100</v>
      </c>
      <c r="P1142" s="430">
        <v>1965</v>
      </c>
      <c r="Q1142" s="430">
        <v>1813</v>
      </c>
      <c r="R1142" s="430">
        <v>1612</v>
      </c>
      <c r="S1142" s="430">
        <v>1668</v>
      </c>
      <c r="T1142" s="430">
        <v>1514</v>
      </c>
      <c r="U1142" s="430">
        <v>1475</v>
      </c>
      <c r="V1142" s="430">
        <v>1483</v>
      </c>
      <c r="W1142" s="430">
        <v>1576</v>
      </c>
      <c r="X1142" s="430">
        <v>1672</v>
      </c>
      <c r="Y1142" s="430">
        <v>1633</v>
      </c>
      <c r="Z1142" s="430">
        <v>1734</v>
      </c>
      <c r="AA1142" s="430">
        <v>1658</v>
      </c>
      <c r="AB1142" s="430">
        <v>1771</v>
      </c>
      <c r="AC1142" s="345"/>
      <c r="AD1142" s="345"/>
      <c r="AE1142" s="345"/>
      <c r="AF1142" s="345"/>
      <c r="AG1142" s="345"/>
      <c r="AH1142" s="345"/>
      <c r="AR1142" s="70"/>
      <c r="AS1142" s="412" t="s">
        <v>337</v>
      </c>
      <c r="AT1142" s="730"/>
      <c r="AU1142" s="232">
        <f>SUM(D1142:G1142)</f>
        <v>13959</v>
      </c>
      <c r="AV1142" s="232">
        <f>SUM(H1142:K1142)</f>
        <v>10247</v>
      </c>
      <c r="AW1142" s="232">
        <f>SUM(L1142:O1142)</f>
        <v>8679</v>
      </c>
      <c r="AX1142" s="232">
        <f>SUM(P1142:S1142)</f>
        <v>7058</v>
      </c>
      <c r="AY1142" s="232">
        <f>SUM(T1142:W1142)</f>
        <v>6048</v>
      </c>
      <c r="AZ1142" s="280"/>
      <c r="BA1142" s="280"/>
      <c r="BB1142" s="280"/>
      <c r="BM1142"/>
      <c r="BN1142"/>
      <c r="BO1142"/>
      <c r="BP1142"/>
      <c r="BQ1142"/>
      <c r="BR1142"/>
    </row>
    <row r="1143" spans="1:70" s="342" customFormat="1" x14ac:dyDescent="0.2">
      <c r="A1143" s="830"/>
      <c r="B1143" s="412"/>
      <c r="C1143" s="412" t="s">
        <v>325</v>
      </c>
      <c r="D1143" s="722">
        <f t="shared" ref="D1143:X1143" si="2656">D1141-D1142</f>
        <v>-1310</v>
      </c>
      <c r="E1143" s="722">
        <f t="shared" si="2656"/>
        <v>-942</v>
      </c>
      <c r="F1143" s="722">
        <f t="shared" si="2656"/>
        <v>-1289</v>
      </c>
      <c r="G1143" s="722">
        <f t="shared" si="2656"/>
        <v>-110</v>
      </c>
      <c r="H1143" s="722">
        <f t="shared" si="2656"/>
        <v>-672</v>
      </c>
      <c r="I1143" s="722">
        <f t="shared" si="2656"/>
        <v>-711</v>
      </c>
      <c r="J1143" s="722">
        <f t="shared" si="2656"/>
        <v>-752</v>
      </c>
      <c r="K1143" s="722">
        <f t="shared" si="2656"/>
        <v>-521</v>
      </c>
      <c r="L1143" s="722">
        <f t="shared" si="2656"/>
        <v>-536</v>
      </c>
      <c r="M1143" s="722">
        <f t="shared" si="2656"/>
        <v>-509</v>
      </c>
      <c r="N1143" s="722">
        <f t="shared" si="2656"/>
        <v>-495</v>
      </c>
      <c r="O1143" s="722">
        <f t="shared" si="2656"/>
        <v>-440</v>
      </c>
      <c r="P1143" s="722">
        <f t="shared" si="2656"/>
        <v>-317</v>
      </c>
      <c r="Q1143" s="722">
        <f t="shared" si="2656"/>
        <v>-254</v>
      </c>
      <c r="R1143" s="722">
        <f t="shared" si="2656"/>
        <v>-275</v>
      </c>
      <c r="S1143" s="722">
        <f t="shared" si="2656"/>
        <v>16</v>
      </c>
      <c r="T1143" s="722">
        <f t="shared" si="2656"/>
        <v>57</v>
      </c>
      <c r="U1143" s="722">
        <f t="shared" si="2656"/>
        <v>-199</v>
      </c>
      <c r="V1143" s="722">
        <f t="shared" si="2656"/>
        <v>332</v>
      </c>
      <c r="W1143" s="722">
        <f t="shared" si="2656"/>
        <v>83</v>
      </c>
      <c r="X1143" s="722">
        <f t="shared" si="2656"/>
        <v>144</v>
      </c>
      <c r="Y1143" s="722">
        <f t="shared" ref="Y1143:Z1143" si="2657">Y1141-Y1142</f>
        <v>-13</v>
      </c>
      <c r="Z1143" s="722">
        <f t="shared" si="2657"/>
        <v>408</v>
      </c>
      <c r="AA1143" s="722">
        <f t="shared" ref="AA1143:AB1143" si="2658">AA1141-AA1142</f>
        <v>127</v>
      </c>
      <c r="AB1143" s="722">
        <f t="shared" si="2658"/>
        <v>110</v>
      </c>
      <c r="AC1143" s="345"/>
      <c r="AD1143" s="345"/>
      <c r="AE1143" s="345"/>
      <c r="AF1143" s="345"/>
      <c r="AG1143" s="345"/>
      <c r="AH1143" s="345"/>
      <c r="AR1143" s="70"/>
      <c r="AS1143" s="412"/>
      <c r="AT1143" s="412" t="s">
        <v>325</v>
      </c>
      <c r="AU1143" s="731">
        <f>AU1141-AU1142</f>
        <v>-3651</v>
      </c>
      <c r="AV1143" s="731">
        <f>AV1141-AV1142</f>
        <v>-2656</v>
      </c>
      <c r="AW1143" s="731">
        <f>AW1141-AW1142</f>
        <v>-1980</v>
      </c>
      <c r="AX1143" s="731">
        <f>AX1141-AX1142</f>
        <v>-830</v>
      </c>
      <c r="AY1143" s="731">
        <f>AY1141-AY1142</f>
        <v>273</v>
      </c>
      <c r="AZ1143" s="732"/>
      <c r="BA1143" s="732"/>
      <c r="BB1143" s="732"/>
      <c r="BM1143"/>
      <c r="BN1143"/>
      <c r="BO1143"/>
      <c r="BP1143"/>
      <c r="BQ1143"/>
      <c r="BR1143"/>
    </row>
    <row r="1144" spans="1:70" s="342" customFormat="1" x14ac:dyDescent="0.2">
      <c r="A1144" s="830"/>
      <c r="B1144" s="412" t="s">
        <v>326</v>
      </c>
      <c r="C1144" s="730"/>
      <c r="D1144" s="600">
        <f t="shared" ref="D1144:X1144" si="2659">D1145-D1140-D1143</f>
        <v>23</v>
      </c>
      <c r="E1144" s="600">
        <f t="shared" si="2659"/>
        <v>-371</v>
      </c>
      <c r="F1144" s="600">
        <f t="shared" si="2659"/>
        <v>-264</v>
      </c>
      <c r="G1144" s="600">
        <f t="shared" si="2659"/>
        <v>-317</v>
      </c>
      <c r="H1144" s="600">
        <f t="shared" si="2659"/>
        <v>-1044</v>
      </c>
      <c r="I1144" s="600">
        <f t="shared" si="2659"/>
        <v>-1369</v>
      </c>
      <c r="J1144" s="600">
        <f t="shared" si="2659"/>
        <v>-214</v>
      </c>
      <c r="K1144" s="600">
        <f t="shared" si="2659"/>
        <v>-328</v>
      </c>
      <c r="L1144" s="600">
        <f t="shared" si="2659"/>
        <v>-61</v>
      </c>
      <c r="M1144" s="600">
        <f t="shared" si="2659"/>
        <v>-423</v>
      </c>
      <c r="N1144" s="600">
        <f t="shared" si="2659"/>
        <v>-431</v>
      </c>
      <c r="O1144" s="600">
        <f t="shared" si="2659"/>
        <v>-532</v>
      </c>
      <c r="P1144" s="600">
        <f t="shared" si="2659"/>
        <v>-1178</v>
      </c>
      <c r="Q1144" s="600">
        <f t="shared" si="2659"/>
        <v>-129</v>
      </c>
      <c r="R1144" s="600">
        <f t="shared" si="2659"/>
        <v>-364</v>
      </c>
      <c r="S1144" s="600">
        <f t="shared" si="2659"/>
        <v>-1211</v>
      </c>
      <c r="T1144" s="600">
        <f t="shared" si="2659"/>
        <v>-85</v>
      </c>
      <c r="U1144" s="600">
        <f t="shared" si="2659"/>
        <v>-176</v>
      </c>
      <c r="V1144" s="600">
        <f t="shared" si="2659"/>
        <v>-91</v>
      </c>
      <c r="W1144" s="600">
        <f t="shared" si="2659"/>
        <v>-398</v>
      </c>
      <c r="X1144" s="600">
        <f t="shared" si="2659"/>
        <v>-7</v>
      </c>
      <c r="Y1144" s="600">
        <f t="shared" ref="Y1144:Z1144" si="2660">Y1145-Y1140-Y1143</f>
        <v>33</v>
      </c>
      <c r="Z1144" s="600">
        <f t="shared" si="2660"/>
        <v>-31</v>
      </c>
      <c r="AA1144" s="600">
        <f t="shared" ref="AA1144:AB1144" si="2661">AA1145-AA1140-AA1143</f>
        <v>-150</v>
      </c>
      <c r="AB1144" s="600">
        <f t="shared" si="2661"/>
        <v>60</v>
      </c>
      <c r="AC1144" s="345"/>
      <c r="AD1144" s="345"/>
      <c r="AE1144" s="345"/>
      <c r="AF1144" s="345"/>
      <c r="AG1144" s="345"/>
      <c r="AH1144" s="345"/>
      <c r="AR1144" s="70"/>
      <c r="AS1144" s="412" t="s">
        <v>326</v>
      </c>
      <c r="AT1144" s="730"/>
      <c r="AU1144" s="600">
        <f>AU1145-AU1140-AU1143</f>
        <v>-929</v>
      </c>
      <c r="AV1144" s="600">
        <f>AV1145-AV1140-AV1143</f>
        <v>-2955</v>
      </c>
      <c r="AW1144" s="600">
        <f>AW1145-AW1140-AW1143</f>
        <v>-1447</v>
      </c>
      <c r="AX1144" s="600">
        <f>AX1145-AX1140-AX1143</f>
        <v>-2882</v>
      </c>
      <c r="AY1144" s="600">
        <f>AY1145-AY1140-AY1143</f>
        <v>-750</v>
      </c>
      <c r="AZ1144" s="625"/>
      <c r="BA1144" s="625"/>
      <c r="BB1144" s="625"/>
      <c r="BM1144"/>
      <c r="BN1144"/>
      <c r="BO1144"/>
      <c r="BP1144"/>
      <c r="BQ1144"/>
      <c r="BR1144"/>
    </row>
    <row r="1145" spans="1:70" s="342" customFormat="1" x14ac:dyDescent="0.2">
      <c r="A1145" s="830"/>
      <c r="B1145" s="735" t="s">
        <v>323</v>
      </c>
      <c r="C1145" s="736"/>
      <c r="D1145" s="89">
        <v>25878</v>
      </c>
      <c r="E1145" s="89">
        <v>24565</v>
      </c>
      <c r="F1145" s="89">
        <v>23012</v>
      </c>
      <c r="G1145" s="89">
        <v>22585</v>
      </c>
      <c r="H1145" s="89">
        <v>20869</v>
      </c>
      <c r="I1145" s="89">
        <v>18789</v>
      </c>
      <c r="J1145" s="89">
        <v>17823</v>
      </c>
      <c r="K1145" s="89">
        <v>16974</v>
      </c>
      <c r="L1145" s="89">
        <v>16377</v>
      </c>
      <c r="M1145" s="89">
        <v>15445</v>
      </c>
      <c r="N1145" s="89">
        <v>14519</v>
      </c>
      <c r="O1145" s="89">
        <v>13547</v>
      </c>
      <c r="P1145" s="89">
        <v>12052</v>
      </c>
      <c r="Q1145" s="89">
        <v>11669</v>
      </c>
      <c r="R1145" s="89">
        <v>11030</v>
      </c>
      <c r="S1145" s="89">
        <v>9835</v>
      </c>
      <c r="T1145" s="89">
        <v>9807</v>
      </c>
      <c r="U1145" s="89">
        <v>9432</v>
      </c>
      <c r="V1145" s="89">
        <v>9673</v>
      </c>
      <c r="W1145" s="89">
        <v>9358</v>
      </c>
      <c r="X1145" s="89">
        <v>9495</v>
      </c>
      <c r="Y1145" s="89">
        <v>9515</v>
      </c>
      <c r="Z1145" s="89">
        <v>9892</v>
      </c>
      <c r="AA1145" s="89">
        <v>9869</v>
      </c>
      <c r="AB1145" s="89">
        <v>10039</v>
      </c>
      <c r="AC1145" s="345"/>
      <c r="AD1145" s="345"/>
      <c r="AE1145" s="345"/>
      <c r="AF1145" s="345"/>
      <c r="AG1145" s="345"/>
      <c r="AH1145" s="345"/>
      <c r="AR1145" s="70"/>
      <c r="AS1145" s="735" t="s">
        <v>323</v>
      </c>
      <c r="AT1145" s="736"/>
      <c r="AU1145" s="649">
        <f>G1145</f>
        <v>22585</v>
      </c>
      <c r="AV1145" s="649">
        <f>K1145</f>
        <v>16974</v>
      </c>
      <c r="AW1145" s="649">
        <f>O1145</f>
        <v>13547</v>
      </c>
      <c r="AX1145" s="649">
        <f>S1145</f>
        <v>9835</v>
      </c>
      <c r="AY1145" s="649">
        <f>W1145</f>
        <v>9358</v>
      </c>
      <c r="AZ1145" s="747"/>
      <c r="BA1145" s="747"/>
      <c r="BB1145" s="747"/>
      <c r="BM1145"/>
      <c r="BN1145"/>
      <c r="BO1145"/>
      <c r="BP1145"/>
      <c r="BQ1145"/>
      <c r="BR1145"/>
    </row>
    <row r="1146" spans="1:70" s="342" customFormat="1" x14ac:dyDescent="0.2">
      <c r="A1146" s="830"/>
      <c r="B1146" s="735"/>
      <c r="C1146" s="736"/>
      <c r="I1146" s="720"/>
      <c r="J1146" s="723"/>
      <c r="K1146" s="720"/>
      <c r="L1146" s="723"/>
      <c r="M1146" s="720"/>
      <c r="N1146" s="720"/>
      <c r="O1146" s="720"/>
      <c r="P1146" s="723"/>
      <c r="Q1146" s="712"/>
      <c r="R1146" s="712"/>
      <c r="S1146" s="712"/>
      <c r="T1146" s="712"/>
      <c r="U1146" s="712"/>
      <c r="V1146" s="712"/>
      <c r="W1146" s="712"/>
      <c r="X1146" s="712"/>
      <c r="Y1146" s="712"/>
      <c r="Z1146" s="712"/>
      <c r="AA1146" s="712"/>
      <c r="AB1146" s="712"/>
      <c r="AC1146" s="345"/>
      <c r="AD1146" s="345"/>
      <c r="AE1146" s="345"/>
      <c r="AF1146" s="345"/>
      <c r="AG1146" s="345"/>
      <c r="AH1146" s="345"/>
      <c r="AR1146" s="70"/>
      <c r="AS1146" s="735"/>
      <c r="AT1146" s="736"/>
      <c r="AU1146" s="232"/>
      <c r="AV1146" s="232"/>
      <c r="AW1146" s="232"/>
      <c r="AX1146" s="232"/>
      <c r="AY1146" s="232"/>
      <c r="AZ1146" s="232"/>
      <c r="BA1146" s="232"/>
      <c r="BB1146" s="232"/>
      <c r="BM1146"/>
      <c r="BN1146"/>
      <c r="BO1146"/>
      <c r="BP1146"/>
      <c r="BQ1146"/>
      <c r="BR1146"/>
    </row>
    <row r="1147" spans="1:70" s="342" customFormat="1" x14ac:dyDescent="0.2">
      <c r="A1147" s="830"/>
      <c r="B1147" s="315" t="s">
        <v>328</v>
      </c>
      <c r="C1147" s="523"/>
      <c r="D1147" s="727">
        <v>0</v>
      </c>
      <c r="E1147" s="727">
        <v>0</v>
      </c>
      <c r="F1147" s="727">
        <v>0</v>
      </c>
      <c r="G1147" s="727">
        <v>0</v>
      </c>
      <c r="H1147" s="727">
        <v>12</v>
      </c>
      <c r="I1147" s="727">
        <v>23</v>
      </c>
      <c r="J1147" s="727">
        <v>63</v>
      </c>
      <c r="K1147" s="727">
        <v>61</v>
      </c>
      <c r="L1147" s="727">
        <v>58</v>
      </c>
      <c r="M1147" s="727">
        <v>59</v>
      </c>
      <c r="N1147" s="727">
        <v>51</v>
      </c>
      <c r="O1147" s="727">
        <v>33</v>
      </c>
      <c r="P1147" s="727">
        <v>30</v>
      </c>
      <c r="Q1147" s="727">
        <v>29</v>
      </c>
      <c r="R1147" s="727">
        <v>28</v>
      </c>
      <c r="S1147" s="727">
        <v>35</v>
      </c>
      <c r="T1147" s="727">
        <v>37</v>
      </c>
      <c r="U1147" s="727">
        <v>42</v>
      </c>
      <c r="V1147" s="727">
        <v>39</v>
      </c>
      <c r="W1147" s="727">
        <v>35</v>
      </c>
      <c r="X1147" s="727">
        <v>41</v>
      </c>
      <c r="Y1147" s="727">
        <v>40</v>
      </c>
      <c r="Z1147" s="727">
        <v>35</v>
      </c>
      <c r="AA1147" s="727">
        <v>33</v>
      </c>
      <c r="AB1147" s="727">
        <v>32</v>
      </c>
      <c r="AC1147" s="345"/>
      <c r="AD1147" s="345"/>
      <c r="AE1147" s="345"/>
      <c r="AF1147" s="345"/>
      <c r="AG1147" s="345"/>
      <c r="AH1147" s="345"/>
      <c r="AR1147" s="70"/>
      <c r="AS1147" s="315" t="s">
        <v>328</v>
      </c>
      <c r="AT1147" s="523"/>
      <c r="AU1147" s="379">
        <f>G1147</f>
        <v>0</v>
      </c>
      <c r="AV1147" s="379">
        <f>K1147</f>
        <v>61</v>
      </c>
      <c r="AW1147" s="379">
        <f>O1147</f>
        <v>33</v>
      </c>
      <c r="AX1147" s="379">
        <f>S1147</f>
        <v>35</v>
      </c>
      <c r="AY1147" s="379">
        <f>W1147</f>
        <v>35</v>
      </c>
      <c r="AZ1147" s="379"/>
      <c r="BA1147" s="379"/>
      <c r="BB1147" s="379"/>
      <c r="BM1147"/>
      <c r="BN1147"/>
      <c r="BO1147"/>
      <c r="BP1147"/>
      <c r="BQ1147"/>
      <c r="BR1147"/>
    </row>
    <row r="1148" spans="1:70" s="342" customFormat="1" x14ac:dyDescent="0.2">
      <c r="A1148" s="830"/>
      <c r="B1148" s="315"/>
      <c r="C1148" s="523"/>
      <c r="D1148" s="445"/>
      <c r="E1148" s="445"/>
      <c r="F1148" s="445"/>
      <c r="G1148" s="445"/>
      <c r="H1148" s="445"/>
      <c r="I1148" s="748"/>
      <c r="J1148" s="749"/>
      <c r="K1148" s="748"/>
      <c r="L1148" s="749"/>
      <c r="M1148" s="748"/>
      <c r="N1148" s="748"/>
      <c r="O1148" s="748"/>
      <c r="P1148" s="749"/>
      <c r="Q1148" s="750"/>
      <c r="R1148" s="750"/>
      <c r="S1148" s="750"/>
      <c r="T1148" s="750"/>
      <c r="U1148" s="750"/>
      <c r="V1148" s="750"/>
      <c r="W1148" s="750"/>
      <c r="X1148" s="750"/>
      <c r="Y1148" s="750"/>
      <c r="Z1148" s="750"/>
      <c r="AA1148" s="750"/>
      <c r="AB1148" s="750"/>
      <c r="AC1148" s="345"/>
      <c r="AD1148" s="345"/>
      <c r="AE1148" s="345"/>
      <c r="AF1148" s="345"/>
      <c r="AG1148" s="345"/>
      <c r="AH1148" s="345"/>
      <c r="AR1148" s="70"/>
      <c r="AS1148" s="315"/>
      <c r="AT1148" s="523"/>
      <c r="AU1148" s="739"/>
      <c r="AV1148" s="726"/>
      <c r="AW1148" s="726"/>
      <c r="AX1148" s="726"/>
      <c r="AY1148" s="369"/>
      <c r="AZ1148" s="369"/>
      <c r="BA1148" s="369"/>
      <c r="BB1148" s="369"/>
      <c r="BM1148"/>
      <c r="BN1148"/>
      <c r="BO1148"/>
      <c r="BP1148"/>
      <c r="BQ1148"/>
      <c r="BR1148"/>
    </row>
    <row r="1149" spans="1:70" s="342" customFormat="1" x14ac:dyDescent="0.2">
      <c r="A1149" s="830"/>
      <c r="B1149" s="315" t="s">
        <v>329</v>
      </c>
      <c r="C1149" s="523"/>
      <c r="D1149" s="727">
        <v>0</v>
      </c>
      <c r="E1149" s="727">
        <v>0</v>
      </c>
      <c r="F1149" s="727">
        <v>0</v>
      </c>
      <c r="G1149" s="727">
        <v>0</v>
      </c>
      <c r="H1149" s="727">
        <v>12</v>
      </c>
      <c r="I1149" s="727">
        <v>11</v>
      </c>
      <c r="J1149" s="727">
        <v>40</v>
      </c>
      <c r="K1149" s="727">
        <v>-2</v>
      </c>
      <c r="L1149" s="727">
        <v>-3</v>
      </c>
      <c r="M1149" s="727">
        <v>1</v>
      </c>
      <c r="N1149" s="727">
        <v>-8</v>
      </c>
      <c r="O1149" s="727">
        <v>-18</v>
      </c>
      <c r="P1149" s="727">
        <v>-3</v>
      </c>
      <c r="Q1149" s="727">
        <v>-1</v>
      </c>
      <c r="R1149" s="727">
        <v>-1</v>
      </c>
      <c r="S1149" s="727">
        <v>7</v>
      </c>
      <c r="T1149" s="727">
        <v>1</v>
      </c>
      <c r="U1149" s="727">
        <v>4</v>
      </c>
      <c r="V1149" s="727">
        <v>-4</v>
      </c>
      <c r="W1149" s="727">
        <v>-3</v>
      </c>
      <c r="X1149" s="727">
        <v>6</v>
      </c>
      <c r="Y1149" s="727">
        <v>-1</v>
      </c>
      <c r="Z1149" s="727">
        <v>-5</v>
      </c>
      <c r="AA1149" s="727">
        <v>-2</v>
      </c>
      <c r="AB1149" s="727">
        <v>-1</v>
      </c>
      <c r="AC1149" s="345"/>
      <c r="AD1149" s="345"/>
      <c r="AE1149" s="345"/>
      <c r="AF1149" s="345"/>
      <c r="AG1149" s="345"/>
      <c r="AH1149" s="345"/>
      <c r="AR1149" s="70"/>
      <c r="AS1149" s="315" t="s">
        <v>329</v>
      </c>
      <c r="AT1149" s="523"/>
      <c r="AU1149" s="232">
        <f>SUM(D1149:G1149)</f>
        <v>0</v>
      </c>
      <c r="AV1149" s="232">
        <f>SUM(H1149:K1149)</f>
        <v>61</v>
      </c>
      <c r="AW1149" s="232">
        <f>SUM(L1149:O1149)</f>
        <v>-28</v>
      </c>
      <c r="AX1149" s="232">
        <f>SUM(P1149:S1149)</f>
        <v>2</v>
      </c>
      <c r="AY1149" s="232">
        <f>SUM(T1149:W1149)</f>
        <v>-2</v>
      </c>
      <c r="AZ1149" s="232"/>
      <c r="BA1149" s="232"/>
      <c r="BB1149" s="232"/>
      <c r="BM1149"/>
      <c r="BN1149"/>
      <c r="BO1149"/>
      <c r="BP1149"/>
      <c r="BQ1149"/>
      <c r="BR1149"/>
    </row>
    <row r="1150" spans="1:70" s="342" customFormat="1" x14ac:dyDescent="0.2">
      <c r="A1150" s="830"/>
      <c r="B1150" s="412"/>
      <c r="C1150" s="523"/>
      <c r="D1150" s="600"/>
      <c r="E1150" s="600"/>
      <c r="F1150" s="600"/>
      <c r="G1150" s="600"/>
      <c r="H1150" s="600"/>
      <c r="I1150" s="751"/>
      <c r="J1150" s="752"/>
      <c r="K1150" s="751"/>
      <c r="L1150" s="752"/>
      <c r="M1150" s="751"/>
      <c r="N1150" s="751"/>
      <c r="O1150" s="751"/>
      <c r="P1150" s="752"/>
      <c r="Q1150" s="753"/>
      <c r="R1150" s="753"/>
      <c r="S1150" s="753"/>
      <c r="T1150" s="753"/>
      <c r="U1150" s="753"/>
      <c r="V1150" s="753"/>
      <c r="W1150" s="753"/>
      <c r="X1150" s="753"/>
      <c r="Y1150" s="753"/>
      <c r="Z1150" s="753"/>
      <c r="AA1150" s="753"/>
      <c r="AB1150" s="753"/>
      <c r="AC1150" s="345"/>
      <c r="AD1150" s="345"/>
      <c r="AE1150" s="345"/>
      <c r="AF1150" s="345"/>
      <c r="AG1150" s="345"/>
      <c r="AH1150" s="345"/>
      <c r="AR1150" s="70"/>
      <c r="AS1150" s="412"/>
      <c r="AT1150" s="523"/>
      <c r="AU1150" s="550"/>
      <c r="AV1150" s="550"/>
      <c r="AW1150" s="550"/>
      <c r="AX1150" s="742"/>
      <c r="AY1150" s="550"/>
      <c r="AZ1150" s="550"/>
      <c r="BA1150" s="369"/>
      <c r="BB1150" s="369"/>
      <c r="BM1150"/>
      <c r="BN1150"/>
      <c r="BO1150"/>
      <c r="BP1150"/>
      <c r="BQ1150"/>
      <c r="BR1150"/>
    </row>
    <row r="1151" spans="1:70" s="342" customFormat="1" x14ac:dyDescent="0.2">
      <c r="A1151" s="830"/>
      <c r="B1151" s="315" t="s">
        <v>330</v>
      </c>
      <c r="C1151" s="321"/>
      <c r="D1151" s="744">
        <f t="shared" ref="D1151:X1151" si="2662">D1145+D1147</f>
        <v>25878</v>
      </c>
      <c r="E1151" s="744">
        <f t="shared" si="2662"/>
        <v>24565</v>
      </c>
      <c r="F1151" s="744">
        <f t="shared" si="2662"/>
        <v>23012</v>
      </c>
      <c r="G1151" s="744">
        <f t="shared" si="2662"/>
        <v>22585</v>
      </c>
      <c r="H1151" s="744">
        <f t="shared" si="2662"/>
        <v>20881</v>
      </c>
      <c r="I1151" s="744">
        <f t="shared" si="2662"/>
        <v>18812</v>
      </c>
      <c r="J1151" s="744">
        <f t="shared" si="2662"/>
        <v>17886</v>
      </c>
      <c r="K1151" s="744">
        <f t="shared" si="2662"/>
        <v>17035</v>
      </c>
      <c r="L1151" s="744">
        <f t="shared" si="2662"/>
        <v>16435</v>
      </c>
      <c r="M1151" s="744">
        <f t="shared" si="2662"/>
        <v>15504</v>
      </c>
      <c r="N1151" s="744">
        <f t="shared" si="2662"/>
        <v>14570</v>
      </c>
      <c r="O1151" s="744">
        <f t="shared" si="2662"/>
        <v>13580</v>
      </c>
      <c r="P1151" s="744">
        <f t="shared" si="2662"/>
        <v>12082</v>
      </c>
      <c r="Q1151" s="744">
        <f t="shared" si="2662"/>
        <v>11698</v>
      </c>
      <c r="R1151" s="744">
        <f t="shared" si="2662"/>
        <v>11058</v>
      </c>
      <c r="S1151" s="744">
        <f t="shared" si="2662"/>
        <v>9870</v>
      </c>
      <c r="T1151" s="744">
        <f t="shared" si="2662"/>
        <v>9844</v>
      </c>
      <c r="U1151" s="744">
        <f t="shared" si="2662"/>
        <v>9474</v>
      </c>
      <c r="V1151" s="744">
        <f t="shared" si="2662"/>
        <v>9712</v>
      </c>
      <c r="W1151" s="744">
        <f t="shared" si="2662"/>
        <v>9393</v>
      </c>
      <c r="X1151" s="744">
        <f t="shared" si="2662"/>
        <v>9536</v>
      </c>
      <c r="Y1151" s="744">
        <f t="shared" ref="Y1151:Z1151" si="2663">Y1145+Y1147</f>
        <v>9555</v>
      </c>
      <c r="Z1151" s="744">
        <f t="shared" si="2663"/>
        <v>9927</v>
      </c>
      <c r="AA1151" s="744">
        <f t="shared" ref="AA1151:AB1151" si="2664">AA1145+AA1147</f>
        <v>9902</v>
      </c>
      <c r="AB1151" s="744">
        <f t="shared" si="2664"/>
        <v>10071</v>
      </c>
      <c r="AC1151" s="345"/>
      <c r="AD1151" s="345"/>
      <c r="AE1151" s="345"/>
      <c r="AF1151" s="345"/>
      <c r="AG1151" s="345"/>
      <c r="AH1151" s="345"/>
      <c r="AR1151" s="70"/>
      <c r="AS1151" s="315" t="s">
        <v>330</v>
      </c>
      <c r="AT1151" s="321"/>
      <c r="AU1151" s="649">
        <f>AU1145+AU1147</f>
        <v>22585</v>
      </c>
      <c r="AV1151" s="649">
        <f>AV1145+AV1147</f>
        <v>17035</v>
      </c>
      <c r="AW1151" s="649">
        <f>AW1145+AW1147</f>
        <v>13580</v>
      </c>
      <c r="AX1151" s="649">
        <f>AX1145+AX1147</f>
        <v>9870</v>
      </c>
      <c r="AY1151" s="649">
        <f>AY1145+AY1147</f>
        <v>9393</v>
      </c>
      <c r="AZ1151" s="649"/>
      <c r="BA1151" s="649"/>
      <c r="BB1151" s="649"/>
      <c r="BM1151"/>
      <c r="BN1151"/>
      <c r="BO1151"/>
      <c r="BP1151"/>
      <c r="BQ1151"/>
      <c r="BR1151"/>
    </row>
    <row r="1152" spans="1:70" s="342" customFormat="1" x14ac:dyDescent="0.2">
      <c r="A1152" s="830"/>
      <c r="B1152" s="315"/>
      <c r="C1152" s="321"/>
      <c r="D1152" s="744"/>
      <c r="E1152" s="744"/>
      <c r="F1152" s="744"/>
      <c r="G1152" s="744"/>
      <c r="H1152" s="744"/>
      <c r="I1152" s="744"/>
      <c r="J1152" s="744"/>
      <c r="K1152" s="744"/>
      <c r="L1152" s="744"/>
      <c r="M1152" s="744"/>
      <c r="N1152" s="744"/>
      <c r="O1152" s="744"/>
      <c r="P1152" s="744"/>
      <c r="Q1152" s="744"/>
      <c r="R1152" s="744"/>
      <c r="S1152" s="744"/>
      <c r="T1152" s="744"/>
      <c r="U1152" s="744"/>
      <c r="V1152" s="744"/>
      <c r="W1152" s="744"/>
      <c r="X1152" s="744"/>
      <c r="Y1152" s="744"/>
      <c r="Z1152" s="744"/>
      <c r="AA1152" s="744"/>
      <c r="AB1152" s="744"/>
      <c r="AC1152" s="345"/>
      <c r="AD1152" s="345"/>
      <c r="AE1152" s="345"/>
      <c r="AF1152" s="345"/>
      <c r="AG1152" s="345"/>
      <c r="AH1152" s="345"/>
      <c r="AR1152" s="70"/>
      <c r="AS1152" s="315"/>
      <c r="AT1152" s="321"/>
      <c r="AU1152" s="550"/>
      <c r="AV1152" s="550"/>
      <c r="AW1152" s="550"/>
      <c r="AX1152" s="742"/>
      <c r="AY1152" s="550"/>
      <c r="AZ1152" s="550"/>
      <c r="BA1152" s="369"/>
      <c r="BB1152" s="369"/>
      <c r="BM1152"/>
      <c r="BN1152"/>
      <c r="BO1152"/>
      <c r="BP1152"/>
      <c r="BQ1152"/>
      <c r="BR1152"/>
    </row>
    <row r="1153" spans="1:70" s="342" customFormat="1" x14ac:dyDescent="0.2">
      <c r="A1153" s="830"/>
      <c r="B1153" s="315"/>
      <c r="C1153" s="321"/>
      <c r="D1153" s="744"/>
      <c r="E1153" s="744"/>
      <c r="F1153" s="744"/>
      <c r="G1153" s="744"/>
      <c r="H1153" s="744"/>
      <c r="I1153" s="744"/>
      <c r="J1153" s="744"/>
      <c r="K1153" s="744"/>
      <c r="L1153" s="744"/>
      <c r="M1153" s="744"/>
      <c r="N1153" s="744"/>
      <c r="O1153" s="744"/>
      <c r="P1153" s="744"/>
      <c r="Q1153" s="744"/>
      <c r="R1153" s="744"/>
      <c r="S1153" s="744"/>
      <c r="T1153" s="744"/>
      <c r="U1153" s="744"/>
      <c r="V1153" s="744"/>
      <c r="W1153" s="744"/>
      <c r="X1153" s="712"/>
      <c r="Y1153" s="712"/>
      <c r="Z1153" s="712"/>
      <c r="AA1153" s="712"/>
      <c r="AB1153" s="712"/>
      <c r="AC1153" s="345"/>
      <c r="AD1153" s="345"/>
      <c r="AE1153" s="345"/>
      <c r="AF1153" s="345"/>
      <c r="AG1153" s="345"/>
      <c r="AH1153" s="345"/>
      <c r="AR1153" s="70"/>
      <c r="AS1153" s="315"/>
      <c r="AT1153" s="321"/>
      <c r="AU1153" s="649"/>
      <c r="AV1153" s="649"/>
      <c r="AW1153" s="649"/>
      <c r="AX1153" s="649"/>
      <c r="AY1153" s="649"/>
      <c r="AZ1153" s="649"/>
      <c r="BA1153" s="649"/>
      <c r="BB1153" s="649"/>
      <c r="BM1153"/>
      <c r="BN1153"/>
      <c r="BO1153"/>
      <c r="BP1153"/>
      <c r="BQ1153"/>
      <c r="BR1153"/>
    </row>
    <row r="1154" spans="1:70" s="342" customFormat="1" x14ac:dyDescent="0.2">
      <c r="A1154" s="830"/>
      <c r="B1154" s="705" t="s">
        <v>336</v>
      </c>
      <c r="C1154" s="706"/>
      <c r="D1154" s="561"/>
      <c r="E1154" s="561"/>
      <c r="F1154" s="561"/>
      <c r="G1154" s="561"/>
      <c r="H1154" s="561"/>
      <c r="I1154" s="561"/>
      <c r="J1154" s="561"/>
      <c r="K1154" s="561"/>
      <c r="L1154" s="561"/>
      <c r="M1154" s="561"/>
      <c r="N1154" s="561"/>
      <c r="O1154" s="561"/>
      <c r="P1154" s="561"/>
      <c r="Q1154" s="561"/>
      <c r="R1154" s="561"/>
      <c r="S1154" s="561"/>
      <c r="T1154" s="561"/>
      <c r="U1154" s="561"/>
      <c r="V1154" s="561"/>
      <c r="W1154" s="561"/>
      <c r="X1154" s="705"/>
      <c r="Y1154" s="705"/>
      <c r="Z1154" s="705"/>
      <c r="AA1154" s="705"/>
      <c r="AB1154" s="705"/>
      <c r="AC1154" s="709"/>
      <c r="AD1154" s="709"/>
      <c r="AE1154" s="709"/>
      <c r="AF1154" s="709"/>
      <c r="AG1154" s="709"/>
      <c r="AH1154" s="709"/>
      <c r="AI1154" s="706"/>
      <c r="AJ1154" s="706"/>
      <c r="AK1154" s="706"/>
      <c r="AL1154" s="706"/>
      <c r="AM1154" s="706"/>
      <c r="AN1154" s="706"/>
      <c r="AO1154" s="706"/>
      <c r="AP1154" s="706"/>
      <c r="AQ1154" s="706"/>
      <c r="AR1154" s="70"/>
      <c r="AS1154" s="705" t="s">
        <v>336</v>
      </c>
      <c r="AT1154" s="706"/>
      <c r="AU1154" s="706"/>
      <c r="AV1154" s="706"/>
      <c r="AW1154" s="706"/>
      <c r="AX1154" s="706"/>
      <c r="AY1154" s="706"/>
      <c r="AZ1154" s="707"/>
      <c r="BA1154" s="708"/>
      <c r="BB1154" s="708"/>
      <c r="BC1154" s="708"/>
      <c r="BD1154" s="708"/>
      <c r="BE1154" s="707"/>
      <c r="BM1154"/>
      <c r="BN1154"/>
      <c r="BO1154"/>
      <c r="BP1154"/>
      <c r="BQ1154"/>
      <c r="BR1154"/>
    </row>
    <row r="1155" spans="1:70" s="342" customFormat="1" x14ac:dyDescent="0.2">
      <c r="A1155" s="830"/>
      <c r="B1155" s="523" t="s">
        <v>324</v>
      </c>
      <c r="C1155" s="736"/>
      <c r="D1155" s="727">
        <v>2950</v>
      </c>
      <c r="E1155" s="746">
        <f t="shared" ref="E1155:AB1155" si="2665">D1160</f>
        <v>3142</v>
      </c>
      <c r="F1155" s="746">
        <f t="shared" si="2665"/>
        <v>3046</v>
      </c>
      <c r="G1155" s="746">
        <f t="shared" si="2665"/>
        <v>2904</v>
      </c>
      <c r="H1155" s="746">
        <f t="shared" si="2665"/>
        <v>2870</v>
      </c>
      <c r="I1155" s="746">
        <f t="shared" si="2665"/>
        <v>2858</v>
      </c>
      <c r="J1155" s="746">
        <f t="shared" si="2665"/>
        <v>2791</v>
      </c>
      <c r="K1155" s="746">
        <f t="shared" si="2665"/>
        <v>2782</v>
      </c>
      <c r="L1155" s="746">
        <f t="shared" si="2665"/>
        <v>2674</v>
      </c>
      <c r="M1155" s="746">
        <f t="shared" si="2665"/>
        <v>2546</v>
      </c>
      <c r="N1155" s="746">
        <f t="shared" si="2665"/>
        <v>2445</v>
      </c>
      <c r="O1155" s="746">
        <f t="shared" si="2665"/>
        <v>2396</v>
      </c>
      <c r="P1155" s="746">
        <f t="shared" si="2665"/>
        <v>2447</v>
      </c>
      <c r="Q1155" s="746">
        <f t="shared" si="2665"/>
        <v>2546</v>
      </c>
      <c r="R1155" s="746">
        <f t="shared" si="2665"/>
        <v>2406</v>
      </c>
      <c r="S1155" s="746">
        <f t="shared" si="2665"/>
        <v>2596</v>
      </c>
      <c r="T1155" s="746">
        <f t="shared" si="2665"/>
        <v>2791</v>
      </c>
      <c r="U1155" s="746">
        <f t="shared" si="2665"/>
        <v>2905</v>
      </c>
      <c r="V1155" s="746">
        <f t="shared" si="2665"/>
        <v>2872</v>
      </c>
      <c r="W1155" s="746">
        <f t="shared" si="2665"/>
        <v>2766</v>
      </c>
      <c r="X1155" s="746">
        <f t="shared" si="2665"/>
        <v>2702</v>
      </c>
      <c r="Y1155" s="746">
        <f t="shared" si="2665"/>
        <v>2535</v>
      </c>
      <c r="Z1155" s="746">
        <f t="shared" si="2665"/>
        <v>2510</v>
      </c>
      <c r="AA1155" s="746">
        <f t="shared" si="2665"/>
        <v>2474</v>
      </c>
      <c r="AB1155" s="746">
        <f t="shared" si="2665"/>
        <v>2486</v>
      </c>
      <c r="AC1155" s="345"/>
      <c r="AD1155" s="345"/>
      <c r="AE1155" s="345"/>
      <c r="AF1155" s="345"/>
      <c r="AG1155" s="345"/>
      <c r="AH1155" s="345"/>
      <c r="AR1155" s="70"/>
      <c r="AS1155" s="523" t="s">
        <v>324</v>
      </c>
      <c r="AT1155" s="736"/>
      <c r="AU1155" s="467">
        <f>D1155</f>
        <v>2950</v>
      </c>
      <c r="AV1155" s="379">
        <f>AU1160</f>
        <v>2870</v>
      </c>
      <c r="AW1155" s="379">
        <f>AV1160</f>
        <v>2674</v>
      </c>
      <c r="AX1155" s="379">
        <f>AW1160</f>
        <v>2447</v>
      </c>
      <c r="AY1155" s="379">
        <f>AX1160</f>
        <v>2791</v>
      </c>
      <c r="AZ1155" s="379"/>
      <c r="BA1155" s="379"/>
      <c r="BB1155" s="379"/>
      <c r="BM1155"/>
      <c r="BN1155"/>
      <c r="BO1155"/>
      <c r="BP1155"/>
      <c r="BQ1155"/>
      <c r="BR1155"/>
    </row>
    <row r="1156" spans="1:70" s="342" customFormat="1" x14ac:dyDescent="0.2">
      <c r="A1156" s="830"/>
      <c r="B1156" s="412" t="s">
        <v>327</v>
      </c>
      <c r="C1156" s="412"/>
      <c r="D1156" s="727">
        <v>90</v>
      </c>
      <c r="E1156" s="727">
        <v>96</v>
      </c>
      <c r="F1156" s="727">
        <v>-44</v>
      </c>
      <c r="G1156" s="727">
        <v>8</v>
      </c>
      <c r="H1156" s="727">
        <v>58</v>
      </c>
      <c r="I1156" s="727">
        <v>-20</v>
      </c>
      <c r="J1156" s="727">
        <v>74</v>
      </c>
      <c r="K1156" s="727">
        <v>-99</v>
      </c>
      <c r="L1156" s="727">
        <v>35</v>
      </c>
      <c r="M1156" s="727">
        <v>-89</v>
      </c>
      <c r="N1156" s="727">
        <v>-38</v>
      </c>
      <c r="O1156" s="727">
        <v>221</v>
      </c>
      <c r="P1156" s="727">
        <v>107</v>
      </c>
      <c r="Q1156" s="727">
        <v>-44</v>
      </c>
      <c r="R1156" s="727">
        <v>245</v>
      </c>
      <c r="S1156" s="727">
        <v>572</v>
      </c>
      <c r="T1156" s="727">
        <v>315</v>
      </c>
      <c r="U1156" s="727">
        <v>114</v>
      </c>
      <c r="V1156" s="727">
        <v>-69</v>
      </c>
      <c r="W1156" s="727">
        <v>68</v>
      </c>
      <c r="X1156" s="727">
        <v>-141</v>
      </c>
      <c r="Y1156" s="727">
        <v>46</v>
      </c>
      <c r="Z1156" s="727">
        <v>4</v>
      </c>
      <c r="AA1156" s="727">
        <v>231</v>
      </c>
      <c r="AB1156" s="727">
        <v>-78</v>
      </c>
      <c r="AC1156" s="345"/>
      <c r="AD1156" s="345"/>
      <c r="AE1156" s="345"/>
      <c r="AF1156" s="345"/>
      <c r="AG1156" s="345"/>
      <c r="AH1156" s="345"/>
      <c r="AR1156" s="70"/>
      <c r="AS1156" s="412" t="s">
        <v>327</v>
      </c>
      <c r="AT1156" s="412"/>
      <c r="AU1156" s="232">
        <f>SUM(D1156:G1156)</f>
        <v>150</v>
      </c>
      <c r="AV1156" s="232">
        <f>SUM(H1156:K1156)</f>
        <v>13</v>
      </c>
      <c r="AW1156" s="232">
        <f>SUM(L1156:O1156)</f>
        <v>129</v>
      </c>
      <c r="AX1156" s="232">
        <f>SUM(P1156:S1156)</f>
        <v>880</v>
      </c>
      <c r="AY1156" s="232">
        <f>SUM(T1156:W1156)</f>
        <v>428</v>
      </c>
      <c r="AZ1156" s="280"/>
      <c r="BA1156" s="280"/>
      <c r="BB1156" s="280"/>
      <c r="BM1156"/>
      <c r="BN1156"/>
      <c r="BO1156"/>
      <c r="BP1156"/>
      <c r="BQ1156"/>
      <c r="BR1156"/>
    </row>
    <row r="1157" spans="1:70" s="342" customFormat="1" x14ac:dyDescent="0.2">
      <c r="A1157" s="830"/>
      <c r="B1157" s="412" t="s">
        <v>337</v>
      </c>
      <c r="C1157" s="730"/>
      <c r="D1157" s="430">
        <v>-71</v>
      </c>
      <c r="E1157" s="430">
        <v>170</v>
      </c>
      <c r="F1157" s="430">
        <v>128</v>
      </c>
      <c r="G1157" s="430">
        <v>45</v>
      </c>
      <c r="H1157" s="430">
        <v>50</v>
      </c>
      <c r="I1157" s="430">
        <v>50</v>
      </c>
      <c r="J1157" s="430">
        <v>100</v>
      </c>
      <c r="K1157" s="430">
        <v>16</v>
      </c>
      <c r="L1157" s="430">
        <v>145</v>
      </c>
      <c r="M1157" s="430">
        <v>12</v>
      </c>
      <c r="N1157" s="430">
        <v>-11</v>
      </c>
      <c r="O1157" s="430">
        <v>148</v>
      </c>
      <c r="P1157" s="430">
        <v>-8</v>
      </c>
      <c r="Q1157" s="430">
        <v>107</v>
      </c>
      <c r="R1157" s="430">
        <v>51</v>
      </c>
      <c r="S1157" s="430">
        <v>94</v>
      </c>
      <c r="T1157" s="430">
        <v>210</v>
      </c>
      <c r="U1157" s="430">
        <v>141</v>
      </c>
      <c r="V1157" s="430">
        <v>42</v>
      </c>
      <c r="W1157" s="430">
        <v>120</v>
      </c>
      <c r="X1157" s="430">
        <v>37</v>
      </c>
      <c r="Y1157" s="430">
        <v>77</v>
      </c>
      <c r="Z1157" s="430">
        <v>43</v>
      </c>
      <c r="AA1157" s="430">
        <v>222</v>
      </c>
      <c r="AB1157" s="430">
        <v>96</v>
      </c>
      <c r="AC1157" s="345"/>
      <c r="AD1157" s="345"/>
      <c r="AE1157" s="345"/>
      <c r="AF1157" s="345"/>
      <c r="AG1157" s="345"/>
      <c r="AH1157" s="345"/>
      <c r="AR1157" s="70"/>
      <c r="AS1157" s="412" t="s">
        <v>337</v>
      </c>
      <c r="AT1157" s="730"/>
      <c r="AU1157" s="232">
        <f>SUM(D1157:G1157)</f>
        <v>272</v>
      </c>
      <c r="AV1157" s="232">
        <f>SUM(H1157:K1157)</f>
        <v>216</v>
      </c>
      <c r="AW1157" s="232">
        <f>SUM(L1157:O1157)</f>
        <v>294</v>
      </c>
      <c r="AX1157" s="232">
        <f>SUM(P1157:S1157)</f>
        <v>244</v>
      </c>
      <c r="AY1157" s="232">
        <f>SUM(T1157:W1157)</f>
        <v>513</v>
      </c>
      <c r="AZ1157" s="280"/>
      <c r="BA1157" s="280"/>
      <c r="BB1157" s="280"/>
      <c r="BM1157"/>
      <c r="BN1157"/>
      <c r="BO1157"/>
      <c r="BP1157"/>
      <c r="BQ1157"/>
      <c r="BR1157"/>
    </row>
    <row r="1158" spans="1:70" s="342" customFormat="1" x14ac:dyDescent="0.2">
      <c r="A1158" s="830"/>
      <c r="B1158" s="412"/>
      <c r="C1158" s="412" t="s">
        <v>325</v>
      </c>
      <c r="D1158" s="744">
        <f t="shared" ref="D1158:X1158" si="2666">D1156-D1157</f>
        <v>161</v>
      </c>
      <c r="E1158" s="744">
        <f t="shared" si="2666"/>
        <v>-74</v>
      </c>
      <c r="F1158" s="744">
        <f t="shared" si="2666"/>
        <v>-172</v>
      </c>
      <c r="G1158" s="744">
        <f t="shared" si="2666"/>
        <v>-37</v>
      </c>
      <c r="H1158" s="744">
        <f t="shared" si="2666"/>
        <v>8</v>
      </c>
      <c r="I1158" s="744">
        <f t="shared" si="2666"/>
        <v>-70</v>
      </c>
      <c r="J1158" s="744">
        <f t="shared" si="2666"/>
        <v>-26</v>
      </c>
      <c r="K1158" s="744">
        <f t="shared" si="2666"/>
        <v>-115</v>
      </c>
      <c r="L1158" s="744">
        <f t="shared" si="2666"/>
        <v>-110</v>
      </c>
      <c r="M1158" s="744">
        <f t="shared" si="2666"/>
        <v>-101</v>
      </c>
      <c r="N1158" s="744">
        <f t="shared" si="2666"/>
        <v>-27</v>
      </c>
      <c r="O1158" s="744">
        <f t="shared" si="2666"/>
        <v>73</v>
      </c>
      <c r="P1158" s="744">
        <f t="shared" si="2666"/>
        <v>115</v>
      </c>
      <c r="Q1158" s="744">
        <f t="shared" si="2666"/>
        <v>-151</v>
      </c>
      <c r="R1158" s="744">
        <f t="shared" si="2666"/>
        <v>194</v>
      </c>
      <c r="S1158" s="744">
        <f t="shared" si="2666"/>
        <v>478</v>
      </c>
      <c r="T1158" s="744">
        <f t="shared" si="2666"/>
        <v>105</v>
      </c>
      <c r="U1158" s="744">
        <f t="shared" si="2666"/>
        <v>-27</v>
      </c>
      <c r="V1158" s="744">
        <f t="shared" si="2666"/>
        <v>-111</v>
      </c>
      <c r="W1158" s="744">
        <f t="shared" si="2666"/>
        <v>-52</v>
      </c>
      <c r="X1158" s="744">
        <f t="shared" si="2666"/>
        <v>-178</v>
      </c>
      <c r="Y1158" s="744">
        <f t="shared" ref="Y1158:Z1158" si="2667">Y1156-Y1157</f>
        <v>-31</v>
      </c>
      <c r="Z1158" s="744">
        <f t="shared" si="2667"/>
        <v>-39</v>
      </c>
      <c r="AA1158" s="744">
        <f t="shared" ref="AA1158:AB1158" si="2668">AA1156-AA1157</f>
        <v>9</v>
      </c>
      <c r="AB1158" s="744">
        <f t="shared" si="2668"/>
        <v>-174</v>
      </c>
      <c r="AC1158" s="345"/>
      <c r="AD1158" s="345"/>
      <c r="AE1158" s="345"/>
      <c r="AF1158" s="345"/>
      <c r="AG1158" s="345"/>
      <c r="AH1158" s="345"/>
      <c r="AR1158" s="70"/>
      <c r="AS1158" s="412"/>
      <c r="AT1158" s="412" t="s">
        <v>325</v>
      </c>
      <c r="AU1158" s="731">
        <f>AU1156-AU1157</f>
        <v>-122</v>
      </c>
      <c r="AV1158" s="731">
        <f>AV1156-AV1157</f>
        <v>-203</v>
      </c>
      <c r="AW1158" s="731">
        <f>AW1156-AW1157</f>
        <v>-165</v>
      </c>
      <c r="AX1158" s="731">
        <f>AX1156-AX1157</f>
        <v>636</v>
      </c>
      <c r="AY1158" s="731">
        <f>AY1156-AY1157</f>
        <v>-85</v>
      </c>
      <c r="AZ1158" s="732"/>
      <c r="BA1158" s="732"/>
      <c r="BB1158" s="732"/>
      <c r="BM1158"/>
      <c r="BN1158"/>
      <c r="BO1158"/>
      <c r="BP1158"/>
      <c r="BQ1158"/>
      <c r="BR1158"/>
    </row>
    <row r="1159" spans="1:70" s="342" customFormat="1" x14ac:dyDescent="0.2">
      <c r="A1159" s="830"/>
      <c r="B1159" s="412" t="s">
        <v>326</v>
      </c>
      <c r="C1159" s="730"/>
      <c r="D1159" s="754">
        <f t="shared" ref="D1159:X1159" si="2669">D1160-D1155-D1158</f>
        <v>31</v>
      </c>
      <c r="E1159" s="754">
        <f t="shared" si="2669"/>
        <v>-22</v>
      </c>
      <c r="F1159" s="754">
        <f t="shared" si="2669"/>
        <v>30</v>
      </c>
      <c r="G1159" s="754">
        <f t="shared" si="2669"/>
        <v>3</v>
      </c>
      <c r="H1159" s="754">
        <f t="shared" si="2669"/>
        <v>-20</v>
      </c>
      <c r="I1159" s="754">
        <f t="shared" si="2669"/>
        <v>3</v>
      </c>
      <c r="J1159" s="754">
        <f t="shared" si="2669"/>
        <v>17</v>
      </c>
      <c r="K1159" s="754">
        <f t="shared" si="2669"/>
        <v>7</v>
      </c>
      <c r="L1159" s="754">
        <f t="shared" si="2669"/>
        <v>-18</v>
      </c>
      <c r="M1159" s="754">
        <f t="shared" si="2669"/>
        <v>0</v>
      </c>
      <c r="N1159" s="754">
        <f t="shared" si="2669"/>
        <v>-22</v>
      </c>
      <c r="O1159" s="754">
        <f t="shared" si="2669"/>
        <v>-22</v>
      </c>
      <c r="P1159" s="754">
        <f t="shared" si="2669"/>
        <v>-16</v>
      </c>
      <c r="Q1159" s="754">
        <f t="shared" si="2669"/>
        <v>11</v>
      </c>
      <c r="R1159" s="754">
        <f t="shared" si="2669"/>
        <v>-4</v>
      </c>
      <c r="S1159" s="754">
        <f t="shared" si="2669"/>
        <v>-283</v>
      </c>
      <c r="T1159" s="754">
        <f t="shared" si="2669"/>
        <v>9</v>
      </c>
      <c r="U1159" s="754">
        <f t="shared" si="2669"/>
        <v>-6</v>
      </c>
      <c r="V1159" s="754">
        <f t="shared" si="2669"/>
        <v>5</v>
      </c>
      <c r="W1159" s="754">
        <f t="shared" si="2669"/>
        <v>-12</v>
      </c>
      <c r="X1159" s="754">
        <f t="shared" si="2669"/>
        <v>11</v>
      </c>
      <c r="Y1159" s="754">
        <f t="shared" ref="Y1159:Z1159" si="2670">Y1160-Y1155-Y1158</f>
        <v>6</v>
      </c>
      <c r="Z1159" s="754">
        <f t="shared" si="2670"/>
        <v>3</v>
      </c>
      <c r="AA1159" s="754">
        <f t="shared" ref="AA1159:AB1159" si="2671">AA1160-AA1155-AA1158</f>
        <v>3</v>
      </c>
      <c r="AB1159" s="754">
        <f t="shared" si="2671"/>
        <v>3</v>
      </c>
      <c r="AC1159" s="345"/>
      <c r="AD1159" s="345"/>
      <c r="AE1159" s="345"/>
      <c r="AF1159" s="345"/>
      <c r="AG1159" s="345"/>
      <c r="AH1159" s="345"/>
      <c r="AR1159" s="70"/>
      <c r="AS1159" s="412" t="s">
        <v>326</v>
      </c>
      <c r="AT1159" s="730"/>
      <c r="AU1159" s="600">
        <f>AU1160-AU1155-AU1158</f>
        <v>42</v>
      </c>
      <c r="AV1159" s="600">
        <f>AV1160-AV1155-AV1158</f>
        <v>7</v>
      </c>
      <c r="AW1159" s="600">
        <f>AW1160-AW1155-AW1158</f>
        <v>-62</v>
      </c>
      <c r="AX1159" s="600">
        <f>AX1160-AX1155-AX1158</f>
        <v>-292</v>
      </c>
      <c r="AY1159" s="600">
        <f>AY1160-AY1155-AY1158</f>
        <v>-4</v>
      </c>
      <c r="AZ1159" s="625"/>
      <c r="BA1159" s="625"/>
      <c r="BB1159" s="625"/>
      <c r="BM1159"/>
      <c r="BN1159"/>
      <c r="BO1159"/>
      <c r="BP1159"/>
      <c r="BQ1159"/>
      <c r="BR1159"/>
    </row>
    <row r="1160" spans="1:70" s="342" customFormat="1" x14ac:dyDescent="0.2">
      <c r="A1160" s="830"/>
      <c r="B1160" s="735" t="s">
        <v>323</v>
      </c>
      <c r="C1160" s="736"/>
      <c r="D1160" s="88">
        <v>3142</v>
      </c>
      <c r="E1160" s="88">
        <v>3046</v>
      </c>
      <c r="F1160" s="88">
        <v>2904</v>
      </c>
      <c r="G1160" s="88">
        <v>2870</v>
      </c>
      <c r="H1160" s="88">
        <v>2858</v>
      </c>
      <c r="I1160" s="88">
        <v>2791</v>
      </c>
      <c r="J1160" s="88">
        <v>2782</v>
      </c>
      <c r="K1160" s="88">
        <v>2674</v>
      </c>
      <c r="L1160" s="88">
        <v>2546</v>
      </c>
      <c r="M1160" s="88">
        <v>2445</v>
      </c>
      <c r="N1160" s="88">
        <v>2396</v>
      </c>
      <c r="O1160" s="88">
        <v>2447</v>
      </c>
      <c r="P1160" s="88">
        <v>2546</v>
      </c>
      <c r="Q1160" s="88">
        <v>2406</v>
      </c>
      <c r="R1160" s="88">
        <v>2596</v>
      </c>
      <c r="S1160" s="88">
        <v>2791</v>
      </c>
      <c r="T1160" s="88">
        <v>2905</v>
      </c>
      <c r="U1160" s="88">
        <v>2872</v>
      </c>
      <c r="V1160" s="88">
        <v>2766</v>
      </c>
      <c r="W1160" s="88">
        <v>2702</v>
      </c>
      <c r="X1160" s="88">
        <v>2535</v>
      </c>
      <c r="Y1160" s="88">
        <v>2510</v>
      </c>
      <c r="Z1160" s="88">
        <v>2474</v>
      </c>
      <c r="AA1160" s="88">
        <v>2486</v>
      </c>
      <c r="AB1160" s="88">
        <v>2315</v>
      </c>
      <c r="AC1160" s="345"/>
      <c r="AD1160" s="345"/>
      <c r="AE1160" s="345"/>
      <c r="AF1160" s="345"/>
      <c r="AG1160" s="345"/>
      <c r="AH1160" s="345"/>
      <c r="AR1160" s="70"/>
      <c r="AS1160" s="735" t="s">
        <v>323</v>
      </c>
      <c r="AT1160" s="736"/>
      <c r="AU1160" s="649">
        <f>G1160</f>
        <v>2870</v>
      </c>
      <c r="AV1160" s="649">
        <f>K1160</f>
        <v>2674</v>
      </c>
      <c r="AW1160" s="649">
        <f>O1160</f>
        <v>2447</v>
      </c>
      <c r="AX1160" s="649">
        <f>S1160</f>
        <v>2791</v>
      </c>
      <c r="AY1160" s="649">
        <f>W1160</f>
        <v>2702</v>
      </c>
      <c r="AZ1160" s="747"/>
      <c r="BA1160" s="747"/>
      <c r="BB1160" s="747"/>
      <c r="BM1160"/>
      <c r="BN1160"/>
      <c r="BO1160"/>
      <c r="BP1160"/>
      <c r="BQ1160"/>
      <c r="BR1160"/>
    </row>
    <row r="1161" spans="1:70" s="342" customFormat="1" x14ac:dyDescent="0.2">
      <c r="A1161" s="830"/>
      <c r="B1161" s="735"/>
      <c r="C1161" s="736"/>
      <c r="D1161" s="744"/>
      <c r="E1161" s="744"/>
      <c r="F1161" s="744"/>
      <c r="G1161" s="744"/>
      <c r="H1161" s="744"/>
      <c r="I1161" s="744"/>
      <c r="J1161" s="744"/>
      <c r="K1161" s="744"/>
      <c r="L1161" s="744"/>
      <c r="M1161" s="744"/>
      <c r="N1161" s="744"/>
      <c r="O1161" s="744"/>
      <c r="P1161" s="744"/>
      <c r="Q1161" s="744"/>
      <c r="R1161" s="744"/>
      <c r="S1161" s="744"/>
      <c r="T1161" s="744"/>
      <c r="U1161" s="744"/>
      <c r="V1161" s="744"/>
      <c r="W1161" s="744"/>
      <c r="X1161" s="744"/>
      <c r="Y1161" s="744"/>
      <c r="Z1161" s="744"/>
      <c r="AA1161" s="744"/>
      <c r="AB1161" s="744"/>
      <c r="AC1161" s="345"/>
      <c r="AD1161" s="345"/>
      <c r="AE1161" s="345"/>
      <c r="AF1161" s="345"/>
      <c r="AG1161" s="345"/>
      <c r="AH1161" s="345"/>
      <c r="AR1161" s="70"/>
      <c r="AS1161" s="735"/>
      <c r="AT1161" s="736"/>
      <c r="AU1161" s="232"/>
      <c r="AV1161" s="232"/>
      <c r="AW1161" s="232"/>
      <c r="AX1161" s="232"/>
      <c r="AY1161" s="232"/>
      <c r="AZ1161" s="232"/>
      <c r="BA1161" s="232"/>
      <c r="BB1161" s="232"/>
      <c r="BM1161"/>
      <c r="BN1161"/>
      <c r="BO1161"/>
      <c r="BP1161"/>
      <c r="BQ1161"/>
      <c r="BR1161"/>
    </row>
    <row r="1162" spans="1:70" s="342" customFormat="1" x14ac:dyDescent="0.2">
      <c r="A1162" s="830"/>
      <c r="B1162" s="315" t="s">
        <v>328</v>
      </c>
      <c r="C1162" s="523"/>
      <c r="D1162" s="727">
        <v>1097</v>
      </c>
      <c r="E1162" s="727">
        <v>1104</v>
      </c>
      <c r="F1162" s="727">
        <v>1063</v>
      </c>
      <c r="G1162" s="727">
        <v>1119</v>
      </c>
      <c r="H1162" s="727">
        <v>1120</v>
      </c>
      <c r="I1162" s="727">
        <v>1110</v>
      </c>
      <c r="J1162" s="727">
        <v>1199</v>
      </c>
      <c r="K1162" s="727">
        <v>1168</v>
      </c>
      <c r="L1162" s="727">
        <v>1144</v>
      </c>
      <c r="M1162" s="727">
        <v>1117</v>
      </c>
      <c r="N1162" s="727">
        <v>1089</v>
      </c>
      <c r="O1162" s="727">
        <v>1030</v>
      </c>
      <c r="P1162" s="727">
        <v>993</v>
      </c>
      <c r="Q1162" s="727">
        <v>944</v>
      </c>
      <c r="R1162" s="727">
        <v>1008</v>
      </c>
      <c r="S1162" s="727">
        <v>1367</v>
      </c>
      <c r="T1162" s="727">
        <v>1436</v>
      </c>
      <c r="U1162" s="727">
        <v>1390</v>
      </c>
      <c r="V1162" s="727">
        <v>1349</v>
      </c>
      <c r="W1162" s="727">
        <v>1383</v>
      </c>
      <c r="X1162" s="727">
        <v>1336</v>
      </c>
      <c r="Y1162" s="727">
        <v>1366</v>
      </c>
      <c r="Z1162" s="727">
        <v>1197</v>
      </c>
      <c r="AA1162" s="727">
        <v>1225</v>
      </c>
      <c r="AB1162" s="727">
        <v>1258</v>
      </c>
      <c r="AC1162" s="345"/>
      <c r="AD1162" s="345"/>
      <c r="AE1162" s="345"/>
      <c r="AF1162" s="345"/>
      <c r="AG1162" s="345"/>
      <c r="AH1162" s="345"/>
      <c r="AR1162" s="70"/>
      <c r="AS1162" s="315" t="s">
        <v>328</v>
      </c>
      <c r="AT1162" s="523"/>
      <c r="AU1162" s="379">
        <f>G1162</f>
        <v>1119</v>
      </c>
      <c r="AV1162" s="379">
        <f>K1162</f>
        <v>1168</v>
      </c>
      <c r="AW1162" s="379">
        <f>O1162</f>
        <v>1030</v>
      </c>
      <c r="AX1162" s="379">
        <f>S1162</f>
        <v>1367</v>
      </c>
      <c r="AY1162" s="379">
        <f>W1162</f>
        <v>1383</v>
      </c>
      <c r="AZ1162" s="379"/>
      <c r="BA1162" s="379"/>
      <c r="BB1162" s="379"/>
      <c r="BM1162"/>
      <c r="BN1162"/>
      <c r="BO1162"/>
      <c r="BP1162"/>
      <c r="BQ1162"/>
      <c r="BR1162"/>
    </row>
    <row r="1163" spans="1:70" s="342" customFormat="1" x14ac:dyDescent="0.2">
      <c r="A1163" s="830"/>
      <c r="B1163" s="315"/>
      <c r="C1163" s="523"/>
      <c r="D1163" s="744"/>
      <c r="E1163" s="744"/>
      <c r="F1163" s="744"/>
      <c r="G1163" s="744"/>
      <c r="H1163" s="744"/>
      <c r="I1163" s="744"/>
      <c r="J1163" s="744"/>
      <c r="K1163" s="744"/>
      <c r="L1163" s="744"/>
      <c r="M1163" s="744"/>
      <c r="N1163" s="744"/>
      <c r="O1163" s="744"/>
      <c r="P1163" s="744"/>
      <c r="Q1163" s="744"/>
      <c r="R1163" s="744"/>
      <c r="S1163" s="744"/>
      <c r="T1163" s="744"/>
      <c r="U1163" s="744"/>
      <c r="V1163" s="744"/>
      <c r="W1163" s="744"/>
      <c r="X1163" s="744"/>
      <c r="Y1163" s="744"/>
      <c r="Z1163" s="744"/>
      <c r="AA1163" s="744"/>
      <c r="AB1163" s="744"/>
      <c r="AC1163" s="345"/>
      <c r="AD1163" s="345"/>
      <c r="AE1163" s="345"/>
      <c r="AF1163" s="345"/>
      <c r="AG1163" s="345"/>
      <c r="AH1163" s="345"/>
      <c r="AR1163" s="70"/>
      <c r="AS1163" s="315"/>
      <c r="AT1163" s="523"/>
      <c r="AU1163" s="739"/>
      <c r="AV1163" s="726"/>
      <c r="AW1163" s="726"/>
      <c r="AX1163" s="726"/>
      <c r="AY1163" s="369"/>
      <c r="AZ1163" s="369"/>
      <c r="BA1163" s="369"/>
      <c r="BB1163" s="369"/>
      <c r="BM1163"/>
      <c r="BN1163"/>
      <c r="BO1163"/>
      <c r="BP1163"/>
      <c r="BQ1163"/>
      <c r="BR1163"/>
    </row>
    <row r="1164" spans="1:70" s="342" customFormat="1" x14ac:dyDescent="0.2">
      <c r="A1164" s="830"/>
      <c r="B1164" s="315" t="s">
        <v>329</v>
      </c>
      <c r="C1164" s="523"/>
      <c r="D1164" s="727">
        <v>-38</v>
      </c>
      <c r="E1164" s="727">
        <v>7</v>
      </c>
      <c r="F1164" s="727">
        <v>-41</v>
      </c>
      <c r="G1164" s="727">
        <v>56</v>
      </c>
      <c r="H1164" s="727">
        <v>2</v>
      </c>
      <c r="I1164" s="727">
        <v>-14</v>
      </c>
      <c r="J1164" s="727">
        <v>63</v>
      </c>
      <c r="K1164" s="727">
        <v>-32</v>
      </c>
      <c r="L1164" s="727">
        <v>-24</v>
      </c>
      <c r="M1164" s="727">
        <v>-32</v>
      </c>
      <c r="N1164" s="727">
        <v>-22</v>
      </c>
      <c r="O1164" s="727">
        <v>-56</v>
      </c>
      <c r="P1164" s="727">
        <v>-34</v>
      </c>
      <c r="Q1164" s="727">
        <v>-47</v>
      </c>
      <c r="R1164" s="727">
        <v>66</v>
      </c>
      <c r="S1164" s="727">
        <v>87</v>
      </c>
      <c r="T1164" s="727">
        <v>70</v>
      </c>
      <c r="U1164" s="727">
        <v>-34</v>
      </c>
      <c r="V1164" s="727">
        <v>-41</v>
      </c>
      <c r="W1164" s="727">
        <v>36</v>
      </c>
      <c r="X1164" s="727">
        <v>-49</v>
      </c>
      <c r="Y1164" s="727">
        <v>29</v>
      </c>
      <c r="Z1164" s="727">
        <v>-170</v>
      </c>
      <c r="AA1164" s="727">
        <v>31</v>
      </c>
      <c r="AB1164" s="727">
        <v>29</v>
      </c>
      <c r="AC1164" s="345"/>
      <c r="AD1164" s="345"/>
      <c r="AE1164" s="345"/>
      <c r="AF1164" s="345"/>
      <c r="AG1164" s="345"/>
      <c r="AH1164" s="345"/>
      <c r="AR1164" s="70"/>
      <c r="AS1164" s="315" t="s">
        <v>329</v>
      </c>
      <c r="AT1164" s="523"/>
      <c r="AU1164" s="232">
        <f>SUM(D1164:G1164)</f>
        <v>-16</v>
      </c>
      <c r="AV1164" s="232">
        <f>SUM(H1164:K1164)</f>
        <v>19</v>
      </c>
      <c r="AW1164" s="232">
        <f>SUM(L1164:O1164)</f>
        <v>-134</v>
      </c>
      <c r="AX1164" s="232">
        <f>SUM(P1164:S1164)</f>
        <v>72</v>
      </c>
      <c r="AY1164" s="232">
        <f>SUM(T1164:W1164)</f>
        <v>31</v>
      </c>
      <c r="AZ1164" s="232"/>
      <c r="BA1164" s="232"/>
      <c r="BB1164" s="232"/>
      <c r="BM1164"/>
      <c r="BN1164"/>
      <c r="BO1164"/>
      <c r="BP1164"/>
      <c r="BQ1164"/>
      <c r="BR1164"/>
    </row>
    <row r="1165" spans="1:70" s="342" customFormat="1" x14ac:dyDescent="0.2">
      <c r="A1165" s="830"/>
      <c r="B1165" s="412"/>
      <c r="C1165" s="523"/>
      <c r="D1165" s="744"/>
      <c r="E1165" s="744"/>
      <c r="F1165" s="744"/>
      <c r="G1165" s="744"/>
      <c r="H1165" s="744"/>
      <c r="I1165" s="744"/>
      <c r="J1165" s="744"/>
      <c r="K1165" s="744"/>
      <c r="L1165" s="744"/>
      <c r="M1165" s="744"/>
      <c r="N1165" s="744"/>
      <c r="O1165" s="744"/>
      <c r="P1165" s="744"/>
      <c r="Q1165" s="744"/>
      <c r="R1165" s="744"/>
      <c r="S1165" s="744"/>
      <c r="T1165" s="744"/>
      <c r="U1165" s="744"/>
      <c r="V1165" s="744"/>
      <c r="W1165" s="744"/>
      <c r="X1165" s="744"/>
      <c r="Y1165" s="744"/>
      <c r="Z1165" s="744"/>
      <c r="AA1165" s="744"/>
      <c r="AB1165" s="744"/>
      <c r="AC1165" s="345"/>
      <c r="AD1165" s="345"/>
      <c r="AE1165" s="345"/>
      <c r="AF1165" s="345"/>
      <c r="AG1165" s="345"/>
      <c r="AH1165" s="345"/>
      <c r="AR1165" s="70"/>
      <c r="AS1165" s="412"/>
      <c r="AT1165" s="523"/>
      <c r="AU1165" s="550"/>
      <c r="AV1165" s="550"/>
      <c r="AW1165" s="550"/>
      <c r="AX1165" s="742"/>
      <c r="AY1165" s="550"/>
      <c r="AZ1165" s="550"/>
      <c r="BA1165" s="369"/>
      <c r="BB1165" s="369"/>
      <c r="BM1165"/>
      <c r="BN1165"/>
      <c r="BO1165"/>
      <c r="BP1165"/>
      <c r="BQ1165"/>
      <c r="BR1165"/>
    </row>
    <row r="1166" spans="1:70" s="342" customFormat="1" x14ac:dyDescent="0.2">
      <c r="A1166" s="830"/>
      <c r="B1166" s="315" t="s">
        <v>330</v>
      </c>
      <c r="C1166" s="321"/>
      <c r="D1166" s="744">
        <f t="shared" ref="D1166:X1166" si="2672">D1160+D1162</f>
        <v>4239</v>
      </c>
      <c r="E1166" s="744">
        <f t="shared" si="2672"/>
        <v>4150</v>
      </c>
      <c r="F1166" s="744">
        <f t="shared" si="2672"/>
        <v>3967</v>
      </c>
      <c r="G1166" s="744">
        <f t="shared" si="2672"/>
        <v>3989</v>
      </c>
      <c r="H1166" s="744">
        <f t="shared" si="2672"/>
        <v>3978</v>
      </c>
      <c r="I1166" s="744">
        <f t="shared" si="2672"/>
        <v>3901</v>
      </c>
      <c r="J1166" s="744">
        <f t="shared" si="2672"/>
        <v>3981</v>
      </c>
      <c r="K1166" s="744">
        <f t="shared" si="2672"/>
        <v>3842</v>
      </c>
      <c r="L1166" s="744">
        <f t="shared" si="2672"/>
        <v>3690</v>
      </c>
      <c r="M1166" s="744">
        <f t="shared" si="2672"/>
        <v>3562</v>
      </c>
      <c r="N1166" s="744">
        <f t="shared" si="2672"/>
        <v>3485</v>
      </c>
      <c r="O1166" s="744">
        <f t="shared" si="2672"/>
        <v>3477</v>
      </c>
      <c r="P1166" s="744">
        <f t="shared" si="2672"/>
        <v>3539</v>
      </c>
      <c r="Q1166" s="744">
        <f t="shared" si="2672"/>
        <v>3350</v>
      </c>
      <c r="R1166" s="744">
        <f t="shared" si="2672"/>
        <v>3604</v>
      </c>
      <c r="S1166" s="744">
        <f t="shared" si="2672"/>
        <v>4158</v>
      </c>
      <c r="T1166" s="744">
        <f t="shared" si="2672"/>
        <v>4341</v>
      </c>
      <c r="U1166" s="744">
        <f t="shared" si="2672"/>
        <v>4262</v>
      </c>
      <c r="V1166" s="744">
        <f t="shared" si="2672"/>
        <v>4115</v>
      </c>
      <c r="W1166" s="744">
        <f t="shared" si="2672"/>
        <v>4085</v>
      </c>
      <c r="X1166" s="744">
        <f t="shared" si="2672"/>
        <v>3871</v>
      </c>
      <c r="Y1166" s="744">
        <f t="shared" ref="Y1166:Z1166" si="2673">Y1160+Y1162</f>
        <v>3876</v>
      </c>
      <c r="Z1166" s="744">
        <f t="shared" si="2673"/>
        <v>3671</v>
      </c>
      <c r="AA1166" s="744">
        <f t="shared" ref="AA1166" si="2674">AA1160+AA1162</f>
        <v>3711</v>
      </c>
      <c r="AB1166" s="744">
        <f t="shared" ref="AB1166" si="2675">AB1160+AB1162</f>
        <v>3573</v>
      </c>
      <c r="AC1166" s="345"/>
      <c r="AD1166" s="345"/>
      <c r="AE1166" s="345"/>
      <c r="AF1166" s="345"/>
      <c r="AG1166" s="345"/>
      <c r="AH1166" s="345"/>
      <c r="AR1166" s="70"/>
      <c r="AS1166" s="315" t="s">
        <v>330</v>
      </c>
      <c r="AT1166" s="321"/>
      <c r="AU1166" s="649">
        <f>AU1160+AU1162</f>
        <v>3989</v>
      </c>
      <c r="AV1166" s="649">
        <f>AV1160+AV1162</f>
        <v>3842</v>
      </c>
      <c r="AW1166" s="649">
        <f>AW1160+AW1162</f>
        <v>3477</v>
      </c>
      <c r="AX1166" s="649">
        <f>AX1160+AX1162</f>
        <v>4158</v>
      </c>
      <c r="AY1166" s="649">
        <f>AY1160+AY1162</f>
        <v>4085</v>
      </c>
      <c r="AZ1166" s="649"/>
      <c r="BA1166" s="649"/>
      <c r="BB1166" s="649"/>
      <c r="BM1166"/>
      <c r="BN1166"/>
      <c r="BO1166"/>
      <c r="BP1166"/>
      <c r="BQ1166"/>
      <c r="BR1166"/>
    </row>
    <row r="1167" spans="1:70" s="342" customFormat="1" x14ac:dyDescent="0.2">
      <c r="A1167" s="830"/>
      <c r="B1167" s="315"/>
      <c r="C1167" s="321"/>
      <c r="D1167" s="744"/>
      <c r="E1167" s="744"/>
      <c r="F1167" s="744"/>
      <c r="G1167" s="744"/>
      <c r="H1167" s="744"/>
      <c r="I1167" s="744"/>
      <c r="J1167" s="744"/>
      <c r="K1167" s="744"/>
      <c r="L1167" s="744"/>
      <c r="M1167" s="744"/>
      <c r="N1167" s="744"/>
      <c r="O1167" s="744"/>
      <c r="P1167" s="744"/>
      <c r="Q1167" s="744"/>
      <c r="R1167" s="744"/>
      <c r="S1167" s="744"/>
      <c r="T1167" s="744"/>
      <c r="U1167" s="744"/>
      <c r="V1167" s="744"/>
      <c r="W1167" s="744"/>
      <c r="X1167" s="712"/>
      <c r="Y1167" s="712"/>
      <c r="Z1167" s="345"/>
      <c r="AA1167" s="345"/>
      <c r="AB1167" s="345"/>
      <c r="AC1167" s="345"/>
      <c r="AD1167" s="345"/>
      <c r="AE1167" s="345"/>
      <c r="AF1167" s="345"/>
      <c r="AG1167" s="345"/>
      <c r="AH1167" s="345"/>
      <c r="AR1167" s="70"/>
      <c r="AS1167" s="315"/>
      <c r="AT1167" s="321"/>
      <c r="AU1167" s="649"/>
      <c r="AV1167" s="649"/>
      <c r="AW1167" s="649"/>
      <c r="AX1167" s="649"/>
      <c r="AY1167" s="649"/>
      <c r="AZ1167" s="649"/>
      <c r="BA1167" s="649"/>
      <c r="BB1167" s="649"/>
      <c r="BM1167"/>
      <c r="BN1167"/>
      <c r="BO1167"/>
      <c r="BP1167"/>
      <c r="BQ1167"/>
      <c r="BR1167"/>
    </row>
    <row r="1168" spans="1:70" s="342" customFormat="1" x14ac:dyDescent="0.2">
      <c r="A1168" s="830"/>
      <c r="B1168" s="315"/>
      <c r="C1168" s="321"/>
      <c r="D1168" s="744"/>
      <c r="E1168" s="744"/>
      <c r="F1168" s="744"/>
      <c r="G1168" s="744"/>
      <c r="H1168" s="744"/>
      <c r="I1168" s="744"/>
      <c r="J1168" s="744"/>
      <c r="K1168" s="744"/>
      <c r="L1168" s="744"/>
      <c r="M1168" s="744"/>
      <c r="N1168" s="744"/>
      <c r="O1168" s="744"/>
      <c r="P1168" s="744"/>
      <c r="Q1168" s="744"/>
      <c r="R1168" s="744"/>
      <c r="S1168" s="744"/>
      <c r="T1168" s="744"/>
      <c r="U1168" s="744"/>
      <c r="V1168" s="744"/>
      <c r="W1168" s="744"/>
      <c r="X1168" s="712"/>
      <c r="Y1168" s="712"/>
      <c r="Z1168" s="345"/>
      <c r="AA1168" s="345"/>
      <c r="AB1168" s="345"/>
      <c r="AC1168" s="345"/>
      <c r="AD1168" s="345"/>
      <c r="AE1168" s="345"/>
      <c r="AF1168" s="345"/>
      <c r="AG1168" s="345"/>
      <c r="AH1168" s="345"/>
      <c r="AR1168" s="70"/>
      <c r="AS1168" s="315"/>
      <c r="AT1168" s="321"/>
      <c r="AU1168" s="345"/>
      <c r="BM1168"/>
      <c r="BN1168"/>
      <c r="BO1168"/>
      <c r="BP1168"/>
      <c r="BQ1168"/>
      <c r="BR1168"/>
    </row>
    <row r="1169" spans="1:70" s="342" customFormat="1" x14ac:dyDescent="0.2">
      <c r="A1169" s="830"/>
      <c r="B1169" s="705" t="s">
        <v>333</v>
      </c>
      <c r="C1169" s="706"/>
      <c r="D1169" s="706"/>
      <c r="E1169" s="706"/>
      <c r="F1169" s="706"/>
      <c r="G1169" s="706"/>
      <c r="H1169" s="706"/>
      <c r="I1169" s="707"/>
      <c r="J1169" s="708"/>
      <c r="K1169" s="707"/>
      <c r="L1169" s="708"/>
      <c r="M1169" s="707"/>
      <c r="N1169" s="707"/>
      <c r="O1169" s="707"/>
      <c r="P1169" s="708"/>
      <c r="Q1169" s="705"/>
      <c r="R1169" s="705"/>
      <c r="S1169" s="705"/>
      <c r="T1169" s="705"/>
      <c r="U1169" s="705"/>
      <c r="V1169" s="705"/>
      <c r="W1169" s="705"/>
      <c r="X1169" s="705"/>
      <c r="Y1169" s="705"/>
      <c r="Z1169" s="709"/>
      <c r="AA1169" s="709"/>
      <c r="AB1169" s="709"/>
      <c r="AC1169" s="709"/>
      <c r="AD1169" s="709"/>
      <c r="AE1169" s="709"/>
      <c r="AF1169" s="709"/>
      <c r="AG1169" s="709"/>
      <c r="AH1169" s="709"/>
      <c r="AI1169" s="706"/>
      <c r="AJ1169" s="706"/>
      <c r="AK1169" s="706"/>
      <c r="AL1169" s="706"/>
      <c r="AM1169" s="706"/>
      <c r="AN1169" s="706"/>
      <c r="AO1169" s="706"/>
      <c r="AP1169" s="706"/>
      <c r="AQ1169" s="706"/>
      <c r="AR1169" s="70"/>
      <c r="AS1169" s="705" t="s">
        <v>333</v>
      </c>
      <c r="AT1169" s="706"/>
      <c r="AU1169" s="706"/>
      <c r="AV1169" s="706"/>
      <c r="AW1169" s="706"/>
      <c r="AX1169" s="706"/>
      <c r="AY1169" s="706"/>
      <c r="AZ1169" s="707"/>
      <c r="BA1169" s="708"/>
      <c r="BB1169" s="708"/>
      <c r="BC1169" s="708"/>
      <c r="BD1169" s="708"/>
      <c r="BE1169" s="707"/>
      <c r="BF1169" s="720"/>
      <c r="BG1169" s="720"/>
      <c r="BH1169" s="723"/>
      <c r="BI1169" s="712"/>
      <c r="BJ1169" s="712"/>
      <c r="BK1169" s="712"/>
      <c r="BL1169" s="712"/>
      <c r="BM1169"/>
      <c r="BN1169"/>
      <c r="BO1169"/>
      <c r="BP1169"/>
      <c r="BQ1169"/>
      <c r="BR1169"/>
    </row>
    <row r="1170" spans="1:70" s="342" customFormat="1" x14ac:dyDescent="0.2">
      <c r="A1170" s="830"/>
      <c r="B1170" s="755" t="s">
        <v>334</v>
      </c>
      <c r="D1170" s="587">
        <f t="shared" ref="D1170:X1170" si="2676">D1145/(D999*1000)</f>
        <v>6.2567698259187621E-2</v>
      </c>
      <c r="E1170" s="587">
        <f t="shared" si="2676"/>
        <v>6.0430504305043049E-2</v>
      </c>
      <c r="F1170" s="587">
        <f t="shared" si="2676"/>
        <v>5.6819753086419754E-2</v>
      </c>
      <c r="G1170" s="587">
        <f t="shared" si="2676"/>
        <v>5.5655495317890581E-2</v>
      </c>
      <c r="H1170" s="587">
        <f t="shared" si="2676"/>
        <v>5.3223667431777616E-2</v>
      </c>
      <c r="I1170" s="587">
        <f t="shared" si="2676"/>
        <v>4.9575197889182056E-2</v>
      </c>
      <c r="J1170" s="587">
        <f t="shared" si="2676"/>
        <v>4.6365764828303853E-2</v>
      </c>
      <c r="K1170" s="587">
        <f t="shared" si="2676"/>
        <v>4.3489623366641042E-2</v>
      </c>
      <c r="L1170" s="587">
        <f t="shared" si="2676"/>
        <v>4.3029427220178662E-2</v>
      </c>
      <c r="M1170" s="587">
        <f t="shared" si="2676"/>
        <v>4.063404367271771E-2</v>
      </c>
      <c r="N1170" s="587">
        <f t="shared" si="2676"/>
        <v>3.9019080892233271E-2</v>
      </c>
      <c r="O1170" s="587">
        <f t="shared" si="2676"/>
        <v>3.7054157549234135E-2</v>
      </c>
      <c r="P1170" s="587">
        <f t="shared" si="2676"/>
        <v>3.5720213396561944E-2</v>
      </c>
      <c r="Q1170" s="587">
        <f t="shared" si="2676"/>
        <v>3.4533885765019229E-2</v>
      </c>
      <c r="R1170" s="587">
        <f t="shared" si="2676"/>
        <v>3.3536029188203101E-2</v>
      </c>
      <c r="S1170" s="587">
        <f t="shared" si="2676"/>
        <v>3.0215053763440861E-2</v>
      </c>
      <c r="T1170" s="587">
        <f t="shared" si="2676"/>
        <v>3.0878463476070529E-2</v>
      </c>
      <c r="U1170" s="587">
        <f t="shared" si="2676"/>
        <v>2.8923643054277828E-2</v>
      </c>
      <c r="V1170" s="587">
        <f t="shared" si="2676"/>
        <v>2.9454933008526189E-2</v>
      </c>
      <c r="W1170" s="587">
        <f t="shared" si="2676"/>
        <v>2.878498923408182E-2</v>
      </c>
      <c r="X1170" s="587">
        <f t="shared" si="2676"/>
        <v>2.9616344354335619E-2</v>
      </c>
      <c r="Y1170" s="587">
        <f t="shared" ref="Y1170:Z1170" si="2677">Y1145/(Y999*1000)</f>
        <v>2.9258917589175891E-2</v>
      </c>
      <c r="Z1170" s="587">
        <f t="shared" si="2677"/>
        <v>3.0390168970814136E-2</v>
      </c>
      <c r="AA1170" s="587">
        <f t="shared" ref="AA1170" si="2678">AA1145/(AA999*1000)</f>
        <v>2.9583333333333333E-2</v>
      </c>
      <c r="AB1170" s="587">
        <f t="shared" ref="AB1170" si="2679">AB1145/(AB999*1000)</f>
        <v>3.088923076923077E-2</v>
      </c>
      <c r="AC1170" s="345"/>
      <c r="AD1170" s="345"/>
      <c r="AE1170" s="345"/>
      <c r="AF1170" s="345"/>
      <c r="AG1170" s="345"/>
      <c r="AH1170" s="345"/>
      <c r="AR1170" s="70"/>
      <c r="AS1170" s="755" t="s">
        <v>334</v>
      </c>
      <c r="AU1170" s="587">
        <f>AU1145/(AU999*1000)</f>
        <v>5.5655495317890581E-2</v>
      </c>
      <c r="AV1170" s="587">
        <f>AV1145/(AV999*1000)</f>
        <v>4.3489623366641042E-2</v>
      </c>
      <c r="AW1170" s="587">
        <f>AW1145/(AW999*1000)</f>
        <v>3.7054157549234135E-2</v>
      </c>
      <c r="AX1170" s="587">
        <f>AX1145/(AX999*1000)</f>
        <v>3.0215053763440861E-2</v>
      </c>
      <c r="AY1170" s="587">
        <f>AY1145/(AY999*1000)</f>
        <v>2.878498923408182E-2</v>
      </c>
      <c r="AZ1170" s="587"/>
      <c r="BA1170" s="587"/>
      <c r="BB1170" s="587"/>
      <c r="BM1170"/>
      <c r="BN1170"/>
      <c r="BO1170"/>
      <c r="BP1170"/>
      <c r="BQ1170"/>
      <c r="BR1170"/>
    </row>
    <row r="1171" spans="1:70" s="342" customFormat="1" x14ac:dyDescent="0.2">
      <c r="A1171" s="830"/>
      <c r="B1171" s="755" t="s">
        <v>335</v>
      </c>
      <c r="D1171" s="587">
        <f t="shared" ref="D1171:X1171" si="2680">D1160/(D1006*1000)</f>
        <v>1.3398720682302773E-2</v>
      </c>
      <c r="E1171" s="587">
        <f t="shared" si="2680"/>
        <v>1.2257545271629779E-2</v>
      </c>
      <c r="F1171" s="587">
        <f t="shared" si="2680"/>
        <v>1.1455621301775147E-2</v>
      </c>
      <c r="G1171" s="587">
        <f t="shared" si="2680"/>
        <v>1.1498397435897437E-2</v>
      </c>
      <c r="H1171" s="587">
        <f t="shared" si="2680"/>
        <v>1.1243115656963022E-2</v>
      </c>
      <c r="I1171" s="587">
        <f t="shared" si="2680"/>
        <v>1.0544012089157534E-2</v>
      </c>
      <c r="J1171" s="587">
        <f t="shared" si="2680"/>
        <v>1.0183016105417277E-2</v>
      </c>
      <c r="K1171" s="587">
        <f t="shared" si="2680"/>
        <v>9.7165697674418596E-3</v>
      </c>
      <c r="L1171" s="587">
        <f t="shared" si="2680"/>
        <v>8.9774330042313114E-3</v>
      </c>
      <c r="M1171" s="587">
        <f t="shared" si="2680"/>
        <v>8.507306889352818E-3</v>
      </c>
      <c r="N1171" s="587">
        <f t="shared" si="2680"/>
        <v>8.505502307419241E-3</v>
      </c>
      <c r="O1171" s="587">
        <f t="shared" si="2680"/>
        <v>8.7706093189964165E-3</v>
      </c>
      <c r="P1171" s="587">
        <f t="shared" si="2680"/>
        <v>8.9774330042313132E-3</v>
      </c>
      <c r="Q1171" s="587">
        <f t="shared" si="2680"/>
        <v>8.1781101291638347E-3</v>
      </c>
      <c r="R1171" s="587">
        <f t="shared" si="2680"/>
        <v>8.8449744463373076E-3</v>
      </c>
      <c r="S1171" s="587">
        <f t="shared" si="2680"/>
        <v>9.551676933607119E-3</v>
      </c>
      <c r="T1171" s="587">
        <f t="shared" si="2680"/>
        <v>9.6415532691669446E-3</v>
      </c>
      <c r="U1171" s="587">
        <f t="shared" si="2680"/>
        <v>9.3428757319453468E-3</v>
      </c>
      <c r="V1171" s="587">
        <f t="shared" si="2680"/>
        <v>8.9197033215091901E-3</v>
      </c>
      <c r="W1171" s="587">
        <f t="shared" si="2680"/>
        <v>9.0277313732041436E-3</v>
      </c>
      <c r="X1171" s="587">
        <f t="shared" si="2680"/>
        <v>8.2305194805194805E-3</v>
      </c>
      <c r="Y1171" s="587">
        <f t="shared" ref="Y1171:Z1171" si="2681">Y1160/(Y1006*1000)</f>
        <v>7.8584846587351261E-3</v>
      </c>
      <c r="Z1171" s="587">
        <f t="shared" si="2681"/>
        <v>7.5518925518925518E-3</v>
      </c>
      <c r="AA1171" s="587">
        <f t="shared" ref="AA1171" si="2682">AA1160/(AA1006*1000)</f>
        <v>7.4565086982603468E-3</v>
      </c>
      <c r="AB1171" s="587">
        <f t="shared" ref="AB1171" si="2683">AB1160/(AB1006*1000)</f>
        <v>6.654210980166715E-3</v>
      </c>
      <c r="AC1171" s="345"/>
      <c r="AD1171" s="345"/>
      <c r="AE1171" s="345"/>
      <c r="AF1171" s="345"/>
      <c r="AG1171" s="345"/>
      <c r="AH1171" s="345"/>
      <c r="AR1171" s="70"/>
      <c r="AS1171" s="755" t="s">
        <v>335</v>
      </c>
      <c r="AU1171" s="587">
        <f>AU1160/(AU1006*1000)</f>
        <v>1.1498397435897437E-2</v>
      </c>
      <c r="AV1171" s="587">
        <f>AV1160/(AV1006*1000)</f>
        <v>9.7165697674418596E-3</v>
      </c>
      <c r="AW1171" s="587">
        <f>AW1160/(AW1006*1000)</f>
        <v>8.7706093189964165E-3</v>
      </c>
      <c r="AX1171" s="587">
        <f>AX1160/(AX1006*1000)</f>
        <v>9.551676933607119E-3</v>
      </c>
      <c r="AY1171" s="587">
        <f>AY1160/(AY1006*1000)</f>
        <v>9.0277313732041436E-3</v>
      </c>
      <c r="AZ1171" s="587"/>
      <c r="BA1171" s="587"/>
      <c r="BB1171" s="587"/>
      <c r="BM1171"/>
      <c r="BN1171"/>
      <c r="BO1171"/>
      <c r="BP1171"/>
      <c r="BQ1171"/>
      <c r="BR1171"/>
    </row>
    <row r="1172" spans="1:70" s="342" customFormat="1" x14ac:dyDescent="0.2">
      <c r="A1172" s="830"/>
      <c r="B1172" s="342" t="s">
        <v>136</v>
      </c>
      <c r="D1172" s="587">
        <f t="shared" ref="D1172:AE1172" si="2684">D1130/(D1008*1000)</f>
        <v>4.4777040580157385E-2</v>
      </c>
      <c r="E1172" s="587">
        <f t="shared" si="2684"/>
        <v>4.2154198473282445E-2</v>
      </c>
      <c r="F1172" s="587">
        <f t="shared" si="2684"/>
        <v>3.9356112376613517E-2</v>
      </c>
      <c r="G1172" s="587">
        <f t="shared" si="2684"/>
        <v>3.8838877021666149E-2</v>
      </c>
      <c r="H1172" s="587">
        <f t="shared" si="2684"/>
        <v>3.6712053226056009E-2</v>
      </c>
      <c r="I1172" s="587">
        <f t="shared" si="2684"/>
        <v>3.3524933975454405E-2</v>
      </c>
      <c r="J1172" s="587">
        <f t="shared" si="2684"/>
        <v>3.1333637469586381E-2</v>
      </c>
      <c r="K1172" s="587">
        <f t="shared" si="2684"/>
        <v>2.9523666416228399E-2</v>
      </c>
      <c r="L1172" s="587">
        <f t="shared" si="2684"/>
        <v>2.8489912676904545E-2</v>
      </c>
      <c r="M1172" s="587">
        <f t="shared" si="2684"/>
        <v>2.6801498127340825E-2</v>
      </c>
      <c r="N1172" s="587">
        <f t="shared" si="2684"/>
        <v>2.587182624655858E-2</v>
      </c>
      <c r="O1172" s="587">
        <f t="shared" si="2684"/>
        <v>2.4812286689419795E-2</v>
      </c>
      <c r="P1172" s="587">
        <f t="shared" si="2684"/>
        <v>2.3507246376811595E-2</v>
      </c>
      <c r="Q1172" s="587">
        <f t="shared" si="2684"/>
        <v>2.226704635342509E-2</v>
      </c>
      <c r="R1172" s="587">
        <f t="shared" si="2684"/>
        <v>2.1892673521850901E-2</v>
      </c>
      <c r="S1172" s="587">
        <f t="shared" si="2684"/>
        <v>2.0440343208677353E-2</v>
      </c>
      <c r="T1172" s="587">
        <f t="shared" si="2684"/>
        <v>2.0539667151397642E-2</v>
      </c>
      <c r="U1172" s="587">
        <f t="shared" si="2684"/>
        <v>1.942225730071034E-2</v>
      </c>
      <c r="V1172" s="587">
        <f t="shared" si="2684"/>
        <v>1.9481597494126861E-2</v>
      </c>
      <c r="W1172" s="587">
        <f t="shared" si="2684"/>
        <v>1.9314541960281865E-2</v>
      </c>
      <c r="X1172" s="587">
        <f t="shared" si="2684"/>
        <v>1.9137766465160674E-2</v>
      </c>
      <c r="Y1172" s="587">
        <f t="shared" ref="Y1172:Z1172" si="2685">Y1130/(Y1008*1000)</f>
        <v>1.8654979832454236E-2</v>
      </c>
      <c r="Z1172" s="587">
        <f t="shared" si="2685"/>
        <v>1.893431327514929E-2</v>
      </c>
      <c r="AA1172" s="587">
        <f t="shared" ref="AA1172" si="2686">AA1130/(AA1008*1000)</f>
        <v>1.8523238380809597E-2</v>
      </c>
      <c r="AB1172" s="587">
        <f t="shared" ref="AB1172" si="2687">AB1130/(AB1008*1000)</f>
        <v>1.8359340169415962E-2</v>
      </c>
      <c r="AC1172" s="587">
        <f t="shared" si="2684"/>
        <v>1.8413875699966168E-2</v>
      </c>
      <c r="AD1172" s="587">
        <f t="shared" si="2684"/>
        <v>1.8467018718263256E-2</v>
      </c>
      <c r="AE1172" s="587">
        <f t="shared" si="2684"/>
        <v>1.8474011961695239E-2</v>
      </c>
      <c r="AF1172" s="587">
        <f t="shared" ref="AF1172:AI1172" si="2688">AF1130/(AF1008*1000)</f>
        <v>1.8581060092038432E-2</v>
      </c>
      <c r="AG1172" s="587">
        <f t="shared" si="2688"/>
        <v>1.863587509641311E-2</v>
      </c>
      <c r="AH1172" s="587">
        <f t="shared" si="2688"/>
        <v>1.858995501709005E-2</v>
      </c>
      <c r="AI1172" s="587">
        <f t="shared" si="2688"/>
        <v>1.8486802793987116E-2</v>
      </c>
      <c r="AJ1172" s="587"/>
      <c r="AK1172" s="587"/>
      <c r="AL1172" s="587"/>
      <c r="AM1172" s="587"/>
      <c r="AN1172" s="587"/>
      <c r="AO1172" s="587"/>
      <c r="AP1172" s="587"/>
      <c r="AQ1172" s="587"/>
      <c r="AR1172" s="70"/>
      <c r="AS1172" s="342" t="s">
        <v>136</v>
      </c>
      <c r="AU1172" s="587">
        <f t="shared" ref="AU1172:BD1172" si="2689">AU1130/(AU1008*1000)</f>
        <v>3.8838877021666149E-2</v>
      </c>
      <c r="AV1172" s="587">
        <f t="shared" si="2689"/>
        <v>2.9523666416228399E-2</v>
      </c>
      <c r="AW1172" s="587">
        <f t="shared" si="2689"/>
        <v>2.4812286689419795E-2</v>
      </c>
      <c r="AX1172" s="587">
        <f t="shared" si="2689"/>
        <v>2.0440343208677353E-2</v>
      </c>
      <c r="AY1172" s="587">
        <f t="shared" si="2689"/>
        <v>1.9314541960281865E-2</v>
      </c>
      <c r="AZ1172" s="587">
        <f t="shared" si="2689"/>
        <v>1.8523238380809597E-2</v>
      </c>
      <c r="BA1172" s="587">
        <f t="shared" si="2689"/>
        <v>1.8474011961695239E-2</v>
      </c>
      <c r="BB1172" s="587">
        <f t="shared" ref="BB1172" si="2690">BB1130/(BB1008*1000)</f>
        <v>1.8486802793987116E-2</v>
      </c>
      <c r="BC1172" s="587">
        <f t="shared" si="2689"/>
        <v>1.8723165418556849E-2</v>
      </c>
      <c r="BD1172" s="587">
        <f t="shared" si="2689"/>
        <v>1.8977959548122578E-2</v>
      </c>
      <c r="BE1172" s="587">
        <f t="shared" ref="BE1172" si="2691">BE1130/(BE1008*1000)</f>
        <v>1.9364308520718191E-2</v>
      </c>
      <c r="BM1172"/>
      <c r="BN1172"/>
      <c r="BO1172"/>
      <c r="BP1172"/>
      <c r="BQ1172"/>
      <c r="BR1172"/>
    </row>
    <row r="1173" spans="1:70" s="550" customFormat="1" x14ac:dyDescent="0.2">
      <c r="A1173" s="829"/>
      <c r="B1173" s="735"/>
      <c r="C1173" s="735"/>
      <c r="D1173" s="735"/>
      <c r="E1173" s="740"/>
      <c r="F1173" s="740"/>
      <c r="G1173" s="740"/>
      <c r="H1173" s="740"/>
      <c r="I1173" s="740"/>
      <c r="J1173" s="740"/>
      <c r="K1173" s="740"/>
      <c r="L1173" s="740"/>
      <c r="M1173" s="740"/>
      <c r="N1173" s="740"/>
      <c r="O1173" s="740"/>
      <c r="P1173" s="740"/>
      <c r="Q1173" s="740"/>
      <c r="R1173" s="740"/>
      <c r="S1173" s="740"/>
      <c r="T1173" s="740"/>
      <c r="U1173" s="740"/>
      <c r="V1173" s="740"/>
      <c r="W1173" s="740"/>
      <c r="X1173" s="740"/>
      <c r="Y1173" s="740"/>
      <c r="Z1173" s="351"/>
      <c r="AA1173" s="351"/>
      <c r="AB1173" s="351"/>
      <c r="AC1173" s="740"/>
      <c r="AD1173" s="756"/>
      <c r="AE1173" s="756"/>
      <c r="AF1173" s="756"/>
      <c r="AG1173" s="756"/>
      <c r="AH1173" s="756"/>
      <c r="AI1173" s="740"/>
      <c r="AJ1173" s="740"/>
      <c r="AK1173" s="740"/>
      <c r="AL1173" s="740"/>
      <c r="AM1173" s="740"/>
      <c r="AN1173" s="740"/>
      <c r="AO1173" s="740"/>
      <c r="AP1173" s="740"/>
      <c r="AQ1173" s="740"/>
      <c r="AR1173" s="70"/>
      <c r="AS1173" s="735"/>
      <c r="AT1173" s="735"/>
      <c r="AU1173" s="351"/>
      <c r="AV1173" s="742"/>
      <c r="AW1173" s="416"/>
      <c r="AX1173" s="742"/>
      <c r="AY1173" s="369"/>
      <c r="BM1173"/>
      <c r="BN1173"/>
      <c r="BO1173"/>
      <c r="BP1173"/>
      <c r="BQ1173"/>
      <c r="BR1173"/>
    </row>
    <row r="1174" spans="1:70" s="550" customFormat="1" x14ac:dyDescent="0.2">
      <c r="A1174" s="829"/>
      <c r="B1174" s="735"/>
      <c r="C1174" s="735"/>
      <c r="D1174" s="735"/>
      <c r="E1174" s="740"/>
      <c r="F1174" s="740"/>
      <c r="G1174" s="740"/>
      <c r="H1174" s="740"/>
      <c r="I1174" s="740"/>
      <c r="J1174" s="740"/>
      <c r="K1174" s="740"/>
      <c r="L1174" s="740"/>
      <c r="M1174" s="740"/>
      <c r="N1174" s="740"/>
      <c r="O1174" s="740"/>
      <c r="P1174" s="740"/>
      <c r="Q1174" s="740"/>
      <c r="R1174" s="740"/>
      <c r="S1174" s="740"/>
      <c r="T1174" s="740"/>
      <c r="U1174" s="740"/>
      <c r="V1174" s="740"/>
      <c r="W1174" s="740"/>
      <c r="X1174" s="740"/>
      <c r="Y1174" s="735"/>
      <c r="Z1174" s="351"/>
      <c r="AA1174" s="351"/>
      <c r="AB1174" s="351"/>
      <c r="AC1174" s="740"/>
      <c r="AD1174" s="756"/>
      <c r="AE1174" s="756"/>
      <c r="AF1174" s="756"/>
      <c r="AG1174" s="756"/>
      <c r="AH1174" s="756"/>
      <c r="AI1174" s="740"/>
      <c r="AJ1174" s="740"/>
      <c r="AK1174" s="740"/>
      <c r="AL1174" s="740"/>
      <c r="AM1174" s="740"/>
      <c r="AN1174" s="740"/>
      <c r="AO1174" s="740"/>
      <c r="AP1174" s="740"/>
      <c r="AQ1174" s="740"/>
      <c r="AR1174" s="70"/>
      <c r="AS1174" s="735"/>
      <c r="AT1174" s="735"/>
      <c r="AU1174" s="351"/>
      <c r="AV1174" s="742"/>
      <c r="AW1174" s="416"/>
      <c r="AX1174" s="742"/>
      <c r="AY1174" s="369"/>
      <c r="BM1174"/>
      <c r="BN1174"/>
      <c r="BO1174"/>
      <c r="BP1174"/>
      <c r="BQ1174"/>
      <c r="BR1174"/>
    </row>
    <row r="1175" spans="1:70" s="342" customFormat="1" x14ac:dyDescent="0.2">
      <c r="A1175" s="830"/>
      <c r="B1175" s="705" t="s">
        <v>58</v>
      </c>
      <c r="C1175" s="706"/>
      <c r="D1175" s="706"/>
      <c r="E1175" s="706"/>
      <c r="F1175" s="706"/>
      <c r="G1175" s="706"/>
      <c r="H1175" s="706"/>
      <c r="I1175" s="707"/>
      <c r="J1175" s="708"/>
      <c r="K1175" s="707"/>
      <c r="L1175" s="708"/>
      <c r="M1175" s="707"/>
      <c r="N1175" s="707"/>
      <c r="O1175" s="707"/>
      <c r="P1175" s="708"/>
      <c r="Q1175" s="705"/>
      <c r="R1175" s="705"/>
      <c r="S1175" s="705"/>
      <c r="T1175" s="705"/>
      <c r="U1175" s="705"/>
      <c r="V1175" s="705"/>
      <c r="W1175" s="705"/>
      <c r="X1175" s="705"/>
      <c r="Y1175" s="707"/>
      <c r="Z1175" s="709"/>
      <c r="AA1175" s="709"/>
      <c r="AB1175" s="709"/>
      <c r="AC1175" s="709"/>
      <c r="AD1175" s="709"/>
      <c r="AE1175" s="709"/>
      <c r="AF1175" s="709"/>
      <c r="AG1175" s="709"/>
      <c r="AH1175" s="709"/>
      <c r="AI1175" s="706"/>
      <c r="AJ1175" s="706"/>
      <c r="AK1175" s="706"/>
      <c r="AL1175" s="706"/>
      <c r="AM1175" s="706"/>
      <c r="AN1175" s="706"/>
      <c r="AO1175" s="706"/>
      <c r="AP1175" s="706"/>
      <c r="AQ1175" s="706"/>
      <c r="AR1175" s="70"/>
      <c r="AS1175" s="705" t="s">
        <v>58</v>
      </c>
      <c r="AT1175" s="706"/>
      <c r="AU1175" s="706"/>
      <c r="AV1175" s="706"/>
      <c r="AW1175" s="706"/>
      <c r="AX1175" s="706"/>
      <c r="AY1175" s="706"/>
      <c r="AZ1175" s="707"/>
      <c r="BA1175" s="708"/>
      <c r="BB1175" s="708"/>
      <c r="BC1175" s="708"/>
      <c r="BD1175" s="708"/>
      <c r="BE1175" s="707"/>
      <c r="BF1175" s="720"/>
      <c r="BG1175" s="720"/>
      <c r="BH1175" s="723"/>
      <c r="BI1175" s="712"/>
      <c r="BJ1175" s="712"/>
      <c r="BK1175" s="712"/>
      <c r="BL1175" s="712"/>
      <c r="BM1175"/>
      <c r="BN1175"/>
      <c r="BO1175"/>
      <c r="BP1175"/>
      <c r="BQ1175"/>
      <c r="BR1175"/>
    </row>
    <row r="1176" spans="1:70" s="550" customFormat="1" x14ac:dyDescent="0.2">
      <c r="A1176" s="829"/>
      <c r="B1176" s="735"/>
      <c r="C1176" s="735"/>
      <c r="D1176" s="735"/>
      <c r="E1176" s="740"/>
      <c r="F1176" s="740"/>
      <c r="G1176" s="740"/>
      <c r="H1176" s="740"/>
      <c r="I1176" s="740"/>
      <c r="J1176" s="740"/>
      <c r="K1176" s="740"/>
      <c r="L1176" s="740"/>
      <c r="M1176" s="740"/>
      <c r="N1176" s="740"/>
      <c r="O1176" s="740"/>
      <c r="P1176" s="740"/>
      <c r="Q1176" s="740"/>
      <c r="R1176" s="740"/>
      <c r="S1176" s="740"/>
      <c r="T1176" s="740"/>
      <c r="U1176" s="740"/>
      <c r="V1176" s="740"/>
      <c r="W1176" s="740"/>
      <c r="X1176" s="740"/>
      <c r="Y1176" s="735"/>
      <c r="Z1176" s="351"/>
      <c r="AA1176" s="351"/>
      <c r="AB1176" s="351"/>
      <c r="AC1176" s="740"/>
      <c r="AD1176" s="756"/>
      <c r="AE1176" s="756"/>
      <c r="AF1176" s="756"/>
      <c r="AG1176" s="756"/>
      <c r="AH1176" s="756"/>
      <c r="AI1176" s="740"/>
      <c r="AJ1176" s="740"/>
      <c r="AK1176" s="740"/>
      <c r="AL1176" s="740"/>
      <c r="AM1176" s="740"/>
      <c r="AN1176" s="740"/>
      <c r="AO1176" s="740"/>
      <c r="AP1176" s="740"/>
      <c r="AQ1176" s="740"/>
      <c r="AR1176" s="70"/>
      <c r="AS1176" s="735"/>
      <c r="AT1176" s="735"/>
      <c r="AU1176" s="351"/>
      <c r="AV1176" s="742"/>
      <c r="AW1176" s="416"/>
      <c r="AX1176" s="742"/>
      <c r="AY1176" s="369"/>
      <c r="BM1176"/>
      <c r="BN1176"/>
      <c r="BO1176"/>
      <c r="BP1176"/>
      <c r="BQ1176"/>
      <c r="BR1176"/>
    </row>
    <row r="1177" spans="1:70" s="369" customFormat="1" x14ac:dyDescent="0.2">
      <c r="A1177" s="411"/>
      <c r="B1177" s="85" t="s">
        <v>100</v>
      </c>
      <c r="C1177" s="757"/>
      <c r="D1177" s="758"/>
      <c r="E1177" s="758"/>
      <c r="F1177" s="758"/>
      <c r="G1177" s="758"/>
      <c r="H1177" s="758"/>
      <c r="I1177" s="758"/>
      <c r="J1177" s="758"/>
      <c r="K1177" s="758"/>
      <c r="L1177" s="758"/>
      <c r="M1177" s="758"/>
      <c r="N1177" s="758"/>
      <c r="O1177" s="758"/>
      <c r="P1177" s="758"/>
      <c r="Q1177" s="758"/>
      <c r="R1177" s="758"/>
      <c r="S1177" s="758"/>
      <c r="T1177" s="758"/>
      <c r="U1177" s="758"/>
      <c r="V1177" s="758"/>
      <c r="W1177" s="758"/>
      <c r="Y1177" s="759"/>
      <c r="Z1177" s="760"/>
      <c r="AA1177" s="760"/>
      <c r="AB1177" s="760"/>
      <c r="AC1177" s="758"/>
      <c r="AD1177" s="760"/>
      <c r="AE1177" s="760"/>
      <c r="AF1177" s="760"/>
      <c r="AG1177" s="760"/>
      <c r="AH1177" s="760"/>
      <c r="AI1177" s="758"/>
      <c r="AJ1177" s="758"/>
      <c r="AK1177" s="758"/>
      <c r="AL1177" s="758"/>
      <c r="AM1177" s="758"/>
      <c r="AN1177" s="758"/>
      <c r="AO1177" s="758"/>
      <c r="AP1177" s="758"/>
      <c r="AQ1177" s="758"/>
      <c r="AR1177" s="70"/>
      <c r="AS1177" s="85" t="s">
        <v>100</v>
      </c>
      <c r="AT1177" s="757"/>
      <c r="AU1177" s="448"/>
      <c r="AV1177" s="758"/>
      <c r="AX1177" s="761"/>
      <c r="BM1177"/>
      <c r="BN1177"/>
      <c r="BO1177"/>
      <c r="BP1177"/>
      <c r="BQ1177"/>
      <c r="BR1177"/>
    </row>
    <row r="1178" spans="1:70" s="369" customFormat="1" x14ac:dyDescent="0.2">
      <c r="A1178" s="842"/>
      <c r="B1178" s="321" t="s">
        <v>481</v>
      </c>
      <c r="C1178" s="321"/>
      <c r="D1178" s="69">
        <f t="shared" ref="D1178:AE1178" si="2692">D1183+D1200+D1213</f>
        <v>1278</v>
      </c>
      <c r="E1178" s="69">
        <f t="shared" si="2692"/>
        <v>1151</v>
      </c>
      <c r="F1178" s="69">
        <f t="shared" si="2692"/>
        <v>1328</v>
      </c>
      <c r="G1178" s="69">
        <f t="shared" si="2692"/>
        <v>1640</v>
      </c>
      <c r="H1178" s="69">
        <f t="shared" si="2692"/>
        <v>1464</v>
      </c>
      <c r="I1178" s="69">
        <f t="shared" si="2692"/>
        <v>1460</v>
      </c>
      <c r="J1178" s="69">
        <f t="shared" si="2692"/>
        <v>1536</v>
      </c>
      <c r="K1178" s="69">
        <f t="shared" si="2692"/>
        <v>1647</v>
      </c>
      <c r="L1178" s="69">
        <f t="shared" si="2692"/>
        <v>1463</v>
      </c>
      <c r="M1178" s="69">
        <f t="shared" si="2692"/>
        <v>1368</v>
      </c>
      <c r="N1178" s="69">
        <f t="shared" si="2692"/>
        <v>1281</v>
      </c>
      <c r="O1178" s="69">
        <f t="shared" si="2692"/>
        <v>1399</v>
      </c>
      <c r="P1178" s="69">
        <f t="shared" si="2692"/>
        <v>1368</v>
      </c>
      <c r="Q1178" s="69">
        <f t="shared" si="2692"/>
        <v>1424</v>
      </c>
      <c r="R1178" s="69">
        <f t="shared" si="2692"/>
        <v>1280</v>
      </c>
      <c r="S1178" s="69">
        <f t="shared" si="2692"/>
        <v>1397</v>
      </c>
      <c r="T1178" s="69">
        <f t="shared" si="2692"/>
        <v>1485</v>
      </c>
      <c r="U1178" s="69">
        <f t="shared" si="2692"/>
        <v>1425</v>
      </c>
      <c r="V1178" s="69">
        <f t="shared" si="2692"/>
        <v>1808</v>
      </c>
      <c r="W1178" s="69">
        <f t="shared" si="2692"/>
        <v>1709</v>
      </c>
      <c r="X1178" s="69">
        <f t="shared" si="2692"/>
        <v>1815</v>
      </c>
      <c r="Y1178" s="69">
        <f t="shared" ref="Y1178:Z1178" si="2693">Y1183+Y1200+Y1213</f>
        <v>1762</v>
      </c>
      <c r="Z1178" s="69">
        <f t="shared" si="2693"/>
        <v>2213</v>
      </c>
      <c r="AA1178" s="69">
        <f t="shared" ref="AA1178:AB1178" si="2694">AA1183+AA1200+AA1213</f>
        <v>1851</v>
      </c>
      <c r="AB1178" s="69">
        <f t="shared" si="2694"/>
        <v>1905</v>
      </c>
      <c r="AC1178" s="69">
        <f t="shared" si="2692"/>
        <v>1976.3290670410961</v>
      </c>
      <c r="AD1178" s="69">
        <f t="shared" si="2692"/>
        <v>2073.2323909670058</v>
      </c>
      <c r="AE1178" s="69">
        <f t="shared" si="2692"/>
        <v>2158.5437777031289</v>
      </c>
      <c r="AF1178" s="69">
        <f t="shared" ref="AF1178:AI1178" si="2695">AF1183+AF1200+AF1213</f>
        <v>2113.5765025433739</v>
      </c>
      <c r="AG1178" s="69">
        <f t="shared" si="2695"/>
        <v>2176.2687343571661</v>
      </c>
      <c r="AH1178" s="69">
        <f t="shared" si="2695"/>
        <v>2316.0754854818306</v>
      </c>
      <c r="AI1178" s="69">
        <f t="shared" si="2695"/>
        <v>2425.4247760319163</v>
      </c>
      <c r="AJ1178" s="69"/>
      <c r="AK1178" s="69"/>
      <c r="AL1178" s="69"/>
      <c r="AM1178" s="69"/>
      <c r="AN1178" s="69"/>
      <c r="AO1178" s="69"/>
      <c r="AP1178" s="69"/>
      <c r="AQ1178" s="69"/>
      <c r="AR1178" s="70"/>
      <c r="AS1178" s="321" t="s">
        <v>481</v>
      </c>
      <c r="AT1178" s="321"/>
      <c r="AU1178" s="207">
        <f>SUM(D1178:G1178)</f>
        <v>5397</v>
      </c>
      <c r="AV1178" s="207">
        <f>SUM(H1178:K1178)</f>
        <v>6107</v>
      </c>
      <c r="AW1178" s="207">
        <f>SUM(L1178:O1178)</f>
        <v>5511</v>
      </c>
      <c r="AX1178" s="207">
        <f>SUM(P1178:S1178)</f>
        <v>5469</v>
      </c>
      <c r="AY1178" s="207">
        <f>SUM(T1178:W1178)</f>
        <v>6427</v>
      </c>
      <c r="AZ1178" s="379">
        <f>SUM(X1178:AA1178)</f>
        <v>7641</v>
      </c>
      <c r="BA1178" s="379">
        <f>SUM(AB1178:AE1178)</f>
        <v>8113.1052357112312</v>
      </c>
      <c r="BB1178" s="379">
        <f>SUM(AF1178:AI1178)</f>
        <v>9031.3454984142863</v>
      </c>
      <c r="BC1178" s="69">
        <f t="shared" ref="BC1178:BD1179" si="2696">BC1183+BC1200+BC1213</f>
        <v>10112.742731167547</v>
      </c>
      <c r="BD1178" s="69">
        <f t="shared" si="2696"/>
        <v>11198.233355476939</v>
      </c>
      <c r="BE1178" s="69">
        <f t="shared" ref="BE1178" si="2697">BE1183+BE1200+BE1213</f>
        <v>12423.229162628211</v>
      </c>
      <c r="BM1178"/>
      <c r="BN1178"/>
      <c r="BO1178"/>
      <c r="BP1178"/>
      <c r="BQ1178"/>
      <c r="BR1178"/>
    </row>
    <row r="1179" spans="1:70" s="369" customFormat="1" x14ac:dyDescent="0.2">
      <c r="A1179" s="842"/>
      <c r="B1179" s="757" t="s">
        <v>224</v>
      </c>
      <c r="C1179" s="321"/>
      <c r="D1179" s="635">
        <f t="shared" ref="D1179:AE1179" si="2698">D1184+D1201+D1214</f>
        <v>2037</v>
      </c>
      <c r="E1179" s="635">
        <f t="shared" si="2698"/>
        <v>1882</v>
      </c>
      <c r="F1179" s="635">
        <f t="shared" si="2698"/>
        <v>1786</v>
      </c>
      <c r="G1179" s="635">
        <f t="shared" si="2698"/>
        <v>1767</v>
      </c>
      <c r="H1179" s="635">
        <f t="shared" si="2698"/>
        <v>1749</v>
      </c>
      <c r="I1179" s="635">
        <f t="shared" si="2698"/>
        <v>1660</v>
      </c>
      <c r="J1179" s="635">
        <f t="shared" si="2698"/>
        <v>1570</v>
      </c>
      <c r="K1179" s="635">
        <f t="shared" si="2698"/>
        <v>1623</v>
      </c>
      <c r="L1179" s="635">
        <f t="shared" si="2698"/>
        <v>1644</v>
      </c>
      <c r="M1179" s="635">
        <f t="shared" si="2698"/>
        <v>1651</v>
      </c>
      <c r="N1179" s="635">
        <f t="shared" si="2698"/>
        <v>1596</v>
      </c>
      <c r="O1179" s="635">
        <f t="shared" si="2698"/>
        <v>1625</v>
      </c>
      <c r="P1179" s="635">
        <f t="shared" si="2698"/>
        <v>1490</v>
      </c>
      <c r="Q1179" s="635">
        <f t="shared" si="2698"/>
        <v>1504</v>
      </c>
      <c r="R1179" s="635">
        <f t="shared" si="2698"/>
        <v>1353</v>
      </c>
      <c r="S1179" s="635">
        <f t="shared" si="2698"/>
        <v>1405</v>
      </c>
      <c r="T1179" s="635">
        <f t="shared" si="2698"/>
        <v>1371</v>
      </c>
      <c r="U1179" s="635">
        <f t="shared" si="2698"/>
        <v>1374</v>
      </c>
      <c r="V1179" s="635">
        <f t="shared" si="2698"/>
        <v>1349</v>
      </c>
      <c r="W1179" s="635">
        <f t="shared" si="2698"/>
        <v>1516</v>
      </c>
      <c r="X1179" s="635">
        <f t="shared" si="2698"/>
        <v>1603</v>
      </c>
      <c r="Y1179" s="635">
        <f t="shared" ref="Y1179:Z1179" si="2699">Y1184+Y1201+Y1214</f>
        <v>1615</v>
      </c>
      <c r="Z1179" s="635">
        <f t="shared" si="2699"/>
        <v>1704</v>
      </c>
      <c r="AA1179" s="635">
        <f t="shared" ref="AA1179:AB1179" si="2700">AA1184+AA1201+AA1214</f>
        <v>1640</v>
      </c>
      <c r="AB1179" s="635">
        <f t="shared" si="2700"/>
        <v>1736</v>
      </c>
      <c r="AC1179" s="635">
        <f t="shared" si="2698"/>
        <v>1799.5945838356165</v>
      </c>
      <c r="AD1179" s="635">
        <f t="shared" si="2698"/>
        <v>1887.6612557010137</v>
      </c>
      <c r="AE1179" s="635">
        <f t="shared" si="2698"/>
        <v>1956.5667246606577</v>
      </c>
      <c r="AF1179" s="635">
        <f t="shared" ref="AF1179:AI1179" si="2701">AF1184+AF1201+AF1214</f>
        <v>1930.1760649005291</v>
      </c>
      <c r="AG1179" s="635">
        <f t="shared" si="2701"/>
        <v>1978.4261221428778</v>
      </c>
      <c r="AH1179" s="635">
        <f t="shared" si="2701"/>
        <v>2105.5231686198458</v>
      </c>
      <c r="AI1179" s="635">
        <f t="shared" si="2701"/>
        <v>2204.9316145744688</v>
      </c>
      <c r="AJ1179" s="635"/>
      <c r="AK1179" s="635"/>
      <c r="AL1179" s="635"/>
      <c r="AM1179" s="635"/>
      <c r="AN1179" s="635"/>
      <c r="AO1179" s="635"/>
      <c r="AP1179" s="635"/>
      <c r="AQ1179" s="635"/>
      <c r="AR1179" s="70"/>
      <c r="AS1179" s="757" t="s">
        <v>224</v>
      </c>
      <c r="AT1179" s="321"/>
      <c r="AU1179" s="207">
        <f>SUM(D1179:G1179)</f>
        <v>7472</v>
      </c>
      <c r="AV1179" s="207">
        <f>SUM(H1179:K1179)</f>
        <v>6602</v>
      </c>
      <c r="AW1179" s="207">
        <f>SUM(L1179:O1179)</f>
        <v>6516</v>
      </c>
      <c r="AX1179" s="207">
        <f>SUM(P1179:S1179)</f>
        <v>5752</v>
      </c>
      <c r="AY1179" s="207">
        <f>SUM(T1179:W1179)</f>
        <v>5610</v>
      </c>
      <c r="AZ1179" s="379">
        <f>SUM(X1179:AA1179)</f>
        <v>6562</v>
      </c>
      <c r="BA1179" s="379">
        <f>SUM(AB1179:AE1179)</f>
        <v>7379.8225641972876</v>
      </c>
      <c r="BB1179" s="379">
        <f>SUM(AF1179:AI1179)</f>
        <v>8219.0569702377215</v>
      </c>
      <c r="BC1179" s="635">
        <f t="shared" si="2696"/>
        <v>9193.4024828795882</v>
      </c>
      <c r="BD1179" s="635">
        <f t="shared" si="2696"/>
        <v>10180.21214134267</v>
      </c>
      <c r="BE1179" s="635">
        <f t="shared" ref="BE1179" si="2702">BE1184+BE1201+BE1214</f>
        <v>11293.844693298372</v>
      </c>
      <c r="BM1179"/>
      <c r="BN1179"/>
      <c r="BO1179"/>
      <c r="BP1179"/>
      <c r="BQ1179"/>
      <c r="BR1179"/>
    </row>
    <row r="1180" spans="1:70" s="145" customFormat="1" x14ac:dyDescent="0.2">
      <c r="A1180" s="843"/>
      <c r="B1180" s="46"/>
      <c r="C1180" s="179" t="s">
        <v>288</v>
      </c>
      <c r="D1180" s="152">
        <f t="shared" ref="D1180:AE1180" si="2703">D1178/D1179</f>
        <v>0.62739322533136965</v>
      </c>
      <c r="E1180" s="152">
        <f t="shared" si="2703"/>
        <v>0.61158342189160464</v>
      </c>
      <c r="F1180" s="152">
        <f t="shared" si="2703"/>
        <v>0.7435610302351624</v>
      </c>
      <c r="G1180" s="152">
        <f t="shared" si="2703"/>
        <v>0.92812676853423881</v>
      </c>
      <c r="H1180" s="152">
        <f t="shared" si="2703"/>
        <v>0.83704974271012011</v>
      </c>
      <c r="I1180" s="152">
        <f t="shared" si="2703"/>
        <v>0.87951807228915657</v>
      </c>
      <c r="J1180" s="152">
        <f t="shared" si="2703"/>
        <v>0.97834394904458599</v>
      </c>
      <c r="K1180" s="152">
        <f t="shared" si="2703"/>
        <v>1.0147874306839186</v>
      </c>
      <c r="L1180" s="152">
        <f t="shared" si="2703"/>
        <v>0.88990267639902676</v>
      </c>
      <c r="M1180" s="152">
        <f t="shared" si="2703"/>
        <v>0.82858873410054512</v>
      </c>
      <c r="N1180" s="152">
        <f t="shared" si="2703"/>
        <v>0.80263157894736847</v>
      </c>
      <c r="O1180" s="152">
        <f t="shared" si="2703"/>
        <v>0.8609230769230769</v>
      </c>
      <c r="P1180" s="152">
        <f t="shared" si="2703"/>
        <v>0.91812080536912755</v>
      </c>
      <c r="Q1180" s="152">
        <f t="shared" si="2703"/>
        <v>0.94680851063829785</v>
      </c>
      <c r="R1180" s="152">
        <f t="shared" si="2703"/>
        <v>0.94604582409460458</v>
      </c>
      <c r="S1180" s="152">
        <f t="shared" si="2703"/>
        <v>0.99430604982206405</v>
      </c>
      <c r="T1180" s="152">
        <f t="shared" si="2703"/>
        <v>1.0831509846827134</v>
      </c>
      <c r="U1180" s="152">
        <f t="shared" si="2703"/>
        <v>1.037117903930131</v>
      </c>
      <c r="V1180" s="152">
        <f t="shared" si="2703"/>
        <v>1.340252038547072</v>
      </c>
      <c r="W1180" s="152">
        <f t="shared" si="2703"/>
        <v>1.1273087071240107</v>
      </c>
      <c r="X1180" s="152">
        <f t="shared" si="2703"/>
        <v>1.1322520274485339</v>
      </c>
      <c r="Y1180" s="152">
        <f t="shared" ref="Y1180:Z1180" si="2704">Y1178/Y1179</f>
        <v>1.0910216718266255</v>
      </c>
      <c r="Z1180" s="152">
        <f t="shared" si="2704"/>
        <v>1.2987089201877935</v>
      </c>
      <c r="AA1180" s="152">
        <f t="shared" ref="AA1180:AB1180" si="2705">AA1178/AA1179</f>
        <v>1.1286585365853659</v>
      </c>
      <c r="AB1180" s="152">
        <f t="shared" si="2705"/>
        <v>1.0973502304147464</v>
      </c>
      <c r="AC1180" s="152">
        <f t="shared" si="2703"/>
        <v>1.0982079434962466</v>
      </c>
      <c r="AD1180" s="152">
        <f t="shared" si="2703"/>
        <v>1.0983074345068746</v>
      </c>
      <c r="AE1180" s="152">
        <f t="shared" si="2703"/>
        <v>1.1032303424650656</v>
      </c>
      <c r="AF1180" s="152">
        <f t="shared" ref="AF1180:AI1180" si="2706">AF1178/AF1179</f>
        <v>1.0950174654933855</v>
      </c>
      <c r="AG1180" s="152">
        <f t="shared" si="2706"/>
        <v>1.1000000000000003</v>
      </c>
      <c r="AH1180" s="152">
        <f t="shared" si="2706"/>
        <v>1.1000000000000001</v>
      </c>
      <c r="AI1180" s="152">
        <f t="shared" si="2706"/>
        <v>1.1000000000000003</v>
      </c>
      <c r="AJ1180" s="152"/>
      <c r="AK1180" s="152"/>
      <c r="AL1180" s="152"/>
      <c r="AM1180" s="152"/>
      <c r="AN1180" s="152"/>
      <c r="AO1180" s="152"/>
      <c r="AP1180" s="152"/>
      <c r="AQ1180" s="152"/>
      <c r="AR1180" s="70"/>
      <c r="AS1180" s="46"/>
      <c r="AT1180" s="179" t="s">
        <v>288</v>
      </c>
      <c r="AU1180" s="152">
        <f t="shared" ref="AU1180:BD1180" si="2707">AU1178/AU1179</f>
        <v>0.72229657387580304</v>
      </c>
      <c r="AV1180" s="152">
        <f t="shared" si="2707"/>
        <v>0.92502272038776123</v>
      </c>
      <c r="AW1180" s="152">
        <f t="shared" si="2707"/>
        <v>0.84576427255985265</v>
      </c>
      <c r="AX1180" s="152">
        <f t="shared" si="2707"/>
        <v>0.95079972183588313</v>
      </c>
      <c r="AY1180" s="152">
        <f t="shared" si="2707"/>
        <v>1.1456327985739752</v>
      </c>
      <c r="AZ1180" s="152">
        <f t="shared" si="2707"/>
        <v>1.1644315757391039</v>
      </c>
      <c r="BA1180" s="152">
        <f t="shared" si="2707"/>
        <v>1.099363184566444</v>
      </c>
      <c r="BB1180" s="152">
        <f t="shared" ref="BB1180" si="2708">BB1178/BB1179</f>
        <v>1.0988298938817394</v>
      </c>
      <c r="BC1180" s="152">
        <f t="shared" si="2707"/>
        <v>1.1000000000000001</v>
      </c>
      <c r="BD1180" s="152">
        <f t="shared" si="2707"/>
        <v>1.1000000000000001</v>
      </c>
      <c r="BE1180" s="152">
        <f t="shared" ref="BE1180" si="2709">BE1178/BE1179</f>
        <v>1.1000000000000003</v>
      </c>
      <c r="BM1180"/>
      <c r="BN1180"/>
      <c r="BO1180"/>
      <c r="BP1180"/>
      <c r="BQ1180"/>
      <c r="BR1180"/>
    </row>
    <row r="1181" spans="1:70" s="369" customFormat="1" x14ac:dyDescent="0.2">
      <c r="A1181" s="842"/>
      <c r="B1181" s="322"/>
      <c r="C1181" s="321"/>
      <c r="D1181" s="560"/>
      <c r="E1181" s="560"/>
      <c r="F1181" s="560"/>
      <c r="G1181" s="560"/>
      <c r="H1181" s="560"/>
      <c r="I1181" s="560"/>
      <c r="J1181" s="560"/>
      <c r="K1181" s="560"/>
      <c r="L1181" s="560"/>
      <c r="M1181" s="560"/>
      <c r="N1181" s="560"/>
      <c r="O1181" s="560"/>
      <c r="P1181" s="560"/>
      <c r="Q1181" s="560"/>
      <c r="R1181" s="560"/>
      <c r="S1181" s="560"/>
      <c r="T1181" s="560"/>
      <c r="U1181" s="560"/>
      <c r="V1181" s="560"/>
      <c r="W1181" s="560"/>
      <c r="X1181" s="560"/>
      <c r="Y1181" s="560"/>
      <c r="Z1181" s="560"/>
      <c r="AA1181" s="560"/>
      <c r="AB1181" s="560"/>
      <c r="AC1181" s="517"/>
      <c r="AD1181" s="517"/>
      <c r="AE1181" s="517"/>
      <c r="AF1181" s="517"/>
      <c r="AG1181" s="517"/>
      <c r="AH1181" s="517"/>
      <c r="AI1181" s="517"/>
      <c r="AJ1181" s="517"/>
      <c r="AK1181" s="517"/>
      <c r="AL1181" s="517"/>
      <c r="AM1181" s="517"/>
      <c r="AN1181" s="517"/>
      <c r="AO1181" s="517"/>
      <c r="AP1181" s="517"/>
      <c r="AQ1181" s="517"/>
      <c r="AR1181" s="70"/>
      <c r="AS1181" s="322"/>
      <c r="AT1181" s="321"/>
      <c r="AU1181" s="152"/>
      <c r="AV1181" s="152"/>
      <c r="AW1181" s="152"/>
      <c r="AX1181" s="152"/>
      <c r="AY1181" s="152"/>
      <c r="AZ1181" s="152"/>
      <c r="BA1181" s="152"/>
      <c r="BB1181" s="152"/>
      <c r="BM1181"/>
      <c r="BN1181"/>
      <c r="BO1181"/>
      <c r="BP1181"/>
      <c r="BQ1181"/>
      <c r="BR1181"/>
    </row>
    <row r="1182" spans="1:70" s="369" customFormat="1" x14ac:dyDescent="0.2">
      <c r="A1182" s="411"/>
      <c r="B1182" s="85" t="s">
        <v>129</v>
      </c>
      <c r="C1182" s="757"/>
      <c r="D1182" s="560"/>
      <c r="E1182" s="560"/>
      <c r="F1182" s="560"/>
      <c r="G1182" s="560"/>
      <c r="H1182" s="560"/>
      <c r="I1182" s="560"/>
      <c r="J1182" s="560"/>
      <c r="K1182" s="560"/>
      <c r="L1182" s="560"/>
      <c r="M1182" s="560"/>
      <c r="N1182" s="560"/>
      <c r="O1182" s="560"/>
      <c r="P1182" s="560"/>
      <c r="Q1182" s="560"/>
      <c r="R1182" s="560"/>
      <c r="S1182" s="560"/>
      <c r="T1182" s="560"/>
      <c r="U1182" s="560"/>
      <c r="V1182" s="560"/>
      <c r="W1182" s="560"/>
      <c r="X1182" s="560"/>
      <c r="Y1182" s="560"/>
      <c r="Z1182" s="560"/>
      <c r="AA1182" s="560"/>
      <c r="AB1182" s="560"/>
      <c r="AC1182" s="762"/>
      <c r="AD1182" s="760"/>
      <c r="AE1182" s="760"/>
      <c r="AF1182" s="760"/>
      <c r="AG1182" s="760"/>
      <c r="AH1182" s="760"/>
      <c r="AI1182" s="762"/>
      <c r="AJ1182" s="762"/>
      <c r="AK1182" s="762"/>
      <c r="AL1182" s="762"/>
      <c r="AM1182" s="762"/>
      <c r="AN1182" s="762"/>
      <c r="AO1182" s="762"/>
      <c r="AP1182" s="762"/>
      <c r="AQ1182" s="762"/>
      <c r="AR1182" s="70"/>
      <c r="AS1182" s="85" t="s">
        <v>129</v>
      </c>
      <c r="AT1182" s="757"/>
      <c r="AU1182" s="448"/>
      <c r="AV1182" s="762"/>
      <c r="AX1182" s="763"/>
      <c r="BM1182"/>
      <c r="BN1182"/>
      <c r="BO1182"/>
      <c r="BP1182"/>
      <c r="BQ1182"/>
      <c r="BR1182"/>
    </row>
    <row r="1183" spans="1:70" s="369" customFormat="1" x14ac:dyDescent="0.2">
      <c r="A1183" s="411"/>
      <c r="B1183" s="85"/>
      <c r="C1183" s="757" t="s">
        <v>481</v>
      </c>
      <c r="D1183" s="69">
        <f t="shared" ref="D1183:X1183" si="2710">D155</f>
        <v>801</v>
      </c>
      <c r="E1183" s="69">
        <f t="shared" si="2710"/>
        <v>714</v>
      </c>
      <c r="F1183" s="69">
        <f t="shared" si="2710"/>
        <v>852</v>
      </c>
      <c r="G1183" s="69">
        <f t="shared" si="2710"/>
        <v>1067</v>
      </c>
      <c r="H1183" s="69">
        <f t="shared" si="2710"/>
        <v>900</v>
      </c>
      <c r="I1183" s="69">
        <f t="shared" si="2710"/>
        <v>850</v>
      </c>
      <c r="J1183" s="69">
        <f t="shared" si="2710"/>
        <v>877</v>
      </c>
      <c r="K1183" s="69">
        <f t="shared" si="2710"/>
        <v>1038</v>
      </c>
      <c r="L1183" s="69">
        <f t="shared" si="2710"/>
        <v>840</v>
      </c>
      <c r="M1183" s="69">
        <f t="shared" si="2710"/>
        <v>686</v>
      </c>
      <c r="N1183" s="69">
        <f t="shared" si="2710"/>
        <v>690</v>
      </c>
      <c r="O1183" s="69">
        <f t="shared" si="2710"/>
        <v>779</v>
      </c>
      <c r="P1183" s="69">
        <f t="shared" si="2710"/>
        <v>872</v>
      </c>
      <c r="Q1183" s="69">
        <f t="shared" si="2710"/>
        <v>900</v>
      </c>
      <c r="R1183" s="69">
        <f t="shared" si="2710"/>
        <v>828</v>
      </c>
      <c r="S1183" s="69">
        <f t="shared" si="2710"/>
        <v>859</v>
      </c>
      <c r="T1183" s="69">
        <f t="shared" si="2710"/>
        <v>1021</v>
      </c>
      <c r="U1183" s="69">
        <f t="shared" si="2710"/>
        <v>1018</v>
      </c>
      <c r="V1183" s="69">
        <f t="shared" si="2710"/>
        <v>1343</v>
      </c>
      <c r="W1183" s="69">
        <f t="shared" si="2710"/>
        <v>1230</v>
      </c>
      <c r="X1183" s="69">
        <f t="shared" si="2710"/>
        <v>1355</v>
      </c>
      <c r="Y1183" s="69">
        <f t="shared" ref="Y1183:Z1183" si="2711">Y155</f>
        <v>1292</v>
      </c>
      <c r="Z1183" s="69">
        <f t="shared" si="2711"/>
        <v>1708</v>
      </c>
      <c r="AA1183" s="69">
        <f t="shared" ref="AA1183:AB1183" si="2712">AA155</f>
        <v>1347</v>
      </c>
      <c r="AB1183" s="69">
        <f t="shared" si="2712"/>
        <v>1421</v>
      </c>
      <c r="AC1183" s="635">
        <f t="shared" ref="AC1183:AE1183" si="2713">AC1184*AC1185</f>
        <v>1474.8177827945206</v>
      </c>
      <c r="AD1183" s="635">
        <f t="shared" si="2713"/>
        <v>1539.7005423615262</v>
      </c>
      <c r="AE1183" s="635">
        <f t="shared" si="2713"/>
        <v>1592.2048369440822</v>
      </c>
      <c r="AF1183" s="635">
        <f t="shared" ref="AF1183:AI1183" si="2714">AF1184*AF1185</f>
        <v>1564.4927350919347</v>
      </c>
      <c r="AG1183" s="635">
        <f t="shared" si="2714"/>
        <v>1599.1317512243934</v>
      </c>
      <c r="AH1183" s="635">
        <f t="shared" si="2714"/>
        <v>1706.3221766830313</v>
      </c>
      <c r="AI1183" s="635">
        <f t="shared" si="2714"/>
        <v>1783.4176233111123</v>
      </c>
      <c r="AJ1183" s="635"/>
      <c r="AK1183" s="635"/>
      <c r="AL1183" s="635"/>
      <c r="AM1183" s="635"/>
      <c r="AN1183" s="635"/>
      <c r="AO1183" s="635"/>
      <c r="AP1183" s="635"/>
      <c r="AQ1183" s="635"/>
      <c r="AR1183" s="70"/>
      <c r="AS1183" s="85"/>
      <c r="AT1183" s="757" t="s">
        <v>481</v>
      </c>
      <c r="AU1183" s="207">
        <f>SUM(D1183:G1183)</f>
        <v>3434</v>
      </c>
      <c r="AV1183" s="207">
        <f>SUM(H1183:K1183)</f>
        <v>3665</v>
      </c>
      <c r="AW1183" s="207">
        <f>SUM(L1183:O1183)</f>
        <v>2995</v>
      </c>
      <c r="AX1183" s="207">
        <f>SUM(P1183:S1183)</f>
        <v>3459</v>
      </c>
      <c r="AY1183" s="207">
        <f>SUM(T1183:W1183)</f>
        <v>4612</v>
      </c>
      <c r="AZ1183" s="379">
        <f>SUM(X1183:AA1183)</f>
        <v>5702</v>
      </c>
      <c r="BA1183" s="379">
        <f>SUM(AB1183:AE1183)</f>
        <v>6027.7231621001283</v>
      </c>
      <c r="BB1183" s="379">
        <f>SUM(AF1183:AI1183)</f>
        <v>6653.3642863104715</v>
      </c>
      <c r="BC1183" s="635">
        <f>BC1184*BC1185</f>
        <v>7461.4261992635866</v>
      </c>
      <c r="BD1183" s="635">
        <f>BD1184*BD1185</f>
        <v>8293.2145815098611</v>
      </c>
      <c r="BE1183" s="635">
        <f>BE1184*BE1185</f>
        <v>9199.4084386045688</v>
      </c>
      <c r="BM1183"/>
      <c r="BN1183"/>
      <c r="BO1183"/>
      <c r="BP1183"/>
      <c r="BQ1183"/>
      <c r="BR1183"/>
    </row>
    <row r="1184" spans="1:70" s="369" customFormat="1" x14ac:dyDescent="0.2">
      <c r="A1184" s="411"/>
      <c r="B1184" s="86"/>
      <c r="C1184" s="757" t="s">
        <v>224</v>
      </c>
      <c r="D1184" s="69">
        <f t="shared" ref="D1184:X1184" si="2715">D156</f>
        <v>1629</v>
      </c>
      <c r="E1184" s="69">
        <f t="shared" si="2715"/>
        <v>1509</v>
      </c>
      <c r="F1184" s="69">
        <f t="shared" si="2715"/>
        <v>1351</v>
      </c>
      <c r="G1184" s="69">
        <f t="shared" si="2715"/>
        <v>1266</v>
      </c>
      <c r="H1184" s="69">
        <f t="shared" si="2715"/>
        <v>1257</v>
      </c>
      <c r="I1184" s="69">
        <f t="shared" si="2715"/>
        <v>1189</v>
      </c>
      <c r="J1184" s="69">
        <f t="shared" si="2715"/>
        <v>1084</v>
      </c>
      <c r="K1184" s="69">
        <f t="shared" si="2715"/>
        <v>1108</v>
      </c>
      <c r="L1184" s="69">
        <f t="shared" si="2715"/>
        <v>1102</v>
      </c>
      <c r="M1184" s="69">
        <f t="shared" si="2715"/>
        <v>1073</v>
      </c>
      <c r="N1184" s="69">
        <f t="shared" si="2715"/>
        <v>1018</v>
      </c>
      <c r="O1184" s="69">
        <f t="shared" si="2715"/>
        <v>1013</v>
      </c>
      <c r="P1184" s="69">
        <f t="shared" si="2715"/>
        <v>961</v>
      </c>
      <c r="Q1184" s="69">
        <f t="shared" si="2715"/>
        <v>999</v>
      </c>
      <c r="R1184" s="69">
        <f t="shared" si="2715"/>
        <v>877</v>
      </c>
      <c r="S1184" s="69">
        <f t="shared" si="2715"/>
        <v>914</v>
      </c>
      <c r="T1184" s="69">
        <f t="shared" si="2715"/>
        <v>933</v>
      </c>
      <c r="U1184" s="69">
        <f t="shared" si="2715"/>
        <v>954</v>
      </c>
      <c r="V1184" s="69">
        <f t="shared" si="2715"/>
        <v>927</v>
      </c>
      <c r="W1184" s="69">
        <f t="shared" si="2715"/>
        <v>1105</v>
      </c>
      <c r="X1184" s="69">
        <f t="shared" si="2715"/>
        <v>1190</v>
      </c>
      <c r="Y1184" s="69">
        <f t="shared" ref="Y1184:Z1184" si="2716">Y156</f>
        <v>1181</v>
      </c>
      <c r="Z1184" s="69">
        <f t="shared" si="2716"/>
        <v>1239</v>
      </c>
      <c r="AA1184" s="69">
        <f t="shared" ref="AA1184:AB1184" si="2717">AA156</f>
        <v>1186</v>
      </c>
      <c r="AB1184" s="69">
        <f t="shared" si="2717"/>
        <v>1296</v>
      </c>
      <c r="AC1184" s="379">
        <f t="shared" ref="AC1184:AE1184" si="2718">AC1188+AC1192+AC1196</f>
        <v>1340.7434389041096</v>
      </c>
      <c r="AD1184" s="379">
        <f t="shared" si="2718"/>
        <v>1399.7277657832055</v>
      </c>
      <c r="AE1184" s="379">
        <f t="shared" si="2718"/>
        <v>1447.4589426764383</v>
      </c>
      <c r="AF1184" s="379">
        <f t="shared" ref="AF1184:AI1184" si="2719">AF1188+AF1192+AF1196</f>
        <v>1422.2661228108495</v>
      </c>
      <c r="AG1184" s="379">
        <f t="shared" si="2719"/>
        <v>1453.7561374767211</v>
      </c>
      <c r="AH1184" s="379">
        <f t="shared" si="2719"/>
        <v>1551.2019788027555</v>
      </c>
      <c r="AI1184" s="379">
        <f t="shared" si="2719"/>
        <v>1621.2887484646474</v>
      </c>
      <c r="AJ1184" s="379"/>
      <c r="AK1184" s="379"/>
      <c r="AL1184" s="379"/>
      <c r="AM1184" s="379"/>
      <c r="AN1184" s="379"/>
      <c r="AO1184" s="379"/>
      <c r="AP1184" s="379"/>
      <c r="AQ1184" s="379"/>
      <c r="AR1184" s="70"/>
      <c r="AS1184" s="86"/>
      <c r="AT1184" s="757" t="s">
        <v>224</v>
      </c>
      <c r="AU1184" s="207">
        <f>SUM(D1184:G1184)</f>
        <v>5755</v>
      </c>
      <c r="AV1184" s="207">
        <f>SUM(H1184:K1184)</f>
        <v>4638</v>
      </c>
      <c r="AW1184" s="207">
        <f>SUM(L1184:O1184)</f>
        <v>4206</v>
      </c>
      <c r="AX1184" s="207">
        <f>SUM(P1184:S1184)</f>
        <v>3751</v>
      </c>
      <c r="AY1184" s="207">
        <f>SUM(T1184:W1184)</f>
        <v>3919</v>
      </c>
      <c r="AZ1184" s="379">
        <f>SUM(X1184:AA1184)</f>
        <v>4796</v>
      </c>
      <c r="BA1184" s="379">
        <f>SUM(AB1184:AE1184)</f>
        <v>5483.9301473637533</v>
      </c>
      <c r="BB1184" s="379">
        <f>SUM(AF1184:AI1184)</f>
        <v>6048.5129875549737</v>
      </c>
      <c r="BC1184" s="379">
        <f>BC1188+BC1192+BC1196</f>
        <v>6783.1147266032604</v>
      </c>
      <c r="BD1184" s="379">
        <f>BD1188+BD1192+BD1196</f>
        <v>7539.2859831907817</v>
      </c>
      <c r="BE1184" s="379">
        <f>BE1188+BE1192+BE1196</f>
        <v>8363.0985805496075</v>
      </c>
      <c r="BM1184"/>
      <c r="BN1184"/>
      <c r="BO1184"/>
      <c r="BP1184"/>
      <c r="BQ1184"/>
      <c r="BR1184"/>
    </row>
    <row r="1185" spans="1:70" s="145" customFormat="1" x14ac:dyDescent="0.2">
      <c r="A1185" s="831"/>
      <c r="B1185" s="180"/>
      <c r="C1185" s="179" t="s">
        <v>288</v>
      </c>
      <c r="D1185" s="152">
        <f t="shared" ref="D1185:X1185" si="2720">D1183/D1184</f>
        <v>0.49171270718232046</v>
      </c>
      <c r="E1185" s="152">
        <f t="shared" si="2720"/>
        <v>0.47316103379721669</v>
      </c>
      <c r="F1185" s="152">
        <f t="shared" si="2720"/>
        <v>0.63064396743153217</v>
      </c>
      <c r="G1185" s="152">
        <f t="shared" si="2720"/>
        <v>0.84281200631911535</v>
      </c>
      <c r="H1185" s="152">
        <f t="shared" si="2720"/>
        <v>0.71599045346062051</v>
      </c>
      <c r="I1185" s="152">
        <f t="shared" si="2720"/>
        <v>0.71488645920941973</v>
      </c>
      <c r="J1185" s="152">
        <f t="shared" si="2720"/>
        <v>0.80904059040590404</v>
      </c>
      <c r="K1185" s="152">
        <f t="shared" si="2720"/>
        <v>0.93682310469314078</v>
      </c>
      <c r="L1185" s="152">
        <f t="shared" si="2720"/>
        <v>0.76225045372050815</v>
      </c>
      <c r="M1185" s="152">
        <f t="shared" si="2720"/>
        <v>0.63932898415657036</v>
      </c>
      <c r="N1185" s="152">
        <f t="shared" si="2720"/>
        <v>0.6777996070726916</v>
      </c>
      <c r="O1185" s="152">
        <f t="shared" si="2720"/>
        <v>0.76900296150049363</v>
      </c>
      <c r="P1185" s="152">
        <f t="shared" si="2720"/>
        <v>0.90738813735691992</v>
      </c>
      <c r="Q1185" s="152">
        <f t="shared" si="2720"/>
        <v>0.90090090090090091</v>
      </c>
      <c r="R1185" s="152">
        <f t="shared" si="2720"/>
        <v>0.94412770809578106</v>
      </c>
      <c r="S1185" s="152">
        <f t="shared" si="2720"/>
        <v>0.93982494529540483</v>
      </c>
      <c r="T1185" s="152">
        <f t="shared" si="2720"/>
        <v>1.0943193997856377</v>
      </c>
      <c r="U1185" s="152">
        <f t="shared" si="2720"/>
        <v>1.0670859538784068</v>
      </c>
      <c r="V1185" s="152">
        <f t="shared" si="2720"/>
        <v>1.4487594390507013</v>
      </c>
      <c r="W1185" s="152">
        <f t="shared" si="2720"/>
        <v>1.1131221719457014</v>
      </c>
      <c r="X1185" s="152">
        <f t="shared" si="2720"/>
        <v>1.1386554621848739</v>
      </c>
      <c r="Y1185" s="152">
        <f t="shared" ref="Y1185:Z1185" si="2721">Y1183/Y1184</f>
        <v>1.0939881456392888</v>
      </c>
      <c r="Z1185" s="152">
        <f t="shared" si="2721"/>
        <v>1.3785310734463276</v>
      </c>
      <c r="AA1185" s="152">
        <f t="shared" ref="AA1185:AB1185" si="2722">AA1183/AA1184</f>
        <v>1.1357504215851602</v>
      </c>
      <c r="AB1185" s="152">
        <f t="shared" si="2722"/>
        <v>1.0964506172839505</v>
      </c>
      <c r="AC1185" s="276">
        <f>Drivers!AC142</f>
        <v>1.1000000000000001</v>
      </c>
      <c r="AD1185" s="276">
        <f>Drivers!AD142</f>
        <v>1.1000000000000001</v>
      </c>
      <c r="AE1185" s="276">
        <f>Drivers!AE142</f>
        <v>1.1000000000000001</v>
      </c>
      <c r="AF1185" s="276">
        <f>Drivers!AF142</f>
        <v>1.1000000000000001</v>
      </c>
      <c r="AG1185" s="276">
        <f>Drivers!AG142</f>
        <v>1.1000000000000001</v>
      </c>
      <c r="AH1185" s="276">
        <f>Drivers!AH142</f>
        <v>1.1000000000000001</v>
      </c>
      <c r="AI1185" s="276">
        <f>Drivers!AI142</f>
        <v>1.1000000000000001</v>
      </c>
      <c r="AJ1185" s="276"/>
      <c r="AK1185" s="276"/>
      <c r="AL1185" s="276"/>
      <c r="AM1185" s="276"/>
      <c r="AN1185" s="276"/>
      <c r="AO1185" s="276"/>
      <c r="AP1185" s="276"/>
      <c r="AQ1185" s="276"/>
      <c r="AR1185" s="70"/>
      <c r="AS1185" s="180"/>
      <c r="AT1185" s="179" t="s">
        <v>288</v>
      </c>
      <c r="AU1185" s="152">
        <f t="shared" ref="AU1185:BA1185" si="2723">AU1183/AU1184</f>
        <v>0.59669852302345783</v>
      </c>
      <c r="AV1185" s="152">
        <f t="shared" si="2723"/>
        <v>0.79021129797326439</v>
      </c>
      <c r="AW1185" s="152">
        <f t="shared" si="2723"/>
        <v>0.71207798383262011</v>
      </c>
      <c r="AX1185" s="152">
        <f t="shared" si="2723"/>
        <v>0.92215409224206879</v>
      </c>
      <c r="AY1185" s="152">
        <f t="shared" si="2723"/>
        <v>1.1768308241898444</v>
      </c>
      <c r="AZ1185" s="152">
        <f t="shared" si="2723"/>
        <v>1.188907422852377</v>
      </c>
      <c r="BA1185" s="152">
        <f t="shared" si="2723"/>
        <v>1.0991611855227201</v>
      </c>
      <c r="BB1185" s="152">
        <f t="shared" ref="BB1185" si="2724">BB1183/BB1184</f>
        <v>1.1000000000000001</v>
      </c>
      <c r="BC1185" s="276">
        <f>Drivers!BC142</f>
        <v>1.1000000000000001</v>
      </c>
      <c r="BD1185" s="276">
        <f>Drivers!BD142</f>
        <v>1.1000000000000001</v>
      </c>
      <c r="BE1185" s="276">
        <f>Drivers!BE142</f>
        <v>1.1000000000000001</v>
      </c>
      <c r="BM1185"/>
      <c r="BN1185"/>
      <c r="BO1185"/>
      <c r="BP1185"/>
      <c r="BQ1185"/>
      <c r="BR1185"/>
    </row>
    <row r="1186" spans="1:70" s="369" customFormat="1" hidden="1" outlineLevel="1" x14ac:dyDescent="0.2">
      <c r="A1186" s="411"/>
      <c r="B1186" s="86"/>
      <c r="C1186" s="757"/>
      <c r="D1186" s="560"/>
      <c r="E1186" s="560"/>
      <c r="F1186" s="560"/>
      <c r="G1186" s="560"/>
      <c r="H1186" s="560"/>
      <c r="I1186" s="560"/>
      <c r="J1186" s="560"/>
      <c r="K1186" s="560"/>
      <c r="L1186" s="560"/>
      <c r="M1186" s="560"/>
      <c r="N1186" s="560"/>
      <c r="O1186" s="560"/>
      <c r="P1186" s="560"/>
      <c r="Q1186" s="560"/>
      <c r="R1186" s="560"/>
      <c r="S1186" s="560"/>
      <c r="T1186" s="560"/>
      <c r="U1186" s="560"/>
      <c r="V1186" s="560"/>
      <c r="W1186" s="560"/>
      <c r="X1186" s="560"/>
      <c r="Y1186" s="560"/>
      <c r="Z1186" s="560"/>
      <c r="AA1186" s="560"/>
      <c r="AB1186" s="560"/>
      <c r="AC1186" s="764"/>
      <c r="AD1186" s="760"/>
      <c r="AE1186" s="760"/>
      <c r="AF1186" s="760"/>
      <c r="AG1186" s="760"/>
      <c r="AH1186" s="760"/>
      <c r="AI1186" s="517"/>
      <c r="AJ1186" s="517"/>
      <c r="AK1186" s="517"/>
      <c r="AL1186" s="517"/>
      <c r="AM1186" s="517"/>
      <c r="AN1186" s="517"/>
      <c r="AO1186" s="517"/>
      <c r="AP1186" s="517"/>
      <c r="AQ1186" s="517"/>
      <c r="AR1186" s="70"/>
      <c r="AS1186" s="86"/>
      <c r="AT1186" s="757"/>
      <c r="AU1186" s="232"/>
      <c r="AV1186" s="232"/>
      <c r="AW1186" s="232"/>
      <c r="AX1186" s="232"/>
      <c r="AY1186" s="232"/>
      <c r="AZ1186" s="467"/>
      <c r="BA1186" s="467"/>
      <c r="BB1186" s="467"/>
      <c r="BM1186"/>
      <c r="BN1186"/>
      <c r="BO1186"/>
      <c r="BP1186"/>
      <c r="BQ1186"/>
      <c r="BR1186"/>
    </row>
    <row r="1187" spans="1:70" s="369" customFormat="1" hidden="1" outlineLevel="1" x14ac:dyDescent="0.2">
      <c r="A1187" s="411"/>
      <c r="B1187" s="765"/>
      <c r="C1187" s="363" t="s">
        <v>74</v>
      </c>
      <c r="D1187" s="454"/>
      <c r="E1187" s="454"/>
      <c r="F1187" s="454"/>
      <c r="G1187" s="454"/>
      <c r="H1187" s="454"/>
      <c r="I1187" s="454"/>
      <c r="J1187" s="454"/>
      <c r="K1187" s="454"/>
      <c r="L1187" s="454"/>
      <c r="M1187" s="454"/>
      <c r="N1187" s="454"/>
      <c r="O1187" s="454"/>
      <c r="P1187" s="454"/>
      <c r="Q1187" s="454"/>
      <c r="R1187" s="454"/>
      <c r="S1187" s="454"/>
      <c r="T1187" s="454"/>
      <c r="U1187" s="454"/>
      <c r="V1187" s="454"/>
      <c r="W1187" s="454"/>
      <c r="X1187" s="454"/>
      <c r="Y1187" s="454"/>
      <c r="Z1187" s="454"/>
      <c r="AA1187" s="454"/>
      <c r="AB1187" s="454"/>
      <c r="AC1187" s="762"/>
      <c r="AD1187" s="760"/>
      <c r="AE1187" s="760"/>
      <c r="AF1187" s="760"/>
      <c r="AG1187" s="760"/>
      <c r="AH1187" s="760"/>
      <c r="AI1187" s="385"/>
      <c r="AJ1187" s="385"/>
      <c r="AK1187" s="385"/>
      <c r="AL1187" s="385"/>
      <c r="AM1187" s="385"/>
      <c r="AN1187" s="385"/>
      <c r="AO1187" s="385"/>
      <c r="AP1187" s="385"/>
      <c r="AQ1187" s="385"/>
      <c r="AR1187" s="70"/>
      <c r="AS1187" s="765"/>
      <c r="AT1187" s="363" t="s">
        <v>74</v>
      </c>
      <c r="AU1187" s="232"/>
      <c r="AV1187" s="232"/>
      <c r="AW1187" s="232"/>
      <c r="AX1187" s="232"/>
      <c r="AY1187" s="232"/>
      <c r="AZ1187" s="232"/>
      <c r="BA1187" s="232"/>
      <c r="BB1187" s="232"/>
      <c r="BM1187"/>
      <c r="BN1187"/>
      <c r="BO1187"/>
      <c r="BP1187"/>
      <c r="BQ1187"/>
      <c r="BR1187"/>
    </row>
    <row r="1188" spans="1:70" s="369" customFormat="1" hidden="1" outlineLevel="1" x14ac:dyDescent="0.2">
      <c r="A1188" s="411"/>
      <c r="B1188" s="765"/>
      <c r="C1188" s="757" t="s">
        <v>224</v>
      </c>
      <c r="D1188" s="454">
        <v>62</v>
      </c>
      <c r="E1188" s="454">
        <v>60</v>
      </c>
      <c r="F1188" s="454">
        <v>72</v>
      </c>
      <c r="G1188" s="454">
        <v>52</v>
      </c>
      <c r="H1188" s="454">
        <v>57</v>
      </c>
      <c r="I1188" s="454">
        <v>43</v>
      </c>
      <c r="J1188" s="454">
        <v>39</v>
      </c>
      <c r="K1188" s="454">
        <v>49</v>
      </c>
      <c r="L1188" s="454">
        <v>34</v>
      </c>
      <c r="M1188" s="454">
        <v>38</v>
      </c>
      <c r="N1188" s="454">
        <v>35</v>
      </c>
      <c r="O1188" s="454">
        <v>36</v>
      </c>
      <c r="P1188" s="454">
        <v>36</v>
      </c>
      <c r="Q1188" s="454">
        <v>39</v>
      </c>
      <c r="R1188" s="454">
        <v>33</v>
      </c>
      <c r="S1188" s="454">
        <v>42</v>
      </c>
      <c r="T1188" s="454">
        <v>25</v>
      </c>
      <c r="U1188" s="454">
        <v>45</v>
      </c>
      <c r="V1188" s="454">
        <v>52</v>
      </c>
      <c r="W1188" s="454">
        <v>83</v>
      </c>
      <c r="X1188" s="454">
        <v>37</v>
      </c>
      <c r="Y1188" s="454">
        <v>39</v>
      </c>
      <c r="Z1188" s="454">
        <v>88</v>
      </c>
      <c r="AA1188" s="454">
        <v>30</v>
      </c>
      <c r="AB1188" s="454">
        <v>43</v>
      </c>
      <c r="AC1188" s="207">
        <f t="shared" ref="AC1188:AE1188" si="2725">AC1247*(AC214*1000)/AC$1</f>
        <v>49.090012328767131</v>
      </c>
      <c r="AD1188" s="207">
        <f t="shared" si="2725"/>
        <v>57.286580164383572</v>
      </c>
      <c r="AE1188" s="207">
        <f t="shared" si="2725"/>
        <v>61.353927356054804</v>
      </c>
      <c r="AF1188" s="207">
        <f t="shared" ref="AF1188:AI1188" si="2726">AF1247*(AF214*1000)/AF$1</f>
        <v>64.950372631972598</v>
      </c>
      <c r="AG1188" s="207">
        <f t="shared" si="2726"/>
        <v>71.451183261626042</v>
      </c>
      <c r="AH1188" s="207">
        <f t="shared" si="2726"/>
        <v>75.998671573606842</v>
      </c>
      <c r="AI1188" s="207">
        <f t="shared" si="2726"/>
        <v>80.619390805282123</v>
      </c>
      <c r="AJ1188" s="207"/>
      <c r="AK1188" s="207"/>
      <c r="AL1188" s="207"/>
      <c r="AM1188" s="207"/>
      <c r="AN1188" s="207"/>
      <c r="AO1188" s="207"/>
      <c r="AP1188" s="207"/>
      <c r="AQ1188" s="207"/>
      <c r="AR1188" s="70"/>
      <c r="AS1188" s="765"/>
      <c r="AT1188" s="757" t="s">
        <v>224</v>
      </c>
      <c r="AU1188" s="207">
        <f>SUM(D1188:G1188)</f>
        <v>246</v>
      </c>
      <c r="AV1188" s="207">
        <f>SUM(H1188:K1188)</f>
        <v>188</v>
      </c>
      <c r="AW1188" s="207">
        <f>SUM(L1188:O1188)</f>
        <v>143</v>
      </c>
      <c r="AX1188" s="207">
        <f>SUM(P1188:S1188)</f>
        <v>150</v>
      </c>
      <c r="AY1188" s="207">
        <f>SUM(T1188:W1188)</f>
        <v>205</v>
      </c>
      <c r="AZ1188" s="379">
        <f>SUM(X1188:AA1188)</f>
        <v>194</v>
      </c>
      <c r="BA1188" s="379">
        <f>SUM(AB1188:AE1188)</f>
        <v>210.73051984920551</v>
      </c>
      <c r="BB1188" s="379">
        <f>SUM(AF1188:AI1188)</f>
        <v>293.01961827248761</v>
      </c>
      <c r="BC1188" s="207">
        <f>BC1247*(BC214*1000)/BC$1</f>
        <v>381.68650525459196</v>
      </c>
      <c r="BD1188" s="207">
        <f>BD1247*(BD214*1000)/BD$1</f>
        <v>500.96353814665196</v>
      </c>
      <c r="BE1188" s="207">
        <f>BE1247*(BE214*1000)/BE$1</f>
        <v>631.21405806478151</v>
      </c>
      <c r="BM1188"/>
      <c r="BN1188"/>
      <c r="BO1188"/>
      <c r="BP1188"/>
      <c r="BQ1188"/>
      <c r="BR1188"/>
    </row>
    <row r="1189" spans="1:70" s="369" customFormat="1" hidden="1" outlineLevel="1" x14ac:dyDescent="0.2">
      <c r="A1189" s="411"/>
      <c r="B1189" s="765"/>
      <c r="C1189" s="757" t="s">
        <v>192</v>
      </c>
      <c r="D1189" s="454">
        <v>-3</v>
      </c>
      <c r="E1189" s="454">
        <v>-4</v>
      </c>
      <c r="F1189" s="454">
        <v>38</v>
      </c>
      <c r="G1189" s="454">
        <v>44</v>
      </c>
      <c r="H1189" s="454">
        <v>-10</v>
      </c>
      <c r="I1189" s="454">
        <v>-2</v>
      </c>
      <c r="J1189" s="454">
        <v>9</v>
      </c>
      <c r="K1189" s="454">
        <v>-21</v>
      </c>
      <c r="L1189" s="454">
        <v>-3</v>
      </c>
      <c r="M1189" s="454">
        <v>-29</v>
      </c>
      <c r="N1189" s="454">
        <v>-10</v>
      </c>
      <c r="O1189" s="454">
        <v>28</v>
      </c>
      <c r="P1189" s="454">
        <v>18</v>
      </c>
      <c r="Q1189" s="454">
        <v>-6</v>
      </c>
      <c r="R1189" s="454">
        <v>33</v>
      </c>
      <c r="S1189" s="454">
        <v>6</v>
      </c>
      <c r="T1189" s="454">
        <v>63</v>
      </c>
      <c r="U1189" s="454">
        <v>-12</v>
      </c>
      <c r="V1189" s="454">
        <v>-40</v>
      </c>
      <c r="W1189" s="454">
        <v>-22</v>
      </c>
      <c r="X1189" s="454">
        <v>7</v>
      </c>
      <c r="Y1189" s="454">
        <v>-7</v>
      </c>
      <c r="Z1189" s="454">
        <v>-47</v>
      </c>
      <c r="AA1189" s="454">
        <v>3</v>
      </c>
      <c r="AB1189" s="454">
        <v>-20</v>
      </c>
      <c r="AC1189" s="241" t="s">
        <v>226</v>
      </c>
      <c r="AD1189" s="241" t="s">
        <v>226</v>
      </c>
      <c r="AE1189" s="241" t="s">
        <v>226</v>
      </c>
      <c r="AF1189" s="241" t="s">
        <v>226</v>
      </c>
      <c r="AG1189" s="241" t="s">
        <v>226</v>
      </c>
      <c r="AH1189" s="241" t="s">
        <v>226</v>
      </c>
      <c r="AI1189" s="241" t="s">
        <v>226</v>
      </c>
      <c r="AJ1189" s="241"/>
      <c r="AK1189" s="241"/>
      <c r="AL1189" s="241"/>
      <c r="AM1189" s="241"/>
      <c r="AN1189" s="241"/>
      <c r="AO1189" s="241"/>
      <c r="AP1189" s="241"/>
      <c r="AQ1189" s="241"/>
      <c r="AR1189" s="70"/>
      <c r="AS1189" s="765"/>
      <c r="AT1189" s="757" t="s">
        <v>192</v>
      </c>
      <c r="AU1189" s="207">
        <f>SUM(D1189:G1189)</f>
        <v>75</v>
      </c>
      <c r="AV1189" s="207">
        <f>SUM(H1189:K1189)</f>
        <v>-24</v>
      </c>
      <c r="AW1189" s="207">
        <f>SUM(L1189:O1189)</f>
        <v>-14</v>
      </c>
      <c r="AX1189" s="207">
        <f>SUM(P1189:S1189)</f>
        <v>51</v>
      </c>
      <c r="AY1189" s="207">
        <f>SUM(T1189:W1189)</f>
        <v>-11</v>
      </c>
      <c r="AZ1189" s="356" t="s">
        <v>226</v>
      </c>
      <c r="BA1189" s="356" t="s">
        <v>226</v>
      </c>
      <c r="BB1189" s="356" t="s">
        <v>226</v>
      </c>
      <c r="BC1189" s="241" t="s">
        <v>226</v>
      </c>
      <c r="BD1189" s="241" t="s">
        <v>226</v>
      </c>
      <c r="BE1189" s="241" t="s">
        <v>226</v>
      </c>
      <c r="BM1189"/>
      <c r="BN1189"/>
      <c r="BO1189"/>
      <c r="BP1189"/>
      <c r="BQ1189"/>
      <c r="BR1189"/>
    </row>
    <row r="1190" spans="1:70" s="369" customFormat="1" hidden="1" outlineLevel="1" x14ac:dyDescent="0.2">
      <c r="A1190" s="411"/>
      <c r="B1190" s="765"/>
      <c r="C1190" s="757"/>
      <c r="D1190" s="454"/>
      <c r="E1190" s="454"/>
      <c r="F1190" s="454"/>
      <c r="G1190" s="454"/>
      <c r="H1190" s="454"/>
      <c r="I1190" s="454"/>
      <c r="J1190" s="454"/>
      <c r="K1190" s="454"/>
      <c r="L1190" s="454"/>
      <c r="M1190" s="454"/>
      <c r="N1190" s="454"/>
      <c r="O1190" s="454"/>
      <c r="P1190" s="454"/>
      <c r="Q1190" s="454"/>
      <c r="R1190" s="454"/>
      <c r="S1190" s="454"/>
      <c r="T1190" s="454"/>
      <c r="U1190" s="454"/>
      <c r="V1190" s="454"/>
      <c r="W1190" s="454"/>
      <c r="X1190" s="454"/>
      <c r="Y1190" s="454"/>
      <c r="Z1190" s="454"/>
      <c r="AA1190" s="454"/>
      <c r="AB1190" s="454"/>
      <c r="AC1190" s="70"/>
      <c r="AD1190" s="70"/>
      <c r="AE1190" s="70"/>
      <c r="AF1190" s="70"/>
      <c r="AG1190" s="70"/>
      <c r="AH1190" s="70"/>
      <c r="AI1190" s="70"/>
      <c r="AJ1190" s="70"/>
      <c r="AK1190" s="70"/>
      <c r="AL1190" s="70"/>
      <c r="AM1190" s="70"/>
      <c r="AN1190" s="70"/>
      <c r="AO1190" s="70"/>
      <c r="AP1190" s="70"/>
      <c r="AQ1190" s="70"/>
      <c r="AR1190" s="70"/>
      <c r="AS1190" s="765"/>
      <c r="AT1190" s="757"/>
      <c r="AU1190" s="232"/>
      <c r="AV1190" s="232"/>
      <c r="AW1190" s="232"/>
      <c r="AX1190" s="232"/>
      <c r="AY1190" s="232"/>
      <c r="AZ1190" s="467"/>
      <c r="BA1190" s="467"/>
      <c r="BB1190" s="467"/>
      <c r="BC1190" s="70"/>
      <c r="BD1190" s="70"/>
      <c r="BE1190" s="70"/>
      <c r="BM1190"/>
      <c r="BN1190"/>
      <c r="BO1190"/>
      <c r="BP1190"/>
      <c r="BQ1190"/>
      <c r="BR1190"/>
    </row>
    <row r="1191" spans="1:70" s="369" customFormat="1" hidden="1" outlineLevel="1" x14ac:dyDescent="0.2">
      <c r="A1191" s="411"/>
      <c r="B1191" s="765"/>
      <c r="C1191" s="363" t="s">
        <v>75</v>
      </c>
      <c r="D1191" s="454"/>
      <c r="E1191" s="454"/>
      <c r="F1191" s="454"/>
      <c r="G1191" s="454"/>
      <c r="H1191" s="454"/>
      <c r="I1191" s="454"/>
      <c r="J1191" s="454"/>
      <c r="K1191" s="454"/>
      <c r="L1191" s="454"/>
      <c r="M1191" s="454"/>
      <c r="N1191" s="454"/>
      <c r="O1191" s="454"/>
      <c r="P1191" s="454"/>
      <c r="Q1191" s="454"/>
      <c r="R1191" s="454"/>
      <c r="S1191" s="454"/>
      <c r="T1191" s="454"/>
      <c r="U1191" s="454"/>
      <c r="V1191" s="454"/>
      <c r="W1191" s="454"/>
      <c r="X1191" s="454"/>
      <c r="Y1191" s="454"/>
      <c r="Z1191" s="454"/>
      <c r="AA1191" s="454"/>
      <c r="AB1191" s="454"/>
      <c r="AC1191" s="70"/>
      <c r="AD1191" s="70"/>
      <c r="AE1191" s="70"/>
      <c r="AF1191" s="70"/>
      <c r="AG1191" s="70"/>
      <c r="AH1191" s="70"/>
      <c r="AI1191" s="70"/>
      <c r="AJ1191" s="70"/>
      <c r="AK1191" s="70"/>
      <c r="AL1191" s="70"/>
      <c r="AM1191" s="70"/>
      <c r="AN1191" s="70"/>
      <c r="AO1191" s="70"/>
      <c r="AP1191" s="70"/>
      <c r="AQ1191" s="70"/>
      <c r="AR1191" s="70"/>
      <c r="AS1191" s="765"/>
      <c r="AT1191" s="363" t="s">
        <v>75</v>
      </c>
      <c r="AU1191" s="232"/>
      <c r="AV1191" s="232"/>
      <c r="AW1191" s="232"/>
      <c r="AX1191" s="232"/>
      <c r="AY1191" s="232"/>
      <c r="AZ1191" s="467"/>
      <c r="BA1191" s="467"/>
      <c r="BB1191" s="467"/>
      <c r="BC1191" s="70"/>
      <c r="BD1191" s="70"/>
      <c r="BE1191" s="70"/>
      <c r="BM1191"/>
      <c r="BN1191"/>
      <c r="BO1191"/>
      <c r="BP1191"/>
      <c r="BQ1191"/>
      <c r="BR1191"/>
    </row>
    <row r="1192" spans="1:70" s="369" customFormat="1" hidden="1" outlineLevel="1" x14ac:dyDescent="0.2">
      <c r="A1192" s="411"/>
      <c r="B1192" s="765"/>
      <c r="C1192" s="757" t="s">
        <v>224</v>
      </c>
      <c r="D1192" s="560">
        <v>902</v>
      </c>
      <c r="E1192" s="560">
        <v>840</v>
      </c>
      <c r="F1192" s="560">
        <v>745</v>
      </c>
      <c r="G1192" s="560">
        <v>700</v>
      </c>
      <c r="H1192" s="560">
        <v>692</v>
      </c>
      <c r="I1192" s="560">
        <v>665</v>
      </c>
      <c r="J1192" s="560">
        <v>610</v>
      </c>
      <c r="K1192" s="560">
        <v>588</v>
      </c>
      <c r="L1192" s="560">
        <v>587</v>
      </c>
      <c r="M1192" s="560">
        <v>570</v>
      </c>
      <c r="N1192" s="560">
        <v>526</v>
      </c>
      <c r="O1192" s="560">
        <v>514</v>
      </c>
      <c r="P1192" s="560">
        <v>492</v>
      </c>
      <c r="Q1192" s="560">
        <v>503</v>
      </c>
      <c r="R1192" s="560">
        <v>443</v>
      </c>
      <c r="S1192" s="560">
        <v>454</v>
      </c>
      <c r="T1192" s="560">
        <v>455</v>
      </c>
      <c r="U1192" s="560">
        <v>467</v>
      </c>
      <c r="V1192" s="560">
        <v>448</v>
      </c>
      <c r="W1192" s="560">
        <v>539</v>
      </c>
      <c r="X1192" s="560">
        <v>633</v>
      </c>
      <c r="Y1192" s="560">
        <v>611</v>
      </c>
      <c r="Z1192" s="560">
        <v>611</v>
      </c>
      <c r="AA1192" s="560">
        <v>592</v>
      </c>
      <c r="AB1192" s="560">
        <v>651</v>
      </c>
      <c r="AC1192" s="207">
        <f t="shared" ref="AC1192:AE1192" si="2727">AC1248*(AC217*1000)/AC$1</f>
        <v>677.97784849315065</v>
      </c>
      <c r="AD1192" s="207">
        <f t="shared" si="2727"/>
        <v>714.98022085479454</v>
      </c>
      <c r="AE1192" s="207">
        <f t="shared" si="2727"/>
        <v>752.43156575671242</v>
      </c>
      <c r="AF1192" s="207">
        <f t="shared" ref="AF1192:AI1192" si="2728">AF1248*(AF217*1000)/AF$1</f>
        <v>732.10094696712338</v>
      </c>
      <c r="AG1192" s="207">
        <f t="shared" si="2728"/>
        <v>740.23540193342478</v>
      </c>
      <c r="AH1192" s="207">
        <f t="shared" si="2728"/>
        <v>797.51653406926039</v>
      </c>
      <c r="AI1192" s="207">
        <f t="shared" si="2728"/>
        <v>833.17691623550013</v>
      </c>
      <c r="AJ1192" s="207"/>
      <c r="AK1192" s="207"/>
      <c r="AL1192" s="207"/>
      <c r="AM1192" s="207"/>
      <c r="AN1192" s="207"/>
      <c r="AO1192" s="207"/>
      <c r="AP1192" s="207"/>
      <c r="AQ1192" s="207"/>
      <c r="AR1192" s="70"/>
      <c r="AS1192" s="765"/>
      <c r="AT1192" s="757" t="s">
        <v>224</v>
      </c>
      <c r="AU1192" s="207">
        <f>SUM(D1192:G1192)</f>
        <v>3187</v>
      </c>
      <c r="AV1192" s="207">
        <f>SUM(H1192:K1192)</f>
        <v>2555</v>
      </c>
      <c r="AW1192" s="207">
        <f>SUM(L1192:O1192)</f>
        <v>2197</v>
      </c>
      <c r="AX1192" s="207">
        <f>SUM(P1192:S1192)</f>
        <v>1892</v>
      </c>
      <c r="AY1192" s="207">
        <f>SUM(T1192:W1192)</f>
        <v>1909</v>
      </c>
      <c r="AZ1192" s="379">
        <f>SUM(X1192:AA1192)</f>
        <v>2447</v>
      </c>
      <c r="BA1192" s="379">
        <f>SUM(AB1192:AE1192)</f>
        <v>2796.3896351046578</v>
      </c>
      <c r="BB1192" s="379">
        <f>SUM(AF1192:AI1192)</f>
        <v>3103.0297992053092</v>
      </c>
      <c r="BC1192" s="207">
        <f>BC1248*(BC217*1000)/BC$1</f>
        <v>3560.8803219725742</v>
      </c>
      <c r="BD1192" s="207">
        <f>BD1248*(BD217*1000)/BD$1</f>
        <v>4003.584362001598</v>
      </c>
      <c r="BE1192" s="207">
        <f>BE1248*(BE217*1000)/BE$1</f>
        <v>4464.0355849218595</v>
      </c>
      <c r="BM1192"/>
      <c r="BN1192"/>
      <c r="BO1192"/>
      <c r="BP1192"/>
      <c r="BQ1192"/>
      <c r="BR1192"/>
    </row>
    <row r="1193" spans="1:70" s="369" customFormat="1" hidden="1" outlineLevel="1" x14ac:dyDescent="0.2">
      <c r="A1193" s="411"/>
      <c r="B1193" s="765"/>
      <c r="C1193" s="757" t="s">
        <v>192</v>
      </c>
      <c r="D1193" s="454">
        <v>-549</v>
      </c>
      <c r="E1193" s="454">
        <v>-405</v>
      </c>
      <c r="F1193" s="454">
        <v>-403</v>
      </c>
      <c r="G1193" s="454">
        <v>-240</v>
      </c>
      <c r="H1193" s="454">
        <v>-128</v>
      </c>
      <c r="I1193" s="454">
        <v>-176</v>
      </c>
      <c r="J1193" s="454">
        <v>-156</v>
      </c>
      <c r="K1193" s="454">
        <v>-76</v>
      </c>
      <c r="L1193" s="454">
        <v>-188</v>
      </c>
      <c r="M1193" s="454">
        <v>-223</v>
      </c>
      <c r="N1193" s="454">
        <v>-212</v>
      </c>
      <c r="O1193" s="454">
        <v>-220</v>
      </c>
      <c r="P1193" s="454">
        <v>-119</v>
      </c>
      <c r="Q1193" s="454">
        <v>-74</v>
      </c>
      <c r="R1193" s="454">
        <v>-105</v>
      </c>
      <c r="S1193" s="454">
        <v>-85</v>
      </c>
      <c r="T1193" s="454">
        <v>-15</v>
      </c>
      <c r="U1193" s="454">
        <v>58</v>
      </c>
      <c r="V1193" s="454">
        <v>263</v>
      </c>
      <c r="W1193" s="454">
        <v>78</v>
      </c>
      <c r="X1193" s="454">
        <v>92</v>
      </c>
      <c r="Y1193" s="454">
        <v>26</v>
      </c>
      <c r="Z1193" s="454">
        <v>192</v>
      </c>
      <c r="AA1193" s="454">
        <v>87</v>
      </c>
      <c r="AB1193" s="454">
        <v>75</v>
      </c>
      <c r="AC1193" s="241" t="s">
        <v>226</v>
      </c>
      <c r="AD1193" s="241" t="s">
        <v>226</v>
      </c>
      <c r="AE1193" s="241" t="s">
        <v>226</v>
      </c>
      <c r="AF1193" s="241" t="s">
        <v>226</v>
      </c>
      <c r="AG1193" s="241" t="s">
        <v>226</v>
      </c>
      <c r="AH1193" s="241" t="s">
        <v>226</v>
      </c>
      <c r="AI1193" s="241" t="s">
        <v>226</v>
      </c>
      <c r="AJ1193" s="241"/>
      <c r="AK1193" s="241"/>
      <c r="AL1193" s="241"/>
      <c r="AM1193" s="241"/>
      <c r="AN1193" s="241"/>
      <c r="AO1193" s="241"/>
      <c r="AP1193" s="241"/>
      <c r="AQ1193" s="241"/>
      <c r="AR1193" s="70"/>
      <c r="AS1193" s="765"/>
      <c r="AT1193" s="757" t="s">
        <v>192</v>
      </c>
      <c r="AU1193" s="207">
        <f>SUM(D1193:G1193)</f>
        <v>-1597</v>
      </c>
      <c r="AV1193" s="207">
        <f>SUM(H1193:K1193)</f>
        <v>-536</v>
      </c>
      <c r="AW1193" s="207">
        <f>SUM(L1193:O1193)</f>
        <v>-843</v>
      </c>
      <c r="AX1193" s="207">
        <f>SUM(P1193:S1193)</f>
        <v>-383</v>
      </c>
      <c r="AY1193" s="207">
        <f>SUM(T1193:W1193)</f>
        <v>384</v>
      </c>
      <c r="AZ1193" s="356" t="s">
        <v>226</v>
      </c>
      <c r="BA1193" s="356" t="s">
        <v>226</v>
      </c>
      <c r="BB1193" s="356" t="s">
        <v>226</v>
      </c>
      <c r="BC1193" s="241" t="s">
        <v>226</v>
      </c>
      <c r="BD1193" s="241" t="s">
        <v>226</v>
      </c>
      <c r="BE1193" s="241" t="s">
        <v>226</v>
      </c>
      <c r="BM1193"/>
      <c r="BN1193"/>
      <c r="BO1193"/>
      <c r="BP1193"/>
      <c r="BQ1193"/>
      <c r="BR1193"/>
    </row>
    <row r="1194" spans="1:70" s="369" customFormat="1" hidden="1" outlineLevel="1" x14ac:dyDescent="0.2">
      <c r="A1194" s="411"/>
      <c r="B1194" s="765"/>
      <c r="C1194" s="757"/>
      <c r="D1194" s="454"/>
      <c r="E1194" s="454"/>
      <c r="F1194" s="454"/>
      <c r="G1194" s="454"/>
      <c r="H1194" s="454"/>
      <c r="I1194" s="454"/>
      <c r="J1194" s="454"/>
      <c r="K1194" s="454"/>
      <c r="L1194" s="454"/>
      <c r="M1194" s="454"/>
      <c r="N1194" s="454"/>
      <c r="O1194" s="454"/>
      <c r="P1194" s="454"/>
      <c r="Q1194" s="454"/>
      <c r="R1194" s="454"/>
      <c r="S1194" s="454"/>
      <c r="T1194" s="454"/>
      <c r="U1194" s="454"/>
      <c r="V1194" s="454"/>
      <c r="W1194" s="454"/>
      <c r="X1194" s="454"/>
      <c r="Y1194" s="454"/>
      <c r="Z1194" s="454"/>
      <c r="AA1194" s="454"/>
      <c r="AB1194" s="454"/>
      <c r="AC1194" s="70"/>
      <c r="AD1194" s="70"/>
      <c r="AE1194" s="70"/>
      <c r="AF1194" s="70"/>
      <c r="AG1194" s="70"/>
      <c r="AH1194" s="70"/>
      <c r="AI1194" s="70"/>
      <c r="AJ1194" s="70"/>
      <c r="AK1194" s="70"/>
      <c r="AL1194" s="70"/>
      <c r="AM1194" s="70"/>
      <c r="AN1194" s="70"/>
      <c r="AO1194" s="70"/>
      <c r="AP1194" s="70"/>
      <c r="AQ1194" s="70"/>
      <c r="AR1194" s="70"/>
      <c r="AS1194" s="765"/>
      <c r="AT1194" s="757"/>
      <c r="AU1194" s="232"/>
      <c r="AV1194" s="232"/>
      <c r="AW1194" s="232"/>
      <c r="AX1194" s="232"/>
      <c r="AY1194" s="232"/>
      <c r="AZ1194" s="467"/>
      <c r="BA1194" s="467"/>
      <c r="BB1194" s="467"/>
      <c r="BC1194" s="70"/>
      <c r="BD1194" s="70"/>
      <c r="BE1194" s="70"/>
      <c r="BM1194"/>
      <c r="BN1194"/>
      <c r="BO1194"/>
      <c r="BP1194"/>
      <c r="BQ1194"/>
      <c r="BR1194"/>
    </row>
    <row r="1195" spans="1:70" s="369" customFormat="1" hidden="1" outlineLevel="1" x14ac:dyDescent="0.2">
      <c r="A1195" s="411"/>
      <c r="B1195" s="765"/>
      <c r="C1195" s="363" t="s">
        <v>102</v>
      </c>
      <c r="D1195" s="454"/>
      <c r="E1195" s="454"/>
      <c r="F1195" s="454"/>
      <c r="G1195" s="454"/>
      <c r="H1195" s="454"/>
      <c r="I1195" s="454"/>
      <c r="J1195" s="454"/>
      <c r="K1195" s="454"/>
      <c r="L1195" s="454"/>
      <c r="M1195" s="454"/>
      <c r="N1195" s="454"/>
      <c r="O1195" s="454"/>
      <c r="P1195" s="454"/>
      <c r="Q1195" s="454"/>
      <c r="R1195" s="454"/>
      <c r="S1195" s="454"/>
      <c r="T1195" s="454"/>
      <c r="U1195" s="454"/>
      <c r="V1195" s="454"/>
      <c r="W1195" s="454"/>
      <c r="X1195" s="454"/>
      <c r="Y1195" s="454"/>
      <c r="Z1195" s="454"/>
      <c r="AA1195" s="454"/>
      <c r="AB1195" s="454"/>
      <c r="AC1195" s="70"/>
      <c r="AD1195" s="70"/>
      <c r="AE1195" s="70"/>
      <c r="AF1195" s="70"/>
      <c r="AG1195" s="70"/>
      <c r="AH1195" s="70"/>
      <c r="AI1195" s="70"/>
      <c r="AJ1195" s="70"/>
      <c r="AK1195" s="70"/>
      <c r="AL1195" s="70"/>
      <c r="AM1195" s="70"/>
      <c r="AN1195" s="70"/>
      <c r="AO1195" s="70"/>
      <c r="AP1195" s="70"/>
      <c r="AQ1195" s="70"/>
      <c r="AR1195" s="70"/>
      <c r="AS1195" s="765"/>
      <c r="AT1195" s="363" t="s">
        <v>102</v>
      </c>
      <c r="AU1195" s="232"/>
      <c r="AV1195" s="232"/>
      <c r="AW1195" s="232"/>
      <c r="AX1195" s="232"/>
      <c r="AY1195" s="232"/>
      <c r="AZ1195" s="467"/>
      <c r="BA1195" s="1684"/>
      <c r="BB1195" s="1684"/>
      <c r="BC1195" s="70"/>
      <c r="BD1195" s="70"/>
      <c r="BE1195" s="70"/>
      <c r="BM1195"/>
      <c r="BN1195"/>
      <c r="BO1195"/>
      <c r="BP1195"/>
      <c r="BQ1195"/>
      <c r="BR1195"/>
    </row>
    <row r="1196" spans="1:70" s="369" customFormat="1" hidden="1" outlineLevel="1" x14ac:dyDescent="0.2">
      <c r="A1196" s="411"/>
      <c r="B1196" s="765"/>
      <c r="C1196" s="757" t="s">
        <v>224</v>
      </c>
      <c r="D1196" s="560">
        <v>665</v>
      </c>
      <c r="E1196" s="560">
        <v>609</v>
      </c>
      <c r="F1196" s="560">
        <v>534</v>
      </c>
      <c r="G1196" s="560">
        <v>514</v>
      </c>
      <c r="H1196" s="560">
        <v>508</v>
      </c>
      <c r="I1196" s="560">
        <v>481</v>
      </c>
      <c r="J1196" s="560">
        <v>435</v>
      </c>
      <c r="K1196" s="560">
        <v>471</v>
      </c>
      <c r="L1196" s="560">
        <v>481</v>
      </c>
      <c r="M1196" s="560">
        <v>465</v>
      </c>
      <c r="N1196" s="560">
        <v>457</v>
      </c>
      <c r="O1196" s="560">
        <v>463</v>
      </c>
      <c r="P1196" s="560">
        <v>433</v>
      </c>
      <c r="Q1196" s="560">
        <v>457</v>
      </c>
      <c r="R1196" s="560">
        <v>401</v>
      </c>
      <c r="S1196" s="560">
        <v>418</v>
      </c>
      <c r="T1196" s="560">
        <v>453</v>
      </c>
      <c r="U1196" s="560">
        <v>442</v>
      </c>
      <c r="V1196" s="560">
        <v>427</v>
      </c>
      <c r="W1196" s="560">
        <v>483</v>
      </c>
      <c r="X1196" s="560">
        <v>520</v>
      </c>
      <c r="Y1196" s="560">
        <v>531</v>
      </c>
      <c r="Z1196" s="560">
        <v>540</v>
      </c>
      <c r="AA1196" s="560">
        <v>564</v>
      </c>
      <c r="AB1196" s="560">
        <v>602</v>
      </c>
      <c r="AC1196" s="207">
        <f t="shared" ref="AC1196:AE1196" si="2729">AC1249*(AC218*1000)/AC$1</f>
        <v>613.67557808219169</v>
      </c>
      <c r="AD1196" s="207">
        <f t="shared" si="2729"/>
        <v>627.46096476402738</v>
      </c>
      <c r="AE1196" s="207">
        <f t="shared" si="2729"/>
        <v>633.67344956367117</v>
      </c>
      <c r="AF1196" s="207">
        <f t="shared" ref="AF1196:AI1196" si="2730">AF1249*(AF218*1000)/AF$1</f>
        <v>625.21480321175341</v>
      </c>
      <c r="AG1196" s="207">
        <f t="shared" si="2730"/>
        <v>642.06955228167021</v>
      </c>
      <c r="AH1196" s="207">
        <f t="shared" si="2730"/>
        <v>677.68677315988839</v>
      </c>
      <c r="AI1196" s="207">
        <f t="shared" si="2730"/>
        <v>707.4924414238651</v>
      </c>
      <c r="AJ1196" s="207"/>
      <c r="AK1196" s="207"/>
      <c r="AL1196" s="207"/>
      <c r="AM1196" s="207"/>
      <c r="AN1196" s="207"/>
      <c r="AO1196" s="207"/>
      <c r="AP1196" s="207"/>
      <c r="AQ1196" s="207"/>
      <c r="AR1196" s="70"/>
      <c r="AS1196" s="765"/>
      <c r="AT1196" s="757" t="s">
        <v>224</v>
      </c>
      <c r="AU1196" s="207">
        <f>SUM(D1196:G1196)</f>
        <v>2322</v>
      </c>
      <c r="AV1196" s="207">
        <f>SUM(H1196:K1196)</f>
        <v>1895</v>
      </c>
      <c r="AW1196" s="207">
        <f>SUM(L1196:O1196)</f>
        <v>1866</v>
      </c>
      <c r="AX1196" s="207">
        <f>SUM(P1196:S1196)</f>
        <v>1709</v>
      </c>
      <c r="AY1196" s="207">
        <f>SUM(T1196:W1196)</f>
        <v>1805</v>
      </c>
      <c r="AZ1196" s="379">
        <f>SUM(X1196:AA1196)</f>
        <v>2155</v>
      </c>
      <c r="BA1196" s="379">
        <f>SUM(AB1196:AE1196)</f>
        <v>2476.8099924098901</v>
      </c>
      <c r="BB1196" s="379">
        <f>SUM(AF1196:AI1196)</f>
        <v>2652.4635700771769</v>
      </c>
      <c r="BC1196" s="207">
        <f>BC1249*(BC218*1000)/BC$1</f>
        <v>2840.5478993760939</v>
      </c>
      <c r="BD1196" s="207">
        <f>BD1249*(BD218*1000)/BD$1</f>
        <v>3034.7380830425318</v>
      </c>
      <c r="BE1196" s="207">
        <f>BE1249*(BE218*1000)/BE$1</f>
        <v>3267.8489375629674</v>
      </c>
      <c r="BM1196"/>
      <c r="BN1196"/>
      <c r="BO1196"/>
      <c r="BP1196"/>
      <c r="BQ1196"/>
      <c r="BR1196"/>
    </row>
    <row r="1197" spans="1:70" s="369" customFormat="1" hidden="1" outlineLevel="1" x14ac:dyDescent="0.2">
      <c r="A1197" s="411"/>
      <c r="B1197" s="765"/>
      <c r="C1197" s="757" t="s">
        <v>192</v>
      </c>
      <c r="D1197" s="454">
        <v>-290</v>
      </c>
      <c r="E1197" s="454">
        <v>-404</v>
      </c>
      <c r="F1197" s="454">
        <v>-153</v>
      </c>
      <c r="G1197" s="454">
        <v>-20</v>
      </c>
      <c r="H1197" s="454">
        <v>-233</v>
      </c>
      <c r="I1197" s="454">
        <v>-173</v>
      </c>
      <c r="J1197" s="454">
        <v>-81</v>
      </c>
      <c r="K1197" s="454">
        <v>9</v>
      </c>
      <c r="L1197" s="454">
        <v>-79</v>
      </c>
      <c r="M1197" s="454">
        <v>-146</v>
      </c>
      <c r="N1197" s="454">
        <v>-118</v>
      </c>
      <c r="O1197" s="454">
        <v>-41</v>
      </c>
      <c r="P1197" s="454">
        <v>1</v>
      </c>
      <c r="Q1197" s="454">
        <v>-29</v>
      </c>
      <c r="R1197" s="454">
        <v>12</v>
      </c>
      <c r="S1197" s="454">
        <v>9</v>
      </c>
      <c r="T1197" s="454">
        <v>31</v>
      </c>
      <c r="U1197" s="454">
        <v>3</v>
      </c>
      <c r="V1197" s="454">
        <v>185</v>
      </c>
      <c r="W1197" s="454">
        <v>61</v>
      </c>
      <c r="X1197" s="454">
        <v>53</v>
      </c>
      <c r="Y1197" s="454">
        <v>82</v>
      </c>
      <c r="Z1197" s="454">
        <v>318</v>
      </c>
      <c r="AA1197" s="454">
        <v>63</v>
      </c>
      <c r="AB1197" s="454">
        <v>68</v>
      </c>
      <c r="AC1197" s="241" t="s">
        <v>226</v>
      </c>
      <c r="AD1197" s="241" t="s">
        <v>226</v>
      </c>
      <c r="AE1197" s="241" t="s">
        <v>226</v>
      </c>
      <c r="AF1197" s="241" t="s">
        <v>226</v>
      </c>
      <c r="AG1197" s="241" t="s">
        <v>226</v>
      </c>
      <c r="AH1197" s="241" t="s">
        <v>226</v>
      </c>
      <c r="AI1197" s="241" t="s">
        <v>226</v>
      </c>
      <c r="AJ1197" s="241"/>
      <c r="AK1197" s="241"/>
      <c r="AL1197" s="241"/>
      <c r="AM1197" s="241"/>
      <c r="AN1197" s="241"/>
      <c r="AO1197" s="241"/>
      <c r="AP1197" s="241"/>
      <c r="AQ1197" s="241"/>
      <c r="AR1197" s="70"/>
      <c r="AS1197" s="765"/>
      <c r="AT1197" s="757" t="s">
        <v>192</v>
      </c>
      <c r="AU1197" s="207">
        <f>SUM(D1197:G1197)</f>
        <v>-867</v>
      </c>
      <c r="AV1197" s="207">
        <f>SUM(H1197:K1197)</f>
        <v>-478</v>
      </c>
      <c r="AW1197" s="207">
        <f>SUM(L1197:O1197)</f>
        <v>-384</v>
      </c>
      <c r="AX1197" s="207">
        <f>SUM(P1197:S1197)</f>
        <v>-7</v>
      </c>
      <c r="AY1197" s="207">
        <f>SUM(T1197:W1197)</f>
        <v>280</v>
      </c>
      <c r="AZ1197" s="356" t="s">
        <v>226</v>
      </c>
      <c r="BA1197" s="356" t="s">
        <v>226</v>
      </c>
      <c r="BB1197" s="356" t="s">
        <v>226</v>
      </c>
      <c r="BC1197" s="241" t="s">
        <v>226</v>
      </c>
      <c r="BD1197" s="241" t="s">
        <v>226</v>
      </c>
      <c r="BE1197" s="241" t="s">
        <v>226</v>
      </c>
      <c r="BM1197"/>
      <c r="BN1197"/>
      <c r="BO1197"/>
      <c r="BP1197"/>
      <c r="BQ1197"/>
      <c r="BR1197"/>
    </row>
    <row r="1198" spans="1:70" s="369" customFormat="1" collapsed="1" x14ac:dyDescent="0.2">
      <c r="A1198" s="411"/>
      <c r="B1198" s="765"/>
      <c r="C1198" s="757"/>
      <c r="D1198" s="454"/>
      <c r="E1198" s="454"/>
      <c r="F1198" s="454"/>
      <c r="G1198" s="454"/>
      <c r="H1198" s="454"/>
      <c r="I1198" s="454"/>
      <c r="J1198" s="454"/>
      <c r="K1198" s="454"/>
      <c r="L1198" s="454"/>
      <c r="M1198" s="454"/>
      <c r="N1198" s="454"/>
      <c r="O1198" s="454"/>
      <c r="P1198" s="454"/>
      <c r="Q1198" s="454"/>
      <c r="R1198" s="454"/>
      <c r="S1198" s="454"/>
      <c r="T1198" s="454"/>
      <c r="U1198" s="454"/>
      <c r="V1198" s="454"/>
      <c r="W1198" s="454"/>
      <c r="X1198" s="454"/>
      <c r="Y1198" s="454"/>
      <c r="Z1198" s="454"/>
      <c r="AA1198" s="454"/>
      <c r="AB1198" s="454"/>
      <c r="AC1198" s="762"/>
      <c r="AD1198" s="760"/>
      <c r="AE1198" s="760"/>
      <c r="AF1198" s="760"/>
      <c r="AG1198" s="760"/>
      <c r="AH1198" s="760"/>
      <c r="AI1198" s="517"/>
      <c r="AJ1198" s="517"/>
      <c r="AK1198" s="517"/>
      <c r="AL1198" s="517"/>
      <c r="AM1198" s="517"/>
      <c r="AN1198" s="517"/>
      <c r="AO1198" s="517"/>
      <c r="AP1198" s="517"/>
      <c r="AQ1198" s="517"/>
      <c r="AR1198" s="70"/>
      <c r="AS1198" s="765"/>
      <c r="AT1198" s="757"/>
      <c r="AU1198" s="232"/>
      <c r="AV1198" s="232"/>
      <c r="AW1198" s="232"/>
      <c r="AX1198" s="232"/>
      <c r="AY1198" s="232"/>
      <c r="AZ1198" s="467"/>
      <c r="BA1198" s="467"/>
      <c r="BB1198" s="467"/>
      <c r="BM1198"/>
      <c r="BN1198"/>
      <c r="BO1198"/>
      <c r="BP1198"/>
      <c r="BQ1198"/>
      <c r="BR1198"/>
    </row>
    <row r="1199" spans="1:70" s="369" customFormat="1" x14ac:dyDescent="0.2">
      <c r="A1199" s="411"/>
      <c r="B1199" s="85" t="s">
        <v>5</v>
      </c>
      <c r="C1199" s="757"/>
      <c r="D1199" s="560"/>
      <c r="E1199" s="560"/>
      <c r="F1199" s="560"/>
      <c r="G1199" s="560"/>
      <c r="H1199" s="560"/>
      <c r="I1199" s="560"/>
      <c r="J1199" s="560"/>
      <c r="K1199" s="560"/>
      <c r="L1199" s="560"/>
      <c r="M1199" s="560"/>
      <c r="N1199" s="560"/>
      <c r="O1199" s="560"/>
      <c r="P1199" s="560"/>
      <c r="Q1199" s="560"/>
      <c r="R1199" s="560"/>
      <c r="S1199" s="560"/>
      <c r="T1199" s="560"/>
      <c r="U1199" s="560"/>
      <c r="V1199" s="560"/>
      <c r="W1199" s="560"/>
      <c r="X1199" s="560"/>
      <c r="Y1199" s="560"/>
      <c r="Z1199" s="560"/>
      <c r="AA1199" s="560"/>
      <c r="AB1199" s="560"/>
      <c r="AC1199" s="762"/>
      <c r="AD1199" s="760"/>
      <c r="AE1199" s="760"/>
      <c r="AF1199" s="760"/>
      <c r="AG1199" s="760"/>
      <c r="AH1199" s="760"/>
      <c r="AI1199" s="762"/>
      <c r="AJ1199" s="762"/>
      <c r="AK1199" s="762"/>
      <c r="AL1199" s="762"/>
      <c r="AM1199" s="762"/>
      <c r="AN1199" s="762"/>
      <c r="AO1199" s="762"/>
      <c r="AP1199" s="762"/>
      <c r="AQ1199" s="762"/>
      <c r="AR1199" s="70"/>
      <c r="AS1199" s="85" t="s">
        <v>5</v>
      </c>
      <c r="AT1199" s="757"/>
      <c r="AU1199" s="232"/>
      <c r="AV1199" s="232"/>
      <c r="AW1199" s="232"/>
      <c r="AX1199" s="232"/>
      <c r="AY1199" s="232"/>
      <c r="AZ1199" s="467"/>
      <c r="BA1199" s="467"/>
      <c r="BB1199" s="467"/>
      <c r="BM1199"/>
      <c r="BN1199"/>
      <c r="BO1199"/>
      <c r="BP1199"/>
      <c r="BQ1199"/>
      <c r="BR1199"/>
    </row>
    <row r="1200" spans="1:70" s="369" customFormat="1" x14ac:dyDescent="0.2">
      <c r="A1200" s="411"/>
      <c r="B1200" s="85"/>
      <c r="C1200" s="757" t="s">
        <v>252</v>
      </c>
      <c r="D1200" s="69">
        <f t="shared" ref="D1200:X1200" si="2731">D281</f>
        <v>305</v>
      </c>
      <c r="E1200" s="69">
        <f t="shared" si="2731"/>
        <v>290</v>
      </c>
      <c r="F1200" s="69">
        <f t="shared" si="2731"/>
        <v>290</v>
      </c>
      <c r="G1200" s="69">
        <f t="shared" si="2731"/>
        <v>322</v>
      </c>
      <c r="H1200" s="69">
        <f t="shared" si="2731"/>
        <v>347</v>
      </c>
      <c r="I1200" s="69">
        <f t="shared" si="2731"/>
        <v>407</v>
      </c>
      <c r="J1200" s="69">
        <f t="shared" si="2731"/>
        <v>476</v>
      </c>
      <c r="K1200" s="69">
        <f t="shared" si="2731"/>
        <v>397</v>
      </c>
      <c r="L1200" s="69">
        <f t="shared" si="2731"/>
        <v>425</v>
      </c>
      <c r="M1200" s="69">
        <f t="shared" si="2731"/>
        <v>488</v>
      </c>
      <c r="N1200" s="69">
        <f t="shared" si="2731"/>
        <v>414</v>
      </c>
      <c r="O1200" s="69">
        <f t="shared" si="2731"/>
        <v>420</v>
      </c>
      <c r="P1200" s="69">
        <f t="shared" si="2731"/>
        <v>363</v>
      </c>
      <c r="Q1200" s="69">
        <f t="shared" si="2731"/>
        <v>347</v>
      </c>
      <c r="R1200" s="69">
        <f t="shared" si="2731"/>
        <v>338</v>
      </c>
      <c r="S1200" s="69">
        <f t="shared" si="2731"/>
        <v>332</v>
      </c>
      <c r="T1200" s="69">
        <f t="shared" si="2731"/>
        <v>315</v>
      </c>
      <c r="U1200" s="69">
        <f t="shared" si="2731"/>
        <v>271</v>
      </c>
      <c r="V1200" s="69">
        <f t="shared" si="2731"/>
        <v>304</v>
      </c>
      <c r="W1200" s="69">
        <f t="shared" si="2731"/>
        <v>306</v>
      </c>
      <c r="X1200" s="69">
        <f t="shared" si="2731"/>
        <v>288</v>
      </c>
      <c r="Y1200" s="69">
        <f t="shared" ref="Y1200:Z1200" si="2732">Y281</f>
        <v>341</v>
      </c>
      <c r="Z1200" s="69">
        <f t="shared" si="2732"/>
        <v>357</v>
      </c>
      <c r="AA1200" s="69">
        <f t="shared" ref="AA1200:AB1200" si="2733">AA281</f>
        <v>338</v>
      </c>
      <c r="AB1200" s="69">
        <f t="shared" si="2733"/>
        <v>341</v>
      </c>
      <c r="AC1200" s="635">
        <f t="shared" ref="AC1200:AE1200" si="2734">AC1201*AC1202</f>
        <v>327.06106808219181</v>
      </c>
      <c r="AD1200" s="635">
        <f t="shared" si="2734"/>
        <v>349.58741660547935</v>
      </c>
      <c r="AE1200" s="635">
        <f t="shared" si="2734"/>
        <v>365.42135126958897</v>
      </c>
      <c r="AF1200" s="635">
        <f t="shared" ref="AF1200:AI1200" si="2735">AF1201*AF1202</f>
        <v>347.12322166007255</v>
      </c>
      <c r="AG1200" s="635">
        <f t="shared" si="2735"/>
        <v>360.71237175553847</v>
      </c>
      <c r="AH1200" s="635">
        <f t="shared" si="2735"/>
        <v>374.82953467995884</v>
      </c>
      <c r="AI1200" s="635">
        <f t="shared" si="2735"/>
        <v>389.78072226233076</v>
      </c>
      <c r="AJ1200" s="635"/>
      <c r="AK1200" s="635"/>
      <c r="AL1200" s="635"/>
      <c r="AM1200" s="635"/>
      <c r="AN1200" s="635"/>
      <c r="AO1200" s="635"/>
      <c r="AP1200" s="635"/>
      <c r="AQ1200" s="635"/>
      <c r="AR1200" s="70"/>
      <c r="AS1200" s="85"/>
      <c r="AT1200" s="757" t="s">
        <v>252</v>
      </c>
      <c r="AU1200" s="207">
        <f>SUM(D1200:G1200)</f>
        <v>1207</v>
      </c>
      <c r="AV1200" s="207">
        <f>SUM(H1200:K1200)</f>
        <v>1627</v>
      </c>
      <c r="AW1200" s="207">
        <f>SUM(L1200:O1200)</f>
        <v>1747</v>
      </c>
      <c r="AX1200" s="207">
        <f>SUM(P1200:S1200)</f>
        <v>1380</v>
      </c>
      <c r="AY1200" s="207">
        <f>SUM(T1200:W1200)</f>
        <v>1196</v>
      </c>
      <c r="AZ1200" s="379">
        <f>SUM(X1200:AA1200)</f>
        <v>1324</v>
      </c>
      <c r="BA1200" s="379">
        <f>SUM(AB1200:AE1200)</f>
        <v>1383.0698359572602</v>
      </c>
      <c r="BB1200" s="379">
        <f>SUM(AF1200:AI1200)</f>
        <v>1472.4458503579006</v>
      </c>
      <c r="BC1200" s="635">
        <f>BC1201*BC1202</f>
        <v>1598.2099944828633</v>
      </c>
      <c r="BD1200" s="635">
        <f>BD1201*BD1202</f>
        <v>1728.7759277114692</v>
      </c>
      <c r="BE1200" s="635">
        <f>BE1201*BE1202</f>
        <v>1867.4475668572879</v>
      </c>
      <c r="BM1200"/>
      <c r="BN1200"/>
      <c r="BO1200"/>
      <c r="BP1200"/>
      <c r="BQ1200"/>
      <c r="BR1200"/>
    </row>
    <row r="1201" spans="1:70" s="369" customFormat="1" x14ac:dyDescent="0.2">
      <c r="A1201" s="411"/>
      <c r="B1201" s="86"/>
      <c r="C1201" s="757" t="s">
        <v>224</v>
      </c>
      <c r="D1201" s="69">
        <f t="shared" ref="D1201:X1201" si="2736">D282</f>
        <v>212</v>
      </c>
      <c r="E1201" s="69">
        <f t="shared" si="2736"/>
        <v>195</v>
      </c>
      <c r="F1201" s="69">
        <f t="shared" si="2736"/>
        <v>227</v>
      </c>
      <c r="G1201" s="69">
        <f t="shared" si="2736"/>
        <v>276</v>
      </c>
      <c r="H1201" s="69">
        <f t="shared" si="2736"/>
        <v>289</v>
      </c>
      <c r="I1201" s="69">
        <f t="shared" si="2736"/>
        <v>299</v>
      </c>
      <c r="J1201" s="69">
        <f t="shared" si="2736"/>
        <v>295</v>
      </c>
      <c r="K1201" s="69">
        <f t="shared" si="2736"/>
        <v>319</v>
      </c>
      <c r="L1201" s="69">
        <f t="shared" si="2736"/>
        <v>346</v>
      </c>
      <c r="M1201" s="69">
        <f t="shared" si="2736"/>
        <v>366</v>
      </c>
      <c r="N1201" s="69">
        <f t="shared" si="2736"/>
        <v>380</v>
      </c>
      <c r="O1201" s="69">
        <f t="shared" si="2736"/>
        <v>423</v>
      </c>
      <c r="P1201" s="69">
        <f t="shared" si="2736"/>
        <v>356</v>
      </c>
      <c r="Q1201" s="69">
        <f t="shared" si="2736"/>
        <v>316</v>
      </c>
      <c r="R1201" s="69">
        <f t="shared" si="2736"/>
        <v>301</v>
      </c>
      <c r="S1201" s="69">
        <f t="shared" si="2736"/>
        <v>307</v>
      </c>
      <c r="T1201" s="69">
        <f t="shared" si="2736"/>
        <v>278</v>
      </c>
      <c r="U1201" s="69">
        <f t="shared" si="2736"/>
        <v>260</v>
      </c>
      <c r="V1201" s="69">
        <f t="shared" si="2736"/>
        <v>254</v>
      </c>
      <c r="W1201" s="69">
        <f t="shared" si="2736"/>
        <v>248</v>
      </c>
      <c r="X1201" s="69">
        <f t="shared" si="2736"/>
        <v>253</v>
      </c>
      <c r="Y1201" s="69">
        <f t="shared" ref="Y1201:Z1201" si="2737">Y282</f>
        <v>277</v>
      </c>
      <c r="Z1201" s="69">
        <f t="shared" si="2737"/>
        <v>295</v>
      </c>
      <c r="AA1201" s="69">
        <f t="shared" ref="AA1201:AB1201" si="2738">AA282</f>
        <v>292</v>
      </c>
      <c r="AB1201" s="69">
        <f t="shared" si="2738"/>
        <v>278</v>
      </c>
      <c r="AC1201" s="379">
        <f t="shared" ref="AC1201:AE1201" si="2739">AC1205+AC1209</f>
        <v>284.40092876712333</v>
      </c>
      <c r="AD1201" s="379">
        <f t="shared" si="2739"/>
        <v>303.98905791780817</v>
      </c>
      <c r="AE1201" s="379">
        <f t="shared" si="2739"/>
        <v>317.75769675616436</v>
      </c>
      <c r="AF1201" s="379">
        <f t="shared" ref="AF1201:AI1201" si="2740">AF1205+AF1209</f>
        <v>315.56656514552049</v>
      </c>
      <c r="AG1201" s="379">
        <f t="shared" si="2740"/>
        <v>327.92033795958042</v>
      </c>
      <c r="AH1201" s="379">
        <f t="shared" si="2740"/>
        <v>340.75412243632621</v>
      </c>
      <c r="AI1201" s="379">
        <f t="shared" si="2740"/>
        <v>354.34611114757337</v>
      </c>
      <c r="AJ1201" s="379"/>
      <c r="AK1201" s="379"/>
      <c r="AL1201" s="379"/>
      <c r="AM1201" s="379"/>
      <c r="AN1201" s="379"/>
      <c r="AO1201" s="379"/>
      <c r="AP1201" s="379"/>
      <c r="AQ1201" s="379"/>
      <c r="AR1201" s="70"/>
      <c r="AS1201" s="86"/>
      <c r="AT1201" s="757" t="s">
        <v>224</v>
      </c>
      <c r="AU1201" s="207">
        <f>SUM(D1201:G1201)</f>
        <v>910</v>
      </c>
      <c r="AV1201" s="207">
        <f>SUM(H1201:K1201)</f>
        <v>1202</v>
      </c>
      <c r="AW1201" s="207">
        <f>SUM(L1201:O1201)</f>
        <v>1515</v>
      </c>
      <c r="AX1201" s="207">
        <f>SUM(P1201:S1201)</f>
        <v>1280</v>
      </c>
      <c r="AY1201" s="207">
        <f>SUM(T1201:W1201)</f>
        <v>1040</v>
      </c>
      <c r="AZ1201" s="379">
        <f>SUM(X1201:AA1201)</f>
        <v>1117</v>
      </c>
      <c r="BA1201" s="379">
        <f>SUM(AB1201:AE1201)</f>
        <v>1184.147683441096</v>
      </c>
      <c r="BB1201" s="379">
        <f>SUM(AF1201:AI1201)</f>
        <v>1338.5871366890005</v>
      </c>
      <c r="BC1201" s="379">
        <f>BC1205+BC1209</f>
        <v>1452.9181768026028</v>
      </c>
      <c r="BD1201" s="379">
        <f>BD1205+BD1209</f>
        <v>1571.6144797376992</v>
      </c>
      <c r="BE1201" s="379">
        <f>BE1205+BE1209</f>
        <v>1697.6796062338981</v>
      </c>
      <c r="BM1201"/>
      <c r="BN1201"/>
      <c r="BO1201"/>
      <c r="BP1201"/>
      <c r="BQ1201"/>
      <c r="BR1201"/>
    </row>
    <row r="1202" spans="1:70" s="145" customFormat="1" x14ac:dyDescent="0.2">
      <c r="A1202" s="831"/>
      <c r="B1202" s="180"/>
      <c r="C1202" s="179" t="s">
        <v>288</v>
      </c>
      <c r="D1202" s="152">
        <f t="shared" ref="D1202:X1202" si="2741">D1200/D1201</f>
        <v>1.4386792452830188</v>
      </c>
      <c r="E1202" s="152">
        <f t="shared" si="2741"/>
        <v>1.4871794871794872</v>
      </c>
      <c r="F1202" s="152">
        <f t="shared" si="2741"/>
        <v>1.277533039647577</v>
      </c>
      <c r="G1202" s="152">
        <f t="shared" si="2741"/>
        <v>1.1666666666666667</v>
      </c>
      <c r="H1202" s="152">
        <f t="shared" si="2741"/>
        <v>1.2006920415224913</v>
      </c>
      <c r="I1202" s="152">
        <f t="shared" si="2741"/>
        <v>1.3612040133779264</v>
      </c>
      <c r="J1202" s="152">
        <f t="shared" si="2741"/>
        <v>1.6135593220338984</v>
      </c>
      <c r="K1202" s="152">
        <f t="shared" si="2741"/>
        <v>1.244514106583072</v>
      </c>
      <c r="L1202" s="152">
        <f t="shared" si="2741"/>
        <v>1.2283236994219653</v>
      </c>
      <c r="M1202" s="152">
        <f t="shared" si="2741"/>
        <v>1.3333333333333333</v>
      </c>
      <c r="N1202" s="152">
        <f t="shared" si="2741"/>
        <v>1.0894736842105264</v>
      </c>
      <c r="O1202" s="152">
        <f t="shared" si="2741"/>
        <v>0.99290780141843971</v>
      </c>
      <c r="P1202" s="152">
        <f t="shared" si="2741"/>
        <v>1.0196629213483146</v>
      </c>
      <c r="Q1202" s="152">
        <f t="shared" si="2741"/>
        <v>1.0981012658227849</v>
      </c>
      <c r="R1202" s="152">
        <f t="shared" si="2741"/>
        <v>1.1229235880398671</v>
      </c>
      <c r="S1202" s="152">
        <f t="shared" si="2741"/>
        <v>1.0814332247557004</v>
      </c>
      <c r="T1202" s="152">
        <f t="shared" si="2741"/>
        <v>1.1330935251798562</v>
      </c>
      <c r="U1202" s="152">
        <f t="shared" si="2741"/>
        <v>1.0423076923076924</v>
      </c>
      <c r="V1202" s="152">
        <f t="shared" si="2741"/>
        <v>1.1968503937007875</v>
      </c>
      <c r="W1202" s="152">
        <f t="shared" si="2741"/>
        <v>1.2338709677419355</v>
      </c>
      <c r="X1202" s="152">
        <f t="shared" si="2741"/>
        <v>1.1383399209486167</v>
      </c>
      <c r="Y1202" s="152">
        <f t="shared" ref="Y1202:Z1202" si="2742">Y1200/Y1201</f>
        <v>1.2310469314079422</v>
      </c>
      <c r="Z1202" s="152">
        <f t="shared" si="2742"/>
        <v>1.2101694915254237</v>
      </c>
      <c r="AA1202" s="152">
        <f t="shared" ref="AA1202:AB1202" si="2743">AA1200/AA1201</f>
        <v>1.1575342465753424</v>
      </c>
      <c r="AB1202" s="152">
        <f t="shared" si="2743"/>
        <v>1.2266187050359711</v>
      </c>
      <c r="AC1202" s="275">
        <f>Drivers!AC143</f>
        <v>1.1499999999999999</v>
      </c>
      <c r="AD1202" s="275">
        <f>Drivers!AD143</f>
        <v>1.1499999999999999</v>
      </c>
      <c r="AE1202" s="275">
        <f>Drivers!AE143</f>
        <v>1.1499999999999999</v>
      </c>
      <c r="AF1202" s="275">
        <f>Drivers!AF143</f>
        <v>1.1000000000000001</v>
      </c>
      <c r="AG1202" s="275">
        <f>Drivers!AG143</f>
        <v>1.1000000000000001</v>
      </c>
      <c r="AH1202" s="275">
        <f>Drivers!AH143</f>
        <v>1.1000000000000001</v>
      </c>
      <c r="AI1202" s="275">
        <f>Drivers!AI143</f>
        <v>1.1000000000000001</v>
      </c>
      <c r="AJ1202" s="275"/>
      <c r="AK1202" s="275"/>
      <c r="AL1202" s="275"/>
      <c r="AM1202" s="275"/>
      <c r="AN1202" s="275"/>
      <c r="AO1202" s="275"/>
      <c r="AP1202" s="275"/>
      <c r="AQ1202" s="275"/>
      <c r="AR1202" s="70"/>
      <c r="AS1202" s="180"/>
      <c r="AT1202" s="179" t="s">
        <v>288</v>
      </c>
      <c r="AU1202" s="152">
        <f t="shared" ref="AU1202:BA1202" si="2744">AU1200/AU1201</f>
        <v>1.3263736263736263</v>
      </c>
      <c r="AV1202" s="152">
        <f t="shared" si="2744"/>
        <v>1.3535773710482528</v>
      </c>
      <c r="AW1202" s="152">
        <f t="shared" si="2744"/>
        <v>1.1531353135313531</v>
      </c>
      <c r="AX1202" s="152">
        <f t="shared" si="2744"/>
        <v>1.078125</v>
      </c>
      <c r="AY1202" s="152">
        <f t="shared" si="2744"/>
        <v>1.1499999999999999</v>
      </c>
      <c r="AZ1202" s="152">
        <f t="shared" si="2744"/>
        <v>1.1853178155774395</v>
      </c>
      <c r="BA1202" s="152">
        <f t="shared" si="2744"/>
        <v>1.1679876212214533</v>
      </c>
      <c r="BB1202" s="152">
        <f t="shared" ref="BB1202" si="2745">BB1200/BB1201</f>
        <v>1.0999999999999999</v>
      </c>
      <c r="BC1202" s="275">
        <f>Drivers!BC143</f>
        <v>1.1000000000000001</v>
      </c>
      <c r="BD1202" s="275">
        <f>Drivers!BD143</f>
        <v>1.1000000000000001</v>
      </c>
      <c r="BE1202" s="275">
        <f>Drivers!BE143</f>
        <v>1.1000000000000001</v>
      </c>
      <c r="BM1202"/>
      <c r="BN1202"/>
      <c r="BO1202"/>
      <c r="BP1202"/>
      <c r="BQ1202"/>
      <c r="BR1202"/>
    </row>
    <row r="1203" spans="1:70" s="369" customFormat="1" hidden="1" outlineLevel="1" x14ac:dyDescent="0.2">
      <c r="A1203" s="411"/>
      <c r="B1203" s="86"/>
      <c r="C1203" s="757"/>
      <c r="D1203" s="560"/>
      <c r="E1203" s="560"/>
      <c r="F1203" s="560"/>
      <c r="G1203" s="560"/>
      <c r="H1203" s="560"/>
      <c r="I1203" s="560"/>
      <c r="J1203" s="560"/>
      <c r="K1203" s="560"/>
      <c r="L1203" s="560"/>
      <c r="M1203" s="560"/>
      <c r="N1203" s="560"/>
      <c r="O1203" s="560"/>
      <c r="P1203" s="560"/>
      <c r="Q1203" s="560"/>
      <c r="R1203" s="560"/>
      <c r="S1203" s="560"/>
      <c r="T1203" s="560"/>
      <c r="U1203" s="560"/>
      <c r="V1203" s="560"/>
      <c r="W1203" s="560"/>
      <c r="X1203" s="560"/>
      <c r="Y1203" s="560"/>
      <c r="Z1203" s="560"/>
      <c r="AA1203" s="560"/>
      <c r="AB1203" s="560"/>
      <c r="AC1203" s="764"/>
      <c r="AD1203" s="760"/>
      <c r="AE1203" s="760"/>
      <c r="AF1203" s="760"/>
      <c r="AG1203" s="760"/>
      <c r="AH1203" s="760"/>
      <c r="AI1203" s="517"/>
      <c r="AJ1203" s="517"/>
      <c r="AK1203" s="517"/>
      <c r="AL1203" s="517"/>
      <c r="AM1203" s="517"/>
      <c r="AN1203" s="517"/>
      <c r="AO1203" s="517"/>
      <c r="AP1203" s="517"/>
      <c r="AQ1203" s="517"/>
      <c r="AR1203" s="70"/>
      <c r="AS1203" s="86"/>
      <c r="AT1203" s="757"/>
      <c r="AU1203" s="232"/>
      <c r="AV1203" s="232"/>
      <c r="AW1203" s="232"/>
      <c r="AX1203" s="232"/>
      <c r="AY1203" s="232"/>
      <c r="AZ1203" s="467"/>
      <c r="BA1203" s="467"/>
      <c r="BB1203" s="467"/>
      <c r="BM1203"/>
      <c r="BN1203"/>
      <c r="BO1203"/>
      <c r="BP1203"/>
      <c r="BQ1203"/>
      <c r="BR1203"/>
    </row>
    <row r="1204" spans="1:70" s="369" customFormat="1" hidden="1" outlineLevel="1" x14ac:dyDescent="0.2">
      <c r="A1204" s="411"/>
      <c r="B1204" s="765"/>
      <c r="C1204" s="363" t="s">
        <v>74</v>
      </c>
      <c r="D1204" s="454"/>
      <c r="E1204" s="454"/>
      <c r="F1204" s="454"/>
      <c r="G1204" s="454"/>
      <c r="H1204" s="454"/>
      <c r="I1204" s="454"/>
      <c r="J1204" s="454"/>
      <c r="K1204" s="454"/>
      <c r="L1204" s="454"/>
      <c r="M1204" s="454"/>
      <c r="N1204" s="454"/>
      <c r="O1204" s="454"/>
      <c r="P1204" s="454"/>
      <c r="Q1204" s="454"/>
      <c r="R1204" s="454"/>
      <c r="S1204" s="454"/>
      <c r="T1204" s="454"/>
      <c r="U1204" s="454"/>
      <c r="V1204" s="454"/>
      <c r="W1204" s="454"/>
      <c r="X1204" s="454"/>
      <c r="Y1204" s="454"/>
      <c r="Z1204" s="454"/>
      <c r="AA1204" s="454"/>
      <c r="AB1204" s="454"/>
      <c r="AC1204" s="762"/>
      <c r="AD1204" s="760"/>
      <c r="AE1204" s="760"/>
      <c r="AF1204" s="760"/>
      <c r="AG1204" s="760"/>
      <c r="AH1204" s="760"/>
      <c r="AI1204" s="385"/>
      <c r="AJ1204" s="385"/>
      <c r="AK1204" s="385"/>
      <c r="AL1204" s="385"/>
      <c r="AM1204" s="385"/>
      <c r="AN1204" s="385"/>
      <c r="AO1204" s="385"/>
      <c r="AP1204" s="385"/>
      <c r="AQ1204" s="385"/>
      <c r="AR1204" s="70"/>
      <c r="AS1204" s="765"/>
      <c r="AT1204" s="363" t="s">
        <v>74</v>
      </c>
      <c r="AU1204" s="232"/>
      <c r="AV1204" s="232"/>
      <c r="AW1204" s="232"/>
      <c r="AX1204" s="232"/>
      <c r="AY1204" s="232"/>
      <c r="AZ1204" s="467"/>
      <c r="BA1204" s="467"/>
      <c r="BB1204" s="467"/>
      <c r="BM1204"/>
      <c r="BN1204"/>
      <c r="BO1204"/>
      <c r="BP1204"/>
      <c r="BQ1204"/>
      <c r="BR1204"/>
    </row>
    <row r="1205" spans="1:70" s="369" customFormat="1" hidden="1" outlineLevel="1" x14ac:dyDescent="0.2">
      <c r="A1205" s="411"/>
      <c r="B1205" s="765"/>
      <c r="C1205" s="757" t="s">
        <v>224</v>
      </c>
      <c r="D1205" s="454">
        <v>94</v>
      </c>
      <c r="E1205" s="454">
        <v>82</v>
      </c>
      <c r="F1205" s="454">
        <v>100</v>
      </c>
      <c r="G1205" s="454">
        <v>139</v>
      </c>
      <c r="H1205" s="454">
        <v>137</v>
      </c>
      <c r="I1205" s="454">
        <v>144</v>
      </c>
      <c r="J1205" s="454">
        <v>140</v>
      </c>
      <c r="K1205" s="454">
        <v>151</v>
      </c>
      <c r="L1205" s="454">
        <v>155</v>
      </c>
      <c r="M1205" s="454">
        <v>160</v>
      </c>
      <c r="N1205" s="454">
        <v>164</v>
      </c>
      <c r="O1205" s="454">
        <v>220</v>
      </c>
      <c r="P1205" s="454">
        <v>150</v>
      </c>
      <c r="Q1205" s="454">
        <v>142</v>
      </c>
      <c r="R1205" s="454">
        <v>138</v>
      </c>
      <c r="S1205" s="454">
        <v>159</v>
      </c>
      <c r="T1205" s="454">
        <v>134</v>
      </c>
      <c r="U1205" s="454">
        <v>137</v>
      </c>
      <c r="V1205" s="454">
        <v>132</v>
      </c>
      <c r="W1205" s="454">
        <v>138</v>
      </c>
      <c r="X1205" s="454">
        <v>137</v>
      </c>
      <c r="Y1205" s="454">
        <v>151</v>
      </c>
      <c r="Z1205" s="454">
        <v>143</v>
      </c>
      <c r="AA1205" s="454">
        <v>153</v>
      </c>
      <c r="AB1205" s="454">
        <v>132</v>
      </c>
      <c r="AC1205" s="207">
        <f t="shared" ref="AC1205:AE1205" si="2746">AC1253*AC325*1000/AC1</f>
        <v>140.73561369863015</v>
      </c>
      <c r="AD1205" s="207">
        <f t="shared" si="2746"/>
        <v>155.11390175342467</v>
      </c>
      <c r="AE1205" s="207">
        <f t="shared" si="2746"/>
        <v>163.6719101260274</v>
      </c>
      <c r="AF1205" s="207">
        <f t="shared" ref="AF1205:AI1205" si="2747">AF1253*AF325*1000/AF1</f>
        <v>166.43832121565754</v>
      </c>
      <c r="AG1205" s="207">
        <f t="shared" si="2747"/>
        <v>172.66845689375472</v>
      </c>
      <c r="AH1205" s="207">
        <f t="shared" si="2747"/>
        <v>179.95290741896</v>
      </c>
      <c r="AI1205" s="207">
        <f t="shared" si="2747"/>
        <v>186.37584196068289</v>
      </c>
      <c r="AJ1205" s="207"/>
      <c r="AK1205" s="207"/>
      <c r="AL1205" s="207"/>
      <c r="AM1205" s="207"/>
      <c r="AN1205" s="207"/>
      <c r="AO1205" s="207"/>
      <c r="AP1205" s="207"/>
      <c r="AQ1205" s="207"/>
      <c r="AR1205" s="70"/>
      <c r="AS1205" s="765"/>
      <c r="AT1205" s="757" t="s">
        <v>224</v>
      </c>
      <c r="AU1205" s="207">
        <f>SUM(D1205:G1205)</f>
        <v>415</v>
      </c>
      <c r="AV1205" s="207">
        <f>SUM(H1205:K1205)</f>
        <v>572</v>
      </c>
      <c r="AW1205" s="207">
        <f>SUM(L1205:O1205)</f>
        <v>699</v>
      </c>
      <c r="AX1205" s="207">
        <f>SUM(P1205:S1205)</f>
        <v>589</v>
      </c>
      <c r="AY1205" s="207">
        <f>SUM(T1205:W1205)</f>
        <v>541</v>
      </c>
      <c r="AZ1205" s="379">
        <f>SUM(X1205:AA1205)</f>
        <v>584</v>
      </c>
      <c r="BA1205" s="379">
        <f>SUM(AB1205:AE1205)</f>
        <v>591.52142557808224</v>
      </c>
      <c r="BB1205" s="379">
        <f>SUM(AF1205:AI1205)</f>
        <v>705.43552748905518</v>
      </c>
      <c r="BC1205" s="207">
        <f>BC1253*BC325*1000/BC1</f>
        <v>773.02052025254557</v>
      </c>
      <c r="BD1205" s="207">
        <f>BD1253*BD325*1000/BD1</f>
        <v>851.23200818397947</v>
      </c>
      <c r="BE1205" s="207">
        <f>BE1253*BE325*1000/BE1</f>
        <v>934.46358231752436</v>
      </c>
      <c r="BM1205"/>
      <c r="BN1205"/>
      <c r="BO1205"/>
      <c r="BP1205"/>
      <c r="BQ1205"/>
      <c r="BR1205"/>
    </row>
    <row r="1206" spans="1:70" s="369" customFormat="1" hidden="1" outlineLevel="1" x14ac:dyDescent="0.2">
      <c r="A1206" s="411"/>
      <c r="B1206" s="765"/>
      <c r="C1206" s="757" t="s">
        <v>192</v>
      </c>
      <c r="D1206" s="454">
        <v>59</v>
      </c>
      <c r="E1206" s="454">
        <v>67</v>
      </c>
      <c r="F1206" s="454">
        <v>23</v>
      </c>
      <c r="G1206" s="454">
        <v>3</v>
      </c>
      <c r="H1206" s="454">
        <v>-3</v>
      </c>
      <c r="I1206" s="454">
        <v>74</v>
      </c>
      <c r="J1206" s="454">
        <v>117</v>
      </c>
      <c r="K1206" s="454">
        <v>26</v>
      </c>
      <c r="L1206" s="454">
        <v>10</v>
      </c>
      <c r="M1206" s="454">
        <v>17</v>
      </c>
      <c r="N1206" s="454">
        <v>9</v>
      </c>
      <c r="O1206" s="454">
        <v>-36</v>
      </c>
      <c r="P1206" s="454">
        <v>0</v>
      </c>
      <c r="Q1206" s="454">
        <v>17</v>
      </c>
      <c r="R1206" s="454">
        <v>13</v>
      </c>
      <c r="S1206" s="454">
        <v>12</v>
      </c>
      <c r="T1206" s="454">
        <v>16</v>
      </c>
      <c r="U1206" s="454">
        <v>-3</v>
      </c>
      <c r="V1206" s="454">
        <v>47</v>
      </c>
      <c r="W1206" s="454">
        <v>31</v>
      </c>
      <c r="X1206" s="454">
        <v>14</v>
      </c>
      <c r="Y1206" s="454">
        <v>27</v>
      </c>
      <c r="Z1206" s="454">
        <v>13</v>
      </c>
      <c r="AA1206" s="454">
        <v>-5</v>
      </c>
      <c r="AB1206" s="454">
        <v>10</v>
      </c>
      <c r="AC1206" s="351" t="s">
        <v>226</v>
      </c>
      <c r="AD1206" s="351" t="s">
        <v>226</v>
      </c>
      <c r="AE1206" s="351" t="s">
        <v>226</v>
      </c>
      <c r="AF1206" s="351" t="s">
        <v>226</v>
      </c>
      <c r="AG1206" s="351" t="s">
        <v>226</v>
      </c>
      <c r="AH1206" s="351" t="s">
        <v>226</v>
      </c>
      <c r="AI1206" s="351" t="s">
        <v>226</v>
      </c>
      <c r="AJ1206" s="351"/>
      <c r="AK1206" s="351"/>
      <c r="AL1206" s="351"/>
      <c r="AM1206" s="351"/>
      <c r="AN1206" s="351"/>
      <c r="AO1206" s="351"/>
      <c r="AP1206" s="351"/>
      <c r="AQ1206" s="351"/>
      <c r="AR1206" s="70"/>
      <c r="AS1206" s="765"/>
      <c r="AT1206" s="757" t="s">
        <v>192</v>
      </c>
      <c r="AU1206" s="207">
        <f>SUM(D1206:G1206)</f>
        <v>152</v>
      </c>
      <c r="AV1206" s="207">
        <f>SUM(H1206:K1206)</f>
        <v>214</v>
      </c>
      <c r="AW1206" s="207">
        <f>SUM(L1206:O1206)</f>
        <v>0</v>
      </c>
      <c r="AX1206" s="207">
        <f>SUM(P1206:S1206)</f>
        <v>42</v>
      </c>
      <c r="AY1206" s="207">
        <f>SUM(T1206:W1206)</f>
        <v>91</v>
      </c>
      <c r="AZ1206" s="356" t="s">
        <v>226</v>
      </c>
      <c r="BA1206" s="356" t="s">
        <v>226</v>
      </c>
      <c r="BB1206" s="356" t="s">
        <v>226</v>
      </c>
      <c r="BC1206" s="241" t="s">
        <v>226</v>
      </c>
      <c r="BD1206" s="241" t="s">
        <v>226</v>
      </c>
      <c r="BE1206" s="241" t="s">
        <v>226</v>
      </c>
      <c r="BM1206"/>
      <c r="BN1206"/>
      <c r="BO1206"/>
      <c r="BP1206"/>
      <c r="BQ1206"/>
      <c r="BR1206"/>
    </row>
    <row r="1207" spans="1:70" s="369" customFormat="1" hidden="1" outlineLevel="1" x14ac:dyDescent="0.2">
      <c r="A1207" s="411"/>
      <c r="B1207" s="765"/>
      <c r="C1207" s="757"/>
      <c r="D1207" s="454"/>
      <c r="E1207" s="454"/>
      <c r="F1207" s="454"/>
      <c r="G1207" s="454"/>
      <c r="H1207" s="454"/>
      <c r="I1207" s="454"/>
      <c r="J1207" s="454"/>
      <c r="K1207" s="454"/>
      <c r="L1207" s="454"/>
      <c r="M1207" s="454"/>
      <c r="N1207" s="454"/>
      <c r="O1207" s="454"/>
      <c r="P1207" s="454"/>
      <c r="Q1207" s="454"/>
      <c r="R1207" s="454"/>
      <c r="S1207" s="454"/>
      <c r="T1207" s="454"/>
      <c r="U1207" s="454"/>
      <c r="V1207" s="454"/>
      <c r="W1207" s="454"/>
      <c r="X1207" s="454"/>
      <c r="Y1207" s="454"/>
      <c r="Z1207" s="454"/>
      <c r="AA1207" s="454"/>
      <c r="AB1207" s="454"/>
      <c r="AC1207" s="764"/>
      <c r="AD1207" s="760"/>
      <c r="AE1207" s="760"/>
      <c r="AF1207" s="760"/>
      <c r="AG1207" s="760"/>
      <c r="AH1207" s="760"/>
      <c r="AI1207" s="517"/>
      <c r="AJ1207" s="517"/>
      <c r="AK1207" s="517"/>
      <c r="AL1207" s="517"/>
      <c r="AM1207" s="517"/>
      <c r="AN1207" s="517"/>
      <c r="AO1207" s="517"/>
      <c r="AP1207" s="517"/>
      <c r="AQ1207" s="517"/>
      <c r="AR1207" s="70"/>
      <c r="AS1207" s="765"/>
      <c r="AT1207" s="757"/>
      <c r="AU1207" s="448"/>
      <c r="AV1207" s="762"/>
      <c r="AX1207" s="763"/>
      <c r="BM1207"/>
      <c r="BN1207"/>
      <c r="BO1207"/>
      <c r="BP1207"/>
      <c r="BQ1207"/>
      <c r="BR1207"/>
    </row>
    <row r="1208" spans="1:70" s="369" customFormat="1" hidden="1" outlineLevel="1" x14ac:dyDescent="0.2">
      <c r="A1208" s="411"/>
      <c r="B1208" s="765"/>
      <c r="C1208" s="363" t="s">
        <v>75</v>
      </c>
      <c r="D1208" s="454"/>
      <c r="E1208" s="454"/>
      <c r="F1208" s="454"/>
      <c r="G1208" s="454"/>
      <c r="H1208" s="454"/>
      <c r="I1208" s="454"/>
      <c r="J1208" s="454"/>
      <c r="K1208" s="454"/>
      <c r="L1208" s="454"/>
      <c r="M1208" s="454"/>
      <c r="N1208" s="454"/>
      <c r="O1208" s="454"/>
      <c r="P1208" s="454"/>
      <c r="Q1208" s="454"/>
      <c r="R1208" s="454"/>
      <c r="S1208" s="454"/>
      <c r="T1208" s="454"/>
      <c r="U1208" s="454"/>
      <c r="V1208" s="454"/>
      <c r="W1208" s="454"/>
      <c r="X1208" s="454"/>
      <c r="Y1208" s="454"/>
      <c r="Z1208" s="454"/>
      <c r="AA1208" s="454"/>
      <c r="AB1208" s="454"/>
      <c r="AC1208" s="762"/>
      <c r="AD1208" s="760"/>
      <c r="AE1208" s="760"/>
      <c r="AF1208" s="760"/>
      <c r="AG1208" s="760"/>
      <c r="AH1208" s="760"/>
      <c r="AI1208" s="385"/>
      <c r="AJ1208" s="385"/>
      <c r="AK1208" s="385"/>
      <c r="AL1208" s="385"/>
      <c r="AM1208" s="385"/>
      <c r="AN1208" s="385"/>
      <c r="AO1208" s="385"/>
      <c r="AP1208" s="385"/>
      <c r="AQ1208" s="385"/>
      <c r="AR1208" s="70"/>
      <c r="AS1208" s="765"/>
      <c r="AT1208" s="363" t="s">
        <v>75</v>
      </c>
      <c r="AU1208" s="232"/>
      <c r="AV1208" s="232"/>
      <c r="AW1208" s="232"/>
      <c r="AX1208" s="232"/>
      <c r="AY1208" s="232"/>
      <c r="AZ1208" s="467"/>
      <c r="BA1208" s="467"/>
      <c r="BB1208" s="467"/>
      <c r="BM1208"/>
      <c r="BN1208"/>
      <c r="BO1208"/>
      <c r="BP1208"/>
      <c r="BQ1208"/>
      <c r="BR1208"/>
    </row>
    <row r="1209" spans="1:70" s="369" customFormat="1" hidden="1" outlineLevel="1" x14ac:dyDescent="0.2">
      <c r="A1209" s="411"/>
      <c r="B1209" s="765"/>
      <c r="C1209" s="757" t="s">
        <v>224</v>
      </c>
      <c r="D1209" s="454">
        <v>118</v>
      </c>
      <c r="E1209" s="454">
        <v>113</v>
      </c>
      <c r="F1209" s="454">
        <v>127</v>
      </c>
      <c r="G1209" s="454">
        <v>137</v>
      </c>
      <c r="H1209" s="454">
        <v>152</v>
      </c>
      <c r="I1209" s="454">
        <v>155</v>
      </c>
      <c r="J1209" s="454">
        <v>155</v>
      </c>
      <c r="K1209" s="454">
        <v>168</v>
      </c>
      <c r="L1209" s="454">
        <v>191</v>
      </c>
      <c r="M1209" s="454">
        <v>206</v>
      </c>
      <c r="N1209" s="454">
        <v>216</v>
      </c>
      <c r="O1209" s="454">
        <v>203</v>
      </c>
      <c r="P1209" s="454">
        <v>206</v>
      </c>
      <c r="Q1209" s="454">
        <v>174</v>
      </c>
      <c r="R1209" s="454">
        <v>163</v>
      </c>
      <c r="S1209" s="454">
        <v>148</v>
      </c>
      <c r="T1209" s="454">
        <v>144</v>
      </c>
      <c r="U1209" s="454">
        <v>123</v>
      </c>
      <c r="V1209" s="454">
        <v>122</v>
      </c>
      <c r="W1209" s="454">
        <v>110</v>
      </c>
      <c r="X1209" s="454">
        <v>116</v>
      </c>
      <c r="Y1209" s="454">
        <v>126</v>
      </c>
      <c r="Z1209" s="454">
        <v>152</v>
      </c>
      <c r="AA1209" s="454">
        <v>139</v>
      </c>
      <c r="AB1209" s="454">
        <v>146</v>
      </c>
      <c r="AC1209" s="207">
        <f t="shared" ref="AC1209:AE1209" si="2748">AC1254*(AC327*1000)/AC$1</f>
        <v>143.66531506849316</v>
      </c>
      <c r="AD1209" s="207">
        <f t="shared" si="2748"/>
        <v>148.87515616438353</v>
      </c>
      <c r="AE1209" s="207">
        <f t="shared" si="2748"/>
        <v>154.08578663013697</v>
      </c>
      <c r="AF1209" s="207">
        <f t="shared" ref="AF1209:AI1209" si="2749">AF1254*(AF327*1000)/AF$1</f>
        <v>149.12824392986298</v>
      </c>
      <c r="AG1209" s="207">
        <f t="shared" si="2749"/>
        <v>155.2518810658257</v>
      </c>
      <c r="AH1209" s="207">
        <f t="shared" si="2749"/>
        <v>160.80121501736622</v>
      </c>
      <c r="AI1209" s="207">
        <f t="shared" si="2749"/>
        <v>167.97026918689048</v>
      </c>
      <c r="AJ1209" s="207"/>
      <c r="AK1209" s="207"/>
      <c r="AL1209" s="207"/>
      <c r="AM1209" s="207"/>
      <c r="AN1209" s="207"/>
      <c r="AO1209" s="207"/>
      <c r="AP1209" s="207"/>
      <c r="AQ1209" s="207"/>
      <c r="AR1209" s="70"/>
      <c r="AS1209" s="765"/>
      <c r="AT1209" s="757" t="s">
        <v>224</v>
      </c>
      <c r="AU1209" s="207">
        <f>SUM(D1209:G1209)</f>
        <v>495</v>
      </c>
      <c r="AV1209" s="207">
        <f>SUM(H1209:K1209)</f>
        <v>630</v>
      </c>
      <c r="AW1209" s="207">
        <f>SUM(L1209:O1209)</f>
        <v>816</v>
      </c>
      <c r="AX1209" s="207">
        <f>SUM(P1209:S1209)</f>
        <v>691</v>
      </c>
      <c r="AY1209" s="207">
        <f>SUM(T1209:W1209)</f>
        <v>499</v>
      </c>
      <c r="AZ1209" s="379">
        <f>SUM(X1209:AA1209)</f>
        <v>533</v>
      </c>
      <c r="BA1209" s="379">
        <f>SUM(AB1209:AE1209)</f>
        <v>592.62625786301373</v>
      </c>
      <c r="BB1209" s="379">
        <f>SUM(AF1209:AI1209)</f>
        <v>633.15160919994537</v>
      </c>
      <c r="BC1209" s="207">
        <f>BC1254*(BC327*1000)/BC$1</f>
        <v>679.89765655005726</v>
      </c>
      <c r="BD1209" s="207">
        <f>BD1254*(BD327*1000)/BD$1</f>
        <v>720.38247155371982</v>
      </c>
      <c r="BE1209" s="207">
        <f>BE1254*(BE327*1000)/BE$1</f>
        <v>763.21602391637362</v>
      </c>
      <c r="BM1209"/>
      <c r="BN1209"/>
      <c r="BO1209"/>
      <c r="BP1209"/>
      <c r="BQ1209"/>
      <c r="BR1209"/>
    </row>
    <row r="1210" spans="1:70" s="369" customFormat="1" hidden="1" outlineLevel="1" x14ac:dyDescent="0.2">
      <c r="A1210" s="411"/>
      <c r="B1210" s="765"/>
      <c r="C1210" s="757" t="s">
        <v>192</v>
      </c>
      <c r="D1210" s="454">
        <v>0</v>
      </c>
      <c r="E1210" s="454">
        <v>7</v>
      </c>
      <c r="F1210" s="454">
        <v>4</v>
      </c>
      <c r="G1210" s="454">
        <v>8</v>
      </c>
      <c r="H1210" s="454">
        <v>22</v>
      </c>
      <c r="I1210" s="454">
        <v>12</v>
      </c>
      <c r="J1210" s="454">
        <v>44</v>
      </c>
      <c r="K1210" s="454">
        <v>28</v>
      </c>
      <c r="L1210" s="454">
        <v>35</v>
      </c>
      <c r="M1210" s="454">
        <v>89</v>
      </c>
      <c r="N1210" s="454">
        <v>0</v>
      </c>
      <c r="O1210" s="454">
        <v>4</v>
      </c>
      <c r="P1210" s="454">
        <v>-8</v>
      </c>
      <c r="Q1210" s="454">
        <v>2</v>
      </c>
      <c r="R1210" s="454">
        <v>6</v>
      </c>
      <c r="S1210" s="454">
        <v>-9</v>
      </c>
      <c r="T1210" s="454">
        <v>1</v>
      </c>
      <c r="U1210" s="454">
        <v>1</v>
      </c>
      <c r="V1210" s="454">
        <v>-15</v>
      </c>
      <c r="W1210" s="454">
        <v>5</v>
      </c>
      <c r="X1210" s="454">
        <v>-2</v>
      </c>
      <c r="Y1210" s="454">
        <v>23</v>
      </c>
      <c r="Z1210" s="454">
        <v>31</v>
      </c>
      <c r="AA1210" s="454">
        <v>24</v>
      </c>
      <c r="AB1210" s="454">
        <v>32</v>
      </c>
      <c r="AC1210" s="351" t="s">
        <v>226</v>
      </c>
      <c r="AD1210" s="351" t="s">
        <v>226</v>
      </c>
      <c r="AE1210" s="351" t="s">
        <v>226</v>
      </c>
      <c r="AF1210" s="351" t="s">
        <v>226</v>
      </c>
      <c r="AG1210" s="351" t="s">
        <v>226</v>
      </c>
      <c r="AH1210" s="351" t="s">
        <v>226</v>
      </c>
      <c r="AI1210" s="351" t="s">
        <v>226</v>
      </c>
      <c r="AJ1210" s="351"/>
      <c r="AK1210" s="351"/>
      <c r="AL1210" s="351"/>
      <c r="AM1210" s="351"/>
      <c r="AN1210" s="351"/>
      <c r="AO1210" s="351"/>
      <c r="AP1210" s="351"/>
      <c r="AQ1210" s="351"/>
      <c r="AR1210" s="70"/>
      <c r="AS1210" s="765"/>
      <c r="AT1210" s="757" t="s">
        <v>192</v>
      </c>
      <c r="AU1210" s="207">
        <f>SUM(D1210:G1210)</f>
        <v>19</v>
      </c>
      <c r="AV1210" s="207">
        <f>SUM(H1210:K1210)</f>
        <v>106</v>
      </c>
      <c r="AW1210" s="207">
        <f>SUM(L1210:O1210)</f>
        <v>128</v>
      </c>
      <c r="AX1210" s="207">
        <f>SUM(P1210:S1210)</f>
        <v>-9</v>
      </c>
      <c r="AY1210" s="207">
        <f>SUM(T1210:W1210)</f>
        <v>-8</v>
      </c>
      <c r="AZ1210" s="356" t="s">
        <v>226</v>
      </c>
      <c r="BA1210" s="356" t="s">
        <v>226</v>
      </c>
      <c r="BB1210" s="356" t="s">
        <v>226</v>
      </c>
      <c r="BC1210" s="241" t="s">
        <v>226</v>
      </c>
      <c r="BD1210" s="241" t="s">
        <v>226</v>
      </c>
      <c r="BE1210" s="241" t="s">
        <v>226</v>
      </c>
      <c r="BM1210"/>
      <c r="BN1210"/>
      <c r="BO1210"/>
      <c r="BP1210"/>
      <c r="BQ1210"/>
      <c r="BR1210"/>
    </row>
    <row r="1211" spans="1:70" s="369" customFormat="1" collapsed="1" x14ac:dyDescent="0.2">
      <c r="A1211" s="411"/>
      <c r="B1211" s="765"/>
      <c r="C1211" s="757"/>
      <c r="D1211" s="454"/>
      <c r="E1211" s="454"/>
      <c r="F1211" s="454"/>
      <c r="G1211" s="454"/>
      <c r="H1211" s="454"/>
      <c r="I1211" s="454"/>
      <c r="J1211" s="454"/>
      <c r="K1211" s="454"/>
      <c r="L1211" s="454"/>
      <c r="M1211" s="454"/>
      <c r="N1211" s="454"/>
      <c r="O1211" s="454"/>
      <c r="P1211" s="454"/>
      <c r="Q1211" s="454"/>
      <c r="R1211" s="454"/>
      <c r="S1211" s="454"/>
      <c r="T1211" s="454"/>
      <c r="U1211" s="454"/>
      <c r="V1211" s="454"/>
      <c r="W1211" s="454"/>
      <c r="AC1211" s="764"/>
      <c r="AD1211" s="760"/>
      <c r="AE1211" s="760"/>
      <c r="AF1211" s="760"/>
      <c r="AG1211" s="760"/>
      <c r="AH1211" s="760"/>
      <c r="AI1211" s="517"/>
      <c r="AJ1211" s="517"/>
      <c r="AK1211" s="517"/>
      <c r="AL1211" s="517"/>
      <c r="AM1211" s="517"/>
      <c r="AN1211" s="517"/>
      <c r="AO1211" s="517"/>
      <c r="AP1211" s="517"/>
      <c r="AQ1211" s="517"/>
      <c r="AR1211" s="70"/>
      <c r="AS1211" s="765"/>
      <c r="AT1211" s="757"/>
      <c r="AU1211" s="448"/>
      <c r="AV1211" s="762"/>
      <c r="AX1211" s="763"/>
      <c r="BM1211"/>
      <c r="BN1211"/>
      <c r="BO1211"/>
      <c r="BP1211"/>
      <c r="BQ1211"/>
      <c r="BR1211"/>
    </row>
    <row r="1212" spans="1:70" s="369" customFormat="1" x14ac:dyDescent="0.2">
      <c r="A1212" s="411"/>
      <c r="B1212" s="85" t="s">
        <v>338</v>
      </c>
      <c r="C1212" s="757"/>
      <c r="D1212" s="560"/>
      <c r="E1212" s="560"/>
      <c r="F1212" s="560"/>
      <c r="G1212" s="560"/>
      <c r="H1212" s="560"/>
      <c r="I1212" s="560"/>
      <c r="J1212" s="560"/>
      <c r="K1212" s="560"/>
      <c r="L1212" s="560"/>
      <c r="M1212" s="560"/>
      <c r="N1212" s="560"/>
      <c r="O1212" s="560"/>
      <c r="P1212" s="560"/>
      <c r="Q1212" s="560"/>
      <c r="R1212" s="560"/>
      <c r="S1212" s="560"/>
      <c r="T1212" s="560"/>
      <c r="U1212" s="560"/>
      <c r="V1212" s="560"/>
      <c r="W1212" s="560"/>
      <c r="AC1212" s="762"/>
      <c r="AD1212" s="760"/>
      <c r="AE1212" s="760"/>
      <c r="AF1212" s="760"/>
      <c r="AG1212" s="760"/>
      <c r="AH1212" s="760"/>
      <c r="AI1212" s="762"/>
      <c r="AJ1212" s="762"/>
      <c r="AK1212" s="762"/>
      <c r="AL1212" s="762"/>
      <c r="AM1212" s="762"/>
      <c r="AN1212" s="762"/>
      <c r="AO1212" s="762"/>
      <c r="AP1212" s="762"/>
      <c r="AQ1212" s="762"/>
      <c r="AR1212" s="70"/>
      <c r="AS1212" s="85" t="s">
        <v>338</v>
      </c>
      <c r="AT1212" s="757"/>
      <c r="AU1212" s="232"/>
      <c r="AV1212" s="232"/>
      <c r="AW1212" s="232"/>
      <c r="AX1212" s="232"/>
      <c r="AY1212" s="232"/>
      <c r="AZ1212" s="467"/>
      <c r="BA1212" s="467"/>
      <c r="BB1212" s="467"/>
      <c r="BM1212"/>
      <c r="BN1212"/>
      <c r="BO1212"/>
      <c r="BP1212"/>
      <c r="BQ1212"/>
      <c r="BR1212"/>
    </row>
    <row r="1213" spans="1:70" s="369" customFormat="1" x14ac:dyDescent="0.2">
      <c r="A1213" s="411"/>
      <c r="B1213" s="85"/>
      <c r="C1213" s="757" t="s">
        <v>252</v>
      </c>
      <c r="D1213" s="69">
        <f t="shared" ref="D1213:X1213" si="2750">D359</f>
        <v>172</v>
      </c>
      <c r="E1213" s="69">
        <f t="shared" si="2750"/>
        <v>147</v>
      </c>
      <c r="F1213" s="69">
        <f t="shared" si="2750"/>
        <v>186</v>
      </c>
      <c r="G1213" s="69">
        <f t="shared" si="2750"/>
        <v>251</v>
      </c>
      <c r="H1213" s="69">
        <f t="shared" si="2750"/>
        <v>217</v>
      </c>
      <c r="I1213" s="69">
        <f t="shared" si="2750"/>
        <v>203</v>
      </c>
      <c r="J1213" s="69">
        <f t="shared" si="2750"/>
        <v>183</v>
      </c>
      <c r="K1213" s="69">
        <f t="shared" si="2750"/>
        <v>212</v>
      </c>
      <c r="L1213" s="69">
        <f t="shared" si="2750"/>
        <v>198</v>
      </c>
      <c r="M1213" s="69">
        <f t="shared" si="2750"/>
        <v>194</v>
      </c>
      <c r="N1213" s="69">
        <f t="shared" si="2750"/>
        <v>177</v>
      </c>
      <c r="O1213" s="69">
        <f t="shared" si="2750"/>
        <v>200</v>
      </c>
      <c r="P1213" s="69">
        <f t="shared" si="2750"/>
        <v>133</v>
      </c>
      <c r="Q1213" s="69">
        <f t="shared" si="2750"/>
        <v>177</v>
      </c>
      <c r="R1213" s="69">
        <f t="shared" si="2750"/>
        <v>114</v>
      </c>
      <c r="S1213" s="69">
        <f t="shared" si="2750"/>
        <v>206</v>
      </c>
      <c r="T1213" s="69">
        <f t="shared" si="2750"/>
        <v>149</v>
      </c>
      <c r="U1213" s="69">
        <f t="shared" si="2750"/>
        <v>136</v>
      </c>
      <c r="V1213" s="69">
        <f t="shared" si="2750"/>
        <v>161</v>
      </c>
      <c r="W1213" s="69">
        <f t="shared" si="2750"/>
        <v>173</v>
      </c>
      <c r="X1213" s="69">
        <f t="shared" si="2750"/>
        <v>172</v>
      </c>
      <c r="Y1213" s="69">
        <f t="shared" ref="Y1213:Z1213" si="2751">Y359</f>
        <v>129</v>
      </c>
      <c r="Z1213" s="69">
        <f t="shared" si="2751"/>
        <v>148</v>
      </c>
      <c r="AA1213" s="69">
        <f t="shared" ref="AA1213:AB1213" si="2752">AA359</f>
        <v>166</v>
      </c>
      <c r="AB1213" s="69">
        <f t="shared" si="2752"/>
        <v>143</v>
      </c>
      <c r="AC1213" s="635">
        <f t="shared" ref="AC1213:AE1213" si="2753">AC1214*AC1215</f>
        <v>174.45021616438356</v>
      </c>
      <c r="AD1213" s="635">
        <f t="shared" si="2753"/>
        <v>183.94443200000003</v>
      </c>
      <c r="AE1213" s="635">
        <f t="shared" si="2753"/>
        <v>200.91758948945755</v>
      </c>
      <c r="AF1213" s="635">
        <f t="shared" ref="AF1213:AI1213" si="2754">AF1214*AF1215</f>
        <v>201.96054579136685</v>
      </c>
      <c r="AG1213" s="635">
        <f t="shared" si="2754"/>
        <v>216.42461137723419</v>
      </c>
      <c r="AH1213" s="635">
        <f t="shared" si="2754"/>
        <v>234.92377411884024</v>
      </c>
      <c r="AI1213" s="635">
        <f t="shared" si="2754"/>
        <v>252.22643045847317</v>
      </c>
      <c r="AJ1213" s="635"/>
      <c r="AK1213" s="635"/>
      <c r="AL1213" s="635"/>
      <c r="AM1213" s="635"/>
      <c r="AN1213" s="635"/>
      <c r="AO1213" s="635"/>
      <c r="AP1213" s="635"/>
      <c r="AQ1213" s="635"/>
      <c r="AR1213" s="70"/>
      <c r="AS1213" s="85"/>
      <c r="AT1213" s="757" t="s">
        <v>252</v>
      </c>
      <c r="AU1213" s="207">
        <f>SUM(D1213:G1213)</f>
        <v>756</v>
      </c>
      <c r="AV1213" s="207">
        <f>SUM(H1213:K1213)</f>
        <v>815</v>
      </c>
      <c r="AW1213" s="207">
        <f>SUM(L1213:O1213)</f>
        <v>769</v>
      </c>
      <c r="AX1213" s="207">
        <f>SUM(P1213:S1213)</f>
        <v>630</v>
      </c>
      <c r="AY1213" s="207">
        <f>SUM(T1213:W1213)</f>
        <v>619</v>
      </c>
      <c r="AZ1213" s="379">
        <f>SUM(X1213:AA1213)</f>
        <v>615</v>
      </c>
      <c r="BA1213" s="379">
        <f>SUM(AB1213:AE1213)</f>
        <v>702.31223765384118</v>
      </c>
      <c r="BB1213" s="379">
        <f>SUM(AF1213:AI1213)</f>
        <v>905.53536174591443</v>
      </c>
      <c r="BC1213" s="635">
        <f>BC1214*BC1215</f>
        <v>1053.1065374210971</v>
      </c>
      <c r="BD1213" s="635">
        <f>BD1214*BD1215</f>
        <v>1176.2428462556086</v>
      </c>
      <c r="BE1213" s="635">
        <f>BE1214*BE1215</f>
        <v>1356.3731571663534</v>
      </c>
      <c r="BM1213"/>
      <c r="BN1213"/>
      <c r="BO1213"/>
      <c r="BP1213"/>
      <c r="BQ1213"/>
      <c r="BR1213"/>
    </row>
    <row r="1214" spans="1:70" s="369" customFormat="1" x14ac:dyDescent="0.2">
      <c r="A1214" s="411"/>
      <c r="B1214" s="86"/>
      <c r="C1214" s="757" t="s">
        <v>224</v>
      </c>
      <c r="D1214" s="69">
        <f t="shared" ref="D1214:X1214" si="2755">D360</f>
        <v>196</v>
      </c>
      <c r="E1214" s="69">
        <f t="shared" si="2755"/>
        <v>178</v>
      </c>
      <c r="F1214" s="69">
        <f t="shared" si="2755"/>
        <v>208</v>
      </c>
      <c r="G1214" s="69">
        <f t="shared" si="2755"/>
        <v>225</v>
      </c>
      <c r="H1214" s="69">
        <f t="shared" si="2755"/>
        <v>203</v>
      </c>
      <c r="I1214" s="69">
        <f t="shared" si="2755"/>
        <v>172</v>
      </c>
      <c r="J1214" s="69">
        <f t="shared" si="2755"/>
        <v>191</v>
      </c>
      <c r="K1214" s="69">
        <f t="shared" si="2755"/>
        <v>196</v>
      </c>
      <c r="L1214" s="69">
        <f t="shared" si="2755"/>
        <v>196</v>
      </c>
      <c r="M1214" s="69">
        <f t="shared" si="2755"/>
        <v>212</v>
      </c>
      <c r="N1214" s="69">
        <f t="shared" si="2755"/>
        <v>198</v>
      </c>
      <c r="O1214" s="69">
        <f t="shared" si="2755"/>
        <v>189</v>
      </c>
      <c r="P1214" s="69">
        <f t="shared" si="2755"/>
        <v>173</v>
      </c>
      <c r="Q1214" s="69">
        <f t="shared" si="2755"/>
        <v>189</v>
      </c>
      <c r="R1214" s="69">
        <f t="shared" si="2755"/>
        <v>175</v>
      </c>
      <c r="S1214" s="69">
        <f t="shared" si="2755"/>
        <v>184</v>
      </c>
      <c r="T1214" s="69">
        <f t="shared" si="2755"/>
        <v>160</v>
      </c>
      <c r="U1214" s="69">
        <f t="shared" si="2755"/>
        <v>160</v>
      </c>
      <c r="V1214" s="69">
        <f t="shared" si="2755"/>
        <v>168</v>
      </c>
      <c r="W1214" s="69">
        <f t="shared" si="2755"/>
        <v>163</v>
      </c>
      <c r="X1214" s="69">
        <f t="shared" si="2755"/>
        <v>160</v>
      </c>
      <c r="Y1214" s="69">
        <f t="shared" ref="Y1214:Z1214" si="2756">Y360</f>
        <v>157</v>
      </c>
      <c r="Z1214" s="69">
        <f t="shared" si="2756"/>
        <v>170</v>
      </c>
      <c r="AA1214" s="69">
        <f t="shared" ref="AA1214:AB1214" si="2757">AA360</f>
        <v>162</v>
      </c>
      <c r="AB1214" s="69">
        <f t="shared" si="2757"/>
        <v>162</v>
      </c>
      <c r="AC1214" s="379">
        <f t="shared" ref="AC1214:AE1214" si="2758">AC1218+AC1222</f>
        <v>174.45021616438356</v>
      </c>
      <c r="AD1214" s="379">
        <f t="shared" si="2758"/>
        <v>183.94443200000003</v>
      </c>
      <c r="AE1214" s="379">
        <f t="shared" si="2758"/>
        <v>191.35008522805481</v>
      </c>
      <c r="AF1214" s="379">
        <f t="shared" ref="AF1214:AI1214" si="2759">AF1218+AF1222</f>
        <v>192.3433769441589</v>
      </c>
      <c r="AG1214" s="379">
        <f t="shared" si="2759"/>
        <v>196.74964670657653</v>
      </c>
      <c r="AH1214" s="379">
        <f t="shared" si="2759"/>
        <v>213.56706738076383</v>
      </c>
      <c r="AI1214" s="379">
        <f t="shared" si="2759"/>
        <v>229.29675496224831</v>
      </c>
      <c r="AJ1214" s="379"/>
      <c r="AK1214" s="379"/>
      <c r="AL1214" s="379"/>
      <c r="AM1214" s="379"/>
      <c r="AN1214" s="379"/>
      <c r="AO1214" s="379"/>
      <c r="AP1214" s="379"/>
      <c r="AQ1214" s="379"/>
      <c r="AR1214" s="70"/>
      <c r="AS1214" s="86"/>
      <c r="AT1214" s="757" t="s">
        <v>224</v>
      </c>
      <c r="AU1214" s="207">
        <f>SUM(D1214:G1214)</f>
        <v>807</v>
      </c>
      <c r="AV1214" s="207">
        <f>SUM(H1214:K1214)</f>
        <v>762</v>
      </c>
      <c r="AW1214" s="207">
        <f>SUM(L1214:O1214)</f>
        <v>795</v>
      </c>
      <c r="AX1214" s="207">
        <f>SUM(P1214:S1214)</f>
        <v>721</v>
      </c>
      <c r="AY1214" s="207">
        <f>SUM(T1214:W1214)</f>
        <v>651</v>
      </c>
      <c r="AZ1214" s="379">
        <f>SUM(X1214:AA1214)</f>
        <v>649</v>
      </c>
      <c r="BA1214" s="379">
        <f>SUM(AB1214:AE1214)</f>
        <v>711.74473339243843</v>
      </c>
      <c r="BB1214" s="379">
        <f>SUM(AF1214:AI1214)</f>
        <v>831.95684599374749</v>
      </c>
      <c r="BC1214" s="379">
        <f>BC1218+BC1222</f>
        <v>957.36957947372457</v>
      </c>
      <c r="BD1214" s="379">
        <f>BD1218+BD1222</f>
        <v>1069.3116784141896</v>
      </c>
      <c r="BE1214" s="379">
        <f>BE1218+BE1222</f>
        <v>1233.0665065148667</v>
      </c>
      <c r="BM1214"/>
      <c r="BN1214"/>
      <c r="BO1214"/>
      <c r="BP1214"/>
      <c r="BQ1214"/>
      <c r="BR1214"/>
    </row>
    <row r="1215" spans="1:70" s="369" customFormat="1" x14ac:dyDescent="0.2">
      <c r="A1215" s="411"/>
      <c r="B1215" s="86"/>
      <c r="C1215" s="179" t="s">
        <v>288</v>
      </c>
      <c r="D1215" s="152">
        <f t="shared" ref="D1215:X1215" si="2760">D1213/D1214</f>
        <v>0.87755102040816324</v>
      </c>
      <c r="E1215" s="152">
        <f t="shared" si="2760"/>
        <v>0.8258426966292135</v>
      </c>
      <c r="F1215" s="152">
        <f t="shared" si="2760"/>
        <v>0.89423076923076927</v>
      </c>
      <c r="G1215" s="152">
        <f t="shared" si="2760"/>
        <v>1.1155555555555556</v>
      </c>
      <c r="H1215" s="152">
        <f t="shared" si="2760"/>
        <v>1.0689655172413792</v>
      </c>
      <c r="I1215" s="152">
        <f t="shared" si="2760"/>
        <v>1.180232558139535</v>
      </c>
      <c r="J1215" s="152">
        <f t="shared" si="2760"/>
        <v>0.95811518324607325</v>
      </c>
      <c r="K1215" s="152">
        <f t="shared" si="2760"/>
        <v>1.0816326530612246</v>
      </c>
      <c r="L1215" s="152">
        <f t="shared" si="2760"/>
        <v>1.010204081632653</v>
      </c>
      <c r="M1215" s="152">
        <f t="shared" si="2760"/>
        <v>0.91509433962264153</v>
      </c>
      <c r="N1215" s="152">
        <f t="shared" si="2760"/>
        <v>0.89393939393939392</v>
      </c>
      <c r="O1215" s="152">
        <f t="shared" si="2760"/>
        <v>1.0582010582010581</v>
      </c>
      <c r="P1215" s="152">
        <f t="shared" si="2760"/>
        <v>0.76878612716763006</v>
      </c>
      <c r="Q1215" s="152">
        <f t="shared" si="2760"/>
        <v>0.93650793650793651</v>
      </c>
      <c r="R1215" s="152">
        <f t="shared" si="2760"/>
        <v>0.65142857142857147</v>
      </c>
      <c r="S1215" s="152">
        <f t="shared" si="2760"/>
        <v>1.1195652173913044</v>
      </c>
      <c r="T1215" s="152">
        <f t="shared" si="2760"/>
        <v>0.93125000000000002</v>
      </c>
      <c r="U1215" s="152">
        <f t="shared" si="2760"/>
        <v>0.85</v>
      </c>
      <c r="V1215" s="152">
        <f t="shared" si="2760"/>
        <v>0.95833333333333337</v>
      </c>
      <c r="W1215" s="152">
        <f t="shared" si="2760"/>
        <v>1.0613496932515338</v>
      </c>
      <c r="X1215" s="152">
        <f t="shared" si="2760"/>
        <v>1.075</v>
      </c>
      <c r="Y1215" s="152">
        <f t="shared" ref="Y1215:Z1215" si="2761">Y1213/Y1214</f>
        <v>0.82165605095541405</v>
      </c>
      <c r="Z1215" s="152">
        <f t="shared" si="2761"/>
        <v>0.87058823529411766</v>
      </c>
      <c r="AA1215" s="152">
        <f t="shared" ref="AA1215:AB1215" si="2762">AA1213/AA1214</f>
        <v>1.0246913580246915</v>
      </c>
      <c r="AB1215" s="152">
        <f t="shared" si="2762"/>
        <v>0.88271604938271608</v>
      </c>
      <c r="AC1215" s="275">
        <f>Drivers!AC144</f>
        <v>1</v>
      </c>
      <c r="AD1215" s="275">
        <f>Drivers!AD144</f>
        <v>1</v>
      </c>
      <c r="AE1215" s="275">
        <f>Drivers!AE144</f>
        <v>1.05</v>
      </c>
      <c r="AF1215" s="275">
        <f>Drivers!AF144</f>
        <v>1.05</v>
      </c>
      <c r="AG1215" s="275">
        <f>Drivers!AG144</f>
        <v>1.1000000000000001</v>
      </c>
      <c r="AH1215" s="275">
        <f>Drivers!AH144</f>
        <v>1.1000000000000001</v>
      </c>
      <c r="AI1215" s="275">
        <f>Drivers!AI144</f>
        <v>1.1000000000000001</v>
      </c>
      <c r="AJ1215" s="275"/>
      <c r="AK1215" s="275"/>
      <c r="AL1215" s="275"/>
      <c r="AM1215" s="275"/>
      <c r="AN1215" s="275"/>
      <c r="AO1215" s="275"/>
      <c r="AP1215" s="275"/>
      <c r="AQ1215" s="275"/>
      <c r="AR1215" s="70"/>
      <c r="AS1215" s="86"/>
      <c r="AT1215" s="179" t="s">
        <v>288</v>
      </c>
      <c r="AU1215" s="152">
        <f t="shared" ref="AU1215:BA1215" si="2763">AU1213/AU1214</f>
        <v>0.93680297397769519</v>
      </c>
      <c r="AV1215" s="152">
        <f t="shared" si="2763"/>
        <v>1.0695538057742782</v>
      </c>
      <c r="AW1215" s="152">
        <f t="shared" si="2763"/>
        <v>0.96729559748427674</v>
      </c>
      <c r="AX1215" s="152">
        <f t="shared" si="2763"/>
        <v>0.87378640776699024</v>
      </c>
      <c r="AY1215" s="152">
        <f t="shared" si="2763"/>
        <v>0.95084485407066055</v>
      </c>
      <c r="AZ1215" s="152">
        <f t="shared" si="2763"/>
        <v>0.94761171032357472</v>
      </c>
      <c r="BA1215" s="152">
        <f t="shared" si="2763"/>
        <v>0.98674736138385111</v>
      </c>
      <c r="BB1215" s="152">
        <f t="shared" ref="BB1215" si="2764">BB1213/BB1214</f>
        <v>1.0884403032518828</v>
      </c>
      <c r="BC1215" s="275">
        <f>Drivers!BC144</f>
        <v>1.1000000000000001</v>
      </c>
      <c r="BD1215" s="275">
        <f>Drivers!BD144</f>
        <v>1.1000000000000001</v>
      </c>
      <c r="BE1215" s="275">
        <f>Drivers!BE144</f>
        <v>1.1000000000000001</v>
      </c>
      <c r="BM1215"/>
      <c r="BN1215"/>
      <c r="BO1215"/>
      <c r="BP1215"/>
      <c r="BQ1215"/>
      <c r="BR1215"/>
    </row>
    <row r="1216" spans="1:70" s="369" customFormat="1" hidden="1" outlineLevel="1" x14ac:dyDescent="0.2">
      <c r="A1216" s="411"/>
      <c r="B1216" s="86"/>
      <c r="C1216" s="757"/>
      <c r="D1216" s="560"/>
      <c r="E1216" s="560"/>
      <c r="F1216" s="560"/>
      <c r="G1216" s="560"/>
      <c r="H1216" s="560"/>
      <c r="I1216" s="560"/>
      <c r="J1216" s="560"/>
      <c r="K1216" s="560"/>
      <c r="L1216" s="560"/>
      <c r="M1216" s="560"/>
      <c r="N1216" s="560"/>
      <c r="O1216" s="560"/>
      <c r="P1216" s="560"/>
      <c r="Q1216" s="560"/>
      <c r="R1216" s="560"/>
      <c r="S1216" s="560"/>
      <c r="T1216" s="560"/>
      <c r="U1216" s="560"/>
      <c r="V1216" s="560"/>
      <c r="W1216" s="560"/>
      <c r="X1216" s="560"/>
      <c r="Y1216" s="560"/>
      <c r="Z1216" s="560"/>
      <c r="AA1216" s="560"/>
      <c r="AB1216" s="560"/>
      <c r="AC1216" s="764"/>
      <c r="AD1216" s="760"/>
      <c r="AE1216" s="760"/>
      <c r="AF1216" s="760"/>
      <c r="AG1216" s="760"/>
      <c r="AH1216" s="760"/>
      <c r="AI1216" s="517"/>
      <c r="AJ1216" s="517"/>
      <c r="AK1216" s="517"/>
      <c r="AL1216" s="517"/>
      <c r="AM1216" s="517"/>
      <c r="AN1216" s="517"/>
      <c r="AO1216" s="517"/>
      <c r="AP1216" s="517"/>
      <c r="AQ1216" s="517"/>
      <c r="AR1216" s="70"/>
      <c r="AS1216" s="86"/>
      <c r="AT1216" s="757"/>
      <c r="AU1216" s="232"/>
      <c r="AV1216" s="232"/>
      <c r="AW1216" s="232"/>
      <c r="AX1216" s="232"/>
      <c r="AY1216" s="232"/>
      <c r="AZ1216" s="467"/>
      <c r="BA1216" s="467"/>
      <c r="BB1216" s="467"/>
      <c r="BM1216"/>
      <c r="BN1216"/>
      <c r="BO1216"/>
      <c r="BP1216"/>
      <c r="BQ1216"/>
      <c r="BR1216"/>
    </row>
    <row r="1217" spans="1:70" s="369" customFormat="1" hidden="1" outlineLevel="1" x14ac:dyDescent="0.2">
      <c r="A1217" s="411"/>
      <c r="B1217" s="765"/>
      <c r="C1217" s="363" t="s">
        <v>74</v>
      </c>
      <c r="D1217" s="454"/>
      <c r="E1217" s="454"/>
      <c r="F1217" s="454"/>
      <c r="G1217" s="454"/>
      <c r="H1217" s="454"/>
      <c r="I1217" s="454"/>
      <c r="J1217" s="454"/>
      <c r="K1217" s="454"/>
      <c r="L1217" s="454"/>
      <c r="M1217" s="454"/>
      <c r="N1217" s="454"/>
      <c r="O1217" s="454"/>
      <c r="P1217" s="454"/>
      <c r="Q1217" s="454"/>
      <c r="R1217" s="454"/>
      <c r="S1217" s="454"/>
      <c r="T1217" s="454"/>
      <c r="U1217" s="454"/>
      <c r="V1217" s="454"/>
      <c r="W1217" s="454"/>
      <c r="X1217" s="454"/>
      <c r="Y1217" s="454"/>
      <c r="Z1217" s="454"/>
      <c r="AA1217" s="454"/>
      <c r="AB1217" s="454"/>
      <c r="AC1217" s="762"/>
      <c r="AD1217" s="760"/>
      <c r="AE1217" s="760"/>
      <c r="AF1217" s="760"/>
      <c r="AG1217" s="760"/>
      <c r="AH1217" s="760"/>
      <c r="AI1217" s="385"/>
      <c r="AJ1217" s="385"/>
      <c r="AK1217" s="385"/>
      <c r="AL1217" s="385"/>
      <c r="AM1217" s="385"/>
      <c r="AN1217" s="385"/>
      <c r="AO1217" s="385"/>
      <c r="AP1217" s="385"/>
      <c r="AQ1217" s="385"/>
      <c r="AR1217" s="70"/>
      <c r="AS1217" s="765"/>
      <c r="AT1217" s="363" t="s">
        <v>74</v>
      </c>
      <c r="AU1217" s="207"/>
      <c r="AV1217" s="207"/>
      <c r="AW1217" s="207"/>
      <c r="AX1217" s="207"/>
      <c r="AY1217" s="207"/>
      <c r="AZ1217" s="379"/>
      <c r="BA1217" s="379"/>
      <c r="BB1217" s="379"/>
      <c r="BM1217"/>
      <c r="BN1217"/>
      <c r="BO1217"/>
      <c r="BP1217"/>
      <c r="BQ1217"/>
      <c r="BR1217"/>
    </row>
    <row r="1218" spans="1:70" s="369" customFormat="1" hidden="1" outlineLevel="1" x14ac:dyDescent="0.2">
      <c r="A1218" s="411"/>
      <c r="B1218" s="765"/>
      <c r="C1218" s="757" t="s">
        <v>224</v>
      </c>
      <c r="D1218" s="454">
        <v>62</v>
      </c>
      <c r="E1218" s="454">
        <v>55</v>
      </c>
      <c r="F1218" s="454">
        <v>68</v>
      </c>
      <c r="G1218" s="454">
        <v>85</v>
      </c>
      <c r="H1218" s="454">
        <v>57</v>
      </c>
      <c r="I1218" s="454">
        <v>55</v>
      </c>
      <c r="J1218" s="454">
        <v>70</v>
      </c>
      <c r="K1218" s="454">
        <v>79</v>
      </c>
      <c r="L1218" s="454">
        <v>82</v>
      </c>
      <c r="M1218" s="454">
        <v>83</v>
      </c>
      <c r="N1218" s="454">
        <v>77</v>
      </c>
      <c r="O1218" s="454">
        <v>76</v>
      </c>
      <c r="P1218" s="454">
        <v>70</v>
      </c>
      <c r="Q1218" s="454">
        <v>80</v>
      </c>
      <c r="R1218" s="454">
        <v>75</v>
      </c>
      <c r="S1218" s="454">
        <v>94</v>
      </c>
      <c r="T1218" s="454">
        <v>62</v>
      </c>
      <c r="U1218" s="454">
        <v>61</v>
      </c>
      <c r="V1218" s="454">
        <v>73</v>
      </c>
      <c r="W1218" s="454">
        <v>65</v>
      </c>
      <c r="X1218" s="454">
        <v>62</v>
      </c>
      <c r="Y1218" s="454">
        <v>54</v>
      </c>
      <c r="Z1218" s="454">
        <v>69</v>
      </c>
      <c r="AA1218" s="454">
        <v>60</v>
      </c>
      <c r="AB1218" s="454">
        <v>57</v>
      </c>
      <c r="AC1218" s="379">
        <f t="shared" ref="AC1218:AE1218" si="2765">AC1258*(AC403*1000)/AC1</f>
        <v>65.870512054794517</v>
      </c>
      <c r="AD1218" s="379">
        <f t="shared" si="2765"/>
        <v>73.073815452054788</v>
      </c>
      <c r="AE1218" s="379">
        <f t="shared" si="2765"/>
        <v>78.262056349150669</v>
      </c>
      <c r="AF1218" s="379">
        <f t="shared" ref="AF1218:AI1218" si="2766">AF1258*(AF403*1000)/AF1</f>
        <v>80.607487540980785</v>
      </c>
      <c r="AG1218" s="379">
        <f t="shared" si="2766"/>
        <v>83.772247421140875</v>
      </c>
      <c r="AH1218" s="379">
        <f t="shared" si="2766"/>
        <v>89.120374073963561</v>
      </c>
      <c r="AI1218" s="379">
        <f t="shared" si="2766"/>
        <v>95.662188766626841</v>
      </c>
      <c r="AJ1218" s="379"/>
      <c r="AK1218" s="379"/>
      <c r="AL1218" s="379"/>
      <c r="AM1218" s="379"/>
      <c r="AN1218" s="379"/>
      <c r="AO1218" s="379"/>
      <c r="AP1218" s="379"/>
      <c r="AQ1218" s="379"/>
      <c r="AR1218" s="70"/>
      <c r="AS1218" s="765"/>
      <c r="AT1218" s="757" t="s">
        <v>224</v>
      </c>
      <c r="AU1218" s="207">
        <f>SUM(D1218:G1218)</f>
        <v>270</v>
      </c>
      <c r="AV1218" s="207">
        <f>SUM(H1218:K1218)</f>
        <v>261</v>
      </c>
      <c r="AW1218" s="207">
        <f>SUM(L1218:O1218)</f>
        <v>318</v>
      </c>
      <c r="AX1218" s="207">
        <f>SUM(P1218:S1218)</f>
        <v>319</v>
      </c>
      <c r="AY1218" s="207">
        <f>SUM(T1218:W1218)</f>
        <v>261</v>
      </c>
      <c r="AZ1218" s="379">
        <f>SUM(X1218:AA1218)</f>
        <v>245</v>
      </c>
      <c r="BA1218" s="379">
        <f>SUM(AB1218:AE1218)</f>
        <v>274.206383856</v>
      </c>
      <c r="BB1218" s="379">
        <f>SUM(AF1218:AI1218)</f>
        <v>349.16229780271209</v>
      </c>
      <c r="BC1218" s="379">
        <f>BC1258*(BC403*1000)/BC1</f>
        <v>429.14410463795463</v>
      </c>
      <c r="BD1218" s="379">
        <f>BD1258*(BD403*1000)/BD1</f>
        <v>491.56506531256622</v>
      </c>
      <c r="BE1218" s="379">
        <f>BE1258*(BE403*1000)/BE1</f>
        <v>602.16720500789381</v>
      </c>
      <c r="BM1218"/>
      <c r="BN1218"/>
      <c r="BO1218"/>
      <c r="BP1218"/>
      <c r="BQ1218"/>
      <c r="BR1218"/>
    </row>
    <row r="1219" spans="1:70" s="369" customFormat="1" hidden="1" outlineLevel="1" x14ac:dyDescent="0.2">
      <c r="A1219" s="411"/>
      <c r="B1219" s="765"/>
      <c r="C1219" s="757" t="s">
        <v>192</v>
      </c>
      <c r="D1219" s="454">
        <v>-12</v>
      </c>
      <c r="E1219" s="454">
        <v>-8</v>
      </c>
      <c r="F1219" s="454">
        <v>-28</v>
      </c>
      <c r="G1219" s="454">
        <v>-1</v>
      </c>
      <c r="H1219" s="454">
        <v>-2</v>
      </c>
      <c r="I1219" s="454">
        <v>40</v>
      </c>
      <c r="J1219" s="454">
        <v>-4</v>
      </c>
      <c r="K1219" s="454">
        <v>15</v>
      </c>
      <c r="L1219" s="454">
        <v>11</v>
      </c>
      <c r="M1219" s="454">
        <v>-6</v>
      </c>
      <c r="N1219" s="454">
        <v>-11</v>
      </c>
      <c r="O1219" s="454">
        <v>1</v>
      </c>
      <c r="P1219" s="454">
        <v>-21</v>
      </c>
      <c r="Q1219" s="454">
        <v>-3</v>
      </c>
      <c r="R1219" s="454">
        <v>-34</v>
      </c>
      <c r="S1219" s="454">
        <v>26</v>
      </c>
      <c r="T1219" s="454">
        <v>3</v>
      </c>
      <c r="U1219" s="454">
        <v>-21</v>
      </c>
      <c r="V1219" s="454">
        <v>0</v>
      </c>
      <c r="W1219" s="454">
        <v>12</v>
      </c>
      <c r="X1219" s="454">
        <v>-6</v>
      </c>
      <c r="Y1219" s="454">
        <v>-9</v>
      </c>
      <c r="Z1219" s="454">
        <v>-23</v>
      </c>
      <c r="AA1219" s="454">
        <v>6</v>
      </c>
      <c r="AB1219" s="454">
        <v>-13</v>
      </c>
      <c r="AC1219" s="351" t="s">
        <v>226</v>
      </c>
      <c r="AD1219" s="351" t="s">
        <v>226</v>
      </c>
      <c r="AE1219" s="351" t="s">
        <v>226</v>
      </c>
      <c r="AF1219" s="351" t="s">
        <v>226</v>
      </c>
      <c r="AG1219" s="351" t="s">
        <v>226</v>
      </c>
      <c r="AH1219" s="351" t="s">
        <v>226</v>
      </c>
      <c r="AI1219" s="351" t="s">
        <v>226</v>
      </c>
      <c r="AJ1219" s="351"/>
      <c r="AK1219" s="351"/>
      <c r="AL1219" s="351"/>
      <c r="AM1219" s="351"/>
      <c r="AN1219" s="351"/>
      <c r="AO1219" s="351"/>
      <c r="AP1219" s="351"/>
      <c r="AQ1219" s="351"/>
      <c r="AR1219" s="70"/>
      <c r="AS1219" s="765"/>
      <c r="AT1219" s="757" t="s">
        <v>192</v>
      </c>
      <c r="AU1219" s="207">
        <f>SUM(D1219:G1219)</f>
        <v>-49</v>
      </c>
      <c r="AV1219" s="207">
        <f>SUM(H1219:K1219)</f>
        <v>49</v>
      </c>
      <c r="AW1219" s="207">
        <f>SUM(L1219:O1219)</f>
        <v>-5</v>
      </c>
      <c r="AX1219" s="207">
        <f>SUM(P1219:S1219)</f>
        <v>-32</v>
      </c>
      <c r="AY1219" s="207">
        <f>SUM(T1219:W1219)</f>
        <v>-6</v>
      </c>
      <c r="AZ1219" s="356" t="s">
        <v>226</v>
      </c>
      <c r="BA1219" s="356" t="s">
        <v>226</v>
      </c>
      <c r="BB1219" s="356" t="s">
        <v>226</v>
      </c>
      <c r="BC1219" s="241" t="s">
        <v>226</v>
      </c>
      <c r="BD1219" s="241" t="s">
        <v>226</v>
      </c>
      <c r="BE1219" s="241" t="s">
        <v>226</v>
      </c>
      <c r="BM1219"/>
      <c r="BN1219"/>
      <c r="BO1219"/>
      <c r="BP1219"/>
      <c r="BQ1219"/>
      <c r="BR1219"/>
    </row>
    <row r="1220" spans="1:70" s="369" customFormat="1" hidden="1" outlineLevel="1" x14ac:dyDescent="0.2">
      <c r="A1220" s="411"/>
      <c r="B1220" s="765"/>
      <c r="C1220" s="757"/>
      <c r="D1220" s="454"/>
      <c r="E1220" s="454"/>
      <c r="F1220" s="454"/>
      <c r="G1220" s="454"/>
      <c r="H1220" s="454"/>
      <c r="I1220" s="454"/>
      <c r="J1220" s="454"/>
      <c r="K1220" s="454"/>
      <c r="L1220" s="454"/>
      <c r="M1220" s="454"/>
      <c r="N1220" s="454"/>
      <c r="O1220" s="454"/>
      <c r="P1220" s="454"/>
      <c r="Q1220" s="454"/>
      <c r="R1220" s="454"/>
      <c r="S1220" s="454"/>
      <c r="T1220" s="454"/>
      <c r="U1220" s="454"/>
      <c r="V1220" s="454"/>
      <c r="W1220" s="454"/>
      <c r="X1220" s="454"/>
      <c r="Y1220" s="454"/>
      <c r="Z1220" s="454"/>
      <c r="AA1220" s="454"/>
      <c r="AB1220" s="454"/>
      <c r="AC1220" s="764"/>
      <c r="AD1220" s="760"/>
      <c r="AE1220" s="760"/>
      <c r="AF1220" s="760"/>
      <c r="AG1220" s="760"/>
      <c r="AH1220" s="760"/>
      <c r="AI1220" s="517"/>
      <c r="AJ1220" s="517"/>
      <c r="AK1220" s="517"/>
      <c r="AL1220" s="517"/>
      <c r="AM1220" s="517"/>
      <c r="AN1220" s="517"/>
      <c r="AO1220" s="517"/>
      <c r="AP1220" s="517"/>
      <c r="AQ1220" s="517"/>
      <c r="AR1220" s="70"/>
      <c r="AS1220" s="765"/>
      <c r="AT1220" s="757"/>
      <c r="AU1220" s="448"/>
      <c r="AV1220" s="762"/>
      <c r="AX1220" s="763"/>
      <c r="BM1220"/>
      <c r="BN1220"/>
      <c r="BO1220"/>
      <c r="BP1220"/>
      <c r="BQ1220"/>
      <c r="BR1220"/>
    </row>
    <row r="1221" spans="1:70" s="369" customFormat="1" hidden="1" outlineLevel="1" x14ac:dyDescent="0.2">
      <c r="A1221" s="411"/>
      <c r="B1221" s="765"/>
      <c r="C1221" s="363" t="s">
        <v>75</v>
      </c>
      <c r="D1221" s="454"/>
      <c r="E1221" s="454"/>
      <c r="F1221" s="454"/>
      <c r="G1221" s="454"/>
      <c r="H1221" s="454"/>
      <c r="I1221" s="454"/>
      <c r="J1221" s="454"/>
      <c r="K1221" s="454"/>
      <c r="L1221" s="454"/>
      <c r="M1221" s="454"/>
      <c r="N1221" s="454"/>
      <c r="O1221" s="454"/>
      <c r="P1221" s="454"/>
      <c r="Q1221" s="454"/>
      <c r="R1221" s="454"/>
      <c r="S1221" s="454"/>
      <c r="T1221" s="454"/>
      <c r="U1221" s="454"/>
      <c r="V1221" s="454"/>
      <c r="W1221" s="454"/>
      <c r="X1221" s="454"/>
      <c r="Y1221" s="454"/>
      <c r="Z1221" s="454"/>
      <c r="AA1221" s="454"/>
      <c r="AB1221" s="454"/>
      <c r="AC1221" s="762"/>
      <c r="AD1221" s="760"/>
      <c r="AE1221" s="760"/>
      <c r="AF1221" s="760"/>
      <c r="AG1221" s="760"/>
      <c r="AH1221" s="760"/>
      <c r="AI1221" s="385"/>
      <c r="AJ1221" s="385"/>
      <c r="AK1221" s="385"/>
      <c r="AL1221" s="385"/>
      <c r="AM1221" s="385"/>
      <c r="AN1221" s="385"/>
      <c r="AO1221" s="385"/>
      <c r="AP1221" s="385"/>
      <c r="AQ1221" s="385"/>
      <c r="AR1221" s="70"/>
      <c r="AS1221" s="765"/>
      <c r="AT1221" s="363" t="s">
        <v>75</v>
      </c>
      <c r="AU1221" s="448"/>
      <c r="AV1221" s="762"/>
      <c r="AX1221" s="763"/>
      <c r="BM1221"/>
      <c r="BN1221"/>
      <c r="BO1221"/>
      <c r="BP1221"/>
      <c r="BQ1221"/>
      <c r="BR1221"/>
    </row>
    <row r="1222" spans="1:70" s="369" customFormat="1" hidden="1" outlineLevel="1" x14ac:dyDescent="0.2">
      <c r="A1222" s="411"/>
      <c r="B1222" s="765"/>
      <c r="C1222" s="757" t="s">
        <v>224</v>
      </c>
      <c r="D1222" s="454">
        <v>134</v>
      </c>
      <c r="E1222" s="454">
        <v>123</v>
      </c>
      <c r="F1222" s="454">
        <v>140</v>
      </c>
      <c r="G1222" s="454">
        <v>140</v>
      </c>
      <c r="H1222" s="454">
        <v>146</v>
      </c>
      <c r="I1222" s="454">
        <v>117</v>
      </c>
      <c r="J1222" s="454">
        <v>121</v>
      </c>
      <c r="K1222" s="454">
        <v>117</v>
      </c>
      <c r="L1222" s="454">
        <v>114</v>
      </c>
      <c r="M1222" s="454">
        <v>129</v>
      </c>
      <c r="N1222" s="454">
        <v>121</v>
      </c>
      <c r="O1222" s="454">
        <v>113</v>
      </c>
      <c r="P1222" s="454">
        <v>103</v>
      </c>
      <c r="Q1222" s="454">
        <v>109</v>
      </c>
      <c r="R1222" s="454">
        <v>100</v>
      </c>
      <c r="S1222" s="454">
        <v>90</v>
      </c>
      <c r="T1222" s="454">
        <v>98</v>
      </c>
      <c r="U1222" s="454">
        <v>99</v>
      </c>
      <c r="V1222" s="454">
        <v>95</v>
      </c>
      <c r="W1222" s="454">
        <v>98</v>
      </c>
      <c r="X1222" s="454">
        <v>98</v>
      </c>
      <c r="Y1222" s="454">
        <v>103</v>
      </c>
      <c r="Z1222" s="454">
        <v>101</v>
      </c>
      <c r="AA1222" s="454">
        <v>102</v>
      </c>
      <c r="AB1222" s="454">
        <v>105</v>
      </c>
      <c r="AC1222" s="379">
        <f t="shared" ref="AC1222:AE1222" si="2767">AC1259*(AC405*1000)/AC1</f>
        <v>108.57970410958906</v>
      </c>
      <c r="AD1222" s="379">
        <f t="shared" si="2767"/>
        <v>110.87061654794525</v>
      </c>
      <c r="AE1222" s="379">
        <f t="shared" si="2767"/>
        <v>113.08802887890414</v>
      </c>
      <c r="AF1222" s="379">
        <f t="shared" ref="AF1222:AI1222" si="2768">AF1259*(AF405*1000)/AF1</f>
        <v>111.73588940317812</v>
      </c>
      <c r="AG1222" s="379">
        <f t="shared" si="2768"/>
        <v>112.97739928543565</v>
      </c>
      <c r="AH1222" s="379">
        <f t="shared" si="2768"/>
        <v>124.44669330680028</v>
      </c>
      <c r="AI1222" s="379">
        <f t="shared" si="2768"/>
        <v>133.63456619562149</v>
      </c>
      <c r="AJ1222" s="379"/>
      <c r="AK1222" s="379"/>
      <c r="AL1222" s="379"/>
      <c r="AM1222" s="379"/>
      <c r="AN1222" s="379"/>
      <c r="AO1222" s="379"/>
      <c r="AP1222" s="379"/>
      <c r="AQ1222" s="379"/>
      <c r="AR1222" s="70"/>
      <c r="AS1222" s="765"/>
      <c r="AT1222" s="757" t="s">
        <v>224</v>
      </c>
      <c r="AU1222" s="207">
        <f>SUM(D1222:G1222)</f>
        <v>537</v>
      </c>
      <c r="AV1222" s="207">
        <f>SUM(H1222:K1222)</f>
        <v>501</v>
      </c>
      <c r="AW1222" s="207">
        <f>SUM(L1222:O1222)</f>
        <v>477</v>
      </c>
      <c r="AX1222" s="207">
        <f>SUM(P1222:S1222)</f>
        <v>402</v>
      </c>
      <c r="AY1222" s="207">
        <f>SUM(T1222:W1222)</f>
        <v>390</v>
      </c>
      <c r="AZ1222" s="379">
        <f>SUM(X1222:AA1222)</f>
        <v>404</v>
      </c>
      <c r="BA1222" s="379">
        <f>SUM(AB1222:AE1222)</f>
        <v>437.53834953643843</v>
      </c>
      <c r="BB1222" s="379">
        <f>SUM(AF1222:AI1222)</f>
        <v>482.79454819103557</v>
      </c>
      <c r="BC1222" s="379">
        <f>BC1259*(BC405*1000)/BC1</f>
        <v>528.22547483577</v>
      </c>
      <c r="BD1222" s="379">
        <f>BD1259*(BD405*1000)/BD1</f>
        <v>577.74661310162344</v>
      </c>
      <c r="BE1222" s="379">
        <f>BE1259*(BE405*1000)/BE1</f>
        <v>630.89930150697285</v>
      </c>
      <c r="BM1222"/>
      <c r="BN1222"/>
      <c r="BO1222"/>
      <c r="BP1222"/>
      <c r="BQ1222"/>
      <c r="BR1222"/>
    </row>
    <row r="1223" spans="1:70" s="369" customFormat="1" hidden="1" outlineLevel="1" x14ac:dyDescent="0.2">
      <c r="A1223" s="411"/>
      <c r="B1223" s="765"/>
      <c r="C1223" s="757" t="s">
        <v>192</v>
      </c>
      <c r="D1223" s="454">
        <v>-12</v>
      </c>
      <c r="E1223" s="454">
        <v>-23</v>
      </c>
      <c r="F1223" s="454">
        <v>6</v>
      </c>
      <c r="G1223" s="454">
        <v>27</v>
      </c>
      <c r="H1223" s="454">
        <v>2</v>
      </c>
      <c r="I1223" s="454">
        <v>-19</v>
      </c>
      <c r="J1223" s="454">
        <v>-16</v>
      </c>
      <c r="K1223" s="454">
        <v>6</v>
      </c>
      <c r="L1223" s="454">
        <v>-5</v>
      </c>
      <c r="M1223" s="454">
        <v>-6</v>
      </c>
      <c r="N1223" s="454">
        <v>-9</v>
      </c>
      <c r="O1223" s="454">
        <v>15</v>
      </c>
      <c r="P1223" s="454">
        <v>-21</v>
      </c>
      <c r="Q1223" s="454">
        <v>-5</v>
      </c>
      <c r="R1223" s="454">
        <v>-27</v>
      </c>
      <c r="S1223" s="454">
        <v>-4</v>
      </c>
      <c r="T1223" s="454">
        <v>-14</v>
      </c>
      <c r="U1223" s="454">
        <v>-3</v>
      </c>
      <c r="V1223" s="454">
        <v>-4</v>
      </c>
      <c r="W1223" s="454">
        <v>-1</v>
      </c>
      <c r="X1223" s="454">
        <v>-19</v>
      </c>
      <c r="Y1223" s="454">
        <v>-17</v>
      </c>
      <c r="Z1223" s="454">
        <v>2</v>
      </c>
      <c r="AA1223" s="454">
        <v>-1</v>
      </c>
      <c r="AB1223" s="454">
        <v>-8</v>
      </c>
      <c r="AC1223" s="351" t="s">
        <v>226</v>
      </c>
      <c r="AD1223" s="351" t="s">
        <v>226</v>
      </c>
      <c r="AE1223" s="351" t="s">
        <v>226</v>
      </c>
      <c r="AF1223" s="351" t="s">
        <v>226</v>
      </c>
      <c r="AG1223" s="351" t="s">
        <v>226</v>
      </c>
      <c r="AH1223" s="351" t="s">
        <v>226</v>
      </c>
      <c r="AI1223" s="351" t="s">
        <v>226</v>
      </c>
      <c r="AJ1223" s="351"/>
      <c r="AK1223" s="351"/>
      <c r="AL1223" s="351"/>
      <c r="AM1223" s="351"/>
      <c r="AN1223" s="351"/>
      <c r="AO1223" s="351"/>
      <c r="AP1223" s="351"/>
      <c r="AQ1223" s="351"/>
      <c r="AR1223" s="70"/>
      <c r="AS1223" s="765"/>
      <c r="AT1223" s="757" t="s">
        <v>192</v>
      </c>
      <c r="AU1223" s="207">
        <f>SUM(D1223:G1223)</f>
        <v>-2</v>
      </c>
      <c r="AV1223" s="207">
        <f>SUM(H1223:K1223)</f>
        <v>-27</v>
      </c>
      <c r="AW1223" s="207">
        <f>SUM(L1223:O1223)</f>
        <v>-5</v>
      </c>
      <c r="AX1223" s="207">
        <f>SUM(P1223:S1223)</f>
        <v>-57</v>
      </c>
      <c r="AY1223" s="207">
        <f>SUM(T1223:W1223)</f>
        <v>-22</v>
      </c>
      <c r="AZ1223" s="356" t="s">
        <v>226</v>
      </c>
      <c r="BA1223" s="356" t="s">
        <v>226</v>
      </c>
      <c r="BB1223" s="356" t="s">
        <v>226</v>
      </c>
      <c r="BC1223" s="241" t="s">
        <v>226</v>
      </c>
      <c r="BD1223" s="241" t="s">
        <v>226</v>
      </c>
      <c r="BE1223" s="241" t="s">
        <v>226</v>
      </c>
      <c r="BM1223"/>
      <c r="BN1223"/>
      <c r="BO1223"/>
      <c r="BP1223"/>
      <c r="BQ1223"/>
      <c r="BR1223"/>
    </row>
    <row r="1224" spans="1:70" s="369" customFormat="1" collapsed="1" x14ac:dyDescent="0.2">
      <c r="A1224" s="411"/>
      <c r="B1224" s="765"/>
      <c r="C1224" s="362"/>
      <c r="D1224" s="454"/>
      <c r="E1224" s="454"/>
      <c r="F1224" s="454"/>
      <c r="G1224" s="454"/>
      <c r="H1224" s="454"/>
      <c r="I1224" s="454"/>
      <c r="J1224" s="454"/>
      <c r="K1224" s="454"/>
      <c r="L1224" s="454"/>
      <c r="M1224" s="454"/>
      <c r="N1224" s="454"/>
      <c r="O1224" s="454"/>
      <c r="P1224" s="454"/>
      <c r="Q1224" s="454"/>
      <c r="R1224" s="454"/>
      <c r="S1224" s="454"/>
      <c r="T1224" s="454"/>
      <c r="U1224" s="454"/>
      <c r="V1224" s="454"/>
      <c r="W1224" s="454"/>
      <c r="X1224" s="454"/>
      <c r="Y1224" s="454"/>
      <c r="Z1224" s="454"/>
      <c r="AA1224" s="454"/>
      <c r="AB1224" s="454"/>
      <c r="AC1224" s="762"/>
      <c r="AD1224" s="760"/>
      <c r="AE1224" s="760"/>
      <c r="AF1224" s="760"/>
      <c r="AG1224" s="760"/>
      <c r="AH1224" s="760"/>
      <c r="AI1224" s="385"/>
      <c r="AJ1224" s="385"/>
      <c r="AK1224" s="385"/>
      <c r="AL1224" s="385"/>
      <c r="AM1224" s="385"/>
      <c r="AN1224" s="385"/>
      <c r="AO1224" s="385"/>
      <c r="AP1224" s="385"/>
      <c r="AQ1224" s="385"/>
      <c r="AR1224" s="70"/>
      <c r="AS1224" s="765"/>
      <c r="AT1224" s="362"/>
      <c r="AU1224" s="448"/>
      <c r="AV1224" s="762"/>
      <c r="AX1224" s="763"/>
      <c r="BM1224"/>
      <c r="BN1224"/>
      <c r="BO1224"/>
      <c r="BP1224"/>
      <c r="BQ1224"/>
      <c r="BR1224"/>
    </row>
    <row r="1225" spans="1:70" s="369" customFormat="1" x14ac:dyDescent="0.2">
      <c r="A1225" s="411"/>
      <c r="B1225" s="765" t="s">
        <v>74</v>
      </c>
      <c r="C1225" s="362"/>
      <c r="D1225" s="515">
        <f t="shared" ref="D1225:AE1225" si="2769">D1188+D1205+D1218</f>
        <v>218</v>
      </c>
      <c r="E1225" s="515">
        <f t="shared" si="2769"/>
        <v>197</v>
      </c>
      <c r="F1225" s="515">
        <f t="shared" si="2769"/>
        <v>240</v>
      </c>
      <c r="G1225" s="515">
        <f t="shared" si="2769"/>
        <v>276</v>
      </c>
      <c r="H1225" s="515">
        <f t="shared" si="2769"/>
        <v>251</v>
      </c>
      <c r="I1225" s="515">
        <f t="shared" si="2769"/>
        <v>242</v>
      </c>
      <c r="J1225" s="515">
        <f t="shared" si="2769"/>
        <v>249</v>
      </c>
      <c r="K1225" s="515">
        <f t="shared" si="2769"/>
        <v>279</v>
      </c>
      <c r="L1225" s="515">
        <f t="shared" si="2769"/>
        <v>271</v>
      </c>
      <c r="M1225" s="515">
        <f t="shared" si="2769"/>
        <v>281</v>
      </c>
      <c r="N1225" s="515">
        <f t="shared" si="2769"/>
        <v>276</v>
      </c>
      <c r="O1225" s="515">
        <f t="shared" si="2769"/>
        <v>332</v>
      </c>
      <c r="P1225" s="515">
        <f t="shared" si="2769"/>
        <v>256</v>
      </c>
      <c r="Q1225" s="515">
        <f t="shared" si="2769"/>
        <v>261</v>
      </c>
      <c r="R1225" s="515">
        <f t="shared" si="2769"/>
        <v>246</v>
      </c>
      <c r="S1225" s="515">
        <f t="shared" si="2769"/>
        <v>295</v>
      </c>
      <c r="T1225" s="515">
        <f t="shared" si="2769"/>
        <v>221</v>
      </c>
      <c r="U1225" s="515">
        <f t="shared" si="2769"/>
        <v>243</v>
      </c>
      <c r="V1225" s="515">
        <f t="shared" si="2769"/>
        <v>257</v>
      </c>
      <c r="W1225" s="515">
        <f t="shared" si="2769"/>
        <v>286</v>
      </c>
      <c r="X1225" s="515">
        <f t="shared" si="2769"/>
        <v>236</v>
      </c>
      <c r="Y1225" s="515">
        <f t="shared" ref="Y1225:Z1225" si="2770">Y1188+Y1205+Y1218</f>
        <v>244</v>
      </c>
      <c r="Z1225" s="515">
        <f t="shared" si="2770"/>
        <v>300</v>
      </c>
      <c r="AA1225" s="515">
        <f t="shared" ref="AA1225:AB1225" si="2771">AA1188+AA1205+AA1218</f>
        <v>243</v>
      </c>
      <c r="AB1225" s="515">
        <f t="shared" si="2771"/>
        <v>232</v>
      </c>
      <c r="AC1225" s="515">
        <f t="shared" si="2769"/>
        <v>255.69613808219179</v>
      </c>
      <c r="AD1225" s="515">
        <f t="shared" si="2769"/>
        <v>285.47429736986305</v>
      </c>
      <c r="AE1225" s="515">
        <f t="shared" si="2769"/>
        <v>303.28789383123285</v>
      </c>
      <c r="AF1225" s="515">
        <f t="shared" ref="AF1225:AI1225" si="2772">AF1188+AF1205+AF1218</f>
        <v>311.99618138861092</v>
      </c>
      <c r="AG1225" s="515">
        <f t="shared" si="2772"/>
        <v>327.89188757652164</v>
      </c>
      <c r="AH1225" s="515">
        <f t="shared" si="2772"/>
        <v>345.0719530665304</v>
      </c>
      <c r="AI1225" s="515">
        <f t="shared" si="2772"/>
        <v>362.65742153259185</v>
      </c>
      <c r="AJ1225" s="515"/>
      <c r="AK1225" s="515"/>
      <c r="AL1225" s="515"/>
      <c r="AM1225" s="515"/>
      <c r="AN1225" s="515"/>
      <c r="AO1225" s="515"/>
      <c r="AP1225" s="515"/>
      <c r="AQ1225" s="515"/>
      <c r="AR1225" s="70"/>
      <c r="AS1225" s="765" t="s">
        <v>74</v>
      </c>
      <c r="AT1225" s="362"/>
      <c r="AU1225" s="515">
        <f t="shared" ref="AU1225" si="2773">AU1188+AU1205+AU1218</f>
        <v>931</v>
      </c>
      <c r="AV1225" s="515">
        <f t="shared" ref="AV1225" si="2774">AV1188+AV1205+AV1218</f>
        <v>1021</v>
      </c>
      <c r="AW1225" s="515">
        <f t="shared" ref="AW1225:BD1225" si="2775">AW1188+AW1205+AW1218</f>
        <v>1160</v>
      </c>
      <c r="AX1225" s="515">
        <f t="shared" si="2775"/>
        <v>1058</v>
      </c>
      <c r="AY1225" s="515">
        <f t="shared" si="2775"/>
        <v>1007</v>
      </c>
      <c r="AZ1225" s="515">
        <f t="shared" si="2775"/>
        <v>1023</v>
      </c>
      <c r="BA1225" s="515">
        <f t="shared" si="2775"/>
        <v>1076.4583292832876</v>
      </c>
      <c r="BB1225" s="515">
        <f t="shared" ref="BB1225" si="2776">BB1188+BB1205+BB1218</f>
        <v>1347.6174435642549</v>
      </c>
      <c r="BC1225" s="515">
        <f t="shared" si="2775"/>
        <v>1583.8511301450922</v>
      </c>
      <c r="BD1225" s="515">
        <f t="shared" si="2775"/>
        <v>1843.7606116431978</v>
      </c>
      <c r="BE1225" s="515">
        <f t="shared" ref="BE1225" si="2777">BE1188+BE1205+BE1218</f>
        <v>2167.8448453901997</v>
      </c>
      <c r="BM1225"/>
      <c r="BN1225"/>
      <c r="BO1225"/>
      <c r="BP1225"/>
      <c r="BQ1225"/>
      <c r="BR1225"/>
    </row>
    <row r="1226" spans="1:70" s="369" customFormat="1" x14ac:dyDescent="0.2">
      <c r="A1226" s="411"/>
      <c r="B1226" s="765" t="s">
        <v>195</v>
      </c>
      <c r="C1226" s="362"/>
      <c r="D1226" s="153">
        <f t="shared" ref="D1226:AE1226" si="2778">D1222+D1209+D1192</f>
        <v>1154</v>
      </c>
      <c r="E1226" s="153">
        <f t="shared" si="2778"/>
        <v>1076</v>
      </c>
      <c r="F1226" s="153">
        <f t="shared" si="2778"/>
        <v>1012</v>
      </c>
      <c r="G1226" s="153">
        <f t="shared" si="2778"/>
        <v>977</v>
      </c>
      <c r="H1226" s="153">
        <f t="shared" si="2778"/>
        <v>990</v>
      </c>
      <c r="I1226" s="153">
        <f t="shared" si="2778"/>
        <v>937</v>
      </c>
      <c r="J1226" s="153">
        <f t="shared" si="2778"/>
        <v>886</v>
      </c>
      <c r="K1226" s="153">
        <f t="shared" si="2778"/>
        <v>873</v>
      </c>
      <c r="L1226" s="153">
        <f t="shared" si="2778"/>
        <v>892</v>
      </c>
      <c r="M1226" s="153">
        <f t="shared" si="2778"/>
        <v>905</v>
      </c>
      <c r="N1226" s="153">
        <f t="shared" si="2778"/>
        <v>863</v>
      </c>
      <c r="O1226" s="153">
        <f t="shared" si="2778"/>
        <v>830</v>
      </c>
      <c r="P1226" s="153">
        <f t="shared" si="2778"/>
        <v>801</v>
      </c>
      <c r="Q1226" s="153">
        <f t="shared" si="2778"/>
        <v>786</v>
      </c>
      <c r="R1226" s="153">
        <f t="shared" si="2778"/>
        <v>706</v>
      </c>
      <c r="S1226" s="153">
        <f t="shared" si="2778"/>
        <v>692</v>
      </c>
      <c r="T1226" s="153">
        <f t="shared" si="2778"/>
        <v>697</v>
      </c>
      <c r="U1226" s="153">
        <f t="shared" si="2778"/>
        <v>689</v>
      </c>
      <c r="V1226" s="153">
        <f t="shared" si="2778"/>
        <v>665</v>
      </c>
      <c r="W1226" s="153">
        <f t="shared" si="2778"/>
        <v>747</v>
      </c>
      <c r="X1226" s="153">
        <f t="shared" si="2778"/>
        <v>847</v>
      </c>
      <c r="Y1226" s="153">
        <f t="shared" ref="Y1226:Z1226" si="2779">Y1222+Y1209+Y1192</f>
        <v>840</v>
      </c>
      <c r="Z1226" s="153">
        <f t="shared" si="2779"/>
        <v>864</v>
      </c>
      <c r="AA1226" s="153">
        <f t="shared" ref="AA1226:AB1226" si="2780">AA1222+AA1209+AA1192</f>
        <v>833</v>
      </c>
      <c r="AB1226" s="153">
        <f t="shared" si="2780"/>
        <v>902</v>
      </c>
      <c r="AC1226" s="153">
        <f t="shared" si="2778"/>
        <v>930.22286767123285</v>
      </c>
      <c r="AD1226" s="153">
        <f t="shared" si="2778"/>
        <v>974.72599356712328</v>
      </c>
      <c r="AE1226" s="153">
        <f t="shared" si="2778"/>
        <v>1019.6053812657535</v>
      </c>
      <c r="AF1226" s="153">
        <f t="shared" ref="AF1226:AI1226" si="2781">AF1222+AF1209+AF1192</f>
        <v>992.96508030016446</v>
      </c>
      <c r="AG1226" s="153">
        <f t="shared" si="2781"/>
        <v>1008.4646822846862</v>
      </c>
      <c r="AH1226" s="153">
        <f t="shared" si="2781"/>
        <v>1082.7644423934269</v>
      </c>
      <c r="AI1226" s="153">
        <f t="shared" si="2781"/>
        <v>1134.7817516180121</v>
      </c>
      <c r="AJ1226" s="153"/>
      <c r="AK1226" s="153"/>
      <c r="AL1226" s="153"/>
      <c r="AM1226" s="153"/>
      <c r="AN1226" s="153"/>
      <c r="AO1226" s="153"/>
      <c r="AP1226" s="153"/>
      <c r="AQ1226" s="153"/>
      <c r="AR1226" s="70"/>
      <c r="AS1226" s="765" t="s">
        <v>195</v>
      </c>
      <c r="AT1226" s="362"/>
      <c r="AU1226" s="153">
        <f t="shared" ref="AU1226" si="2782">AU1222+AU1209+AU1192</f>
        <v>4219</v>
      </c>
      <c r="AV1226" s="153">
        <f t="shared" ref="AV1226" si="2783">AV1222+AV1209+AV1192</f>
        <v>3686</v>
      </c>
      <c r="AW1226" s="153">
        <f t="shared" ref="AW1226:BD1226" si="2784">AW1222+AW1209+AW1192</f>
        <v>3490</v>
      </c>
      <c r="AX1226" s="153">
        <f t="shared" si="2784"/>
        <v>2985</v>
      </c>
      <c r="AY1226" s="153">
        <f t="shared" si="2784"/>
        <v>2798</v>
      </c>
      <c r="AZ1226" s="153">
        <f t="shared" si="2784"/>
        <v>3384</v>
      </c>
      <c r="BA1226" s="153">
        <f t="shared" si="2784"/>
        <v>3826.5542425041099</v>
      </c>
      <c r="BB1226" s="153">
        <f t="shared" ref="BB1226" si="2785">BB1222+BB1209+BB1192</f>
        <v>4218.9759565962904</v>
      </c>
      <c r="BC1226" s="153">
        <f t="shared" si="2784"/>
        <v>4769.0034533584012</v>
      </c>
      <c r="BD1226" s="153">
        <f t="shared" si="2784"/>
        <v>5301.7134466569414</v>
      </c>
      <c r="BE1226" s="153">
        <f t="shared" ref="BE1226" si="2786">BE1222+BE1209+BE1192</f>
        <v>5858.1509103452063</v>
      </c>
      <c r="BM1226"/>
      <c r="BN1226"/>
      <c r="BO1226"/>
      <c r="BP1226"/>
      <c r="BQ1226"/>
      <c r="BR1226"/>
    </row>
    <row r="1227" spans="1:70" s="369" customFormat="1" x14ac:dyDescent="0.2">
      <c r="A1227" s="411"/>
      <c r="B1227" s="765" t="s">
        <v>483</v>
      </c>
      <c r="C1227" s="362"/>
      <c r="D1227" s="153">
        <f t="shared" ref="D1227:AE1227" si="2787">D1226+D1196</f>
        <v>1819</v>
      </c>
      <c r="E1227" s="153">
        <f t="shared" si="2787"/>
        <v>1685</v>
      </c>
      <c r="F1227" s="153">
        <f t="shared" si="2787"/>
        <v>1546</v>
      </c>
      <c r="G1227" s="153">
        <f t="shared" si="2787"/>
        <v>1491</v>
      </c>
      <c r="H1227" s="153">
        <f t="shared" si="2787"/>
        <v>1498</v>
      </c>
      <c r="I1227" s="153">
        <f t="shared" si="2787"/>
        <v>1418</v>
      </c>
      <c r="J1227" s="153">
        <f t="shared" si="2787"/>
        <v>1321</v>
      </c>
      <c r="K1227" s="153">
        <f t="shared" si="2787"/>
        <v>1344</v>
      </c>
      <c r="L1227" s="153">
        <f t="shared" si="2787"/>
        <v>1373</v>
      </c>
      <c r="M1227" s="153">
        <f t="shared" si="2787"/>
        <v>1370</v>
      </c>
      <c r="N1227" s="153">
        <f t="shared" si="2787"/>
        <v>1320</v>
      </c>
      <c r="O1227" s="153">
        <f t="shared" si="2787"/>
        <v>1293</v>
      </c>
      <c r="P1227" s="153">
        <f t="shared" si="2787"/>
        <v>1234</v>
      </c>
      <c r="Q1227" s="153">
        <f t="shared" si="2787"/>
        <v>1243</v>
      </c>
      <c r="R1227" s="153">
        <f t="shared" si="2787"/>
        <v>1107</v>
      </c>
      <c r="S1227" s="153">
        <f t="shared" si="2787"/>
        <v>1110</v>
      </c>
      <c r="T1227" s="153">
        <f t="shared" si="2787"/>
        <v>1150</v>
      </c>
      <c r="U1227" s="153">
        <f t="shared" si="2787"/>
        <v>1131</v>
      </c>
      <c r="V1227" s="153">
        <f t="shared" si="2787"/>
        <v>1092</v>
      </c>
      <c r="W1227" s="153">
        <f t="shared" si="2787"/>
        <v>1230</v>
      </c>
      <c r="X1227" s="153">
        <f t="shared" si="2787"/>
        <v>1367</v>
      </c>
      <c r="Y1227" s="153">
        <f t="shared" ref="Y1227:Z1227" si="2788">Y1226+Y1196</f>
        <v>1371</v>
      </c>
      <c r="Z1227" s="153">
        <f t="shared" si="2788"/>
        <v>1404</v>
      </c>
      <c r="AA1227" s="153">
        <f t="shared" ref="AA1227:AB1227" si="2789">AA1226+AA1196</f>
        <v>1397</v>
      </c>
      <c r="AB1227" s="153">
        <f t="shared" si="2789"/>
        <v>1504</v>
      </c>
      <c r="AC1227" s="153">
        <f t="shared" si="2787"/>
        <v>1543.8984457534245</v>
      </c>
      <c r="AD1227" s="153">
        <f t="shared" si="2787"/>
        <v>1602.1869583311507</v>
      </c>
      <c r="AE1227" s="153">
        <f t="shared" si="2787"/>
        <v>1653.2788308294248</v>
      </c>
      <c r="AF1227" s="153">
        <f t="shared" ref="AF1227:AI1227" si="2790">AF1226+AF1196</f>
        <v>1618.179883511918</v>
      </c>
      <c r="AG1227" s="153">
        <f t="shared" si="2790"/>
        <v>1650.5342345663564</v>
      </c>
      <c r="AH1227" s="153">
        <f t="shared" si="2790"/>
        <v>1760.4512155533153</v>
      </c>
      <c r="AI1227" s="153">
        <f t="shared" si="2790"/>
        <v>1842.2741930418772</v>
      </c>
      <c r="AJ1227" s="153"/>
      <c r="AK1227" s="153"/>
      <c r="AL1227" s="153"/>
      <c r="AM1227" s="153"/>
      <c r="AN1227" s="153"/>
      <c r="AO1227" s="153"/>
      <c r="AP1227" s="153"/>
      <c r="AQ1227" s="153"/>
      <c r="AR1227" s="70"/>
      <c r="AS1227" s="765" t="s">
        <v>483</v>
      </c>
      <c r="AT1227" s="362"/>
      <c r="AU1227" s="153">
        <f t="shared" ref="AU1227" si="2791">AU1226+AU1196</f>
        <v>6541</v>
      </c>
      <c r="AV1227" s="153">
        <f t="shared" ref="AV1227" si="2792">AV1226+AV1196</f>
        <v>5581</v>
      </c>
      <c r="AW1227" s="153">
        <f t="shared" ref="AW1227:BD1227" si="2793">AW1226+AW1196</f>
        <v>5356</v>
      </c>
      <c r="AX1227" s="153">
        <f t="shared" si="2793"/>
        <v>4694</v>
      </c>
      <c r="AY1227" s="153">
        <f t="shared" si="2793"/>
        <v>4603</v>
      </c>
      <c r="AZ1227" s="153">
        <f t="shared" si="2793"/>
        <v>5539</v>
      </c>
      <c r="BA1227" s="153">
        <f t="shared" si="2793"/>
        <v>6303.364234914</v>
      </c>
      <c r="BB1227" s="153">
        <f t="shared" ref="BB1227" si="2794">BB1226+BB1196</f>
        <v>6871.4395266734673</v>
      </c>
      <c r="BC1227" s="153">
        <f t="shared" si="2793"/>
        <v>7609.5513527344956</v>
      </c>
      <c r="BD1227" s="153">
        <f t="shared" si="2793"/>
        <v>8336.4515296994723</v>
      </c>
      <c r="BE1227" s="153">
        <f t="shared" ref="BE1227" si="2795">BE1226+BE1196</f>
        <v>9125.9998479081733</v>
      </c>
      <c r="BM1227"/>
      <c r="BN1227"/>
      <c r="BO1227"/>
      <c r="BP1227"/>
      <c r="BQ1227"/>
      <c r="BR1227"/>
    </row>
    <row r="1228" spans="1:70" s="369" customFormat="1" x14ac:dyDescent="0.2">
      <c r="A1228" s="411"/>
      <c r="B1228" s="765"/>
      <c r="C1228" s="362"/>
      <c r="D1228" s="153"/>
      <c r="E1228" s="153"/>
      <c r="F1228" s="153"/>
      <c r="G1228" s="153"/>
      <c r="H1228" s="153"/>
      <c r="I1228" s="153"/>
      <c r="J1228" s="153"/>
      <c r="K1228" s="153"/>
      <c r="L1228" s="153"/>
      <c r="M1228" s="153"/>
      <c r="N1228" s="153"/>
      <c r="O1228" s="454"/>
      <c r="P1228" s="454"/>
      <c r="Q1228" s="454"/>
      <c r="R1228" s="454"/>
      <c r="S1228" s="454"/>
      <c r="T1228" s="454"/>
      <c r="U1228" s="454"/>
      <c r="V1228" s="454"/>
      <c r="W1228" s="454"/>
      <c r="X1228" s="454"/>
      <c r="Y1228" s="454"/>
      <c r="Z1228" s="454"/>
      <c r="AA1228" s="454"/>
      <c r="AB1228" s="454"/>
      <c r="AC1228" s="762"/>
      <c r="AD1228" s="760"/>
      <c r="AE1228" s="760"/>
      <c r="AF1228" s="760"/>
      <c r="AG1228" s="760"/>
      <c r="AH1228" s="760"/>
      <c r="AI1228" s="385"/>
      <c r="AJ1228" s="385"/>
      <c r="AK1228" s="385"/>
      <c r="AL1228" s="385"/>
      <c r="AM1228" s="385"/>
      <c r="AN1228" s="385"/>
      <c r="AO1228" s="385"/>
      <c r="AP1228" s="385"/>
      <c r="AQ1228" s="385"/>
      <c r="AR1228" s="70"/>
      <c r="AS1228" s="765"/>
      <c r="AT1228" s="362"/>
      <c r="AU1228" s="448"/>
      <c r="AV1228" s="762"/>
      <c r="AX1228" s="763"/>
      <c r="BM1228"/>
      <c r="BN1228"/>
      <c r="BO1228"/>
      <c r="BP1228"/>
      <c r="BQ1228"/>
      <c r="BR1228"/>
    </row>
    <row r="1229" spans="1:70" s="369" customFormat="1" x14ac:dyDescent="0.2">
      <c r="A1229" s="411"/>
      <c r="B1229" s="85" t="s">
        <v>57</v>
      </c>
      <c r="C1229" s="757"/>
      <c r="D1229" s="454"/>
      <c r="E1229" s="454"/>
      <c r="F1229" s="454"/>
      <c r="G1229" s="454"/>
      <c r="H1229" s="454"/>
      <c r="I1229" s="454"/>
      <c r="J1229" s="454"/>
      <c r="K1229" s="454"/>
      <c r="L1229" s="454"/>
      <c r="M1229" s="454"/>
      <c r="N1229" s="454"/>
      <c r="O1229" s="454"/>
      <c r="P1229" s="454"/>
      <c r="Q1229" s="454"/>
      <c r="R1229" s="454"/>
      <c r="S1229" s="454"/>
      <c r="T1229" s="454"/>
      <c r="U1229" s="454"/>
      <c r="V1229" s="454"/>
      <c r="W1229" s="454"/>
      <c r="X1229" s="454"/>
      <c r="Y1229" s="454"/>
      <c r="Z1229" s="454"/>
      <c r="AA1229" s="454"/>
      <c r="AB1229" s="454"/>
      <c r="AC1229" s="385"/>
      <c r="AD1229" s="760"/>
      <c r="AE1229" s="760"/>
      <c r="AF1229" s="760"/>
      <c r="AG1229" s="760"/>
      <c r="AH1229" s="760"/>
      <c r="AI1229" s="385"/>
      <c r="AJ1229" s="385"/>
      <c r="AK1229" s="385"/>
      <c r="AL1229" s="385"/>
      <c r="AM1229" s="385"/>
      <c r="AN1229" s="385"/>
      <c r="AO1229" s="385"/>
      <c r="AP1229" s="385"/>
      <c r="AQ1229" s="385"/>
      <c r="AR1229" s="70"/>
      <c r="AS1229" s="85" t="s">
        <v>57</v>
      </c>
      <c r="AT1229" s="757"/>
      <c r="AU1229" s="515"/>
      <c r="AV1229" s="515"/>
      <c r="AW1229" s="515"/>
      <c r="AX1229" s="515"/>
      <c r="AY1229" s="515"/>
      <c r="AZ1229" s="515"/>
      <c r="BA1229" s="515"/>
      <c r="BB1229" s="515"/>
      <c r="BM1229"/>
      <c r="BN1229"/>
      <c r="BO1229"/>
      <c r="BP1229"/>
      <c r="BQ1229"/>
      <c r="BR1229"/>
    </row>
    <row r="1230" spans="1:70" s="369" customFormat="1" x14ac:dyDescent="0.2">
      <c r="A1230" s="411"/>
      <c r="B1230" s="362" t="s">
        <v>481</v>
      </c>
      <c r="C1230" s="757"/>
      <c r="D1230" s="153">
        <f t="shared" ref="D1230:X1230" si="2796">D496</f>
        <v>103</v>
      </c>
      <c r="E1230" s="153">
        <f t="shared" si="2796"/>
        <v>135</v>
      </c>
      <c r="F1230" s="153">
        <f t="shared" si="2796"/>
        <v>-27</v>
      </c>
      <c r="G1230" s="153">
        <f t="shared" si="2796"/>
        <v>97</v>
      </c>
      <c r="H1230" s="153">
        <f t="shared" si="2796"/>
        <v>65</v>
      </c>
      <c r="I1230" s="153">
        <f t="shared" si="2796"/>
        <v>-30</v>
      </c>
      <c r="J1230" s="153">
        <f t="shared" si="2796"/>
        <v>144</v>
      </c>
      <c r="K1230" s="153">
        <f t="shared" si="2796"/>
        <v>-93</v>
      </c>
      <c r="L1230" s="153">
        <f t="shared" si="2796"/>
        <v>26</v>
      </c>
      <c r="M1230" s="153">
        <f t="shared" si="2796"/>
        <v>-110</v>
      </c>
      <c r="N1230" s="153">
        <f t="shared" si="2796"/>
        <v>-32</v>
      </c>
      <c r="O1230" s="153">
        <f t="shared" si="2796"/>
        <v>163</v>
      </c>
      <c r="P1230" s="153">
        <f t="shared" si="2796"/>
        <v>86</v>
      </c>
      <c r="Q1230" s="153">
        <f t="shared" si="2796"/>
        <v>-87</v>
      </c>
      <c r="R1230" s="153">
        <f t="shared" si="2796"/>
        <v>313</v>
      </c>
      <c r="S1230" s="153">
        <f t="shared" si="2796"/>
        <v>650</v>
      </c>
      <c r="T1230" s="153">
        <f t="shared" si="2796"/>
        <v>390</v>
      </c>
      <c r="U1230" s="153">
        <f t="shared" si="2796"/>
        <v>82</v>
      </c>
      <c r="V1230" s="153">
        <f t="shared" si="2796"/>
        <v>-90</v>
      </c>
      <c r="W1230" s="153">
        <f t="shared" si="2796"/>
        <v>104</v>
      </c>
      <c r="X1230" s="153">
        <f t="shared" si="2796"/>
        <v>-205</v>
      </c>
      <c r="Y1230" s="153">
        <f t="shared" ref="Y1230:Z1230" si="2797">Y496</f>
        <v>87</v>
      </c>
      <c r="Z1230" s="153">
        <f t="shared" si="2797"/>
        <v>-164</v>
      </c>
      <c r="AA1230" s="153">
        <f t="shared" ref="AA1230:AB1230" si="2798">AA496</f>
        <v>267</v>
      </c>
      <c r="AB1230" s="153">
        <f t="shared" si="2798"/>
        <v>-41</v>
      </c>
      <c r="AC1230" s="635">
        <f t="shared" ref="AC1230:AE1230" si="2799">AC1231*AC1232</f>
        <v>172.41632876712333</v>
      </c>
      <c r="AD1230" s="635">
        <f t="shared" si="2799"/>
        <v>194.61824679452059</v>
      </c>
      <c r="AE1230" s="635">
        <f t="shared" si="2799"/>
        <v>224.47445510958903</v>
      </c>
      <c r="AF1230" s="635">
        <f t="shared" ref="AF1230:AI1230" si="2800">AF1231*AF1232</f>
        <v>241.90538453679451</v>
      </c>
      <c r="AG1230" s="635">
        <f t="shared" si="2800"/>
        <v>267.96546336973358</v>
      </c>
      <c r="AH1230" s="635">
        <f t="shared" si="2800"/>
        <v>296.83343655503688</v>
      </c>
      <c r="AI1230" s="635">
        <f t="shared" si="2800"/>
        <v>323.8835803701329</v>
      </c>
      <c r="AJ1230" s="635"/>
      <c r="AK1230" s="635"/>
      <c r="AL1230" s="635"/>
      <c r="AM1230" s="635"/>
      <c r="AN1230" s="635"/>
      <c r="AO1230" s="635"/>
      <c r="AP1230" s="635"/>
      <c r="AQ1230" s="635"/>
      <c r="AR1230" s="70"/>
      <c r="AS1230" s="362" t="s">
        <v>481</v>
      </c>
      <c r="AT1230" s="757"/>
      <c r="AU1230" s="207">
        <f>SUM(D1230:G1230)</f>
        <v>308</v>
      </c>
      <c r="AV1230" s="207">
        <f>SUM(H1230:K1230)</f>
        <v>86</v>
      </c>
      <c r="AW1230" s="207">
        <f>SUM(L1230:O1230)</f>
        <v>47</v>
      </c>
      <c r="AX1230" s="207">
        <f>SUM(P1230:S1230)</f>
        <v>962</v>
      </c>
      <c r="AY1230" s="207">
        <f>SUM(T1230:W1230)</f>
        <v>486</v>
      </c>
      <c r="AZ1230" s="379">
        <f>SUM(X1230:AA1230)</f>
        <v>-15</v>
      </c>
      <c r="BA1230" s="379">
        <f>SUM(AB1230:AE1230)</f>
        <v>550.50903067123295</v>
      </c>
      <c r="BB1230" s="379">
        <f>SUM(AF1230:AI1230)</f>
        <v>1130.587864831698</v>
      </c>
      <c r="BC1230" s="635">
        <f>BC1231*BC1232</f>
        <v>1407.4206282004766</v>
      </c>
      <c r="BD1230" s="635">
        <f>BD1231*BD1232</f>
        <v>1721.07436819944</v>
      </c>
      <c r="BE1230" s="635">
        <f>BE1231*BE1232</f>
        <v>2280.4235378642579</v>
      </c>
      <c r="BM1230"/>
      <c r="BN1230"/>
      <c r="BO1230"/>
      <c r="BP1230"/>
      <c r="BQ1230"/>
      <c r="BR1230"/>
    </row>
    <row r="1231" spans="1:70" s="369" customFormat="1" x14ac:dyDescent="0.2">
      <c r="A1231" s="842"/>
      <c r="B1231" s="757" t="s">
        <v>224</v>
      </c>
      <c r="C1231" s="321"/>
      <c r="D1231" s="153">
        <f t="shared" ref="D1231:X1231" si="2801">D497</f>
        <v>-54</v>
      </c>
      <c r="E1231" s="153">
        <f t="shared" si="2801"/>
        <v>128</v>
      </c>
      <c r="F1231" s="153">
        <f t="shared" si="2801"/>
        <v>146</v>
      </c>
      <c r="G1231" s="153">
        <f t="shared" si="2801"/>
        <v>79</v>
      </c>
      <c r="H1231" s="153">
        <f t="shared" si="2801"/>
        <v>41</v>
      </c>
      <c r="I1231" s="153">
        <f t="shared" si="2801"/>
        <v>56</v>
      </c>
      <c r="J1231" s="153">
        <f t="shared" si="2801"/>
        <v>69</v>
      </c>
      <c r="K1231" s="153">
        <f t="shared" si="2801"/>
        <v>28</v>
      </c>
      <c r="L1231" s="153">
        <f t="shared" si="2801"/>
        <v>132</v>
      </c>
      <c r="M1231" s="153">
        <f t="shared" si="2801"/>
        <v>9</v>
      </c>
      <c r="N1231" s="153">
        <f t="shared" si="2801"/>
        <v>16</v>
      </c>
      <c r="O1231" s="153">
        <f t="shared" si="2801"/>
        <v>118</v>
      </c>
      <c r="P1231" s="153">
        <f t="shared" si="2801"/>
        <v>-1</v>
      </c>
      <c r="Q1231" s="153">
        <f t="shared" si="2801"/>
        <v>82</v>
      </c>
      <c r="R1231" s="153">
        <f t="shared" si="2801"/>
        <v>37</v>
      </c>
      <c r="S1231" s="153">
        <f t="shared" si="2801"/>
        <v>96</v>
      </c>
      <c r="T1231" s="153">
        <f t="shared" si="2801"/>
        <v>211</v>
      </c>
      <c r="U1231" s="153">
        <f t="shared" si="2801"/>
        <v>141</v>
      </c>
      <c r="V1231" s="153">
        <f t="shared" si="2801"/>
        <v>45</v>
      </c>
      <c r="W1231" s="153">
        <f t="shared" si="2801"/>
        <v>119</v>
      </c>
      <c r="X1231" s="153">
        <f t="shared" si="2801"/>
        <v>25</v>
      </c>
      <c r="Y1231" s="153">
        <f t="shared" ref="Y1231:Z1231" si="2802">Y497</f>
        <v>71</v>
      </c>
      <c r="Z1231" s="153">
        <f t="shared" si="2802"/>
        <v>44</v>
      </c>
      <c r="AA1231" s="153">
        <f t="shared" ref="AA1231:AB1231" si="2803">AA497</f>
        <v>225</v>
      </c>
      <c r="AB1231" s="153">
        <f t="shared" si="2803"/>
        <v>105</v>
      </c>
      <c r="AC1231" s="635">
        <f t="shared" ref="AC1231:AE1231" si="2804">AC1269*(AC607*1000)/AC1</f>
        <v>172.41632876712333</v>
      </c>
      <c r="AD1231" s="635">
        <f t="shared" si="2804"/>
        <v>194.61824679452059</v>
      </c>
      <c r="AE1231" s="635">
        <f t="shared" si="2804"/>
        <v>224.47445510958903</v>
      </c>
      <c r="AF1231" s="635">
        <f t="shared" ref="AF1231:AI1231" si="2805">AF1269*(AF607*1000)/AF1</f>
        <v>241.90538453679451</v>
      </c>
      <c r="AG1231" s="635">
        <f t="shared" si="2805"/>
        <v>267.96546336973358</v>
      </c>
      <c r="AH1231" s="635">
        <f t="shared" si="2805"/>
        <v>296.83343655503688</v>
      </c>
      <c r="AI1231" s="635">
        <f t="shared" si="2805"/>
        <v>323.8835803701329</v>
      </c>
      <c r="AJ1231" s="635"/>
      <c r="AK1231" s="635"/>
      <c r="AL1231" s="635"/>
      <c r="AM1231" s="635"/>
      <c r="AN1231" s="635"/>
      <c r="AO1231" s="635"/>
      <c r="AP1231" s="635"/>
      <c r="AQ1231" s="635"/>
      <c r="AR1231" s="70"/>
      <c r="AS1231" s="757" t="s">
        <v>224</v>
      </c>
      <c r="AT1231" s="321"/>
      <c r="AU1231" s="207">
        <f>SUM(D1231:G1231)</f>
        <v>299</v>
      </c>
      <c r="AV1231" s="207">
        <f>SUM(H1231:K1231)</f>
        <v>194</v>
      </c>
      <c r="AW1231" s="207">
        <f>SUM(L1231:O1231)</f>
        <v>275</v>
      </c>
      <c r="AX1231" s="207">
        <f>SUM(P1231:S1231)</f>
        <v>214</v>
      </c>
      <c r="AY1231" s="207">
        <f>SUM(T1231:W1231)</f>
        <v>516</v>
      </c>
      <c r="AZ1231" s="379">
        <f>SUM(X1231:AA1231)</f>
        <v>365</v>
      </c>
      <c r="BA1231" s="379">
        <f>SUM(AB1231:AE1231)</f>
        <v>696.50903067123295</v>
      </c>
      <c r="BB1231" s="379">
        <f>SUM(AF1231:AI1231)</f>
        <v>1130.587864831698</v>
      </c>
      <c r="BC1231" s="635">
        <f>BC1269*(BC607*1000)/BC1</f>
        <v>1407.4206282004766</v>
      </c>
      <c r="BD1231" s="635">
        <f>BD1269*(BD607*1000)/BD1</f>
        <v>1721.07436819944</v>
      </c>
      <c r="BE1231" s="635">
        <f>BE1269*(BE607*1000)/BE1</f>
        <v>2280.4235378642579</v>
      </c>
      <c r="BM1231"/>
      <c r="BN1231"/>
      <c r="BO1231"/>
      <c r="BP1231"/>
      <c r="BQ1231"/>
      <c r="BR1231"/>
    </row>
    <row r="1232" spans="1:70" s="72" customFormat="1" x14ac:dyDescent="0.2">
      <c r="A1232" s="844"/>
      <c r="B1232" s="181" t="s">
        <v>288</v>
      </c>
      <c r="C1232" s="182"/>
      <c r="D1232" s="183">
        <f t="shared" ref="D1232:X1232" si="2806">D1230/D1231</f>
        <v>-1.9074074074074074</v>
      </c>
      <c r="E1232" s="183">
        <f t="shared" si="2806"/>
        <v>1.0546875</v>
      </c>
      <c r="F1232" s="183">
        <f t="shared" si="2806"/>
        <v>-0.18493150684931506</v>
      </c>
      <c r="G1232" s="183">
        <f t="shared" si="2806"/>
        <v>1.2278481012658229</v>
      </c>
      <c r="H1232" s="183">
        <f t="shared" si="2806"/>
        <v>1.5853658536585367</v>
      </c>
      <c r="I1232" s="183">
        <f t="shared" si="2806"/>
        <v>-0.5357142857142857</v>
      </c>
      <c r="J1232" s="183">
        <f t="shared" si="2806"/>
        <v>2.0869565217391304</v>
      </c>
      <c r="K1232" s="183">
        <f t="shared" si="2806"/>
        <v>-3.3214285714285716</v>
      </c>
      <c r="L1232" s="183">
        <f t="shared" si="2806"/>
        <v>0.19696969696969696</v>
      </c>
      <c r="M1232" s="183">
        <f t="shared" si="2806"/>
        <v>-12.222222222222221</v>
      </c>
      <c r="N1232" s="183">
        <f t="shared" si="2806"/>
        <v>-2</v>
      </c>
      <c r="O1232" s="183">
        <f t="shared" si="2806"/>
        <v>1.3813559322033899</v>
      </c>
      <c r="P1232" s="183">
        <f t="shared" si="2806"/>
        <v>-86</v>
      </c>
      <c r="Q1232" s="183">
        <f t="shared" si="2806"/>
        <v>-1.0609756097560976</v>
      </c>
      <c r="R1232" s="183">
        <f t="shared" si="2806"/>
        <v>8.4594594594594597</v>
      </c>
      <c r="S1232" s="183">
        <f t="shared" si="2806"/>
        <v>6.770833333333333</v>
      </c>
      <c r="T1232" s="183">
        <f t="shared" si="2806"/>
        <v>1.8483412322274881</v>
      </c>
      <c r="U1232" s="183">
        <f t="shared" si="2806"/>
        <v>0.58156028368794321</v>
      </c>
      <c r="V1232" s="183">
        <f t="shared" si="2806"/>
        <v>-2</v>
      </c>
      <c r="W1232" s="183">
        <f t="shared" si="2806"/>
        <v>0.87394957983193278</v>
      </c>
      <c r="X1232" s="183">
        <f t="shared" si="2806"/>
        <v>-8.1999999999999993</v>
      </c>
      <c r="Y1232" s="183">
        <f t="shared" ref="Y1232:Z1232" si="2807">Y1230/Y1231</f>
        <v>1.2253521126760563</v>
      </c>
      <c r="Z1232" s="183">
        <f t="shared" si="2807"/>
        <v>-3.7272727272727271</v>
      </c>
      <c r="AA1232" s="183">
        <f t="shared" ref="AA1232:AB1232" si="2808">AA1230/AA1231</f>
        <v>1.1866666666666668</v>
      </c>
      <c r="AB1232" s="183">
        <f t="shared" si="2808"/>
        <v>-0.39047619047619048</v>
      </c>
      <c r="AC1232" s="275">
        <f>Drivers!AC219</f>
        <v>1</v>
      </c>
      <c r="AD1232" s="275">
        <f>Drivers!AD219</f>
        <v>1</v>
      </c>
      <c r="AE1232" s="275">
        <f>Drivers!AE219</f>
        <v>1</v>
      </c>
      <c r="AF1232" s="275">
        <f>Drivers!AF219</f>
        <v>1</v>
      </c>
      <c r="AG1232" s="275">
        <f>Drivers!AG219</f>
        <v>1</v>
      </c>
      <c r="AH1232" s="275">
        <f>Drivers!AH219</f>
        <v>1</v>
      </c>
      <c r="AI1232" s="275">
        <f>Drivers!AI219</f>
        <v>1</v>
      </c>
      <c r="AJ1232" s="275"/>
      <c r="AK1232" s="275"/>
      <c r="AL1232" s="275"/>
      <c r="AM1232" s="275"/>
      <c r="AN1232" s="275"/>
      <c r="AO1232" s="275"/>
      <c r="AP1232" s="275"/>
      <c r="AQ1232" s="275"/>
      <c r="AR1232" s="70"/>
      <c r="AS1232" s="181" t="s">
        <v>288</v>
      </c>
      <c r="AT1232" s="182"/>
      <c r="AU1232" s="152">
        <f t="shared" ref="AU1232:BA1232" si="2809">AU1230/AU1231</f>
        <v>1.0301003344481605</v>
      </c>
      <c r="AV1232" s="152">
        <f t="shared" si="2809"/>
        <v>0.44329896907216493</v>
      </c>
      <c r="AW1232" s="152">
        <f t="shared" si="2809"/>
        <v>0.1709090909090909</v>
      </c>
      <c r="AX1232" s="152">
        <f t="shared" si="2809"/>
        <v>4.4953271028037385</v>
      </c>
      <c r="AY1232" s="152">
        <f t="shared" si="2809"/>
        <v>0.94186046511627908</v>
      </c>
      <c r="AZ1232" s="152">
        <f t="shared" si="2809"/>
        <v>-4.1095890410958902E-2</v>
      </c>
      <c r="BA1232" s="152">
        <f t="shared" si="2809"/>
        <v>0.79038319164462478</v>
      </c>
      <c r="BB1232" s="152">
        <f t="shared" ref="BB1232" si="2810">BB1230/BB1231</f>
        <v>1</v>
      </c>
      <c r="BC1232" s="275">
        <f>Drivers!BC219</f>
        <v>1</v>
      </c>
      <c r="BD1232" s="275">
        <f>Drivers!BD219</f>
        <v>1</v>
      </c>
      <c r="BE1232" s="275">
        <f>Drivers!BE219</f>
        <v>1</v>
      </c>
      <c r="BM1232"/>
      <c r="BN1232"/>
      <c r="BO1232"/>
      <c r="BP1232"/>
      <c r="BQ1232"/>
      <c r="BR1232"/>
    </row>
    <row r="1233" spans="1:70" s="369" customFormat="1" x14ac:dyDescent="0.2">
      <c r="A1233" s="411"/>
      <c r="B1233" s="179"/>
      <c r="C1233" s="363"/>
      <c r="D1233" s="766"/>
      <c r="E1233" s="766"/>
      <c r="F1233" s="766"/>
      <c r="G1233" s="766"/>
      <c r="H1233" s="766"/>
      <c r="I1233" s="766"/>
      <c r="J1233" s="766"/>
      <c r="K1233" s="766"/>
      <c r="L1233" s="766"/>
      <c r="M1233" s="766"/>
      <c r="N1233" s="766"/>
      <c r="O1233" s="766"/>
      <c r="P1233" s="766"/>
      <c r="Q1233" s="766"/>
      <c r="R1233" s="766"/>
      <c r="S1233" s="766"/>
      <c r="T1233" s="766"/>
      <c r="U1233" s="766"/>
      <c r="V1233" s="766"/>
      <c r="W1233" s="766"/>
      <c r="X1233" s="766"/>
      <c r="Y1233" s="766"/>
      <c r="Z1233" s="766"/>
      <c r="AA1233" s="766"/>
      <c r="AB1233" s="760"/>
      <c r="AC1233" s="767"/>
      <c r="AD1233" s="760"/>
      <c r="AE1233" s="760"/>
      <c r="AF1233" s="760"/>
      <c r="AG1233" s="760"/>
      <c r="AH1233" s="760"/>
      <c r="AI1233" s="767"/>
      <c r="AJ1233" s="767"/>
      <c r="AK1233" s="767"/>
      <c r="AL1233" s="767"/>
      <c r="AM1233" s="767"/>
      <c r="AN1233" s="767"/>
      <c r="AO1233" s="767"/>
      <c r="AP1233" s="767"/>
      <c r="AQ1233" s="767"/>
      <c r="AR1233" s="70"/>
      <c r="AS1233" s="179"/>
      <c r="AT1233" s="363"/>
      <c r="AU1233" s="448"/>
      <c r="AV1233" s="385"/>
      <c r="AW1233" s="356"/>
      <c r="AX1233" s="385"/>
      <c r="BM1233"/>
      <c r="BN1233"/>
      <c r="BO1233"/>
      <c r="BP1233"/>
      <c r="BQ1233"/>
      <c r="BR1233"/>
    </row>
    <row r="1234" spans="1:70" s="369" customFormat="1" x14ac:dyDescent="0.2">
      <c r="A1234" s="411"/>
      <c r="B1234" s="85" t="s">
        <v>17</v>
      </c>
      <c r="C1234" s="757"/>
      <c r="D1234" s="560"/>
      <c r="E1234" s="560"/>
      <c r="F1234" s="560"/>
      <c r="G1234" s="560"/>
      <c r="H1234" s="560"/>
      <c r="I1234" s="560"/>
      <c r="J1234" s="560"/>
      <c r="K1234" s="560"/>
      <c r="L1234" s="560"/>
      <c r="M1234" s="560"/>
      <c r="N1234" s="560"/>
      <c r="O1234" s="560"/>
      <c r="P1234" s="560"/>
      <c r="Q1234" s="560"/>
      <c r="R1234" s="560"/>
      <c r="S1234" s="560"/>
      <c r="T1234" s="560"/>
      <c r="U1234" s="560"/>
      <c r="V1234" s="560"/>
      <c r="W1234" s="560"/>
      <c r="X1234" s="560"/>
      <c r="Y1234" s="560"/>
      <c r="Z1234" s="560"/>
      <c r="AA1234" s="560"/>
      <c r="AB1234" s="560"/>
      <c r="AC1234" s="762"/>
      <c r="AD1234" s="760"/>
      <c r="AE1234" s="760"/>
      <c r="AF1234" s="760"/>
      <c r="AG1234" s="760"/>
      <c r="AH1234" s="760"/>
      <c r="AI1234" s="762"/>
      <c r="AJ1234" s="762"/>
      <c r="AK1234" s="762"/>
      <c r="AL1234" s="762"/>
      <c r="AM1234" s="762"/>
      <c r="AN1234" s="762"/>
      <c r="AO1234" s="762"/>
      <c r="AP1234" s="762"/>
      <c r="AQ1234" s="762"/>
      <c r="AR1234" s="70"/>
      <c r="AS1234" s="85" t="s">
        <v>17</v>
      </c>
      <c r="AT1234" s="757"/>
      <c r="AU1234" s="232"/>
      <c r="AV1234" s="232"/>
      <c r="AW1234" s="232"/>
      <c r="AX1234" s="232"/>
      <c r="AY1234" s="232"/>
      <c r="AZ1234" s="467"/>
      <c r="BA1234" s="467"/>
      <c r="BB1234" s="467"/>
      <c r="BM1234"/>
      <c r="BN1234"/>
      <c r="BO1234"/>
      <c r="BP1234"/>
      <c r="BQ1234"/>
      <c r="BR1234"/>
    </row>
    <row r="1235" spans="1:70" s="369" customFormat="1" x14ac:dyDescent="0.2">
      <c r="A1235" s="411"/>
      <c r="B1235" s="362" t="s">
        <v>481</v>
      </c>
      <c r="C1235" s="757"/>
      <c r="D1235" s="69">
        <f t="shared" ref="D1235:X1235" si="2811">D648</f>
        <v>1519</v>
      </c>
      <c r="E1235" s="69">
        <f t="shared" si="2811"/>
        <v>1410</v>
      </c>
      <c r="F1235" s="69">
        <f t="shared" si="2811"/>
        <v>1319</v>
      </c>
      <c r="G1235" s="69">
        <f t="shared" si="2811"/>
        <v>1376</v>
      </c>
      <c r="H1235" s="69">
        <f t="shared" si="2811"/>
        <v>930</v>
      </c>
      <c r="I1235" s="69">
        <f t="shared" si="2811"/>
        <v>594</v>
      </c>
      <c r="J1235" s="69">
        <f t="shared" si="2811"/>
        <v>279</v>
      </c>
      <c r="K1235" s="69">
        <f t="shared" si="2811"/>
        <v>518</v>
      </c>
      <c r="L1235" s="69">
        <f t="shared" si="2811"/>
        <v>485</v>
      </c>
      <c r="M1235" s="69">
        <f t="shared" si="2811"/>
        <v>472</v>
      </c>
      <c r="N1235" s="69">
        <f t="shared" si="2811"/>
        <v>501</v>
      </c>
      <c r="O1235" s="69">
        <f t="shared" si="2811"/>
        <v>451</v>
      </c>
      <c r="P1235" s="69">
        <f t="shared" si="2811"/>
        <v>461</v>
      </c>
      <c r="Q1235" s="69">
        <f t="shared" si="2811"/>
        <v>311</v>
      </c>
      <c r="R1235" s="69">
        <f t="shared" si="2811"/>
        <v>243</v>
      </c>
      <c r="S1235" s="69">
        <f t="shared" si="2811"/>
        <v>467</v>
      </c>
      <c r="T1235" s="69">
        <f t="shared" si="2811"/>
        <v>170</v>
      </c>
      <c r="U1235" s="69">
        <f t="shared" si="2811"/>
        <v>-98</v>
      </c>
      <c r="V1235" s="69">
        <f t="shared" si="2811"/>
        <v>18</v>
      </c>
      <c r="W1235" s="69">
        <f t="shared" si="2811"/>
        <v>-21</v>
      </c>
      <c r="X1235" s="69">
        <f t="shared" si="2811"/>
        <v>52</v>
      </c>
      <c r="Y1235" s="69">
        <f t="shared" ref="Y1235:Z1235" si="2812">Y648</f>
        <v>-132</v>
      </c>
      <c r="Z1235" s="69">
        <f t="shared" si="2812"/>
        <v>-50</v>
      </c>
      <c r="AA1235" s="69">
        <f t="shared" ref="AA1235:AB1235" si="2813">AA648</f>
        <v>-45</v>
      </c>
      <c r="AB1235" s="69">
        <f t="shared" si="2813"/>
        <v>-7</v>
      </c>
      <c r="AC1235" s="635">
        <f t="shared" ref="AC1235:AE1235" si="2814">AC1236*AC1237</f>
        <v>52.605479452054794</v>
      </c>
      <c r="AD1235" s="635">
        <f t="shared" si="2814"/>
        <v>50.33156164383562</v>
      </c>
      <c r="AE1235" s="635">
        <f t="shared" si="2814"/>
        <v>47.641443835616442</v>
      </c>
      <c r="AF1235" s="635">
        <f t="shared" ref="AF1235:AI1235" si="2815">AF1236*AF1237</f>
        <v>43.595508082191778</v>
      </c>
      <c r="AG1235" s="635">
        <f t="shared" si="2815"/>
        <v>41.246941975342466</v>
      </c>
      <c r="AH1235" s="635">
        <f t="shared" si="2815"/>
        <v>39.392946866351785</v>
      </c>
      <c r="AI1235" s="635">
        <f t="shared" si="2815"/>
        <v>37.233055274476797</v>
      </c>
      <c r="AJ1235" s="635"/>
      <c r="AK1235" s="635"/>
      <c r="AL1235" s="635"/>
      <c r="AM1235" s="635"/>
      <c r="AN1235" s="635"/>
      <c r="AO1235" s="635"/>
      <c r="AP1235" s="635"/>
      <c r="AQ1235" s="635"/>
      <c r="AR1235" s="70"/>
      <c r="AS1235" s="362" t="s">
        <v>481</v>
      </c>
      <c r="AT1235" s="757"/>
      <c r="AU1235" s="207">
        <f>SUM(D1235:G1235)</f>
        <v>5624</v>
      </c>
      <c r="AV1235" s="207">
        <f>SUM(H1235:K1235)</f>
        <v>2321</v>
      </c>
      <c r="AW1235" s="207">
        <f>SUM(L1235:O1235)</f>
        <v>1909</v>
      </c>
      <c r="AX1235" s="207">
        <f>SUM(P1235:S1235)</f>
        <v>1482</v>
      </c>
      <c r="AY1235" s="207">
        <f>SUM(T1235:W1235)</f>
        <v>69</v>
      </c>
      <c r="AZ1235" s="379">
        <f>SUM(X1235:AA1235)</f>
        <v>-175</v>
      </c>
      <c r="BA1235" s="379">
        <f>SUM(AB1235:AE1235)</f>
        <v>143.57848493150686</v>
      </c>
      <c r="BB1235" s="379">
        <f>SUM(AF1235:AI1235)</f>
        <v>161.46845219836285</v>
      </c>
      <c r="BC1235" s="635">
        <f>BC1236*BC1237</f>
        <v>127.49682755848167</v>
      </c>
      <c r="BD1235" s="635">
        <f>BD1236*BD1237</f>
        <v>100.94551411221903</v>
      </c>
      <c r="BE1235" s="635">
        <f>BE1236*BE1237</f>
        <v>80.125242529035404</v>
      </c>
      <c r="BM1235"/>
      <c r="BN1235"/>
      <c r="BO1235"/>
      <c r="BP1235"/>
      <c r="BQ1235"/>
      <c r="BR1235"/>
    </row>
    <row r="1236" spans="1:70" s="369" customFormat="1" x14ac:dyDescent="0.2">
      <c r="A1236" s="411"/>
      <c r="B1236" s="768" t="s">
        <v>224</v>
      </c>
      <c r="C1236" s="757"/>
      <c r="D1236" s="69">
        <f t="shared" ref="D1236:X1236" si="2816">D649</f>
        <v>1875</v>
      </c>
      <c r="E1236" s="69">
        <f t="shared" si="2816"/>
        <v>1481</v>
      </c>
      <c r="F1236" s="69">
        <f t="shared" si="2816"/>
        <v>1965</v>
      </c>
      <c r="G1236" s="69">
        <f t="shared" si="2816"/>
        <v>1139</v>
      </c>
      <c r="H1236" s="69">
        <f t="shared" si="2816"/>
        <v>1088</v>
      </c>
      <c r="I1236" s="69">
        <f t="shared" si="2816"/>
        <v>892</v>
      </c>
      <c r="J1236" s="69">
        <f t="shared" si="2816"/>
        <v>791</v>
      </c>
      <c r="K1236" s="69">
        <f t="shared" si="2816"/>
        <v>896</v>
      </c>
      <c r="L1236" s="69">
        <f t="shared" si="2816"/>
        <v>663</v>
      </c>
      <c r="M1236" s="69">
        <f t="shared" si="2816"/>
        <v>529</v>
      </c>
      <c r="N1236" s="69">
        <f t="shared" si="2816"/>
        <v>485</v>
      </c>
      <c r="O1236" s="69">
        <f t="shared" si="2816"/>
        <v>505</v>
      </c>
      <c r="P1236" s="69">
        <f t="shared" si="2816"/>
        <v>468</v>
      </c>
      <c r="Q1236" s="69">
        <f t="shared" si="2816"/>
        <v>334</v>
      </c>
      <c r="R1236" s="69">
        <f t="shared" si="2816"/>
        <v>273</v>
      </c>
      <c r="S1236" s="69">
        <f t="shared" si="2816"/>
        <v>261</v>
      </c>
      <c r="T1236" s="69">
        <f t="shared" si="2816"/>
        <v>142</v>
      </c>
      <c r="U1236" s="69">
        <f t="shared" si="2816"/>
        <v>101</v>
      </c>
      <c r="V1236" s="69">
        <f t="shared" si="2816"/>
        <v>131</v>
      </c>
      <c r="W1236" s="69">
        <f t="shared" si="2816"/>
        <v>61</v>
      </c>
      <c r="X1236" s="69">
        <f t="shared" si="2816"/>
        <v>81</v>
      </c>
      <c r="Y1236" s="69">
        <f t="shared" ref="Y1236:Z1236" si="2817">Y649</f>
        <v>24</v>
      </c>
      <c r="Z1236" s="69">
        <f t="shared" si="2817"/>
        <v>29</v>
      </c>
      <c r="AA1236" s="69">
        <f t="shared" ref="AA1236:AB1236" si="2818">AA649</f>
        <v>15</v>
      </c>
      <c r="AB1236" s="69">
        <f t="shared" si="2818"/>
        <v>26</v>
      </c>
      <c r="AC1236" s="379">
        <f t="shared" ref="AC1236:AE1236" si="2819">AC1271*(AC698*1000)/AC1</f>
        <v>52.605479452054794</v>
      </c>
      <c r="AD1236" s="379">
        <f t="shared" si="2819"/>
        <v>50.33156164383562</v>
      </c>
      <c r="AE1236" s="379">
        <f t="shared" si="2819"/>
        <v>47.641443835616442</v>
      </c>
      <c r="AF1236" s="379">
        <f t="shared" ref="AF1236:AI1236" si="2820">AF1271*(AF698*1000)/AF1</f>
        <v>43.595508082191778</v>
      </c>
      <c r="AG1236" s="379">
        <f t="shared" si="2820"/>
        <v>41.246941975342466</v>
      </c>
      <c r="AH1236" s="379">
        <f t="shared" si="2820"/>
        <v>39.392946866351785</v>
      </c>
      <c r="AI1236" s="379">
        <f t="shared" si="2820"/>
        <v>37.233055274476797</v>
      </c>
      <c r="AJ1236" s="379"/>
      <c r="AK1236" s="379"/>
      <c r="AL1236" s="379"/>
      <c r="AM1236" s="379"/>
      <c r="AN1236" s="379"/>
      <c r="AO1236" s="379"/>
      <c r="AP1236" s="379"/>
      <c r="AQ1236" s="379"/>
      <c r="AR1236" s="70"/>
      <c r="AS1236" s="768" t="s">
        <v>224</v>
      </c>
      <c r="AT1236" s="757"/>
      <c r="AU1236" s="207">
        <f>SUM(D1236:G1236)</f>
        <v>6460</v>
      </c>
      <c r="AV1236" s="207">
        <f>SUM(H1236:K1236)</f>
        <v>3667</v>
      </c>
      <c r="AW1236" s="207">
        <f>SUM(L1236:O1236)</f>
        <v>2182</v>
      </c>
      <c r="AX1236" s="207">
        <f>SUM(P1236:S1236)</f>
        <v>1336</v>
      </c>
      <c r="AY1236" s="207">
        <f>SUM(T1236:W1236)</f>
        <v>435</v>
      </c>
      <c r="AZ1236" s="379">
        <f>SUM(X1236:AA1236)</f>
        <v>149</v>
      </c>
      <c r="BA1236" s="379">
        <f>SUM(AB1236:AE1236)</f>
        <v>176.57848493150686</v>
      </c>
      <c r="BB1236" s="379">
        <f>SUM(AF1236:AI1236)</f>
        <v>161.46845219836285</v>
      </c>
      <c r="BC1236" s="379">
        <f>BC1271*(BC698*1000)/BC1</f>
        <v>127.49682755848167</v>
      </c>
      <c r="BD1236" s="379">
        <f>BD1271*(BD698*1000)/BD1</f>
        <v>100.94551411221903</v>
      </c>
      <c r="BE1236" s="379">
        <f>BE1271*(BE698*1000)/BE1</f>
        <v>80.125242529035404</v>
      </c>
      <c r="BM1236"/>
      <c r="BN1236"/>
      <c r="BO1236"/>
      <c r="BP1236"/>
      <c r="BQ1236"/>
      <c r="BR1236"/>
    </row>
    <row r="1237" spans="1:70" s="369" customFormat="1" x14ac:dyDescent="0.2">
      <c r="A1237" s="411"/>
      <c r="B1237" s="181" t="s">
        <v>288</v>
      </c>
      <c r="C1237" s="757"/>
      <c r="D1237" s="152">
        <f t="shared" ref="D1237:X1237" si="2821">D1235/D1236</f>
        <v>0.81013333333333337</v>
      </c>
      <c r="E1237" s="152">
        <f t="shared" si="2821"/>
        <v>0.95205941931127613</v>
      </c>
      <c r="F1237" s="152">
        <f t="shared" si="2821"/>
        <v>0.67124681933842234</v>
      </c>
      <c r="G1237" s="152">
        <f t="shared" si="2821"/>
        <v>1.2080772607550483</v>
      </c>
      <c r="H1237" s="152">
        <f t="shared" si="2821"/>
        <v>0.85477941176470584</v>
      </c>
      <c r="I1237" s="152">
        <f t="shared" si="2821"/>
        <v>0.6659192825112108</v>
      </c>
      <c r="J1237" s="152">
        <f t="shared" si="2821"/>
        <v>0.3527180783817952</v>
      </c>
      <c r="K1237" s="152">
        <f t="shared" si="2821"/>
        <v>0.578125</v>
      </c>
      <c r="L1237" s="152">
        <f t="shared" si="2821"/>
        <v>0.73152337858220207</v>
      </c>
      <c r="M1237" s="152">
        <f t="shared" si="2821"/>
        <v>0.89224952741020791</v>
      </c>
      <c r="N1237" s="152">
        <f t="shared" si="2821"/>
        <v>1.0329896907216496</v>
      </c>
      <c r="O1237" s="152">
        <f t="shared" si="2821"/>
        <v>0.89306930693069309</v>
      </c>
      <c r="P1237" s="152">
        <f t="shared" si="2821"/>
        <v>0.9850427350427351</v>
      </c>
      <c r="Q1237" s="152">
        <f t="shared" si="2821"/>
        <v>0.93113772455089816</v>
      </c>
      <c r="R1237" s="152">
        <f t="shared" si="2821"/>
        <v>0.89010989010989006</v>
      </c>
      <c r="S1237" s="152">
        <f t="shared" si="2821"/>
        <v>1.789272030651341</v>
      </c>
      <c r="T1237" s="152">
        <f t="shared" si="2821"/>
        <v>1.1971830985915493</v>
      </c>
      <c r="U1237" s="152">
        <f t="shared" si="2821"/>
        <v>-0.97029702970297027</v>
      </c>
      <c r="V1237" s="152">
        <f t="shared" si="2821"/>
        <v>0.13740458015267176</v>
      </c>
      <c r="W1237" s="152">
        <f t="shared" si="2821"/>
        <v>-0.34426229508196721</v>
      </c>
      <c r="X1237" s="152">
        <f t="shared" si="2821"/>
        <v>0.64197530864197527</v>
      </c>
      <c r="Y1237" s="152">
        <f t="shared" ref="Y1237:Z1237" si="2822">Y1235/Y1236</f>
        <v>-5.5</v>
      </c>
      <c r="Z1237" s="152">
        <f t="shared" si="2822"/>
        <v>-1.7241379310344827</v>
      </c>
      <c r="AA1237" s="152">
        <f t="shared" ref="AA1237:AB1237" si="2823">AA1235/AA1236</f>
        <v>-3</v>
      </c>
      <c r="AB1237" s="152">
        <f t="shared" si="2823"/>
        <v>-0.26923076923076922</v>
      </c>
      <c r="AC1237" s="275">
        <f>Drivers!AC253</f>
        <v>1</v>
      </c>
      <c r="AD1237" s="275">
        <f>Drivers!AD253</f>
        <v>1</v>
      </c>
      <c r="AE1237" s="275">
        <f>Drivers!AE253</f>
        <v>1</v>
      </c>
      <c r="AF1237" s="275">
        <f>Drivers!AF253</f>
        <v>1</v>
      </c>
      <c r="AG1237" s="275">
        <f>Drivers!AG253</f>
        <v>1</v>
      </c>
      <c r="AH1237" s="275">
        <f>Drivers!AH253</f>
        <v>1</v>
      </c>
      <c r="AI1237" s="275">
        <f>Drivers!AI253</f>
        <v>1</v>
      </c>
      <c r="AJ1237" s="275"/>
      <c r="AK1237" s="275"/>
      <c r="AL1237" s="275"/>
      <c r="AM1237" s="275"/>
      <c r="AN1237" s="275"/>
      <c r="AO1237" s="275"/>
      <c r="AP1237" s="275"/>
      <c r="AQ1237" s="275"/>
      <c r="AR1237" s="70"/>
      <c r="AS1237" s="181" t="s">
        <v>288</v>
      </c>
      <c r="AT1237" s="757"/>
      <c r="AU1237" s="152">
        <f t="shared" ref="AU1237:BA1237" si="2824">AU1235/AU1236</f>
        <v>0.87058823529411766</v>
      </c>
      <c r="AV1237" s="152">
        <f t="shared" si="2824"/>
        <v>0.63294245977638397</v>
      </c>
      <c r="AW1237" s="152">
        <f t="shared" si="2824"/>
        <v>0.87488542621448218</v>
      </c>
      <c r="AX1237" s="152">
        <f t="shared" si="2824"/>
        <v>1.1092814371257484</v>
      </c>
      <c r="AY1237" s="152">
        <f t="shared" si="2824"/>
        <v>0.15862068965517243</v>
      </c>
      <c r="AZ1237" s="152">
        <f t="shared" si="2824"/>
        <v>-1.174496644295302</v>
      </c>
      <c r="BA1237" s="152">
        <f t="shared" si="2824"/>
        <v>0.81311426466933168</v>
      </c>
      <c r="BB1237" s="152">
        <f t="shared" ref="BB1237" si="2825">BB1235/BB1236</f>
        <v>1</v>
      </c>
      <c r="BC1237" s="275">
        <f>Drivers!BC253</f>
        <v>1</v>
      </c>
      <c r="BD1237" s="275">
        <f>Drivers!BD253</f>
        <v>1</v>
      </c>
      <c r="BE1237" s="275">
        <f>Drivers!BE253</f>
        <v>1</v>
      </c>
      <c r="BM1237"/>
      <c r="BN1237"/>
      <c r="BO1237"/>
      <c r="BP1237"/>
      <c r="BQ1237"/>
      <c r="BR1237"/>
    </row>
    <row r="1238" spans="1:70" s="369" customFormat="1" ht="13.5" thickBot="1" x14ac:dyDescent="0.25">
      <c r="A1238" s="411"/>
      <c r="B1238" s="321"/>
      <c r="C1238" s="363"/>
      <c r="D1238" s="321"/>
      <c r="E1238" s="767"/>
      <c r="F1238" s="767"/>
      <c r="G1238" s="767"/>
      <c r="H1238" s="767"/>
      <c r="I1238" s="767"/>
      <c r="J1238" s="767"/>
      <c r="K1238" s="767"/>
      <c r="L1238" s="767"/>
      <c r="M1238" s="767"/>
      <c r="N1238" s="767"/>
      <c r="O1238" s="767"/>
      <c r="P1238" s="767"/>
      <c r="Q1238" s="767"/>
      <c r="R1238" s="767"/>
      <c r="S1238" s="767"/>
      <c r="T1238" s="767"/>
      <c r="U1238" s="767"/>
      <c r="V1238" s="767"/>
      <c r="W1238" s="767"/>
      <c r="X1238" s="767"/>
      <c r="Y1238" s="767"/>
      <c r="Z1238" s="767"/>
      <c r="AA1238" s="767"/>
      <c r="AB1238" s="767"/>
      <c r="AC1238" s="767"/>
      <c r="AD1238" s="760"/>
      <c r="AE1238" s="760"/>
      <c r="AF1238" s="760"/>
      <c r="AG1238" s="760"/>
      <c r="AH1238" s="760"/>
      <c r="AI1238" s="767"/>
      <c r="AJ1238" s="767"/>
      <c r="AK1238" s="767"/>
      <c r="AL1238" s="767"/>
      <c r="AM1238" s="767"/>
      <c r="AN1238" s="767"/>
      <c r="AO1238" s="767"/>
      <c r="AP1238" s="767"/>
      <c r="AQ1238" s="767"/>
      <c r="AR1238" s="70"/>
      <c r="AS1238" s="321"/>
      <c r="AT1238" s="363"/>
      <c r="AV1238" s="767"/>
      <c r="AW1238" s="342"/>
      <c r="AX1238" s="767"/>
      <c r="BM1238"/>
      <c r="BN1238"/>
      <c r="BO1238"/>
      <c r="BP1238"/>
      <c r="BQ1238"/>
      <c r="BR1238"/>
    </row>
    <row r="1239" spans="1:70" s="369" customFormat="1" x14ac:dyDescent="0.2">
      <c r="A1239" s="411"/>
      <c r="B1239" s="769" t="s">
        <v>135</v>
      </c>
      <c r="C1239" s="770"/>
      <c r="D1239" s="771">
        <f t="shared" ref="D1239:AE1239" si="2826">D1178+D1230+D1235</f>
        <v>2900</v>
      </c>
      <c r="E1239" s="771">
        <f t="shared" si="2826"/>
        <v>2696</v>
      </c>
      <c r="F1239" s="771">
        <f t="shared" si="2826"/>
        <v>2620</v>
      </c>
      <c r="G1239" s="771">
        <f t="shared" si="2826"/>
        <v>3113</v>
      </c>
      <c r="H1239" s="771">
        <f t="shared" si="2826"/>
        <v>2459</v>
      </c>
      <c r="I1239" s="771">
        <f t="shared" si="2826"/>
        <v>2024</v>
      </c>
      <c r="J1239" s="771">
        <f t="shared" si="2826"/>
        <v>1959</v>
      </c>
      <c r="K1239" s="771">
        <f t="shared" si="2826"/>
        <v>2072</v>
      </c>
      <c r="L1239" s="771">
        <f t="shared" si="2826"/>
        <v>1974</v>
      </c>
      <c r="M1239" s="771">
        <f t="shared" si="2826"/>
        <v>1730</v>
      </c>
      <c r="N1239" s="771">
        <f t="shared" si="2826"/>
        <v>1750</v>
      </c>
      <c r="O1239" s="771">
        <f t="shared" si="2826"/>
        <v>2013</v>
      </c>
      <c r="P1239" s="771">
        <f t="shared" si="2826"/>
        <v>1915</v>
      </c>
      <c r="Q1239" s="771">
        <f t="shared" si="2826"/>
        <v>1648</v>
      </c>
      <c r="R1239" s="771">
        <f t="shared" si="2826"/>
        <v>1836</v>
      </c>
      <c r="S1239" s="771">
        <f t="shared" si="2826"/>
        <v>2514</v>
      </c>
      <c r="T1239" s="771">
        <f t="shared" si="2826"/>
        <v>2045</v>
      </c>
      <c r="U1239" s="771">
        <f t="shared" si="2826"/>
        <v>1409</v>
      </c>
      <c r="V1239" s="771">
        <f t="shared" si="2826"/>
        <v>1736</v>
      </c>
      <c r="W1239" s="771">
        <f t="shared" si="2826"/>
        <v>1792</v>
      </c>
      <c r="X1239" s="771">
        <f t="shared" si="2826"/>
        <v>1662</v>
      </c>
      <c r="Y1239" s="771">
        <f t="shared" ref="Y1239:Z1239" si="2827">Y1178+Y1230+Y1235</f>
        <v>1717</v>
      </c>
      <c r="Z1239" s="771">
        <f t="shared" si="2827"/>
        <v>1999</v>
      </c>
      <c r="AA1239" s="771">
        <f t="shared" ref="AA1239:AB1239" si="2828">AA1178+AA1230+AA1235</f>
        <v>2073</v>
      </c>
      <c r="AB1239" s="771">
        <f t="shared" si="2828"/>
        <v>1857</v>
      </c>
      <c r="AC1239" s="771">
        <f t="shared" si="2826"/>
        <v>2201.3508752602743</v>
      </c>
      <c r="AD1239" s="771">
        <f t="shared" si="2826"/>
        <v>2318.1821994053621</v>
      </c>
      <c r="AE1239" s="771">
        <f t="shared" si="2826"/>
        <v>2430.6596766483344</v>
      </c>
      <c r="AF1239" s="771">
        <f t="shared" ref="AF1239:AI1239" si="2829">AF1178+AF1230+AF1235</f>
        <v>2399.0773951623601</v>
      </c>
      <c r="AG1239" s="771">
        <f t="shared" si="2829"/>
        <v>2485.4811397022422</v>
      </c>
      <c r="AH1239" s="771">
        <f t="shared" si="2829"/>
        <v>2652.3018689032192</v>
      </c>
      <c r="AI1239" s="771">
        <f t="shared" si="2829"/>
        <v>2786.541411676526</v>
      </c>
      <c r="AJ1239" s="539"/>
      <c r="AK1239" s="539"/>
      <c r="AL1239" s="539"/>
      <c r="AM1239" s="539"/>
      <c r="AN1239" s="539"/>
      <c r="AO1239" s="539"/>
      <c r="AP1239" s="539"/>
      <c r="AQ1239" s="539"/>
      <c r="AR1239" s="70"/>
      <c r="AS1239" s="769" t="s">
        <v>135</v>
      </c>
      <c r="AT1239" s="770"/>
      <c r="AU1239" s="771">
        <f t="shared" ref="AU1239:BD1239" si="2830">AU1178+AU1230+AU1235</f>
        <v>11329</v>
      </c>
      <c r="AV1239" s="771">
        <f t="shared" si="2830"/>
        <v>8514</v>
      </c>
      <c r="AW1239" s="771">
        <f t="shared" si="2830"/>
        <v>7467</v>
      </c>
      <c r="AX1239" s="771">
        <f t="shared" si="2830"/>
        <v>7913</v>
      </c>
      <c r="AY1239" s="771">
        <f t="shared" si="2830"/>
        <v>6982</v>
      </c>
      <c r="AZ1239" s="771">
        <f t="shared" si="2830"/>
        <v>7451</v>
      </c>
      <c r="BA1239" s="771">
        <f t="shared" si="2830"/>
        <v>8807.1927513139708</v>
      </c>
      <c r="BB1239" s="771">
        <f t="shared" ref="BB1239" si="2831">BB1178+BB1230+BB1235</f>
        <v>10323.401815444347</v>
      </c>
      <c r="BC1239" s="771">
        <f t="shared" si="2830"/>
        <v>11647.660186926505</v>
      </c>
      <c r="BD1239" s="771">
        <f t="shared" si="2830"/>
        <v>13020.253237788598</v>
      </c>
      <c r="BE1239" s="771">
        <f t="shared" ref="BE1239" si="2832">BE1178+BE1230+BE1235</f>
        <v>14783.777943021503</v>
      </c>
      <c r="BM1239"/>
      <c r="BN1239"/>
      <c r="BO1239"/>
      <c r="BP1239"/>
      <c r="BQ1239"/>
      <c r="BR1239"/>
    </row>
    <row r="1240" spans="1:70" s="369" customFormat="1" ht="13.5" thickBot="1" x14ac:dyDescent="0.25">
      <c r="A1240" s="411"/>
      <c r="B1240" s="772" t="s">
        <v>224</v>
      </c>
      <c r="C1240" s="773"/>
      <c r="D1240" s="774">
        <f t="shared" ref="D1240:AE1240" si="2833">D1236+D1231+D1179</f>
        <v>3858</v>
      </c>
      <c r="E1240" s="774">
        <f t="shared" si="2833"/>
        <v>3491</v>
      </c>
      <c r="F1240" s="774">
        <f t="shared" si="2833"/>
        <v>3897</v>
      </c>
      <c r="G1240" s="774">
        <f t="shared" si="2833"/>
        <v>2985</v>
      </c>
      <c r="H1240" s="774">
        <f t="shared" si="2833"/>
        <v>2878</v>
      </c>
      <c r="I1240" s="774">
        <f t="shared" si="2833"/>
        <v>2608</v>
      </c>
      <c r="J1240" s="774">
        <f t="shared" si="2833"/>
        <v>2430</v>
      </c>
      <c r="K1240" s="774">
        <f t="shared" si="2833"/>
        <v>2547</v>
      </c>
      <c r="L1240" s="774">
        <f t="shared" si="2833"/>
        <v>2439</v>
      </c>
      <c r="M1240" s="774">
        <f t="shared" si="2833"/>
        <v>2189</v>
      </c>
      <c r="N1240" s="774">
        <f t="shared" si="2833"/>
        <v>2097</v>
      </c>
      <c r="O1240" s="774">
        <f t="shared" si="2833"/>
        <v>2248</v>
      </c>
      <c r="P1240" s="774">
        <f t="shared" si="2833"/>
        <v>1957</v>
      </c>
      <c r="Q1240" s="774">
        <f t="shared" si="2833"/>
        <v>1920</v>
      </c>
      <c r="R1240" s="774">
        <f t="shared" si="2833"/>
        <v>1663</v>
      </c>
      <c r="S1240" s="774">
        <f t="shared" si="2833"/>
        <v>1762</v>
      </c>
      <c r="T1240" s="774">
        <f t="shared" si="2833"/>
        <v>1724</v>
      </c>
      <c r="U1240" s="774">
        <f t="shared" si="2833"/>
        <v>1616</v>
      </c>
      <c r="V1240" s="774">
        <f t="shared" si="2833"/>
        <v>1525</v>
      </c>
      <c r="W1240" s="774">
        <f t="shared" si="2833"/>
        <v>1696</v>
      </c>
      <c r="X1240" s="774">
        <f t="shared" si="2833"/>
        <v>1709</v>
      </c>
      <c r="Y1240" s="774">
        <f t="shared" ref="Y1240:Z1240" si="2834">Y1236+Y1231+Y1179</f>
        <v>1710</v>
      </c>
      <c r="Z1240" s="774">
        <f t="shared" si="2834"/>
        <v>1777</v>
      </c>
      <c r="AA1240" s="774">
        <f t="shared" ref="AA1240:AB1240" si="2835">AA1236+AA1231+AA1179</f>
        <v>1880</v>
      </c>
      <c r="AB1240" s="774">
        <f t="shared" si="2835"/>
        <v>1867</v>
      </c>
      <c r="AC1240" s="774">
        <f t="shared" si="2833"/>
        <v>2024.6163920547947</v>
      </c>
      <c r="AD1240" s="774">
        <f t="shared" si="2833"/>
        <v>2132.6110641393698</v>
      </c>
      <c r="AE1240" s="774">
        <f t="shared" si="2833"/>
        <v>2228.6826236058632</v>
      </c>
      <c r="AF1240" s="774">
        <f t="shared" ref="AF1240:AI1240" si="2836">AF1236+AF1231+AF1179</f>
        <v>2215.6769575195153</v>
      </c>
      <c r="AG1240" s="774">
        <f t="shared" si="2836"/>
        <v>2287.638527487954</v>
      </c>
      <c r="AH1240" s="774">
        <f t="shared" si="2836"/>
        <v>2441.7495520412344</v>
      </c>
      <c r="AI1240" s="774">
        <f t="shared" si="2836"/>
        <v>2566.0482502190785</v>
      </c>
      <c r="AJ1240" s="539"/>
      <c r="AK1240" s="539"/>
      <c r="AL1240" s="539"/>
      <c r="AM1240" s="539"/>
      <c r="AN1240" s="539"/>
      <c r="AO1240" s="539"/>
      <c r="AP1240" s="539"/>
      <c r="AQ1240" s="539"/>
      <c r="AR1240" s="70"/>
      <c r="AS1240" s="772" t="s">
        <v>224</v>
      </c>
      <c r="AT1240" s="773"/>
      <c r="AU1240" s="774">
        <f t="shared" ref="AU1240:BD1240" si="2837">AU1236+AU1231+AU1179</f>
        <v>14231</v>
      </c>
      <c r="AV1240" s="774">
        <f t="shared" si="2837"/>
        <v>10463</v>
      </c>
      <c r="AW1240" s="774">
        <f t="shared" si="2837"/>
        <v>8973</v>
      </c>
      <c r="AX1240" s="774">
        <f t="shared" si="2837"/>
        <v>7302</v>
      </c>
      <c r="AY1240" s="774">
        <f t="shared" si="2837"/>
        <v>6561</v>
      </c>
      <c r="AZ1240" s="774">
        <f t="shared" si="2837"/>
        <v>7076</v>
      </c>
      <c r="BA1240" s="774">
        <f t="shared" si="2837"/>
        <v>8252.9100798000272</v>
      </c>
      <c r="BB1240" s="774">
        <f t="shared" ref="BB1240" si="2838">BB1236+BB1231+BB1179</f>
        <v>9511.1132872677827</v>
      </c>
      <c r="BC1240" s="774">
        <f t="shared" si="2837"/>
        <v>10728.319938638546</v>
      </c>
      <c r="BD1240" s="774">
        <f t="shared" si="2837"/>
        <v>12002.232023654329</v>
      </c>
      <c r="BE1240" s="774">
        <f t="shared" ref="BE1240" si="2839">BE1236+BE1231+BE1179</f>
        <v>13654.393473691665</v>
      </c>
      <c r="BM1240"/>
      <c r="BN1240"/>
      <c r="BO1240"/>
      <c r="BP1240"/>
      <c r="BQ1240"/>
      <c r="BR1240"/>
    </row>
    <row r="1241" spans="1:70" s="369" customFormat="1" x14ac:dyDescent="0.2">
      <c r="A1241" s="411"/>
      <c r="B1241" s="321"/>
      <c r="C1241" s="321"/>
      <c r="D1241" s="321"/>
      <c r="E1241" s="321"/>
      <c r="F1241" s="321"/>
      <c r="G1241" s="321"/>
      <c r="H1241" s="321"/>
      <c r="I1241" s="321"/>
      <c r="J1241" s="321"/>
      <c r="K1241" s="321"/>
      <c r="L1241" s="321"/>
      <c r="M1241" s="321"/>
      <c r="N1241" s="321"/>
      <c r="O1241" s="321"/>
      <c r="P1241" s="321"/>
      <c r="Q1241" s="321"/>
      <c r="R1241" s="321"/>
      <c r="S1241" s="321"/>
      <c r="T1241" s="321"/>
      <c r="U1241" s="321"/>
      <c r="V1241" s="321"/>
      <c r="W1241" s="321"/>
      <c r="AR1241" s="70"/>
      <c r="AS1241" s="321"/>
      <c r="AT1241" s="321"/>
      <c r="AU1241" s="232"/>
      <c r="AV1241" s="232"/>
      <c r="AW1241" s="232"/>
      <c r="AX1241" s="232"/>
      <c r="AY1241" s="232"/>
      <c r="AZ1241" s="467"/>
      <c r="BA1241" s="467"/>
      <c r="BB1241" s="467"/>
      <c r="BM1241"/>
      <c r="BN1241"/>
      <c r="BO1241"/>
      <c r="BP1241"/>
      <c r="BQ1241"/>
      <c r="BR1241"/>
    </row>
    <row r="1242" spans="1:70" s="342" customFormat="1" x14ac:dyDescent="0.2">
      <c r="A1242" s="830"/>
      <c r="B1242" s="705" t="s">
        <v>482</v>
      </c>
      <c r="C1242" s="706"/>
      <c r="D1242" s="706"/>
      <c r="E1242" s="706"/>
      <c r="F1242" s="706"/>
      <c r="G1242" s="706"/>
      <c r="H1242" s="706"/>
      <c r="I1242" s="707"/>
      <c r="J1242" s="708"/>
      <c r="K1242" s="707"/>
      <c r="L1242" s="708"/>
      <c r="M1242" s="707"/>
      <c r="N1242" s="707"/>
      <c r="O1242" s="707"/>
      <c r="P1242" s="708"/>
      <c r="Q1242" s="705"/>
      <c r="R1242" s="705"/>
      <c r="S1242" s="705"/>
      <c r="T1242" s="705"/>
      <c r="U1242" s="705"/>
      <c r="V1242" s="705"/>
      <c r="W1242" s="705"/>
      <c r="X1242" s="705"/>
      <c r="Y1242" s="707"/>
      <c r="Z1242" s="709"/>
      <c r="AA1242" s="709"/>
      <c r="AB1242" s="709"/>
      <c r="AC1242" s="709"/>
      <c r="AD1242" s="709"/>
      <c r="AE1242" s="709"/>
      <c r="AF1242" s="709"/>
      <c r="AG1242" s="709"/>
      <c r="AH1242" s="709"/>
      <c r="AI1242" s="706"/>
      <c r="AJ1242" s="706"/>
      <c r="AK1242" s="706"/>
      <c r="AL1242" s="706"/>
      <c r="AM1242" s="706"/>
      <c r="AN1242" s="706"/>
      <c r="AO1242" s="706"/>
      <c r="AP1242" s="706"/>
      <c r="AQ1242" s="706"/>
      <c r="AR1242" s="70"/>
      <c r="AS1242" s="705" t="s">
        <v>482</v>
      </c>
      <c r="AT1242" s="706"/>
      <c r="AU1242" s="706"/>
      <c r="AV1242" s="706"/>
      <c r="AW1242" s="706"/>
      <c r="AX1242" s="706"/>
      <c r="AY1242" s="706"/>
      <c r="AZ1242" s="706"/>
      <c r="BA1242" s="706"/>
      <c r="BB1242" s="706"/>
      <c r="BC1242" s="706"/>
      <c r="BD1242" s="706"/>
      <c r="BE1242" s="705"/>
      <c r="BM1242"/>
      <c r="BN1242"/>
      <c r="BO1242"/>
      <c r="BP1242"/>
      <c r="BQ1242"/>
      <c r="BR1242"/>
    </row>
    <row r="1243" spans="1:70" s="369" customFormat="1" x14ac:dyDescent="0.2">
      <c r="A1243" s="411"/>
      <c r="B1243" s="321"/>
      <c r="C1243" s="321"/>
      <c r="D1243" s="321"/>
      <c r="E1243" s="321"/>
      <c r="F1243" s="321"/>
      <c r="G1243" s="321"/>
      <c r="H1243" s="321"/>
      <c r="I1243" s="321"/>
      <c r="J1243" s="321"/>
      <c r="K1243" s="321"/>
      <c r="L1243" s="321"/>
      <c r="M1243" s="321"/>
      <c r="N1243" s="321"/>
      <c r="O1243" s="321"/>
      <c r="P1243" s="321"/>
      <c r="Q1243" s="321"/>
      <c r="R1243" s="321"/>
      <c r="S1243" s="321"/>
      <c r="T1243" s="321"/>
      <c r="U1243" s="321"/>
      <c r="V1243" s="321"/>
      <c r="W1243" s="321"/>
      <c r="AR1243" s="70"/>
      <c r="AS1243" s="321"/>
      <c r="AT1243" s="321"/>
      <c r="AU1243" s="183"/>
      <c r="AV1243" s="183"/>
      <c r="AW1243" s="183"/>
      <c r="AX1243" s="183"/>
      <c r="AY1243" s="183"/>
      <c r="AZ1243" s="183"/>
      <c r="BA1243" s="183"/>
      <c r="BB1243" s="183"/>
      <c r="BM1243"/>
      <c r="BN1243"/>
      <c r="BO1243"/>
      <c r="BP1243"/>
      <c r="BQ1243"/>
      <c r="BR1243"/>
    </row>
    <row r="1244" spans="1:70" s="369" customFormat="1" x14ac:dyDescent="0.2">
      <c r="A1244" s="411"/>
      <c r="B1244" s="154" t="s">
        <v>123</v>
      </c>
      <c r="C1244" s="321"/>
      <c r="D1244" s="321"/>
      <c r="E1244" s="321"/>
      <c r="F1244" s="321"/>
      <c r="G1244" s="321"/>
      <c r="H1244" s="321"/>
      <c r="I1244" s="321"/>
      <c r="J1244" s="321"/>
      <c r="K1244" s="321"/>
      <c r="L1244" s="321"/>
      <c r="M1244" s="321"/>
      <c r="N1244" s="321"/>
      <c r="O1244" s="321"/>
      <c r="P1244" s="321"/>
      <c r="Q1244" s="321"/>
      <c r="R1244" s="321"/>
      <c r="S1244" s="321"/>
      <c r="T1244" s="321"/>
      <c r="U1244" s="321"/>
      <c r="V1244" s="321"/>
      <c r="W1244" s="321"/>
      <c r="AR1244" s="70"/>
      <c r="AS1244" s="154" t="s">
        <v>123</v>
      </c>
      <c r="AT1244" s="321"/>
      <c r="AV1244" s="767"/>
      <c r="AW1244" s="342"/>
      <c r="AX1244" s="767"/>
      <c r="BM1244"/>
      <c r="BN1244"/>
      <c r="BO1244"/>
      <c r="BP1244"/>
      <c r="BQ1244"/>
      <c r="BR1244"/>
    </row>
    <row r="1245" spans="1:70" s="369" customFormat="1" x14ac:dyDescent="0.2">
      <c r="A1245" s="411"/>
      <c r="B1245" s="154"/>
      <c r="C1245" s="321"/>
      <c r="D1245" s="321"/>
      <c r="E1245" s="321"/>
      <c r="F1245" s="321"/>
      <c r="G1245" s="321"/>
      <c r="H1245" s="321"/>
      <c r="I1245" s="321"/>
      <c r="J1245" s="321"/>
      <c r="K1245" s="321"/>
      <c r="L1245" s="321"/>
      <c r="M1245" s="321"/>
      <c r="N1245" s="321"/>
      <c r="O1245" s="321"/>
      <c r="P1245" s="321"/>
      <c r="Q1245" s="321"/>
      <c r="R1245" s="321"/>
      <c r="S1245" s="321"/>
      <c r="T1245" s="321"/>
      <c r="U1245" s="321"/>
      <c r="V1245" s="321"/>
      <c r="W1245" s="321"/>
      <c r="X1245" s="321"/>
      <c r="AR1245" s="70"/>
      <c r="AS1245" s="154"/>
      <c r="AT1245" s="321"/>
      <c r="AU1245" s="539"/>
      <c r="AV1245" s="539"/>
      <c r="AW1245" s="539"/>
      <c r="AX1245" s="539"/>
      <c r="AY1245" s="539"/>
      <c r="AZ1245" s="539"/>
      <c r="BA1245" s="539"/>
      <c r="BB1245" s="539"/>
      <c r="BM1245"/>
      <c r="BN1245"/>
      <c r="BO1245"/>
      <c r="BP1245"/>
      <c r="BQ1245"/>
      <c r="BR1245"/>
    </row>
    <row r="1246" spans="1:70" s="369" customFormat="1" x14ac:dyDescent="0.2">
      <c r="A1246" s="411"/>
      <c r="B1246" s="363" t="s">
        <v>129</v>
      </c>
      <c r="C1246" s="321"/>
      <c r="D1246" s="321"/>
      <c r="E1246" s="321"/>
      <c r="F1246" s="321"/>
      <c r="G1246" s="321"/>
      <c r="H1246" s="321"/>
      <c r="I1246" s="321"/>
      <c r="J1246" s="321"/>
      <c r="K1246" s="321"/>
      <c r="L1246" s="321"/>
      <c r="M1246" s="321"/>
      <c r="N1246" s="321"/>
      <c r="O1246" s="321"/>
      <c r="P1246" s="321"/>
      <c r="Q1246" s="321"/>
      <c r="R1246" s="321"/>
      <c r="S1246" s="321"/>
      <c r="T1246" s="321"/>
      <c r="U1246" s="321"/>
      <c r="V1246" s="321"/>
      <c r="W1246" s="321"/>
      <c r="X1246" s="321"/>
      <c r="AR1246" s="70"/>
      <c r="AS1246" s="363" t="s">
        <v>129</v>
      </c>
      <c r="AT1246" s="321"/>
      <c r="AU1246" s="478"/>
      <c r="AV1246" s="539"/>
      <c r="AW1246" s="539"/>
      <c r="AX1246" s="539"/>
      <c r="AY1246" s="539"/>
      <c r="AZ1246" s="539"/>
      <c r="BA1246" s="539"/>
      <c r="BB1246" s="539"/>
      <c r="BM1246"/>
      <c r="BN1246"/>
      <c r="BO1246"/>
      <c r="BP1246"/>
      <c r="BQ1246"/>
      <c r="BR1246"/>
    </row>
    <row r="1247" spans="1:70" s="369" customFormat="1" x14ac:dyDescent="0.2">
      <c r="A1247" s="411"/>
      <c r="B1247" s="362" t="s">
        <v>74</v>
      </c>
      <c r="C1247" s="321"/>
      <c r="D1247" s="713">
        <f t="shared" ref="D1247:X1247" si="2840">D1188/(D214*1000)*D1</f>
        <v>6.157102157102157E-3</v>
      </c>
      <c r="E1247" s="713">
        <f t="shared" si="2840"/>
        <v>5.8715007620117107E-3</v>
      </c>
      <c r="F1247" s="713">
        <f t="shared" si="2840"/>
        <v>6.93546689125171E-3</v>
      </c>
      <c r="G1247" s="713">
        <f t="shared" si="2840"/>
        <v>4.9021223985163823E-3</v>
      </c>
      <c r="H1247" s="713">
        <f t="shared" si="2840"/>
        <v>5.3387220939183988E-3</v>
      </c>
      <c r="I1247" s="713">
        <f t="shared" si="2840"/>
        <v>4.1964118606454374E-3</v>
      </c>
      <c r="J1247" s="713">
        <f t="shared" si="2840"/>
        <v>3.5983316481294236E-3</v>
      </c>
      <c r="K1247" s="713">
        <f t="shared" si="2840"/>
        <v>4.4182312252964429E-3</v>
      </c>
      <c r="L1247" s="713">
        <f t="shared" si="2840"/>
        <v>3.0641975308641975E-3</v>
      </c>
      <c r="M1247" s="713">
        <f t="shared" si="2840"/>
        <v>3.335176858152788E-3</v>
      </c>
      <c r="N1247" s="713">
        <f t="shared" si="2840"/>
        <v>2.9357018108282008E-3</v>
      </c>
      <c r="O1247" s="713">
        <f t="shared" si="2840"/>
        <v>2.9388083735909817E-3</v>
      </c>
      <c r="P1247" s="713">
        <f t="shared" si="2840"/>
        <v>3.0543933054393308E-3</v>
      </c>
      <c r="Q1247" s="713">
        <f t="shared" si="2840"/>
        <v>3.1729933352651406E-3</v>
      </c>
      <c r="R1247" s="713">
        <f t="shared" si="2840"/>
        <v>2.6028610943037425E-3</v>
      </c>
      <c r="S1247" s="713">
        <f t="shared" si="2840"/>
        <v>3.2168037602820208E-3</v>
      </c>
      <c r="T1247" s="713">
        <f t="shared" si="2840"/>
        <v>1.9007457570784604E-3</v>
      </c>
      <c r="U1247" s="713">
        <f t="shared" si="2840"/>
        <v>3.3270038784744666E-3</v>
      </c>
      <c r="V1247" s="713">
        <f t="shared" si="2840"/>
        <v>3.7612648221343873E-3</v>
      </c>
      <c r="W1247" s="713">
        <f t="shared" si="2840"/>
        <v>6.0035573122529644E-3</v>
      </c>
      <c r="X1247" s="713">
        <f t="shared" si="2840"/>
        <v>2.7085840352988368E-3</v>
      </c>
      <c r="Y1247" s="713">
        <f t="shared" ref="Y1247:Z1247" si="2841">Y1188/(Y214*1000)*Y1</f>
        <v>2.8134635149023638E-3</v>
      </c>
      <c r="Z1247" s="713">
        <f t="shared" si="2841"/>
        <v>6.2680508937631718E-3</v>
      </c>
      <c r="AA1247" s="713">
        <f t="shared" ref="AA1247:AB1247" si="2842">AA1188/(AA214*1000)*AA1</f>
        <v>2.1253881987577639E-3</v>
      </c>
      <c r="AB1247" s="713">
        <f t="shared" si="2842"/>
        <v>3.1308597646120084E-3</v>
      </c>
      <c r="AC1247" s="775">
        <f>Drivers!AC125</f>
        <v>3.5000000000000001E-3</v>
      </c>
      <c r="AD1247" s="775">
        <f>Drivers!AD125</f>
        <v>4.0000000000000001E-3</v>
      </c>
      <c r="AE1247" s="775">
        <f>Drivers!AE125</f>
        <v>4.1999999999999997E-3</v>
      </c>
      <c r="AF1247" s="775">
        <f>Drivers!AF125</f>
        <v>4.4999999999999997E-3</v>
      </c>
      <c r="AG1247" s="775">
        <f>Drivers!AG125</f>
        <v>4.7999999999999996E-3</v>
      </c>
      <c r="AH1247" s="775">
        <f>Drivers!AH125</f>
        <v>5.0000000000000001E-3</v>
      </c>
      <c r="AI1247" s="775">
        <f>Drivers!AI125</f>
        <v>5.1999999999999998E-3</v>
      </c>
      <c r="AJ1247" s="775"/>
      <c r="AK1247" s="775"/>
      <c r="AL1247" s="775"/>
      <c r="AM1247" s="775"/>
      <c r="AN1247" s="775"/>
      <c r="AO1247" s="775"/>
      <c r="AP1247" s="775"/>
      <c r="AQ1247" s="775"/>
      <c r="AR1247" s="70"/>
      <c r="AS1247" s="362" t="s">
        <v>74</v>
      </c>
      <c r="AT1247" s="321"/>
      <c r="AU1247" s="713">
        <f t="shared" ref="AU1247:BA1247" si="2843">AU1188/(AU214*1000)*AU1</f>
        <v>5.9600242277407633E-3</v>
      </c>
      <c r="AV1247" s="713">
        <f t="shared" si="2843"/>
        <v>4.3873978996499417E-3</v>
      </c>
      <c r="AW1247" s="713">
        <f t="shared" si="2843"/>
        <v>3.0653804930332262E-3</v>
      </c>
      <c r="AX1247" s="713">
        <f t="shared" si="2843"/>
        <v>3.0120481927710845E-3</v>
      </c>
      <c r="AY1247" s="713">
        <f t="shared" si="2843"/>
        <v>3.7735849056603774E-3</v>
      </c>
      <c r="AZ1247" s="713">
        <f t="shared" si="2843"/>
        <v>3.48450830713965E-3</v>
      </c>
      <c r="BA1247" s="713">
        <f t="shared" si="2843"/>
        <v>3.7176935933809357E-3</v>
      </c>
      <c r="BB1247" s="713">
        <f t="shared" ref="BB1247" si="2844">BB1188/(BB214*1000)*BB1</f>
        <v>4.8825534740086296E-3</v>
      </c>
      <c r="BC1247" s="775">
        <f>Drivers!BC125</f>
        <v>6.0000000000000001E-3</v>
      </c>
      <c r="BD1247" s="775">
        <f>Drivers!BD125</f>
        <v>7.4999999999999997E-3</v>
      </c>
      <c r="BE1247" s="775">
        <f>Drivers!BE125</f>
        <v>8.9999999999999993E-3</v>
      </c>
      <c r="BM1247"/>
      <c r="BN1247"/>
      <c r="BO1247"/>
      <c r="BP1247"/>
      <c r="BQ1247"/>
      <c r="BR1247"/>
    </row>
    <row r="1248" spans="1:70" s="369" customFormat="1" x14ac:dyDescent="0.2">
      <c r="A1248" s="411"/>
      <c r="B1248" s="362" t="s">
        <v>75</v>
      </c>
      <c r="C1248" s="321"/>
      <c r="D1248" s="713">
        <f t="shared" ref="D1248:X1248" si="2845">D1192/(D217*1000)*D1</f>
        <v>4.9358152052029605E-2</v>
      </c>
      <c r="E1248" s="713">
        <f t="shared" si="2845"/>
        <v>4.7119407788863858E-2</v>
      </c>
      <c r="F1248" s="713">
        <f t="shared" si="2845"/>
        <v>4.1451809060504712E-2</v>
      </c>
      <c r="G1248" s="713">
        <f t="shared" si="2845"/>
        <v>3.9167125298110443E-2</v>
      </c>
      <c r="H1248" s="713">
        <f t="shared" si="2845"/>
        <v>4.0264626175673515E-2</v>
      </c>
      <c r="I1248" s="713">
        <f t="shared" si="2845"/>
        <v>3.8995726495726496E-2</v>
      </c>
      <c r="J1248" s="713">
        <f t="shared" si="2845"/>
        <v>3.5381706076786167E-2</v>
      </c>
      <c r="K1248" s="713">
        <f t="shared" si="2845"/>
        <v>3.420566109906923E-2</v>
      </c>
      <c r="L1248" s="713">
        <f t="shared" si="2845"/>
        <v>3.5268312757201645E-2</v>
      </c>
      <c r="M1248" s="713">
        <f t="shared" si="2845"/>
        <v>3.4431682775056267E-2</v>
      </c>
      <c r="N1248" s="713">
        <f t="shared" si="2845"/>
        <v>3.1571071499046234E-2</v>
      </c>
      <c r="O1248" s="713">
        <f t="shared" si="2845"/>
        <v>3.1038647342995163E-2</v>
      </c>
      <c r="P1248" s="713">
        <f t="shared" si="2845"/>
        <v>3.1128445137805515E-2</v>
      </c>
      <c r="Q1248" s="713">
        <f t="shared" si="2845"/>
        <v>3.1922903046320769E-2</v>
      </c>
      <c r="R1248" s="713">
        <f t="shared" si="2845"/>
        <v>2.7504762876777573E-2</v>
      </c>
      <c r="S1248" s="713">
        <f t="shared" si="2845"/>
        <v>2.7882285637367075E-2</v>
      </c>
      <c r="T1248" s="713">
        <f t="shared" si="2845"/>
        <v>2.828438948995363E-2</v>
      </c>
      <c r="U1248" s="713">
        <f t="shared" si="2845"/>
        <v>2.8159876105903092E-2</v>
      </c>
      <c r="V1248" s="713">
        <f t="shared" si="2845"/>
        <v>2.2503293807641635E-2</v>
      </c>
      <c r="W1248" s="713">
        <f t="shared" si="2845"/>
        <v>2.6117936768521949E-2</v>
      </c>
      <c r="X1248" s="713">
        <f t="shared" si="2845"/>
        <v>3.1079499596448745E-2</v>
      </c>
      <c r="Y1248" s="713">
        <f t="shared" ref="Y1248:Z1248" si="2846">Y1192/(Y217*1000)*Y1</f>
        <v>2.9420339564397185E-2</v>
      </c>
      <c r="Z1248" s="713">
        <f t="shared" si="2846"/>
        <v>2.8384965889420626E-2</v>
      </c>
      <c r="AA1248" s="713">
        <f t="shared" ref="AA1248:AB1248" si="2847">AA1192/(AA217*1000)*AA1</f>
        <v>2.7058705670206368E-2</v>
      </c>
      <c r="AB1248" s="713">
        <f t="shared" si="2847"/>
        <v>3.0381664748753354E-2</v>
      </c>
      <c r="AC1248" s="775">
        <f>Drivers!AC126</f>
        <v>3.1293000000000001E-2</v>
      </c>
      <c r="AD1248" s="775">
        <f>Drivers!AD126</f>
        <v>3.2319000000000001E-2</v>
      </c>
      <c r="AE1248" s="775">
        <f>Drivers!AE126</f>
        <v>3.3345E-2</v>
      </c>
      <c r="AF1248" s="775">
        <f>Drivers!AF126</f>
        <v>3.3500000000000002E-2</v>
      </c>
      <c r="AG1248" s="775">
        <f>Drivers!AG126</f>
        <v>3.3500000000000002E-2</v>
      </c>
      <c r="AH1248" s="775">
        <f>Drivers!AH126</f>
        <v>3.5000000000000003E-2</v>
      </c>
      <c r="AI1248" s="775">
        <f>Drivers!AI126</f>
        <v>3.5499999999999997E-2</v>
      </c>
      <c r="AJ1248" s="775"/>
      <c r="AK1248" s="775"/>
      <c r="AL1248" s="775"/>
      <c r="AM1248" s="775"/>
      <c r="AN1248" s="775"/>
      <c r="AO1248" s="775"/>
      <c r="AP1248" s="775"/>
      <c r="AQ1248" s="775"/>
      <c r="AR1248" s="70"/>
      <c r="AS1248" s="362" t="s">
        <v>75</v>
      </c>
      <c r="AT1248" s="321"/>
      <c r="AU1248" s="713">
        <f t="shared" ref="AU1248:AZ1248" si="2848">AU1192/(AU217*1000)*AU1</f>
        <v>4.4294649061848518E-2</v>
      </c>
      <c r="AV1248" s="713">
        <f t="shared" si="2848"/>
        <v>3.7204222788496534E-2</v>
      </c>
      <c r="AW1248" s="713">
        <f t="shared" si="2848"/>
        <v>3.3074896499811816E-2</v>
      </c>
      <c r="AX1248" s="713">
        <f t="shared" si="2848"/>
        <v>2.9585613760750591E-2</v>
      </c>
      <c r="AY1248" s="713">
        <f t="shared" si="2848"/>
        <v>2.6088144858216599E-2</v>
      </c>
      <c r="AZ1248" s="713">
        <f t="shared" si="2848"/>
        <v>2.895001478852411E-2</v>
      </c>
      <c r="BA1248" s="713">
        <f>BA1192/(BA217*1000)*BA1</f>
        <v>3.1859212328123734E-2</v>
      </c>
      <c r="BB1248" s="713">
        <f>BB1192/(BB217*1000)*BB1</f>
        <v>3.4404162692854678E-2</v>
      </c>
      <c r="BC1248" s="775">
        <f>Drivers!BC126</f>
        <v>3.7961999999999996E-2</v>
      </c>
      <c r="BD1248" s="775">
        <f>Drivers!BD126</f>
        <v>4.104E-2</v>
      </c>
      <c r="BE1248" s="775">
        <f>Drivers!BE126</f>
        <v>4.3999999999999997E-2</v>
      </c>
      <c r="BM1248"/>
      <c r="BN1248"/>
      <c r="BO1248"/>
      <c r="BP1248"/>
      <c r="BQ1248"/>
      <c r="BR1248"/>
    </row>
    <row r="1249" spans="1:70" s="369" customFormat="1" x14ac:dyDescent="0.2">
      <c r="A1249" s="830"/>
      <c r="B1249" s="562" t="s">
        <v>102</v>
      </c>
      <c r="D1249" s="478">
        <f t="shared" ref="D1249:X1249" si="2849">D1196/(D218*1000)*D1</f>
        <v>7.1133387888707045E-2</v>
      </c>
      <c r="E1249" s="478">
        <f t="shared" si="2849"/>
        <v>6.7106427818756587E-2</v>
      </c>
      <c r="F1249" s="478">
        <f t="shared" si="2849"/>
        <v>5.820250148898154E-2</v>
      </c>
      <c r="G1249" s="478">
        <f t="shared" si="2849"/>
        <v>5.5265569917743833E-2</v>
      </c>
      <c r="H1249" s="478">
        <f t="shared" si="2849"/>
        <v>5.6136845292158642E-2</v>
      </c>
      <c r="I1249" s="478">
        <f t="shared" si="2849"/>
        <v>5.3890662410215485E-2</v>
      </c>
      <c r="J1249" s="478">
        <f t="shared" si="2849"/>
        <v>4.5656487232574185E-2</v>
      </c>
      <c r="K1249" s="478">
        <f t="shared" si="2849"/>
        <v>4.2858745512564814E-2</v>
      </c>
      <c r="L1249" s="478">
        <f t="shared" si="2849"/>
        <v>4.4741335372069313E-2</v>
      </c>
      <c r="M1249" s="478">
        <f t="shared" si="2849"/>
        <v>4.3988440804478536E-2</v>
      </c>
      <c r="N1249" s="478">
        <f t="shared" si="2849"/>
        <v>4.2263352589439543E-2</v>
      </c>
      <c r="O1249" s="478">
        <f t="shared" si="2849"/>
        <v>4.1842874121026045E-2</v>
      </c>
      <c r="P1249" s="478">
        <f t="shared" si="2849"/>
        <v>4.0001265502404453E-2</v>
      </c>
      <c r="Q1249" s="478">
        <f t="shared" si="2849"/>
        <v>4.3028684930093375E-2</v>
      </c>
      <c r="R1249" s="478">
        <f t="shared" si="2849"/>
        <v>3.6912387773630588E-2</v>
      </c>
      <c r="S1249" s="478">
        <f t="shared" si="2849"/>
        <v>3.7604752045745829E-2</v>
      </c>
      <c r="T1249" s="478">
        <f t="shared" si="2849"/>
        <v>4.1408091908091908E-2</v>
      </c>
      <c r="U1249" s="478">
        <f t="shared" si="2849"/>
        <v>4.1632653061224489E-2</v>
      </c>
      <c r="V1249" s="478">
        <f t="shared" si="2849"/>
        <v>3.8961408057439167E-2</v>
      </c>
      <c r="W1249" s="478">
        <f t="shared" si="2849"/>
        <v>4.2795100222717146E-2</v>
      </c>
      <c r="X1249" s="478">
        <f t="shared" si="2849"/>
        <v>4.6553838606818734E-2</v>
      </c>
      <c r="Y1249" s="478">
        <f t="shared" ref="Y1249:Z1249" si="2850">Y1196/(Y218*1000)*Y1</f>
        <v>4.7861464378318314E-2</v>
      </c>
      <c r="Z1249" s="478">
        <f t="shared" si="2850"/>
        <v>4.6982265446224254E-2</v>
      </c>
      <c r="AA1249" s="478">
        <f t="shared" ref="AA1249:AB1249" si="2851">AA1196/(AA218*1000)*AA1</f>
        <v>4.7710206730323529E-2</v>
      </c>
      <c r="AB1249" s="478">
        <f t="shared" si="2851"/>
        <v>5.1835338523236608E-2</v>
      </c>
      <c r="AC1249" s="775">
        <f>Drivers!AC127</f>
        <v>5.1999999999999998E-2</v>
      </c>
      <c r="AD1249" s="775">
        <f>Drivers!AD127</f>
        <v>5.1813000000000005E-2</v>
      </c>
      <c r="AE1249" s="775">
        <f>Drivers!AE127</f>
        <v>5.1300000000000005E-2</v>
      </c>
      <c r="AF1249" s="775">
        <f>Drivers!AF127</f>
        <v>5.1999999999999998E-2</v>
      </c>
      <c r="AG1249" s="775">
        <f>Drivers!AG127</f>
        <v>5.2499999999999998E-2</v>
      </c>
      <c r="AH1249" s="775">
        <f>Drivers!AH127</f>
        <v>5.3999999999999999E-2</v>
      </c>
      <c r="AI1249" s="775">
        <f>Drivers!AI127</f>
        <v>5.5E-2</v>
      </c>
      <c r="AJ1249" s="775"/>
      <c r="AK1249" s="775"/>
      <c r="AL1249" s="775"/>
      <c r="AM1249" s="775"/>
      <c r="AN1249" s="775"/>
      <c r="AO1249" s="775"/>
      <c r="AP1249" s="775"/>
      <c r="AQ1249" s="775"/>
      <c r="AR1249" s="70"/>
      <c r="AS1249" s="562" t="s">
        <v>102</v>
      </c>
      <c r="AU1249" s="478">
        <f t="shared" ref="AU1249:AZ1249" si="2852">AU1196/(AU218*1000)*AU1</f>
        <v>6.2926829268292683E-2</v>
      </c>
      <c r="AV1249" s="478">
        <f t="shared" si="2852"/>
        <v>4.9252761533463287E-2</v>
      </c>
      <c r="AW1249" s="478">
        <f t="shared" si="2852"/>
        <v>4.3194444444444445E-2</v>
      </c>
      <c r="AX1249" s="478">
        <f t="shared" si="2852"/>
        <v>3.9355210132412208E-2</v>
      </c>
      <c r="AY1249" s="478">
        <f t="shared" si="2852"/>
        <v>4.1210045662100452E-2</v>
      </c>
      <c r="AZ1249" s="478">
        <f t="shared" si="2852"/>
        <v>4.7284695556774545E-2</v>
      </c>
      <c r="BA1249" s="478">
        <f>BA1196/(BA218*1000)*BA1</f>
        <v>5.17383183208701E-2</v>
      </c>
      <c r="BB1249" s="478">
        <f>BB1196/(BB218*1000)*BB1</f>
        <v>5.3412553346394526E-2</v>
      </c>
      <c r="BC1249" s="775">
        <f>Drivers!BC127</f>
        <v>5.5E-2</v>
      </c>
      <c r="BD1249" s="775">
        <f>Drivers!BD127</f>
        <v>5.6500000000000002E-2</v>
      </c>
      <c r="BE1249" s="775">
        <f>Drivers!BE127</f>
        <v>5.8500000000000003E-2</v>
      </c>
      <c r="BM1249"/>
      <c r="BN1249"/>
      <c r="BO1249"/>
      <c r="BP1249"/>
      <c r="BQ1249"/>
      <c r="BR1249"/>
    </row>
    <row r="1250" spans="1:70" s="369" customFormat="1" x14ac:dyDescent="0.2">
      <c r="A1250" s="411"/>
      <c r="B1250" s="765"/>
      <c r="C1250" s="363" t="s">
        <v>484</v>
      </c>
      <c r="D1250" s="776">
        <f t="shared" ref="D1250:AE1250" si="2853">D1184/(D221*1000)*D1</f>
        <v>4.3217692597639829E-2</v>
      </c>
      <c r="E1250" s="776">
        <f t="shared" si="2853"/>
        <v>4.065080264678389E-2</v>
      </c>
      <c r="F1250" s="776">
        <f t="shared" si="2853"/>
        <v>3.5998864265121291E-2</v>
      </c>
      <c r="G1250" s="776">
        <f t="shared" si="2853"/>
        <v>3.3509502733663106E-2</v>
      </c>
      <c r="H1250" s="776">
        <f t="shared" si="2853"/>
        <v>3.405366288131819E-2</v>
      </c>
      <c r="I1250" s="776">
        <f t="shared" si="2853"/>
        <v>3.2822201886207387E-2</v>
      </c>
      <c r="J1250" s="776">
        <f t="shared" si="2853"/>
        <v>2.8824746473948008E-2</v>
      </c>
      <c r="K1250" s="776">
        <f t="shared" si="2853"/>
        <v>2.8214823910252831E-2</v>
      </c>
      <c r="L1250" s="776">
        <f t="shared" si="2853"/>
        <v>2.8630507509431274E-2</v>
      </c>
      <c r="M1250" s="776">
        <f t="shared" si="2853"/>
        <v>2.7856253778583875E-2</v>
      </c>
      <c r="N1250" s="776">
        <f t="shared" si="2853"/>
        <v>2.5840079000806697E-2</v>
      </c>
      <c r="O1250" s="776">
        <f t="shared" si="2853"/>
        <v>2.5404345077777165E-2</v>
      </c>
      <c r="P1250" s="776">
        <f t="shared" si="2853"/>
        <v>2.5015333048067322E-2</v>
      </c>
      <c r="Q1250" s="776">
        <f t="shared" si="2853"/>
        <v>2.5834803494377959E-2</v>
      </c>
      <c r="R1250" s="776">
        <f t="shared" si="2853"/>
        <v>2.2119530666961495E-2</v>
      </c>
      <c r="S1250" s="776">
        <f t="shared" si="2853"/>
        <v>2.2593119328186372E-2</v>
      </c>
      <c r="T1250" s="776">
        <f t="shared" si="2853"/>
        <v>2.3220949842236969E-2</v>
      </c>
      <c r="U1250" s="776">
        <f t="shared" si="2853"/>
        <v>2.3424707160970896E-2</v>
      </c>
      <c r="V1250" s="776">
        <f t="shared" si="2853"/>
        <v>2.0741551327823154E-2</v>
      </c>
      <c r="W1250" s="776">
        <f t="shared" si="2853"/>
        <v>2.4153726708074533E-2</v>
      </c>
      <c r="X1250" s="776">
        <f t="shared" si="2853"/>
        <v>2.6329029520518885E-2</v>
      </c>
      <c r="Y1250" s="776">
        <f t="shared" ref="Y1250:Z1250" si="2854">Y1184/(Y221*1000)*Y1</f>
        <v>2.5828669694536652E-2</v>
      </c>
      <c r="Z1250" s="776">
        <f t="shared" si="2854"/>
        <v>2.6328858200787127E-2</v>
      </c>
      <c r="AA1250" s="776">
        <f t="shared" ref="AA1250:AB1250" si="2855">AA1184/(AA221*1000)*AA1</f>
        <v>2.4804038413054938E-2</v>
      </c>
      <c r="AB1250" s="776">
        <f t="shared" si="2855"/>
        <v>2.7706905640484975E-2</v>
      </c>
      <c r="AC1250" s="776">
        <f t="shared" si="2853"/>
        <v>2.8230545559536462E-2</v>
      </c>
      <c r="AD1250" s="776">
        <f t="shared" si="2853"/>
        <v>2.8828061565176397E-2</v>
      </c>
      <c r="AE1250" s="776">
        <f t="shared" si="2853"/>
        <v>2.9226576411879091E-2</v>
      </c>
      <c r="AF1250" s="776">
        <f t="shared" ref="AF1250:AI1250" si="2856">AF1184/(AF221*1000)*AF1</f>
        <v>2.9440080793534364E-2</v>
      </c>
      <c r="AG1250" s="776">
        <f t="shared" si="2856"/>
        <v>2.954060074512823E-2</v>
      </c>
      <c r="AH1250" s="776">
        <f t="shared" si="2856"/>
        <v>3.0695186049009577E-2</v>
      </c>
      <c r="AI1250" s="776">
        <f t="shared" si="2856"/>
        <v>3.1276669974124517E-2</v>
      </c>
      <c r="AJ1250" s="776"/>
      <c r="AK1250" s="776"/>
      <c r="AL1250" s="776"/>
      <c r="AM1250" s="776"/>
      <c r="AN1250" s="776"/>
      <c r="AO1250" s="776"/>
      <c r="AP1250" s="776"/>
      <c r="AQ1250" s="776"/>
      <c r="AR1250" s="70"/>
      <c r="AS1250" s="765"/>
      <c r="AT1250" s="363" t="s">
        <v>484</v>
      </c>
      <c r="AU1250" s="776">
        <f t="shared" ref="AU1250:BD1250" si="2857">AU1184/(AU221*1000)*AU1</f>
        <v>3.8334721065778517E-2</v>
      </c>
      <c r="AV1250" s="776">
        <f t="shared" si="2857"/>
        <v>3.092E-2</v>
      </c>
      <c r="AW1250" s="776">
        <f t="shared" si="2857"/>
        <v>2.6914093745000801E-2</v>
      </c>
      <c r="AX1250" s="776">
        <f t="shared" si="2857"/>
        <v>2.3865118498488946E-2</v>
      </c>
      <c r="AY1250" s="776">
        <f t="shared" si="2857"/>
        <v>2.2877991827203736E-2</v>
      </c>
      <c r="AZ1250" s="776">
        <f t="shared" si="2857"/>
        <v>2.5816175481092725E-2</v>
      </c>
      <c r="BA1250" s="776">
        <f t="shared" si="2857"/>
        <v>2.851337433964261E-2</v>
      </c>
      <c r="BB1250" s="776">
        <f t="shared" ref="BB1250" si="2858">BB1184/(BB221*1000)*BB1</f>
        <v>3.0262694135516563E-2</v>
      </c>
      <c r="BC1250" s="776">
        <f t="shared" si="2857"/>
        <v>3.2445481665360175E-2</v>
      </c>
      <c r="BD1250" s="776">
        <f t="shared" si="2857"/>
        <v>3.4574278828409098E-2</v>
      </c>
      <c r="BE1250" s="776">
        <f t="shared" ref="BE1250" si="2859">BE1184/(BE221*1000)*BE1</f>
        <v>3.67688060314195E-2</v>
      </c>
      <c r="BM1250"/>
      <c r="BN1250"/>
      <c r="BO1250"/>
      <c r="BP1250"/>
      <c r="BQ1250"/>
      <c r="BR1250"/>
    </row>
    <row r="1251" spans="1:70" s="369" customFormat="1" x14ac:dyDescent="0.2">
      <c r="A1251" s="411"/>
      <c r="B1251" s="765"/>
      <c r="C1251" s="362"/>
      <c r="D1251" s="713"/>
      <c r="E1251" s="713"/>
      <c r="F1251" s="713"/>
      <c r="G1251" s="713"/>
      <c r="H1251" s="713"/>
      <c r="I1251" s="713"/>
      <c r="J1251" s="713"/>
      <c r="K1251" s="713"/>
      <c r="L1251" s="713"/>
      <c r="M1251" s="713"/>
      <c r="N1251" s="713"/>
      <c r="O1251" s="713"/>
      <c r="P1251" s="713"/>
      <c r="Q1251" s="713"/>
      <c r="R1251" s="713"/>
      <c r="S1251" s="713"/>
      <c r="T1251" s="713"/>
      <c r="U1251" s="713"/>
      <c r="V1251" s="713"/>
      <c r="W1251" s="713"/>
      <c r="X1251" s="713"/>
      <c r="Y1251" s="713"/>
      <c r="Z1251" s="713"/>
      <c r="AA1251" s="713"/>
      <c r="AB1251" s="713"/>
      <c r="AR1251" s="70"/>
      <c r="AS1251" s="765"/>
      <c r="AT1251" s="362"/>
      <c r="AU1251" s="713"/>
      <c r="AV1251" s="713"/>
      <c r="AW1251" s="713"/>
      <c r="AX1251" s="713"/>
      <c r="AY1251" s="713"/>
      <c r="AZ1251" s="713"/>
      <c r="BA1251" s="713"/>
      <c r="BB1251" s="713"/>
      <c r="BM1251"/>
      <c r="BN1251"/>
      <c r="BO1251"/>
      <c r="BP1251"/>
      <c r="BQ1251"/>
      <c r="BR1251"/>
    </row>
    <row r="1252" spans="1:70" s="369" customFormat="1" x14ac:dyDescent="0.2">
      <c r="A1252" s="411"/>
      <c r="B1252" s="363" t="s">
        <v>5</v>
      </c>
      <c r="C1252" s="321"/>
      <c r="D1252" s="321"/>
      <c r="E1252" s="321"/>
      <c r="F1252" s="321"/>
      <c r="G1252" s="321"/>
      <c r="H1252" s="321"/>
      <c r="I1252" s="321"/>
      <c r="J1252" s="321"/>
      <c r="K1252" s="321"/>
      <c r="L1252" s="321"/>
      <c r="M1252" s="321"/>
      <c r="N1252" s="321"/>
      <c r="O1252" s="321"/>
      <c r="P1252" s="321"/>
      <c r="Q1252" s="321"/>
      <c r="R1252" s="321"/>
      <c r="S1252" s="321"/>
      <c r="T1252" s="321"/>
      <c r="U1252" s="321"/>
      <c r="V1252" s="321"/>
      <c r="W1252" s="321"/>
      <c r="X1252" s="321"/>
      <c r="Y1252" s="321"/>
      <c r="Z1252" s="321"/>
      <c r="AA1252" s="321"/>
      <c r="AB1252" s="321"/>
      <c r="AC1252" s="321"/>
      <c r="AD1252" s="321"/>
      <c r="AE1252" s="321"/>
      <c r="AF1252" s="321"/>
      <c r="AG1252" s="321"/>
      <c r="AH1252" s="321"/>
      <c r="AI1252" s="321"/>
      <c r="AJ1252" s="321"/>
      <c r="AK1252" s="321"/>
      <c r="AL1252" s="321"/>
      <c r="AM1252" s="321"/>
      <c r="AN1252" s="321"/>
      <c r="AO1252" s="321"/>
      <c r="AP1252" s="321"/>
      <c r="AQ1252" s="321"/>
      <c r="AR1252" s="70"/>
      <c r="AS1252" s="363" t="s">
        <v>5</v>
      </c>
      <c r="AT1252" s="321"/>
      <c r="AU1252" s="321"/>
      <c r="AV1252" s="321"/>
      <c r="AW1252" s="321"/>
      <c r="AX1252" s="321"/>
      <c r="AY1252" s="321"/>
      <c r="AZ1252" s="321"/>
      <c r="BA1252" s="321"/>
      <c r="BB1252" s="321"/>
      <c r="BC1252" s="321"/>
      <c r="BD1252" s="321"/>
      <c r="BE1252" s="321"/>
      <c r="BM1252"/>
      <c r="BN1252"/>
      <c r="BO1252"/>
      <c r="BP1252"/>
      <c r="BQ1252"/>
      <c r="BR1252"/>
    </row>
    <row r="1253" spans="1:70" s="369" customFormat="1" x14ac:dyDescent="0.2">
      <c r="A1253" s="411"/>
      <c r="B1253" s="362" t="s">
        <v>74</v>
      </c>
      <c r="C1253" s="321"/>
      <c r="D1253" s="713">
        <f t="shared" ref="D1253:X1253" si="2860">D1205/(D325*1000)*D1</f>
        <v>1.9487934745666704E-2</v>
      </c>
      <c r="E1253" s="713">
        <f t="shared" si="2860"/>
        <v>1.7358010410641989E-2</v>
      </c>
      <c r="F1253" s="713">
        <f t="shared" si="2860"/>
        <v>1.9597344185050332E-2</v>
      </c>
      <c r="G1253" s="713">
        <f t="shared" si="2860"/>
        <v>2.5961420698101652E-2</v>
      </c>
      <c r="H1253" s="713">
        <f t="shared" si="2860"/>
        <v>2.4584562438544736E-2</v>
      </c>
      <c r="I1253" s="713">
        <f t="shared" si="2860"/>
        <v>2.5112279025322506E-2</v>
      </c>
      <c r="J1253" s="713">
        <f t="shared" si="2860"/>
        <v>2.4576760292420161E-2</v>
      </c>
      <c r="K1253" s="713">
        <f t="shared" si="2860"/>
        <v>2.5934029738377561E-2</v>
      </c>
      <c r="L1253" s="713">
        <f t="shared" si="2860"/>
        <v>2.7450266860747211E-2</v>
      </c>
      <c r="M1253" s="713">
        <f t="shared" si="2860"/>
        <v>2.7425565887104347E-2</v>
      </c>
      <c r="N1253" s="713">
        <f t="shared" si="2860"/>
        <v>2.8289224952741016E-2</v>
      </c>
      <c r="O1253" s="713">
        <f t="shared" si="2860"/>
        <v>3.9494393074955732E-2</v>
      </c>
      <c r="P1253" s="713">
        <f t="shared" si="2860"/>
        <v>2.9246794871794872E-2</v>
      </c>
      <c r="Q1253" s="713">
        <f t="shared" si="2860"/>
        <v>2.7382713440405746E-2</v>
      </c>
      <c r="R1253" s="713">
        <f t="shared" si="2860"/>
        <v>2.7651515151515149E-2</v>
      </c>
      <c r="S1253" s="713">
        <f t="shared" si="2860"/>
        <v>3.1540760869565219E-2</v>
      </c>
      <c r="T1253" s="713">
        <f t="shared" si="2860"/>
        <v>2.8070054945054945E-2</v>
      </c>
      <c r="U1253" s="713">
        <f t="shared" si="2860"/>
        <v>2.8698489010989009E-2</v>
      </c>
      <c r="V1253" s="713">
        <f t="shared" si="2860"/>
        <v>2.7493740040974275E-2</v>
      </c>
      <c r="W1253" s="713">
        <f t="shared" si="2860"/>
        <v>2.9675675675675674E-2</v>
      </c>
      <c r="X1253" s="713">
        <f t="shared" si="2860"/>
        <v>3.0361262902246507E-2</v>
      </c>
      <c r="Y1253" s="713">
        <f t="shared" ref="Y1253:Z1253" si="2861">Y1205/(Y325*1000)*Y1</f>
        <v>2.9983135676204982E-2</v>
      </c>
      <c r="Z1253" s="713">
        <f t="shared" si="2861"/>
        <v>2.6761177194421656E-2</v>
      </c>
      <c r="AA1253" s="713">
        <f t="shared" ref="AA1253:AB1253" si="2862">AA1205/(AA325*1000)*AA1</f>
        <v>2.9902013279074744E-2</v>
      </c>
      <c r="AB1253" s="713">
        <f t="shared" si="2862"/>
        <v>2.5861513687600642E-2</v>
      </c>
      <c r="AC1253" s="775">
        <f>Drivers!AC131</f>
        <v>2.7E-2</v>
      </c>
      <c r="AD1253" s="775">
        <f>Drivers!AD131</f>
        <v>2.9000000000000001E-2</v>
      </c>
      <c r="AE1253" s="775">
        <f>Drivers!AE131</f>
        <v>0.03</v>
      </c>
      <c r="AF1253" s="775">
        <f>Drivers!AF131</f>
        <v>3.15E-2</v>
      </c>
      <c r="AG1253" s="775">
        <f>Drivers!AG131</f>
        <v>3.2000000000000001E-2</v>
      </c>
      <c r="AH1253" s="775">
        <f>Drivers!AH131</f>
        <v>3.2500000000000001E-2</v>
      </c>
      <c r="AI1253" s="775">
        <f>Drivers!AI131</f>
        <v>3.3000000000000002E-2</v>
      </c>
      <c r="AJ1253" s="775"/>
      <c r="AK1253" s="775"/>
      <c r="AL1253" s="775"/>
      <c r="AM1253" s="775"/>
      <c r="AN1253" s="775"/>
      <c r="AO1253" s="775"/>
      <c r="AP1253" s="775"/>
      <c r="AQ1253" s="775"/>
      <c r="AR1253" s="70"/>
      <c r="AS1253" s="362" t="s">
        <v>74</v>
      </c>
      <c r="AT1253" s="321"/>
      <c r="AU1253" s="713">
        <f t="shared" ref="AU1253:BA1253" si="2863">AU1205/(AU325*1000)*AU1</f>
        <v>2.0750000000000001E-2</v>
      </c>
      <c r="AV1253" s="713">
        <f t="shared" si="2863"/>
        <v>2.5060240963855417E-2</v>
      </c>
      <c r="AW1253" s="713">
        <f t="shared" si="2863"/>
        <v>3.0590809628008753E-2</v>
      </c>
      <c r="AX1253" s="713">
        <f t="shared" si="2863"/>
        <v>2.8943488943488943E-2</v>
      </c>
      <c r="AY1253" s="713">
        <f t="shared" si="2863"/>
        <v>2.8473684210526314E-2</v>
      </c>
      <c r="AZ1253" s="713">
        <f t="shared" si="2863"/>
        <v>2.92E-2</v>
      </c>
      <c r="BA1253" s="713">
        <f t="shared" si="2863"/>
        <v>2.8010089464386701E-2</v>
      </c>
      <c r="BB1253" s="713">
        <f t="shared" ref="BB1253" si="2864">BB1205/(BB325*1000)*BB1</f>
        <v>3.2268483951582203E-2</v>
      </c>
      <c r="BC1253" s="775">
        <f>Drivers!BC131</f>
        <v>3.4000000000000002E-2</v>
      </c>
      <c r="BD1253" s="775">
        <f>Drivers!BD131</f>
        <v>3.5999999999999997E-2</v>
      </c>
      <c r="BE1253" s="775">
        <f>Drivers!BE131</f>
        <v>3.7999999999999999E-2</v>
      </c>
      <c r="BM1253"/>
      <c r="BN1253"/>
      <c r="BO1253"/>
      <c r="BP1253"/>
      <c r="BQ1253"/>
      <c r="BR1253"/>
    </row>
    <row r="1254" spans="1:70" s="369" customFormat="1" x14ac:dyDescent="0.2">
      <c r="A1254" s="411"/>
      <c r="B1254" s="362" t="s">
        <v>75</v>
      </c>
      <c r="C1254" s="321"/>
      <c r="D1254" s="713">
        <f t="shared" ref="D1254:X1254" si="2865">D1209/(D327*1000)*D1</f>
        <v>8.0439560439560437E-2</v>
      </c>
      <c r="E1254" s="713">
        <f t="shared" si="2865"/>
        <v>7.9733950260266057E-2</v>
      </c>
      <c r="F1254" s="713">
        <f t="shared" si="2865"/>
        <v>8.2826086956521744E-2</v>
      </c>
      <c r="G1254" s="713">
        <f t="shared" si="2865"/>
        <v>8.5159646739130443E-2</v>
      </c>
      <c r="H1254" s="713">
        <f t="shared" si="2865"/>
        <v>9.0653594771241824E-2</v>
      </c>
      <c r="I1254" s="713">
        <f t="shared" si="2865"/>
        <v>8.8814756671899517E-2</v>
      </c>
      <c r="J1254" s="713">
        <f t="shared" si="2865"/>
        <v>8.7849378881987558E-2</v>
      </c>
      <c r="K1254" s="713">
        <f t="shared" si="2865"/>
        <v>9.0070505287896591E-2</v>
      </c>
      <c r="L1254" s="713">
        <f t="shared" si="2865"/>
        <v>0.10758487654320988</v>
      </c>
      <c r="M1254" s="713">
        <f t="shared" si="2865"/>
        <v>0.11165726165726166</v>
      </c>
      <c r="N1254" s="713">
        <f t="shared" si="2865"/>
        <v>0.11739130434782608</v>
      </c>
      <c r="O1254" s="713">
        <f t="shared" si="2865"/>
        <v>0.11343386405388854</v>
      </c>
      <c r="P1254" s="713">
        <f t="shared" si="2865"/>
        <v>0.13053819444444445</v>
      </c>
      <c r="Q1254" s="713">
        <f t="shared" si="2865"/>
        <v>0.11441181769050622</v>
      </c>
      <c r="R1254" s="713">
        <f t="shared" si="2865"/>
        <v>0.11547942546583849</v>
      </c>
      <c r="S1254" s="713">
        <f t="shared" si="2865"/>
        <v>0.1067588932806324</v>
      </c>
      <c r="T1254" s="713">
        <f t="shared" si="2865"/>
        <v>0.11137785291631445</v>
      </c>
      <c r="U1254" s="713">
        <f t="shared" si="2865"/>
        <v>9.7000646412411115E-2</v>
      </c>
      <c r="V1254" s="713">
        <f t="shared" si="2865"/>
        <v>9.5166240409207153E-2</v>
      </c>
      <c r="W1254" s="713">
        <f t="shared" si="2865"/>
        <v>8.7521739130434775E-2</v>
      </c>
      <c r="X1254" s="713">
        <f t="shared" si="2865"/>
        <v>9.8009259259259254E-2</v>
      </c>
      <c r="Y1254" s="713">
        <f t="shared" ref="Y1254:Z1254" si="2866">Y1209/(Y327*1000)*Y1</f>
        <v>9.5355587808417991E-2</v>
      </c>
      <c r="Z1254" s="713">
        <f t="shared" si="2866"/>
        <v>0.1076863354037267</v>
      </c>
      <c r="AA1254" s="713">
        <f t="shared" ref="AA1254:AB1254" si="2867">AA1209/(AA327*1000)*AA1</f>
        <v>0.10212359098228663</v>
      </c>
      <c r="AB1254" s="713">
        <f t="shared" si="2867"/>
        <v>0.10573412698412699</v>
      </c>
      <c r="AC1254" s="775">
        <f>Drivers!AC132</f>
        <v>0.105</v>
      </c>
      <c r="AD1254" s="775">
        <f>Drivers!AD132</f>
        <v>0.105</v>
      </c>
      <c r="AE1254" s="775">
        <f>Drivers!AE132</f>
        <v>0.105</v>
      </c>
      <c r="AF1254" s="775">
        <f>Drivers!AF132</f>
        <v>0.106</v>
      </c>
      <c r="AG1254" s="775">
        <f>Drivers!AG132</f>
        <v>0.107</v>
      </c>
      <c r="AH1254" s="775">
        <f>Drivers!AH132</f>
        <v>0.108</v>
      </c>
      <c r="AI1254" s="775">
        <f>Drivers!AI132</f>
        <v>0.109</v>
      </c>
      <c r="AJ1254" s="775"/>
      <c r="AK1254" s="775"/>
      <c r="AL1254" s="775"/>
      <c r="AM1254" s="775"/>
      <c r="AN1254" s="775"/>
      <c r="AO1254" s="775"/>
      <c r="AP1254" s="775"/>
      <c r="AQ1254" s="775"/>
      <c r="AR1254" s="70"/>
      <c r="AS1254" s="362" t="s">
        <v>75</v>
      </c>
      <c r="AT1254" s="321"/>
      <c r="AU1254" s="713">
        <f t="shared" ref="AU1254:BA1254" si="2868">AU1209/(AU327*1000)*AU1</f>
        <v>8.2157676348547717E-2</v>
      </c>
      <c r="AV1254" s="713">
        <f t="shared" si="2868"/>
        <v>8.9361702127659565E-2</v>
      </c>
      <c r="AW1254" s="713">
        <f t="shared" si="2868"/>
        <v>0.11255172413793103</v>
      </c>
      <c r="AX1254" s="713">
        <f t="shared" si="2868"/>
        <v>0.11711864406779661</v>
      </c>
      <c r="AY1254" s="713">
        <f t="shared" si="2868"/>
        <v>9.7843137254901957E-2</v>
      </c>
      <c r="AZ1254" s="713">
        <f t="shared" si="2868"/>
        <v>0.10104265402843601</v>
      </c>
      <c r="BA1254" s="713">
        <f t="shared" si="2868"/>
        <v>0.1051908306029654</v>
      </c>
      <c r="BB1254" s="713">
        <f t="shared" ref="BB1254" si="2869">BB1209/(BB327*1000)*BB1</f>
        <v>0.10755885118602344</v>
      </c>
      <c r="BC1254" s="775">
        <f>Drivers!BC132</f>
        <v>0.11</v>
      </c>
      <c r="BD1254" s="775">
        <f>Drivers!BD132</f>
        <v>0.111</v>
      </c>
      <c r="BE1254" s="775">
        <f>Drivers!BE132</f>
        <v>0.112</v>
      </c>
      <c r="BM1254"/>
      <c r="BN1254"/>
      <c r="BO1254"/>
      <c r="BP1254"/>
      <c r="BQ1254"/>
      <c r="BR1254"/>
    </row>
    <row r="1255" spans="1:70" s="369" customFormat="1" x14ac:dyDescent="0.2">
      <c r="A1255" s="411"/>
      <c r="B1255" s="321"/>
      <c r="C1255" s="363" t="s">
        <v>521</v>
      </c>
      <c r="D1255" s="776">
        <f t="shared" ref="D1255:AE1255" si="2870">D1201/(D329*1000)*D1</f>
        <v>3.370195022368936E-2</v>
      </c>
      <c r="E1255" s="776">
        <f t="shared" si="2870"/>
        <v>3.1752458068247544E-2</v>
      </c>
      <c r="F1255" s="776">
        <f t="shared" si="2870"/>
        <v>3.4207015810276679E-2</v>
      </c>
      <c r="G1255" s="776">
        <f t="shared" si="2870"/>
        <v>3.9638989169675086E-2</v>
      </c>
      <c r="H1255" s="776">
        <f t="shared" si="2870"/>
        <v>3.9865835222978076E-2</v>
      </c>
      <c r="I1255" s="776">
        <f t="shared" si="2870"/>
        <v>3.9976190476190478E-2</v>
      </c>
      <c r="J1255" s="776">
        <f t="shared" si="2870"/>
        <v>3.9539879553466509E-2</v>
      </c>
      <c r="K1255" s="776">
        <f t="shared" si="2870"/>
        <v>4.1495010691375622E-2</v>
      </c>
      <c r="L1255" s="776">
        <f t="shared" si="2870"/>
        <v>4.6618678479143597E-2</v>
      </c>
      <c r="M1255" s="776">
        <f t="shared" si="2870"/>
        <v>4.7663051234479809E-2</v>
      </c>
      <c r="N1255" s="776">
        <f t="shared" si="2870"/>
        <v>4.9756062562778015E-2</v>
      </c>
      <c r="O1255" s="776">
        <f t="shared" si="2870"/>
        <v>5.7472826086956509E-2</v>
      </c>
      <c r="P1255" s="776">
        <f t="shared" si="2870"/>
        <v>5.3080065359477117E-2</v>
      </c>
      <c r="Q1255" s="776">
        <f t="shared" si="2870"/>
        <v>4.7117937824257522E-2</v>
      </c>
      <c r="R1255" s="776">
        <f t="shared" si="2870"/>
        <v>4.7015148921602183E-2</v>
      </c>
      <c r="S1255" s="776">
        <f t="shared" si="2870"/>
        <v>4.7764279624893435E-2</v>
      </c>
      <c r="T1255" s="776">
        <f t="shared" si="2870"/>
        <v>4.582417582417582E-2</v>
      </c>
      <c r="U1255" s="776">
        <f t="shared" si="2870"/>
        <v>4.3033509700176373E-2</v>
      </c>
      <c r="V1255" s="776">
        <f t="shared" si="2870"/>
        <v>4.175530003593244E-2</v>
      </c>
      <c r="W1255" s="776">
        <f t="shared" si="2870"/>
        <v>4.1983348751156335E-2</v>
      </c>
      <c r="X1255" s="776">
        <f t="shared" si="2870"/>
        <v>4.4417989417989419E-2</v>
      </c>
      <c r="Y1255" s="776">
        <f t="shared" ref="Y1255:Z1255" si="2871">Y1201/(Y329*1000)*Y1</f>
        <v>4.3570351217410042E-2</v>
      </c>
      <c r="Z1255" s="776">
        <f t="shared" si="2871"/>
        <v>4.3670911745619725E-2</v>
      </c>
      <c r="AA1255" s="776">
        <f t="shared" ref="AA1255:AB1255" si="2872">AA1201/(AA329*1000)*AA1</f>
        <v>4.5076975131111481E-2</v>
      </c>
      <c r="AB1255" s="776">
        <f t="shared" si="2872"/>
        <v>4.2868610054921846E-2</v>
      </c>
      <c r="AC1255" s="776">
        <f t="shared" si="2870"/>
        <v>4.3217616972911543E-2</v>
      </c>
      <c r="AD1255" s="776">
        <f t="shared" si="2870"/>
        <v>4.4924841888704763E-2</v>
      </c>
      <c r="AE1255" s="776">
        <f t="shared" si="2870"/>
        <v>4.5897425076097675E-2</v>
      </c>
      <c r="AF1255" s="776">
        <f t="shared" ref="AF1255:AI1255" si="2873">AF1201/(AF329*1000)*AF1</f>
        <v>4.7165473558622079E-2</v>
      </c>
      <c r="AG1255" s="776">
        <f t="shared" si="2873"/>
        <v>4.7893666146148824E-2</v>
      </c>
      <c r="AH1255" s="776">
        <f t="shared" si="2873"/>
        <v>4.8499623920456481E-2</v>
      </c>
      <c r="AI1255" s="776">
        <f t="shared" si="2873"/>
        <v>4.9291657080744226E-2</v>
      </c>
      <c r="AJ1255" s="776"/>
      <c r="AK1255" s="776"/>
      <c r="AL1255" s="776"/>
      <c r="AM1255" s="776"/>
      <c r="AN1255" s="776"/>
      <c r="AO1255" s="776"/>
      <c r="AP1255" s="776"/>
      <c r="AQ1255" s="776"/>
      <c r="AR1255" s="70"/>
      <c r="AS1255" s="321"/>
      <c r="AT1255" s="363" t="s">
        <v>521</v>
      </c>
      <c r="AU1255" s="776">
        <f t="shared" ref="AU1255:BD1255" si="2874">AU1201/(AU329*1000)*AU1</f>
        <v>3.4966378482228624E-2</v>
      </c>
      <c r="AV1255" s="776">
        <f t="shared" si="2874"/>
        <v>4.0234309623430962E-2</v>
      </c>
      <c r="AW1255" s="776">
        <f t="shared" si="2874"/>
        <v>5.033222591362127E-2</v>
      </c>
      <c r="AX1255" s="776">
        <f t="shared" si="2874"/>
        <v>4.8761904761904763E-2</v>
      </c>
      <c r="AY1255" s="776">
        <f t="shared" si="2874"/>
        <v>4.3153526970954356E-2</v>
      </c>
      <c r="AZ1255" s="776">
        <f t="shared" si="2874"/>
        <v>4.4193867457962409E-2</v>
      </c>
      <c r="BA1255" s="776">
        <f t="shared" si="2874"/>
        <v>4.4263933338400792E-2</v>
      </c>
      <c r="BB1255" s="776">
        <f t="shared" ref="BB1255" si="2875">BB1201/(BB329*1000)*BB1</f>
        <v>4.8240851375088115E-2</v>
      </c>
      <c r="BC1255" s="776">
        <f t="shared" si="2874"/>
        <v>5.0244802616518515E-2</v>
      </c>
      <c r="BD1255" s="776">
        <f t="shared" si="2874"/>
        <v>5.2152003352575825E-2</v>
      </c>
      <c r="BE1255" s="776">
        <f t="shared" ref="BE1255" si="2876">BE1201/(BE329*1000)*BE1</f>
        <v>5.4056630679096718E-2</v>
      </c>
      <c r="BM1255"/>
      <c r="BN1255"/>
      <c r="BO1255"/>
      <c r="BP1255"/>
      <c r="BQ1255"/>
      <c r="BR1255"/>
    </row>
    <row r="1256" spans="1:70" s="369" customFormat="1" x14ac:dyDescent="0.2">
      <c r="A1256" s="411"/>
      <c r="B1256" s="321"/>
      <c r="C1256" s="362"/>
      <c r="D1256" s="713"/>
      <c r="E1256" s="713"/>
      <c r="F1256" s="713"/>
      <c r="G1256" s="713"/>
      <c r="H1256" s="713"/>
      <c r="I1256" s="713"/>
      <c r="J1256" s="713"/>
      <c r="K1256" s="713"/>
      <c r="L1256" s="713"/>
      <c r="M1256" s="713"/>
      <c r="N1256" s="713"/>
      <c r="O1256" s="713"/>
      <c r="P1256" s="713"/>
      <c r="Q1256" s="713"/>
      <c r="R1256" s="713"/>
      <c r="S1256" s="713"/>
      <c r="T1256" s="713"/>
      <c r="U1256" s="713"/>
      <c r="V1256" s="713"/>
      <c r="W1256" s="713"/>
      <c r="X1256" s="713"/>
      <c r="Y1256" s="713"/>
      <c r="Z1256" s="713"/>
      <c r="AA1256" s="713"/>
      <c r="AB1256" s="713"/>
      <c r="AC1256" s="321"/>
      <c r="AD1256" s="321"/>
      <c r="AE1256" s="321"/>
      <c r="AF1256" s="321"/>
      <c r="AG1256" s="321"/>
      <c r="AH1256" s="321"/>
      <c r="AI1256" s="321"/>
      <c r="AJ1256" s="321"/>
      <c r="AK1256" s="321"/>
      <c r="AL1256" s="321"/>
      <c r="AM1256" s="321"/>
      <c r="AN1256" s="321"/>
      <c r="AO1256" s="321"/>
      <c r="AP1256" s="321"/>
      <c r="AQ1256" s="321"/>
      <c r="AR1256" s="70"/>
      <c r="AS1256" s="321"/>
      <c r="AT1256" s="362"/>
      <c r="AU1256" s="713"/>
      <c r="AV1256" s="713"/>
      <c r="AW1256" s="713"/>
      <c r="AX1256" s="713"/>
      <c r="AY1256" s="713"/>
      <c r="AZ1256" s="713"/>
      <c r="BA1256" s="713"/>
      <c r="BB1256" s="713"/>
      <c r="BC1256" s="321"/>
      <c r="BD1256" s="321"/>
      <c r="BE1256" s="321"/>
      <c r="BM1256"/>
      <c r="BN1256"/>
      <c r="BO1256"/>
      <c r="BP1256"/>
      <c r="BQ1256"/>
      <c r="BR1256"/>
    </row>
    <row r="1257" spans="1:70" s="369" customFormat="1" x14ac:dyDescent="0.2">
      <c r="A1257" s="411"/>
      <c r="B1257" s="363" t="s">
        <v>338</v>
      </c>
      <c r="C1257" s="321"/>
      <c r="D1257" s="321"/>
      <c r="E1257" s="321"/>
      <c r="F1257" s="321"/>
      <c r="G1257" s="321"/>
      <c r="H1257" s="321"/>
      <c r="I1257" s="321"/>
      <c r="J1257" s="321"/>
      <c r="K1257" s="321"/>
      <c r="L1257" s="321"/>
      <c r="M1257" s="321"/>
      <c r="N1257" s="321"/>
      <c r="O1257" s="321"/>
      <c r="P1257" s="321"/>
      <c r="Q1257" s="321"/>
      <c r="R1257" s="321"/>
      <c r="S1257" s="321"/>
      <c r="T1257" s="321"/>
      <c r="U1257" s="321"/>
      <c r="V1257" s="321"/>
      <c r="W1257" s="321"/>
      <c r="X1257" s="321"/>
      <c r="Y1257" s="321"/>
      <c r="Z1257" s="321"/>
      <c r="AA1257" s="321"/>
      <c r="AB1257" s="321"/>
      <c r="AC1257" s="321"/>
      <c r="AD1257" s="321"/>
      <c r="AE1257" s="321"/>
      <c r="AF1257" s="321"/>
      <c r="AG1257" s="321"/>
      <c r="AH1257" s="321"/>
      <c r="AI1257" s="321"/>
      <c r="AJ1257" s="321"/>
      <c r="AK1257" s="321"/>
      <c r="AL1257" s="321"/>
      <c r="AM1257" s="321"/>
      <c r="AN1257" s="321"/>
      <c r="AO1257" s="321"/>
      <c r="AP1257" s="321"/>
      <c r="AQ1257" s="321"/>
      <c r="AR1257" s="70"/>
      <c r="AS1257" s="363" t="s">
        <v>338</v>
      </c>
      <c r="AT1257" s="321"/>
      <c r="AU1257" s="321"/>
      <c r="AV1257" s="321"/>
      <c r="AW1257" s="321"/>
      <c r="AX1257" s="321"/>
      <c r="AY1257" s="321"/>
      <c r="AZ1257" s="321"/>
      <c r="BA1257" s="321"/>
      <c r="BB1257" s="321"/>
      <c r="BC1257" s="321"/>
      <c r="BD1257" s="321"/>
      <c r="BE1257" s="321"/>
      <c r="BM1257"/>
      <c r="BN1257"/>
      <c r="BO1257"/>
      <c r="BP1257"/>
      <c r="BQ1257"/>
      <c r="BR1257"/>
    </row>
    <row r="1258" spans="1:70" s="369" customFormat="1" x14ac:dyDescent="0.2">
      <c r="A1258" s="411"/>
      <c r="B1258" s="362" t="s">
        <v>74</v>
      </c>
      <c r="C1258" s="321"/>
      <c r="D1258" s="713">
        <f t="shared" ref="D1258:X1258" si="2877">D1218/(D403*1000)*D1</f>
        <v>3.6509902981352467E-3</v>
      </c>
      <c r="E1258" s="713">
        <f t="shared" si="2877"/>
        <v>3.2917974882260598E-3</v>
      </c>
      <c r="F1258" s="713">
        <f t="shared" si="2877"/>
        <v>3.9549961861174675E-3</v>
      </c>
      <c r="G1258" s="713">
        <f t="shared" si="2877"/>
        <v>4.8445870188115114E-3</v>
      </c>
      <c r="H1258" s="713">
        <f t="shared" si="2877"/>
        <v>3.3165949306551887E-3</v>
      </c>
      <c r="I1258" s="713">
        <f t="shared" si="2877"/>
        <v>3.178737688824144E-3</v>
      </c>
      <c r="J1258" s="713">
        <f t="shared" si="2877"/>
        <v>3.9844675940365537E-3</v>
      </c>
      <c r="K1258" s="713">
        <f t="shared" si="2877"/>
        <v>4.3470723029608634E-3</v>
      </c>
      <c r="L1258" s="713">
        <f t="shared" si="2877"/>
        <v>4.5680708180708173E-3</v>
      </c>
      <c r="M1258" s="713">
        <f t="shared" si="2877"/>
        <v>4.3919800516106586E-3</v>
      </c>
      <c r="N1258" s="713">
        <f t="shared" si="2877"/>
        <v>4.0248897290485188E-3</v>
      </c>
      <c r="O1258" s="713">
        <f t="shared" si="2877"/>
        <v>4.0581660717420561E-3</v>
      </c>
      <c r="P1258" s="713">
        <f t="shared" si="2877"/>
        <v>3.9211172498465315E-3</v>
      </c>
      <c r="Q1258" s="713">
        <f t="shared" si="2877"/>
        <v>4.4381621145106621E-3</v>
      </c>
      <c r="R1258" s="713">
        <f t="shared" si="2877"/>
        <v>4.2690724221820216E-3</v>
      </c>
      <c r="S1258" s="713">
        <f t="shared" si="2877"/>
        <v>5.4048519218651541E-3</v>
      </c>
      <c r="T1258" s="713">
        <f t="shared" si="2877"/>
        <v>3.694261294261294E-3</v>
      </c>
      <c r="U1258" s="713">
        <f t="shared" si="2877"/>
        <v>3.6346764346764345E-3</v>
      </c>
      <c r="V1258" s="713">
        <f t="shared" si="2877"/>
        <v>4.2770698597682016E-3</v>
      </c>
      <c r="W1258" s="713">
        <f t="shared" si="2877"/>
        <v>4.0028940638040114E-3</v>
      </c>
      <c r="X1258" s="713">
        <f t="shared" si="2877"/>
        <v>3.8624338624338628E-3</v>
      </c>
      <c r="Y1258" s="713">
        <f t="shared" ref="Y1258:Z1258" si="2878">Y1218/(Y403*1000)*Y1</f>
        <v>3.2570437081715278E-3</v>
      </c>
      <c r="Z1258" s="713">
        <f t="shared" si="2878"/>
        <v>4.0615727002967358E-3</v>
      </c>
      <c r="AA1258" s="713">
        <f t="shared" ref="AA1258:AB1258" si="2879">AA1218/(AA403*1000)*AA1</f>
        <v>3.4599342770475225E-3</v>
      </c>
      <c r="AB1258" s="713">
        <f t="shared" si="2879"/>
        <v>3.2696841112682695E-3</v>
      </c>
      <c r="AC1258" s="775">
        <f>Drivers!AC136</f>
        <v>3.7000000000000002E-3</v>
      </c>
      <c r="AD1258" s="775">
        <f>Drivers!AD136</f>
        <v>4.0000000000000001E-3</v>
      </c>
      <c r="AE1258" s="775">
        <f>Drivers!AE136</f>
        <v>4.1999999999999997E-3</v>
      </c>
      <c r="AF1258" s="775">
        <f>Drivers!AF136</f>
        <v>4.4000000000000003E-3</v>
      </c>
      <c r="AG1258" s="775">
        <f>Drivers!AG136</f>
        <v>4.4999999999999997E-3</v>
      </c>
      <c r="AH1258" s="775">
        <f>Drivers!AH136</f>
        <v>4.7000000000000002E-3</v>
      </c>
      <c r="AI1258" s="775">
        <f>Drivers!AI136</f>
        <v>5.0000000000000001E-3</v>
      </c>
      <c r="AJ1258" s="775"/>
      <c r="AK1258" s="775"/>
      <c r="AL1258" s="775"/>
      <c r="AM1258" s="775"/>
      <c r="AN1258" s="775"/>
      <c r="AO1258" s="775"/>
      <c r="AP1258" s="775"/>
      <c r="AQ1258" s="775"/>
      <c r="AR1258" s="70"/>
      <c r="AS1258" s="362" t="s">
        <v>74</v>
      </c>
      <c r="AT1258" s="321"/>
      <c r="AU1258" s="713">
        <f t="shared" ref="AU1258:BA1258" si="2880">AU1218/(AU403*1000)*AU1</f>
        <v>3.945926196565583E-3</v>
      </c>
      <c r="AV1258" s="713">
        <f t="shared" si="2880"/>
        <v>3.7166251334994661E-3</v>
      </c>
      <c r="AW1258" s="713">
        <f t="shared" si="2880"/>
        <v>4.257028112449799E-3</v>
      </c>
      <c r="AX1258" s="713">
        <f t="shared" si="2880"/>
        <v>4.5024700070571627E-3</v>
      </c>
      <c r="AY1258" s="713">
        <f t="shared" si="2880"/>
        <v>3.902803738317757E-3</v>
      </c>
      <c r="AZ1258" s="713">
        <f t="shared" si="2880"/>
        <v>3.659447348767737E-3</v>
      </c>
      <c r="BA1258" s="713">
        <f t="shared" si="2880"/>
        <v>3.8016533113613238E-3</v>
      </c>
      <c r="BB1258" s="713">
        <f t="shared" ref="BB1258" si="2881">BB1218/(BB403*1000)*BB1</f>
        <v>4.6539340092215612E-3</v>
      </c>
      <c r="BC1258" s="775">
        <f>Drivers!BC136</f>
        <v>5.4999999999999997E-3</v>
      </c>
      <c r="BD1258" s="775">
        <f>Drivers!BD136</f>
        <v>6.0000000000000001E-3</v>
      </c>
      <c r="BE1258" s="775">
        <f>Drivers!BE136</f>
        <v>7.0000000000000001E-3</v>
      </c>
      <c r="BM1258"/>
      <c r="BN1258"/>
      <c r="BO1258"/>
      <c r="BP1258"/>
      <c r="BQ1258"/>
      <c r="BR1258"/>
    </row>
    <row r="1259" spans="1:70" s="369" customFormat="1" x14ac:dyDescent="0.2">
      <c r="A1259" s="411"/>
      <c r="B1259" s="362" t="s">
        <v>75</v>
      </c>
      <c r="C1259" s="321"/>
      <c r="D1259" s="713">
        <f t="shared" ref="D1259:X1259" si="2882">D1222/(D405*1000)*D1</f>
        <v>2.6680448264606679E-2</v>
      </c>
      <c r="E1259" s="713">
        <f t="shared" si="2882"/>
        <v>2.5239964117515137E-2</v>
      </c>
      <c r="F1259" s="713">
        <f t="shared" si="2882"/>
        <v>2.7987764911514092E-2</v>
      </c>
      <c r="G1259" s="713">
        <f t="shared" si="2882"/>
        <v>2.7436281859070464E-2</v>
      </c>
      <c r="H1259" s="713">
        <f t="shared" si="2882"/>
        <v>2.9025054466230937E-2</v>
      </c>
      <c r="I1259" s="713">
        <f t="shared" si="2882"/>
        <v>2.3821609862218998E-2</v>
      </c>
      <c r="J1259" s="713">
        <f t="shared" si="2882"/>
        <v>2.5948883666274968E-2</v>
      </c>
      <c r="K1259" s="713">
        <f t="shared" si="2882"/>
        <v>2.443077803203661E-2</v>
      </c>
      <c r="L1259" s="713">
        <f t="shared" si="2882"/>
        <v>2.4462081128747797E-2</v>
      </c>
      <c r="M1259" s="713">
        <f t="shared" si="2882"/>
        <v>2.6948832417582416E-2</v>
      </c>
      <c r="N1259" s="713">
        <f t="shared" si="2882"/>
        <v>2.5002830615942027E-2</v>
      </c>
      <c r="O1259" s="713">
        <f t="shared" si="2882"/>
        <v>2.4102968676951844E-2</v>
      </c>
      <c r="P1259" s="713">
        <f t="shared" si="2882"/>
        <v>2.3206790123456788E-2</v>
      </c>
      <c r="Q1259" s="713">
        <f t="shared" si="2882"/>
        <v>2.4288766788766788E-2</v>
      </c>
      <c r="R1259" s="713">
        <f t="shared" si="2882"/>
        <v>2.3201118738876172E-2</v>
      </c>
      <c r="S1259" s="713">
        <f t="shared" si="2882"/>
        <v>2.063960794169389E-2</v>
      </c>
      <c r="T1259" s="713">
        <f t="shared" si="2882"/>
        <v>2.2652519893899204E-2</v>
      </c>
      <c r="U1259" s="713">
        <f t="shared" si="2882"/>
        <v>2.288366805608185E-2</v>
      </c>
      <c r="V1259" s="713">
        <f t="shared" si="2882"/>
        <v>2.147356719367589E-2</v>
      </c>
      <c r="W1259" s="713">
        <f t="shared" si="2882"/>
        <v>2.2535813018346316E-2</v>
      </c>
      <c r="X1259" s="713">
        <f t="shared" si="2882"/>
        <v>2.1958256599140573E-2</v>
      </c>
      <c r="Y1259" s="713">
        <f t="shared" ref="Y1259:Z1259" si="2883">Y1222/(Y405*1000)*Y1</f>
        <v>2.2452818920210227E-2</v>
      </c>
      <c r="Z1259" s="713">
        <f t="shared" si="2883"/>
        <v>2.1314176688251616E-2</v>
      </c>
      <c r="AA1259" s="713">
        <f t="shared" ref="AA1259:AB1259" si="2884">AA1222/(AA405*1000)*AA1</f>
        <v>2.1187115866150692E-2</v>
      </c>
      <c r="AB1259" s="713">
        <f t="shared" si="2884"/>
        <v>2.1726190476190475E-2</v>
      </c>
      <c r="AC1259" s="775">
        <f>Drivers!AC137</f>
        <v>2.1999999999999999E-2</v>
      </c>
      <c r="AD1259" s="775">
        <f>Drivers!AD137</f>
        <v>2.1999999999999999E-2</v>
      </c>
      <c r="AE1259" s="775">
        <f>Drivers!AE137</f>
        <v>2.1999999999999999E-2</v>
      </c>
      <c r="AF1259" s="775">
        <f>Drivers!AF137</f>
        <v>2.1999999999999999E-2</v>
      </c>
      <c r="AG1259" s="775">
        <f>Drivers!AG137</f>
        <v>2.1999999999999999E-2</v>
      </c>
      <c r="AH1259" s="775">
        <f>Drivers!AH137</f>
        <v>2.35E-2</v>
      </c>
      <c r="AI1259" s="775">
        <f>Drivers!AI137</f>
        <v>2.4500000000000001E-2</v>
      </c>
      <c r="AJ1259" s="775"/>
      <c r="AK1259" s="775"/>
      <c r="AL1259" s="775"/>
      <c r="AM1259" s="775"/>
      <c r="AN1259" s="775"/>
      <c r="AO1259" s="775"/>
      <c r="AP1259" s="775"/>
      <c r="AQ1259" s="775"/>
      <c r="AR1259" s="70"/>
      <c r="AS1259" s="362" t="s">
        <v>75</v>
      </c>
      <c r="AT1259" s="321"/>
      <c r="AU1259" s="713">
        <f t="shared" ref="AU1259:BA1259" si="2885">AU1222/(AU405*1000)*AU1</f>
        <v>2.6849999999999999E-2</v>
      </c>
      <c r="AV1259" s="713">
        <f t="shared" si="2885"/>
        <v>2.5824742268041236E-2</v>
      </c>
      <c r="AW1259" s="713">
        <f t="shared" si="2885"/>
        <v>2.5138339920948615E-2</v>
      </c>
      <c r="AX1259" s="713">
        <f t="shared" si="2885"/>
        <v>2.2840909090909092E-2</v>
      </c>
      <c r="AY1259" s="713">
        <f t="shared" si="2885"/>
        <v>2.2381635581061692E-2</v>
      </c>
      <c r="AZ1259" s="713">
        <f t="shared" si="2885"/>
        <v>2.1720430107526882E-2</v>
      </c>
      <c r="BA1259" s="713">
        <f t="shared" si="2885"/>
        <v>2.1936200277433687E-2</v>
      </c>
      <c r="BB1259" s="713">
        <f t="shared" ref="BB1259" si="2886">BB1222/(BB405*1000)*BB1</f>
        <v>2.3032631317519751E-2</v>
      </c>
      <c r="BC1259" s="775">
        <f>Drivers!BC137</f>
        <v>2.4E-2</v>
      </c>
      <c r="BD1259" s="775">
        <f>Drivers!BD137</f>
        <v>2.5000000000000001E-2</v>
      </c>
      <c r="BE1259" s="775">
        <f>Drivers!BE137</f>
        <v>2.5999999999999999E-2</v>
      </c>
      <c r="BM1259"/>
      <c r="BN1259"/>
      <c r="BO1259"/>
      <c r="BP1259"/>
      <c r="BQ1259"/>
      <c r="BR1259"/>
    </row>
    <row r="1260" spans="1:70" s="369" customFormat="1" x14ac:dyDescent="0.2">
      <c r="A1260" s="411"/>
      <c r="B1260" s="321"/>
      <c r="C1260" s="363" t="s">
        <v>522</v>
      </c>
      <c r="D1260" s="776">
        <f t="shared" ref="D1260:AE1260" si="2887">D1214/(D407*1000)*D1</f>
        <v>8.9074315514993466E-3</v>
      </c>
      <c r="E1260" s="776">
        <f t="shared" si="2887"/>
        <v>8.2478351141945603E-3</v>
      </c>
      <c r="F1260" s="776">
        <f t="shared" si="2887"/>
        <v>9.3712147323846556E-3</v>
      </c>
      <c r="G1260" s="776">
        <f t="shared" si="2887"/>
        <v>9.9346137142305654E-3</v>
      </c>
      <c r="H1260" s="776">
        <f t="shared" si="2887"/>
        <v>9.1373782217289423E-3</v>
      </c>
      <c r="I1260" s="776">
        <f t="shared" si="2887"/>
        <v>7.7428744095410749E-3</v>
      </c>
      <c r="J1260" s="776">
        <f t="shared" si="2887"/>
        <v>8.5915163166715956E-3</v>
      </c>
      <c r="K1260" s="776">
        <f t="shared" si="2887"/>
        <v>8.5357705340524011E-3</v>
      </c>
      <c r="L1260" s="776">
        <f t="shared" si="2887"/>
        <v>8.6683630195080602E-3</v>
      </c>
      <c r="M1260" s="776">
        <f t="shared" si="2887"/>
        <v>8.9508386350491617E-3</v>
      </c>
      <c r="N1260" s="776">
        <f t="shared" si="2887"/>
        <v>8.2601837882320655E-3</v>
      </c>
      <c r="O1260" s="776">
        <f t="shared" si="2887"/>
        <v>8.071441943183412E-3</v>
      </c>
      <c r="P1260" s="776">
        <f t="shared" si="2887"/>
        <v>7.7611848574237951E-3</v>
      </c>
      <c r="Q1260" s="776">
        <f t="shared" si="2887"/>
        <v>8.3950932788142089E-3</v>
      </c>
      <c r="R1260" s="776">
        <f t="shared" si="2887"/>
        <v>7.9987727910238397E-3</v>
      </c>
      <c r="S1260" s="776">
        <f t="shared" si="2887"/>
        <v>8.4588644264194674E-3</v>
      </c>
      <c r="T1260" s="776">
        <f t="shared" si="2887"/>
        <v>7.5796994524909714E-3</v>
      </c>
      <c r="U1260" s="776">
        <f t="shared" si="2887"/>
        <v>7.5796994524909714E-3</v>
      </c>
      <c r="V1260" s="776">
        <f t="shared" si="2887"/>
        <v>7.8169336384439365E-3</v>
      </c>
      <c r="W1260" s="776">
        <f t="shared" si="2887"/>
        <v>7.917662048096831E-3</v>
      </c>
      <c r="X1260" s="776">
        <f t="shared" si="2887"/>
        <v>7.7991452991453001E-3</v>
      </c>
      <c r="Y1260" s="776">
        <f t="shared" ref="Y1260:Z1260" si="2888">Y1214/(Y407*1000)*Y1</f>
        <v>7.4172588306863924E-3</v>
      </c>
      <c r="Z1260" s="776">
        <f t="shared" si="2888"/>
        <v>7.8243215979017441E-3</v>
      </c>
      <c r="AA1260" s="776">
        <f t="shared" ref="AA1260:AB1260" si="2889">AA1214/(AA407*1000)*AA1</f>
        <v>7.3119157144976993E-3</v>
      </c>
      <c r="AB1260" s="776">
        <f t="shared" si="2889"/>
        <v>7.2757475083056466E-3</v>
      </c>
      <c r="AC1260" s="776">
        <f t="shared" si="2887"/>
        <v>7.6720930232558144E-3</v>
      </c>
      <c r="AD1260" s="776">
        <f t="shared" si="2887"/>
        <v>7.8918918918918935E-3</v>
      </c>
      <c r="AE1260" s="776">
        <f t="shared" si="2887"/>
        <v>8.0486486486486507E-3</v>
      </c>
      <c r="AF1260" s="776">
        <f t="shared" ref="AF1260:AI1260" si="2890">AF1214/(AF407*1000)*AF1</f>
        <v>8.2202283411685721E-3</v>
      </c>
      <c r="AG1260" s="776">
        <f t="shared" si="2890"/>
        <v>8.283710377574964E-3</v>
      </c>
      <c r="AH1260" s="776">
        <f t="shared" si="2890"/>
        <v>8.8042079276162699E-3</v>
      </c>
      <c r="AI1260" s="776">
        <f t="shared" si="2890"/>
        <v>9.3259688357325513E-3</v>
      </c>
      <c r="AJ1260" s="776"/>
      <c r="AK1260" s="776"/>
      <c r="AL1260" s="776"/>
      <c r="AM1260" s="776"/>
      <c r="AN1260" s="776"/>
      <c r="AO1260" s="776"/>
      <c r="AP1260" s="776"/>
      <c r="AQ1260" s="776"/>
      <c r="AR1260" s="70"/>
      <c r="AS1260" s="321"/>
      <c r="AT1260" s="363" t="s">
        <v>522</v>
      </c>
      <c r="AU1260" s="776">
        <f t="shared" ref="AU1260:BD1260" si="2891">AU1214/(AU407*1000)*AU1</f>
        <v>9.1263782866836292E-3</v>
      </c>
      <c r="AV1260" s="776">
        <f t="shared" si="2891"/>
        <v>8.5020920502092059E-3</v>
      </c>
      <c r="AW1260" s="776">
        <f t="shared" si="2891"/>
        <v>8.4867894315452351E-3</v>
      </c>
      <c r="AX1260" s="776">
        <f t="shared" si="2891"/>
        <v>8.1514980214810635E-3</v>
      </c>
      <c r="AY1260" s="776">
        <f t="shared" si="2891"/>
        <v>7.7224199288256226E-3</v>
      </c>
      <c r="AZ1260" s="776">
        <f t="shared" si="2891"/>
        <v>7.5862068965517225E-3</v>
      </c>
      <c r="BA1260" s="776">
        <f t="shared" si="2891"/>
        <v>7.7301260870297804E-3</v>
      </c>
      <c r="BB1260" s="776">
        <f t="shared" ref="BB1260" si="2892">BB1214/(BB407*1000)*BB1</f>
        <v>8.6674340638916211E-3</v>
      </c>
      <c r="BC1260" s="776">
        <f t="shared" si="2891"/>
        <v>9.5702891901901389E-3</v>
      </c>
      <c r="BD1260" s="776">
        <f t="shared" si="2891"/>
        <v>1.0180297006141221E-2</v>
      </c>
      <c r="BE1260" s="776">
        <f t="shared" ref="BE1260" si="2893">BE1214/(BE407*1000)*BE1</f>
        <v>1.1180297006141225E-2</v>
      </c>
      <c r="BM1260"/>
      <c r="BN1260"/>
      <c r="BO1260"/>
      <c r="BP1260"/>
      <c r="BQ1260"/>
      <c r="BR1260"/>
    </row>
    <row r="1261" spans="1:70" s="369" customFormat="1" x14ac:dyDescent="0.2">
      <c r="A1261" s="411"/>
      <c r="B1261" s="321"/>
      <c r="C1261" s="321"/>
      <c r="D1261" s="321"/>
      <c r="E1261" s="321"/>
      <c r="F1261" s="321"/>
      <c r="G1261" s="321"/>
      <c r="H1261" s="321"/>
      <c r="I1261" s="321"/>
      <c r="J1261" s="321"/>
      <c r="K1261" s="321"/>
      <c r="L1261" s="321"/>
      <c r="M1261" s="321"/>
      <c r="N1261" s="321"/>
      <c r="O1261" s="321"/>
      <c r="P1261" s="321"/>
      <c r="Q1261" s="321"/>
      <c r="R1261" s="321"/>
      <c r="S1261" s="321"/>
      <c r="T1261" s="321"/>
      <c r="U1261" s="321"/>
      <c r="V1261" s="321"/>
      <c r="W1261" s="321"/>
      <c r="X1261" s="321"/>
      <c r="Y1261" s="321"/>
      <c r="Z1261" s="321"/>
      <c r="AA1261" s="321"/>
      <c r="AB1261" s="321"/>
      <c r="AC1261" s="321"/>
      <c r="AD1261" s="321"/>
      <c r="AE1261" s="321"/>
      <c r="AF1261" s="321"/>
      <c r="AG1261" s="321"/>
      <c r="AH1261" s="321"/>
      <c r="AI1261" s="321"/>
      <c r="AJ1261" s="321"/>
      <c r="AK1261" s="321"/>
      <c r="AL1261" s="321"/>
      <c r="AM1261" s="321"/>
      <c r="AN1261" s="321"/>
      <c r="AO1261" s="321"/>
      <c r="AP1261" s="321"/>
      <c r="AQ1261" s="321"/>
      <c r="AR1261" s="70"/>
      <c r="AS1261" s="321"/>
      <c r="AT1261" s="321"/>
      <c r="AU1261" s="321"/>
      <c r="AV1261" s="321"/>
      <c r="AW1261" s="321"/>
      <c r="AX1261" s="321"/>
      <c r="AY1261" s="321"/>
      <c r="AZ1261" s="321"/>
      <c r="BA1261" s="321"/>
      <c r="BB1261" s="321"/>
      <c r="BC1261" s="321"/>
      <c r="BD1261" s="321"/>
      <c r="BE1261" s="321"/>
      <c r="BM1261"/>
      <c r="BN1261"/>
      <c r="BO1261"/>
      <c r="BP1261"/>
      <c r="BQ1261"/>
      <c r="BR1261"/>
    </row>
    <row r="1262" spans="1:70" s="369" customFormat="1" x14ac:dyDescent="0.2">
      <c r="A1262" s="411"/>
      <c r="B1262" s="321" t="s">
        <v>74</v>
      </c>
      <c r="C1262" s="321"/>
      <c r="D1262" s="713">
        <f t="shared" ref="D1262:AE1262" si="2894">D1225/(D435*1000)*D1</f>
        <v>6.8392449983713643E-3</v>
      </c>
      <c r="E1262" s="713">
        <f t="shared" si="2894"/>
        <v>6.2241136710893194E-3</v>
      </c>
      <c r="F1262" s="713">
        <f t="shared" si="2894"/>
        <v>7.3444816053511702E-3</v>
      </c>
      <c r="G1262" s="713">
        <f t="shared" si="2894"/>
        <v>8.2370592648162034E-3</v>
      </c>
      <c r="H1262" s="713">
        <f t="shared" si="2894"/>
        <v>7.5069649295313014E-3</v>
      </c>
      <c r="I1262" s="713">
        <f t="shared" si="2894"/>
        <v>7.2708564843396309E-3</v>
      </c>
      <c r="J1262" s="713">
        <f t="shared" si="2894"/>
        <v>7.3014075002410094E-3</v>
      </c>
      <c r="K1262" s="713">
        <f t="shared" si="2894"/>
        <v>7.951883433283357E-3</v>
      </c>
      <c r="L1262" s="713">
        <f t="shared" si="2894"/>
        <v>7.8113401247729601E-3</v>
      </c>
      <c r="M1262" s="713">
        <f t="shared" si="2894"/>
        <v>7.7783844864590208E-3</v>
      </c>
      <c r="N1262" s="713">
        <f t="shared" si="2894"/>
        <v>7.4897400820793424E-3</v>
      </c>
      <c r="O1262" s="713">
        <f t="shared" si="2894"/>
        <v>9.0839580209895049E-3</v>
      </c>
      <c r="P1262" s="713">
        <f t="shared" si="2894"/>
        <v>7.3632781717888098E-3</v>
      </c>
      <c r="Q1262" s="713">
        <f t="shared" si="2894"/>
        <v>7.3516020496357578E-3</v>
      </c>
      <c r="R1262" s="713">
        <f t="shared" si="2894"/>
        <v>6.9812465012129123E-3</v>
      </c>
      <c r="S1262" s="713">
        <f t="shared" si="2894"/>
        <v>8.3123610424901181E-3</v>
      </c>
      <c r="T1262" s="713">
        <f t="shared" si="2894"/>
        <v>6.3671715104379857E-3</v>
      </c>
      <c r="U1262" s="713">
        <f t="shared" si="2894"/>
        <v>6.9265815686793721E-3</v>
      </c>
      <c r="V1262" s="713">
        <f t="shared" si="2894"/>
        <v>7.2000918554807102E-3</v>
      </c>
      <c r="W1262" s="713">
        <f t="shared" si="2894"/>
        <v>8.2388313446462857E-3</v>
      </c>
      <c r="X1262" s="713">
        <f t="shared" si="2894"/>
        <v>6.8956131924431631E-3</v>
      </c>
      <c r="Y1262" s="713">
        <f t="shared" ref="Y1262:Z1262" si="2895">Y1225/(Y435*1000)*Y1</f>
        <v>6.8775918389411012E-3</v>
      </c>
      <c r="Z1262" s="713">
        <f t="shared" si="2895"/>
        <v>8.2482147699538995E-3</v>
      </c>
      <c r="AA1262" s="713">
        <f t="shared" ref="AA1262:AB1262" si="2896">AA1225/(AA435*1000)*AA1</f>
        <v>6.6442183801276476E-3</v>
      </c>
      <c r="AB1262" s="713">
        <f t="shared" si="2896"/>
        <v>6.3962534934662732E-3</v>
      </c>
      <c r="AC1262" s="713">
        <f t="shared" si="2894"/>
        <v>6.9030591434398368E-3</v>
      </c>
      <c r="AD1262" s="713">
        <f t="shared" si="2894"/>
        <v>7.5245893389161789E-3</v>
      </c>
      <c r="AE1262" s="713">
        <f t="shared" si="2894"/>
        <v>7.837376197761493E-3</v>
      </c>
      <c r="AF1262" s="713">
        <f t="shared" ref="AF1262:AI1262" si="2897">AF1225/(AF435*1000)*AF1</f>
        <v>8.202427185641202E-3</v>
      </c>
      <c r="AG1262" s="713">
        <f t="shared" si="2897"/>
        <v>8.429615833905689E-3</v>
      </c>
      <c r="AH1262" s="713">
        <f t="shared" si="2897"/>
        <v>8.6923109119935778E-3</v>
      </c>
      <c r="AI1262" s="713">
        <f t="shared" si="2897"/>
        <v>9.0025356436141003E-3</v>
      </c>
      <c r="AJ1262" s="713"/>
      <c r="AK1262" s="713"/>
      <c r="AL1262" s="713"/>
      <c r="AM1262" s="713"/>
      <c r="AN1262" s="713"/>
      <c r="AO1262" s="713"/>
      <c r="AP1262" s="713"/>
      <c r="AQ1262" s="713"/>
      <c r="AR1262" s="70"/>
      <c r="AS1262" s="321" t="s">
        <v>74</v>
      </c>
      <c r="AT1262" s="321"/>
      <c r="AU1262" s="713">
        <f t="shared" ref="AU1262:BD1262" si="2898">AU1225/(AU435*1000)*AU1</f>
        <v>7.1781033153431005E-3</v>
      </c>
      <c r="AV1262" s="713">
        <f t="shared" si="2898"/>
        <v>7.5128771155261219E-3</v>
      </c>
      <c r="AW1262" s="713">
        <f t="shared" si="2898"/>
        <v>8.0443828016643557E-3</v>
      </c>
      <c r="AX1262" s="713">
        <f t="shared" si="2898"/>
        <v>7.5035460992907803E-3</v>
      </c>
      <c r="AY1262" s="713">
        <f t="shared" si="2898"/>
        <v>7.1825962910128391E-3</v>
      </c>
      <c r="AZ1262" s="713">
        <f t="shared" si="2898"/>
        <v>7.1726555652936019E-3</v>
      </c>
      <c r="BA1262" s="713">
        <f t="shared" si="2898"/>
        <v>7.1797642413727958E-3</v>
      </c>
      <c r="BB1262" s="713">
        <f t="shared" ref="BB1262" si="2899">BB1225/(BB435*1000)*BB1</f>
        <v>8.5890084662792812E-3</v>
      </c>
      <c r="BC1262" s="713">
        <f t="shared" si="2898"/>
        <v>9.6355073601749018E-3</v>
      </c>
      <c r="BD1262" s="713">
        <f t="shared" si="2898"/>
        <v>1.0696653641763162E-2</v>
      </c>
      <c r="BE1262" s="713">
        <f t="shared" ref="BE1262" si="2900">BE1225/(BE435*1000)*BE1</f>
        <v>1.199361383598793E-2</v>
      </c>
      <c r="BM1262"/>
      <c r="BN1262"/>
      <c r="BO1262"/>
      <c r="BP1262"/>
      <c r="BQ1262"/>
      <c r="BR1262"/>
    </row>
    <row r="1263" spans="1:70" s="369" customFormat="1" x14ac:dyDescent="0.2">
      <c r="A1263" s="411"/>
      <c r="B1263" s="362" t="s">
        <v>102</v>
      </c>
      <c r="C1263" s="321"/>
      <c r="D1263" s="777">
        <f t="shared" ref="D1263:AE1263" si="2901">D1249</f>
        <v>7.1133387888707045E-2</v>
      </c>
      <c r="E1263" s="777">
        <f t="shared" si="2901"/>
        <v>6.7106427818756587E-2</v>
      </c>
      <c r="F1263" s="777">
        <f t="shared" si="2901"/>
        <v>5.820250148898154E-2</v>
      </c>
      <c r="G1263" s="777">
        <f t="shared" si="2901"/>
        <v>5.5265569917743833E-2</v>
      </c>
      <c r="H1263" s="777">
        <f t="shared" si="2901"/>
        <v>5.6136845292158642E-2</v>
      </c>
      <c r="I1263" s="777">
        <f t="shared" si="2901"/>
        <v>5.3890662410215485E-2</v>
      </c>
      <c r="J1263" s="777">
        <f t="shared" si="2901"/>
        <v>4.5656487232574185E-2</v>
      </c>
      <c r="K1263" s="777">
        <f t="shared" si="2901"/>
        <v>4.2858745512564814E-2</v>
      </c>
      <c r="L1263" s="777">
        <f t="shared" si="2901"/>
        <v>4.4741335372069313E-2</v>
      </c>
      <c r="M1263" s="777">
        <f t="shared" si="2901"/>
        <v>4.3988440804478536E-2</v>
      </c>
      <c r="N1263" s="777">
        <f t="shared" si="2901"/>
        <v>4.2263352589439543E-2</v>
      </c>
      <c r="O1263" s="777">
        <f t="shared" si="2901"/>
        <v>4.1842874121026045E-2</v>
      </c>
      <c r="P1263" s="777">
        <f t="shared" si="2901"/>
        <v>4.0001265502404453E-2</v>
      </c>
      <c r="Q1263" s="777">
        <f t="shared" si="2901"/>
        <v>4.3028684930093375E-2</v>
      </c>
      <c r="R1263" s="777">
        <f t="shared" si="2901"/>
        <v>3.6912387773630588E-2</v>
      </c>
      <c r="S1263" s="777">
        <f t="shared" si="2901"/>
        <v>3.7604752045745829E-2</v>
      </c>
      <c r="T1263" s="777">
        <f t="shared" si="2901"/>
        <v>4.1408091908091908E-2</v>
      </c>
      <c r="U1263" s="777">
        <f t="shared" si="2901"/>
        <v>4.1632653061224489E-2</v>
      </c>
      <c r="V1263" s="777">
        <f t="shared" si="2901"/>
        <v>3.8961408057439167E-2</v>
      </c>
      <c r="W1263" s="777">
        <f t="shared" si="2901"/>
        <v>4.2795100222717146E-2</v>
      </c>
      <c r="X1263" s="777">
        <f t="shared" si="2901"/>
        <v>4.6553838606818734E-2</v>
      </c>
      <c r="Y1263" s="777">
        <f t="shared" ref="Y1263:Z1263" si="2902">Y1249</f>
        <v>4.7861464378318314E-2</v>
      </c>
      <c r="Z1263" s="777">
        <f t="shared" si="2902"/>
        <v>4.6982265446224254E-2</v>
      </c>
      <c r="AA1263" s="777">
        <f t="shared" ref="AA1263:AB1263" si="2903">AA1249</f>
        <v>4.7710206730323529E-2</v>
      </c>
      <c r="AB1263" s="777">
        <f t="shared" si="2903"/>
        <v>5.1835338523236608E-2</v>
      </c>
      <c r="AC1263" s="777">
        <f t="shared" si="2901"/>
        <v>5.1999999999999998E-2</v>
      </c>
      <c r="AD1263" s="777">
        <f t="shared" si="2901"/>
        <v>5.1813000000000005E-2</v>
      </c>
      <c r="AE1263" s="777">
        <f t="shared" si="2901"/>
        <v>5.1300000000000005E-2</v>
      </c>
      <c r="AF1263" s="777">
        <f t="shared" ref="AF1263:AI1263" si="2904">AF1249</f>
        <v>5.1999999999999998E-2</v>
      </c>
      <c r="AG1263" s="777">
        <f t="shared" si="2904"/>
        <v>5.2499999999999998E-2</v>
      </c>
      <c r="AH1263" s="777">
        <f t="shared" si="2904"/>
        <v>5.3999999999999999E-2</v>
      </c>
      <c r="AI1263" s="777">
        <f t="shared" si="2904"/>
        <v>5.5E-2</v>
      </c>
      <c r="AJ1263" s="777"/>
      <c r="AK1263" s="777"/>
      <c r="AL1263" s="777"/>
      <c r="AM1263" s="777"/>
      <c r="AN1263" s="777"/>
      <c r="AO1263" s="777"/>
      <c r="AP1263" s="777"/>
      <c r="AQ1263" s="777"/>
      <c r="AR1263" s="70"/>
      <c r="AS1263" s="362" t="s">
        <v>102</v>
      </c>
      <c r="AT1263" s="321"/>
      <c r="AU1263" s="777">
        <f t="shared" ref="AU1263:BD1263" si="2905">AU1249</f>
        <v>6.2926829268292683E-2</v>
      </c>
      <c r="AV1263" s="777">
        <f t="shared" si="2905"/>
        <v>4.9252761533463287E-2</v>
      </c>
      <c r="AW1263" s="777">
        <f t="shared" si="2905"/>
        <v>4.3194444444444445E-2</v>
      </c>
      <c r="AX1263" s="777">
        <f t="shared" si="2905"/>
        <v>3.9355210132412208E-2</v>
      </c>
      <c r="AY1263" s="777">
        <f t="shared" si="2905"/>
        <v>4.1210045662100452E-2</v>
      </c>
      <c r="AZ1263" s="777">
        <f t="shared" si="2905"/>
        <v>4.7284695556774545E-2</v>
      </c>
      <c r="BA1263" s="777">
        <f t="shared" si="2905"/>
        <v>5.17383183208701E-2</v>
      </c>
      <c r="BB1263" s="777">
        <f t="shared" ref="BB1263" si="2906">BB1249</f>
        <v>5.3412553346394526E-2</v>
      </c>
      <c r="BC1263" s="777">
        <f t="shared" si="2905"/>
        <v>5.5E-2</v>
      </c>
      <c r="BD1263" s="777">
        <f t="shared" si="2905"/>
        <v>5.6500000000000002E-2</v>
      </c>
      <c r="BE1263" s="777">
        <f t="shared" ref="BE1263" si="2907">BE1249</f>
        <v>5.8500000000000003E-2</v>
      </c>
      <c r="BM1263"/>
      <c r="BN1263"/>
      <c r="BO1263"/>
      <c r="BP1263"/>
      <c r="BQ1263"/>
      <c r="BR1263"/>
    </row>
    <row r="1264" spans="1:70" s="369" customFormat="1" x14ac:dyDescent="0.2">
      <c r="A1264" s="411"/>
      <c r="B1264" s="321" t="s">
        <v>195</v>
      </c>
      <c r="C1264" s="321"/>
      <c r="D1264" s="713">
        <f t="shared" ref="D1264:AE1264" si="2908">D1226/((D217+D405+D327)*1000)*D1</f>
        <v>4.6600026479544539E-2</v>
      </c>
      <c r="E1264" s="713">
        <f t="shared" si="2908"/>
        <v>4.4614931460292273E-2</v>
      </c>
      <c r="F1264" s="713">
        <f t="shared" si="2908"/>
        <v>4.1292307692307691E-2</v>
      </c>
      <c r="G1264" s="713">
        <f t="shared" si="2908"/>
        <v>3.9741931181648441E-2</v>
      </c>
      <c r="H1264" s="713">
        <f t="shared" si="2908"/>
        <v>4.1434468524251811E-2</v>
      </c>
      <c r="I1264" s="713">
        <f t="shared" si="2908"/>
        <v>3.9519418541500553E-2</v>
      </c>
      <c r="J1264" s="713">
        <f t="shared" si="2908"/>
        <v>3.7434597397786727E-2</v>
      </c>
      <c r="K1264" s="713">
        <f t="shared" si="2908"/>
        <v>3.6612395440757416E-2</v>
      </c>
      <c r="L1264" s="713">
        <f t="shared" si="2908"/>
        <v>3.864909781576447E-2</v>
      </c>
      <c r="M1264" s="713">
        <f t="shared" si="2908"/>
        <v>3.9031667257473701E-2</v>
      </c>
      <c r="N1264" s="713">
        <f t="shared" si="2908"/>
        <v>3.6974715935768614E-2</v>
      </c>
      <c r="O1264" s="713">
        <f t="shared" si="2908"/>
        <v>3.6027732851298636E-2</v>
      </c>
      <c r="P1264" s="713">
        <f t="shared" si="2908"/>
        <v>3.6706214689265534E-2</v>
      </c>
      <c r="Q1264" s="713">
        <f t="shared" si="2908"/>
        <v>3.611268456629281E-2</v>
      </c>
      <c r="R1264" s="713">
        <f t="shared" si="2908"/>
        <v>3.2343859825283663E-2</v>
      </c>
      <c r="S1264" s="713">
        <f t="shared" si="2908"/>
        <v>3.1412297283852357E-2</v>
      </c>
      <c r="T1264" s="713">
        <f t="shared" si="2908"/>
        <v>3.2111325101015824E-2</v>
      </c>
      <c r="U1264" s="713">
        <f t="shared" si="2908"/>
        <v>3.1066623959000644E-2</v>
      </c>
      <c r="V1264" s="713">
        <f t="shared" si="2908"/>
        <v>2.5962153859282331E-2</v>
      </c>
      <c r="W1264" s="713">
        <f t="shared" si="2908"/>
        <v>2.846514242878561E-2</v>
      </c>
      <c r="X1264" s="713">
        <f t="shared" si="2908"/>
        <v>3.2559768299104799E-2</v>
      </c>
      <c r="Y1264" s="713">
        <f t="shared" ref="Y1264:Z1264" si="2909">Y1226/((Y217+Y405+Y327)*1000)*Y1</f>
        <v>3.148813803019411E-2</v>
      </c>
      <c r="Z1264" s="713">
        <f t="shared" si="2909"/>
        <v>3.1218816821097645E-2</v>
      </c>
      <c r="AA1264" s="713">
        <f t="shared" ref="AA1264:AB1264" si="2910">AA1226/((AA217+AA405+AA327)*1000)*AA1</f>
        <v>2.9693054416188126E-2</v>
      </c>
      <c r="AB1264" s="713">
        <f t="shared" si="2910"/>
        <v>3.2632570125879674E-2</v>
      </c>
      <c r="AC1264" s="713">
        <f t="shared" si="2908"/>
        <v>3.325887559723311E-2</v>
      </c>
      <c r="AD1264" s="713">
        <f t="shared" si="2908"/>
        <v>3.4105143173678798E-2</v>
      </c>
      <c r="AE1264" s="713">
        <f t="shared" si="2908"/>
        <v>3.4950431971918876E-2</v>
      </c>
      <c r="AF1264" s="713">
        <f t="shared" ref="AF1264:AI1264" si="2911">AF1226/((AF217+AF405+AF327)*1000)*AF1</f>
        <v>3.5038158488657614E-2</v>
      </c>
      <c r="AG1264" s="713">
        <f t="shared" si="2911"/>
        <v>3.5159130338377323E-2</v>
      </c>
      <c r="AH1264" s="713">
        <f t="shared" si="2911"/>
        <v>3.6616136221420473E-2</v>
      </c>
      <c r="AI1264" s="713">
        <f t="shared" si="2911"/>
        <v>3.7248390455141833E-2</v>
      </c>
      <c r="AJ1264" s="713"/>
      <c r="AK1264" s="713"/>
      <c r="AL1264" s="713"/>
      <c r="AM1264" s="713"/>
      <c r="AN1264" s="713"/>
      <c r="AO1264" s="713"/>
      <c r="AP1264" s="713"/>
      <c r="AQ1264" s="713"/>
      <c r="AR1264" s="70"/>
      <c r="AS1264" s="321" t="s">
        <v>195</v>
      </c>
      <c r="AT1264" s="321"/>
      <c r="AU1264" s="713">
        <f t="shared" ref="AU1264:BD1264" si="2912">AU1226/((AU217+AU405+AU327)*1000)*AU1</f>
        <v>4.3062005613676957E-2</v>
      </c>
      <c r="AV1264" s="713">
        <f t="shared" si="2912"/>
        <v>3.8749014454664908E-2</v>
      </c>
      <c r="AW1264" s="713">
        <f t="shared" si="2912"/>
        <v>3.7668645439827307E-2</v>
      </c>
      <c r="AX1264" s="713">
        <f t="shared" si="2912"/>
        <v>3.4133790737564319E-2</v>
      </c>
      <c r="AY1264" s="713">
        <f t="shared" si="2912"/>
        <v>2.9237199582027168E-2</v>
      </c>
      <c r="AZ1264" s="713">
        <f t="shared" si="2912"/>
        <v>3.121771217712177E-2</v>
      </c>
      <c r="BA1264" s="713">
        <f t="shared" si="2912"/>
        <v>3.3757821585906692E-2</v>
      </c>
      <c r="BB1264" s="713">
        <f t="shared" ref="BB1264" si="2913">BB1226/((BB217+BB405+BB327)*1000)*BB1</f>
        <v>3.6046890499576149E-2</v>
      </c>
      <c r="BC1264" s="713">
        <f t="shared" si="2912"/>
        <v>3.9092928539367619E-2</v>
      </c>
      <c r="BD1264" s="713">
        <f t="shared" si="2912"/>
        <v>4.1695536351678927E-2</v>
      </c>
      <c r="BE1264" s="713">
        <f t="shared" ref="BE1264" si="2914">BE1226/((BE217+BE405+BE327)*1000)*BE1</f>
        <v>4.4200737085461454E-2</v>
      </c>
      <c r="BM1264"/>
      <c r="BN1264"/>
      <c r="BO1264"/>
      <c r="BP1264"/>
      <c r="BQ1264"/>
      <c r="BR1264"/>
    </row>
    <row r="1265" spans="1:70" s="369" customFormat="1" x14ac:dyDescent="0.2">
      <c r="A1265" s="411"/>
      <c r="B1265" s="321" t="s">
        <v>92</v>
      </c>
      <c r="C1265" s="321"/>
      <c r="D1265" s="713">
        <f>D1227/((D457)*1000)*D1</f>
        <v>5.3323454970685288E-2</v>
      </c>
      <c r="E1265" s="713">
        <f t="shared" ref="E1265:AE1265" si="2915">E1227/((E457)*1000)*E1</f>
        <v>5.0764291887887392E-2</v>
      </c>
      <c r="F1265" s="713">
        <f t="shared" si="2915"/>
        <v>4.5898442569759897E-2</v>
      </c>
      <c r="G1265" s="713">
        <f t="shared" si="2915"/>
        <v>4.4002870597342272E-2</v>
      </c>
      <c r="H1265" s="713">
        <f t="shared" si="2915"/>
        <v>4.5473220226214237E-2</v>
      </c>
      <c r="I1265" s="713">
        <f t="shared" si="2915"/>
        <v>4.344982748344093E-2</v>
      </c>
      <c r="J1265" s="713">
        <f t="shared" si="2915"/>
        <v>3.9794410881119797E-2</v>
      </c>
      <c r="K1265" s="713">
        <f t="shared" si="2915"/>
        <v>3.8583023972818216E-2</v>
      </c>
      <c r="L1265" s="713">
        <f t="shared" si="2915"/>
        <v>4.0585114998380301E-2</v>
      </c>
      <c r="M1265" s="713">
        <f t="shared" si="2915"/>
        <v>4.0583862223448633E-2</v>
      </c>
      <c r="N1265" s="713">
        <f t="shared" si="2915"/>
        <v>3.8649125621690997E-2</v>
      </c>
      <c r="O1265" s="713">
        <f t="shared" si="2915"/>
        <v>3.7914537742215364E-2</v>
      </c>
      <c r="P1265" s="713">
        <f t="shared" si="2915"/>
        <v>3.7798757972473986E-2</v>
      </c>
      <c r="Q1265" s="713">
        <f t="shared" si="2915"/>
        <v>3.8380749350726252E-2</v>
      </c>
      <c r="R1265" s="713">
        <f t="shared" si="2915"/>
        <v>3.3862005966947141E-2</v>
      </c>
      <c r="S1265" s="713">
        <f t="shared" si="2915"/>
        <v>3.3489006447346661E-2</v>
      </c>
      <c r="T1265" s="713">
        <f t="shared" si="2915"/>
        <v>3.5226768661650608E-2</v>
      </c>
      <c r="U1265" s="713">
        <f t="shared" si="2915"/>
        <v>3.4487165601646268E-2</v>
      </c>
      <c r="V1265" s="713">
        <f t="shared" si="2915"/>
        <v>2.9857463021066784E-2</v>
      </c>
      <c r="W1265" s="713">
        <f t="shared" si="2915"/>
        <v>3.2774687672908351E-2</v>
      </c>
      <c r="X1265" s="713">
        <f t="shared" si="2915"/>
        <v>3.676355732390215E-2</v>
      </c>
      <c r="Y1265" s="713">
        <f t="shared" ref="Y1265:Z1265" si="2916">Y1227/((Y457)*1000)*Y1</f>
        <v>3.6297464911326294E-2</v>
      </c>
      <c r="Z1265" s="713">
        <f t="shared" si="2916"/>
        <v>3.5844384757428231E-2</v>
      </c>
      <c r="AA1265" s="713">
        <f t="shared" ref="AA1265:AB1265" si="2917">AA1227/((AA457)*1000)*AA1</f>
        <v>3.5034422580113224E-2</v>
      </c>
      <c r="AB1265" s="713">
        <f t="shared" si="2917"/>
        <v>3.8313791178112781E-2</v>
      </c>
      <c r="AC1265" s="713">
        <f t="shared" si="2915"/>
        <v>3.8820079676779327E-2</v>
      </c>
      <c r="AD1265" s="713">
        <f t="shared" si="2915"/>
        <v>3.9375315697635416E-2</v>
      </c>
      <c r="AE1265" s="713">
        <f t="shared" si="2915"/>
        <v>3.9813861469457319E-2</v>
      </c>
      <c r="AF1265" s="713">
        <f t="shared" ref="AF1265:AI1265" si="2918">AF1227/((AF457)*1000)*AF1</f>
        <v>4.0090778013759834E-2</v>
      </c>
      <c r="AG1265" s="713">
        <f t="shared" si="2918"/>
        <v>4.0342770269298764E-2</v>
      </c>
      <c r="AH1265" s="713">
        <f t="shared" si="2918"/>
        <v>4.1795645316335422E-2</v>
      </c>
      <c r="AI1265" s="713">
        <f t="shared" si="2918"/>
        <v>4.2518512126118235E-2</v>
      </c>
      <c r="AJ1265" s="713"/>
      <c r="AK1265" s="713"/>
      <c r="AL1265" s="713"/>
      <c r="AM1265" s="713"/>
      <c r="AN1265" s="713"/>
      <c r="AO1265" s="713"/>
      <c r="AP1265" s="713"/>
      <c r="AQ1265" s="713"/>
      <c r="AR1265" s="70"/>
      <c r="AS1265" s="321" t="s">
        <v>92</v>
      </c>
      <c r="AT1265" s="321"/>
      <c r="AU1265" s="713">
        <f t="shared" ref="AU1265:BD1265" si="2919">AU1227/((AU457)*1000)*AU1</f>
        <v>4.8496756255792403E-2</v>
      </c>
      <c r="AV1265" s="713">
        <f t="shared" si="2919"/>
        <v>4.1773952095808385E-2</v>
      </c>
      <c r="AW1265" s="713">
        <f t="shared" si="2919"/>
        <v>3.9425837320574156E-2</v>
      </c>
      <c r="AX1265" s="713">
        <f t="shared" si="2919"/>
        <v>3.5866284622731615E-2</v>
      </c>
      <c r="AY1265" s="713">
        <f t="shared" si="2919"/>
        <v>3.2996415770609321E-2</v>
      </c>
      <c r="AZ1265" s="713">
        <f t="shared" si="2919"/>
        <v>3.5973372300698157E-2</v>
      </c>
      <c r="BA1265" s="713">
        <f>BA1227/((BA457)*1000)*BA1</f>
        <v>3.9096696245328522E-2</v>
      </c>
      <c r="BB1265" s="713">
        <f>BB1227/((BB457)*1000)*BB1</f>
        <v>4.1220082279489416E-2</v>
      </c>
      <c r="BC1265" s="713">
        <f t="shared" si="2919"/>
        <v>4.3824282284529878E-2</v>
      </c>
      <c r="BD1265" s="713">
        <f t="shared" si="2919"/>
        <v>4.6092070300339322E-2</v>
      </c>
      <c r="BE1265" s="713">
        <f t="shared" ref="BE1265" si="2920">BE1227/((BE457)*1000)*BE1</f>
        <v>4.8440567894413034E-2</v>
      </c>
      <c r="BM1265"/>
      <c r="BN1265"/>
      <c r="BO1265"/>
      <c r="BP1265"/>
      <c r="BQ1265"/>
      <c r="BR1265"/>
    </row>
    <row r="1266" spans="1:70" s="369" customFormat="1" x14ac:dyDescent="0.2">
      <c r="A1266" s="411"/>
      <c r="B1266" s="321"/>
      <c r="C1266" s="318" t="s">
        <v>122</v>
      </c>
      <c r="D1266" s="776">
        <f t="shared" ref="D1266:AE1266" si="2921">D1179/((D221+D329+D407)*1000)*D1</f>
        <v>3.0869514810735611E-2</v>
      </c>
      <c r="E1266" s="776">
        <f t="shared" si="2921"/>
        <v>2.902362974448864E-2</v>
      </c>
      <c r="F1266" s="776">
        <f t="shared" si="2921"/>
        <v>2.6913537549407111E-2</v>
      </c>
      <c r="G1266" s="776">
        <f t="shared" si="2921"/>
        <v>2.6220018487585751E-2</v>
      </c>
      <c r="H1266" s="776">
        <f t="shared" si="2921"/>
        <v>2.634905894006934E-2</v>
      </c>
      <c r="I1266" s="776">
        <f t="shared" si="2921"/>
        <v>2.5182457482003619E-2</v>
      </c>
      <c r="J1266" s="776">
        <f t="shared" si="2921"/>
        <v>2.3328855235303696E-2</v>
      </c>
      <c r="K1266" s="776">
        <f t="shared" si="2921"/>
        <v>2.3212242562929062E-2</v>
      </c>
      <c r="L1266" s="776">
        <f t="shared" si="2921"/>
        <v>2.3991843588820918E-2</v>
      </c>
      <c r="M1266" s="776">
        <f t="shared" si="2921"/>
        <v>2.3625197492482545E-2</v>
      </c>
      <c r="N1266" s="776">
        <f t="shared" si="2921"/>
        <v>2.2477658934111213E-2</v>
      </c>
      <c r="O1266" s="776">
        <f t="shared" si="2921"/>
        <v>2.3000395538941201E-2</v>
      </c>
      <c r="P1266" s="776">
        <f t="shared" si="2921"/>
        <v>2.2102332764366413E-2</v>
      </c>
      <c r="Q1266" s="776">
        <f t="shared" si="2921"/>
        <v>2.2153975293894498E-2</v>
      </c>
      <c r="R1266" s="776">
        <f t="shared" si="2921"/>
        <v>1.9917923691215617E-2</v>
      </c>
      <c r="S1266" s="776">
        <f t="shared" si="2921"/>
        <v>2.047074837535327E-2</v>
      </c>
      <c r="T1266" s="776">
        <f t="shared" si="2921"/>
        <v>2.0354861085758097E-2</v>
      </c>
      <c r="U1266" s="776">
        <f t="shared" si="2921"/>
        <v>2.0242482791933341E-2</v>
      </c>
      <c r="V1266" s="776">
        <f t="shared" si="2921"/>
        <v>1.8666691871455577E-2</v>
      </c>
      <c r="W1266" s="776">
        <f t="shared" si="2921"/>
        <v>2.0984841608423344E-2</v>
      </c>
      <c r="X1266" s="776">
        <f t="shared" si="2921"/>
        <v>2.2448396255371397E-2</v>
      </c>
      <c r="Y1266" s="776">
        <f t="shared" ref="Y1266:Z1266" si="2922">Y1179/((Y221+Y329+Y407)*1000)*Y1</f>
        <v>2.2048152664218015E-2</v>
      </c>
      <c r="Z1266" s="776">
        <f t="shared" si="2922"/>
        <v>2.2557339948644294E-2</v>
      </c>
      <c r="AA1266" s="776">
        <f t="shared" ref="AA1266:AB1266" si="2923">AA1179/((AA221+AA329+AA407)*1000)*AA1</f>
        <v>2.1452429077251683E-2</v>
      </c>
      <c r="AB1266" s="776">
        <f t="shared" si="2923"/>
        <v>2.2985453622084377E-2</v>
      </c>
      <c r="AC1266" s="775">
        <f t="shared" si="2921"/>
        <v>2.3428681182964099E-2</v>
      </c>
      <c r="AD1266" s="775">
        <f t="shared" si="2921"/>
        <v>2.4007191848810956E-2</v>
      </c>
      <c r="AE1266" s="775">
        <f t="shared" si="2921"/>
        <v>2.4389148689801174E-2</v>
      </c>
      <c r="AF1266" s="775">
        <f t="shared" ref="AF1266:AI1266" si="2924">AF1179/((AF221+AF329+AF407)*1000)*AF1</f>
        <v>2.461960792548034E-2</v>
      </c>
      <c r="AG1266" s="775">
        <f t="shared" si="2924"/>
        <v>2.4789085544340478E-2</v>
      </c>
      <c r="AH1266" s="775">
        <f t="shared" si="2924"/>
        <v>2.5733922765892252E-2</v>
      </c>
      <c r="AI1266" s="775">
        <f t="shared" si="2924"/>
        <v>2.6370782035333152E-2</v>
      </c>
      <c r="AJ1266" s="775"/>
      <c r="AK1266" s="775"/>
      <c r="AL1266" s="775"/>
      <c r="AM1266" s="775"/>
      <c r="AN1266" s="775"/>
      <c r="AO1266" s="775"/>
      <c r="AP1266" s="775"/>
      <c r="AQ1266" s="775"/>
      <c r="AR1266" s="70"/>
      <c r="AS1266" s="321"/>
      <c r="AT1266" s="318" t="s">
        <v>122</v>
      </c>
      <c r="AU1266" s="776">
        <f t="shared" ref="AU1266:BD1266" si="2925">AU1179/((AU221+AU329+AU407)*1000)*AU1</f>
        <v>2.8241519417934416E-2</v>
      </c>
      <c r="AV1266" s="776">
        <f t="shared" si="2925"/>
        <v>2.4497217068645639E-2</v>
      </c>
      <c r="AW1266" s="776">
        <f t="shared" si="2925"/>
        <v>2.3267273701124799E-2</v>
      </c>
      <c r="AX1266" s="776">
        <f t="shared" si="2925"/>
        <v>2.1156781609195402E-2</v>
      </c>
      <c r="AY1266" s="776">
        <f t="shared" si="2925"/>
        <v>2.0057204147300681E-2</v>
      </c>
      <c r="AZ1266" s="776">
        <f t="shared" si="2925"/>
        <v>2.2124072825354012E-2</v>
      </c>
      <c r="BA1266" s="776">
        <f t="shared" si="2925"/>
        <v>2.3717553111989847E-2</v>
      </c>
      <c r="BB1266" s="776">
        <f t="shared" ref="BB1266" si="2926">BB1179/((BB221+BB329+BB407)*1000)*BB1</f>
        <v>2.5398699279051022E-2</v>
      </c>
      <c r="BC1266" s="775">
        <f t="shared" si="2925"/>
        <v>2.7198264762839219E-2</v>
      </c>
      <c r="BD1266" s="775">
        <f t="shared" si="2925"/>
        <v>2.8820090028040111E-2</v>
      </c>
      <c r="BE1266" s="775">
        <f t="shared" ref="BE1266" si="2927">BE1179/((BE221+BE329+BE407)*1000)*BE1</f>
        <v>3.0594541998355068E-2</v>
      </c>
      <c r="BM1266"/>
      <c r="BN1266"/>
      <c r="BO1266"/>
      <c r="BP1266"/>
      <c r="BQ1266"/>
      <c r="BR1266"/>
    </row>
    <row r="1267" spans="1:70" s="369" customFormat="1" x14ac:dyDescent="0.2">
      <c r="A1267" s="411"/>
      <c r="B1267" s="321"/>
      <c r="C1267" s="321"/>
      <c r="D1267" s="321"/>
      <c r="E1267" s="321"/>
      <c r="F1267" s="321"/>
      <c r="G1267" s="321"/>
      <c r="H1267" s="321"/>
      <c r="I1267" s="321"/>
      <c r="J1267" s="321"/>
      <c r="K1267" s="321"/>
      <c r="L1267" s="321"/>
      <c r="M1267" s="321"/>
      <c r="N1267" s="321"/>
      <c r="O1267" s="321"/>
      <c r="P1267" s="321"/>
      <c r="Q1267" s="321"/>
      <c r="R1267" s="321"/>
      <c r="S1267" s="321"/>
      <c r="T1267" s="321"/>
      <c r="U1267" s="321"/>
      <c r="V1267" s="321"/>
      <c r="W1267" s="321"/>
      <c r="X1267" s="321"/>
      <c r="Y1267" s="321"/>
      <c r="Z1267" s="321"/>
      <c r="AA1267" s="321"/>
      <c r="AB1267" s="321"/>
      <c r="AC1267" s="321"/>
      <c r="AD1267" s="321"/>
      <c r="AE1267" s="321"/>
      <c r="AF1267" s="321"/>
      <c r="AG1267" s="321"/>
      <c r="AH1267" s="321"/>
      <c r="AI1267" s="321"/>
      <c r="AJ1267" s="321"/>
      <c r="AK1267" s="321"/>
      <c r="AL1267" s="321"/>
      <c r="AM1267" s="321"/>
      <c r="AN1267" s="321"/>
      <c r="AO1267" s="321"/>
      <c r="AP1267" s="321"/>
      <c r="AQ1267" s="321"/>
      <c r="AR1267" s="70"/>
      <c r="AS1267" s="321"/>
      <c r="AT1267" s="321"/>
      <c r="AU1267" s="321"/>
      <c r="AV1267" s="321"/>
      <c r="AW1267" s="321"/>
      <c r="AX1267" s="321"/>
      <c r="AY1267" s="321"/>
      <c r="AZ1267" s="321"/>
      <c r="BA1267" s="321"/>
      <c r="BB1267" s="321"/>
      <c r="BC1267" s="321"/>
      <c r="BD1267" s="321"/>
      <c r="BE1267" s="321"/>
      <c r="BM1267"/>
      <c r="BN1267"/>
      <c r="BO1267"/>
      <c r="BP1267"/>
      <c r="BQ1267"/>
      <c r="BR1267"/>
    </row>
    <row r="1268" spans="1:70" s="369" customFormat="1" x14ac:dyDescent="0.2">
      <c r="A1268" s="411"/>
      <c r="B1268" s="321"/>
      <c r="C1268" s="321"/>
      <c r="D1268" s="321"/>
      <c r="E1268" s="321"/>
      <c r="F1268" s="321"/>
      <c r="G1268" s="321"/>
      <c r="H1268" s="321"/>
      <c r="I1268" s="321"/>
      <c r="J1268" s="321"/>
      <c r="K1268" s="321"/>
      <c r="L1268" s="321"/>
      <c r="M1268" s="321"/>
      <c r="N1268" s="321"/>
      <c r="O1268" s="321"/>
      <c r="P1268" s="321"/>
      <c r="Q1268" s="321"/>
      <c r="R1268" s="321"/>
      <c r="S1268" s="321"/>
      <c r="T1268" s="321"/>
      <c r="U1268" s="321"/>
      <c r="V1268" s="321"/>
      <c r="W1268" s="321"/>
      <c r="X1268" s="321"/>
      <c r="Y1268" s="321"/>
      <c r="Z1268" s="321"/>
      <c r="AA1268" s="321"/>
      <c r="AB1268" s="321"/>
      <c r="AC1268" s="321"/>
      <c r="AD1268" s="321"/>
      <c r="AE1268" s="321"/>
      <c r="AF1268" s="321"/>
      <c r="AG1268" s="321"/>
      <c r="AH1268" s="321"/>
      <c r="AI1268" s="321"/>
      <c r="AJ1268" s="321"/>
      <c r="AK1268" s="321"/>
      <c r="AL1268" s="321"/>
      <c r="AM1268" s="321"/>
      <c r="AN1268" s="321"/>
      <c r="AO1268" s="321"/>
      <c r="AP1268" s="321"/>
      <c r="AQ1268" s="321"/>
      <c r="AR1268" s="70"/>
      <c r="AS1268" s="321"/>
      <c r="AT1268" s="321"/>
      <c r="AU1268" s="321"/>
      <c r="AV1268" s="321"/>
      <c r="AW1268" s="321"/>
      <c r="AX1268" s="321"/>
      <c r="AY1268" s="321"/>
      <c r="AZ1268" s="321"/>
      <c r="BA1268" s="321"/>
      <c r="BB1268" s="321"/>
      <c r="BC1268" s="321"/>
      <c r="BD1268" s="321"/>
      <c r="BE1268" s="321"/>
      <c r="BM1268"/>
      <c r="BN1268"/>
      <c r="BO1268"/>
      <c r="BP1268"/>
      <c r="BQ1268"/>
      <c r="BR1268"/>
    </row>
    <row r="1269" spans="1:70" s="550" customFormat="1" x14ac:dyDescent="0.2">
      <c r="A1269" s="829"/>
      <c r="B1269" s="85" t="s">
        <v>57</v>
      </c>
      <c r="C1269" s="318"/>
      <c r="D1269" s="776">
        <f t="shared" ref="D1269:X1269" si="2928">D1231/(D607*1000)*D1</f>
        <v>-9.6958398744113026E-4</v>
      </c>
      <c r="E1269" s="776">
        <f t="shared" si="2928"/>
        <v>2.2000563539025077E-3</v>
      </c>
      <c r="F1269" s="776">
        <f t="shared" si="2928"/>
        <v>2.3707187222715173E-3</v>
      </c>
      <c r="G1269" s="776">
        <f t="shared" si="2928"/>
        <v>1.2880434782608695E-3</v>
      </c>
      <c r="H1269" s="776">
        <f t="shared" si="2928"/>
        <v>6.7868480725623574E-4</v>
      </c>
      <c r="I1269" s="776">
        <f t="shared" si="2928"/>
        <v>8.7398982340616588E-4</v>
      </c>
      <c r="J1269" s="776">
        <f t="shared" si="2928"/>
        <v>1.0408745247148287E-3</v>
      </c>
      <c r="K1269" s="776">
        <f t="shared" si="2928"/>
        <v>4.0991496871490451E-4</v>
      </c>
      <c r="L1269" s="776">
        <f t="shared" si="2928"/>
        <v>1.9396135265700482E-3</v>
      </c>
      <c r="M1269" s="776">
        <f t="shared" si="2928"/>
        <v>1.2755795441307807E-4</v>
      </c>
      <c r="N1269" s="776">
        <f t="shared" si="2928"/>
        <v>2.2430480872637882E-4</v>
      </c>
      <c r="O1269" s="776">
        <f t="shared" si="2928"/>
        <v>1.6660219712207951E-3</v>
      </c>
      <c r="P1269" s="776">
        <f t="shared" si="2928"/>
        <v>-1.4588329336530774E-5</v>
      </c>
      <c r="Q1269" s="776">
        <f t="shared" si="2928"/>
        <v>1.138066086162972E-3</v>
      </c>
      <c r="R1269" s="776">
        <f t="shared" si="2928"/>
        <v>5.0271739130434783E-4</v>
      </c>
      <c r="S1269" s="776">
        <f t="shared" si="2928"/>
        <v>1.2954747116237799E-3</v>
      </c>
      <c r="T1269" s="776">
        <f t="shared" si="2928"/>
        <v>2.8767368224995342E-3</v>
      </c>
      <c r="U1269" s="776">
        <f t="shared" si="2928"/>
        <v>1.8654569115095429E-3</v>
      </c>
      <c r="V1269" s="776">
        <f t="shared" si="2928"/>
        <v>5.8313270075060195E-4</v>
      </c>
      <c r="W1269" s="776">
        <f t="shared" si="2928"/>
        <v>1.5572797482837528E-3</v>
      </c>
      <c r="X1269" s="776">
        <f t="shared" si="2928"/>
        <v>3.3572479764532742E-4</v>
      </c>
      <c r="Y1269" s="776">
        <f t="shared" ref="Y1269:Z1269" si="2929">Y1231/(Y607*1000)*Y1</f>
        <v>9.098409577642804E-4</v>
      </c>
      <c r="Z1269" s="776">
        <f t="shared" si="2929"/>
        <v>5.4381687660842466E-4</v>
      </c>
      <c r="AA1269" s="776">
        <f t="shared" ref="AA1269:AB1269" si="2930">AA1231/(AA607*1000)*AA1</f>
        <v>2.721533669141039E-3</v>
      </c>
      <c r="AB1269" s="776">
        <f t="shared" si="2930"/>
        <v>1.2561455260570304E-3</v>
      </c>
      <c r="AC1269" s="591">
        <f>Drivers!AC216</f>
        <v>2E-3</v>
      </c>
      <c r="AD1269" s="591">
        <f>Drivers!AD216</f>
        <v>2.2000000000000001E-3</v>
      </c>
      <c r="AE1269" s="591">
        <f>Drivers!AE216</f>
        <v>2.5000000000000001E-3</v>
      </c>
      <c r="AF1269" s="591">
        <f>Drivers!AF216</f>
        <v>2.7000000000000001E-3</v>
      </c>
      <c r="AG1269" s="591">
        <f>Drivers!AG216</f>
        <v>2.8999999999999998E-3</v>
      </c>
      <c r="AH1269" s="591">
        <f>Drivers!AH216</f>
        <v>3.0999999999999999E-3</v>
      </c>
      <c r="AI1269" s="591">
        <f>Drivers!AI216</f>
        <v>3.3E-3</v>
      </c>
      <c r="AJ1269" s="591"/>
      <c r="AK1269" s="591"/>
      <c r="AL1269" s="591"/>
      <c r="AM1269" s="591"/>
      <c r="AN1269" s="591"/>
      <c r="AO1269" s="591"/>
      <c r="AP1269" s="591"/>
      <c r="AQ1269" s="591"/>
      <c r="AR1269" s="70"/>
      <c r="AS1269" s="85" t="s">
        <v>57</v>
      </c>
      <c r="AT1269" s="318"/>
      <c r="AU1269" s="776">
        <f t="shared" ref="AU1269:BA1269" si="2931">AU1231/(AU607*1000)*AU1</f>
        <v>1.2629355860612459E-3</v>
      </c>
      <c r="AV1269" s="776">
        <f t="shared" si="2931"/>
        <v>7.4903474903474903E-4</v>
      </c>
      <c r="AW1269" s="776">
        <f t="shared" si="2931"/>
        <v>9.7951914514692777E-4</v>
      </c>
      <c r="AX1269" s="776">
        <f t="shared" si="2931"/>
        <v>7.424111014744146E-4</v>
      </c>
      <c r="AY1269" s="776">
        <f t="shared" si="2931"/>
        <v>1.7057851239669422E-3</v>
      </c>
      <c r="AZ1269" s="776">
        <f t="shared" si="2931"/>
        <v>1.1550632911392405E-3</v>
      </c>
      <c r="BA1269" s="776">
        <f t="shared" si="2931"/>
        <v>2.0014945076959807E-3</v>
      </c>
      <c r="BB1269" s="776">
        <f t="shared" ref="BB1269" si="2932">BB1231/(BB607*1000)*BB1</f>
        <v>3.0083767915270324E-3</v>
      </c>
      <c r="BC1269" s="591">
        <f>Drivers!BC216</f>
        <v>3.5000000000000001E-3</v>
      </c>
      <c r="BD1269" s="591">
        <f>Drivers!BD216</f>
        <v>4.0000000000000001E-3</v>
      </c>
      <c r="BE1269" s="591">
        <f>Drivers!BE216</f>
        <v>5.0000000000000001E-3</v>
      </c>
      <c r="BM1269"/>
      <c r="BN1269"/>
      <c r="BO1269"/>
      <c r="BP1269"/>
      <c r="BQ1269"/>
      <c r="BR1269"/>
    </row>
    <row r="1270" spans="1:70" s="369" customFormat="1" x14ac:dyDescent="0.2">
      <c r="A1270" s="411"/>
      <c r="B1270" s="321"/>
      <c r="C1270" s="321"/>
      <c r="D1270" s="321"/>
      <c r="E1270" s="321"/>
      <c r="F1270" s="321"/>
      <c r="G1270" s="321"/>
      <c r="H1270" s="321"/>
      <c r="I1270" s="321"/>
      <c r="J1270" s="321"/>
      <c r="K1270" s="321"/>
      <c r="L1270" s="321"/>
      <c r="M1270" s="321"/>
      <c r="N1270" s="321"/>
      <c r="O1270" s="321"/>
      <c r="P1270" s="321"/>
      <c r="Q1270" s="321"/>
      <c r="R1270" s="321"/>
      <c r="S1270" s="321"/>
      <c r="T1270" s="321"/>
      <c r="U1270" s="321"/>
      <c r="V1270" s="321"/>
      <c r="W1270" s="321"/>
      <c r="X1270" s="321"/>
      <c r="Y1270" s="321"/>
      <c r="Z1270" s="321"/>
      <c r="AA1270" s="321"/>
      <c r="AB1270" s="321"/>
      <c r="AC1270" s="504"/>
      <c r="AD1270" s="504"/>
      <c r="AE1270" s="504"/>
      <c r="AF1270" s="504"/>
      <c r="AG1270" s="504"/>
      <c r="AH1270" s="504"/>
      <c r="AI1270" s="504"/>
      <c r="AJ1270" s="504"/>
      <c r="AK1270" s="504"/>
      <c r="AL1270" s="504"/>
      <c r="AM1270" s="504"/>
      <c r="AN1270" s="504"/>
      <c r="AO1270" s="504"/>
      <c r="AP1270" s="504"/>
      <c r="AQ1270" s="504"/>
      <c r="AR1270" s="70"/>
      <c r="AS1270" s="321"/>
      <c r="AT1270" s="321"/>
      <c r="AU1270" s="321"/>
      <c r="AV1270" s="321"/>
      <c r="AW1270" s="321"/>
      <c r="AX1270" s="321"/>
      <c r="AY1270" s="321"/>
      <c r="AZ1270" s="321"/>
      <c r="BA1270" s="321"/>
      <c r="BB1270" s="321"/>
      <c r="BC1270" s="504"/>
      <c r="BD1270" s="504"/>
      <c r="BE1270" s="504"/>
      <c r="BM1270"/>
      <c r="BN1270"/>
      <c r="BO1270"/>
      <c r="BP1270"/>
      <c r="BQ1270"/>
      <c r="BR1270"/>
    </row>
    <row r="1271" spans="1:70" s="550" customFormat="1" x14ac:dyDescent="0.2">
      <c r="A1271" s="829"/>
      <c r="B1271" s="85" t="s">
        <v>17</v>
      </c>
      <c r="C1271" s="318"/>
      <c r="D1271" s="778" t="s">
        <v>229</v>
      </c>
      <c r="E1271" s="776">
        <f t="shared" ref="E1271:X1271" si="2933">E1236/(E698*1000)*E1</f>
        <v>4.0700713703788513E-2</v>
      </c>
      <c r="F1271" s="776">
        <f t="shared" si="2933"/>
        <v>5.5148378191856452E-2</v>
      </c>
      <c r="G1271" s="776">
        <f t="shared" si="2933"/>
        <v>3.3367003905999872E-2</v>
      </c>
      <c r="H1271" s="776">
        <f t="shared" si="2933"/>
        <v>3.4033509020011142E-2</v>
      </c>
      <c r="I1271" s="776">
        <f t="shared" si="2933"/>
        <v>2.9326247522968835E-2</v>
      </c>
      <c r="J1271" s="776">
        <f t="shared" si="2933"/>
        <v>2.7858025048727298E-2</v>
      </c>
      <c r="K1271" s="776">
        <f t="shared" si="2933"/>
        <v>3.2732804868284088E-2</v>
      </c>
      <c r="L1271" s="776">
        <f t="shared" si="2933"/>
        <v>2.5779801853627354E-2</v>
      </c>
      <c r="M1271" s="776">
        <f t="shared" si="2933"/>
        <v>2.1207528104079824E-2</v>
      </c>
      <c r="N1271" s="776">
        <f t="shared" si="2933"/>
        <v>2.0340219689309675E-2</v>
      </c>
      <c r="O1271" s="776">
        <f t="shared" si="2933"/>
        <v>2.2575015309246781E-2</v>
      </c>
      <c r="P1271" s="776">
        <f t="shared" si="2933"/>
        <v>2.320293398533007E-2</v>
      </c>
      <c r="Q1271" s="776">
        <f t="shared" si="2933"/>
        <v>2.028266963921771E-2</v>
      </c>
      <c r="R1271" s="776">
        <f t="shared" si="2933"/>
        <v>1.7483419307295502E-2</v>
      </c>
      <c r="S1271" s="776">
        <f t="shared" si="2933"/>
        <v>1.802417981609717E-2</v>
      </c>
      <c r="T1271" s="776">
        <f t="shared" si="2933"/>
        <v>1.232191756463601E-2</v>
      </c>
      <c r="U1271" s="776">
        <f t="shared" si="2933"/>
        <v>9.3383857521788551E-3</v>
      </c>
      <c r="V1271" s="776">
        <f t="shared" si="2933"/>
        <v>1.2742106941639205E-2</v>
      </c>
      <c r="W1271" s="776">
        <f t="shared" si="2933"/>
        <v>7.0442355019877572E-3</v>
      </c>
      <c r="X1271" s="776">
        <f t="shared" si="2933"/>
        <v>1.0362776025236591E-2</v>
      </c>
      <c r="Y1271" s="776">
        <f t="shared" ref="Y1271:Z1271" si="2934">Y1236/(Y698*1000)*Y1</f>
        <v>3.4627243260336791E-3</v>
      </c>
      <c r="Z1271" s="776">
        <f t="shared" si="2934"/>
        <v>4.4594708459723626E-3</v>
      </c>
      <c r="AA1271" s="776">
        <f t="shared" ref="AA1271:AB1271" si="2935">AA1236/(AA698*1000)*AA1</f>
        <v>2.521647015475313E-3</v>
      </c>
      <c r="AB1271" s="776">
        <f t="shared" si="2935"/>
        <v>4.7284504235176874E-3</v>
      </c>
      <c r="AC1271" s="591">
        <f>Drivers!AC250</f>
        <v>0.01</v>
      </c>
      <c r="AD1271" s="591">
        <f>Drivers!AD250</f>
        <v>0.01</v>
      </c>
      <c r="AE1271" s="591">
        <f>Drivers!AE250</f>
        <v>0.01</v>
      </c>
      <c r="AF1271" s="591">
        <f>Drivers!AF250</f>
        <v>0.01</v>
      </c>
      <c r="AG1271" s="591">
        <f>Drivers!AG250</f>
        <v>0.01</v>
      </c>
      <c r="AH1271" s="591">
        <f>Drivers!AH250</f>
        <v>0.01</v>
      </c>
      <c r="AI1271" s="591">
        <f>Drivers!AI250</f>
        <v>0.01</v>
      </c>
      <c r="AJ1271" s="591"/>
      <c r="AK1271" s="591"/>
      <c r="AL1271" s="591"/>
      <c r="AM1271" s="591"/>
      <c r="AN1271" s="591"/>
      <c r="AO1271" s="591"/>
      <c r="AP1271" s="591"/>
      <c r="AQ1271" s="591"/>
      <c r="AR1271" s="70"/>
      <c r="AS1271" s="85" t="s">
        <v>17</v>
      </c>
      <c r="AT1271" s="318"/>
      <c r="AU1271" s="776">
        <f t="shared" ref="AU1271:BA1271" si="2936">AU1236/(AU698*1000)*AU1</f>
        <v>4.5718329794762917E-2</v>
      </c>
      <c r="AV1271" s="776">
        <f t="shared" si="2936"/>
        <v>3.1017128356946502E-2</v>
      </c>
      <c r="AW1271" s="776">
        <f t="shared" si="2936"/>
        <v>2.2512251741036882E-2</v>
      </c>
      <c r="AX1271" s="776">
        <f t="shared" si="2936"/>
        <v>1.9996258185219832E-2</v>
      </c>
      <c r="AY1271" s="776">
        <f t="shared" si="2936"/>
        <v>1.0532687651331718E-2</v>
      </c>
      <c r="AZ1271" s="776">
        <f t="shared" si="2936"/>
        <v>5.4729109274563826E-3</v>
      </c>
      <c r="BA1271" s="776">
        <f t="shared" si="2936"/>
        <v>8.5853446055159099E-3</v>
      </c>
      <c r="BB1271" s="776">
        <f t="shared" ref="BB1271" si="2937">BB1236/(BB698*1000)*BB1</f>
        <v>9.9941731284939658E-3</v>
      </c>
      <c r="BC1271" s="591">
        <f>Drivers!BC250</f>
        <v>0.01</v>
      </c>
      <c r="BD1271" s="591">
        <f>Drivers!BD250</f>
        <v>0.01</v>
      </c>
      <c r="BE1271" s="591">
        <f>Drivers!BE250</f>
        <v>0.01</v>
      </c>
      <c r="BM1271"/>
      <c r="BN1271"/>
      <c r="BO1271"/>
      <c r="BP1271"/>
      <c r="BQ1271"/>
      <c r="BR1271"/>
    </row>
    <row r="1272" spans="1:70" s="369" customFormat="1" ht="13.5" thickBot="1" x14ac:dyDescent="0.25">
      <c r="A1272" s="411"/>
      <c r="B1272" s="321"/>
      <c r="C1272" s="321"/>
      <c r="D1272" s="321"/>
      <c r="E1272" s="321"/>
      <c r="F1272" s="321"/>
      <c r="G1272" s="321"/>
      <c r="H1272" s="321"/>
      <c r="I1272" s="321"/>
      <c r="J1272" s="321"/>
      <c r="K1272" s="321"/>
      <c r="L1272" s="321"/>
      <c r="M1272" s="321"/>
      <c r="N1272" s="321"/>
      <c r="O1272" s="321"/>
      <c r="P1272" s="321"/>
      <c r="Q1272" s="321"/>
      <c r="R1272" s="321"/>
      <c r="S1272" s="321"/>
      <c r="T1272" s="321"/>
      <c r="U1272" s="321"/>
      <c r="V1272" s="321"/>
      <c r="W1272" s="321"/>
      <c r="X1272" s="321"/>
      <c r="Y1272" s="321"/>
      <c r="Z1272" s="321"/>
      <c r="AA1272" s="321"/>
      <c r="AB1272" s="321"/>
      <c r="AC1272" s="321"/>
      <c r="AD1272" s="321"/>
      <c r="AE1272" s="321"/>
      <c r="AF1272" s="321"/>
      <c r="AG1272" s="321"/>
      <c r="AH1272" s="321"/>
      <c r="AI1272" s="321"/>
      <c r="AJ1272" s="321"/>
      <c r="AK1272" s="321"/>
      <c r="AL1272" s="321"/>
      <c r="AM1272" s="321"/>
      <c r="AN1272" s="321"/>
      <c r="AO1272" s="321"/>
      <c r="AP1272" s="321"/>
      <c r="AQ1272" s="321"/>
      <c r="AR1272" s="70"/>
      <c r="AS1272" s="321"/>
      <c r="AT1272" s="321"/>
      <c r="AU1272" s="321"/>
      <c r="AV1272" s="321"/>
      <c r="AW1272" s="321"/>
      <c r="AX1272" s="321"/>
      <c r="AY1272" s="321"/>
      <c r="AZ1272" s="321"/>
      <c r="BA1272" s="321"/>
      <c r="BB1272" s="321"/>
      <c r="BC1272" s="321"/>
      <c r="BD1272" s="321"/>
      <c r="BE1272" s="321"/>
      <c r="BM1272"/>
      <c r="BN1272"/>
      <c r="BO1272"/>
      <c r="BP1272"/>
      <c r="BQ1272"/>
      <c r="BR1272"/>
    </row>
    <row r="1273" spans="1:70" s="369" customFormat="1" ht="13.5" thickBot="1" x14ac:dyDescent="0.25">
      <c r="A1273" s="411"/>
      <c r="B1273" s="779" t="s">
        <v>81</v>
      </c>
      <c r="C1273" s="780"/>
      <c r="D1273" s="781">
        <f t="shared" ref="D1273:AE1273" si="2938">D1240/D887*D1</f>
        <v>2.3982268012122217E-2</v>
      </c>
      <c r="E1273" s="781">
        <f t="shared" si="2938"/>
        <v>2.1726931453409086E-2</v>
      </c>
      <c r="F1273" s="781">
        <f t="shared" si="2938"/>
        <v>2.371116224130964E-2</v>
      </c>
      <c r="G1273" s="781">
        <f t="shared" si="2938"/>
        <v>1.8281463759392234E-2</v>
      </c>
      <c r="H1273" s="781">
        <f t="shared" si="2938"/>
        <v>1.8150459424487009E-2</v>
      </c>
      <c r="I1273" s="781">
        <f t="shared" si="2938"/>
        <v>1.6284476766753337E-2</v>
      </c>
      <c r="J1273" s="781">
        <f t="shared" si="2938"/>
        <v>1.4936402701920225E-2</v>
      </c>
      <c r="K1273" s="781">
        <f t="shared" si="2938"/>
        <v>1.5325710100878616E-2</v>
      </c>
      <c r="L1273" s="781">
        <f t="shared" si="2938"/>
        <v>1.5016562776109523E-2</v>
      </c>
      <c r="M1273" s="781">
        <f t="shared" si="2938"/>
        <v>1.3201680640194724E-2</v>
      </c>
      <c r="N1273" s="781">
        <f t="shared" si="2938"/>
        <v>1.2622658655591076E-2</v>
      </c>
      <c r="O1273" s="781">
        <f t="shared" si="2938"/>
        <v>1.3703803441777072E-2</v>
      </c>
      <c r="P1273" s="781">
        <f t="shared" si="2938"/>
        <v>1.2501432938061196E-2</v>
      </c>
      <c r="Q1273" s="781">
        <f t="shared" si="2938"/>
        <v>1.2281945088559168E-2</v>
      </c>
      <c r="R1273" s="781">
        <f t="shared" si="2938"/>
        <v>1.0586840187627561E-2</v>
      </c>
      <c r="S1273" s="781">
        <f t="shared" si="2938"/>
        <v>1.1185818122594187E-2</v>
      </c>
      <c r="T1273" s="781">
        <f t="shared" si="2938"/>
        <v>1.1325444449709444E-2</v>
      </c>
      <c r="U1273" s="781">
        <f t="shared" si="2938"/>
        <v>1.0472146020798398E-2</v>
      </c>
      <c r="V1273" s="781">
        <f t="shared" si="2938"/>
        <v>9.5425048108311889E-3</v>
      </c>
      <c r="W1273" s="781">
        <f t="shared" si="2938"/>
        <v>1.0777681565014038E-2</v>
      </c>
      <c r="X1273" s="781">
        <f t="shared" si="2938"/>
        <v>1.1119078965897224E-2</v>
      </c>
      <c r="Y1273" s="781">
        <f t="shared" ref="Y1273:Z1273" si="2939">Y1240/Y887*Y1</f>
        <v>1.0812688717495064E-2</v>
      </c>
      <c r="Z1273" s="781">
        <f t="shared" si="2939"/>
        <v>1.090797660578271E-2</v>
      </c>
      <c r="AA1273" s="781">
        <f t="shared" ref="AA1273" si="2940">AA1240/AA887*AA1</f>
        <v>1.1405587960220127E-2</v>
      </c>
      <c r="AB1273" s="781">
        <f t="shared" si="2938"/>
        <v>1.1336186281726574E-2</v>
      </c>
      <c r="AC1273" s="781">
        <f t="shared" si="2938"/>
        <v>1.2031213364139617E-2</v>
      </c>
      <c r="AD1273" s="781">
        <f t="shared" si="2938"/>
        <v>1.2389898261593865E-2</v>
      </c>
      <c r="AE1273" s="781">
        <f t="shared" si="2938"/>
        <v>1.2751595618094936E-2</v>
      </c>
      <c r="AF1273" s="781">
        <f t="shared" ref="AF1273:AI1273" si="2941">AF1240/AF887*AF1</f>
        <v>1.2855377957078508E-2</v>
      </c>
      <c r="AG1273" s="781">
        <f t="shared" si="2941"/>
        <v>1.2973109349403785E-2</v>
      </c>
      <c r="AH1273" s="781">
        <f t="shared" si="2941"/>
        <v>1.3452350980150582E-2</v>
      </c>
      <c r="AI1273" s="781">
        <f t="shared" si="2941"/>
        <v>1.383444788598789E-2</v>
      </c>
      <c r="AJ1273" s="1771"/>
      <c r="AK1273" s="1771"/>
      <c r="AL1273" s="1771"/>
      <c r="AM1273" s="1771"/>
      <c r="AN1273" s="1771"/>
      <c r="AO1273" s="1771"/>
      <c r="AP1273" s="1771"/>
      <c r="AQ1273" s="1771"/>
      <c r="AR1273" s="70"/>
      <c r="AS1273" s="779" t="s">
        <v>81</v>
      </c>
      <c r="AT1273" s="780"/>
      <c r="AU1273" s="781">
        <f t="shared" ref="AU1273:BD1273" si="2942">AU1240/AU887*AU1</f>
        <v>2.1922032829133766E-2</v>
      </c>
      <c r="AV1273" s="781">
        <f t="shared" si="2942"/>
        <v>1.6157619797137941E-2</v>
      </c>
      <c r="AW1273" s="781">
        <f t="shared" si="2942"/>
        <v>1.3627986200391996E-2</v>
      </c>
      <c r="AX1273" s="781">
        <f t="shared" si="2942"/>
        <v>1.1636454036843194E-2</v>
      </c>
      <c r="AY1273" s="781">
        <f t="shared" si="2942"/>
        <v>1.051995701264327E-2</v>
      </c>
      <c r="AZ1273" s="781">
        <f t="shared" si="2942"/>
        <v>1.106516264272238E-2</v>
      </c>
      <c r="BA1273" s="781">
        <f t="shared" si="2942"/>
        <v>1.2140245586136782E-2</v>
      </c>
      <c r="BB1273" s="781">
        <f t="shared" ref="BB1273" si="2943">BB1240/BB887*BB1</f>
        <v>1.3291641572558448E-2</v>
      </c>
      <c r="BC1273" s="781">
        <f t="shared" si="2942"/>
        <v>1.4249628888970887E-2</v>
      </c>
      <c r="BD1273" s="781">
        <f t="shared" si="2942"/>
        <v>1.5123850275142202E-2</v>
      </c>
      <c r="BE1273" s="781">
        <f t="shared" ref="BE1273" si="2944">BE1240/BE887*BE1</f>
        <v>1.6387049176704013E-2</v>
      </c>
      <c r="BM1273"/>
      <c r="BN1273"/>
      <c r="BO1273"/>
      <c r="BP1273"/>
      <c r="BQ1273"/>
      <c r="BR1273"/>
    </row>
    <row r="1274" spans="1:70" s="369" customFormat="1" x14ac:dyDescent="0.2">
      <c r="A1274" s="411"/>
      <c r="B1274" s="321"/>
      <c r="C1274" s="321"/>
      <c r="D1274" s="321"/>
      <c r="E1274" s="321"/>
      <c r="F1274" s="321"/>
      <c r="G1274" s="321"/>
      <c r="H1274" s="321"/>
      <c r="I1274" s="321"/>
      <c r="J1274" s="321"/>
      <c r="K1274" s="321"/>
      <c r="L1274" s="321"/>
      <c r="M1274" s="321"/>
      <c r="N1274" s="321"/>
      <c r="O1274" s="321"/>
      <c r="P1274" s="321"/>
      <c r="Q1274" s="321"/>
      <c r="R1274" s="321"/>
      <c r="S1274" s="321"/>
      <c r="T1274" s="321"/>
      <c r="U1274" s="321"/>
      <c r="V1274" s="321"/>
      <c r="W1274" s="321"/>
      <c r="X1274" s="321"/>
      <c r="Y1274" s="321"/>
      <c r="Z1274" s="321"/>
      <c r="AA1274" s="321"/>
      <c r="AB1274" s="321"/>
      <c r="AC1274" s="321"/>
      <c r="AD1274" s="321"/>
      <c r="AE1274" s="321"/>
      <c r="AF1274" s="321"/>
      <c r="AG1274" s="321"/>
      <c r="AH1274" s="321"/>
      <c r="AI1274" s="321"/>
      <c r="AJ1274" s="321"/>
      <c r="AK1274" s="321"/>
      <c r="AL1274" s="321"/>
      <c r="AM1274" s="321"/>
      <c r="AN1274" s="321"/>
      <c r="AO1274" s="321"/>
      <c r="AP1274" s="321"/>
      <c r="AQ1274" s="321"/>
      <c r="AR1274" s="70"/>
      <c r="AS1274" s="321"/>
      <c r="AT1274" s="321"/>
      <c r="BM1274"/>
      <c r="BN1274"/>
      <c r="BO1274"/>
      <c r="BP1274"/>
      <c r="BQ1274"/>
      <c r="BR1274"/>
    </row>
    <row r="1275" spans="1:70" s="369" customFormat="1" x14ac:dyDescent="0.2">
      <c r="A1275" s="411"/>
      <c r="B1275" s="321"/>
      <c r="C1275" s="321"/>
      <c r="D1275" s="321"/>
      <c r="E1275" s="321"/>
      <c r="F1275" s="321"/>
      <c r="G1275" s="321"/>
      <c r="H1275" s="321"/>
      <c r="I1275" s="321"/>
      <c r="J1275" s="321"/>
      <c r="K1275" s="321"/>
      <c r="L1275" s="321"/>
      <c r="M1275" s="321"/>
      <c r="N1275" s="321"/>
      <c r="O1275" s="321"/>
      <c r="P1275" s="321"/>
      <c r="Q1275" s="321"/>
      <c r="R1275" s="321"/>
      <c r="S1275" s="321"/>
      <c r="T1275" s="321"/>
      <c r="U1275" s="321"/>
      <c r="V1275" s="321"/>
      <c r="W1275" s="321"/>
      <c r="X1275" s="321"/>
      <c r="Y1275" s="321"/>
      <c r="Z1275" s="321"/>
      <c r="AA1275" s="321"/>
      <c r="AB1275" s="321"/>
      <c r="AC1275" s="321"/>
      <c r="AD1275" s="321"/>
      <c r="AE1275" s="321"/>
      <c r="AF1275" s="321"/>
      <c r="AG1275" s="321"/>
      <c r="AH1275" s="321"/>
      <c r="AI1275" s="321"/>
      <c r="AJ1275" s="321"/>
      <c r="AK1275" s="321"/>
      <c r="AL1275" s="321"/>
      <c r="AM1275" s="321"/>
      <c r="AN1275" s="321"/>
      <c r="AO1275" s="321"/>
      <c r="AP1275" s="321"/>
      <c r="AQ1275" s="321"/>
      <c r="AR1275" s="70"/>
      <c r="AS1275" s="321"/>
      <c r="AT1275" s="321"/>
      <c r="BM1275"/>
      <c r="BN1275"/>
      <c r="BO1275"/>
      <c r="BP1275"/>
      <c r="BQ1275"/>
      <c r="BR1275"/>
    </row>
    <row r="1276" spans="1:70" s="342" customFormat="1" x14ac:dyDescent="0.2">
      <c r="A1276" s="830"/>
      <c r="B1276" s="705" t="s">
        <v>82</v>
      </c>
      <c r="C1276" s="706"/>
      <c r="D1276" s="706"/>
      <c r="E1276" s="706"/>
      <c r="F1276" s="706"/>
      <c r="G1276" s="706"/>
      <c r="H1276" s="706"/>
      <c r="I1276" s="707"/>
      <c r="J1276" s="708"/>
      <c r="K1276" s="707"/>
      <c r="L1276" s="708"/>
      <c r="M1276" s="707"/>
      <c r="N1276" s="707"/>
      <c r="O1276" s="707"/>
      <c r="P1276" s="708"/>
      <c r="Q1276" s="705"/>
      <c r="R1276" s="705"/>
      <c r="S1276" s="705"/>
      <c r="T1276" s="705"/>
      <c r="U1276" s="705"/>
      <c r="V1276" s="705"/>
      <c r="W1276" s="705"/>
      <c r="X1276" s="705"/>
      <c r="Y1276" s="707"/>
      <c r="Z1276" s="709"/>
      <c r="AA1276" s="709"/>
      <c r="AB1276" s="709"/>
      <c r="AC1276" s="709"/>
      <c r="AD1276" s="709"/>
      <c r="AE1276" s="709"/>
      <c r="AF1276" s="709"/>
      <c r="AG1276" s="709"/>
      <c r="AH1276" s="709"/>
      <c r="AI1276" s="706"/>
      <c r="AJ1276" s="706"/>
      <c r="AK1276" s="706"/>
      <c r="AL1276" s="706"/>
      <c r="AM1276" s="706"/>
      <c r="AN1276" s="706"/>
      <c r="AO1276" s="706"/>
      <c r="AP1276" s="706"/>
      <c r="AQ1276" s="706"/>
      <c r="AR1276" s="70"/>
      <c r="AS1276" s="705" t="s">
        <v>82</v>
      </c>
      <c r="AT1276" s="706"/>
      <c r="AU1276" s="706"/>
      <c r="AV1276" s="706"/>
      <c r="AW1276" s="706"/>
      <c r="AX1276" s="706"/>
      <c r="AY1276" s="706"/>
      <c r="AZ1276" s="707"/>
      <c r="BA1276" s="708"/>
      <c r="BB1276" s="708"/>
      <c r="BC1276" s="708"/>
      <c r="BD1276" s="708"/>
      <c r="BE1276" s="707"/>
      <c r="BF1276" s="720"/>
      <c r="BG1276" s="720"/>
      <c r="BH1276" s="723"/>
      <c r="BI1276" s="712"/>
      <c r="BJ1276" s="712"/>
      <c r="BK1276" s="712"/>
      <c r="BL1276" s="712"/>
      <c r="BM1276"/>
      <c r="BN1276"/>
      <c r="BO1276"/>
      <c r="BP1276"/>
      <c r="BQ1276"/>
      <c r="BR1276"/>
    </row>
    <row r="1277" spans="1:70" s="369" customFormat="1" x14ac:dyDescent="0.2">
      <c r="A1277" s="411"/>
      <c r="B1277" s="321" t="s">
        <v>36</v>
      </c>
      <c r="C1277" s="321"/>
      <c r="D1277" s="560">
        <v>3045</v>
      </c>
      <c r="E1277" s="560">
        <v>2631</v>
      </c>
      <c r="F1277" s="560">
        <v>2501</v>
      </c>
      <c r="G1277" s="560">
        <v>2394</v>
      </c>
      <c r="H1277" s="560">
        <v>2569</v>
      </c>
      <c r="I1277" s="560">
        <v>2221</v>
      </c>
      <c r="J1277" s="560">
        <v>2241</v>
      </c>
      <c r="K1277" s="560">
        <v>1958</v>
      </c>
      <c r="L1277" s="560">
        <v>1657</v>
      </c>
      <c r="M1277" s="560">
        <v>1249</v>
      </c>
      <c r="N1277" s="560">
        <v>1371</v>
      </c>
      <c r="O1277" s="560">
        <v>1202</v>
      </c>
      <c r="P1277" s="560">
        <v>1182</v>
      </c>
      <c r="Q1277" s="560">
        <v>1223</v>
      </c>
      <c r="R1277" s="560">
        <v>1578</v>
      </c>
      <c r="S1277" s="560">
        <v>1596</v>
      </c>
      <c r="T1277" s="560">
        <v>2327</v>
      </c>
      <c r="U1277" s="560">
        <v>2460</v>
      </c>
      <c r="V1277" s="560">
        <v>2415</v>
      </c>
      <c r="W1277" s="560">
        <v>2421</v>
      </c>
      <c r="X1277" s="560">
        <v>2339</v>
      </c>
      <c r="Y1277" s="560">
        <v>2098</v>
      </c>
      <c r="Z1277" s="560">
        <v>2054</v>
      </c>
      <c r="AA1277" s="560">
        <v>1942</v>
      </c>
      <c r="AB1277" s="560">
        <v>1668</v>
      </c>
      <c r="AC1277" s="338" t="s">
        <v>226</v>
      </c>
      <c r="AD1277" s="338" t="s">
        <v>226</v>
      </c>
      <c r="AE1277" s="338" t="s">
        <v>226</v>
      </c>
      <c r="AF1277" s="338" t="s">
        <v>226</v>
      </c>
      <c r="AG1277" s="338" t="s">
        <v>226</v>
      </c>
      <c r="AH1277" s="338" t="s">
        <v>226</v>
      </c>
      <c r="AI1277" s="338" t="s">
        <v>226</v>
      </c>
      <c r="AJ1277" s="338"/>
      <c r="AK1277" s="338"/>
      <c r="AL1277" s="338"/>
      <c r="AM1277" s="338"/>
      <c r="AN1277" s="338"/>
      <c r="AO1277" s="338"/>
      <c r="AP1277" s="338"/>
      <c r="AQ1277" s="338"/>
      <c r="AR1277" s="70"/>
      <c r="AS1277" s="321" t="s">
        <v>36</v>
      </c>
      <c r="AT1277" s="321"/>
      <c r="AU1277" s="467">
        <f>G1277</f>
        <v>2394</v>
      </c>
      <c r="AV1277" s="467">
        <f>K1277</f>
        <v>1958</v>
      </c>
      <c r="AW1277" s="467">
        <f>O1277</f>
        <v>1202</v>
      </c>
      <c r="AX1277" s="467">
        <f>S1277</f>
        <v>1596</v>
      </c>
      <c r="AY1277" s="467">
        <f>W1277</f>
        <v>2421</v>
      </c>
      <c r="AZ1277" s="338" t="s">
        <v>226</v>
      </c>
      <c r="BA1277" s="338" t="s">
        <v>226</v>
      </c>
      <c r="BB1277" s="338" t="s">
        <v>226</v>
      </c>
      <c r="BC1277" s="338" t="s">
        <v>226</v>
      </c>
      <c r="BD1277" s="338" t="s">
        <v>226</v>
      </c>
      <c r="BE1277" s="338" t="s">
        <v>226</v>
      </c>
      <c r="BM1277"/>
      <c r="BN1277"/>
      <c r="BO1277"/>
      <c r="BP1277"/>
      <c r="BQ1277"/>
      <c r="BR1277"/>
    </row>
    <row r="1278" spans="1:70" s="369" customFormat="1" x14ac:dyDescent="0.2">
      <c r="A1278" s="411"/>
      <c r="B1278" s="321" t="s">
        <v>106</v>
      </c>
      <c r="C1278" s="321"/>
      <c r="D1278" s="560">
        <v>8677</v>
      </c>
      <c r="E1278" s="560">
        <v>8286</v>
      </c>
      <c r="F1278" s="560">
        <v>9689</v>
      </c>
      <c r="G1278" s="560">
        <v>9136</v>
      </c>
      <c r="H1278" s="560">
        <v>8102</v>
      </c>
      <c r="I1278" s="560">
        <v>7512</v>
      </c>
      <c r="J1278" s="560">
        <v>7177</v>
      </c>
      <c r="K1278" s="560">
        <v>7045</v>
      </c>
      <c r="L1278" s="560">
        <v>6936</v>
      </c>
      <c r="M1278" s="560">
        <v>6685</v>
      </c>
      <c r="N1278" s="560">
        <v>6251</v>
      </c>
      <c r="O1278" s="560">
        <v>5905</v>
      </c>
      <c r="P1278" s="560">
        <v>5572</v>
      </c>
      <c r="Q1278" s="560">
        <v>5261</v>
      </c>
      <c r="R1278" s="560">
        <v>4829</v>
      </c>
      <c r="S1278" s="560">
        <v>3658</v>
      </c>
      <c r="T1278" s="560">
        <v>3601</v>
      </c>
      <c r="U1278" s="560">
        <v>3705</v>
      </c>
      <c r="V1278" s="560">
        <v>3552</v>
      </c>
      <c r="W1278" s="560">
        <v>3158</v>
      </c>
      <c r="X1278" s="560">
        <v>2955</v>
      </c>
      <c r="Y1278" s="560">
        <v>2848</v>
      </c>
      <c r="Z1278" s="560">
        <v>2783</v>
      </c>
      <c r="AA1278" s="560">
        <v>2690</v>
      </c>
      <c r="AB1278" s="560">
        <v>2575</v>
      </c>
      <c r="AC1278" s="473" t="s">
        <v>226</v>
      </c>
      <c r="AD1278" s="473" t="s">
        <v>226</v>
      </c>
      <c r="AE1278" s="473" t="s">
        <v>226</v>
      </c>
      <c r="AF1278" s="473" t="s">
        <v>226</v>
      </c>
      <c r="AG1278" s="473" t="s">
        <v>226</v>
      </c>
      <c r="AH1278" s="473" t="s">
        <v>226</v>
      </c>
      <c r="AI1278" s="473" t="s">
        <v>226</v>
      </c>
      <c r="AJ1278" s="351"/>
      <c r="AK1278" s="351"/>
      <c r="AL1278" s="351"/>
      <c r="AM1278" s="351"/>
      <c r="AN1278" s="351"/>
      <c r="AO1278" s="351"/>
      <c r="AP1278" s="351"/>
      <c r="AQ1278" s="351"/>
      <c r="AR1278" s="70"/>
      <c r="AS1278" s="321" t="s">
        <v>106</v>
      </c>
      <c r="AT1278" s="321"/>
      <c r="AU1278" s="467">
        <f>G1278</f>
        <v>9136</v>
      </c>
      <c r="AV1278" s="467">
        <f>K1278</f>
        <v>7045</v>
      </c>
      <c r="AW1278" s="467">
        <f>O1278</f>
        <v>5905</v>
      </c>
      <c r="AX1278" s="467">
        <f>S1278</f>
        <v>3658</v>
      </c>
      <c r="AY1278" s="467">
        <f>W1278</f>
        <v>3158</v>
      </c>
      <c r="AZ1278" s="473" t="s">
        <v>226</v>
      </c>
      <c r="BA1278" s="473" t="s">
        <v>226</v>
      </c>
      <c r="BB1278" s="473" t="s">
        <v>226</v>
      </c>
      <c r="BC1278" s="473" t="s">
        <v>226</v>
      </c>
      <c r="BD1278" s="473" t="s">
        <v>226</v>
      </c>
      <c r="BE1278" s="473" t="s">
        <v>226</v>
      </c>
      <c r="BM1278"/>
      <c r="BN1278"/>
      <c r="BO1278"/>
      <c r="BP1278"/>
      <c r="BQ1278"/>
      <c r="BR1278"/>
    </row>
    <row r="1279" spans="1:70" s="550" customFormat="1" x14ac:dyDescent="0.2">
      <c r="A1279" s="829"/>
      <c r="B1279" s="318" t="s">
        <v>3</v>
      </c>
      <c r="C1279" s="318"/>
      <c r="D1279" s="782">
        <f t="shared" ref="D1279:X1279" si="2945">SUM(D1277:D1278)</f>
        <v>11722</v>
      </c>
      <c r="E1279" s="782">
        <f t="shared" si="2945"/>
        <v>10917</v>
      </c>
      <c r="F1279" s="782">
        <f t="shared" si="2945"/>
        <v>12190</v>
      </c>
      <c r="G1279" s="782">
        <f t="shared" si="2945"/>
        <v>11530</v>
      </c>
      <c r="H1279" s="782">
        <f t="shared" si="2945"/>
        <v>10671</v>
      </c>
      <c r="I1279" s="782">
        <f t="shared" si="2945"/>
        <v>9733</v>
      </c>
      <c r="J1279" s="782">
        <f t="shared" si="2945"/>
        <v>9418</v>
      </c>
      <c r="K1279" s="782">
        <f t="shared" si="2945"/>
        <v>9003</v>
      </c>
      <c r="L1279" s="782">
        <f t="shared" si="2945"/>
        <v>8593</v>
      </c>
      <c r="M1279" s="782">
        <f t="shared" si="2945"/>
        <v>7934</v>
      </c>
      <c r="N1279" s="782">
        <f t="shared" si="2945"/>
        <v>7622</v>
      </c>
      <c r="O1279" s="782">
        <f t="shared" si="2945"/>
        <v>7107</v>
      </c>
      <c r="P1279" s="782">
        <f t="shared" si="2945"/>
        <v>6754</v>
      </c>
      <c r="Q1279" s="782">
        <f t="shared" si="2945"/>
        <v>6484</v>
      </c>
      <c r="R1279" s="782">
        <f t="shared" si="2945"/>
        <v>6407</v>
      </c>
      <c r="S1279" s="782">
        <f t="shared" si="2945"/>
        <v>5254</v>
      </c>
      <c r="T1279" s="782">
        <f t="shared" si="2945"/>
        <v>5928</v>
      </c>
      <c r="U1279" s="782">
        <f t="shared" si="2945"/>
        <v>6165</v>
      </c>
      <c r="V1279" s="782">
        <f t="shared" si="2945"/>
        <v>5967</v>
      </c>
      <c r="W1279" s="782">
        <f t="shared" si="2945"/>
        <v>5579</v>
      </c>
      <c r="X1279" s="782">
        <f t="shared" si="2945"/>
        <v>5294</v>
      </c>
      <c r="Y1279" s="782">
        <f t="shared" ref="Y1279:Z1279" si="2946">SUM(Y1277:Y1278)</f>
        <v>4946</v>
      </c>
      <c r="Z1279" s="782">
        <f t="shared" si="2946"/>
        <v>4837</v>
      </c>
      <c r="AA1279" s="782">
        <f t="shared" ref="AA1279:AB1279" si="2947">SUM(AA1277:AA1278)</f>
        <v>4632</v>
      </c>
      <c r="AB1279" s="782">
        <f t="shared" si="2947"/>
        <v>4243</v>
      </c>
      <c r="AC1279" s="782">
        <f t="shared" ref="AC1279:AE1279" si="2948">AC1283*AC1008*1000</f>
        <v>4423.2825000000012</v>
      </c>
      <c r="AD1279" s="782">
        <f t="shared" si="2948"/>
        <v>4613.5897159999995</v>
      </c>
      <c r="AE1279" s="782">
        <f t="shared" si="2948"/>
        <v>4894.874967499999</v>
      </c>
      <c r="AF1279" s="782">
        <f t="shared" ref="AF1279:AI1279" si="2949">AF1283*AF1008*1000</f>
        <v>5076.7888332887987</v>
      </c>
      <c r="AG1279" s="782">
        <f t="shared" si="2949"/>
        <v>5352.3884654861995</v>
      </c>
      <c r="AH1279" s="782">
        <f t="shared" si="2949"/>
        <v>5595.9038523095023</v>
      </c>
      <c r="AI1279" s="782">
        <f t="shared" si="2949"/>
        <v>5718.9660870945399</v>
      </c>
      <c r="AJ1279" s="539"/>
      <c r="AK1279" s="539"/>
      <c r="AL1279" s="539"/>
      <c r="AM1279" s="539"/>
      <c r="AN1279" s="539"/>
      <c r="AO1279" s="539"/>
      <c r="AP1279" s="539"/>
      <c r="AQ1279" s="539"/>
      <c r="AR1279" s="70"/>
      <c r="AS1279" s="318" t="s">
        <v>3</v>
      </c>
      <c r="AT1279" s="318"/>
      <c r="AU1279" s="782">
        <f t="shared" ref="AU1279:AY1279" si="2950">SUM(AU1277:AU1278)</f>
        <v>11530</v>
      </c>
      <c r="AV1279" s="782">
        <f t="shared" si="2950"/>
        <v>9003</v>
      </c>
      <c r="AW1279" s="782">
        <f t="shared" si="2950"/>
        <v>7107</v>
      </c>
      <c r="AX1279" s="782">
        <f t="shared" si="2950"/>
        <v>5254</v>
      </c>
      <c r="AY1279" s="782">
        <f t="shared" si="2950"/>
        <v>5579</v>
      </c>
      <c r="AZ1279" s="1083">
        <f>AA1279</f>
        <v>4632</v>
      </c>
      <c r="BA1279" s="1083">
        <f>AE1279</f>
        <v>4894.874967499999</v>
      </c>
      <c r="BB1279" s="1083">
        <f>AI1279</f>
        <v>5718.9660870945399</v>
      </c>
      <c r="BC1279" s="782">
        <f>BC1283*BC1008*1000</f>
        <v>6259.5874663196382</v>
      </c>
      <c r="BD1279" s="782">
        <f>BD1283*BD1008*1000</f>
        <v>7017.4787384417741</v>
      </c>
      <c r="BE1279" s="782">
        <f>BE1283*BE1008*1000</f>
        <v>7373.214254694517</v>
      </c>
      <c r="BM1279"/>
      <c r="BN1279"/>
      <c r="BO1279"/>
      <c r="BP1279"/>
      <c r="BQ1279"/>
      <c r="BR1279"/>
    </row>
    <row r="1280" spans="1:70" s="369" customFormat="1" x14ac:dyDescent="0.2">
      <c r="A1280" s="411"/>
      <c r="B1280" s="321" t="s">
        <v>339</v>
      </c>
      <c r="C1280" s="321"/>
      <c r="D1280" s="560">
        <v>581</v>
      </c>
      <c r="E1280" s="560">
        <v>544</v>
      </c>
      <c r="F1280" s="560">
        <v>475</v>
      </c>
      <c r="G1280" s="560">
        <v>442</v>
      </c>
      <c r="H1280" s="560">
        <v>412</v>
      </c>
      <c r="I1280" s="560">
        <v>392</v>
      </c>
      <c r="J1280" s="560">
        <v>403</v>
      </c>
      <c r="K1280" s="560">
        <v>416</v>
      </c>
      <c r="L1280" s="560">
        <v>409</v>
      </c>
      <c r="M1280" s="560">
        <v>401</v>
      </c>
      <c r="N1280" s="560">
        <v>383</v>
      </c>
      <c r="O1280" s="560">
        <v>260</v>
      </c>
      <c r="P1280" s="560">
        <v>274</v>
      </c>
      <c r="Q1280" s="560">
        <v>246</v>
      </c>
      <c r="R1280" s="560">
        <v>227</v>
      </c>
      <c r="S1280" s="560">
        <v>209</v>
      </c>
      <c r="T1280" s="560">
        <v>205</v>
      </c>
      <c r="U1280" s="560">
        <v>175</v>
      </c>
      <c r="V1280" s="560">
        <v>161</v>
      </c>
      <c r="W1280" s="560">
        <v>186</v>
      </c>
      <c r="X1280" s="560">
        <v>173</v>
      </c>
      <c r="Y1280" s="560">
        <v>168</v>
      </c>
      <c r="Z1280" s="560">
        <v>143</v>
      </c>
      <c r="AA1280" s="560">
        <v>144</v>
      </c>
      <c r="AB1280" s="560">
        <v>114</v>
      </c>
      <c r="AC1280" s="473" t="s">
        <v>226</v>
      </c>
      <c r="AD1280" s="473" t="s">
        <v>226</v>
      </c>
      <c r="AE1280" s="473" t="s">
        <v>226</v>
      </c>
      <c r="AF1280" s="473" t="s">
        <v>226</v>
      </c>
      <c r="AG1280" s="473" t="s">
        <v>226</v>
      </c>
      <c r="AH1280" s="473" t="s">
        <v>226</v>
      </c>
      <c r="AI1280" s="473" t="s">
        <v>226</v>
      </c>
      <c r="AJ1280" s="351"/>
      <c r="AK1280" s="351"/>
      <c r="AL1280" s="351"/>
      <c r="AM1280" s="351"/>
      <c r="AN1280" s="351"/>
      <c r="AO1280" s="351"/>
      <c r="AP1280" s="351"/>
      <c r="AQ1280" s="351"/>
      <c r="AR1280" s="70"/>
      <c r="AS1280" s="321" t="s">
        <v>339</v>
      </c>
      <c r="AT1280" s="321"/>
      <c r="AU1280" s="467">
        <f>G1280</f>
        <v>442</v>
      </c>
      <c r="AV1280" s="467">
        <f>K1280</f>
        <v>416</v>
      </c>
      <c r="AW1280" s="467">
        <f>O1280</f>
        <v>260</v>
      </c>
      <c r="AX1280" s="467">
        <f>S1280</f>
        <v>209</v>
      </c>
      <c r="AY1280" s="467">
        <f>W1280</f>
        <v>186</v>
      </c>
      <c r="AZ1280" s="473" t="s">
        <v>226</v>
      </c>
      <c r="BA1280" s="473" t="s">
        <v>226</v>
      </c>
      <c r="BB1280" s="473" t="s">
        <v>226</v>
      </c>
      <c r="BC1280" s="473" t="s">
        <v>226</v>
      </c>
      <c r="BD1280" s="473" t="s">
        <v>226</v>
      </c>
      <c r="BE1280" s="473" t="s">
        <v>226</v>
      </c>
      <c r="BM1280"/>
      <c r="BN1280"/>
      <c r="BO1280"/>
      <c r="BP1280"/>
      <c r="BQ1280"/>
      <c r="BR1280"/>
    </row>
    <row r="1281" spans="1:70" s="550" customFormat="1" ht="13.5" thickBot="1" x14ac:dyDescent="0.25">
      <c r="A1281" s="829"/>
      <c r="B1281" s="318" t="s">
        <v>85</v>
      </c>
      <c r="C1281" s="318"/>
      <c r="D1281" s="783">
        <f t="shared" ref="D1281:X1281" si="2951">SUM(D1279:D1280)</f>
        <v>12303</v>
      </c>
      <c r="E1281" s="783">
        <f t="shared" si="2951"/>
        <v>11461</v>
      </c>
      <c r="F1281" s="783">
        <f t="shared" si="2951"/>
        <v>12665</v>
      </c>
      <c r="G1281" s="783">
        <f t="shared" si="2951"/>
        <v>11972</v>
      </c>
      <c r="H1281" s="783">
        <f t="shared" si="2951"/>
        <v>11083</v>
      </c>
      <c r="I1281" s="783">
        <f t="shared" si="2951"/>
        <v>10125</v>
      </c>
      <c r="J1281" s="783">
        <f t="shared" si="2951"/>
        <v>9821</v>
      </c>
      <c r="K1281" s="783">
        <f t="shared" si="2951"/>
        <v>9419</v>
      </c>
      <c r="L1281" s="783">
        <f t="shared" si="2951"/>
        <v>9002</v>
      </c>
      <c r="M1281" s="783">
        <f t="shared" si="2951"/>
        <v>8335</v>
      </c>
      <c r="N1281" s="783">
        <f t="shared" si="2951"/>
        <v>8005</v>
      </c>
      <c r="O1281" s="783">
        <f t="shared" si="2951"/>
        <v>7367</v>
      </c>
      <c r="P1281" s="783">
        <f t="shared" si="2951"/>
        <v>7028</v>
      </c>
      <c r="Q1281" s="783">
        <f t="shared" si="2951"/>
        <v>6730</v>
      </c>
      <c r="R1281" s="783">
        <f t="shared" si="2951"/>
        <v>6634</v>
      </c>
      <c r="S1281" s="783">
        <f t="shared" si="2951"/>
        <v>5463</v>
      </c>
      <c r="T1281" s="783">
        <f t="shared" si="2951"/>
        <v>6133</v>
      </c>
      <c r="U1281" s="783">
        <f t="shared" si="2951"/>
        <v>6340</v>
      </c>
      <c r="V1281" s="783">
        <f t="shared" si="2951"/>
        <v>6128</v>
      </c>
      <c r="W1281" s="783">
        <f t="shared" si="2951"/>
        <v>5765</v>
      </c>
      <c r="X1281" s="783">
        <f t="shared" si="2951"/>
        <v>5467</v>
      </c>
      <c r="Y1281" s="783">
        <f t="shared" ref="Y1281:Z1281" si="2952">SUM(Y1279:Y1280)</f>
        <v>5114</v>
      </c>
      <c r="Z1281" s="783">
        <f t="shared" si="2952"/>
        <v>4980</v>
      </c>
      <c r="AA1281" s="783">
        <f t="shared" ref="AA1281:AB1281" si="2953">SUM(AA1279:AA1280)</f>
        <v>4776</v>
      </c>
      <c r="AB1281" s="783">
        <f t="shared" si="2953"/>
        <v>4357</v>
      </c>
      <c r="AC1281" s="1068" t="s">
        <v>226</v>
      </c>
      <c r="AD1281" s="1068" t="s">
        <v>226</v>
      </c>
      <c r="AE1281" s="1068" t="s">
        <v>226</v>
      </c>
      <c r="AF1281" s="1068" t="s">
        <v>226</v>
      </c>
      <c r="AG1281" s="1068" t="s">
        <v>226</v>
      </c>
      <c r="AH1281" s="1068" t="s">
        <v>226</v>
      </c>
      <c r="AI1281" s="1068" t="s">
        <v>226</v>
      </c>
      <c r="AJ1281" s="351"/>
      <c r="AK1281" s="351"/>
      <c r="AL1281" s="351"/>
      <c r="AM1281" s="351"/>
      <c r="AN1281" s="351"/>
      <c r="AO1281" s="351"/>
      <c r="AP1281" s="351"/>
      <c r="AQ1281" s="351"/>
      <c r="AR1281" s="70"/>
      <c r="AS1281" s="318" t="s">
        <v>85</v>
      </c>
      <c r="AT1281" s="318"/>
      <c r="AU1281" s="783">
        <f t="shared" ref="AU1281:AY1281" si="2954">SUM(AU1279:AU1280)</f>
        <v>11972</v>
      </c>
      <c r="AV1281" s="783">
        <f t="shared" si="2954"/>
        <v>9419</v>
      </c>
      <c r="AW1281" s="783">
        <f t="shared" si="2954"/>
        <v>7367</v>
      </c>
      <c r="AX1281" s="783">
        <f t="shared" si="2954"/>
        <v>5463</v>
      </c>
      <c r="AY1281" s="783">
        <f t="shared" si="2954"/>
        <v>5765</v>
      </c>
      <c r="AZ1281" s="1068" t="s">
        <v>226</v>
      </c>
      <c r="BA1281" s="1068" t="s">
        <v>226</v>
      </c>
      <c r="BB1281" s="1068" t="s">
        <v>226</v>
      </c>
      <c r="BC1281" s="1068" t="s">
        <v>226</v>
      </c>
      <c r="BD1281" s="1068" t="s">
        <v>226</v>
      </c>
      <c r="BE1281" s="1068" t="s">
        <v>226</v>
      </c>
      <c r="BM1281"/>
      <c r="BN1281"/>
      <c r="BO1281"/>
      <c r="BP1281"/>
      <c r="BQ1281"/>
      <c r="BR1281"/>
    </row>
    <row r="1282" spans="1:70" s="369" customFormat="1" ht="13.5" thickTop="1" x14ac:dyDescent="0.2">
      <c r="A1282" s="411"/>
      <c r="B1282" s="321"/>
      <c r="C1282" s="321"/>
      <c r="D1282" s="321"/>
      <c r="E1282" s="321"/>
      <c r="F1282" s="321"/>
      <c r="G1282" s="321"/>
      <c r="H1282" s="321"/>
      <c r="I1282" s="321"/>
      <c r="J1282" s="321"/>
      <c r="K1282" s="321"/>
      <c r="L1282" s="321"/>
      <c r="M1282" s="321"/>
      <c r="N1282" s="321"/>
      <c r="O1282" s="321"/>
      <c r="P1282" s="321"/>
      <c r="Q1282" s="321"/>
      <c r="R1282" s="321"/>
      <c r="S1282" s="321"/>
      <c r="T1282" s="321"/>
      <c r="U1282" s="321"/>
      <c r="V1282" s="321"/>
      <c r="W1282" s="321"/>
      <c r="X1282" s="321"/>
      <c r="Y1282" s="321"/>
      <c r="Z1282" s="321"/>
      <c r="AA1282" s="321"/>
      <c r="AB1282" s="321"/>
      <c r="AC1282" s="321"/>
      <c r="AD1282" s="321"/>
      <c r="AE1282" s="321"/>
      <c r="AF1282" s="321"/>
      <c r="AG1282" s="321"/>
      <c r="AH1282" s="321"/>
      <c r="AI1282" s="321"/>
      <c r="AJ1282" s="321"/>
      <c r="AK1282" s="321"/>
      <c r="AL1282" s="321"/>
      <c r="AM1282" s="321"/>
      <c r="AN1282" s="321"/>
      <c r="AO1282" s="321"/>
      <c r="AP1282" s="321"/>
      <c r="AQ1282" s="321"/>
      <c r="AR1282" s="70"/>
      <c r="AS1282" s="321"/>
      <c r="AT1282" s="321"/>
      <c r="AZ1282" s="321"/>
      <c r="BA1282" s="321"/>
      <c r="BB1282" s="321"/>
      <c r="BC1282" s="321"/>
      <c r="BD1282" s="321"/>
      <c r="BE1282" s="321"/>
      <c r="BM1282"/>
      <c r="BN1282"/>
      <c r="BO1282"/>
      <c r="BP1282"/>
      <c r="BQ1282"/>
      <c r="BR1282"/>
    </row>
    <row r="1283" spans="1:70" s="369" customFormat="1" x14ac:dyDescent="0.2">
      <c r="A1283" s="411"/>
      <c r="B1283" s="321" t="s">
        <v>83</v>
      </c>
      <c r="C1283" s="321"/>
      <c r="D1283" s="713">
        <f t="shared" ref="D1283:X1283" si="2955">D1279/(D1008*1000)</f>
        <v>1.8086715013115259E-2</v>
      </c>
      <c r="E1283" s="713">
        <f t="shared" si="2955"/>
        <v>1.6667175572519084E-2</v>
      </c>
      <c r="F1283" s="713">
        <f t="shared" si="2955"/>
        <v>1.8511769172361428E-2</v>
      </c>
      <c r="G1283" s="713">
        <f t="shared" si="2955"/>
        <v>1.7592310039670427E-2</v>
      </c>
      <c r="H1283" s="713">
        <f t="shared" si="2955"/>
        <v>1.6510908246944143E-2</v>
      </c>
      <c r="I1283" s="713">
        <f t="shared" si="2955"/>
        <v>1.5120397700792295E-2</v>
      </c>
      <c r="J1283" s="713">
        <f t="shared" si="2955"/>
        <v>1.4321776155717765E-2</v>
      </c>
      <c r="K1283" s="713">
        <f t="shared" si="2955"/>
        <v>1.3528174305033809E-2</v>
      </c>
      <c r="L1283" s="713">
        <f t="shared" si="2955"/>
        <v>1.2937368262571514E-2</v>
      </c>
      <c r="M1283" s="713">
        <f t="shared" si="2955"/>
        <v>1.1886142322097379E-2</v>
      </c>
      <c r="N1283" s="713">
        <f t="shared" si="2955"/>
        <v>1.1657999388192107E-2</v>
      </c>
      <c r="O1283" s="713">
        <f t="shared" si="2955"/>
        <v>1.1025442134657152E-2</v>
      </c>
      <c r="P1283" s="713">
        <f t="shared" si="2955"/>
        <v>1.0876006441223832E-2</v>
      </c>
      <c r="Q1283" s="713">
        <f t="shared" si="2955"/>
        <v>1.0257870590096503E-2</v>
      </c>
      <c r="R1283" s="713">
        <f t="shared" si="2955"/>
        <v>1.0294023136246786E-2</v>
      </c>
      <c r="S1283" s="713">
        <f t="shared" si="2955"/>
        <v>8.5057471264367822E-3</v>
      </c>
      <c r="T1283" s="713">
        <f t="shared" si="2955"/>
        <v>9.5782840523509459E-3</v>
      </c>
      <c r="U1283" s="713">
        <f t="shared" si="2955"/>
        <v>9.7316495659037095E-3</v>
      </c>
      <c r="V1283" s="713">
        <f t="shared" si="2955"/>
        <v>9.3453406421299921E-3</v>
      </c>
      <c r="W1283" s="713">
        <f t="shared" si="2955"/>
        <v>8.9349775784753338E-3</v>
      </c>
      <c r="X1283" s="713">
        <f t="shared" si="2955"/>
        <v>8.4218899140948138E-3</v>
      </c>
      <c r="Y1283" s="713">
        <f t="shared" ref="Y1283:Z1283" si="2956">Y1279/(Y1008*1000)</f>
        <v>7.6729754886751475E-3</v>
      </c>
      <c r="Z1283" s="713">
        <f t="shared" si="2956"/>
        <v>7.4062165058949641E-3</v>
      </c>
      <c r="AA1283" s="713">
        <f t="shared" ref="AA1283:AB1283" si="2957">AA1279/(AA1008*1000)</f>
        <v>6.9445277361319339E-3</v>
      </c>
      <c r="AB1283" s="713">
        <f t="shared" si="2957"/>
        <v>6.3055431713478971E-3</v>
      </c>
      <c r="AC1283" s="591">
        <f>Drivers!AC308</f>
        <v>6.4999999999999997E-3</v>
      </c>
      <c r="AD1283" s="591">
        <f>Drivers!AD308</f>
        <v>6.7000000000000002E-3</v>
      </c>
      <c r="AE1283" s="591">
        <f>Drivers!AE308</f>
        <v>7.0000000000000001E-3</v>
      </c>
      <c r="AF1283" s="591">
        <f>Drivers!AF308</f>
        <v>7.1999999999999998E-3</v>
      </c>
      <c r="AG1283" s="591">
        <f>Drivers!AG308</f>
        <v>7.4999999999999997E-3</v>
      </c>
      <c r="AH1283" s="591">
        <f>Drivers!AH308</f>
        <v>7.7000000000000002E-3</v>
      </c>
      <c r="AI1283" s="591">
        <f>Drivers!AI308</f>
        <v>7.7000000000000002E-3</v>
      </c>
      <c r="AJ1283" s="591"/>
      <c r="AK1283" s="591"/>
      <c r="AL1283" s="591"/>
      <c r="AM1283" s="591"/>
      <c r="AN1283" s="591"/>
      <c r="AO1283" s="591"/>
      <c r="AP1283" s="591"/>
      <c r="AQ1283" s="591"/>
      <c r="AR1283" s="70"/>
      <c r="AS1283" s="321" t="s">
        <v>83</v>
      </c>
      <c r="AT1283" s="321"/>
      <c r="AU1283" s="713">
        <f t="shared" ref="AU1283:BA1283" si="2958">AU1279/(AU1008*1000)</f>
        <v>1.7592310039670427E-2</v>
      </c>
      <c r="AV1283" s="713">
        <f t="shared" si="2958"/>
        <v>1.3528174305033809E-2</v>
      </c>
      <c r="AW1283" s="713">
        <f t="shared" si="2958"/>
        <v>1.1025442134657152E-2</v>
      </c>
      <c r="AX1283" s="713">
        <f t="shared" si="2958"/>
        <v>8.5057471264367822E-3</v>
      </c>
      <c r="AY1283" s="713">
        <f t="shared" si="2958"/>
        <v>8.9349775784753338E-3</v>
      </c>
      <c r="AZ1283" s="713">
        <f t="shared" si="2958"/>
        <v>6.9445277361319339E-3</v>
      </c>
      <c r="BA1283" s="713">
        <f t="shared" si="2958"/>
        <v>6.9999999999999993E-3</v>
      </c>
      <c r="BB1283" s="713">
        <f t="shared" ref="BB1283" si="2959">BB1279/(BB1008*1000)</f>
        <v>7.7000000000000002E-3</v>
      </c>
      <c r="BC1283" s="591">
        <f>Drivers!BC308</f>
        <v>8.0000000000000002E-3</v>
      </c>
      <c r="BD1283" s="591">
        <f>Drivers!BD308</f>
        <v>8.5000000000000006E-3</v>
      </c>
      <c r="BE1283" s="591">
        <f>Drivers!BE308</f>
        <v>8.5000000000000006E-3</v>
      </c>
      <c r="BM1283"/>
      <c r="BN1283"/>
      <c r="BO1283"/>
      <c r="BP1283"/>
      <c r="BQ1283"/>
      <c r="BR1283"/>
    </row>
    <row r="1284" spans="1:70" s="369" customFormat="1" x14ac:dyDescent="0.2">
      <c r="A1284" s="411"/>
      <c r="B1284" s="321" t="s">
        <v>84</v>
      </c>
      <c r="C1284" s="321"/>
      <c r="D1284" s="784">
        <v>6.3E-3</v>
      </c>
      <c r="E1284" s="784">
        <v>6.0000000000000001E-3</v>
      </c>
      <c r="F1284" s="784">
        <v>6.6E-3</v>
      </c>
      <c r="G1284" s="784">
        <v>6.4000000000000003E-3</v>
      </c>
      <c r="H1284" s="784">
        <v>5.8999999999999999E-3</v>
      </c>
      <c r="I1284" s="784">
        <v>5.4000000000000003E-3</v>
      </c>
      <c r="J1284" s="784">
        <v>5.1999999999999998E-3</v>
      </c>
      <c r="K1284" s="784">
        <v>5.0000000000000001E-3</v>
      </c>
      <c r="L1284" s="784">
        <v>4.7999999999999996E-3</v>
      </c>
      <c r="M1284" s="784">
        <v>4.4000000000000003E-3</v>
      </c>
      <c r="N1284" s="784">
        <v>4.3E-3</v>
      </c>
      <c r="O1284" s="784">
        <v>4.0000000000000001E-3</v>
      </c>
      <c r="P1284" s="784">
        <v>3.8E-3</v>
      </c>
      <c r="Q1284" s="784">
        <v>3.7000000000000002E-3</v>
      </c>
      <c r="R1284" s="784">
        <v>3.7000000000000002E-3</v>
      </c>
      <c r="S1284" s="784">
        <v>3.2000000000000002E-3</v>
      </c>
      <c r="T1284" s="784">
        <v>3.3999999999999998E-3</v>
      </c>
      <c r="U1284" s="784">
        <v>3.5000000000000001E-3</v>
      </c>
      <c r="V1284" s="784">
        <v>3.3999999999999998E-3</v>
      </c>
      <c r="W1284" s="784">
        <v>3.2000000000000002E-3</v>
      </c>
      <c r="X1284" s="784">
        <v>3.0000000000000001E-3</v>
      </c>
      <c r="Y1284" s="784">
        <v>2.7000000000000001E-3</v>
      </c>
      <c r="Z1284" s="784">
        <v>2.5999999999999999E-3</v>
      </c>
      <c r="AA1284" s="784">
        <v>2.5999999999999999E-3</v>
      </c>
      <c r="AB1284" s="784">
        <v>2.3E-3</v>
      </c>
      <c r="AC1284" s="351" t="s">
        <v>226</v>
      </c>
      <c r="AD1284" s="351" t="s">
        <v>226</v>
      </c>
      <c r="AE1284" s="351" t="s">
        <v>226</v>
      </c>
      <c r="AF1284" s="351" t="s">
        <v>226</v>
      </c>
      <c r="AG1284" s="351" t="s">
        <v>226</v>
      </c>
      <c r="AH1284" s="351" t="s">
        <v>226</v>
      </c>
      <c r="AI1284" s="351" t="s">
        <v>226</v>
      </c>
      <c r="AJ1284" s="351"/>
      <c r="AK1284" s="351"/>
      <c r="AL1284" s="351"/>
      <c r="AM1284" s="351"/>
      <c r="AN1284" s="351"/>
      <c r="AO1284" s="351"/>
      <c r="AP1284" s="351"/>
      <c r="AQ1284" s="351"/>
      <c r="AR1284" s="70"/>
      <c r="AS1284" s="321" t="s">
        <v>84</v>
      </c>
      <c r="AT1284" s="321"/>
      <c r="AU1284" s="718">
        <f>G1284</f>
        <v>6.4000000000000003E-3</v>
      </c>
      <c r="AV1284" s="718">
        <f>K1284</f>
        <v>5.0000000000000001E-3</v>
      </c>
      <c r="AW1284" s="718">
        <f>O1284</f>
        <v>4.0000000000000001E-3</v>
      </c>
      <c r="AX1284" s="718">
        <f>S1284</f>
        <v>3.2000000000000002E-3</v>
      </c>
      <c r="AY1284" s="718">
        <f>W1284</f>
        <v>3.2000000000000002E-3</v>
      </c>
      <c r="AZ1284" s="351" t="s">
        <v>226</v>
      </c>
      <c r="BA1284" s="351" t="s">
        <v>226</v>
      </c>
      <c r="BB1284" s="351" t="s">
        <v>226</v>
      </c>
      <c r="BC1284" s="351" t="s">
        <v>226</v>
      </c>
      <c r="BD1284" s="351" t="s">
        <v>226</v>
      </c>
      <c r="BE1284" s="351" t="s">
        <v>226</v>
      </c>
      <c r="BM1284"/>
      <c r="BN1284"/>
      <c r="BO1284"/>
      <c r="BP1284"/>
      <c r="BQ1284"/>
      <c r="BR1284"/>
    </row>
    <row r="1285" spans="1:70" s="369" customFormat="1" x14ac:dyDescent="0.2">
      <c r="A1285" s="411"/>
      <c r="B1285" s="321"/>
      <c r="C1285" s="321"/>
      <c r="D1285" s="321"/>
      <c r="E1285" s="321"/>
      <c r="F1285" s="321"/>
      <c r="G1285" s="321"/>
      <c r="H1285" s="321"/>
      <c r="I1285" s="321"/>
      <c r="J1285" s="321"/>
      <c r="K1285" s="321"/>
      <c r="L1285" s="321"/>
      <c r="M1285" s="321"/>
      <c r="N1285" s="321"/>
      <c r="O1285" s="321"/>
      <c r="P1285" s="321"/>
      <c r="Q1285" s="321"/>
      <c r="R1285" s="321"/>
      <c r="S1285" s="321"/>
      <c r="T1285" s="321"/>
      <c r="U1285" s="321"/>
      <c r="V1285" s="321"/>
      <c r="W1285" s="321"/>
      <c r="X1285" s="321"/>
      <c r="Y1285" s="321"/>
      <c r="Z1285" s="321"/>
      <c r="AA1285" s="321"/>
      <c r="AB1285" s="321"/>
      <c r="AC1285" s="351"/>
      <c r="AD1285" s="351"/>
      <c r="AE1285" s="351"/>
      <c r="AF1285" s="351"/>
      <c r="AG1285" s="351"/>
      <c r="AH1285" s="351"/>
      <c r="AI1285" s="351"/>
      <c r="AJ1285" s="351"/>
      <c r="AK1285" s="351"/>
      <c r="AL1285" s="351"/>
      <c r="AM1285" s="351"/>
      <c r="AN1285" s="351"/>
      <c r="AO1285" s="351"/>
      <c r="AP1285" s="351"/>
      <c r="AQ1285" s="351"/>
      <c r="AR1285" s="70"/>
      <c r="AS1285" s="321"/>
      <c r="AT1285" s="321"/>
      <c r="AZ1285" s="351"/>
      <c r="BA1285" s="351"/>
      <c r="BB1285" s="351"/>
      <c r="BC1285" s="351"/>
      <c r="BD1285" s="351"/>
      <c r="BE1285" s="351"/>
      <c r="BM1285"/>
      <c r="BN1285"/>
      <c r="BO1285"/>
      <c r="BP1285"/>
      <c r="BQ1285"/>
      <c r="BR1285"/>
    </row>
    <row r="1286" spans="1:70" s="369" customFormat="1" x14ac:dyDescent="0.2">
      <c r="A1286" s="411"/>
      <c r="B1286" s="321" t="s">
        <v>4</v>
      </c>
      <c r="C1286" s="321"/>
      <c r="D1286" s="702">
        <f t="shared" ref="D1286:X1286" si="2960">D1130/D1279</f>
        <v>2.475686742876642</v>
      </c>
      <c r="E1286" s="702">
        <f t="shared" si="2960"/>
        <v>2.5291746816891085</v>
      </c>
      <c r="F1286" s="702">
        <f t="shared" si="2960"/>
        <v>2.1260049220672683</v>
      </c>
      <c r="G1286" s="702">
        <f t="shared" si="2960"/>
        <v>2.2077189939288813</v>
      </c>
      <c r="H1286" s="702">
        <f t="shared" si="2960"/>
        <v>2.2235029519257803</v>
      </c>
      <c r="I1286" s="702">
        <f t="shared" si="2960"/>
        <v>2.217199219151341</v>
      </c>
      <c r="J1286" s="702">
        <f t="shared" si="2960"/>
        <v>2.1878318114249309</v>
      </c>
      <c r="K1286" s="702">
        <f t="shared" si="2960"/>
        <v>2.1823836498944797</v>
      </c>
      <c r="L1286" s="702">
        <f t="shared" si="2960"/>
        <v>2.2021412777842428</v>
      </c>
      <c r="M1286" s="702">
        <f t="shared" si="2960"/>
        <v>2.2548525334005545</v>
      </c>
      <c r="N1286" s="702">
        <f t="shared" si="2960"/>
        <v>2.2192337969036999</v>
      </c>
      <c r="O1286" s="702">
        <f t="shared" si="2960"/>
        <v>2.2504572956240327</v>
      </c>
      <c r="P1286" s="702">
        <f t="shared" si="2960"/>
        <v>2.1613858454249333</v>
      </c>
      <c r="Q1286" s="702">
        <f t="shared" si="2960"/>
        <v>2.1707279457125233</v>
      </c>
      <c r="R1286" s="702">
        <f t="shared" si="2960"/>
        <v>2.1267363820820977</v>
      </c>
      <c r="S1286" s="702">
        <f t="shared" si="2960"/>
        <v>2.4031214312904452</v>
      </c>
      <c r="T1286" s="702">
        <f t="shared" si="2960"/>
        <v>2.144399460188934</v>
      </c>
      <c r="U1286" s="702">
        <f t="shared" si="2960"/>
        <v>1.9957826439578263</v>
      </c>
      <c r="V1286" s="702">
        <f t="shared" si="2960"/>
        <v>2.0846321434556727</v>
      </c>
      <c r="W1286" s="702">
        <f t="shared" si="2960"/>
        <v>2.1616777200215092</v>
      </c>
      <c r="X1286" s="702">
        <f t="shared" si="2960"/>
        <v>2.2723838307517945</v>
      </c>
      <c r="Y1286" s="702">
        <f t="shared" ref="Y1286:Z1286" si="2961">Y1130/Y1279</f>
        <v>2.4312575818843509</v>
      </c>
      <c r="Z1286" s="702">
        <f t="shared" si="2961"/>
        <v>2.5565433119702297</v>
      </c>
      <c r="AA1286" s="702">
        <f t="shared" ref="AA1286:AB1286" si="2962">AA1130/AA1279</f>
        <v>2.6673143350604489</v>
      </c>
      <c r="AB1286" s="702">
        <f t="shared" si="2962"/>
        <v>2.9116191374027811</v>
      </c>
      <c r="AC1286" s="351" t="s">
        <v>226</v>
      </c>
      <c r="AD1286" s="351" t="s">
        <v>226</v>
      </c>
      <c r="AE1286" s="351" t="s">
        <v>226</v>
      </c>
      <c r="AF1286" s="351" t="s">
        <v>226</v>
      </c>
      <c r="AG1286" s="351" t="s">
        <v>226</v>
      </c>
      <c r="AH1286" s="351" t="s">
        <v>226</v>
      </c>
      <c r="AI1286" s="351" t="s">
        <v>226</v>
      </c>
      <c r="AJ1286" s="351"/>
      <c r="AK1286" s="351"/>
      <c r="AL1286" s="351"/>
      <c r="AM1286" s="351"/>
      <c r="AN1286" s="351"/>
      <c r="AO1286" s="351"/>
      <c r="AP1286" s="351"/>
      <c r="AQ1286" s="351"/>
      <c r="AR1286" s="70"/>
      <c r="AS1286" s="321" t="s">
        <v>4</v>
      </c>
      <c r="AT1286" s="321"/>
      <c r="AU1286" s="702">
        <f>AU1130/AU1279</f>
        <v>2.2077189939288813</v>
      </c>
      <c r="AV1286" s="702">
        <f>AV1130/AV1279</f>
        <v>2.1823836498944797</v>
      </c>
      <c r="AW1286" s="702">
        <f>AW1130/AW1279</f>
        <v>2.2504572956240327</v>
      </c>
      <c r="AX1286" s="702">
        <f>AX1130/AX1279</f>
        <v>2.4031214312904452</v>
      </c>
      <c r="AY1286" s="702">
        <f>AY1130/AY1279</f>
        <v>2.1616777200215092</v>
      </c>
      <c r="AZ1286" s="351" t="s">
        <v>226</v>
      </c>
      <c r="BA1286" s="351" t="s">
        <v>226</v>
      </c>
      <c r="BB1286" s="351" t="s">
        <v>226</v>
      </c>
      <c r="BC1286" s="351" t="s">
        <v>226</v>
      </c>
      <c r="BD1286" s="351" t="s">
        <v>226</v>
      </c>
      <c r="BE1286" s="351" t="s">
        <v>226</v>
      </c>
      <c r="BM1286"/>
      <c r="BN1286"/>
      <c r="BO1286"/>
      <c r="BP1286"/>
      <c r="BQ1286"/>
      <c r="BR1286"/>
    </row>
    <row r="1287" spans="1:70" s="369" customFormat="1" x14ac:dyDescent="0.2">
      <c r="A1287" s="411"/>
      <c r="B1287" s="321"/>
      <c r="C1287" s="321"/>
      <c r="D1287" s="321"/>
      <c r="E1287" s="321"/>
      <c r="F1287" s="321"/>
      <c r="G1287" s="321"/>
      <c r="H1287" s="321"/>
      <c r="I1287" s="321"/>
      <c r="J1287" s="321"/>
      <c r="K1287" s="321"/>
      <c r="L1287" s="321"/>
      <c r="M1287" s="321"/>
      <c r="N1287" s="321"/>
      <c r="O1287" s="321"/>
      <c r="P1287" s="321"/>
      <c r="Q1287" s="321"/>
      <c r="R1287" s="321"/>
      <c r="S1287" s="321"/>
      <c r="T1287" s="321"/>
      <c r="U1287" s="321"/>
      <c r="V1287" s="321"/>
      <c r="W1287" s="321"/>
      <c r="X1287" s="321"/>
      <c r="Y1287" s="321"/>
      <c r="Z1287" s="321"/>
      <c r="AA1287" s="321"/>
      <c r="AB1287" s="321"/>
      <c r="AC1287" s="321"/>
      <c r="AD1287" s="321"/>
      <c r="AE1287" s="321"/>
      <c r="AF1287" s="321"/>
      <c r="AG1287" s="321"/>
      <c r="AH1287" s="321"/>
      <c r="AI1287" s="321"/>
      <c r="AJ1287" s="321"/>
      <c r="AK1287" s="321"/>
      <c r="AL1287" s="321"/>
      <c r="AM1287" s="321"/>
      <c r="AN1287" s="321"/>
      <c r="AO1287" s="321"/>
      <c r="AP1287" s="321"/>
      <c r="AQ1287" s="321"/>
      <c r="AR1287" s="70"/>
      <c r="AS1287" s="321"/>
      <c r="AT1287" s="321"/>
      <c r="BM1287"/>
      <c r="BN1287"/>
      <c r="BO1287"/>
      <c r="BP1287"/>
      <c r="BQ1287"/>
      <c r="BR1287"/>
    </row>
    <row r="1288" spans="1:70" x14ac:dyDescent="0.2">
      <c r="A1288" s="411" t="s">
        <v>194</v>
      </c>
      <c r="B1288" s="13" t="s">
        <v>341</v>
      </c>
      <c r="C1288" s="13"/>
      <c r="D1288" s="14"/>
      <c r="E1288" s="14"/>
      <c r="F1288" s="14"/>
      <c r="G1288" s="14"/>
      <c r="H1288" s="14"/>
      <c r="I1288" s="14"/>
      <c r="J1288" s="14"/>
      <c r="K1288" s="14"/>
      <c r="L1288" s="14"/>
      <c r="M1288" s="14"/>
      <c r="N1288" s="14"/>
      <c r="O1288" s="14"/>
      <c r="P1288" s="14"/>
      <c r="Q1288" s="14"/>
      <c r="R1288" s="14"/>
      <c r="S1288" s="14"/>
      <c r="T1288" s="14"/>
      <c r="U1288" s="14"/>
      <c r="V1288" s="14"/>
      <c r="W1288" s="14"/>
      <c r="X1288" s="14"/>
      <c r="Y1288" s="14"/>
      <c r="Z1288" s="14"/>
      <c r="AA1288" s="14"/>
      <c r="AB1288" s="14"/>
      <c r="AC1288" s="14"/>
      <c r="AD1288" s="14"/>
      <c r="AE1288" s="14"/>
      <c r="AF1288" s="14"/>
      <c r="AG1288" s="14"/>
      <c r="AH1288" s="14"/>
      <c r="AI1288" s="14"/>
      <c r="AJ1288" s="14"/>
      <c r="AK1288" s="14"/>
      <c r="AL1288" s="14"/>
      <c r="AM1288" s="14"/>
      <c r="AN1288" s="14"/>
      <c r="AO1288" s="14"/>
      <c r="AP1288" s="14"/>
      <c r="AQ1288" s="14"/>
      <c r="AS1288" s="13" t="s">
        <v>341</v>
      </c>
      <c r="AT1288" s="13"/>
      <c r="AU1288" s="14"/>
      <c r="AV1288" s="14"/>
      <c r="AW1288" s="14"/>
      <c r="AX1288" s="14"/>
      <c r="AY1288" s="14"/>
      <c r="AZ1288" s="14"/>
      <c r="BA1288" s="14"/>
      <c r="BB1288" s="14"/>
      <c r="BC1288" s="14"/>
      <c r="BD1288" s="14"/>
      <c r="BE1288" s="14"/>
      <c r="BF1288" s="15"/>
      <c r="BG1288" s="15"/>
      <c r="BH1288" s="15"/>
      <c r="BI1288" s="15"/>
      <c r="BJ1288" s="15"/>
      <c r="BK1288" s="15"/>
      <c r="BL1288" s="15"/>
    </row>
    <row r="1289" spans="1:70" x14ac:dyDescent="0.2">
      <c r="B1289" s="35"/>
      <c r="D1289" s="81"/>
      <c r="E1289" s="81"/>
      <c r="F1289" s="81"/>
      <c r="G1289" s="81"/>
      <c r="H1289" s="81"/>
      <c r="I1289" s="81"/>
      <c r="J1289" s="81"/>
      <c r="K1289" s="81"/>
      <c r="L1289" s="81"/>
      <c r="M1289" s="81"/>
      <c r="N1289" s="81"/>
      <c r="O1289" s="81"/>
      <c r="P1289" s="81"/>
      <c r="Q1289" s="81"/>
      <c r="R1289" s="81"/>
      <c r="S1289" s="81"/>
      <c r="T1289" s="81"/>
      <c r="U1289" s="81"/>
      <c r="V1289" s="81"/>
      <c r="W1289" s="81"/>
      <c r="AA1289" s="1742"/>
      <c r="AS1289" s="35"/>
      <c r="AT1289" s="9"/>
    </row>
    <row r="1290" spans="1:70" x14ac:dyDescent="0.2">
      <c r="B1290" s="65" t="s">
        <v>369</v>
      </c>
      <c r="C1290" s="90"/>
      <c r="D1290" s="90"/>
      <c r="E1290" s="81"/>
      <c r="F1290" s="81"/>
      <c r="G1290" s="81"/>
      <c r="H1290" s="81"/>
      <c r="I1290" s="81"/>
      <c r="J1290" s="81"/>
      <c r="K1290" s="81"/>
      <c r="L1290" s="81"/>
      <c r="M1290" s="81"/>
      <c r="N1290" s="81"/>
      <c r="O1290" s="81"/>
      <c r="P1290" s="81"/>
      <c r="Q1290" s="81"/>
      <c r="R1290" s="81"/>
      <c r="S1290" s="81"/>
      <c r="T1290" s="81"/>
      <c r="U1290" s="81"/>
      <c r="V1290" s="81"/>
      <c r="W1290" s="81"/>
      <c r="X1290" s="81"/>
      <c r="AA1290" s="1742"/>
      <c r="AB1290" s="1785"/>
      <c r="AS1290" s="65" t="s">
        <v>369</v>
      </c>
      <c r="AT1290" s="90"/>
    </row>
    <row r="1291" spans="1:70" x14ac:dyDescent="0.2">
      <c r="B1291" s="90" t="s">
        <v>345</v>
      </c>
      <c r="D1291" s="118">
        <v>177213</v>
      </c>
      <c r="E1291" s="51">
        <f t="shared" ref="E1291:AE1291" si="2963">D1297</f>
        <v>181198</v>
      </c>
      <c r="F1291" s="51">
        <f t="shared" si="2963"/>
        <v>183258</v>
      </c>
      <c r="G1291" s="51">
        <f t="shared" si="2963"/>
        <v>186150</v>
      </c>
      <c r="H1291" s="51">
        <f t="shared" si="2963"/>
        <v>186155</v>
      </c>
      <c r="I1291" s="51">
        <f t="shared" si="2963"/>
        <v>189855</v>
      </c>
      <c r="J1291" s="51">
        <f t="shared" si="2963"/>
        <v>191272</v>
      </c>
      <c r="K1291" s="51">
        <f t="shared" si="2963"/>
        <v>195256</v>
      </c>
      <c r="L1291" s="51">
        <f t="shared" si="2963"/>
        <v>197254</v>
      </c>
      <c r="M1291" s="51">
        <f t="shared" si="2963"/>
        <v>200898</v>
      </c>
      <c r="N1291" s="51">
        <f t="shared" si="2963"/>
        <v>202048</v>
      </c>
      <c r="O1291" s="51">
        <f t="shared" si="2963"/>
        <v>202960</v>
      </c>
      <c r="P1291" s="51">
        <f t="shared" si="2963"/>
        <v>199717</v>
      </c>
      <c r="Q1291" s="51">
        <f t="shared" si="2963"/>
        <v>202652</v>
      </c>
      <c r="R1291" s="51">
        <f t="shared" si="2963"/>
        <v>205472</v>
      </c>
      <c r="S1291" s="51">
        <f t="shared" si="2963"/>
        <v>205630</v>
      </c>
      <c r="T1291" s="51">
        <f t="shared" si="2963"/>
        <v>205139</v>
      </c>
      <c r="U1291" s="51">
        <f t="shared" si="2963"/>
        <v>209769</v>
      </c>
      <c r="V1291" s="51">
        <f t="shared" si="2963"/>
        <v>212635</v>
      </c>
      <c r="W1291" s="51">
        <f t="shared" si="2963"/>
        <v>212322</v>
      </c>
      <c r="X1291" s="51">
        <f t="shared" si="2963"/>
        <v>205867</v>
      </c>
      <c r="Y1291" s="51">
        <f t="shared" si="2963"/>
        <v>208879</v>
      </c>
      <c r="Z1291" s="51">
        <f t="shared" si="2963"/>
        <v>210766</v>
      </c>
      <c r="AA1291" s="51">
        <f t="shared" si="2963"/>
        <v>208381</v>
      </c>
      <c r="AB1291" s="51">
        <f t="shared" si="2963"/>
        <v>181487</v>
      </c>
      <c r="AC1291" s="51">
        <f t="shared" si="2963"/>
        <v>182759</v>
      </c>
      <c r="AD1291" s="51">
        <f t="shared" si="2963"/>
        <v>183963.58072771662</v>
      </c>
      <c r="AE1291" s="51">
        <f t="shared" si="2963"/>
        <v>182049.70952223256</v>
      </c>
      <c r="AF1291" s="51">
        <f t="shared" ref="AF1291" si="2964">AE1297</f>
        <v>179777.47861195539</v>
      </c>
      <c r="AG1291" s="51">
        <f t="shared" ref="AG1291" si="2965">AF1297</f>
        <v>178928.75252316543</v>
      </c>
      <c r="AH1291" s="51">
        <f t="shared" ref="AH1291" si="2966">AG1297</f>
        <v>177484.95880714731</v>
      </c>
      <c r="AI1291" s="51">
        <f t="shared" ref="AI1291" si="2967">AH1297</f>
        <v>176373.32685331046</v>
      </c>
      <c r="AJ1291" s="51"/>
      <c r="AK1291" s="51"/>
      <c r="AL1291" s="51"/>
      <c r="AM1291" s="51"/>
      <c r="AN1291" s="51"/>
      <c r="AO1291" s="51"/>
      <c r="AP1291" s="51"/>
      <c r="AQ1291" s="51"/>
      <c r="AS1291" s="90" t="s">
        <v>345</v>
      </c>
      <c r="AT1291" s="9"/>
      <c r="AU1291" s="1142">
        <f>D1291</f>
        <v>177213</v>
      </c>
      <c r="AV1291" s="1142">
        <f>H1291</f>
        <v>186155</v>
      </c>
      <c r="AW1291" s="1142">
        <f>L1291</f>
        <v>197254</v>
      </c>
      <c r="AX1291" s="1142">
        <f>P1291</f>
        <v>199717</v>
      </c>
      <c r="AY1291" s="1142">
        <f>T1291</f>
        <v>205139</v>
      </c>
      <c r="AZ1291" s="1142">
        <f>X1291</f>
        <v>205867</v>
      </c>
      <c r="BA1291" s="1142">
        <f>AB1291</f>
        <v>181487</v>
      </c>
      <c r="BB1291" s="1142">
        <f>AF1291</f>
        <v>179777.47861195539</v>
      </c>
      <c r="BC1291" s="1143">
        <f>BB1297</f>
        <v>175003.5978112811</v>
      </c>
      <c r="BD1291" s="1143">
        <f>BC1297</f>
        <v>177276.00783245653</v>
      </c>
      <c r="BE1291" s="1143">
        <f>BD1297</f>
        <v>182546.92593710366</v>
      </c>
    </row>
    <row r="1292" spans="1:70" x14ac:dyDescent="0.2">
      <c r="B1292" s="90"/>
      <c r="C1292" s="90" t="s">
        <v>417</v>
      </c>
      <c r="D1292" s="37">
        <f t="shared" ref="D1292:AE1292" si="2968">D27</f>
        <v>3637</v>
      </c>
      <c r="E1292" s="37">
        <f t="shared" si="2968"/>
        <v>2694</v>
      </c>
      <c r="F1292" s="37">
        <f t="shared" si="2968"/>
        <v>957</v>
      </c>
      <c r="G1292" s="37">
        <f t="shared" si="2968"/>
        <v>1531</v>
      </c>
      <c r="H1292" s="37">
        <f t="shared" si="2968"/>
        <v>3929</v>
      </c>
      <c r="I1292" s="37">
        <f t="shared" si="2968"/>
        <v>3773</v>
      </c>
      <c r="J1292" s="37">
        <f t="shared" si="2968"/>
        <v>3186</v>
      </c>
      <c r="K1292" s="37">
        <f t="shared" si="2968"/>
        <v>2257</v>
      </c>
      <c r="L1292" s="37">
        <f t="shared" si="2968"/>
        <v>3717</v>
      </c>
      <c r="M1292" s="37">
        <f t="shared" si="2968"/>
        <v>122</v>
      </c>
      <c r="N1292" s="37">
        <f t="shared" si="2968"/>
        <v>2913</v>
      </c>
      <c r="O1292" s="37">
        <f t="shared" si="2968"/>
        <v>179</v>
      </c>
      <c r="P1292" s="37">
        <f t="shared" si="2968"/>
        <v>4632</v>
      </c>
      <c r="Q1292" s="37">
        <f t="shared" si="2968"/>
        <v>4378</v>
      </c>
      <c r="R1292" s="37">
        <f t="shared" si="2968"/>
        <v>3944</v>
      </c>
      <c r="S1292" s="37">
        <f t="shared" si="2968"/>
        <v>3187</v>
      </c>
      <c r="T1292" s="37">
        <f t="shared" si="2968"/>
        <v>3253</v>
      </c>
      <c r="U1292" s="37">
        <f t="shared" si="2968"/>
        <v>3646</v>
      </c>
      <c r="V1292" s="37">
        <f t="shared" si="2968"/>
        <v>3592</v>
      </c>
      <c r="W1292" s="37">
        <f t="shared" si="2968"/>
        <v>3207</v>
      </c>
      <c r="X1292" s="37">
        <f t="shared" si="2968"/>
        <v>3752</v>
      </c>
      <c r="Y1292" s="37">
        <f t="shared" ref="Y1292:Z1292" si="2969">Y27</f>
        <v>3483</v>
      </c>
      <c r="Z1292" s="37">
        <f t="shared" si="2969"/>
        <v>3813</v>
      </c>
      <c r="AA1292" s="37">
        <f t="shared" ref="AA1292:AB1292" si="2970">AA27</f>
        <v>-19116</v>
      </c>
      <c r="AB1292" s="37">
        <f t="shared" si="2970"/>
        <v>4304</v>
      </c>
      <c r="AC1292" s="37">
        <f t="shared" si="2968"/>
        <v>4093.0045573148786</v>
      </c>
      <c r="AD1292" s="37">
        <f t="shared" si="2968"/>
        <v>4232.1259501025334</v>
      </c>
      <c r="AE1292" s="37">
        <f t="shared" si="2968"/>
        <v>4014.302919566629</v>
      </c>
      <c r="AF1292" s="37">
        <f t="shared" ref="AF1292:AI1292" si="2971">AF27</f>
        <v>4585.5374463421449</v>
      </c>
      <c r="AG1292" s="37">
        <f t="shared" si="2971"/>
        <v>4670.5109981837386</v>
      </c>
      <c r="AH1292" s="37">
        <f t="shared" si="2971"/>
        <v>4636.9054259390678</v>
      </c>
      <c r="AI1292" s="37">
        <f t="shared" si="2971"/>
        <v>4345.0580880086391</v>
      </c>
      <c r="AJ1292" s="37"/>
      <c r="AK1292" s="37"/>
      <c r="AL1292" s="37"/>
      <c r="AM1292" s="37"/>
      <c r="AN1292" s="37"/>
      <c r="AO1292" s="37"/>
      <c r="AP1292" s="37"/>
      <c r="AQ1292" s="37"/>
      <c r="AS1292" s="90"/>
      <c r="AT1292" s="90" t="s">
        <v>417</v>
      </c>
      <c r="AU1292" s="847">
        <f>SUM(D1292:G1292)</f>
        <v>8819</v>
      </c>
      <c r="AV1292" s="847">
        <f>SUM(H1292:K1292)</f>
        <v>13145</v>
      </c>
      <c r="AW1292" s="847">
        <f>SUM(L1292:O1292)</f>
        <v>6931</v>
      </c>
      <c r="AX1292" s="847">
        <f>SUM(P1292:S1292)</f>
        <v>16141</v>
      </c>
      <c r="AY1292" s="847">
        <f>SUM(T1292:W1292)</f>
        <v>13698</v>
      </c>
      <c r="AZ1292" s="847">
        <f>SUM(X1292:AA1292)</f>
        <v>-8068</v>
      </c>
      <c r="BA1292" s="847">
        <f>SUM(AB1292:AE1292)</f>
        <v>16643.43342698404</v>
      </c>
      <c r="BB1292" s="847">
        <f>SUM(AF1292:AI1292)</f>
        <v>18238.011958473591</v>
      </c>
      <c r="BC1292" s="1144">
        <f>BC27</f>
        <v>19727.965572865374</v>
      </c>
      <c r="BD1292" s="1144">
        <f>BD27</f>
        <v>20888.344086501922</v>
      </c>
      <c r="BE1292" s="1144">
        <f>BE27</f>
        <v>21441.804884779103</v>
      </c>
    </row>
    <row r="1293" spans="1:70" x14ac:dyDescent="0.2">
      <c r="B1293" s="90"/>
      <c r="C1293" s="90" t="s">
        <v>372</v>
      </c>
      <c r="D1293" s="37">
        <f t="shared" ref="D1293:AE1293" si="2972">D1329*-1</f>
        <v>-29.321999999999999</v>
      </c>
      <c r="E1293" s="37">
        <f t="shared" si="2972"/>
        <v>-29.324999999999999</v>
      </c>
      <c r="F1293" s="37">
        <f t="shared" si="2972"/>
        <v>-29.324999999999999</v>
      </c>
      <c r="G1293" s="37">
        <f t="shared" si="2972"/>
        <v>-30.289000000000001</v>
      </c>
      <c r="H1293" s="37">
        <f t="shared" si="2972"/>
        <v>-30.429000000000002</v>
      </c>
      <c r="I1293" s="37">
        <f t="shared" si="2972"/>
        <v>-30.41</v>
      </c>
      <c r="J1293" s="37">
        <f t="shared" si="2972"/>
        <v>-30.330000000000002</v>
      </c>
      <c r="K1293" s="37">
        <f t="shared" si="2972"/>
        <v>-30.291999999999998</v>
      </c>
      <c r="L1293" s="37">
        <f t="shared" si="2972"/>
        <v>-30.378000000000004</v>
      </c>
      <c r="M1293" s="37">
        <f t="shared" si="2972"/>
        <v>-30.318000000000001</v>
      </c>
      <c r="N1293" s="37">
        <f t="shared" si="2972"/>
        <v>-30.295000000000002</v>
      </c>
      <c r="O1293" s="37">
        <f t="shared" si="2972"/>
        <v>-30.239000000000001</v>
      </c>
      <c r="P1293" s="37">
        <f t="shared" si="2972"/>
        <v>-30.341000000000001</v>
      </c>
      <c r="Q1293" s="37">
        <f t="shared" si="2972"/>
        <v>-150.49</v>
      </c>
      <c r="R1293" s="37">
        <f t="shared" si="2972"/>
        <v>-148.95000000000002</v>
      </c>
      <c r="S1293" s="37">
        <f t="shared" si="2972"/>
        <v>-147.66500000000002</v>
      </c>
      <c r="T1293" s="37">
        <f t="shared" si="2972"/>
        <v>-146.745</v>
      </c>
      <c r="U1293" s="37">
        <f t="shared" si="2972"/>
        <v>-145.27000000000001</v>
      </c>
      <c r="V1293" s="37">
        <f t="shared" si="2972"/>
        <v>-455.952</v>
      </c>
      <c r="W1293" s="37">
        <f t="shared" si="2972"/>
        <v>-443.584</v>
      </c>
      <c r="X1293" s="37">
        <f t="shared" si="2972"/>
        <v>-440.52800000000002</v>
      </c>
      <c r="Y1293" s="37">
        <f t="shared" ref="Y1293:Z1293" si="2973">Y1329*-1</f>
        <v>-435.93599999999998</v>
      </c>
      <c r="Z1293" s="37">
        <f t="shared" si="2973"/>
        <v>-846.08</v>
      </c>
      <c r="AA1293" s="37">
        <f t="shared" ref="AA1293:AB1293" si="2974">AA1329*-1</f>
        <v>-822.36800000000005</v>
      </c>
      <c r="AB1293" s="37">
        <f t="shared" si="2974"/>
        <v>-815.96800000000007</v>
      </c>
      <c r="AC1293" s="37">
        <f t="shared" si="2972"/>
        <v>-807.00562513440093</v>
      </c>
      <c r="AD1293" s="37">
        <f t="shared" si="2972"/>
        <v>-982.53848506219242</v>
      </c>
      <c r="AE1293" s="37">
        <f t="shared" si="2972"/>
        <v>-957.00849948163329</v>
      </c>
      <c r="AF1293" s="37">
        <f t="shared" ref="AF1293:AI1293" si="2975">AF1329*-1</f>
        <v>-936.68328699459244</v>
      </c>
      <c r="AG1293" s="37">
        <f t="shared" si="2975"/>
        <v>-914.30275623772877</v>
      </c>
      <c r="AH1293" s="37">
        <f t="shared" si="2975"/>
        <v>-1006.0781471288304</v>
      </c>
      <c r="AI1293" s="37">
        <f t="shared" si="2975"/>
        <v>-984.06172245050243</v>
      </c>
      <c r="AJ1293" s="37"/>
      <c r="AK1293" s="37"/>
      <c r="AL1293" s="37"/>
      <c r="AM1293" s="37"/>
      <c r="AN1293" s="37"/>
      <c r="AO1293" s="37"/>
      <c r="AP1293" s="37"/>
      <c r="AQ1293" s="37"/>
      <c r="AS1293" s="90"/>
      <c r="AT1293" s="90" t="s">
        <v>372</v>
      </c>
      <c r="AU1293" s="847">
        <f>SUM(D1293:G1293)</f>
        <v>-118.261</v>
      </c>
      <c r="AV1293" s="847">
        <f>SUM(H1293:K1293)</f>
        <v>-121.461</v>
      </c>
      <c r="AW1293" s="847">
        <f>SUM(L1293:O1293)</f>
        <v>-121.23000000000002</v>
      </c>
      <c r="AX1293" s="847">
        <f>SUM(P1293:S1293)</f>
        <v>-477.44600000000008</v>
      </c>
      <c r="AY1293" s="847">
        <f>SUM(T1293:W1293)</f>
        <v>-1191.5509999999999</v>
      </c>
      <c r="AZ1293" s="847">
        <f>SUM(X1293:AA1293)</f>
        <v>-2544.9119999999998</v>
      </c>
      <c r="BA1293" s="847">
        <f>SUM(AB1293:AE1293)</f>
        <v>-3562.5206096782267</v>
      </c>
      <c r="BB1293" s="847">
        <f>SUM(AF1293:AI1293)</f>
        <v>-3841.1259128116544</v>
      </c>
      <c r="BC1293" s="1144">
        <f>BC1329*-1</f>
        <v>-3898.6263078487736</v>
      </c>
      <c r="BD1293" s="1144">
        <f>BD1329*-1</f>
        <v>-4085.8987212957159</v>
      </c>
      <c r="BE1293" s="1144">
        <f>BE1329*-1</f>
        <v>-4245.3355931092265</v>
      </c>
    </row>
    <row r="1294" spans="1:70" x14ac:dyDescent="0.2">
      <c r="B1294" s="90"/>
      <c r="C1294" s="90" t="s">
        <v>416</v>
      </c>
      <c r="D1294" s="37">
        <f t="shared" ref="D1294:AE1294" si="2976">D1334</f>
        <v>266.00799999999407</v>
      </c>
      <c r="E1294" s="37">
        <f t="shared" si="2976"/>
        <v>9.594000000005817</v>
      </c>
      <c r="F1294" s="37">
        <f t="shared" si="2976"/>
        <v>0</v>
      </c>
      <c r="G1294" s="37">
        <f t="shared" si="2976"/>
        <v>3534.0240000000031</v>
      </c>
      <c r="H1294" s="37">
        <f t="shared" si="2976"/>
        <v>608.71999999999991</v>
      </c>
      <c r="I1294" s="37">
        <f t="shared" si="2976"/>
        <v>-86.363636363636374</v>
      </c>
      <c r="J1294" s="37">
        <f t="shared" si="2976"/>
        <v>-387.09677419354398</v>
      </c>
      <c r="K1294" s="37">
        <f t="shared" si="2976"/>
        <v>-193.22033898305548</v>
      </c>
      <c r="L1294" s="37">
        <f t="shared" si="2976"/>
        <v>498.55072463770745</v>
      </c>
      <c r="M1294" s="37">
        <f t="shared" si="2976"/>
        <v>-285.71428571427703</v>
      </c>
      <c r="N1294" s="37">
        <f t="shared" si="2976"/>
        <v>-109.41121495328831</v>
      </c>
      <c r="O1294" s="37">
        <f t="shared" si="2976"/>
        <v>-298.3177570093506</v>
      </c>
      <c r="P1294" s="37">
        <f t="shared" si="2976"/>
        <v>518.64406779660555</v>
      </c>
      <c r="Q1294" s="37">
        <f t="shared" si="2976"/>
        <v>-1320.726315789459</v>
      </c>
      <c r="R1294" s="37">
        <f t="shared" si="2976"/>
        <v>-1668.333333333343</v>
      </c>
      <c r="S1294" s="37">
        <f t="shared" si="2976"/>
        <v>-1369.5612903225708</v>
      </c>
      <c r="T1294" s="37">
        <f t="shared" si="2976"/>
        <v>-803.07096774193951</v>
      </c>
      <c r="U1294" s="37">
        <f t="shared" si="2976"/>
        <v>-1331.4333333333334</v>
      </c>
      <c r="V1294" s="37">
        <f t="shared" si="2976"/>
        <v>-2525.3982142857267</v>
      </c>
      <c r="W1294" s="37">
        <f t="shared" si="2976"/>
        <v>-4191.8126582278328</v>
      </c>
      <c r="X1294" s="37">
        <f t="shared" si="2976"/>
        <v>-1135.813333333328</v>
      </c>
      <c r="Y1294" s="37">
        <f t="shared" ref="Y1294:Z1294" si="2977">Y1334</f>
        <v>-1761.5862068965685</v>
      </c>
      <c r="Z1294" s="37">
        <f t="shared" si="2977"/>
        <v>-5462.8888888888823</v>
      </c>
      <c r="AA1294" s="37">
        <f t="shared" ref="AA1294:AB1294" si="2978">AA1334</f>
        <v>-5492.4121621621562</v>
      </c>
      <c r="AB1294" s="37">
        <f t="shared" si="2978"/>
        <v>-1516.6666666666665</v>
      </c>
      <c r="AC1294" s="37">
        <f t="shared" si="2976"/>
        <v>-2081.4182044638687</v>
      </c>
      <c r="AD1294" s="37">
        <f t="shared" si="2976"/>
        <v>-5163.4586705243737</v>
      </c>
      <c r="AE1294" s="37">
        <f t="shared" si="2976"/>
        <v>-5329.5253303621703</v>
      </c>
      <c r="AF1294" s="37">
        <f t="shared" ref="AF1294:AI1294" si="2979">AF1334</f>
        <v>-4497.580248137514</v>
      </c>
      <c r="AG1294" s="37">
        <f t="shared" si="2979"/>
        <v>-5200.0019579641303</v>
      </c>
      <c r="AH1294" s="37">
        <f t="shared" si="2979"/>
        <v>-4742.459232647102</v>
      </c>
      <c r="AI1294" s="37">
        <f t="shared" si="2979"/>
        <v>-4730.7254075874771</v>
      </c>
      <c r="AJ1294" s="37"/>
      <c r="AK1294" s="37"/>
      <c r="AL1294" s="37"/>
      <c r="AM1294" s="37"/>
      <c r="AN1294" s="37"/>
      <c r="AO1294" s="37"/>
      <c r="AP1294" s="37"/>
      <c r="AQ1294" s="37"/>
      <c r="AS1294" s="90"/>
      <c r="AT1294" s="90" t="s">
        <v>416</v>
      </c>
      <c r="AU1294" s="847">
        <f>SUM(D1294:G1294)</f>
        <v>3809.6260000000029</v>
      </c>
      <c r="AV1294" s="847">
        <f>SUM(H1294:K1294)</f>
        <v>-57.960749540235923</v>
      </c>
      <c r="AW1294" s="847">
        <f>SUM(L1294:O1294)</f>
        <v>-194.8925330392085</v>
      </c>
      <c r="AX1294" s="847">
        <f>SUM(P1294:S1294)</f>
        <v>-3839.976871648767</v>
      </c>
      <c r="AY1294" s="847">
        <f>SUM(T1294:W1294)</f>
        <v>-8851.7151735888328</v>
      </c>
      <c r="AZ1294" s="847">
        <f>SUM(X1294:AA1294)</f>
        <v>-13852.700591280935</v>
      </c>
      <c r="BA1294" s="847">
        <f>SUM(AB1294:AE1294)</f>
        <v>-14091.068872017078</v>
      </c>
      <c r="BB1294" s="847">
        <f>SUM(AF1294:AI1294)</f>
        <v>-19170.766846336224</v>
      </c>
      <c r="BC1294" s="1144">
        <f>BC1334</f>
        <v>-13556.929243841172</v>
      </c>
      <c r="BD1294" s="1144">
        <f>BD1334</f>
        <v>-11531.527260559071</v>
      </c>
      <c r="BE1294" s="1144">
        <f>BE1334</f>
        <v>-11706.806474919567</v>
      </c>
    </row>
    <row r="1295" spans="1:70" x14ac:dyDescent="0.2">
      <c r="B1295" s="90"/>
      <c r="C1295" s="90" t="s">
        <v>342</v>
      </c>
      <c r="D1295" s="131">
        <f>D867-(-17788)</f>
        <v>1053</v>
      </c>
      <c r="E1295" s="131">
        <f t="shared" ref="E1295:AB1295" si="2980">E867-D867</f>
        <v>-1014</v>
      </c>
      <c r="F1295" s="131">
        <f t="shared" si="2980"/>
        <v>2183</v>
      </c>
      <c r="G1295" s="131">
        <f t="shared" si="2980"/>
        <v>-1330</v>
      </c>
      <c r="H1295" s="131">
        <f t="shared" si="2980"/>
        <v>-163</v>
      </c>
      <c r="I1295" s="131">
        <f t="shared" si="2980"/>
        <v>-2865</v>
      </c>
      <c r="J1295" s="131">
        <f t="shared" si="2980"/>
        <v>1126</v>
      </c>
      <c r="K1295" s="131">
        <f t="shared" si="2980"/>
        <v>-335</v>
      </c>
      <c r="L1295" s="131">
        <f t="shared" si="2980"/>
        <v>-13</v>
      </c>
      <c r="M1295" s="131">
        <f t="shared" si="2980"/>
        <v>999</v>
      </c>
      <c r="N1295" s="131">
        <f t="shared" si="2980"/>
        <v>-1829</v>
      </c>
      <c r="O1295" s="131">
        <f t="shared" si="2980"/>
        <v>-3240</v>
      </c>
      <c r="P1295" s="131">
        <f t="shared" si="2980"/>
        <v>-1475</v>
      </c>
      <c r="Q1295" s="131">
        <f t="shared" si="2980"/>
        <v>-413</v>
      </c>
      <c r="R1295" s="131">
        <f t="shared" si="2980"/>
        <v>-2153</v>
      </c>
      <c r="S1295" s="131">
        <f t="shared" si="2980"/>
        <v>-2087</v>
      </c>
      <c r="T1295" s="131">
        <f t="shared" si="2980"/>
        <v>2718</v>
      </c>
      <c r="U1295" s="131">
        <f t="shared" si="2980"/>
        <v>511</v>
      </c>
      <c r="V1295" s="131">
        <f t="shared" si="2980"/>
        <v>-1078</v>
      </c>
      <c r="W1295" s="131">
        <f t="shared" si="2980"/>
        <v>-5188</v>
      </c>
      <c r="X1295" s="131">
        <f t="shared" si="2980"/>
        <v>1464</v>
      </c>
      <c r="Y1295" s="131">
        <f t="shared" si="2980"/>
        <v>1018</v>
      </c>
      <c r="Z1295" s="131">
        <f t="shared" si="2980"/>
        <v>8</v>
      </c>
      <c r="AA1295" s="131">
        <f t="shared" si="2980"/>
        <v>-4777</v>
      </c>
      <c r="AB1295" s="131">
        <f t="shared" si="2980"/>
        <v>49</v>
      </c>
      <c r="AC1295" s="196">
        <v>0</v>
      </c>
      <c r="AD1295" s="196">
        <v>0</v>
      </c>
      <c r="AE1295" s="196">
        <v>0</v>
      </c>
      <c r="AF1295" s="196">
        <v>0</v>
      </c>
      <c r="AG1295" s="196">
        <v>0</v>
      </c>
      <c r="AH1295" s="196">
        <v>0</v>
      </c>
      <c r="AI1295" s="196">
        <v>0</v>
      </c>
      <c r="AJ1295" s="196"/>
      <c r="AK1295" s="196"/>
      <c r="AL1295" s="196"/>
      <c r="AM1295" s="196"/>
      <c r="AN1295" s="196"/>
      <c r="AO1295" s="196"/>
      <c r="AP1295" s="196"/>
      <c r="AQ1295" s="196"/>
      <c r="AS1295" s="90"/>
      <c r="AT1295" s="90" t="s">
        <v>342</v>
      </c>
      <c r="AU1295" s="847">
        <f>SUM(D1295:G1295)</f>
        <v>892</v>
      </c>
      <c r="AV1295" s="847">
        <f>SUM(H1295:K1295)</f>
        <v>-2237</v>
      </c>
      <c r="AW1295" s="847">
        <f>SUM(L1295:O1295)</f>
        <v>-4083</v>
      </c>
      <c r="AX1295" s="847">
        <f>SUM(P1295:S1295)</f>
        <v>-6128</v>
      </c>
      <c r="AY1295" s="847">
        <f>SUM(T1295:W1295)</f>
        <v>-3037</v>
      </c>
      <c r="AZ1295" s="847">
        <f>SUM(X1295:AA1295)</f>
        <v>-2287</v>
      </c>
      <c r="BA1295" s="847">
        <f>SUM(AB1295:AE1295)</f>
        <v>49</v>
      </c>
      <c r="BB1295" s="847">
        <f>SUM(AF1295:AI1295)</f>
        <v>0</v>
      </c>
      <c r="BC1295" s="1145">
        <v>0</v>
      </c>
      <c r="BD1295" s="1145">
        <v>0</v>
      </c>
      <c r="BE1295" s="1145">
        <v>0</v>
      </c>
    </row>
    <row r="1296" spans="1:70" x14ac:dyDescent="0.2">
      <c r="B1296" s="90"/>
      <c r="C1296" s="90" t="s">
        <v>343</v>
      </c>
      <c r="D1296" s="42">
        <f t="shared" ref="D1296:X1296" si="2981">D1297-D1291-SUM(D1292:D1295)</f>
        <v>-941.68599999999424</v>
      </c>
      <c r="E1296" s="42">
        <f t="shared" si="2981"/>
        <v>399.73099999999386</v>
      </c>
      <c r="F1296" s="42">
        <f t="shared" si="2981"/>
        <v>-218.67500000000018</v>
      </c>
      <c r="G1296" s="42">
        <f t="shared" si="2981"/>
        <v>-3699.7350000000033</v>
      </c>
      <c r="H1296" s="42">
        <f t="shared" si="2981"/>
        <v>-644.29100000000017</v>
      </c>
      <c r="I1296" s="42">
        <f t="shared" si="2981"/>
        <v>625.77363636363634</v>
      </c>
      <c r="J1296" s="42">
        <f t="shared" si="2981"/>
        <v>89.426774193543679</v>
      </c>
      <c r="K1296" s="42">
        <f t="shared" si="2981"/>
        <v>299.51233898305532</v>
      </c>
      <c r="L1296" s="42">
        <f t="shared" si="2981"/>
        <v>-528.17272463770769</v>
      </c>
      <c r="M1296" s="42">
        <f t="shared" si="2981"/>
        <v>345.03228571427701</v>
      </c>
      <c r="N1296" s="42">
        <f t="shared" si="2981"/>
        <v>-32.293785046711491</v>
      </c>
      <c r="O1296" s="42">
        <f t="shared" si="2981"/>
        <v>146.5567570093508</v>
      </c>
      <c r="P1296" s="42">
        <f t="shared" si="2981"/>
        <v>-710.30306779660532</v>
      </c>
      <c r="Q1296" s="42">
        <f t="shared" si="2981"/>
        <v>326.2163157894588</v>
      </c>
      <c r="R1296" s="42">
        <f t="shared" si="2981"/>
        <v>184.28333333334285</v>
      </c>
      <c r="S1296" s="42">
        <f t="shared" si="2981"/>
        <v>-73.773709677429224</v>
      </c>
      <c r="T1296" s="42">
        <f t="shared" si="2981"/>
        <v>-391.18403225806105</v>
      </c>
      <c r="U1296" s="42">
        <f t="shared" si="2981"/>
        <v>185.70333333333338</v>
      </c>
      <c r="V1296" s="42">
        <f t="shared" si="2981"/>
        <v>154.35021428572691</v>
      </c>
      <c r="W1296" s="42">
        <f t="shared" si="2981"/>
        <v>161.39665822783263</v>
      </c>
      <c r="X1296" s="42">
        <f t="shared" si="2981"/>
        <v>-627.65866666667171</v>
      </c>
      <c r="Y1296" s="42">
        <f t="shared" ref="Y1296:Z1296" si="2982">Y1297-Y1291-SUM(Y1292:Y1295)</f>
        <v>-416.4777931034314</v>
      </c>
      <c r="Z1296" s="42">
        <f t="shared" si="2982"/>
        <v>102.96888888888225</v>
      </c>
      <c r="AA1296" s="42">
        <f t="shared" ref="AA1296:AB1296" si="2983">AA1297-AA1291-SUM(AA1292:AA1295)</f>
        <v>3313.7801621621547</v>
      </c>
      <c r="AB1296" s="42">
        <f t="shared" si="2983"/>
        <v>-748.36533333333364</v>
      </c>
      <c r="AC1296" s="225">
        <v>0</v>
      </c>
      <c r="AD1296" s="225">
        <v>0</v>
      </c>
      <c r="AE1296" s="225">
        <v>0</v>
      </c>
      <c r="AF1296" s="225">
        <v>0</v>
      </c>
      <c r="AG1296" s="225">
        <v>0</v>
      </c>
      <c r="AH1296" s="225">
        <v>0</v>
      </c>
      <c r="AI1296" s="225">
        <v>0</v>
      </c>
      <c r="AJ1296" s="1772"/>
      <c r="AK1296" s="1772"/>
      <c r="AL1296" s="1772"/>
      <c r="AM1296" s="1772"/>
      <c r="AN1296" s="1772"/>
      <c r="AO1296" s="1772"/>
      <c r="AP1296" s="1772"/>
      <c r="AQ1296" s="1772"/>
      <c r="AS1296" s="90"/>
      <c r="AT1296" s="90" t="s">
        <v>343</v>
      </c>
      <c r="AU1296" s="1146">
        <f>SUM(D1296:G1296)</f>
        <v>-4460.3650000000034</v>
      </c>
      <c r="AV1296" s="1146">
        <f>SUM(H1296:K1296)</f>
        <v>370.42174954023517</v>
      </c>
      <c r="AW1296" s="1146">
        <f>SUM(L1296:O1296)</f>
        <v>-68.877466960791367</v>
      </c>
      <c r="AX1296" s="1146">
        <f>SUM(P1296:S1296)</f>
        <v>-273.57712835123289</v>
      </c>
      <c r="AY1296" s="1146">
        <f>SUM(T1296:W1296)</f>
        <v>110.26617358883186</v>
      </c>
      <c r="AZ1296" s="1146">
        <f>SUM(X1296:AA1296)</f>
        <v>2372.6125912809339</v>
      </c>
      <c r="BA1296" s="1146">
        <f>SUM(AB1296:AE1296)</f>
        <v>-748.36533333333364</v>
      </c>
      <c r="BB1296" s="1146">
        <f>SUM(AF1296:AI1296)</f>
        <v>0</v>
      </c>
      <c r="BC1296" s="1147">
        <v>0</v>
      </c>
      <c r="BD1296" s="1147">
        <v>0</v>
      </c>
      <c r="BE1296" s="1147">
        <v>0</v>
      </c>
    </row>
    <row r="1297" spans="2:70" s="70" customFormat="1" x14ac:dyDescent="0.2">
      <c r="B1297" s="91" t="s">
        <v>344</v>
      </c>
      <c r="C1297" s="9"/>
      <c r="D1297" s="33">
        <f t="shared" ref="D1297:X1297" si="2984">D868</f>
        <v>181198</v>
      </c>
      <c r="E1297" s="33">
        <f t="shared" si="2984"/>
        <v>183258</v>
      </c>
      <c r="F1297" s="33">
        <f t="shared" si="2984"/>
        <v>186150</v>
      </c>
      <c r="G1297" s="33">
        <f t="shared" si="2984"/>
        <v>186155</v>
      </c>
      <c r="H1297" s="33">
        <f t="shared" si="2984"/>
        <v>189855</v>
      </c>
      <c r="I1297" s="33">
        <f t="shared" si="2984"/>
        <v>191272</v>
      </c>
      <c r="J1297" s="33">
        <f t="shared" si="2984"/>
        <v>195256</v>
      </c>
      <c r="K1297" s="33">
        <f t="shared" si="2984"/>
        <v>197254</v>
      </c>
      <c r="L1297" s="33">
        <f t="shared" si="2984"/>
        <v>200898</v>
      </c>
      <c r="M1297" s="33">
        <f t="shared" si="2984"/>
        <v>202048</v>
      </c>
      <c r="N1297" s="33">
        <f t="shared" si="2984"/>
        <v>202960</v>
      </c>
      <c r="O1297" s="33">
        <f t="shared" si="2984"/>
        <v>199717</v>
      </c>
      <c r="P1297" s="33">
        <f t="shared" si="2984"/>
        <v>202652</v>
      </c>
      <c r="Q1297" s="33">
        <f t="shared" si="2984"/>
        <v>205472</v>
      </c>
      <c r="R1297" s="33">
        <f t="shared" si="2984"/>
        <v>205630</v>
      </c>
      <c r="S1297" s="33">
        <f t="shared" si="2984"/>
        <v>205139</v>
      </c>
      <c r="T1297" s="33">
        <f t="shared" si="2984"/>
        <v>209769</v>
      </c>
      <c r="U1297" s="33">
        <f t="shared" si="2984"/>
        <v>212635</v>
      </c>
      <c r="V1297" s="33">
        <f t="shared" si="2984"/>
        <v>212322</v>
      </c>
      <c r="W1297" s="33">
        <f t="shared" si="2984"/>
        <v>205867</v>
      </c>
      <c r="X1297" s="33">
        <f t="shared" si="2984"/>
        <v>208879</v>
      </c>
      <c r="Y1297" s="33">
        <f t="shared" ref="Y1297:Z1297" si="2985">Y868</f>
        <v>210766</v>
      </c>
      <c r="Z1297" s="33">
        <f t="shared" si="2985"/>
        <v>208381</v>
      </c>
      <c r="AA1297" s="33">
        <f t="shared" ref="AA1297:AB1297" si="2986">AA868</f>
        <v>181487</v>
      </c>
      <c r="AB1297" s="33">
        <f t="shared" si="2986"/>
        <v>182759</v>
      </c>
      <c r="AC1297" s="33">
        <f t="shared" ref="AC1297:AE1297" si="2987">SUM(AC1291:AC1296)</f>
        <v>183963.58072771662</v>
      </c>
      <c r="AD1297" s="33">
        <f t="shared" si="2987"/>
        <v>182049.70952223256</v>
      </c>
      <c r="AE1297" s="33">
        <f t="shared" si="2987"/>
        <v>179777.47861195539</v>
      </c>
      <c r="AF1297" s="33">
        <f t="shared" ref="AF1297:AI1297" si="2988">SUM(AF1291:AF1296)</f>
        <v>178928.75252316543</v>
      </c>
      <c r="AG1297" s="33">
        <f t="shared" si="2988"/>
        <v>177484.95880714731</v>
      </c>
      <c r="AH1297" s="33">
        <f t="shared" si="2988"/>
        <v>176373.32685331046</v>
      </c>
      <c r="AI1297" s="33">
        <f t="shared" si="2988"/>
        <v>175003.5978112811</v>
      </c>
      <c r="AJ1297" s="33"/>
      <c r="AK1297" s="33"/>
      <c r="AL1297" s="33"/>
      <c r="AM1297" s="33"/>
      <c r="AN1297" s="33"/>
      <c r="AO1297" s="33"/>
      <c r="AP1297" s="33"/>
      <c r="AQ1297" s="33"/>
      <c r="AS1297" s="91" t="s">
        <v>344</v>
      </c>
      <c r="AT1297" s="9"/>
      <c r="AU1297" s="1142">
        <f t="shared" ref="AU1297:BD1297" si="2989">SUM(AU1291:AU1296)</f>
        <v>186155</v>
      </c>
      <c r="AV1297" s="1142">
        <f t="shared" si="2989"/>
        <v>197253.99999999997</v>
      </c>
      <c r="AW1297" s="1142">
        <f t="shared" si="2989"/>
        <v>199717</v>
      </c>
      <c r="AX1297" s="1142">
        <f t="shared" si="2989"/>
        <v>205139</v>
      </c>
      <c r="AY1297" s="1142">
        <f t="shared" si="2989"/>
        <v>205867</v>
      </c>
      <c r="AZ1297" s="1142">
        <f t="shared" si="2989"/>
        <v>181486.99999999997</v>
      </c>
      <c r="BA1297" s="1142">
        <f t="shared" si="2989"/>
        <v>179777.47861195539</v>
      </c>
      <c r="BB1297" s="1142">
        <f t="shared" ref="BB1297" si="2990">SUM(BB1291:BB1296)</f>
        <v>175003.5978112811</v>
      </c>
      <c r="BC1297" s="1096">
        <f t="shared" si="2989"/>
        <v>177276.00783245653</v>
      </c>
      <c r="BD1297" s="1096">
        <f t="shared" si="2989"/>
        <v>182546.92593710366</v>
      </c>
      <c r="BE1297" s="1096">
        <f t="shared" ref="BE1297" si="2991">SUM(BE1291:BE1296)</f>
        <v>188036.58875385395</v>
      </c>
      <c r="BM1297"/>
      <c r="BN1297"/>
      <c r="BO1297"/>
      <c r="BP1297"/>
      <c r="BQ1297"/>
      <c r="BR1297"/>
    </row>
    <row r="1298" spans="2:70" s="70" customFormat="1" x14ac:dyDescent="0.2">
      <c r="B1298" s="91"/>
      <c r="C1298" s="9" t="s">
        <v>418</v>
      </c>
      <c r="D1298" s="132">
        <f t="shared" ref="D1298:AE1298" si="2992">D862</f>
        <v>312</v>
      </c>
      <c r="E1298" s="132">
        <f t="shared" si="2992"/>
        <v>312</v>
      </c>
      <c r="F1298" s="132">
        <f t="shared" si="2992"/>
        <v>312</v>
      </c>
      <c r="G1298" s="132">
        <f t="shared" si="2992"/>
        <v>2562</v>
      </c>
      <c r="H1298" s="132">
        <f t="shared" si="2992"/>
        <v>3137</v>
      </c>
      <c r="I1298" s="132">
        <f t="shared" si="2992"/>
        <v>4293</v>
      </c>
      <c r="J1298" s="132">
        <f t="shared" si="2992"/>
        <v>5243</v>
      </c>
      <c r="K1298" s="132">
        <f t="shared" si="2992"/>
        <v>6738</v>
      </c>
      <c r="L1298" s="132">
        <f t="shared" si="2992"/>
        <v>7218</v>
      </c>
      <c r="M1298" s="132">
        <f t="shared" si="2992"/>
        <v>8968</v>
      </c>
      <c r="N1298" s="132">
        <f t="shared" si="2992"/>
        <v>8968</v>
      </c>
      <c r="O1298" s="132">
        <f t="shared" si="2992"/>
        <v>10468</v>
      </c>
      <c r="P1298" s="132">
        <f t="shared" si="2992"/>
        <v>11968</v>
      </c>
      <c r="Q1298" s="132">
        <f t="shared" si="2992"/>
        <v>13968</v>
      </c>
      <c r="R1298" s="132">
        <f t="shared" si="2992"/>
        <v>15218</v>
      </c>
      <c r="S1298" s="132">
        <f t="shared" si="2992"/>
        <v>16718</v>
      </c>
      <c r="T1298" s="132">
        <f t="shared" si="2992"/>
        <v>17753</v>
      </c>
      <c r="U1298" s="132">
        <f t="shared" si="2992"/>
        <v>19253</v>
      </c>
      <c r="V1298" s="132">
        <f t="shared" si="2992"/>
        <v>19253</v>
      </c>
      <c r="W1298" s="132">
        <f t="shared" si="2992"/>
        <v>19253</v>
      </c>
      <c r="X1298" s="132">
        <f t="shared" si="2992"/>
        <v>19253</v>
      </c>
      <c r="Y1298" s="132">
        <f t="shared" ref="Y1298:Z1298" si="2993">Y862</f>
        <v>19253</v>
      </c>
      <c r="Z1298" s="132">
        <f t="shared" si="2993"/>
        <v>19253</v>
      </c>
      <c r="AA1298" s="132">
        <f t="shared" ref="AA1298:AB1298" si="2994">AA862</f>
        <v>19253</v>
      </c>
      <c r="AB1298" s="132">
        <f t="shared" si="2994"/>
        <v>19156</v>
      </c>
      <c r="AC1298" s="132">
        <f t="shared" si="2992"/>
        <v>19156</v>
      </c>
      <c r="AD1298" s="132">
        <f t="shared" si="2992"/>
        <v>19156</v>
      </c>
      <c r="AE1298" s="132">
        <f t="shared" si="2992"/>
        <v>19156</v>
      </c>
      <c r="AF1298" s="132">
        <f t="shared" ref="AF1298:AI1298" si="2995">AF862</f>
        <v>21156</v>
      </c>
      <c r="AG1298" s="132">
        <f t="shared" si="2995"/>
        <v>21156</v>
      </c>
      <c r="AH1298" s="132">
        <f t="shared" si="2995"/>
        <v>21156</v>
      </c>
      <c r="AI1298" s="132">
        <f t="shared" si="2995"/>
        <v>21156</v>
      </c>
      <c r="AJ1298" s="206"/>
      <c r="AK1298" s="206"/>
      <c r="AL1298" s="206"/>
      <c r="AM1298" s="206"/>
      <c r="AN1298" s="206"/>
      <c r="AO1298" s="206"/>
      <c r="AP1298" s="206"/>
      <c r="AQ1298" s="206"/>
      <c r="AS1298" s="91"/>
      <c r="AT1298" s="9" t="s">
        <v>418</v>
      </c>
      <c r="AU1298" s="1148">
        <f>G1298</f>
        <v>2562</v>
      </c>
      <c r="AV1298" s="1148">
        <f>K1298</f>
        <v>6738</v>
      </c>
      <c r="AW1298" s="1148">
        <f>O1298</f>
        <v>10468</v>
      </c>
      <c r="AX1298" s="1148">
        <f>S1298</f>
        <v>16718</v>
      </c>
      <c r="AY1298" s="1148">
        <f>W1298</f>
        <v>19253</v>
      </c>
      <c r="AZ1298" s="1148">
        <f>AA1298</f>
        <v>19253</v>
      </c>
      <c r="BA1298" s="1148">
        <f>AE1298</f>
        <v>19156</v>
      </c>
      <c r="BB1298" s="1148">
        <f>AI1298</f>
        <v>21156</v>
      </c>
      <c r="BC1298" s="1149">
        <f>BC862</f>
        <v>21156</v>
      </c>
      <c r="BD1298" s="1149">
        <f>BD862</f>
        <v>21156</v>
      </c>
      <c r="BE1298" s="1149">
        <f>BE862</f>
        <v>21156</v>
      </c>
      <c r="BM1298"/>
      <c r="BN1298"/>
      <c r="BO1298"/>
      <c r="BP1298"/>
      <c r="BQ1298"/>
      <c r="BR1298"/>
    </row>
    <row r="1299" spans="2:70" s="70" customFormat="1" x14ac:dyDescent="0.2">
      <c r="B1299" s="91" t="s">
        <v>419</v>
      </c>
      <c r="C1299" s="9"/>
      <c r="D1299" s="33">
        <f t="shared" ref="D1299:AE1299" si="2996">SUM(D1297:D1298)</f>
        <v>181510</v>
      </c>
      <c r="E1299" s="33">
        <f t="shared" si="2996"/>
        <v>183570</v>
      </c>
      <c r="F1299" s="33">
        <f t="shared" si="2996"/>
        <v>186462</v>
      </c>
      <c r="G1299" s="33">
        <f t="shared" si="2996"/>
        <v>188717</v>
      </c>
      <c r="H1299" s="33">
        <f t="shared" si="2996"/>
        <v>192992</v>
      </c>
      <c r="I1299" s="33">
        <f t="shared" si="2996"/>
        <v>195565</v>
      </c>
      <c r="J1299" s="33">
        <f t="shared" si="2996"/>
        <v>200499</v>
      </c>
      <c r="K1299" s="33">
        <f t="shared" si="2996"/>
        <v>203992</v>
      </c>
      <c r="L1299" s="33">
        <f t="shared" si="2996"/>
        <v>208116</v>
      </c>
      <c r="M1299" s="33">
        <f t="shared" si="2996"/>
        <v>211016</v>
      </c>
      <c r="N1299" s="33">
        <f t="shared" si="2996"/>
        <v>211928</v>
      </c>
      <c r="O1299" s="33">
        <f t="shared" si="2996"/>
        <v>210185</v>
      </c>
      <c r="P1299" s="33">
        <f t="shared" si="2996"/>
        <v>214620</v>
      </c>
      <c r="Q1299" s="33">
        <f t="shared" si="2996"/>
        <v>219440</v>
      </c>
      <c r="R1299" s="33">
        <f t="shared" si="2996"/>
        <v>220848</v>
      </c>
      <c r="S1299" s="33">
        <f t="shared" si="2996"/>
        <v>221857</v>
      </c>
      <c r="T1299" s="33">
        <f t="shared" si="2996"/>
        <v>227522</v>
      </c>
      <c r="U1299" s="33">
        <f t="shared" si="2996"/>
        <v>231888</v>
      </c>
      <c r="V1299" s="33">
        <f t="shared" si="2996"/>
        <v>231575</v>
      </c>
      <c r="W1299" s="33">
        <f t="shared" si="2996"/>
        <v>225120</v>
      </c>
      <c r="X1299" s="33">
        <f t="shared" si="2996"/>
        <v>228132</v>
      </c>
      <c r="Y1299" s="33">
        <f t="shared" ref="Y1299:Z1299" si="2997">SUM(Y1297:Y1298)</f>
        <v>230019</v>
      </c>
      <c r="Z1299" s="33">
        <f t="shared" si="2997"/>
        <v>227634</v>
      </c>
      <c r="AA1299" s="33">
        <f t="shared" ref="AA1299:AB1299" si="2998">SUM(AA1297:AA1298)</f>
        <v>200740</v>
      </c>
      <c r="AB1299" s="33">
        <f t="shared" si="2998"/>
        <v>201915</v>
      </c>
      <c r="AC1299" s="33">
        <f t="shared" si="2996"/>
        <v>203119.58072771662</v>
      </c>
      <c r="AD1299" s="33">
        <f t="shared" si="2996"/>
        <v>201205.70952223256</v>
      </c>
      <c r="AE1299" s="33">
        <f t="shared" si="2996"/>
        <v>198933.47861195539</v>
      </c>
      <c r="AF1299" s="33">
        <f t="shared" ref="AF1299:AI1299" si="2999">SUM(AF1297:AF1298)</f>
        <v>200084.75252316543</v>
      </c>
      <c r="AG1299" s="33">
        <f t="shared" si="2999"/>
        <v>198640.95880714731</v>
      </c>
      <c r="AH1299" s="33">
        <f t="shared" si="2999"/>
        <v>197529.32685331046</v>
      </c>
      <c r="AI1299" s="33">
        <f t="shared" si="2999"/>
        <v>196159.5978112811</v>
      </c>
      <c r="AJ1299" s="33"/>
      <c r="AK1299" s="33"/>
      <c r="AL1299" s="33"/>
      <c r="AM1299" s="33"/>
      <c r="AN1299" s="33"/>
      <c r="AO1299" s="33"/>
      <c r="AP1299" s="33"/>
      <c r="AQ1299" s="33"/>
      <c r="AS1299" s="91" t="s">
        <v>419</v>
      </c>
      <c r="AT1299" s="9"/>
      <c r="AU1299" s="1142">
        <f t="shared" ref="AU1299:BD1299" si="3000">SUM(AU1297:AU1298)</f>
        <v>188717</v>
      </c>
      <c r="AV1299" s="1142">
        <f t="shared" si="3000"/>
        <v>203991.99999999997</v>
      </c>
      <c r="AW1299" s="1142">
        <f t="shared" si="3000"/>
        <v>210185</v>
      </c>
      <c r="AX1299" s="1142">
        <f t="shared" si="3000"/>
        <v>221857</v>
      </c>
      <c r="AY1299" s="1142">
        <f t="shared" si="3000"/>
        <v>225120</v>
      </c>
      <c r="AZ1299" s="1142">
        <f t="shared" si="3000"/>
        <v>200739.99999999997</v>
      </c>
      <c r="BA1299" s="1142">
        <f t="shared" si="3000"/>
        <v>198933.47861195539</v>
      </c>
      <c r="BB1299" s="1142">
        <f t="shared" ref="BB1299" si="3001">SUM(BB1297:BB1298)</f>
        <v>196159.5978112811</v>
      </c>
      <c r="BC1299" s="1096">
        <f t="shared" si="3000"/>
        <v>198432.00783245653</v>
      </c>
      <c r="BD1299" s="1096">
        <f t="shared" si="3000"/>
        <v>203702.92593710366</v>
      </c>
      <c r="BE1299" s="1096">
        <f t="shared" ref="BE1299" si="3002">SUM(BE1297:BE1298)</f>
        <v>209192.58875385395</v>
      </c>
      <c r="BM1299"/>
      <c r="BN1299"/>
      <c r="BO1299"/>
      <c r="BP1299"/>
      <c r="BQ1299"/>
      <c r="BR1299"/>
    </row>
    <row r="1300" spans="2:70" s="70" customFormat="1" x14ac:dyDescent="0.2">
      <c r="B1300" s="35"/>
      <c r="C1300" s="9"/>
      <c r="D1300" s="81"/>
      <c r="E1300" s="81"/>
      <c r="F1300" s="81"/>
      <c r="G1300" s="81"/>
      <c r="H1300" s="81"/>
      <c r="I1300" s="81"/>
      <c r="J1300" s="81"/>
      <c r="K1300" s="81"/>
      <c r="L1300" s="81"/>
      <c r="M1300" s="81"/>
      <c r="N1300" s="81"/>
      <c r="O1300" s="81"/>
      <c r="P1300" s="81"/>
      <c r="Q1300" s="81"/>
      <c r="R1300" s="81"/>
      <c r="S1300" s="81"/>
      <c r="T1300" s="81"/>
      <c r="U1300" s="81"/>
      <c r="V1300" s="81"/>
      <c r="W1300" s="81"/>
      <c r="X1300" s="81"/>
      <c r="Y1300" s="81"/>
      <c r="Z1300" s="81"/>
      <c r="AA1300" s="81"/>
      <c r="AB1300" s="81"/>
      <c r="AC1300" s="9"/>
      <c r="AD1300" s="9"/>
      <c r="AE1300" s="1740"/>
      <c r="AF1300" s="1740"/>
      <c r="AG1300" s="1740"/>
      <c r="AH1300" s="1740"/>
      <c r="AI1300" s="1707"/>
      <c r="AJ1300" s="1740"/>
      <c r="AK1300" s="1740"/>
      <c r="AL1300" s="1740"/>
      <c r="AM1300" s="1740"/>
      <c r="AN1300" s="1740"/>
      <c r="AO1300" s="1740"/>
      <c r="AP1300" s="1740"/>
      <c r="AQ1300" s="1740"/>
      <c r="AS1300" s="35"/>
      <c r="AT1300" s="9"/>
      <c r="BC1300" s="9"/>
      <c r="BD1300" s="1704"/>
      <c r="BE1300" s="1702"/>
      <c r="BM1300"/>
      <c r="BN1300"/>
      <c r="BO1300"/>
      <c r="BP1300"/>
      <c r="BQ1300"/>
      <c r="BR1300"/>
    </row>
    <row r="1301" spans="2:70" s="70" customFormat="1" x14ac:dyDescent="0.2">
      <c r="B1301" s="110" t="s">
        <v>436</v>
      </c>
      <c r="C1301" s="9"/>
      <c r="D1301" s="81"/>
      <c r="E1301" s="81"/>
      <c r="F1301" s="81"/>
      <c r="G1301" s="81"/>
      <c r="H1301" s="81"/>
      <c r="I1301" s="81"/>
      <c r="J1301" s="81"/>
      <c r="K1301" s="81"/>
      <c r="L1301" s="81"/>
      <c r="M1301" s="81"/>
      <c r="N1301" s="81"/>
      <c r="O1301" s="81"/>
      <c r="P1301" s="81"/>
      <c r="Q1301" s="81"/>
      <c r="R1301" s="81"/>
      <c r="S1301" s="81"/>
      <c r="T1301" s="81"/>
      <c r="U1301" s="81"/>
      <c r="V1301" s="81"/>
      <c r="W1301" s="81"/>
      <c r="X1301" s="81"/>
      <c r="Y1301" s="81"/>
      <c r="Z1301" s="81"/>
      <c r="AA1301" s="81"/>
      <c r="AB1301" s="81"/>
      <c r="AC1301" s="9"/>
      <c r="AD1301" s="9"/>
      <c r="AE1301" s="1740"/>
      <c r="AF1301" s="1740"/>
      <c r="AG1301" s="1740"/>
      <c r="AH1301" s="1740"/>
      <c r="AI1301" s="1707"/>
      <c r="AJ1301" s="1740"/>
      <c r="AK1301" s="1740"/>
      <c r="AL1301" s="1740"/>
      <c r="AM1301" s="1740"/>
      <c r="AN1301" s="1740"/>
      <c r="AO1301" s="1740"/>
      <c r="AP1301" s="1740"/>
      <c r="AQ1301" s="1740"/>
      <c r="AS1301" s="110" t="s">
        <v>436</v>
      </c>
      <c r="AT1301" s="9"/>
      <c r="AU1301" s="232"/>
      <c r="BB1301" s="237">
        <f>77.2/BB1303</f>
        <v>0.96467305591056984</v>
      </c>
      <c r="BC1301" s="9"/>
      <c r="BD1301" s="1704"/>
      <c r="BE1301" s="1702"/>
      <c r="BM1301"/>
      <c r="BN1301"/>
      <c r="BO1301"/>
      <c r="BP1301"/>
      <c r="BQ1301"/>
      <c r="BR1301"/>
    </row>
    <row r="1302" spans="2:70" s="70" customFormat="1" x14ac:dyDescent="0.2">
      <c r="B1302" s="35" t="s">
        <v>438</v>
      </c>
      <c r="C1302" s="9"/>
      <c r="D1302" s="51">
        <f t="shared" ref="D1302:AE1302" si="3003">D1297</f>
        <v>181198</v>
      </c>
      <c r="E1302" s="51">
        <f t="shared" si="3003"/>
        <v>183258</v>
      </c>
      <c r="F1302" s="51">
        <f t="shared" si="3003"/>
        <v>186150</v>
      </c>
      <c r="G1302" s="51">
        <f t="shared" si="3003"/>
        <v>186155</v>
      </c>
      <c r="H1302" s="51">
        <f t="shared" si="3003"/>
        <v>189855</v>
      </c>
      <c r="I1302" s="51">
        <f t="shared" si="3003"/>
        <v>191272</v>
      </c>
      <c r="J1302" s="51">
        <f t="shared" si="3003"/>
        <v>195256</v>
      </c>
      <c r="K1302" s="51">
        <f t="shared" si="3003"/>
        <v>197254</v>
      </c>
      <c r="L1302" s="51">
        <f t="shared" si="3003"/>
        <v>200898</v>
      </c>
      <c r="M1302" s="51">
        <f t="shared" si="3003"/>
        <v>202048</v>
      </c>
      <c r="N1302" s="51">
        <f t="shared" si="3003"/>
        <v>202960</v>
      </c>
      <c r="O1302" s="51">
        <f t="shared" si="3003"/>
        <v>199717</v>
      </c>
      <c r="P1302" s="51">
        <f t="shared" si="3003"/>
        <v>202652</v>
      </c>
      <c r="Q1302" s="51">
        <f t="shared" si="3003"/>
        <v>205472</v>
      </c>
      <c r="R1302" s="51">
        <f t="shared" si="3003"/>
        <v>205630</v>
      </c>
      <c r="S1302" s="51">
        <f t="shared" si="3003"/>
        <v>205139</v>
      </c>
      <c r="T1302" s="51">
        <f t="shared" si="3003"/>
        <v>209769</v>
      </c>
      <c r="U1302" s="51">
        <f t="shared" si="3003"/>
        <v>212635</v>
      </c>
      <c r="V1302" s="51">
        <f t="shared" si="3003"/>
        <v>212322</v>
      </c>
      <c r="W1302" s="51">
        <f t="shared" si="3003"/>
        <v>205867</v>
      </c>
      <c r="X1302" s="51">
        <f t="shared" si="3003"/>
        <v>208879</v>
      </c>
      <c r="Y1302" s="51">
        <f t="shared" ref="Y1302:Z1302" si="3004">Y1297</f>
        <v>210766</v>
      </c>
      <c r="Z1302" s="51">
        <f t="shared" si="3004"/>
        <v>208381</v>
      </c>
      <c r="AA1302" s="51">
        <f t="shared" ref="AA1302:AB1302" si="3005">AA1297</f>
        <v>181487</v>
      </c>
      <c r="AB1302" s="51">
        <f t="shared" si="3005"/>
        <v>182759</v>
      </c>
      <c r="AC1302" s="51">
        <f t="shared" si="3003"/>
        <v>183963.58072771662</v>
      </c>
      <c r="AD1302" s="51">
        <f t="shared" si="3003"/>
        <v>182049.70952223256</v>
      </c>
      <c r="AE1302" s="51">
        <f t="shared" si="3003"/>
        <v>179777.47861195539</v>
      </c>
      <c r="AF1302" s="51">
        <f t="shared" ref="AF1302:AI1302" si="3006">AF1297</f>
        <v>178928.75252316543</v>
      </c>
      <c r="AG1302" s="51">
        <f t="shared" si="3006"/>
        <v>177484.95880714731</v>
      </c>
      <c r="AH1302" s="51">
        <f t="shared" si="3006"/>
        <v>176373.32685331046</v>
      </c>
      <c r="AI1302" s="51">
        <f t="shared" si="3006"/>
        <v>175003.5978112811</v>
      </c>
      <c r="AJ1302" s="51"/>
      <c r="AK1302" s="51"/>
      <c r="AL1302" s="51"/>
      <c r="AM1302" s="51"/>
      <c r="AN1302" s="51"/>
      <c r="AO1302" s="51"/>
      <c r="AP1302" s="51"/>
      <c r="AQ1302" s="51"/>
      <c r="AS1302" s="35" t="s">
        <v>438</v>
      </c>
      <c r="AT1302" s="9"/>
      <c r="AU1302" s="635">
        <f>G1302</f>
        <v>186155</v>
      </c>
      <c r="AV1302" s="635">
        <f>K1302</f>
        <v>197254</v>
      </c>
      <c r="AW1302" s="635">
        <f>O1302</f>
        <v>199717</v>
      </c>
      <c r="AX1302" s="635">
        <f>S1302</f>
        <v>205139</v>
      </c>
      <c r="AY1302" s="635">
        <f>W1302</f>
        <v>205867</v>
      </c>
      <c r="AZ1302" s="635">
        <f>AA1302</f>
        <v>181487</v>
      </c>
      <c r="BA1302" s="635">
        <f>AE1302</f>
        <v>179777.47861195539</v>
      </c>
      <c r="BB1302" s="635">
        <f>AI1302</f>
        <v>175003.5978112811</v>
      </c>
      <c r="BC1302" s="51">
        <f>BC1297</f>
        <v>177276.00783245653</v>
      </c>
      <c r="BD1302" s="51">
        <f>BD1297</f>
        <v>182546.92593710366</v>
      </c>
      <c r="BE1302" s="51">
        <f>BE1297</f>
        <v>188036.58875385395</v>
      </c>
      <c r="BM1302"/>
      <c r="BN1302"/>
      <c r="BO1302"/>
      <c r="BP1302"/>
      <c r="BQ1302"/>
      <c r="BR1302"/>
    </row>
    <row r="1303" spans="2:70" s="70" customFormat="1" x14ac:dyDescent="0.2">
      <c r="B1303" s="334" t="s">
        <v>437</v>
      </c>
      <c r="C1303" s="9"/>
      <c r="D1303" s="139">
        <f t="shared" ref="D1303:AE1303" si="3007">D1302/D1321</f>
        <v>61.795921151353937</v>
      </c>
      <c r="E1303" s="139">
        <f t="shared" si="3007"/>
        <v>62.492071611253195</v>
      </c>
      <c r="F1303" s="139">
        <f t="shared" si="3007"/>
        <v>63.478260869565219</v>
      </c>
      <c r="G1303" s="139">
        <f t="shared" si="3007"/>
        <v>61.459605797484237</v>
      </c>
      <c r="H1303" s="139">
        <f t="shared" si="3007"/>
        <v>62.392783200236615</v>
      </c>
      <c r="I1303" s="139">
        <f t="shared" si="3007"/>
        <v>62.897731009536336</v>
      </c>
      <c r="J1303" s="139">
        <f t="shared" si="3007"/>
        <v>64.377184305967688</v>
      </c>
      <c r="K1303" s="139">
        <f t="shared" si="3007"/>
        <v>65.117522778291303</v>
      </c>
      <c r="L1303" s="139">
        <f t="shared" si="3007"/>
        <v>66.132727631838833</v>
      </c>
      <c r="M1303" s="139">
        <f t="shared" si="3007"/>
        <v>66.642918398311224</v>
      </c>
      <c r="N1303" s="139">
        <f t="shared" si="3007"/>
        <v>66.994553556692523</v>
      </c>
      <c r="O1303" s="139">
        <f t="shared" si="3007"/>
        <v>66.046165547802502</v>
      </c>
      <c r="P1303" s="139">
        <f t="shared" si="3007"/>
        <v>66.791470287729481</v>
      </c>
      <c r="Q1303" s="139">
        <f t="shared" si="3007"/>
        <v>68.267658980663157</v>
      </c>
      <c r="R1303" s="139">
        <f t="shared" si="3007"/>
        <v>69.026518966096006</v>
      </c>
      <c r="S1303" s="139">
        <f t="shared" si="3007"/>
        <v>69.460941997088</v>
      </c>
      <c r="T1303" s="139">
        <f t="shared" si="3007"/>
        <v>71.47398548502504</v>
      </c>
      <c r="U1303" s="139">
        <f t="shared" si="3007"/>
        <v>73.186136160253312</v>
      </c>
      <c r="V1303" s="139">
        <f t="shared" si="3007"/>
        <v>74.506790188440888</v>
      </c>
      <c r="W1303" s="139">
        <f t="shared" si="3007"/>
        <v>74.255879382484494</v>
      </c>
      <c r="X1303" s="139">
        <f t="shared" si="3007"/>
        <v>75.86496204554534</v>
      </c>
      <c r="Y1303" s="139">
        <f t="shared" ref="Y1303:Z1303" si="3008">Y1302/Y1321</f>
        <v>77.356676209351832</v>
      </c>
      <c r="Z1303" s="139">
        <f t="shared" si="3008"/>
        <v>78.812783661119511</v>
      </c>
      <c r="AA1303" s="139">
        <f t="shared" ref="AA1303:AB1303" si="3009">AA1302/AA1321</f>
        <v>70.620257597571893</v>
      </c>
      <c r="AB1303" s="139">
        <f t="shared" si="3009"/>
        <v>71.673006784579783</v>
      </c>
      <c r="AC1303" s="139">
        <f t="shared" si="3007"/>
        <v>72.946636305125168</v>
      </c>
      <c r="AD1303" s="139">
        <f t="shared" si="3007"/>
        <v>74.114026998427136</v>
      </c>
      <c r="AE1303" s="139">
        <f t="shared" si="3007"/>
        <v>75.14143446346921</v>
      </c>
      <c r="AF1303" s="139">
        <f t="shared" ref="AF1303:AI1303" si="3010">AF1302/AF1321</f>
        <v>76.409499350530595</v>
      </c>
      <c r="AG1303" s="139">
        <f t="shared" si="3010"/>
        <v>77.648222143606574</v>
      </c>
      <c r="AH1303" s="139">
        <f t="shared" si="3010"/>
        <v>78.888501167123025</v>
      </c>
      <c r="AI1303" s="139">
        <f t="shared" si="3010"/>
        <v>80.027113359281842</v>
      </c>
      <c r="AJ1303" s="139"/>
      <c r="AK1303" s="139"/>
      <c r="AL1303" s="139"/>
      <c r="AM1303" s="139"/>
      <c r="AN1303" s="139"/>
      <c r="AO1303" s="139"/>
      <c r="AP1303" s="139"/>
      <c r="AQ1303" s="139"/>
      <c r="AS1303" s="334" t="s">
        <v>437</v>
      </c>
      <c r="AT1303" s="9"/>
      <c r="AU1303" s="139">
        <f t="shared" ref="AU1303:BD1303" si="3011">AU1302/AU1321</f>
        <v>61.459605797484237</v>
      </c>
      <c r="AV1303" s="139">
        <f t="shared" si="3011"/>
        <v>65.117522778291288</v>
      </c>
      <c r="AW1303" s="139">
        <f t="shared" si="3011"/>
        <v>66.046165547802502</v>
      </c>
      <c r="AX1303" s="139">
        <f t="shared" si="3011"/>
        <v>69.460941997088</v>
      </c>
      <c r="AY1303" s="139">
        <f t="shared" si="3011"/>
        <v>74.255879382484494</v>
      </c>
      <c r="AZ1303" s="139">
        <f t="shared" si="3011"/>
        <v>70.620257597571893</v>
      </c>
      <c r="BA1303" s="139">
        <f t="shared" si="3011"/>
        <v>75.14143446346921</v>
      </c>
      <c r="BB1303" s="139">
        <f t="shared" ref="BB1303" si="3012">BB1302/BB1321</f>
        <v>80.027113359281842</v>
      </c>
      <c r="BC1303" s="139">
        <f t="shared" si="3011"/>
        <v>86.395665622931688</v>
      </c>
      <c r="BD1303" s="139">
        <f t="shared" si="3011"/>
        <v>93.822331539914103</v>
      </c>
      <c r="BE1303" s="139">
        <f t="shared" ref="BE1303" si="3013">BE1302/BE1321</f>
        <v>101.87278358767357</v>
      </c>
      <c r="BM1303"/>
      <c r="BN1303"/>
      <c r="BO1303"/>
      <c r="BP1303"/>
      <c r="BQ1303"/>
      <c r="BR1303"/>
    </row>
    <row r="1304" spans="2:70" s="70" customFormat="1" x14ac:dyDescent="0.2">
      <c r="B1304" s="35"/>
      <c r="C1304" s="9"/>
      <c r="D1304" s="81"/>
      <c r="E1304" s="81"/>
      <c r="F1304" s="81"/>
      <c r="G1304" s="81"/>
      <c r="H1304" s="81"/>
      <c r="I1304" s="81"/>
      <c r="J1304" s="81"/>
      <c r="K1304" s="81"/>
      <c r="L1304" s="81"/>
      <c r="M1304" s="81"/>
      <c r="N1304" s="81"/>
      <c r="O1304" s="81"/>
      <c r="P1304" s="81"/>
      <c r="Q1304" s="81"/>
      <c r="R1304" s="81"/>
      <c r="S1304" s="81"/>
      <c r="T1304" s="81"/>
      <c r="U1304" s="81"/>
      <c r="V1304" s="81"/>
      <c r="W1304" s="81"/>
      <c r="X1304" s="81"/>
      <c r="Y1304" s="81"/>
      <c r="Z1304" s="81"/>
      <c r="AA1304" s="81"/>
      <c r="AB1304" s="81"/>
      <c r="AC1304" s="9"/>
      <c r="AD1304" s="9"/>
      <c r="AE1304" s="1740"/>
      <c r="AF1304" s="1740"/>
      <c r="AG1304" s="1740"/>
      <c r="AH1304" s="1740"/>
      <c r="AI1304" s="1707"/>
      <c r="AJ1304" s="1740"/>
      <c r="AK1304" s="1740"/>
      <c r="AL1304" s="1740"/>
      <c r="AM1304" s="1740"/>
      <c r="AN1304" s="1740"/>
      <c r="AO1304" s="1740"/>
      <c r="AP1304" s="1740"/>
      <c r="AQ1304" s="1740"/>
      <c r="AS1304" s="35"/>
      <c r="AT1304" s="9"/>
      <c r="BC1304" s="9"/>
      <c r="BD1304" s="1704"/>
      <c r="BE1304" s="1702"/>
      <c r="BM1304"/>
      <c r="BN1304"/>
      <c r="BO1304"/>
      <c r="BP1304"/>
      <c r="BQ1304"/>
      <c r="BR1304"/>
    </row>
    <row r="1305" spans="2:70" s="70" customFormat="1" x14ac:dyDescent="0.2">
      <c r="B1305" s="110" t="s">
        <v>119</v>
      </c>
      <c r="C1305" s="9"/>
      <c r="D1305" s="81"/>
      <c r="E1305" s="81"/>
      <c r="F1305" s="81"/>
      <c r="G1305" s="81"/>
      <c r="H1305" s="81"/>
      <c r="I1305" s="81"/>
      <c r="J1305" s="81"/>
      <c r="K1305" s="81"/>
      <c r="L1305" s="81"/>
      <c r="M1305" s="81"/>
      <c r="N1305" s="81"/>
      <c r="O1305" s="81"/>
      <c r="P1305" s="81"/>
      <c r="Q1305" s="81"/>
      <c r="R1305" s="81"/>
      <c r="S1305" s="81"/>
      <c r="T1305" s="81"/>
      <c r="U1305" s="81"/>
      <c r="V1305" s="81"/>
      <c r="W1305" s="81"/>
      <c r="X1305" s="81"/>
      <c r="Y1305" s="81"/>
      <c r="Z1305" s="81"/>
      <c r="AA1305" s="81"/>
      <c r="AB1305" s="81"/>
      <c r="AC1305" s="9"/>
      <c r="AD1305" s="9"/>
      <c r="AE1305" s="1740"/>
      <c r="AF1305" s="1740"/>
      <c r="AG1305" s="1740"/>
      <c r="AH1305" s="1740"/>
      <c r="AI1305" s="1707"/>
      <c r="AJ1305" s="1740"/>
      <c r="AK1305" s="1740"/>
      <c r="AL1305" s="1740"/>
      <c r="AM1305" s="1740"/>
      <c r="AN1305" s="1740"/>
      <c r="AO1305" s="1740"/>
      <c r="AP1305" s="1740"/>
      <c r="AQ1305" s="1740"/>
      <c r="AS1305" s="110" t="s">
        <v>119</v>
      </c>
      <c r="AT1305" s="9"/>
      <c r="BC1305" s="9"/>
      <c r="BD1305" s="1704"/>
      <c r="BE1305" s="1702"/>
      <c r="BM1305"/>
      <c r="BN1305"/>
      <c r="BO1305"/>
      <c r="BP1305"/>
      <c r="BQ1305"/>
      <c r="BR1305"/>
    </row>
    <row r="1306" spans="2:70" s="70" customFormat="1" x14ac:dyDescent="0.2">
      <c r="B1306" s="334" t="s">
        <v>51</v>
      </c>
      <c r="C1306" s="369"/>
      <c r="D1306" s="431">
        <f t="shared" ref="D1306:AE1306" si="3014">D868</f>
        <v>181198</v>
      </c>
      <c r="E1306" s="431">
        <f t="shared" si="3014"/>
        <v>183258</v>
      </c>
      <c r="F1306" s="431">
        <f t="shared" si="3014"/>
        <v>186150</v>
      </c>
      <c r="G1306" s="431">
        <f t="shared" si="3014"/>
        <v>186155</v>
      </c>
      <c r="H1306" s="431">
        <f t="shared" si="3014"/>
        <v>189855</v>
      </c>
      <c r="I1306" s="431">
        <f t="shared" si="3014"/>
        <v>191272</v>
      </c>
      <c r="J1306" s="431">
        <f t="shared" si="3014"/>
        <v>195256</v>
      </c>
      <c r="K1306" s="431">
        <f t="shared" si="3014"/>
        <v>197254</v>
      </c>
      <c r="L1306" s="431">
        <f t="shared" si="3014"/>
        <v>200898</v>
      </c>
      <c r="M1306" s="431">
        <f t="shared" si="3014"/>
        <v>202048</v>
      </c>
      <c r="N1306" s="431">
        <f t="shared" si="3014"/>
        <v>202960</v>
      </c>
      <c r="O1306" s="431">
        <f t="shared" si="3014"/>
        <v>199717</v>
      </c>
      <c r="P1306" s="431">
        <f t="shared" si="3014"/>
        <v>202652</v>
      </c>
      <c r="Q1306" s="431">
        <f t="shared" si="3014"/>
        <v>205472</v>
      </c>
      <c r="R1306" s="431">
        <f t="shared" si="3014"/>
        <v>205630</v>
      </c>
      <c r="S1306" s="431">
        <f t="shared" si="3014"/>
        <v>205139</v>
      </c>
      <c r="T1306" s="431">
        <f t="shared" si="3014"/>
        <v>209769</v>
      </c>
      <c r="U1306" s="431">
        <f t="shared" si="3014"/>
        <v>212635</v>
      </c>
      <c r="V1306" s="431">
        <f t="shared" si="3014"/>
        <v>212322</v>
      </c>
      <c r="W1306" s="431">
        <f t="shared" si="3014"/>
        <v>205867</v>
      </c>
      <c r="X1306" s="431">
        <f t="shared" si="3014"/>
        <v>208879</v>
      </c>
      <c r="Y1306" s="431">
        <f t="shared" ref="Y1306:Z1306" si="3015">Y868</f>
        <v>210766</v>
      </c>
      <c r="Z1306" s="431">
        <f t="shared" si="3015"/>
        <v>208381</v>
      </c>
      <c r="AA1306" s="431">
        <f t="shared" ref="AA1306:AB1306" si="3016">AA868</f>
        <v>181487</v>
      </c>
      <c r="AB1306" s="431">
        <f t="shared" si="3016"/>
        <v>182759</v>
      </c>
      <c r="AC1306" s="431">
        <f t="shared" si="3014"/>
        <v>183963.58072771662</v>
      </c>
      <c r="AD1306" s="431">
        <f t="shared" si="3014"/>
        <v>182049.70952223256</v>
      </c>
      <c r="AE1306" s="431">
        <f t="shared" si="3014"/>
        <v>179777.47861195539</v>
      </c>
      <c r="AF1306" s="431">
        <f t="shared" ref="AF1306:AI1306" si="3017">AF868</f>
        <v>178928.75252316543</v>
      </c>
      <c r="AG1306" s="431">
        <f t="shared" si="3017"/>
        <v>177484.95880714731</v>
      </c>
      <c r="AH1306" s="431">
        <f t="shared" si="3017"/>
        <v>176373.32685331046</v>
      </c>
      <c r="AI1306" s="431">
        <f t="shared" si="3017"/>
        <v>175003.5978112811</v>
      </c>
      <c r="AJ1306" s="431"/>
      <c r="AK1306" s="431"/>
      <c r="AL1306" s="431"/>
      <c r="AM1306" s="431"/>
      <c r="AN1306" s="431"/>
      <c r="AO1306" s="431"/>
      <c r="AP1306" s="431"/>
      <c r="AQ1306" s="431"/>
      <c r="AS1306" s="334" t="s">
        <v>51</v>
      </c>
      <c r="AT1306" s="369"/>
      <c r="AU1306" s="467">
        <f>G1306</f>
        <v>186155</v>
      </c>
      <c r="AV1306" s="467">
        <f>K1306</f>
        <v>197254</v>
      </c>
      <c r="AW1306" s="467">
        <f>O1306</f>
        <v>199717</v>
      </c>
      <c r="AX1306" s="467">
        <f>S1306</f>
        <v>205139</v>
      </c>
      <c r="AY1306" s="467">
        <f>W1306</f>
        <v>205867</v>
      </c>
      <c r="AZ1306" s="467">
        <f>AA1306</f>
        <v>181487</v>
      </c>
      <c r="BA1306" s="467">
        <f>AE1306</f>
        <v>179777.47861195539</v>
      </c>
      <c r="BB1306" s="467">
        <f>AI1306</f>
        <v>175003.5978112811</v>
      </c>
      <c r="BC1306" s="431">
        <f>BC868</f>
        <v>177276.00783245653</v>
      </c>
      <c r="BD1306" s="431">
        <f>BD868</f>
        <v>182546.92593710366</v>
      </c>
      <c r="BE1306" s="431">
        <f>BE868</f>
        <v>188036.58875385395</v>
      </c>
      <c r="BM1306"/>
      <c r="BN1306"/>
      <c r="BO1306"/>
      <c r="BP1306"/>
      <c r="BQ1306"/>
      <c r="BR1306"/>
    </row>
    <row r="1307" spans="2:70" s="70" customFormat="1" x14ac:dyDescent="0.2">
      <c r="B1307" s="334" t="s">
        <v>60</v>
      </c>
      <c r="C1307" s="369"/>
      <c r="D1307" s="510"/>
      <c r="E1307" s="510"/>
      <c r="F1307" s="510"/>
      <c r="G1307" s="510"/>
      <c r="H1307" s="510"/>
      <c r="I1307" s="510"/>
      <c r="J1307" s="510"/>
      <c r="K1307" s="510"/>
      <c r="L1307" s="510"/>
      <c r="M1307" s="510"/>
      <c r="N1307" s="510"/>
      <c r="O1307" s="510"/>
      <c r="P1307" s="510"/>
      <c r="Q1307" s="510"/>
      <c r="R1307" s="510"/>
      <c r="S1307" s="510"/>
      <c r="T1307" s="510"/>
      <c r="U1307" s="510"/>
      <c r="V1307" s="510"/>
      <c r="W1307" s="510"/>
      <c r="X1307" s="510"/>
      <c r="Y1307" s="510"/>
      <c r="Z1307" s="510"/>
      <c r="AA1307" s="510"/>
      <c r="AB1307" s="510"/>
      <c r="AC1307" s="510"/>
      <c r="AD1307" s="510"/>
      <c r="AE1307" s="510"/>
      <c r="AF1307" s="510"/>
      <c r="AG1307" s="510"/>
      <c r="AH1307" s="510"/>
      <c r="AI1307" s="510"/>
      <c r="AJ1307" s="510"/>
      <c r="AK1307" s="510"/>
      <c r="AL1307" s="510"/>
      <c r="AM1307" s="510"/>
      <c r="AN1307" s="510"/>
      <c r="AO1307" s="510"/>
      <c r="AP1307" s="510"/>
      <c r="AQ1307" s="510"/>
      <c r="AS1307" s="334" t="s">
        <v>60</v>
      </c>
      <c r="AT1307" s="369"/>
      <c r="BC1307" s="510"/>
      <c r="BD1307" s="510"/>
      <c r="BE1307" s="510"/>
      <c r="BM1307"/>
      <c r="BN1307"/>
      <c r="BO1307"/>
      <c r="BP1307"/>
      <c r="BQ1307"/>
      <c r="BR1307"/>
    </row>
    <row r="1308" spans="2:70" s="70" customFormat="1" x14ac:dyDescent="0.2">
      <c r="B1308" s="334"/>
      <c r="C1308" s="369" t="s">
        <v>110</v>
      </c>
      <c r="D1308" s="431">
        <f t="shared" ref="D1308:AE1308" si="3018">D842</f>
        <v>25810</v>
      </c>
      <c r="E1308" s="431">
        <f t="shared" si="3018"/>
        <v>25483</v>
      </c>
      <c r="F1308" s="431">
        <f t="shared" si="3018"/>
        <v>25915</v>
      </c>
      <c r="G1308" s="431">
        <f t="shared" si="3018"/>
        <v>25673</v>
      </c>
      <c r="H1308" s="431">
        <f t="shared" si="3018"/>
        <v>25474</v>
      </c>
      <c r="I1308" s="431">
        <f t="shared" si="3018"/>
        <v>24896</v>
      </c>
      <c r="J1308" s="431">
        <f t="shared" si="3018"/>
        <v>25098</v>
      </c>
      <c r="K1308" s="431">
        <f t="shared" si="3018"/>
        <v>25009</v>
      </c>
      <c r="L1308" s="431">
        <f t="shared" si="3018"/>
        <v>25008</v>
      </c>
      <c r="M1308" s="431">
        <f t="shared" si="3018"/>
        <v>25087</v>
      </c>
      <c r="N1308" s="431">
        <f t="shared" si="3018"/>
        <v>24500</v>
      </c>
      <c r="O1308" s="431">
        <f t="shared" si="3018"/>
        <v>23592</v>
      </c>
      <c r="P1308" s="431">
        <f t="shared" si="3018"/>
        <v>23150</v>
      </c>
      <c r="Q1308" s="431">
        <f t="shared" si="3018"/>
        <v>23012</v>
      </c>
      <c r="R1308" s="431">
        <f t="shared" si="3018"/>
        <v>22444</v>
      </c>
      <c r="S1308" s="431">
        <f t="shared" si="3018"/>
        <v>22349</v>
      </c>
      <c r="T1308" s="431">
        <f t="shared" si="3018"/>
        <v>22575</v>
      </c>
      <c r="U1308" s="431">
        <f t="shared" si="3018"/>
        <v>22496</v>
      </c>
      <c r="V1308" s="431">
        <f t="shared" si="3018"/>
        <v>22539</v>
      </c>
      <c r="W1308" s="431">
        <f t="shared" si="3018"/>
        <v>21659</v>
      </c>
      <c r="X1308" s="431">
        <f t="shared" si="3018"/>
        <v>22265</v>
      </c>
      <c r="Y1308" s="431">
        <f t="shared" ref="Y1308:Z1308" si="3019">Y842</f>
        <v>22349</v>
      </c>
      <c r="Z1308" s="431">
        <f t="shared" si="3019"/>
        <v>22345</v>
      </c>
      <c r="AA1308" s="431">
        <f t="shared" ref="AA1308" si="3020">AA842</f>
        <v>22256</v>
      </c>
      <c r="AB1308" s="431">
        <f t="shared" ref="AB1308" si="3021">AB842</f>
        <v>22659</v>
      </c>
      <c r="AC1308" s="431">
        <f t="shared" si="3018"/>
        <v>22659</v>
      </c>
      <c r="AD1308" s="431">
        <f t="shared" si="3018"/>
        <v>22659</v>
      </c>
      <c r="AE1308" s="431">
        <f t="shared" si="3018"/>
        <v>22659</v>
      </c>
      <c r="AF1308" s="431">
        <f t="shared" ref="AF1308:AI1308" si="3022">AF842</f>
        <v>22659</v>
      </c>
      <c r="AG1308" s="431">
        <f t="shared" si="3022"/>
        <v>22659</v>
      </c>
      <c r="AH1308" s="431">
        <f t="shared" si="3022"/>
        <v>22659</v>
      </c>
      <c r="AI1308" s="431">
        <f t="shared" si="3022"/>
        <v>22659</v>
      </c>
      <c r="AJ1308" s="431"/>
      <c r="AK1308" s="431"/>
      <c r="AL1308" s="431"/>
      <c r="AM1308" s="431"/>
      <c r="AN1308" s="431"/>
      <c r="AO1308" s="431"/>
      <c r="AP1308" s="431"/>
      <c r="AQ1308" s="431"/>
      <c r="AS1308" s="334"/>
      <c r="AT1308" s="369" t="s">
        <v>110</v>
      </c>
      <c r="AU1308" s="467">
        <f>G1308</f>
        <v>25673</v>
      </c>
      <c r="AV1308" s="467">
        <f>K1308</f>
        <v>25009</v>
      </c>
      <c r="AW1308" s="467">
        <f>O1308</f>
        <v>23592</v>
      </c>
      <c r="AX1308" s="467">
        <f>S1308</f>
        <v>22349</v>
      </c>
      <c r="AY1308" s="467">
        <f>W1308</f>
        <v>21659</v>
      </c>
      <c r="AZ1308" s="467">
        <f>AA1308</f>
        <v>22256</v>
      </c>
      <c r="BA1308" s="467">
        <f>AE1308</f>
        <v>22659</v>
      </c>
      <c r="BB1308" s="467">
        <f>AI1308</f>
        <v>22659</v>
      </c>
      <c r="BC1308" s="431">
        <f t="shared" ref="BC1308:BD1309" si="3023">BC842</f>
        <v>22659</v>
      </c>
      <c r="BD1308" s="431">
        <f t="shared" si="3023"/>
        <v>22659</v>
      </c>
      <c r="BE1308" s="431">
        <f t="shared" ref="BE1308" si="3024">BE842</f>
        <v>22659</v>
      </c>
      <c r="BM1308"/>
      <c r="BN1308"/>
      <c r="BO1308"/>
      <c r="BP1308"/>
      <c r="BQ1308"/>
      <c r="BR1308"/>
    </row>
    <row r="1309" spans="2:70" s="70" customFormat="1" x14ac:dyDescent="0.2">
      <c r="B1309" s="369"/>
      <c r="C1309" s="369" t="s">
        <v>420</v>
      </c>
      <c r="D1309" s="431">
        <f t="shared" ref="D1309:AE1309" si="3025">D843</f>
        <v>6413</v>
      </c>
      <c r="E1309" s="431">
        <f t="shared" si="3025"/>
        <v>6156</v>
      </c>
      <c r="F1309" s="431">
        <f t="shared" si="3025"/>
        <v>5963</v>
      </c>
      <c r="G1309" s="431">
        <f t="shared" si="3025"/>
        <v>5697</v>
      </c>
      <c r="H1309" s="431">
        <f t="shared" si="3025"/>
        <v>5457</v>
      </c>
      <c r="I1309" s="431">
        <f t="shared" si="3025"/>
        <v>4981</v>
      </c>
      <c r="J1309" s="431">
        <f t="shared" si="3025"/>
        <v>4888</v>
      </c>
      <c r="K1309" s="431">
        <f t="shared" si="3025"/>
        <v>5056</v>
      </c>
      <c r="L1309" s="431">
        <f t="shared" si="3025"/>
        <v>4891</v>
      </c>
      <c r="M1309" s="431">
        <f t="shared" si="3025"/>
        <v>4702</v>
      </c>
      <c r="N1309" s="431">
        <f t="shared" si="3025"/>
        <v>4525</v>
      </c>
      <c r="O1309" s="431">
        <f t="shared" si="3025"/>
        <v>4566</v>
      </c>
      <c r="P1309" s="431">
        <f t="shared" si="3025"/>
        <v>4244</v>
      </c>
      <c r="Q1309" s="431">
        <f t="shared" si="3025"/>
        <v>4071</v>
      </c>
      <c r="R1309" s="431">
        <f t="shared" si="3025"/>
        <v>3880</v>
      </c>
      <c r="S1309" s="431">
        <f t="shared" si="3025"/>
        <v>3721</v>
      </c>
      <c r="T1309" s="431">
        <f t="shared" si="3025"/>
        <v>3493</v>
      </c>
      <c r="U1309" s="431">
        <f t="shared" si="3025"/>
        <v>5521</v>
      </c>
      <c r="V1309" s="431">
        <f t="shared" si="3025"/>
        <v>5358</v>
      </c>
      <c r="W1309" s="431">
        <f t="shared" si="3025"/>
        <v>5114</v>
      </c>
      <c r="X1309" s="431">
        <f t="shared" si="3025"/>
        <v>5013</v>
      </c>
      <c r="Y1309" s="431">
        <f t="shared" ref="Y1309:Z1309" si="3026">Y843</f>
        <v>4887</v>
      </c>
      <c r="Z1309" s="431">
        <f t="shared" si="3026"/>
        <v>4732</v>
      </c>
      <c r="AA1309" s="431">
        <f t="shared" ref="AA1309" si="3027">AA843</f>
        <v>4588</v>
      </c>
      <c r="AB1309" s="431">
        <f t="shared" ref="AB1309" si="3028">AB843</f>
        <v>4450</v>
      </c>
      <c r="AC1309" s="431">
        <f t="shared" si="3025"/>
        <v>4450</v>
      </c>
      <c r="AD1309" s="431">
        <f t="shared" si="3025"/>
        <v>4450</v>
      </c>
      <c r="AE1309" s="431">
        <f t="shared" si="3025"/>
        <v>4450</v>
      </c>
      <c r="AF1309" s="431">
        <f t="shared" ref="AF1309:AI1309" si="3029">AF843</f>
        <v>4450</v>
      </c>
      <c r="AG1309" s="431">
        <f t="shared" si="3029"/>
        <v>4450</v>
      </c>
      <c r="AH1309" s="431">
        <f t="shared" si="3029"/>
        <v>4450</v>
      </c>
      <c r="AI1309" s="431">
        <f t="shared" si="3029"/>
        <v>4450</v>
      </c>
      <c r="AJ1309" s="431"/>
      <c r="AK1309" s="431"/>
      <c r="AL1309" s="431"/>
      <c r="AM1309" s="431"/>
      <c r="AN1309" s="431"/>
      <c r="AO1309" s="431"/>
      <c r="AP1309" s="431"/>
      <c r="AQ1309" s="431"/>
      <c r="AS1309" s="369"/>
      <c r="AT1309" s="369" t="s">
        <v>420</v>
      </c>
      <c r="AU1309" s="467">
        <f>G1309</f>
        <v>5697</v>
      </c>
      <c r="AV1309" s="467">
        <f>K1309</f>
        <v>5056</v>
      </c>
      <c r="AW1309" s="467">
        <f>O1309</f>
        <v>4566</v>
      </c>
      <c r="AX1309" s="467">
        <f>S1309</f>
        <v>3721</v>
      </c>
      <c r="AY1309" s="467">
        <f>W1309</f>
        <v>5114</v>
      </c>
      <c r="AZ1309" s="467">
        <f>AA1309</f>
        <v>4588</v>
      </c>
      <c r="BA1309" s="467">
        <f>AE1309</f>
        <v>4450</v>
      </c>
      <c r="BB1309" s="467">
        <f>AI1309</f>
        <v>4450</v>
      </c>
      <c r="BC1309" s="431">
        <f t="shared" si="3023"/>
        <v>4450</v>
      </c>
      <c r="BD1309" s="431">
        <f t="shared" si="3023"/>
        <v>4450</v>
      </c>
      <c r="BE1309" s="431">
        <f t="shared" ref="BE1309" si="3030">BE843</f>
        <v>4450</v>
      </c>
      <c r="BM1309"/>
      <c r="BN1309"/>
      <c r="BO1309"/>
      <c r="BP1309"/>
      <c r="BQ1309"/>
      <c r="BR1309"/>
    </row>
    <row r="1310" spans="2:70" s="70" customFormat="1" x14ac:dyDescent="0.2">
      <c r="B1310" s="369"/>
      <c r="C1310" s="785" t="s">
        <v>421</v>
      </c>
      <c r="D1310" s="105">
        <v>3</v>
      </c>
      <c r="E1310" s="105">
        <v>0</v>
      </c>
      <c r="F1310" s="105">
        <v>37</v>
      </c>
      <c r="G1310" s="105">
        <v>32</v>
      </c>
      <c r="H1310" s="105">
        <v>2</v>
      </c>
      <c r="I1310" s="105">
        <v>267</v>
      </c>
      <c r="J1310" s="105">
        <v>267</v>
      </c>
      <c r="K1310" s="105">
        <v>0</v>
      </c>
      <c r="L1310" s="105">
        <v>0</v>
      </c>
      <c r="M1310" s="105">
        <v>116</v>
      </c>
      <c r="N1310" s="105">
        <v>0</v>
      </c>
      <c r="O1310" s="105">
        <v>71</v>
      </c>
      <c r="P1310" s="105">
        <v>297</v>
      </c>
      <c r="Q1310" s="105">
        <v>274</v>
      </c>
      <c r="R1310" s="105">
        <v>345</v>
      </c>
      <c r="S1310" s="105">
        <v>68</v>
      </c>
      <c r="T1310" s="105">
        <v>30</v>
      </c>
      <c r="U1310" s="105">
        <v>30</v>
      </c>
      <c r="V1310" s="105">
        <v>30</v>
      </c>
      <c r="W1310" s="105">
        <v>72</v>
      </c>
      <c r="X1310" s="105">
        <v>48</v>
      </c>
      <c r="Y1310" s="105">
        <v>120</v>
      </c>
      <c r="Z1310" s="105">
        <v>48</v>
      </c>
      <c r="AA1310" s="105">
        <v>32</v>
      </c>
      <c r="AB1310" s="105">
        <v>48</v>
      </c>
      <c r="AC1310" s="196">
        <v>0</v>
      </c>
      <c r="AD1310" s="196">
        <v>0</v>
      </c>
      <c r="AE1310" s="196">
        <v>0</v>
      </c>
      <c r="AF1310" s="196">
        <v>0</v>
      </c>
      <c r="AG1310" s="196">
        <v>0</v>
      </c>
      <c r="AH1310" s="196">
        <v>0</v>
      </c>
      <c r="AI1310" s="196">
        <v>0</v>
      </c>
      <c r="AJ1310" s="196"/>
      <c r="AK1310" s="196"/>
      <c r="AL1310" s="196"/>
      <c r="AM1310" s="196"/>
      <c r="AN1310" s="196"/>
      <c r="AO1310" s="196"/>
      <c r="AP1310" s="196"/>
      <c r="AQ1310" s="196"/>
      <c r="AS1310" s="369"/>
      <c r="AT1310" s="785" t="s">
        <v>421</v>
      </c>
      <c r="AU1310" s="467">
        <f>G1310</f>
        <v>32</v>
      </c>
      <c r="AV1310" s="467">
        <f>K1310</f>
        <v>0</v>
      </c>
      <c r="AW1310" s="467">
        <f>O1310</f>
        <v>71</v>
      </c>
      <c r="AX1310" s="467">
        <f>S1310</f>
        <v>68</v>
      </c>
      <c r="AY1310" s="467">
        <f>W1310</f>
        <v>72</v>
      </c>
      <c r="AZ1310" s="467">
        <f>AA1310</f>
        <v>32</v>
      </c>
      <c r="BA1310" s="467">
        <f>AE1310</f>
        <v>0</v>
      </c>
      <c r="BB1310" s="467">
        <f>AI1310</f>
        <v>0</v>
      </c>
      <c r="BC1310" s="196">
        <v>0</v>
      </c>
      <c r="BD1310" s="196">
        <v>0</v>
      </c>
      <c r="BE1310" s="196">
        <v>0</v>
      </c>
      <c r="BM1310"/>
      <c r="BN1310"/>
      <c r="BO1310"/>
      <c r="BP1310"/>
      <c r="BQ1310"/>
      <c r="BR1310"/>
    </row>
    <row r="1311" spans="2:70" s="70" customFormat="1" x14ac:dyDescent="0.2">
      <c r="B1311" s="369"/>
      <c r="C1311" s="785" t="s">
        <v>422</v>
      </c>
      <c r="D1311" s="443">
        <v>41</v>
      </c>
      <c r="E1311" s="443">
        <v>38</v>
      </c>
      <c r="F1311" s="443">
        <v>35</v>
      </c>
      <c r="G1311" s="443">
        <v>32</v>
      </c>
      <c r="H1311" s="443">
        <v>0</v>
      </c>
      <c r="I1311" s="443">
        <v>0</v>
      </c>
      <c r="J1311" s="443">
        <v>0</v>
      </c>
      <c r="K1311" s="443">
        <v>0</v>
      </c>
      <c r="L1311" s="443">
        <v>0</v>
      </c>
      <c r="M1311" s="443">
        <v>0</v>
      </c>
      <c r="N1311" s="443">
        <v>0</v>
      </c>
      <c r="O1311" s="443">
        <v>0</v>
      </c>
      <c r="P1311" s="443">
        <v>0</v>
      </c>
      <c r="Q1311" s="443">
        <v>0</v>
      </c>
      <c r="R1311" s="443">
        <v>0</v>
      </c>
      <c r="S1311" s="443">
        <v>0</v>
      </c>
      <c r="T1311" s="443">
        <v>0</v>
      </c>
      <c r="U1311" s="443">
        <v>0</v>
      </c>
      <c r="V1311" s="443">
        <v>0</v>
      </c>
      <c r="W1311" s="443">
        <v>0</v>
      </c>
      <c r="X1311" s="443">
        <v>0</v>
      </c>
      <c r="Y1311" s="443">
        <v>0</v>
      </c>
      <c r="Z1311" s="443">
        <v>0</v>
      </c>
      <c r="AA1311" s="443">
        <v>0</v>
      </c>
      <c r="AB1311" s="443">
        <v>0</v>
      </c>
      <c r="AC1311" s="225">
        <v>0</v>
      </c>
      <c r="AD1311" s="225">
        <v>0</v>
      </c>
      <c r="AE1311" s="225">
        <v>0</v>
      </c>
      <c r="AF1311" s="225">
        <v>0</v>
      </c>
      <c r="AG1311" s="225">
        <v>0</v>
      </c>
      <c r="AH1311" s="225">
        <v>0</v>
      </c>
      <c r="AI1311" s="225">
        <v>0</v>
      </c>
      <c r="AJ1311" s="1772"/>
      <c r="AK1311" s="1772"/>
      <c r="AL1311" s="1772"/>
      <c r="AM1311" s="1772"/>
      <c r="AN1311" s="1772"/>
      <c r="AO1311" s="1772"/>
      <c r="AP1311" s="1772"/>
      <c r="AQ1311" s="1772"/>
      <c r="AS1311" s="369"/>
      <c r="AT1311" s="785" t="s">
        <v>422</v>
      </c>
      <c r="AU1311" s="532">
        <f>G1311</f>
        <v>32</v>
      </c>
      <c r="AV1311" s="532">
        <f>K1311</f>
        <v>0</v>
      </c>
      <c r="AW1311" s="532">
        <f>O1311</f>
        <v>0</v>
      </c>
      <c r="AX1311" s="532">
        <f>S1311</f>
        <v>0</v>
      </c>
      <c r="AY1311" s="532">
        <f>W1311</f>
        <v>0</v>
      </c>
      <c r="AZ1311" s="532">
        <f>AA1311</f>
        <v>0</v>
      </c>
      <c r="BA1311" s="532">
        <f>AE1311</f>
        <v>0</v>
      </c>
      <c r="BB1311" s="532">
        <f>AI1311</f>
        <v>0</v>
      </c>
      <c r="BC1311" s="225">
        <v>0</v>
      </c>
      <c r="BD1311" s="225">
        <v>0</v>
      </c>
      <c r="BE1311" s="225">
        <v>0</v>
      </c>
      <c r="BM1311"/>
      <c r="BN1311"/>
      <c r="BO1311"/>
      <c r="BP1311"/>
      <c r="BQ1311"/>
      <c r="BR1311"/>
    </row>
    <row r="1312" spans="2:70" s="70" customFormat="1" x14ac:dyDescent="0.2">
      <c r="B1312" s="369" t="s">
        <v>992</v>
      </c>
      <c r="C1312" s="369"/>
      <c r="D1312" s="518">
        <f t="shared" ref="D1312:AE1312" si="3031">D1306-SUM(D1308:D1311)</f>
        <v>148931</v>
      </c>
      <c r="E1312" s="518">
        <f t="shared" si="3031"/>
        <v>151581</v>
      </c>
      <c r="F1312" s="518">
        <f t="shared" si="3031"/>
        <v>154200</v>
      </c>
      <c r="G1312" s="518">
        <f t="shared" si="3031"/>
        <v>154721</v>
      </c>
      <c r="H1312" s="518">
        <f t="shared" si="3031"/>
        <v>158922</v>
      </c>
      <c r="I1312" s="518">
        <f t="shared" si="3031"/>
        <v>161128</v>
      </c>
      <c r="J1312" s="518">
        <f t="shared" si="3031"/>
        <v>165003</v>
      </c>
      <c r="K1312" s="518">
        <f t="shared" si="3031"/>
        <v>167189</v>
      </c>
      <c r="L1312" s="518">
        <f t="shared" si="3031"/>
        <v>170999</v>
      </c>
      <c r="M1312" s="518">
        <f t="shared" si="3031"/>
        <v>172143</v>
      </c>
      <c r="N1312" s="518">
        <f t="shared" si="3031"/>
        <v>173935</v>
      </c>
      <c r="O1312" s="518">
        <f t="shared" si="3031"/>
        <v>171488</v>
      </c>
      <c r="P1312" s="518">
        <f t="shared" si="3031"/>
        <v>174961</v>
      </c>
      <c r="Q1312" s="518">
        <f t="shared" si="3031"/>
        <v>178115</v>
      </c>
      <c r="R1312" s="518">
        <f t="shared" si="3031"/>
        <v>178961</v>
      </c>
      <c r="S1312" s="518">
        <f t="shared" si="3031"/>
        <v>179001</v>
      </c>
      <c r="T1312" s="518">
        <f t="shared" si="3031"/>
        <v>183671</v>
      </c>
      <c r="U1312" s="518">
        <f t="shared" si="3031"/>
        <v>184588</v>
      </c>
      <c r="V1312" s="518">
        <f t="shared" si="3031"/>
        <v>184395</v>
      </c>
      <c r="W1312" s="518">
        <f t="shared" si="3031"/>
        <v>179022</v>
      </c>
      <c r="X1312" s="518">
        <f t="shared" si="3031"/>
        <v>181553</v>
      </c>
      <c r="Y1312" s="518">
        <f t="shared" ref="Y1312:Z1312" si="3032">Y1306-SUM(Y1308:Y1311)</f>
        <v>183410</v>
      </c>
      <c r="Z1312" s="518">
        <f t="shared" si="3032"/>
        <v>181256</v>
      </c>
      <c r="AA1312" s="518">
        <f t="shared" ref="AA1312" si="3033">AA1306-SUM(AA1308:AA1311)</f>
        <v>154611</v>
      </c>
      <c r="AB1312" s="518">
        <f t="shared" ref="AB1312" si="3034">AB1306-SUM(AB1308:AB1311)</f>
        <v>155602</v>
      </c>
      <c r="AC1312" s="518">
        <f t="shared" si="3031"/>
        <v>156854.58072771662</v>
      </c>
      <c r="AD1312" s="518">
        <f t="shared" si="3031"/>
        <v>154940.70952223256</v>
      </c>
      <c r="AE1312" s="518">
        <f t="shared" si="3031"/>
        <v>152668.47861195539</v>
      </c>
      <c r="AF1312" s="518">
        <f t="shared" ref="AF1312:AI1312" si="3035">AF1306-SUM(AF1308:AF1311)</f>
        <v>151819.75252316543</v>
      </c>
      <c r="AG1312" s="518">
        <f t="shared" si="3035"/>
        <v>150375.95880714731</v>
      </c>
      <c r="AH1312" s="518">
        <f t="shared" si="3035"/>
        <v>149264.32685331046</v>
      </c>
      <c r="AI1312" s="518">
        <f t="shared" si="3035"/>
        <v>147894.5978112811</v>
      </c>
      <c r="AJ1312" s="379"/>
      <c r="AK1312" s="379"/>
      <c r="AL1312" s="379"/>
      <c r="AM1312" s="379"/>
      <c r="AN1312" s="379"/>
      <c r="AO1312" s="379"/>
      <c r="AP1312" s="379"/>
      <c r="AQ1312" s="379"/>
      <c r="AS1312" s="369" t="s">
        <v>119</v>
      </c>
      <c r="AT1312" s="369"/>
      <c r="AU1312" s="379">
        <f t="shared" ref="AU1312:BD1312" si="3036">AU1306-SUM(AU1308:AU1311)</f>
        <v>154721</v>
      </c>
      <c r="AV1312" s="379">
        <f t="shared" si="3036"/>
        <v>167189</v>
      </c>
      <c r="AW1312" s="379">
        <f t="shared" si="3036"/>
        <v>171488</v>
      </c>
      <c r="AX1312" s="379">
        <f t="shared" si="3036"/>
        <v>179001</v>
      </c>
      <c r="AY1312" s="379">
        <f t="shared" si="3036"/>
        <v>179022</v>
      </c>
      <c r="AZ1312" s="379">
        <f t="shared" si="3036"/>
        <v>154611</v>
      </c>
      <c r="BA1312" s="379">
        <f t="shared" si="3036"/>
        <v>152668.47861195539</v>
      </c>
      <c r="BB1312" s="379">
        <f t="shared" ref="BB1312" si="3037">BB1306-SUM(BB1308:BB1311)</f>
        <v>147894.5978112811</v>
      </c>
      <c r="BC1312" s="518">
        <f t="shared" si="3036"/>
        <v>150167.00783245653</v>
      </c>
      <c r="BD1312" s="518">
        <f t="shared" si="3036"/>
        <v>155437.92593710366</v>
      </c>
      <c r="BE1312" s="518">
        <f t="shared" ref="BE1312" si="3038">BE1306-SUM(BE1308:BE1311)</f>
        <v>160927.58875385395</v>
      </c>
      <c r="BM1312"/>
      <c r="BN1312"/>
      <c r="BO1312"/>
      <c r="BP1312"/>
      <c r="BQ1312"/>
      <c r="BR1312"/>
    </row>
    <row r="1313" spans="2:70" s="70" customFormat="1" x14ac:dyDescent="0.2">
      <c r="B1313" s="369"/>
      <c r="C1313" s="369" t="s">
        <v>993</v>
      </c>
      <c r="D1313" s="356" t="s">
        <v>229</v>
      </c>
      <c r="E1313" s="379">
        <f>AVERAGE(D1312:E1312)</f>
        <v>150256</v>
      </c>
      <c r="F1313" s="379">
        <f t="shared" ref="F1313:AE1313" si="3039">AVERAGE(E1312:F1312)</f>
        <v>152890.5</v>
      </c>
      <c r="G1313" s="379">
        <f t="shared" si="3039"/>
        <v>154460.5</v>
      </c>
      <c r="H1313" s="379">
        <f t="shared" si="3039"/>
        <v>156821.5</v>
      </c>
      <c r="I1313" s="379">
        <f t="shared" si="3039"/>
        <v>160025</v>
      </c>
      <c r="J1313" s="379">
        <f t="shared" si="3039"/>
        <v>163065.5</v>
      </c>
      <c r="K1313" s="379">
        <f t="shared" si="3039"/>
        <v>166096</v>
      </c>
      <c r="L1313" s="379">
        <f t="shared" si="3039"/>
        <v>169094</v>
      </c>
      <c r="M1313" s="379">
        <f t="shared" si="3039"/>
        <v>171571</v>
      </c>
      <c r="N1313" s="379">
        <f t="shared" si="3039"/>
        <v>173039</v>
      </c>
      <c r="O1313" s="379">
        <f t="shared" si="3039"/>
        <v>172711.5</v>
      </c>
      <c r="P1313" s="379">
        <f t="shared" si="3039"/>
        <v>173224.5</v>
      </c>
      <c r="Q1313" s="379">
        <f t="shared" si="3039"/>
        <v>176538</v>
      </c>
      <c r="R1313" s="379">
        <f t="shared" si="3039"/>
        <v>178538</v>
      </c>
      <c r="S1313" s="379">
        <f t="shared" si="3039"/>
        <v>178981</v>
      </c>
      <c r="T1313" s="379">
        <f t="shared" si="3039"/>
        <v>181336</v>
      </c>
      <c r="U1313" s="379">
        <f t="shared" si="3039"/>
        <v>184129.5</v>
      </c>
      <c r="V1313" s="379">
        <f t="shared" si="3039"/>
        <v>184491.5</v>
      </c>
      <c r="W1313" s="379">
        <f t="shared" si="3039"/>
        <v>181708.5</v>
      </c>
      <c r="X1313" s="379">
        <f t="shared" si="3039"/>
        <v>180287.5</v>
      </c>
      <c r="Y1313" s="379">
        <f t="shared" si="3039"/>
        <v>182481.5</v>
      </c>
      <c r="Z1313" s="379">
        <f t="shared" si="3039"/>
        <v>182333</v>
      </c>
      <c r="AA1313" s="379">
        <f t="shared" si="3039"/>
        <v>167933.5</v>
      </c>
      <c r="AB1313" s="379">
        <f t="shared" si="3039"/>
        <v>155106.5</v>
      </c>
      <c r="AC1313" s="379">
        <f t="shared" si="3039"/>
        <v>156228.29036385831</v>
      </c>
      <c r="AD1313" s="379">
        <f t="shared" si="3039"/>
        <v>155897.6451249746</v>
      </c>
      <c r="AE1313" s="379">
        <f t="shared" si="3039"/>
        <v>153804.59406709397</v>
      </c>
      <c r="AF1313" s="379">
        <f t="shared" ref="AF1313" si="3040">AVERAGE(AE1312:AF1312)</f>
        <v>152244.11556756042</v>
      </c>
      <c r="AG1313" s="379">
        <f t="shared" ref="AG1313" si="3041">AVERAGE(AF1312:AG1312)</f>
        <v>151097.85566515638</v>
      </c>
      <c r="AH1313" s="379">
        <f t="shared" ref="AH1313" si="3042">AVERAGE(AG1312:AH1312)</f>
        <v>149820.1428302289</v>
      </c>
      <c r="AI1313" s="379">
        <f t="shared" ref="AI1313" si="3043">AVERAGE(AH1312:AI1312)</f>
        <v>148579.46233229578</v>
      </c>
      <c r="AJ1313" s="379"/>
      <c r="AK1313" s="379"/>
      <c r="AL1313" s="379"/>
      <c r="AM1313" s="379"/>
      <c r="AN1313" s="379"/>
      <c r="AO1313" s="379"/>
      <c r="AP1313" s="379"/>
      <c r="AQ1313" s="379"/>
      <c r="AS1313" s="369"/>
      <c r="AT1313" s="369" t="s">
        <v>993</v>
      </c>
      <c r="AU1313" s="207">
        <f>AVERAGE(D1313:G1313)</f>
        <v>152535.66666666666</v>
      </c>
      <c r="AV1313" s="207">
        <f>AVERAGE(H1313:K1313)</f>
        <v>161502</v>
      </c>
      <c r="AW1313" s="207">
        <f>AVERAGE(L1313:O1313)</f>
        <v>171603.875</v>
      </c>
      <c r="AX1313" s="207">
        <f>AVERAGE(P1313:S1313)</f>
        <v>176820.375</v>
      </c>
      <c r="AY1313" s="207">
        <f>AVERAGE(T1313:W1313)</f>
        <v>182916.375</v>
      </c>
      <c r="AZ1313" s="207">
        <f>AVERAGE(X1313:AA1313)</f>
        <v>178258.875</v>
      </c>
      <c r="BA1313" s="207">
        <f>AVERAGE(AB1313:AE1313)</f>
        <v>155259.25738898173</v>
      </c>
      <c r="BB1313" s="207">
        <f>AVERAGE(AF1313:AI1313)</f>
        <v>150435.39409881039</v>
      </c>
      <c r="BC1313" s="379">
        <f t="shared" ref="BC1313" si="3044">AVERAGE(BB1312:BC1312)</f>
        <v>149030.8028218688</v>
      </c>
      <c r="BD1313" s="379">
        <f t="shared" ref="BD1313:BE1313" si="3045">AVERAGE(BC1312:BD1312)</f>
        <v>152802.46688478009</v>
      </c>
      <c r="BE1313" s="379">
        <f t="shared" si="3045"/>
        <v>158182.75734547881</v>
      </c>
      <c r="BM1313"/>
      <c r="BN1313"/>
      <c r="BO1313"/>
      <c r="BP1313"/>
      <c r="BQ1313"/>
      <c r="BR1313"/>
    </row>
    <row r="1314" spans="2:70" s="70" customFormat="1" x14ac:dyDescent="0.2">
      <c r="B1314" s="369"/>
      <c r="C1314" s="369"/>
      <c r="D1314" s="379"/>
      <c r="E1314" s="379"/>
      <c r="F1314" s="379"/>
      <c r="G1314" s="379"/>
      <c r="H1314" s="379"/>
      <c r="I1314" s="379"/>
      <c r="J1314" s="379"/>
      <c r="K1314" s="379"/>
      <c r="L1314" s="379"/>
      <c r="M1314" s="379"/>
      <c r="N1314" s="379"/>
      <c r="O1314" s="379"/>
      <c r="P1314" s="379"/>
      <c r="Q1314" s="379"/>
      <c r="R1314" s="379"/>
      <c r="S1314" s="379"/>
      <c r="T1314" s="379"/>
      <c r="U1314" s="379"/>
      <c r="V1314" s="379"/>
      <c r="W1314" s="379"/>
      <c r="X1314" s="379"/>
      <c r="Y1314" s="379"/>
      <c r="Z1314" s="379"/>
      <c r="AA1314" s="379"/>
      <c r="AB1314" s="379"/>
      <c r="AC1314" s="379"/>
      <c r="AD1314" s="379"/>
      <c r="AE1314" s="379"/>
      <c r="AF1314" s="379"/>
      <c r="AG1314" s="379"/>
      <c r="AH1314" s="379"/>
      <c r="AI1314" s="379"/>
      <c r="AJ1314" s="379"/>
      <c r="AK1314" s="379"/>
      <c r="AL1314" s="379"/>
      <c r="AM1314" s="379"/>
      <c r="AN1314" s="379"/>
      <c r="AO1314" s="379"/>
      <c r="AP1314" s="379"/>
      <c r="AQ1314" s="379"/>
      <c r="AS1314" s="369"/>
      <c r="AT1314" s="369"/>
      <c r="BC1314" s="379"/>
      <c r="BD1314" s="379"/>
      <c r="BE1314" s="379"/>
      <c r="BM1314"/>
      <c r="BN1314"/>
      <c r="BO1314"/>
      <c r="BP1314"/>
      <c r="BQ1314"/>
      <c r="BR1314"/>
    </row>
    <row r="1315" spans="2:70" s="70" customFormat="1" x14ac:dyDescent="0.2">
      <c r="B1315" s="334" t="s">
        <v>120</v>
      </c>
      <c r="C1315" s="382"/>
      <c r="D1315" s="786">
        <f t="shared" ref="D1315:AE1315" si="3046">D1312/D1321</f>
        <v>50.791555828388248</v>
      </c>
      <c r="E1315" s="786">
        <f t="shared" si="3046"/>
        <v>51.690025575447571</v>
      </c>
      <c r="F1315" s="786">
        <f t="shared" si="3046"/>
        <v>52.583120204603581</v>
      </c>
      <c r="G1315" s="786">
        <f t="shared" si="3046"/>
        <v>51.081580771897386</v>
      </c>
      <c r="H1315" s="786">
        <f t="shared" si="3046"/>
        <v>52.227151730257319</v>
      </c>
      <c r="I1315" s="786">
        <f t="shared" si="3046"/>
        <v>52.985202236106545</v>
      </c>
      <c r="J1315" s="786">
        <f t="shared" si="3046"/>
        <v>54.402571711177053</v>
      </c>
      <c r="K1315" s="786">
        <f t="shared" si="3046"/>
        <v>55.192460055460188</v>
      </c>
      <c r="L1315" s="786">
        <f t="shared" si="3046"/>
        <v>56.290407531766405</v>
      </c>
      <c r="M1315" s="786">
        <f t="shared" si="3046"/>
        <v>56.779141104294474</v>
      </c>
      <c r="N1315" s="786">
        <f t="shared" si="3046"/>
        <v>57.413764647631623</v>
      </c>
      <c r="O1315" s="786">
        <f t="shared" si="3046"/>
        <v>56.710870068454646</v>
      </c>
      <c r="P1315" s="786">
        <f t="shared" si="3046"/>
        <v>57.664875910484163</v>
      </c>
      <c r="Q1315" s="786">
        <f t="shared" si="3046"/>
        <v>59.178350720978138</v>
      </c>
      <c r="R1315" s="786">
        <f t="shared" si="3046"/>
        <v>60.074185968445789</v>
      </c>
      <c r="S1315" s="786">
        <f t="shared" si="3046"/>
        <v>60.610503504554224</v>
      </c>
      <c r="T1315" s="786">
        <f t="shared" si="3046"/>
        <v>62.581689325019589</v>
      </c>
      <c r="U1315" s="786">
        <f t="shared" si="3046"/>
        <v>63.532732153920286</v>
      </c>
      <c r="V1315" s="786">
        <f t="shared" si="3046"/>
        <v>64.706811243288769</v>
      </c>
      <c r="W1315" s="786">
        <f t="shared" si="3046"/>
        <v>64.572933198672629</v>
      </c>
      <c r="X1315" s="786">
        <f t="shared" si="3046"/>
        <v>65.940144553808153</v>
      </c>
      <c r="Y1315" s="786">
        <f t="shared" ref="Y1315:Z1315" si="3047">Y1312/Y1321</f>
        <v>67.316303310577695</v>
      </c>
      <c r="Z1315" s="786">
        <f t="shared" si="3047"/>
        <v>68.553706505295011</v>
      </c>
      <c r="AA1315" s="786">
        <f t="shared" ref="AA1315" si="3048">AA1312/AA1321</f>
        <v>60.162263123078716</v>
      </c>
      <c r="AB1315" s="786">
        <f t="shared" ref="AB1315" si="3049">AB1312/AB1321</f>
        <v>61.022785207263027</v>
      </c>
      <c r="AC1315" s="786">
        <f t="shared" si="3046"/>
        <v>62.197169721722773</v>
      </c>
      <c r="AD1315" s="786">
        <f t="shared" si="3046"/>
        <v>63.077716294207114</v>
      </c>
      <c r="AE1315" s="786">
        <f t="shared" si="3046"/>
        <v>63.810709599611194</v>
      </c>
      <c r="AF1315" s="786">
        <f t="shared" ref="AF1315:AI1315" si="3050">AF1312/AF1321</f>
        <v>64.832907613965745</v>
      </c>
      <c r="AG1315" s="786">
        <f t="shared" si="3050"/>
        <v>65.788255709052208</v>
      </c>
      <c r="AH1315" s="786">
        <f t="shared" si="3050"/>
        <v>66.763150830457889</v>
      </c>
      <c r="AI1315" s="786">
        <f t="shared" si="3050"/>
        <v>67.630482414606917</v>
      </c>
      <c r="AJ1315" s="786"/>
      <c r="AK1315" s="786"/>
      <c r="AL1315" s="786"/>
      <c r="AM1315" s="786"/>
      <c r="AN1315" s="786"/>
      <c r="AO1315" s="786"/>
      <c r="AP1315" s="786"/>
      <c r="AQ1315" s="786"/>
      <c r="AS1315" s="334" t="s">
        <v>120</v>
      </c>
      <c r="AT1315" s="382"/>
      <c r="AU1315" s="786">
        <f t="shared" ref="AU1315:BD1315" si="3051">AU1312/AU1321</f>
        <v>51.081580771897386</v>
      </c>
      <c r="AV1315" s="786">
        <f t="shared" si="3051"/>
        <v>55.192460055460181</v>
      </c>
      <c r="AW1315" s="786">
        <f t="shared" si="3051"/>
        <v>56.710870068454646</v>
      </c>
      <c r="AX1315" s="786">
        <f t="shared" si="3051"/>
        <v>60.610503504554224</v>
      </c>
      <c r="AY1315" s="786">
        <f t="shared" si="3051"/>
        <v>64.572933198672629</v>
      </c>
      <c r="AZ1315" s="786">
        <f t="shared" si="3051"/>
        <v>60.162263123078716</v>
      </c>
      <c r="BA1315" s="786">
        <f t="shared" si="3051"/>
        <v>63.810709599611194</v>
      </c>
      <c r="BB1315" s="786">
        <f t="shared" ref="BB1315" si="3052">BB1312/BB1321</f>
        <v>67.630482414606917</v>
      </c>
      <c r="BC1315" s="786">
        <f t="shared" si="3051"/>
        <v>73.184063398757203</v>
      </c>
      <c r="BD1315" s="786">
        <f t="shared" si="3051"/>
        <v>79.889313645151702</v>
      </c>
      <c r="BE1315" s="786">
        <f t="shared" ref="BE1315" si="3053">BE1312/BE1321</f>
        <v>87.185911694388167</v>
      </c>
      <c r="BM1315"/>
      <c r="BN1315"/>
      <c r="BO1315"/>
      <c r="BP1315"/>
      <c r="BQ1315"/>
      <c r="BR1315"/>
    </row>
    <row r="1316" spans="2:70" s="70" customFormat="1" x14ac:dyDescent="0.2">
      <c r="B1316" s="35"/>
      <c r="C1316" s="9"/>
      <c r="D1316" s="81"/>
      <c r="E1316" s="81"/>
      <c r="F1316" s="81"/>
      <c r="G1316" s="81"/>
      <c r="H1316" s="81"/>
      <c r="I1316" s="81"/>
      <c r="J1316" s="81"/>
      <c r="K1316" s="81"/>
      <c r="L1316" s="81"/>
      <c r="M1316" s="81"/>
      <c r="N1316" s="81"/>
      <c r="O1316" s="81"/>
      <c r="P1316" s="81"/>
      <c r="Q1316" s="81"/>
      <c r="R1316" s="81"/>
      <c r="S1316" s="81"/>
      <c r="T1316" s="81"/>
      <c r="U1316" s="81"/>
      <c r="V1316" s="81"/>
      <c r="W1316" s="81"/>
      <c r="X1316" s="81"/>
      <c r="Y1316" s="81"/>
      <c r="Z1316" s="81"/>
      <c r="AA1316" s="81"/>
      <c r="AB1316" s="81"/>
      <c r="AC1316" s="9"/>
      <c r="AD1316" s="9"/>
      <c r="AE1316" s="1740"/>
      <c r="AF1316" s="1740"/>
      <c r="AG1316" s="1740"/>
      <c r="AH1316" s="1740"/>
      <c r="AI1316" s="1707"/>
      <c r="AJ1316" s="1740"/>
      <c r="AK1316" s="1740"/>
      <c r="AL1316" s="1740"/>
      <c r="AM1316" s="1740"/>
      <c r="AN1316" s="1740"/>
      <c r="AO1316" s="1740"/>
      <c r="AP1316" s="1740"/>
      <c r="AQ1316" s="1740"/>
      <c r="AS1316" s="35"/>
      <c r="AT1316" s="9"/>
      <c r="BC1316" s="9"/>
      <c r="BD1316" s="1704"/>
      <c r="BE1316" s="1702"/>
      <c r="BM1316"/>
      <c r="BN1316"/>
      <c r="BO1316"/>
      <c r="BP1316"/>
      <c r="BQ1316"/>
      <c r="BR1316"/>
    </row>
    <row r="1317" spans="2:70" s="70" customFormat="1" x14ac:dyDescent="0.2">
      <c r="B1317" s="65" t="s">
        <v>368</v>
      </c>
      <c r="C1317" s="9"/>
      <c r="D1317" s="81"/>
      <c r="E1317" s="81"/>
      <c r="F1317" s="81"/>
      <c r="G1317" s="81"/>
      <c r="H1317" s="81"/>
      <c r="I1317" s="81"/>
      <c r="J1317" s="81"/>
      <c r="K1317" s="81"/>
      <c r="L1317" s="81"/>
      <c r="M1317" s="81"/>
      <c r="N1317" s="81"/>
      <c r="O1317" s="81"/>
      <c r="P1317" s="81"/>
      <c r="Q1317" s="81"/>
      <c r="R1317" s="81"/>
      <c r="S1317" s="81"/>
      <c r="T1317" s="81"/>
      <c r="U1317" s="81"/>
      <c r="V1317" s="81"/>
      <c r="W1317" s="81"/>
      <c r="X1317" s="81"/>
      <c r="Y1317" s="81"/>
      <c r="Z1317" s="81"/>
      <c r="AA1317" s="81"/>
      <c r="AB1317" s="81"/>
      <c r="AC1317" s="9"/>
      <c r="AD1317" s="9"/>
      <c r="AE1317" s="1740"/>
      <c r="AF1317" s="1740"/>
      <c r="AG1317" s="1740"/>
      <c r="AH1317" s="1740"/>
      <c r="AI1317" s="1707"/>
      <c r="AJ1317" s="1740"/>
      <c r="AK1317" s="1740"/>
      <c r="AL1317" s="1740"/>
      <c r="AM1317" s="1740"/>
      <c r="AN1317" s="1740"/>
      <c r="AO1317" s="1740"/>
      <c r="AP1317" s="1740"/>
      <c r="AQ1317" s="1740"/>
      <c r="AS1317" s="65" t="s">
        <v>368</v>
      </c>
      <c r="AT1317" s="9"/>
      <c r="BC1317" s="9"/>
      <c r="BD1317" s="1704"/>
      <c r="BE1317" s="1702"/>
      <c r="BM1317"/>
      <c r="BN1317"/>
      <c r="BO1317"/>
      <c r="BP1317"/>
      <c r="BQ1317"/>
      <c r="BR1317"/>
    </row>
    <row r="1318" spans="2:70" s="70" customFormat="1" x14ac:dyDescent="0.2">
      <c r="B1318" s="90" t="s">
        <v>370</v>
      </c>
      <c r="C1318" s="9"/>
      <c r="D1318" s="445">
        <v>2924</v>
      </c>
      <c r="E1318" s="102">
        <f t="shared" ref="E1318:AE1318" si="3054">D1321</f>
        <v>2932.2</v>
      </c>
      <c r="F1318" s="102">
        <f t="shared" si="3054"/>
        <v>2932.5</v>
      </c>
      <c r="G1318" s="102">
        <f t="shared" si="3054"/>
        <v>2932.5</v>
      </c>
      <c r="H1318" s="102">
        <f t="shared" si="3054"/>
        <v>3028.9</v>
      </c>
      <c r="I1318" s="102">
        <f t="shared" si="3054"/>
        <v>3042.9</v>
      </c>
      <c r="J1318" s="102">
        <f t="shared" si="3054"/>
        <v>3041</v>
      </c>
      <c r="K1318" s="102">
        <f t="shared" si="3054"/>
        <v>3033</v>
      </c>
      <c r="L1318" s="102">
        <f t="shared" si="3054"/>
        <v>3029.2</v>
      </c>
      <c r="M1318" s="102">
        <f t="shared" si="3054"/>
        <v>3037.8</v>
      </c>
      <c r="N1318" s="102">
        <f t="shared" si="3054"/>
        <v>3031.8</v>
      </c>
      <c r="O1318" s="102">
        <f t="shared" si="3054"/>
        <v>3029.5</v>
      </c>
      <c r="P1318" s="102">
        <f t="shared" si="3054"/>
        <v>3023.9</v>
      </c>
      <c r="Q1318" s="102">
        <f t="shared" si="3054"/>
        <v>3034.1</v>
      </c>
      <c r="R1318" s="102">
        <f t="shared" si="3054"/>
        <v>3009.8</v>
      </c>
      <c r="S1318" s="102">
        <f t="shared" si="3054"/>
        <v>2979</v>
      </c>
      <c r="T1318" s="102">
        <f t="shared" si="3054"/>
        <v>2953.3</v>
      </c>
      <c r="U1318" s="102">
        <f t="shared" si="3054"/>
        <v>2934.9</v>
      </c>
      <c r="V1318" s="102">
        <f t="shared" si="3054"/>
        <v>2905.4</v>
      </c>
      <c r="W1318" s="102">
        <f t="shared" si="3054"/>
        <v>2849.7</v>
      </c>
      <c r="X1318" s="102">
        <f t="shared" si="3054"/>
        <v>2772.4</v>
      </c>
      <c r="Y1318" s="102">
        <f t="shared" si="3054"/>
        <v>2753.3</v>
      </c>
      <c r="Z1318" s="102">
        <f t="shared" si="3054"/>
        <v>2724.6</v>
      </c>
      <c r="AA1318" s="102">
        <f t="shared" si="3054"/>
        <v>2644</v>
      </c>
      <c r="AB1318" s="102">
        <f t="shared" si="3054"/>
        <v>2569.9</v>
      </c>
      <c r="AC1318" s="102">
        <f t="shared" si="3054"/>
        <v>2549.9</v>
      </c>
      <c r="AD1318" s="102">
        <f t="shared" si="3054"/>
        <v>2521.8925785450028</v>
      </c>
      <c r="AE1318" s="102">
        <f t="shared" si="3054"/>
        <v>2456.3462126554809</v>
      </c>
      <c r="AF1318" s="102">
        <f t="shared" ref="AF1318" si="3055">AE1321</f>
        <v>2392.5212487040831</v>
      </c>
      <c r="AG1318" s="102">
        <f t="shared" ref="AG1318" si="3056">AF1321</f>
        <v>2341.7082174864809</v>
      </c>
      <c r="AH1318" s="102">
        <f t="shared" ref="AH1318" si="3057">AG1321</f>
        <v>2285.7568905943217</v>
      </c>
      <c r="AI1318" s="102">
        <f t="shared" ref="AI1318" si="3058">AH1321</f>
        <v>2235.7292158418454</v>
      </c>
      <c r="AJ1318" s="102"/>
      <c r="AK1318" s="102"/>
      <c r="AL1318" s="102"/>
      <c r="AM1318" s="102"/>
      <c r="AN1318" s="102"/>
      <c r="AO1318" s="102"/>
      <c r="AP1318" s="102"/>
      <c r="AQ1318" s="102"/>
      <c r="AS1318" s="90" t="s">
        <v>370</v>
      </c>
      <c r="AT1318" s="9"/>
      <c r="AU1318" s="467">
        <f>D1318</f>
        <v>2924</v>
      </c>
      <c r="AV1318" s="467">
        <f>H1318</f>
        <v>3028.9</v>
      </c>
      <c r="AW1318" s="467">
        <f>L1318</f>
        <v>3029.2</v>
      </c>
      <c r="AX1318" s="467">
        <f>P1318</f>
        <v>3023.9</v>
      </c>
      <c r="AY1318" s="467">
        <f>T1318</f>
        <v>2953.3</v>
      </c>
      <c r="AZ1318" s="467">
        <f>X1318</f>
        <v>2772.4</v>
      </c>
      <c r="BA1318" s="467">
        <f>AB1318</f>
        <v>2569.9</v>
      </c>
      <c r="BB1318" s="467">
        <f>AF1318</f>
        <v>2392.5212487040831</v>
      </c>
      <c r="BC1318" s="102">
        <f>BB1321</f>
        <v>2186.803827667783</v>
      </c>
      <c r="BD1318" s="102">
        <f>BC1321</f>
        <v>2051.9085830783019</v>
      </c>
      <c r="BE1318" s="102">
        <f>BD1321</f>
        <v>1945.6660577598645</v>
      </c>
      <c r="BM1318"/>
      <c r="BN1318"/>
      <c r="BO1318"/>
      <c r="BP1318"/>
      <c r="BQ1318"/>
      <c r="BR1318"/>
    </row>
    <row r="1319" spans="2:70" s="70" customFormat="1" x14ac:dyDescent="0.2">
      <c r="B1319" s="35"/>
      <c r="C1319" s="90" t="s">
        <v>581</v>
      </c>
      <c r="D1319" s="101">
        <v>0</v>
      </c>
      <c r="E1319" s="101">
        <v>0</v>
      </c>
      <c r="F1319" s="101">
        <v>0</v>
      </c>
      <c r="G1319" s="101">
        <v>0</v>
      </c>
      <c r="H1319" s="101">
        <v>0</v>
      </c>
      <c r="I1319" s="101">
        <v>-4.4000000000000004</v>
      </c>
      <c r="J1319" s="101">
        <v>-12.4</v>
      </c>
      <c r="K1319" s="101">
        <v>-5.9</v>
      </c>
      <c r="L1319" s="101">
        <v>-6.9</v>
      </c>
      <c r="M1319" s="101">
        <v>-6.3</v>
      </c>
      <c r="N1319" s="101">
        <v>-10.7</v>
      </c>
      <c r="O1319" s="101">
        <v>-10.7</v>
      </c>
      <c r="P1319" s="101">
        <v>-5.9</v>
      </c>
      <c r="Q1319" s="101">
        <v>-28.5</v>
      </c>
      <c r="R1319" s="101">
        <v>-36</v>
      </c>
      <c r="S1319" s="101">
        <v>-31</v>
      </c>
      <c r="T1319" s="101">
        <v>-31</v>
      </c>
      <c r="U1319" s="101">
        <v>-30</v>
      </c>
      <c r="V1319" s="101">
        <v>-56</v>
      </c>
      <c r="W1319" s="101">
        <v>-79</v>
      </c>
      <c r="X1319" s="101">
        <v>-30</v>
      </c>
      <c r="Y1319" s="101">
        <v>-29</v>
      </c>
      <c r="Z1319" s="101">
        <v>-81</v>
      </c>
      <c r="AA1319" s="101">
        <v>-74</v>
      </c>
      <c r="AB1319" s="101">
        <v>-30</v>
      </c>
      <c r="AC1319" s="787">
        <f>AC1318*Drivers!AC316</f>
        <v>-30.598800000000001</v>
      </c>
      <c r="AD1319" s="787">
        <f>AD1318*Drivers!AD316</f>
        <v>-68.09109962071507</v>
      </c>
      <c r="AE1319" s="787">
        <f>AE1318*Drivers!AE316</f>
        <v>-66.321347741697991</v>
      </c>
      <c r="AF1319" s="787">
        <f>AF1318*Drivers!AF316</f>
        <v>-59.813031217602081</v>
      </c>
      <c r="AG1319" s="787">
        <f>AG1318*Drivers!AG316</f>
        <v>-58.542705437162027</v>
      </c>
      <c r="AH1319" s="787">
        <f>AH1318*Drivers!AH316</f>
        <v>-52.572408483669399</v>
      </c>
      <c r="AI1319" s="787">
        <f>AI1318*Drivers!AI316</f>
        <v>-51.421771964362442</v>
      </c>
      <c r="AJ1319" s="787"/>
      <c r="AK1319" s="787"/>
      <c r="AL1319" s="787"/>
      <c r="AM1319" s="787"/>
      <c r="AN1319" s="787"/>
      <c r="AO1319" s="787"/>
      <c r="AP1319" s="787"/>
      <c r="AQ1319" s="787"/>
      <c r="AS1319" s="35"/>
      <c r="AT1319" s="90" t="s">
        <v>581</v>
      </c>
      <c r="AU1319" s="232">
        <f>SUM(D1319:G1319)</f>
        <v>0</v>
      </c>
      <c r="AV1319" s="232">
        <f>SUM(H1319:K1319)</f>
        <v>-22.700000000000003</v>
      </c>
      <c r="AW1319" s="232">
        <f>SUM(L1319:O1319)</f>
        <v>-34.599999999999994</v>
      </c>
      <c r="AX1319" s="232">
        <f>SUM(P1319:S1319)</f>
        <v>-101.4</v>
      </c>
      <c r="AY1319" s="232">
        <f>SUM(T1319:W1319)</f>
        <v>-196</v>
      </c>
      <c r="AZ1319" s="232">
        <f>SUM(X1319:AA1319)</f>
        <v>-214</v>
      </c>
      <c r="BA1319" s="232">
        <f>SUM(AB1319:AE1319)</f>
        <v>-195.01124736241306</v>
      </c>
      <c r="BB1319" s="232">
        <f>SUM(AF1319:AI1319)</f>
        <v>-222.34991710279596</v>
      </c>
      <c r="BC1319" s="787">
        <f>BC1318*Drivers!BC316</f>
        <v>-153.07626793674481</v>
      </c>
      <c r="BD1319" s="787">
        <f>BD1318*Drivers!BD316</f>
        <v>-123.11451498469812</v>
      </c>
      <c r="BE1319" s="787">
        <f>BE1318*Drivers!BE316</f>
        <v>-116.73996346559187</v>
      </c>
      <c r="BM1319"/>
      <c r="BN1319"/>
      <c r="BO1319"/>
      <c r="BP1319"/>
      <c r="BQ1319"/>
      <c r="BR1319"/>
    </row>
    <row r="1320" spans="2:70" s="70" customFormat="1" x14ac:dyDescent="0.2">
      <c r="B1320" s="35"/>
      <c r="C1320" s="90" t="s">
        <v>582</v>
      </c>
      <c r="D1320" s="103">
        <f t="shared" ref="D1320:X1320" si="3059">D1321-(D1318+D1319)</f>
        <v>8.1999999999998181</v>
      </c>
      <c r="E1320" s="103">
        <f t="shared" si="3059"/>
        <v>0.3000000000001819</v>
      </c>
      <c r="F1320" s="103">
        <f t="shared" si="3059"/>
        <v>0</v>
      </c>
      <c r="G1320" s="103">
        <f t="shared" si="3059"/>
        <v>96.400000000000091</v>
      </c>
      <c r="H1320" s="103">
        <f t="shared" si="3059"/>
        <v>14</v>
      </c>
      <c r="I1320" s="103">
        <f t="shared" si="3059"/>
        <v>2.5</v>
      </c>
      <c r="J1320" s="103">
        <f t="shared" si="3059"/>
        <v>4.4000000000000909</v>
      </c>
      <c r="K1320" s="103">
        <f t="shared" si="3059"/>
        <v>2.0999999999999091</v>
      </c>
      <c r="L1320" s="103">
        <f t="shared" si="3059"/>
        <v>15.500000000000455</v>
      </c>
      <c r="M1320" s="103">
        <f t="shared" si="3059"/>
        <v>0.3000000000001819</v>
      </c>
      <c r="N1320" s="103">
        <f t="shared" si="3059"/>
        <v>8.3999999999996362</v>
      </c>
      <c r="O1320" s="103">
        <f t="shared" si="3059"/>
        <v>5.0999999999999091</v>
      </c>
      <c r="P1320" s="103">
        <f t="shared" si="3059"/>
        <v>16.099999999999909</v>
      </c>
      <c r="Q1320" s="103">
        <f t="shared" si="3059"/>
        <v>4.2000000000002728</v>
      </c>
      <c r="R1320" s="103">
        <f t="shared" si="3059"/>
        <v>5.1999999999998181</v>
      </c>
      <c r="S1320" s="103">
        <f t="shared" si="3059"/>
        <v>5.3000000000001819</v>
      </c>
      <c r="T1320" s="103">
        <f t="shared" si="3059"/>
        <v>12.599999999999909</v>
      </c>
      <c r="U1320" s="103">
        <f t="shared" si="3059"/>
        <v>0.5</v>
      </c>
      <c r="V1320" s="103">
        <f t="shared" si="3059"/>
        <v>0.29999999999972715</v>
      </c>
      <c r="W1320" s="103">
        <f t="shared" si="3059"/>
        <v>1.7000000000002728</v>
      </c>
      <c r="X1320" s="103">
        <f t="shared" si="3059"/>
        <v>10.900000000000091</v>
      </c>
      <c r="Y1320" s="103">
        <f t="shared" ref="Y1320:Z1320" si="3060">Y1321-(Y1318+Y1319)</f>
        <v>0.29999999999972715</v>
      </c>
      <c r="Z1320" s="103">
        <f t="shared" si="3060"/>
        <v>0.40000000000009095</v>
      </c>
      <c r="AA1320" s="103">
        <f t="shared" ref="AA1320" si="3061">AA1321-(AA1318+AA1319)</f>
        <v>-9.9999999999909051E-2</v>
      </c>
      <c r="AB1320" s="103">
        <f t="shared" ref="AB1320" si="3062">AB1321-(AB1318+AB1319)</f>
        <v>10</v>
      </c>
      <c r="AC1320" s="788">
        <v>2.5913785450028848</v>
      </c>
      <c r="AD1320" s="788">
        <v>2.5447337311928333</v>
      </c>
      <c r="AE1320" s="788">
        <v>2.4963837903001695</v>
      </c>
      <c r="AF1320" s="788">
        <f>AB1320-1</f>
        <v>9</v>
      </c>
      <c r="AG1320" s="788">
        <f>AC1320</f>
        <v>2.5913785450028848</v>
      </c>
      <c r="AH1320" s="788">
        <f t="shared" ref="AH1320:AI1320" si="3063">AD1320</f>
        <v>2.5447337311928333</v>
      </c>
      <c r="AI1320" s="788">
        <f t="shared" si="3063"/>
        <v>2.4963837903001695</v>
      </c>
      <c r="AJ1320" s="1773"/>
      <c r="AK1320" s="1773"/>
      <c r="AL1320" s="1773"/>
      <c r="AM1320" s="1773"/>
      <c r="AN1320" s="1773"/>
      <c r="AO1320" s="1773"/>
      <c r="AP1320" s="1773"/>
      <c r="AQ1320" s="1773"/>
      <c r="AS1320" s="35"/>
      <c r="AT1320" s="90" t="s">
        <v>582</v>
      </c>
      <c r="AU1320" s="236">
        <f>SUM(D1320:G1320)</f>
        <v>104.90000000000009</v>
      </c>
      <c r="AV1320" s="236">
        <f>SUM(H1320:K1320)</f>
        <v>23</v>
      </c>
      <c r="AW1320" s="236">
        <f>SUM(L1320:O1320)</f>
        <v>29.300000000000182</v>
      </c>
      <c r="AX1320" s="236">
        <f>SUM(P1320:S1320)</f>
        <v>30.800000000000182</v>
      </c>
      <c r="AY1320" s="236">
        <f>SUM(T1320:W1320)</f>
        <v>15.099999999999909</v>
      </c>
      <c r="AZ1320" s="236">
        <f>SUM(X1320:AA1320)</f>
        <v>11.5</v>
      </c>
      <c r="BA1320" s="236">
        <f>SUM(AB1320:AE1320)</f>
        <v>17.632496066495886</v>
      </c>
      <c r="BB1320" s="236">
        <f>SUM(AF1320:AI1320)</f>
        <v>16.632496066495886</v>
      </c>
      <c r="BC1320" s="788">
        <v>18.181023347263867</v>
      </c>
      <c r="BD1320" s="788">
        <v>16.87198966626087</v>
      </c>
      <c r="BE1320" s="788">
        <v>16.87198966626087</v>
      </c>
      <c r="BM1320"/>
      <c r="BN1320"/>
      <c r="BO1320"/>
      <c r="BP1320"/>
      <c r="BQ1320"/>
      <c r="BR1320"/>
    </row>
    <row r="1321" spans="2:70" s="70" customFormat="1" x14ac:dyDescent="0.2">
      <c r="B1321" s="90" t="s">
        <v>371</v>
      </c>
      <c r="C1321" s="9"/>
      <c r="D1321" s="789">
        <v>2932.2</v>
      </c>
      <c r="E1321" s="789">
        <v>2932.5</v>
      </c>
      <c r="F1321" s="789">
        <v>2932.5</v>
      </c>
      <c r="G1321" s="789">
        <v>3028.9</v>
      </c>
      <c r="H1321" s="789">
        <v>3042.9</v>
      </c>
      <c r="I1321" s="789">
        <v>3041</v>
      </c>
      <c r="J1321" s="789">
        <v>3033</v>
      </c>
      <c r="K1321" s="789">
        <v>3029.2</v>
      </c>
      <c r="L1321" s="789">
        <v>3037.8</v>
      </c>
      <c r="M1321" s="789">
        <v>3031.8</v>
      </c>
      <c r="N1321" s="789">
        <v>3029.5</v>
      </c>
      <c r="O1321" s="789">
        <v>3023.9</v>
      </c>
      <c r="P1321" s="789">
        <v>3034.1</v>
      </c>
      <c r="Q1321" s="789">
        <v>3009.8</v>
      </c>
      <c r="R1321" s="789">
        <v>2979</v>
      </c>
      <c r="S1321" s="789">
        <v>2953.3</v>
      </c>
      <c r="T1321" s="789">
        <v>2934.9</v>
      </c>
      <c r="U1321" s="789">
        <v>2905.4</v>
      </c>
      <c r="V1321" s="789">
        <v>2849.7</v>
      </c>
      <c r="W1321" s="789">
        <v>2772.4</v>
      </c>
      <c r="X1321" s="789">
        <v>2753.3</v>
      </c>
      <c r="Y1321" s="789">
        <v>2724.6</v>
      </c>
      <c r="Z1321" s="789">
        <v>2644</v>
      </c>
      <c r="AA1321" s="789">
        <v>2569.9</v>
      </c>
      <c r="AB1321" s="789">
        <v>2549.9</v>
      </c>
      <c r="AC1321" s="83">
        <f t="shared" ref="AC1321:AE1321" si="3064">AC1318+AC1319+AC1320</f>
        <v>2521.8925785450028</v>
      </c>
      <c r="AD1321" s="83">
        <f t="shared" si="3064"/>
        <v>2456.3462126554809</v>
      </c>
      <c r="AE1321" s="83">
        <f t="shared" si="3064"/>
        <v>2392.5212487040831</v>
      </c>
      <c r="AF1321" s="83">
        <f t="shared" ref="AF1321:AI1321" si="3065">AF1318+AF1319+AF1320</f>
        <v>2341.7082174864809</v>
      </c>
      <c r="AG1321" s="83">
        <f t="shared" si="3065"/>
        <v>2285.7568905943217</v>
      </c>
      <c r="AH1321" s="83">
        <f t="shared" si="3065"/>
        <v>2235.7292158418454</v>
      </c>
      <c r="AI1321" s="83">
        <f t="shared" si="3065"/>
        <v>2186.803827667783</v>
      </c>
      <c r="AJ1321" s="83"/>
      <c r="AK1321" s="83"/>
      <c r="AL1321" s="83"/>
      <c r="AM1321" s="83"/>
      <c r="AN1321" s="83"/>
      <c r="AO1321" s="83"/>
      <c r="AP1321" s="83"/>
      <c r="AQ1321" s="83"/>
      <c r="AS1321" s="90" t="s">
        <v>371</v>
      </c>
      <c r="AT1321" s="9"/>
      <c r="AU1321" s="467">
        <f t="shared" ref="AU1321:BA1321" si="3066">SUM(AU1318:AU1320)</f>
        <v>3028.9</v>
      </c>
      <c r="AV1321" s="467">
        <f t="shared" si="3066"/>
        <v>3029.2000000000003</v>
      </c>
      <c r="AW1321" s="467">
        <f t="shared" si="3066"/>
        <v>3023.9</v>
      </c>
      <c r="AX1321" s="467">
        <f t="shared" si="3066"/>
        <v>2953.3</v>
      </c>
      <c r="AY1321" s="467">
        <f t="shared" si="3066"/>
        <v>2772.4</v>
      </c>
      <c r="AZ1321" s="467">
        <f t="shared" si="3066"/>
        <v>2569.9</v>
      </c>
      <c r="BA1321" s="467">
        <f t="shared" si="3066"/>
        <v>2392.5212487040831</v>
      </c>
      <c r="BB1321" s="467">
        <f t="shared" ref="BB1321" si="3067">SUM(BB1318:BB1320)</f>
        <v>2186.803827667783</v>
      </c>
      <c r="BC1321" s="83">
        <f>BC1318+BC1319+BC1320</f>
        <v>2051.9085830783019</v>
      </c>
      <c r="BD1321" s="83">
        <f>BD1318+BD1319+BD1320</f>
        <v>1945.6660577598645</v>
      </c>
      <c r="BE1321" s="83">
        <f>BE1318+BE1319+BE1320</f>
        <v>1845.7980839605334</v>
      </c>
      <c r="BM1321"/>
      <c r="BN1321"/>
      <c r="BO1321"/>
      <c r="BP1321"/>
      <c r="BQ1321"/>
      <c r="BR1321"/>
    </row>
    <row r="1322" spans="2:70" s="70" customFormat="1" x14ac:dyDescent="0.2">
      <c r="B1322" s="35"/>
      <c r="C1322" s="90"/>
      <c r="D1322" s="81"/>
      <c r="E1322" s="81"/>
      <c r="F1322" s="81"/>
      <c r="G1322" s="81"/>
      <c r="H1322" s="81"/>
      <c r="I1322" s="81"/>
      <c r="J1322" s="81"/>
      <c r="K1322" s="81"/>
      <c r="L1322" s="81"/>
      <c r="M1322" s="81"/>
      <c r="N1322" s="81"/>
      <c r="O1322" s="81"/>
      <c r="P1322" s="81"/>
      <c r="Q1322" s="81"/>
      <c r="R1322" s="81"/>
      <c r="S1322" s="81"/>
      <c r="T1322" s="81"/>
      <c r="U1322" s="81"/>
      <c r="V1322" s="81"/>
      <c r="W1322" s="81"/>
      <c r="X1322" s="81"/>
      <c r="Y1322" s="81"/>
      <c r="Z1322" s="81"/>
      <c r="AA1322" s="81"/>
      <c r="AB1322" s="81"/>
      <c r="AC1322" s="9"/>
      <c r="AD1322" s="9"/>
      <c r="AE1322" s="1740"/>
      <c r="AF1322" s="1740"/>
      <c r="AG1322" s="1740"/>
      <c r="AH1322" s="1740"/>
      <c r="AI1322" s="1707"/>
      <c r="AJ1322" s="1740"/>
      <c r="AK1322" s="1740"/>
      <c r="AL1322" s="1740"/>
      <c r="AM1322" s="1740"/>
      <c r="AN1322" s="1740"/>
      <c r="AO1322" s="1740"/>
      <c r="AP1322" s="1740"/>
      <c r="AQ1322" s="1740"/>
      <c r="AS1322" s="35"/>
      <c r="AT1322" s="90"/>
      <c r="BC1322" s="9"/>
      <c r="BD1322" s="1704"/>
      <c r="BE1322" s="1702"/>
      <c r="BM1322"/>
      <c r="BN1322"/>
      <c r="BO1322"/>
      <c r="BP1322"/>
      <c r="BQ1322"/>
      <c r="BR1322"/>
    </row>
    <row r="1323" spans="2:70" s="70" customFormat="1" x14ac:dyDescent="0.2">
      <c r="B1323" s="65" t="s">
        <v>346</v>
      </c>
      <c r="C1323" s="9"/>
      <c r="D1323" s="81"/>
      <c r="E1323" s="81"/>
      <c r="F1323" s="81"/>
      <c r="G1323" s="81"/>
      <c r="H1323" s="81"/>
      <c r="I1323" s="81"/>
      <c r="J1323" s="81"/>
      <c r="K1323" s="81"/>
      <c r="L1323" s="81"/>
      <c r="M1323" s="81"/>
      <c r="N1323" s="81"/>
      <c r="O1323" s="81"/>
      <c r="P1323" s="81"/>
      <c r="Q1323" s="81"/>
      <c r="R1323" s="81"/>
      <c r="S1323" s="81"/>
      <c r="T1323" s="81"/>
      <c r="U1323" s="81"/>
      <c r="V1323" s="81"/>
      <c r="W1323" s="81"/>
      <c r="X1323" s="81"/>
      <c r="Y1323" s="81"/>
      <c r="Z1323" s="81"/>
      <c r="AA1323" s="81"/>
      <c r="AB1323" s="81"/>
      <c r="AC1323" s="9"/>
      <c r="AD1323" s="9"/>
      <c r="AE1323" s="1740"/>
      <c r="AF1323" s="1740"/>
      <c r="AG1323" s="1740"/>
      <c r="AH1323" s="1740"/>
      <c r="AI1323" s="1707"/>
      <c r="AJ1323" s="1740"/>
      <c r="AK1323" s="1740"/>
      <c r="AL1323" s="1740"/>
      <c r="AM1323" s="1740"/>
      <c r="AN1323" s="1740"/>
      <c r="AO1323" s="1740"/>
      <c r="AP1323" s="1740"/>
      <c r="AQ1323" s="1740"/>
      <c r="AS1323" s="65" t="s">
        <v>346</v>
      </c>
      <c r="AT1323" s="9"/>
      <c r="BC1323" s="9"/>
      <c r="BD1323" s="1704"/>
      <c r="BE1323" s="1702"/>
      <c r="BM1323"/>
      <c r="BN1323"/>
      <c r="BO1323"/>
      <c r="BP1323"/>
      <c r="BQ1323"/>
      <c r="BR1323"/>
    </row>
    <row r="1324" spans="2:70" s="70" customFormat="1" x14ac:dyDescent="0.2">
      <c r="B1324" s="35"/>
      <c r="C1324" s="9" t="s">
        <v>365</v>
      </c>
      <c r="D1324" s="445">
        <v>2926</v>
      </c>
      <c r="E1324" s="445">
        <v>2927</v>
      </c>
      <c r="F1324" s="445">
        <v>2927</v>
      </c>
      <c r="G1324" s="445">
        <v>2943</v>
      </c>
      <c r="H1324" s="445">
        <v>3040</v>
      </c>
      <c r="I1324" s="445">
        <v>3041</v>
      </c>
      <c r="J1324" s="445">
        <v>3034</v>
      </c>
      <c r="K1324" s="445">
        <v>3028</v>
      </c>
      <c r="L1324" s="445">
        <v>3037</v>
      </c>
      <c r="M1324" s="445">
        <v>3034</v>
      </c>
      <c r="N1324" s="445">
        <v>3030</v>
      </c>
      <c r="O1324" s="445">
        <v>3026</v>
      </c>
      <c r="P1324" s="445">
        <v>3034</v>
      </c>
      <c r="Q1324" s="445">
        <v>3020</v>
      </c>
      <c r="R1324" s="445">
        <v>2993</v>
      </c>
      <c r="S1324" s="445">
        <v>2968</v>
      </c>
      <c r="T1324" s="445">
        <v>2943</v>
      </c>
      <c r="U1324" s="445">
        <v>2916</v>
      </c>
      <c r="V1324" s="445">
        <v>2880</v>
      </c>
      <c r="W1324" s="445">
        <v>2814</v>
      </c>
      <c r="X1324" s="445">
        <v>2765</v>
      </c>
      <c r="Y1324" s="445">
        <v>2739.1</v>
      </c>
      <c r="Z1324" s="445">
        <v>2683.6</v>
      </c>
      <c r="AA1324" s="445">
        <v>2606.1999999999998</v>
      </c>
      <c r="AB1324" s="445">
        <v>2561.6</v>
      </c>
      <c r="AC1324" s="50">
        <f t="shared" ref="AC1324:AE1324" si="3068">AVERAGE(AB1321:AC1321)</f>
        <v>2535.8962892725012</v>
      </c>
      <c r="AD1324" s="50">
        <f t="shared" si="3068"/>
        <v>2489.1193956002417</v>
      </c>
      <c r="AE1324" s="50">
        <f t="shared" si="3068"/>
        <v>2424.433730679782</v>
      </c>
      <c r="AF1324" s="50">
        <f t="shared" ref="AF1324" si="3069">AVERAGE(AE1321:AF1321)</f>
        <v>2367.1147330952817</v>
      </c>
      <c r="AG1324" s="50">
        <f t="shared" ref="AG1324" si="3070">AVERAGE(AF1321:AG1321)</f>
        <v>2313.7325540404013</v>
      </c>
      <c r="AH1324" s="50">
        <f t="shared" ref="AH1324" si="3071">AVERAGE(AG1321:AH1321)</f>
        <v>2260.7430532180833</v>
      </c>
      <c r="AI1324" s="50">
        <f t="shared" ref="AI1324" si="3072">AVERAGE(AH1321:AI1321)</f>
        <v>2211.2665217548142</v>
      </c>
      <c r="AJ1324" s="50"/>
      <c r="AK1324" s="50"/>
      <c r="AL1324" s="50"/>
      <c r="AM1324" s="50"/>
      <c r="AN1324" s="50"/>
      <c r="AO1324" s="50"/>
      <c r="AP1324" s="50"/>
      <c r="AQ1324" s="50"/>
      <c r="AS1324" s="35"/>
      <c r="AT1324" s="9" t="s">
        <v>365</v>
      </c>
      <c r="AU1324" s="155">
        <f>AVERAGE(D1324:G1324)</f>
        <v>2930.75</v>
      </c>
      <c r="AV1324" s="155">
        <f>AVERAGE(H1324:K1324)</f>
        <v>3035.75</v>
      </c>
      <c r="AW1324" s="155">
        <f>AVERAGE(L1324:O1324)</f>
        <v>3031.75</v>
      </c>
      <c r="AX1324" s="155">
        <f>AVERAGE(P1324:S1324)</f>
        <v>3003.75</v>
      </c>
      <c r="AY1324" s="155">
        <f>AVERAGE(T1324:W1324)</f>
        <v>2888.25</v>
      </c>
      <c r="AZ1324" s="155">
        <f>AVERAGE(X1324:AA1324)</f>
        <v>2698.4750000000004</v>
      </c>
      <c r="BA1324" s="155">
        <f>AVERAGE(AB1324:AE1324)</f>
        <v>2502.7623538881312</v>
      </c>
      <c r="BB1324" s="155">
        <f>AVERAGE(AF1324:AI1324)</f>
        <v>2288.2142155271449</v>
      </c>
      <c r="BC1324" s="50">
        <f>AVERAGE(BB1321:BC1321)</f>
        <v>2119.3562053730425</v>
      </c>
      <c r="BD1324" s="50">
        <f>AVERAGE(BC1321:BD1321)</f>
        <v>1998.7873204190832</v>
      </c>
      <c r="BE1324" s="50">
        <f>AVERAGE(BD1321:BE1321)</f>
        <v>1895.732070860199</v>
      </c>
      <c r="BM1324"/>
      <c r="BN1324"/>
      <c r="BO1324"/>
      <c r="BP1324"/>
      <c r="BQ1324"/>
      <c r="BR1324"/>
    </row>
    <row r="1325" spans="2:70" s="70" customFormat="1" x14ac:dyDescent="0.2">
      <c r="B1325" s="35"/>
      <c r="C1325" s="9" t="s">
        <v>366</v>
      </c>
      <c r="D1325" s="50">
        <f t="shared" ref="D1325:X1325" si="3073">D1326-D1324</f>
        <v>89</v>
      </c>
      <c r="E1325" s="50">
        <f t="shared" si="3073"/>
        <v>88</v>
      </c>
      <c r="F1325" s="50">
        <f t="shared" si="3073"/>
        <v>88</v>
      </c>
      <c r="G1325" s="50">
        <f t="shared" si="3073"/>
        <v>74</v>
      </c>
      <c r="H1325" s="50">
        <f t="shared" si="3073"/>
        <v>5</v>
      </c>
      <c r="I1325" s="50">
        <f t="shared" si="3073"/>
        <v>5</v>
      </c>
      <c r="J1325" s="50">
        <f t="shared" si="3073"/>
        <v>7</v>
      </c>
      <c r="K1325" s="50">
        <f t="shared" si="3073"/>
        <v>7</v>
      </c>
      <c r="L1325" s="50">
        <f t="shared" si="3073"/>
        <v>6</v>
      </c>
      <c r="M1325" s="50">
        <f t="shared" si="3073"/>
        <v>4</v>
      </c>
      <c r="N1325" s="50">
        <f t="shared" si="3073"/>
        <v>5</v>
      </c>
      <c r="O1325" s="50">
        <f t="shared" si="3073"/>
        <v>6</v>
      </c>
      <c r="P1325" s="50">
        <f t="shared" si="3073"/>
        <v>5</v>
      </c>
      <c r="Q1325" s="50">
        <f t="shared" si="3073"/>
        <v>5</v>
      </c>
      <c r="R1325" s="50">
        <f t="shared" si="3073"/>
        <v>4</v>
      </c>
      <c r="S1325" s="50">
        <f t="shared" si="3073"/>
        <v>2</v>
      </c>
      <c r="T1325" s="50">
        <f t="shared" si="3073"/>
        <v>0</v>
      </c>
      <c r="U1325" s="50">
        <f t="shared" si="3073"/>
        <v>0</v>
      </c>
      <c r="V1325" s="50">
        <f t="shared" si="3073"/>
        <v>0</v>
      </c>
      <c r="W1325" s="50">
        <f t="shared" si="3073"/>
        <v>0</v>
      </c>
      <c r="X1325" s="50">
        <f t="shared" si="3073"/>
        <v>1</v>
      </c>
      <c r="Y1325" s="50">
        <f t="shared" ref="Y1325:Z1325" si="3074">Y1326-Y1324</f>
        <v>9.9999999999909051E-2</v>
      </c>
      <c r="Z1325" s="50">
        <f t="shared" si="3074"/>
        <v>9.9999999999909051E-2</v>
      </c>
      <c r="AA1325" s="50">
        <f t="shared" ref="AA1325:AB1325" si="3075">AA1326-AA1324</f>
        <v>0</v>
      </c>
      <c r="AB1325" s="50">
        <f t="shared" si="3075"/>
        <v>1.4000000000000909</v>
      </c>
      <c r="AC1325" s="50">
        <f t="shared" ref="AC1325:AE1325" si="3076">AB1325</f>
        <v>1.4000000000000909</v>
      </c>
      <c r="AD1325" s="50">
        <f t="shared" si="3076"/>
        <v>1.4000000000000909</v>
      </c>
      <c r="AE1325" s="50">
        <f t="shared" si="3076"/>
        <v>1.4000000000000909</v>
      </c>
      <c r="AF1325" s="50">
        <f t="shared" ref="AF1325" si="3077">AE1325</f>
        <v>1.4000000000000909</v>
      </c>
      <c r="AG1325" s="50">
        <f t="shared" ref="AG1325" si="3078">AF1325</f>
        <v>1.4000000000000909</v>
      </c>
      <c r="AH1325" s="50">
        <f t="shared" ref="AH1325" si="3079">AG1325</f>
        <v>1.4000000000000909</v>
      </c>
      <c r="AI1325" s="50">
        <f t="shared" ref="AI1325" si="3080">AH1325</f>
        <v>1.4000000000000909</v>
      </c>
      <c r="AJ1325" s="50"/>
      <c r="AK1325" s="50"/>
      <c r="AL1325" s="50"/>
      <c r="AM1325" s="50"/>
      <c r="AN1325" s="50"/>
      <c r="AO1325" s="50"/>
      <c r="AP1325" s="50"/>
      <c r="AQ1325" s="50"/>
      <c r="AS1325" s="35"/>
      <c r="AT1325" s="9" t="s">
        <v>366</v>
      </c>
      <c r="AU1325" s="467">
        <f t="shared" ref="AU1325:BA1325" si="3081">AU1326-AU1324</f>
        <v>84.75</v>
      </c>
      <c r="AV1325" s="467">
        <f t="shared" si="3081"/>
        <v>6</v>
      </c>
      <c r="AW1325" s="467">
        <f t="shared" si="3081"/>
        <v>5.25</v>
      </c>
      <c r="AX1325" s="467">
        <f t="shared" si="3081"/>
        <v>4</v>
      </c>
      <c r="AY1325" s="467">
        <f t="shared" si="3081"/>
        <v>0</v>
      </c>
      <c r="AZ1325" s="467">
        <f t="shared" si="3081"/>
        <v>0.2999999999992724</v>
      </c>
      <c r="BA1325" s="467">
        <f t="shared" si="3081"/>
        <v>1.4000000000000909</v>
      </c>
      <c r="BB1325" s="467">
        <f t="shared" ref="BB1325" si="3082">BB1326-BB1324</f>
        <v>1.4000000000005457</v>
      </c>
      <c r="BC1325" s="50">
        <f>BB1325</f>
        <v>1.4000000000005457</v>
      </c>
      <c r="BD1325" s="50">
        <f>BC1325</f>
        <v>1.4000000000005457</v>
      </c>
      <c r="BE1325" s="50">
        <f>BD1325</f>
        <v>1.4000000000005457</v>
      </c>
      <c r="BM1325"/>
      <c r="BN1325"/>
      <c r="BO1325"/>
      <c r="BP1325"/>
      <c r="BQ1325"/>
      <c r="BR1325"/>
    </row>
    <row r="1326" spans="2:70" s="70" customFormat="1" x14ac:dyDescent="0.2">
      <c r="B1326" s="35"/>
      <c r="C1326" s="9" t="s">
        <v>367</v>
      </c>
      <c r="D1326" s="445">
        <v>3015</v>
      </c>
      <c r="E1326" s="445">
        <v>3015</v>
      </c>
      <c r="F1326" s="445">
        <v>3015</v>
      </c>
      <c r="G1326" s="445">
        <v>3017</v>
      </c>
      <c r="H1326" s="445">
        <v>3045</v>
      </c>
      <c r="I1326" s="445">
        <v>3046</v>
      </c>
      <c r="J1326" s="445">
        <v>3041</v>
      </c>
      <c r="K1326" s="445">
        <v>3035</v>
      </c>
      <c r="L1326" s="445">
        <v>3043</v>
      </c>
      <c r="M1326" s="445">
        <v>3038</v>
      </c>
      <c r="N1326" s="445">
        <v>3035</v>
      </c>
      <c r="O1326" s="445">
        <v>3032</v>
      </c>
      <c r="P1326" s="445">
        <v>3039</v>
      </c>
      <c r="Q1326" s="445">
        <v>3025</v>
      </c>
      <c r="R1326" s="445">
        <v>2997</v>
      </c>
      <c r="S1326" s="445">
        <v>2970</v>
      </c>
      <c r="T1326" s="445">
        <v>2943</v>
      </c>
      <c r="U1326" s="445">
        <v>2916</v>
      </c>
      <c r="V1326" s="445">
        <v>2880</v>
      </c>
      <c r="W1326" s="445">
        <v>2814</v>
      </c>
      <c r="X1326" s="445">
        <v>2766</v>
      </c>
      <c r="Y1326" s="445">
        <v>2739.2</v>
      </c>
      <c r="Z1326" s="445">
        <v>2683.7</v>
      </c>
      <c r="AA1326" s="445">
        <v>2606.1999999999998</v>
      </c>
      <c r="AB1326" s="445">
        <v>2563</v>
      </c>
      <c r="AC1326" s="50">
        <f t="shared" ref="AC1326:AE1326" si="3083">AC1325+AC1324</f>
        <v>2537.2962892725013</v>
      </c>
      <c r="AD1326" s="50">
        <f t="shared" si="3083"/>
        <v>2490.5193956002418</v>
      </c>
      <c r="AE1326" s="50">
        <f t="shared" si="3083"/>
        <v>2425.8337306797821</v>
      </c>
      <c r="AF1326" s="50">
        <f t="shared" ref="AF1326:AI1326" si="3084">AF1325+AF1324</f>
        <v>2368.5147330952818</v>
      </c>
      <c r="AG1326" s="50">
        <f t="shared" si="3084"/>
        <v>2315.1325540404014</v>
      </c>
      <c r="AH1326" s="50">
        <f t="shared" si="3084"/>
        <v>2262.1430532180834</v>
      </c>
      <c r="AI1326" s="50">
        <f t="shared" si="3084"/>
        <v>2212.6665217548143</v>
      </c>
      <c r="AJ1326" s="50"/>
      <c r="AK1326" s="50"/>
      <c r="AL1326" s="50"/>
      <c r="AM1326" s="50"/>
      <c r="AN1326" s="50"/>
      <c r="AO1326" s="50"/>
      <c r="AP1326" s="50"/>
      <c r="AQ1326" s="50"/>
      <c r="AS1326" s="35"/>
      <c r="AT1326" s="9" t="s">
        <v>367</v>
      </c>
      <c r="AU1326" s="155">
        <f>AVERAGE(D1326:G1326)</f>
        <v>3015.5</v>
      </c>
      <c r="AV1326" s="155">
        <f>AVERAGE(H1326:K1326)</f>
        <v>3041.75</v>
      </c>
      <c r="AW1326" s="155">
        <f>AVERAGE(L1326:O1326)</f>
        <v>3037</v>
      </c>
      <c r="AX1326" s="155">
        <f>AVERAGE(P1326:S1326)</f>
        <v>3007.75</v>
      </c>
      <c r="AY1326" s="155">
        <f>AVERAGE(T1326:W1326)</f>
        <v>2888.25</v>
      </c>
      <c r="AZ1326" s="155">
        <f>AVERAGE(X1326:AA1326)</f>
        <v>2698.7749999999996</v>
      </c>
      <c r="BA1326" s="155">
        <f>AVERAGE(AB1326:AE1326)</f>
        <v>2504.1623538881313</v>
      </c>
      <c r="BB1326" s="155">
        <f>AVERAGE(AF1326:AI1326)</f>
        <v>2289.6142155271455</v>
      </c>
      <c r="BC1326" s="50">
        <f>BC1325+BC1324</f>
        <v>2120.756205373043</v>
      </c>
      <c r="BD1326" s="50">
        <f>BD1325+BD1324</f>
        <v>2000.1873204190838</v>
      </c>
      <c r="BE1326" s="50">
        <f>BE1325+BE1324</f>
        <v>1897.1320708601995</v>
      </c>
      <c r="BM1326"/>
      <c r="BN1326"/>
      <c r="BO1326"/>
      <c r="BP1326"/>
      <c r="BQ1326"/>
      <c r="BR1326"/>
    </row>
    <row r="1327" spans="2:70" s="70" customFormat="1" x14ac:dyDescent="0.2">
      <c r="B1327" s="35"/>
      <c r="C1327" s="9"/>
      <c r="D1327" s="81"/>
      <c r="E1327" s="81"/>
      <c r="F1327" s="81"/>
      <c r="G1327" s="81"/>
      <c r="H1327" s="81"/>
      <c r="I1327" s="81"/>
      <c r="J1327" s="81"/>
      <c r="K1327" s="81"/>
      <c r="L1327" s="81"/>
      <c r="M1327" s="81"/>
      <c r="N1327" s="81"/>
      <c r="O1327" s="81"/>
      <c r="P1327" s="81"/>
      <c r="Q1327" s="81"/>
      <c r="R1327" s="81"/>
      <c r="S1327" s="81"/>
      <c r="T1327" s="81"/>
      <c r="U1327" s="81"/>
      <c r="V1327" s="81"/>
      <c r="W1327" s="81"/>
      <c r="X1327" s="81"/>
      <c r="Y1327" s="81"/>
      <c r="Z1327" s="81"/>
      <c r="AA1327" s="81"/>
      <c r="AB1327" s="81"/>
      <c r="AC1327" s="9"/>
      <c r="AD1327" s="9"/>
      <c r="AE1327" s="1740"/>
      <c r="AF1327" s="1740"/>
      <c r="AG1327" s="1740"/>
      <c r="AH1327" s="1740"/>
      <c r="AI1327" s="1707"/>
      <c r="AJ1327" s="1740"/>
      <c r="AK1327" s="1740"/>
      <c r="AL1327" s="1740"/>
      <c r="AM1327" s="1740"/>
      <c r="AN1327" s="1740"/>
      <c r="AO1327" s="1740"/>
      <c r="AP1327" s="1740"/>
      <c r="AQ1327" s="1740"/>
      <c r="AS1327" s="35"/>
      <c r="AT1327" s="9"/>
      <c r="BC1327" s="9"/>
      <c r="BD1327" s="1704"/>
      <c r="BE1327" s="1702"/>
      <c r="BM1327"/>
      <c r="BN1327"/>
      <c r="BO1327"/>
      <c r="BP1327"/>
      <c r="BQ1327"/>
      <c r="BR1327"/>
    </row>
    <row r="1328" spans="2:70" s="70" customFormat="1" x14ac:dyDescent="0.2">
      <c r="B1328" s="65" t="s">
        <v>372</v>
      </c>
      <c r="C1328" s="9"/>
      <c r="D1328" s="81"/>
      <c r="E1328" s="81"/>
      <c r="F1328" s="81"/>
      <c r="G1328" s="81"/>
      <c r="H1328" s="81"/>
      <c r="I1328" s="81"/>
      <c r="J1328" s="81"/>
      <c r="K1328" s="81"/>
      <c r="L1328" s="81"/>
      <c r="M1328" s="81"/>
      <c r="N1328" s="81"/>
      <c r="O1328" s="81"/>
      <c r="P1328" s="81"/>
      <c r="Q1328" s="81"/>
      <c r="R1328" s="81"/>
      <c r="S1328" s="81"/>
      <c r="T1328" s="81"/>
      <c r="U1328" s="81"/>
      <c r="V1328" s="81"/>
      <c r="W1328" s="81"/>
      <c r="X1328" s="81"/>
      <c r="Y1328" s="81"/>
      <c r="Z1328" s="81"/>
      <c r="AA1328" s="81"/>
      <c r="AB1328" s="81"/>
      <c r="AC1328" s="9"/>
      <c r="AD1328" s="9"/>
      <c r="AE1328" s="1740"/>
      <c r="AF1328" s="1740"/>
      <c r="AG1328" s="1740"/>
      <c r="AH1328" s="1740"/>
      <c r="AI1328" s="1707"/>
      <c r="AJ1328" s="1740"/>
      <c r="AK1328" s="1740"/>
      <c r="AL1328" s="1740"/>
      <c r="AM1328" s="1740"/>
      <c r="AN1328" s="1740"/>
      <c r="AO1328" s="1740"/>
      <c r="AP1328" s="1740"/>
      <c r="AQ1328" s="1740"/>
      <c r="AS1328" s="65" t="s">
        <v>372</v>
      </c>
      <c r="AT1328" s="9"/>
      <c r="BC1328" s="9"/>
      <c r="BD1328" s="1704"/>
      <c r="BE1328" s="1702"/>
      <c r="BM1328"/>
      <c r="BN1328"/>
      <c r="BO1328"/>
      <c r="BP1328"/>
      <c r="BQ1328"/>
      <c r="BR1328"/>
    </row>
    <row r="1329" spans="2:70" s="70" customFormat="1" x14ac:dyDescent="0.2">
      <c r="B1329" s="35"/>
      <c r="C1329" s="9" t="s">
        <v>374</v>
      </c>
      <c r="D1329" s="603">
        <f t="shared" ref="D1329:AE1329" si="3085">D1330*D1321</f>
        <v>29.321999999999999</v>
      </c>
      <c r="E1329" s="603">
        <f t="shared" si="3085"/>
        <v>29.324999999999999</v>
      </c>
      <c r="F1329" s="603">
        <f t="shared" si="3085"/>
        <v>29.324999999999999</v>
      </c>
      <c r="G1329" s="603">
        <f t="shared" si="3085"/>
        <v>30.289000000000001</v>
      </c>
      <c r="H1329" s="603">
        <f t="shared" si="3085"/>
        <v>30.429000000000002</v>
      </c>
      <c r="I1329" s="603">
        <f t="shared" si="3085"/>
        <v>30.41</v>
      </c>
      <c r="J1329" s="603">
        <f t="shared" si="3085"/>
        <v>30.330000000000002</v>
      </c>
      <c r="K1329" s="603">
        <f t="shared" si="3085"/>
        <v>30.291999999999998</v>
      </c>
      <c r="L1329" s="603">
        <f t="shared" si="3085"/>
        <v>30.378000000000004</v>
      </c>
      <c r="M1329" s="603">
        <f t="shared" si="3085"/>
        <v>30.318000000000001</v>
      </c>
      <c r="N1329" s="603">
        <f t="shared" si="3085"/>
        <v>30.295000000000002</v>
      </c>
      <c r="O1329" s="603">
        <f t="shared" si="3085"/>
        <v>30.239000000000001</v>
      </c>
      <c r="P1329" s="603">
        <f t="shared" si="3085"/>
        <v>30.341000000000001</v>
      </c>
      <c r="Q1329" s="603">
        <f t="shared" si="3085"/>
        <v>150.49</v>
      </c>
      <c r="R1329" s="603">
        <f t="shared" si="3085"/>
        <v>148.95000000000002</v>
      </c>
      <c r="S1329" s="603">
        <f t="shared" si="3085"/>
        <v>147.66500000000002</v>
      </c>
      <c r="T1329" s="1150">
        <f t="shared" si="3085"/>
        <v>146.745</v>
      </c>
      <c r="U1329" s="1150">
        <f t="shared" si="3085"/>
        <v>145.27000000000001</v>
      </c>
      <c r="V1329" s="1150">
        <f t="shared" si="3085"/>
        <v>455.952</v>
      </c>
      <c r="W1329" s="1150">
        <f t="shared" si="3085"/>
        <v>443.584</v>
      </c>
      <c r="X1329" s="1150">
        <f t="shared" si="3085"/>
        <v>440.52800000000002</v>
      </c>
      <c r="Y1329" s="1150">
        <f t="shared" ref="Y1329:Z1329" si="3086">Y1330*Y1321</f>
        <v>435.93599999999998</v>
      </c>
      <c r="Z1329" s="1150">
        <f t="shared" si="3086"/>
        <v>846.08</v>
      </c>
      <c r="AA1329" s="1150">
        <f t="shared" ref="AA1329:AB1329" si="3087">AA1330*AA1321</f>
        <v>822.36800000000005</v>
      </c>
      <c r="AB1329" s="1150">
        <f t="shared" si="3087"/>
        <v>815.96800000000007</v>
      </c>
      <c r="AC1329" s="1150">
        <f t="shared" si="3085"/>
        <v>807.00562513440093</v>
      </c>
      <c r="AD1329" s="1150">
        <f t="shared" si="3085"/>
        <v>982.53848506219242</v>
      </c>
      <c r="AE1329" s="1150">
        <f t="shared" si="3085"/>
        <v>957.00849948163329</v>
      </c>
      <c r="AF1329" s="1150">
        <f t="shared" ref="AF1329:AI1329" si="3088">AF1330*AF1321</f>
        <v>936.68328699459244</v>
      </c>
      <c r="AG1329" s="1150">
        <f t="shared" si="3088"/>
        <v>914.30275623772877</v>
      </c>
      <c r="AH1329" s="1150">
        <f t="shared" si="3088"/>
        <v>1006.0781471288304</v>
      </c>
      <c r="AI1329" s="1150">
        <f t="shared" si="3088"/>
        <v>984.06172245050243</v>
      </c>
      <c r="AJ1329" s="1150"/>
      <c r="AK1329" s="1150"/>
      <c r="AL1329" s="1150"/>
      <c r="AM1329" s="1150"/>
      <c r="AN1329" s="1150"/>
      <c r="AO1329" s="1150"/>
      <c r="AP1329" s="1150"/>
      <c r="AQ1329" s="1150"/>
      <c r="AS1329" s="35"/>
      <c r="AT1329" s="9" t="s">
        <v>374</v>
      </c>
      <c r="AU1329" s="847">
        <f>SUM(D1329:G1329)</f>
        <v>118.261</v>
      </c>
      <c r="AV1329" s="847">
        <f>SUM(H1329:K1329)</f>
        <v>121.461</v>
      </c>
      <c r="AW1329" s="847">
        <f>SUM(L1329:O1329)</f>
        <v>121.23000000000002</v>
      </c>
      <c r="AX1329" s="847">
        <f>SUM(P1329:S1329)</f>
        <v>477.44600000000008</v>
      </c>
      <c r="AY1329" s="847">
        <f>SUM(T1329:W1329)</f>
        <v>1191.5509999999999</v>
      </c>
      <c r="AZ1329" s="847">
        <f>SUM(X1329:AA1329)</f>
        <v>2544.9119999999998</v>
      </c>
      <c r="BA1329" s="847">
        <f>SUM(AB1329:AE1329)</f>
        <v>3562.5206096782267</v>
      </c>
      <c r="BB1329" s="847">
        <f>SUM(AF1329:AI1329)</f>
        <v>3841.1259128116544</v>
      </c>
      <c r="BC1329" s="1150">
        <f>BC1330*BC1321</f>
        <v>3898.6263078487736</v>
      </c>
      <c r="BD1329" s="1150">
        <f>BD1330*BD1321</f>
        <v>4085.8987212957159</v>
      </c>
      <c r="BE1329" s="1150">
        <f>BE1330*BE1321</f>
        <v>4245.3355931092265</v>
      </c>
      <c r="BM1329"/>
      <c r="BN1329"/>
      <c r="BO1329"/>
      <c r="BP1329"/>
      <c r="BQ1329"/>
      <c r="BR1329"/>
    </row>
    <row r="1330" spans="2:70" s="70" customFormat="1" x14ac:dyDescent="0.2">
      <c r="B1330" s="35"/>
      <c r="C1330" s="9" t="s">
        <v>373</v>
      </c>
      <c r="D1330" s="104">
        <v>0.01</v>
      </c>
      <c r="E1330" s="104">
        <v>0.01</v>
      </c>
      <c r="F1330" s="104">
        <v>0.01</v>
      </c>
      <c r="G1330" s="104">
        <v>0.01</v>
      </c>
      <c r="H1330" s="104">
        <v>0.01</v>
      </c>
      <c r="I1330" s="104">
        <v>0.01</v>
      </c>
      <c r="J1330" s="104">
        <v>0.01</v>
      </c>
      <c r="K1330" s="104">
        <v>0.01</v>
      </c>
      <c r="L1330" s="104">
        <v>0.01</v>
      </c>
      <c r="M1330" s="104">
        <v>0.01</v>
      </c>
      <c r="N1330" s="104">
        <v>0.01</v>
      </c>
      <c r="O1330" s="104">
        <v>0.01</v>
      </c>
      <c r="P1330" s="104">
        <v>0.01</v>
      </c>
      <c r="Q1330" s="104">
        <v>0.05</v>
      </c>
      <c r="R1330" s="104">
        <v>0.05</v>
      </c>
      <c r="S1330" s="104">
        <v>0.05</v>
      </c>
      <c r="T1330" s="104">
        <v>0.05</v>
      </c>
      <c r="U1330" s="104">
        <v>0.05</v>
      </c>
      <c r="V1330" s="104">
        <v>0.16</v>
      </c>
      <c r="W1330" s="104">
        <v>0.16</v>
      </c>
      <c r="X1330" s="104">
        <v>0.16</v>
      </c>
      <c r="Y1330" s="104">
        <v>0.16</v>
      </c>
      <c r="Z1330" s="104">
        <v>0.32</v>
      </c>
      <c r="AA1330" s="104">
        <v>0.32</v>
      </c>
      <c r="AB1330" s="104">
        <v>0.32</v>
      </c>
      <c r="AC1330" s="790">
        <f>Drivers!AC314</f>
        <v>0.32</v>
      </c>
      <c r="AD1330" s="790">
        <f>Drivers!AD314</f>
        <v>0.4</v>
      </c>
      <c r="AE1330" s="790">
        <f>Drivers!AE314</f>
        <v>0.4</v>
      </c>
      <c r="AF1330" s="790">
        <f>Drivers!AF314</f>
        <v>0.4</v>
      </c>
      <c r="AG1330" s="790">
        <f>Drivers!AG314</f>
        <v>0.4</v>
      </c>
      <c r="AH1330" s="790">
        <f>Drivers!AH314</f>
        <v>0.45</v>
      </c>
      <c r="AI1330" s="790">
        <f>Drivers!AI314</f>
        <v>0.45</v>
      </c>
      <c r="AJ1330" s="790"/>
      <c r="AK1330" s="790"/>
      <c r="AL1330" s="790"/>
      <c r="AM1330" s="790"/>
      <c r="AN1330" s="790"/>
      <c r="AO1330" s="790"/>
      <c r="AP1330" s="790"/>
      <c r="AQ1330" s="790"/>
      <c r="AS1330" s="35"/>
      <c r="AT1330" s="9" t="s">
        <v>373</v>
      </c>
      <c r="AU1330" s="237">
        <f>SUM(D1330:G1330)</f>
        <v>0.04</v>
      </c>
      <c r="AV1330" s="237">
        <f>SUM(H1330:K1330)</f>
        <v>0.04</v>
      </c>
      <c r="AW1330" s="237">
        <f>SUM(L1330:O1330)</f>
        <v>0.04</v>
      </c>
      <c r="AX1330" s="237">
        <f>SUM(P1330:S1330)</f>
        <v>0.16000000000000003</v>
      </c>
      <c r="AY1330" s="237">
        <f>SUM(T1330:W1330)</f>
        <v>0.42000000000000004</v>
      </c>
      <c r="AZ1330" s="237">
        <f>SUM(X1330:AA1330)</f>
        <v>0.96</v>
      </c>
      <c r="BA1330" s="237">
        <f>SUM(AB1330:AE1330)</f>
        <v>1.44</v>
      </c>
      <c r="BB1330" s="1708">
        <f>SUM(AF1330:AI1330)</f>
        <v>1.7</v>
      </c>
      <c r="BC1330" s="790">
        <f>Drivers!BC314</f>
        <v>1.9</v>
      </c>
      <c r="BD1330" s="790">
        <f>Drivers!BD314</f>
        <v>2.1</v>
      </c>
      <c r="BE1330" s="790">
        <f>Drivers!BE314</f>
        <v>2.2999999999999998</v>
      </c>
      <c r="BM1330"/>
      <c r="BN1330"/>
      <c r="BO1330"/>
      <c r="BP1330"/>
      <c r="BQ1330"/>
      <c r="BR1330"/>
    </row>
    <row r="1331" spans="2:70" s="70" customFormat="1" x14ac:dyDescent="0.2">
      <c r="B1331" s="35"/>
      <c r="C1331" s="9"/>
      <c r="D1331" s="81"/>
      <c r="E1331" s="81"/>
      <c r="F1331" s="81"/>
      <c r="G1331" s="81"/>
      <c r="H1331" s="81"/>
      <c r="I1331" s="81"/>
      <c r="J1331" s="81"/>
      <c r="K1331" s="81"/>
      <c r="L1331" s="81"/>
      <c r="M1331" s="81"/>
      <c r="N1331" s="81"/>
      <c r="O1331" s="81"/>
      <c r="P1331" s="81"/>
      <c r="Q1331" s="81"/>
      <c r="R1331" s="81"/>
      <c r="S1331" s="81"/>
      <c r="T1331" s="81"/>
      <c r="U1331" s="81"/>
      <c r="V1331" s="81"/>
      <c r="W1331" s="81"/>
      <c r="X1331" s="81"/>
      <c r="Y1331" s="81"/>
      <c r="Z1331" s="81"/>
      <c r="AA1331" s="81"/>
      <c r="AB1331" s="81"/>
      <c r="AC1331" s="9"/>
      <c r="AD1331" s="9"/>
      <c r="AE1331" s="1740"/>
      <c r="AF1331" s="1740"/>
      <c r="AG1331" s="1740"/>
      <c r="AH1331" s="1740"/>
      <c r="AI1331" s="1707"/>
      <c r="AJ1331" s="1740"/>
      <c r="AK1331" s="1740"/>
      <c r="AL1331" s="1740"/>
      <c r="AM1331" s="1740"/>
      <c r="AN1331" s="1740"/>
      <c r="AO1331" s="1740"/>
      <c r="AP1331" s="1740"/>
      <c r="AQ1331" s="1740"/>
      <c r="AS1331" s="35"/>
      <c r="AT1331" s="9"/>
      <c r="BC1331" s="9"/>
      <c r="BD1331" s="1704"/>
      <c r="BE1331" s="1702"/>
      <c r="BM1331"/>
      <c r="BN1331"/>
      <c r="BO1331"/>
      <c r="BP1331"/>
      <c r="BQ1331"/>
      <c r="BR1331"/>
    </row>
    <row r="1332" spans="2:70" s="70" customFormat="1" x14ac:dyDescent="0.2">
      <c r="B1332" s="65" t="s">
        <v>375</v>
      </c>
      <c r="C1332" s="9"/>
      <c r="D1332" s="81"/>
      <c r="E1332" s="81"/>
      <c r="F1332" s="81"/>
      <c r="G1332" s="81"/>
      <c r="H1332" s="81"/>
      <c r="I1332" s="81"/>
      <c r="J1332" s="81"/>
      <c r="K1332" s="81"/>
      <c r="L1332" s="81"/>
      <c r="M1332" s="81"/>
      <c r="N1332" s="81"/>
      <c r="O1332" s="81"/>
      <c r="P1332" s="81"/>
      <c r="Q1332" s="81"/>
      <c r="R1332" s="81"/>
      <c r="S1332" s="81"/>
      <c r="T1332" s="81"/>
      <c r="U1332" s="81"/>
      <c r="V1332" s="81"/>
      <c r="W1332" s="81"/>
      <c r="X1332" s="81"/>
      <c r="Y1332" s="81"/>
      <c r="Z1332" s="81"/>
      <c r="AA1332" s="81"/>
      <c r="AB1332" s="81"/>
      <c r="AC1332" s="846"/>
      <c r="AD1332" s="9"/>
      <c r="AE1332" s="1740"/>
      <c r="AF1332" s="1740"/>
      <c r="AG1332" s="1740"/>
      <c r="AH1332" s="1740"/>
      <c r="AI1332" s="1707"/>
      <c r="AJ1332" s="1740"/>
      <c r="AK1332" s="1740"/>
      <c r="AL1332" s="1740"/>
      <c r="AM1332" s="1740"/>
      <c r="AN1332" s="1740"/>
      <c r="AO1332" s="1740"/>
      <c r="AP1332" s="1740"/>
      <c r="AQ1332" s="1740"/>
      <c r="AS1332" s="65" t="s">
        <v>375</v>
      </c>
      <c r="AT1332" s="9"/>
      <c r="BC1332" s="9"/>
      <c r="BD1332" s="1704"/>
      <c r="BE1332" s="1702"/>
      <c r="BM1332"/>
      <c r="BN1332"/>
      <c r="BO1332"/>
      <c r="BP1332"/>
      <c r="BQ1332"/>
      <c r="BR1332"/>
    </row>
    <row r="1333" spans="2:70" s="70" customFormat="1" x14ac:dyDescent="0.2">
      <c r="B1333" s="35"/>
      <c r="C1333" s="9" t="s">
        <v>376</v>
      </c>
      <c r="D1333" s="105">
        <v>0</v>
      </c>
      <c r="E1333" s="105">
        <v>0</v>
      </c>
      <c r="F1333" s="105">
        <v>0</v>
      </c>
      <c r="G1333" s="105">
        <v>0</v>
      </c>
      <c r="H1333" s="105">
        <v>0</v>
      </c>
      <c r="I1333" s="105">
        <v>-200</v>
      </c>
      <c r="J1333" s="105">
        <v>-600</v>
      </c>
      <c r="K1333" s="105">
        <v>-300</v>
      </c>
      <c r="L1333" s="105">
        <v>-400</v>
      </c>
      <c r="M1333" s="105">
        <v>-300</v>
      </c>
      <c r="N1333" s="105">
        <v>-509</v>
      </c>
      <c r="O1333" s="105">
        <v>-570</v>
      </c>
      <c r="P1333" s="105">
        <v>-300</v>
      </c>
      <c r="Q1333" s="105">
        <v>-1549</v>
      </c>
      <c r="R1333" s="105">
        <v>-1950</v>
      </c>
      <c r="S1333" s="105">
        <v>-1652</v>
      </c>
      <c r="T1333" s="105">
        <v>-1353</v>
      </c>
      <c r="U1333" s="105">
        <v>-1354</v>
      </c>
      <c r="V1333" s="105">
        <v>-2539</v>
      </c>
      <c r="W1333" s="105">
        <v>-4284</v>
      </c>
      <c r="X1333" s="105">
        <v>-1784</v>
      </c>
      <c r="Y1333" s="105">
        <v>-1780</v>
      </c>
      <c r="Z1333" s="105">
        <v>-5490</v>
      </c>
      <c r="AA1333" s="105">
        <v>-5485</v>
      </c>
      <c r="AB1333" s="105">
        <v>-2275</v>
      </c>
      <c r="AC1333" s="33">
        <f t="shared" ref="AC1333:AE1333" si="3089">AC1319*AC1335</f>
        <v>-2274.0008199999997</v>
      </c>
      <c r="AD1333" s="33">
        <f t="shared" si="3089"/>
        <v>-5363.9217666882432</v>
      </c>
      <c r="AE1333" s="33">
        <f t="shared" si="3089"/>
        <v>-5537.9788855391325</v>
      </c>
      <c r="AF1333" s="33">
        <f t="shared" ref="AF1333:AI1333" si="3090">AF1319*AF1335</f>
        <v>-5294.1912997375139</v>
      </c>
      <c r="AG1333" s="33">
        <f t="shared" si="3090"/>
        <v>-5440.8393832107795</v>
      </c>
      <c r="AH1333" s="33">
        <f t="shared" si="3090"/>
        <v>-4983.6916312711564</v>
      </c>
      <c r="AI1333" s="33">
        <f t="shared" si="3090"/>
        <v>-4972.1073702986787</v>
      </c>
      <c r="AJ1333" s="33"/>
      <c r="AK1333" s="33"/>
      <c r="AL1333" s="33"/>
      <c r="AM1333" s="33"/>
      <c r="AN1333" s="33"/>
      <c r="AO1333" s="33"/>
      <c r="AP1333" s="33"/>
      <c r="AQ1333" s="33"/>
      <c r="AS1333" s="35"/>
      <c r="AT1333" s="9" t="s">
        <v>376</v>
      </c>
      <c r="AU1333" s="232">
        <f>SUM(D1333:G1333)</f>
        <v>0</v>
      </c>
      <c r="AV1333" s="232">
        <f>SUM(H1333:K1333)</f>
        <v>-1100</v>
      </c>
      <c r="AW1333" s="232">
        <f>SUM(L1333:O1333)</f>
        <v>-1779</v>
      </c>
      <c r="AX1333" s="232">
        <f>SUM(P1333:S1333)</f>
        <v>-5451</v>
      </c>
      <c r="AY1333" s="232">
        <f>SUM(T1333:W1333)</f>
        <v>-9530</v>
      </c>
      <c r="AZ1333" s="232">
        <f>SUM(X1333:AA1333)</f>
        <v>-14539</v>
      </c>
      <c r="BA1333" s="232">
        <f>SUM(AB1333:AE1333)</f>
        <v>-15450.901472227375</v>
      </c>
      <c r="BB1333" s="232">
        <f>SUM(AF1333:AI1333)</f>
        <v>-20690.829684518128</v>
      </c>
      <c r="BC1333" s="33">
        <f>BC1319*BC1335</f>
        <v>-15384.116316666281</v>
      </c>
      <c r="BD1333" s="33">
        <f>BD1319*BD1335</f>
        <v>-13362.807232427307</v>
      </c>
      <c r="BE1333" s="33">
        <f>BE1319*BE1335</f>
        <v>-13684.588844537262</v>
      </c>
      <c r="BM1333"/>
      <c r="BN1333"/>
      <c r="BO1333"/>
      <c r="BP1333"/>
      <c r="BQ1333"/>
      <c r="BR1333"/>
    </row>
    <row r="1334" spans="2:70" s="70" customFormat="1" x14ac:dyDescent="0.2">
      <c r="B1334" s="35"/>
      <c r="C1334" s="9" t="s">
        <v>416</v>
      </c>
      <c r="D1334" s="37">
        <f t="shared" ref="D1334:AE1334" si="3091">SUM(D1319:D1320)*D1335</f>
        <v>266.00799999999407</v>
      </c>
      <c r="E1334" s="37">
        <f t="shared" si="3091"/>
        <v>9.594000000005817</v>
      </c>
      <c r="F1334" s="37">
        <f t="shared" si="3091"/>
        <v>0</v>
      </c>
      <c r="G1334" s="37">
        <f t="shared" si="3091"/>
        <v>3534.0240000000031</v>
      </c>
      <c r="H1334" s="37">
        <f t="shared" si="3091"/>
        <v>608.71999999999991</v>
      </c>
      <c r="I1334" s="37">
        <f t="shared" si="3091"/>
        <v>-86.363636363636374</v>
      </c>
      <c r="J1334" s="37">
        <f t="shared" si="3091"/>
        <v>-387.09677419354398</v>
      </c>
      <c r="K1334" s="37">
        <f t="shared" si="3091"/>
        <v>-193.22033898305548</v>
      </c>
      <c r="L1334" s="37">
        <f t="shared" si="3091"/>
        <v>498.55072463770745</v>
      </c>
      <c r="M1334" s="37">
        <f t="shared" si="3091"/>
        <v>-285.71428571427703</v>
      </c>
      <c r="N1334" s="37">
        <f t="shared" si="3091"/>
        <v>-109.41121495328831</v>
      </c>
      <c r="O1334" s="37">
        <f t="shared" si="3091"/>
        <v>-298.3177570093506</v>
      </c>
      <c r="P1334" s="37">
        <f t="shared" si="3091"/>
        <v>518.64406779660555</v>
      </c>
      <c r="Q1334" s="37">
        <f t="shared" si="3091"/>
        <v>-1320.726315789459</v>
      </c>
      <c r="R1334" s="37">
        <f t="shared" si="3091"/>
        <v>-1668.333333333343</v>
      </c>
      <c r="S1334" s="37">
        <f t="shared" si="3091"/>
        <v>-1369.5612903225708</v>
      </c>
      <c r="T1334" s="37">
        <f t="shared" si="3091"/>
        <v>-803.07096774193951</v>
      </c>
      <c r="U1334" s="37">
        <f t="shared" si="3091"/>
        <v>-1331.4333333333334</v>
      </c>
      <c r="V1334" s="37">
        <f t="shared" si="3091"/>
        <v>-2525.3982142857267</v>
      </c>
      <c r="W1334" s="37">
        <f t="shared" si="3091"/>
        <v>-4191.8126582278328</v>
      </c>
      <c r="X1334" s="37">
        <f t="shared" si="3091"/>
        <v>-1135.813333333328</v>
      </c>
      <c r="Y1334" s="37">
        <f t="shared" ref="Y1334:Z1334" si="3092">SUM(Y1319:Y1320)*Y1335</f>
        <v>-1761.5862068965685</v>
      </c>
      <c r="Z1334" s="37">
        <f t="shared" si="3092"/>
        <v>-5462.8888888888823</v>
      </c>
      <c r="AA1334" s="37">
        <f t="shared" ref="AA1334:AB1334" si="3093">SUM(AA1319:AA1320)*AA1335</f>
        <v>-5492.4121621621562</v>
      </c>
      <c r="AB1334" s="37">
        <f t="shared" si="3093"/>
        <v>-1516.6666666666665</v>
      </c>
      <c r="AC1334" s="37">
        <f t="shared" si="3091"/>
        <v>-2081.4182044638687</v>
      </c>
      <c r="AD1334" s="37">
        <f t="shared" si="3091"/>
        <v>-5163.4586705243737</v>
      </c>
      <c r="AE1334" s="37">
        <f t="shared" si="3091"/>
        <v>-5329.5253303621703</v>
      </c>
      <c r="AF1334" s="37">
        <f t="shared" ref="AF1334:AI1334" si="3094">SUM(AF1319:AF1320)*AF1335</f>
        <v>-4497.580248137514</v>
      </c>
      <c r="AG1334" s="37">
        <f t="shared" si="3094"/>
        <v>-5200.0019579641303</v>
      </c>
      <c r="AH1334" s="37">
        <f t="shared" si="3094"/>
        <v>-4742.459232647102</v>
      </c>
      <c r="AI1334" s="37">
        <f t="shared" si="3094"/>
        <v>-4730.7254075874771</v>
      </c>
      <c r="AJ1334" s="37"/>
      <c r="AK1334" s="37"/>
      <c r="AL1334" s="37"/>
      <c r="AM1334" s="37"/>
      <c r="AN1334" s="37"/>
      <c r="AO1334" s="37"/>
      <c r="AP1334" s="37"/>
      <c r="AQ1334" s="37"/>
      <c r="AS1334" s="35"/>
      <c r="AT1334" s="9" t="s">
        <v>416</v>
      </c>
      <c r="AU1334" s="232">
        <f>SUM(D1334:G1334)</f>
        <v>3809.6260000000029</v>
      </c>
      <c r="AV1334" s="232">
        <f>SUM(H1334:K1334)</f>
        <v>-57.960749540235923</v>
      </c>
      <c r="AW1334" s="232">
        <f>SUM(L1334:O1334)</f>
        <v>-194.8925330392085</v>
      </c>
      <c r="AX1334" s="232">
        <f>SUM(P1334:S1334)</f>
        <v>-3839.976871648767</v>
      </c>
      <c r="AY1334" s="232">
        <f>SUM(T1334:W1334)</f>
        <v>-8851.7151735888328</v>
      </c>
      <c r="AZ1334" s="232">
        <f>SUM(X1334:AA1334)</f>
        <v>-13852.700591280935</v>
      </c>
      <c r="BA1334" s="232">
        <f>SUM(AB1334:AE1334)</f>
        <v>-14091.068872017078</v>
      </c>
      <c r="BB1334" s="232">
        <f>SUM(AF1334:AI1334)</f>
        <v>-19170.766846336224</v>
      </c>
      <c r="BC1334" s="37">
        <f>SUM(BC1319:BC1320)*BC1335</f>
        <v>-13556.929243841172</v>
      </c>
      <c r="BD1334" s="37">
        <f>SUM(BD1319:BD1320)*BD1335</f>
        <v>-11531.527260559071</v>
      </c>
      <c r="BE1334" s="37">
        <f>SUM(BE1319:BE1320)*BE1335</f>
        <v>-11706.806474919567</v>
      </c>
      <c r="BM1334"/>
      <c r="BN1334"/>
      <c r="BO1334"/>
      <c r="BP1334"/>
      <c r="BQ1334"/>
      <c r="BR1334"/>
    </row>
    <row r="1335" spans="2:70" s="70" customFormat="1" x14ac:dyDescent="0.2">
      <c r="B1335" s="35"/>
      <c r="C1335" s="9" t="s">
        <v>377</v>
      </c>
      <c r="D1335" s="791">
        <v>32.44</v>
      </c>
      <c r="E1335" s="791">
        <v>31.98</v>
      </c>
      <c r="F1335" s="791">
        <v>30.09</v>
      </c>
      <c r="G1335" s="791">
        <v>36.659999999999997</v>
      </c>
      <c r="H1335" s="791">
        <v>43.48</v>
      </c>
      <c r="I1335" s="106">
        <f t="shared" ref="I1335:X1335" si="3095">IFERROR(I1333/I1319,"NA")</f>
        <v>45.454545454545453</v>
      </c>
      <c r="J1335" s="106">
        <f t="shared" si="3095"/>
        <v>48.387096774193544</v>
      </c>
      <c r="K1335" s="106">
        <f t="shared" si="3095"/>
        <v>50.847457627118644</v>
      </c>
      <c r="L1335" s="106">
        <f t="shared" si="3095"/>
        <v>57.971014492753618</v>
      </c>
      <c r="M1335" s="106">
        <f t="shared" si="3095"/>
        <v>47.61904761904762</v>
      </c>
      <c r="N1335" s="106">
        <f t="shared" si="3095"/>
        <v>47.570093457943926</v>
      </c>
      <c r="O1335" s="106">
        <f t="shared" si="3095"/>
        <v>53.271028037383182</v>
      </c>
      <c r="P1335" s="106">
        <f t="shared" si="3095"/>
        <v>50.847457627118644</v>
      </c>
      <c r="Q1335" s="106">
        <f t="shared" si="3095"/>
        <v>54.350877192982459</v>
      </c>
      <c r="R1335" s="106">
        <f t="shared" si="3095"/>
        <v>54.166666666666664</v>
      </c>
      <c r="S1335" s="106">
        <f t="shared" si="3095"/>
        <v>53.29032258064516</v>
      </c>
      <c r="T1335" s="106">
        <f t="shared" si="3095"/>
        <v>43.645161290322584</v>
      </c>
      <c r="U1335" s="106">
        <f t="shared" si="3095"/>
        <v>45.133333333333333</v>
      </c>
      <c r="V1335" s="106">
        <f t="shared" si="3095"/>
        <v>45.339285714285715</v>
      </c>
      <c r="W1335" s="106">
        <f t="shared" si="3095"/>
        <v>54.22784810126582</v>
      </c>
      <c r="X1335" s="106">
        <f t="shared" si="3095"/>
        <v>59.466666666666669</v>
      </c>
      <c r="Y1335" s="106">
        <f t="shared" ref="Y1335:Z1335" si="3096">IFERROR(Y1333/Y1319,"NA")</f>
        <v>61.379310344827587</v>
      </c>
      <c r="Z1335" s="106">
        <f t="shared" si="3096"/>
        <v>67.777777777777771</v>
      </c>
      <c r="AA1335" s="106">
        <f t="shared" ref="AA1335:AB1335" si="3097">IFERROR(AA1333/AA1319,"NA")</f>
        <v>74.121621621621628</v>
      </c>
      <c r="AB1335" s="106">
        <f t="shared" si="3097"/>
        <v>75.833333333333329</v>
      </c>
      <c r="AC1335" s="913">
        <f>AB1335*(1+Drivers!AC318)</f>
        <v>74.316666666666663</v>
      </c>
      <c r="AD1335" s="913">
        <f>AC1335*(1+Drivers!AD318)</f>
        <v>78.775666666666666</v>
      </c>
      <c r="AE1335" s="913">
        <f>AD1335*(1+Drivers!AE318)</f>
        <v>83.502206666666666</v>
      </c>
      <c r="AF1335" s="913">
        <f>AE1335*(1+Drivers!AF318)</f>
        <v>88.512339066666669</v>
      </c>
      <c r="AG1335" s="913">
        <f>AF1335*(1+Drivers!AG318)</f>
        <v>92.937956020000001</v>
      </c>
      <c r="AH1335" s="913">
        <f>AG1335*(1+Drivers!AH318)</f>
        <v>94.796715140399996</v>
      </c>
      <c r="AI1335" s="913">
        <f>AH1335*(1+Drivers!AI318)</f>
        <v>96.692649443207998</v>
      </c>
      <c r="AJ1335" s="913"/>
      <c r="AK1335" s="913"/>
      <c r="AL1335" s="913"/>
      <c r="AM1335" s="913"/>
      <c r="AN1335" s="913"/>
      <c r="AO1335" s="913"/>
      <c r="AP1335" s="913"/>
      <c r="AQ1335" s="913"/>
      <c r="AS1335" s="35"/>
      <c r="AT1335" s="9" t="s">
        <v>377</v>
      </c>
      <c r="AU1335" s="467">
        <f>G1335</f>
        <v>36.659999999999997</v>
      </c>
      <c r="AV1335" s="106">
        <f t="shared" ref="AV1335:BA1335" si="3098">IFERROR(AV1333/AV1319,"NA")</f>
        <v>48.458149779735677</v>
      </c>
      <c r="AW1335" s="106">
        <f t="shared" si="3098"/>
        <v>51.416184971098275</v>
      </c>
      <c r="AX1335" s="106">
        <f t="shared" si="3098"/>
        <v>53.757396449704139</v>
      </c>
      <c r="AY1335" s="106">
        <f t="shared" si="3098"/>
        <v>48.622448979591837</v>
      </c>
      <c r="AZ1335" s="106">
        <f t="shared" si="3098"/>
        <v>67.939252336448604</v>
      </c>
      <c r="BA1335" s="106">
        <f t="shared" si="3098"/>
        <v>79.230822227976887</v>
      </c>
      <c r="BB1335" s="106">
        <f t="shared" ref="BB1335" si="3099">IFERROR(BB1333/BB1319,"NA")</f>
        <v>93.0552615180532</v>
      </c>
      <c r="BC1335" s="913">
        <f>BB1335*(1+Drivers!BC318)</f>
        <v>100.49968243949746</v>
      </c>
      <c r="BD1335" s="913">
        <f>BC1335*(1+Drivers!BD318)</f>
        <v>108.53965703465727</v>
      </c>
      <c r="BE1335" s="913">
        <f>BD1335*(1+Drivers!BE318)</f>
        <v>117.22282959742985</v>
      </c>
      <c r="BM1335"/>
      <c r="BN1335"/>
      <c r="BO1335"/>
      <c r="BP1335"/>
      <c r="BQ1335"/>
      <c r="BR1335"/>
    </row>
    <row r="1336" spans="2:70" s="70" customFormat="1" x14ac:dyDescent="0.2">
      <c r="B1336" s="35"/>
      <c r="C1336" s="9" t="s">
        <v>378</v>
      </c>
      <c r="D1336" s="20" t="s">
        <v>229</v>
      </c>
      <c r="E1336" s="20" t="s">
        <v>229</v>
      </c>
      <c r="F1336" s="20" t="s">
        <v>229</v>
      </c>
      <c r="G1336" s="20" t="s">
        <v>229</v>
      </c>
      <c r="H1336" s="137">
        <f t="shared" ref="H1336:AE1336" si="3100">H1335/SUM(E806:H806)</f>
        <v>11.242632943909573</v>
      </c>
      <c r="I1336" s="137">
        <f t="shared" si="3100"/>
        <v>11.028149413361231</v>
      </c>
      <c r="J1336" s="137">
        <f t="shared" si="3100"/>
        <v>12.017908526807462</v>
      </c>
      <c r="K1336" s="137">
        <f t="shared" si="3100"/>
        <v>11.929165122231311</v>
      </c>
      <c r="L1336" s="137">
        <f t="shared" si="3100"/>
        <v>13.59979202768111</v>
      </c>
      <c r="M1336" s="137">
        <f t="shared" si="3100"/>
        <v>15.540835142702951</v>
      </c>
      <c r="N1336" s="137">
        <f t="shared" si="3100"/>
        <v>15.6783801311199</v>
      </c>
      <c r="O1336" s="137">
        <f t="shared" si="3100"/>
        <v>22.673346321421366</v>
      </c>
      <c r="P1336" s="137">
        <f t="shared" si="3100"/>
        <v>19.684033588884795</v>
      </c>
      <c r="Q1336" s="137">
        <f t="shared" si="3100"/>
        <v>13.62075794364088</v>
      </c>
      <c r="R1336" s="137">
        <f t="shared" si="3100"/>
        <v>12.462197639599912</v>
      </c>
      <c r="S1336" s="137">
        <f t="shared" si="3100"/>
        <v>9.9412878463461585</v>
      </c>
      <c r="T1336" s="137">
        <f t="shared" si="3100"/>
        <v>8.8320956744661974</v>
      </c>
      <c r="U1336" s="137">
        <f t="shared" si="3100"/>
        <v>9.512319568316423</v>
      </c>
      <c r="V1336" s="137">
        <f t="shared" si="3100"/>
        <v>9.6962439034098207</v>
      </c>
      <c r="W1336" s="137">
        <f t="shared" si="3100"/>
        <v>11.434301933755144</v>
      </c>
      <c r="X1336" s="137">
        <f t="shared" si="3100"/>
        <v>11.908348700569727</v>
      </c>
      <c r="Y1336" s="137">
        <f t="shared" si="3100"/>
        <v>12.239409081340657</v>
      </c>
      <c r="Z1336" s="137">
        <f t="shared" si="3100"/>
        <v>13.063155417247682</v>
      </c>
      <c r="AA1336" s="137">
        <f t="shared" si="3100"/>
        <v>13.768755793298036</v>
      </c>
      <c r="AB1336" s="137">
        <f t="shared" si="3100"/>
        <v>13.289799143976669</v>
      </c>
      <c r="AC1336" s="137">
        <f t="shared" si="3100"/>
        <v>12.288361348046303</v>
      </c>
      <c r="AD1336" s="137">
        <f t="shared" si="3100"/>
        <v>12.452243397018833</v>
      </c>
      <c r="AE1336" s="137">
        <f t="shared" si="3100"/>
        <v>12.563284916082546</v>
      </c>
      <c r="AF1336" s="137">
        <f t="shared" ref="AF1336" si="3101">AF1335/SUM(AC806:AF806)</f>
        <v>12.821773392101139</v>
      </c>
      <c r="AG1336" s="137">
        <f t="shared" ref="AG1336" si="3102">AG1335/SUM(AD806:AG806)</f>
        <v>12.718105777016884</v>
      </c>
      <c r="AH1336" s="137">
        <f t="shared" ref="AH1336" si="3103">AH1335/SUM(AE806:AH806)</f>
        <v>12.378748179218672</v>
      </c>
      <c r="AI1336" s="137">
        <f t="shared" ref="AI1336" si="3104">AI1335/SUM(AF806:AI806)</f>
        <v>12.136755003617404</v>
      </c>
      <c r="AJ1336" s="137"/>
      <c r="AK1336" s="137"/>
      <c r="AL1336" s="137"/>
      <c r="AM1336" s="137"/>
      <c r="AN1336" s="137"/>
      <c r="AO1336" s="137"/>
      <c r="AP1336" s="137"/>
      <c r="AQ1336" s="137"/>
      <c r="AS1336" s="35"/>
      <c r="AT1336" s="9" t="s">
        <v>378</v>
      </c>
      <c r="AU1336" s="137" t="s">
        <v>229</v>
      </c>
      <c r="AV1336" s="137">
        <f t="shared" ref="AV1336:BE1336" si="3105">AV1335/AU806</f>
        <v>13.164464023494858</v>
      </c>
      <c r="AW1336" s="137">
        <f t="shared" si="3105"/>
        <v>12.05915495688474</v>
      </c>
      <c r="AX1336" s="137">
        <f t="shared" si="3105"/>
        <v>22.862514076145004</v>
      </c>
      <c r="AY1336" s="137">
        <f t="shared" si="3105"/>
        <v>9.0604157684385935</v>
      </c>
      <c r="AZ1336" s="137">
        <f t="shared" si="3105"/>
        <v>14.325123781628534</v>
      </c>
      <c r="BA1336" s="137">
        <f t="shared" si="3105"/>
        <v>14.720236972209026</v>
      </c>
      <c r="BB1336" s="137">
        <f t="shared" si="3105"/>
        <v>14.001046343413666</v>
      </c>
      <c r="BC1336" s="137">
        <f t="shared" si="3105"/>
        <v>12.61680835023949</v>
      </c>
      <c r="BD1336" s="137">
        <f t="shared" si="3105"/>
        <v>11.668012615650465</v>
      </c>
      <c r="BE1336" s="137">
        <f t="shared" si="3105"/>
        <v>11.224806353890896</v>
      </c>
      <c r="BM1336"/>
      <c r="BN1336"/>
      <c r="BO1336"/>
      <c r="BP1336"/>
      <c r="BQ1336"/>
      <c r="BR1336"/>
    </row>
    <row r="1337" spans="2:70" s="70" customFormat="1" x14ac:dyDescent="0.2">
      <c r="B1337" s="63"/>
      <c r="C1337" s="15"/>
      <c r="D1337" s="107"/>
      <c r="E1337" s="107"/>
      <c r="F1337" s="107"/>
      <c r="G1337" s="107"/>
      <c r="H1337" s="107"/>
      <c r="I1337" s="107"/>
      <c r="J1337" s="107"/>
      <c r="K1337" s="107"/>
      <c r="L1337" s="107"/>
      <c r="M1337" s="107"/>
      <c r="N1337" s="107"/>
      <c r="O1337" s="107"/>
      <c r="P1337" s="107"/>
      <c r="Q1337" s="107"/>
      <c r="R1337" s="107"/>
      <c r="S1337" s="107"/>
      <c r="T1337" s="107"/>
      <c r="U1337" s="107"/>
      <c r="V1337" s="107"/>
      <c r="W1337" s="107"/>
      <c r="X1337" s="107"/>
      <c r="Y1337" s="107"/>
      <c r="Z1337" s="107"/>
      <c r="AA1337" s="107"/>
      <c r="AB1337" s="107"/>
      <c r="AC1337" s="15"/>
      <c r="AD1337" s="15"/>
      <c r="AE1337" s="15"/>
      <c r="AF1337" s="15"/>
      <c r="AG1337" s="15"/>
      <c r="AH1337" s="15"/>
      <c r="AI1337" s="15"/>
      <c r="AJ1337" s="15"/>
      <c r="AK1337" s="15"/>
      <c r="AL1337" s="15"/>
      <c r="AM1337" s="15"/>
      <c r="AN1337" s="15"/>
      <c r="AO1337" s="15"/>
      <c r="AP1337" s="15"/>
      <c r="AQ1337" s="15"/>
      <c r="AS1337" s="63"/>
      <c r="AT1337" s="15"/>
      <c r="BC1337" s="15"/>
      <c r="BD1337" s="15"/>
      <c r="BE1337" s="15"/>
      <c r="BM1337"/>
      <c r="BN1337"/>
      <c r="BO1337"/>
      <c r="BP1337"/>
      <c r="BQ1337"/>
      <c r="BR1337"/>
    </row>
    <row r="1338" spans="2:70" s="70" customFormat="1" x14ac:dyDescent="0.2">
      <c r="B1338" s="35"/>
      <c r="C1338" s="9" t="s">
        <v>379</v>
      </c>
      <c r="D1338" s="108">
        <f t="shared" ref="D1338:AE1338" si="3106">D1319/D1318</f>
        <v>0</v>
      </c>
      <c r="E1338" s="108">
        <f t="shared" si="3106"/>
        <v>0</v>
      </c>
      <c r="F1338" s="108">
        <f t="shared" si="3106"/>
        <v>0</v>
      </c>
      <c r="G1338" s="108">
        <f t="shared" si="3106"/>
        <v>0</v>
      </c>
      <c r="H1338" s="108">
        <f t="shared" si="3106"/>
        <v>0</v>
      </c>
      <c r="I1338" s="108">
        <f t="shared" si="3106"/>
        <v>-1.4459890236287753E-3</v>
      </c>
      <c r="J1338" s="108">
        <f t="shared" si="3106"/>
        <v>-4.077606050641237E-3</v>
      </c>
      <c r="K1338" s="108">
        <f t="shared" si="3106"/>
        <v>-1.945268710847346E-3</v>
      </c>
      <c r="L1338" s="108">
        <f t="shared" si="3106"/>
        <v>-2.2778291298032488E-3</v>
      </c>
      <c r="M1338" s="108">
        <f t="shared" si="3106"/>
        <v>-2.0738692474817299E-3</v>
      </c>
      <c r="N1338" s="108">
        <f t="shared" si="3106"/>
        <v>-3.5292565472656505E-3</v>
      </c>
      <c r="O1338" s="108">
        <f t="shared" si="3106"/>
        <v>-3.5319359630302028E-3</v>
      </c>
      <c r="P1338" s="108">
        <f t="shared" si="3106"/>
        <v>-1.9511227223122458E-3</v>
      </c>
      <c r="Q1338" s="108">
        <f t="shared" si="3106"/>
        <v>-9.3932302824560835E-3</v>
      </c>
      <c r="R1338" s="108">
        <f t="shared" si="3106"/>
        <v>-1.19609276363878E-2</v>
      </c>
      <c r="S1338" s="108">
        <f t="shared" si="3106"/>
        <v>-1.0406176569318564E-2</v>
      </c>
      <c r="T1338" s="108">
        <f t="shared" si="3106"/>
        <v>-1.0496732468763755E-2</v>
      </c>
      <c r="U1338" s="108">
        <f t="shared" si="3106"/>
        <v>-1.0221813349688235E-2</v>
      </c>
      <c r="V1338" s="108">
        <f t="shared" si="3106"/>
        <v>-1.9274454464101327E-2</v>
      </c>
      <c r="W1338" s="108">
        <f t="shared" si="3106"/>
        <v>-2.772221637365337E-2</v>
      </c>
      <c r="X1338" s="108">
        <f t="shared" si="3106"/>
        <v>-1.0820949357957004E-2</v>
      </c>
      <c r="Y1338" s="108">
        <f t="shared" ref="Y1338:Z1338" si="3107">Y1319/Y1318</f>
        <v>-1.053281516725384E-2</v>
      </c>
      <c r="Z1338" s="108">
        <f t="shared" si="3107"/>
        <v>-2.9729134551860825E-2</v>
      </c>
      <c r="AA1338" s="108">
        <f t="shared" ref="AA1338:AB1338" si="3108">AA1319/AA1318</f>
        <v>-2.7987897125567322E-2</v>
      </c>
      <c r="AB1338" s="108">
        <f t="shared" si="3108"/>
        <v>-1.1673605976886259E-2</v>
      </c>
      <c r="AC1338" s="108">
        <f t="shared" si="3106"/>
        <v>-1.2E-2</v>
      </c>
      <c r="AD1338" s="108">
        <f t="shared" si="3106"/>
        <v>-2.6999999999999996E-2</v>
      </c>
      <c r="AE1338" s="108">
        <f t="shared" si="3106"/>
        <v>-2.7000000000000003E-2</v>
      </c>
      <c r="AF1338" s="108">
        <f t="shared" ref="AF1338:AI1338" si="3109">AF1319/AF1318</f>
        <v>-2.5000000000000001E-2</v>
      </c>
      <c r="AG1338" s="108">
        <f t="shared" si="3109"/>
        <v>-2.5000000000000001E-2</v>
      </c>
      <c r="AH1338" s="108">
        <f t="shared" si="3109"/>
        <v>-2.3E-2</v>
      </c>
      <c r="AI1338" s="108">
        <f t="shared" si="3109"/>
        <v>-2.3E-2</v>
      </c>
      <c r="AJ1338" s="108"/>
      <c r="AK1338" s="108"/>
      <c r="AL1338" s="108"/>
      <c r="AM1338" s="108"/>
      <c r="AN1338" s="108"/>
      <c r="AO1338" s="108"/>
      <c r="AP1338" s="108"/>
      <c r="AQ1338" s="108"/>
      <c r="AS1338" s="35"/>
      <c r="AT1338" s="9" t="s">
        <v>379</v>
      </c>
      <c r="AU1338" s="108">
        <f t="shared" ref="AU1338:BD1338" si="3110">AU1319/AU1318</f>
        <v>0</v>
      </c>
      <c r="AV1338" s="108">
        <f t="shared" si="3110"/>
        <v>-7.4944699395820269E-3</v>
      </c>
      <c r="AW1338" s="108">
        <f t="shared" si="3110"/>
        <v>-1.14221576653902E-2</v>
      </c>
      <c r="AX1338" s="108">
        <f t="shared" si="3110"/>
        <v>-3.3532854922451137E-2</v>
      </c>
      <c r="AY1338" s="108">
        <f t="shared" si="3110"/>
        <v>-6.6366437544441811E-2</v>
      </c>
      <c r="AZ1338" s="108">
        <f t="shared" si="3110"/>
        <v>-7.7189438753426626E-2</v>
      </c>
      <c r="BA1338" s="108">
        <f t="shared" si="3110"/>
        <v>-7.5882815425663663E-2</v>
      </c>
      <c r="BB1338" s="108">
        <f t="shared" ref="BB1338" si="3111">BB1319/BB1318</f>
        <v>-9.2935399099687205E-2</v>
      </c>
      <c r="BC1338" s="108">
        <f t="shared" si="3110"/>
        <v>-7.0000000000000007E-2</v>
      </c>
      <c r="BD1338" s="108">
        <f t="shared" si="3110"/>
        <v>-0.06</v>
      </c>
      <c r="BE1338" s="108">
        <f t="shared" ref="BE1338" si="3112">BE1319/BE1318</f>
        <v>-0.06</v>
      </c>
      <c r="BM1338"/>
      <c r="BN1338"/>
      <c r="BO1338"/>
      <c r="BP1338"/>
      <c r="BQ1338"/>
      <c r="BR1338"/>
    </row>
    <row r="1339" spans="2:70" s="70" customFormat="1" x14ac:dyDescent="0.2">
      <c r="B1339" s="35"/>
      <c r="C1339" s="9" t="s">
        <v>380</v>
      </c>
      <c r="D1339" s="108">
        <f t="shared" ref="D1339:AE1339" si="3113">SUM(D1319:D1320)/D1318</f>
        <v>2.8043775649794181E-3</v>
      </c>
      <c r="E1339" s="108">
        <f t="shared" si="3113"/>
        <v>1.0231225700845165E-4</v>
      </c>
      <c r="F1339" s="108">
        <f t="shared" si="3113"/>
        <v>0</v>
      </c>
      <c r="G1339" s="108">
        <f t="shared" si="3113"/>
        <v>3.2872975277067382E-2</v>
      </c>
      <c r="H1339" s="108">
        <f t="shared" si="3113"/>
        <v>4.6221400508435406E-3</v>
      </c>
      <c r="I1339" s="108">
        <f t="shared" si="3113"/>
        <v>-6.2440435111242576E-4</v>
      </c>
      <c r="J1339" s="108">
        <f t="shared" si="3113"/>
        <v>-2.6307135810588324E-3</v>
      </c>
      <c r="K1339" s="108">
        <f t="shared" si="3113"/>
        <v>-1.252884932410185E-3</v>
      </c>
      <c r="L1339" s="108">
        <f t="shared" si="3113"/>
        <v>2.8390334081607204E-3</v>
      </c>
      <c r="M1339" s="108">
        <f t="shared" si="3113"/>
        <v>-1.9751135690301591E-3</v>
      </c>
      <c r="N1339" s="108">
        <f t="shared" si="3113"/>
        <v>-7.5862523913198859E-4</v>
      </c>
      <c r="O1339" s="108">
        <f t="shared" si="3113"/>
        <v>-1.8484898498102294E-3</v>
      </c>
      <c r="P1339" s="108">
        <f t="shared" si="3113"/>
        <v>3.3731274182346995E-3</v>
      </c>
      <c r="Q1339" s="108">
        <f t="shared" si="3113"/>
        <v>-8.0089647671466747E-3</v>
      </c>
      <c r="R1339" s="108">
        <f t="shared" si="3113"/>
        <v>-1.0233238088909621E-2</v>
      </c>
      <c r="S1339" s="108">
        <f t="shared" si="3113"/>
        <v>-8.6270560590801671E-3</v>
      </c>
      <c r="T1339" s="108">
        <f t="shared" si="3113"/>
        <v>-6.2303186266210982E-3</v>
      </c>
      <c r="U1339" s="108">
        <f t="shared" si="3113"/>
        <v>-1.0051449793860098E-2</v>
      </c>
      <c r="V1339" s="108">
        <f t="shared" si="3113"/>
        <v>-1.9171198458043735E-2</v>
      </c>
      <c r="W1339" s="108">
        <f t="shared" si="3113"/>
        <v>-2.7125662350422759E-2</v>
      </c>
      <c r="X1339" s="108">
        <f t="shared" si="3113"/>
        <v>-6.8893377578992604E-3</v>
      </c>
      <c r="Y1339" s="108">
        <f t="shared" ref="Y1339:Z1339" si="3114">SUM(Y1319:Y1320)/Y1318</f>
        <v>-1.0423855010351313E-2</v>
      </c>
      <c r="Z1339" s="108">
        <f t="shared" si="3114"/>
        <v>-2.9582324010863949E-2</v>
      </c>
      <c r="AA1339" s="108">
        <f t="shared" ref="AA1339:AB1339" si="3115">SUM(AA1319:AA1320)/AA1318</f>
        <v>-2.8025718608169405E-2</v>
      </c>
      <c r="AB1339" s="108">
        <f t="shared" si="3115"/>
        <v>-7.7824039845908397E-3</v>
      </c>
      <c r="AC1339" s="108">
        <f t="shared" si="3113"/>
        <v>-1.09837332660093E-2</v>
      </c>
      <c r="AD1339" s="108">
        <f t="shared" si="3113"/>
        <v>-2.5990942852664636E-2</v>
      </c>
      <c r="AE1339" s="108">
        <f t="shared" si="3113"/>
        <v>-2.5983700352402113E-2</v>
      </c>
      <c r="AF1339" s="108">
        <f t="shared" ref="AF1339:AI1339" si="3116">SUM(AF1319:AF1320)/AF1318</f>
        <v>-2.1238277923393629E-2</v>
      </c>
      <c r="AG1339" s="108">
        <f t="shared" si="3116"/>
        <v>-2.3893381111424555E-2</v>
      </c>
      <c r="AH1339" s="108">
        <f t="shared" si="3116"/>
        <v>-2.1886699744113568E-2</v>
      </c>
      <c r="AI1339" s="108">
        <f t="shared" si="3116"/>
        <v>-2.1883414067941951E-2</v>
      </c>
      <c r="AJ1339" s="108"/>
      <c r="AK1339" s="108"/>
      <c r="AL1339" s="108"/>
      <c r="AM1339" s="108"/>
      <c r="AN1339" s="108"/>
      <c r="AO1339" s="108"/>
      <c r="AP1339" s="108"/>
      <c r="AQ1339" s="108"/>
      <c r="AS1339" s="35"/>
      <c r="AT1339" s="9" t="s">
        <v>380</v>
      </c>
      <c r="AU1339" s="108">
        <f t="shared" ref="AU1339:BD1339" si="3117">SUM(AU1319:AU1320)/AU1318</f>
        <v>3.5875512995896065E-2</v>
      </c>
      <c r="AV1339" s="108">
        <f t="shared" si="3117"/>
        <v>9.9045858232360638E-5</v>
      </c>
      <c r="AW1339" s="108">
        <f t="shared" si="3117"/>
        <v>-1.7496368678198246E-3</v>
      </c>
      <c r="AX1339" s="108">
        <f t="shared" si="3117"/>
        <v>-2.3347332914448172E-2</v>
      </c>
      <c r="AY1339" s="108">
        <f t="shared" si="3117"/>
        <v>-6.1253513019334328E-2</v>
      </c>
      <c r="AZ1339" s="108">
        <f t="shared" si="3117"/>
        <v>-7.3041408166209784E-2</v>
      </c>
      <c r="BA1339" s="108">
        <f t="shared" si="3117"/>
        <v>-6.9021655043354668E-2</v>
      </c>
      <c r="BB1339" s="108">
        <f t="shared" ref="BB1339" si="3118">SUM(BB1319:BB1320)/BB1318</f>
        <v>-8.5983529361642067E-2</v>
      </c>
      <c r="BC1339" s="108">
        <f t="shared" si="3117"/>
        <v>-6.1686029118279959E-2</v>
      </c>
      <c r="BD1339" s="108">
        <f t="shared" si="3117"/>
        <v>-5.177741649632886E-2</v>
      </c>
      <c r="BE1339" s="108">
        <f t="shared" ref="BE1339" si="3119">SUM(BE1319:BE1320)/BE1318</f>
        <v>-5.1328424731998265E-2</v>
      </c>
      <c r="BM1339"/>
      <c r="BN1339"/>
      <c r="BO1339"/>
      <c r="BP1339"/>
      <c r="BQ1339"/>
      <c r="BR1339"/>
    </row>
    <row r="1340" spans="2:70" s="70" customFormat="1" x14ac:dyDescent="0.2">
      <c r="B1340" s="35"/>
      <c r="C1340" s="9"/>
      <c r="D1340" s="81"/>
      <c r="E1340" s="81"/>
      <c r="F1340" s="81"/>
      <c r="G1340" s="81"/>
      <c r="H1340" s="81"/>
      <c r="I1340" s="81"/>
      <c r="J1340" s="81"/>
      <c r="K1340" s="81"/>
      <c r="L1340" s="81"/>
      <c r="M1340" s="81"/>
      <c r="N1340" s="81"/>
      <c r="O1340" s="81"/>
      <c r="P1340" s="81"/>
      <c r="Q1340" s="81"/>
      <c r="R1340" s="81"/>
      <c r="S1340" s="81"/>
      <c r="T1340" s="81"/>
      <c r="U1340" s="81"/>
      <c r="V1340" s="81"/>
      <c r="W1340" s="81"/>
      <c r="X1340" s="81"/>
      <c r="Y1340" s="81"/>
      <c r="Z1340" s="81"/>
      <c r="AA1340" s="81"/>
      <c r="AB1340" s="81"/>
      <c r="AC1340" s="9"/>
      <c r="AD1340" s="9"/>
      <c r="AE1340" s="1740"/>
      <c r="AF1340" s="1740"/>
      <c r="AG1340" s="1740"/>
      <c r="AH1340" s="1740"/>
      <c r="AI1340" s="1707"/>
      <c r="AJ1340" s="1740"/>
      <c r="AK1340" s="1740"/>
      <c r="AL1340" s="1740"/>
      <c r="AM1340" s="1740"/>
      <c r="AN1340" s="1740"/>
      <c r="AO1340" s="1740"/>
      <c r="AP1340" s="1740"/>
      <c r="AQ1340" s="1740"/>
      <c r="AS1340" s="35"/>
      <c r="AT1340" s="9"/>
      <c r="BC1340" s="9"/>
      <c r="BD1340" s="1704"/>
      <c r="BE1340" s="1702"/>
      <c r="BM1340"/>
      <c r="BN1340"/>
      <c r="BO1340"/>
      <c r="BP1340"/>
      <c r="BQ1340"/>
      <c r="BR1340"/>
    </row>
    <row r="1341" spans="2:70" s="70" customFormat="1" x14ac:dyDescent="0.2">
      <c r="B1341" s="65" t="s">
        <v>388</v>
      </c>
      <c r="C1341" s="9"/>
      <c r="D1341" s="81"/>
      <c r="E1341" s="81"/>
      <c r="F1341" s="81"/>
      <c r="G1341" s="81"/>
      <c r="H1341" s="81"/>
      <c r="I1341" s="81"/>
      <c r="J1341" s="81"/>
      <c r="K1341" s="81"/>
      <c r="L1341" s="81"/>
      <c r="M1341" s="81"/>
      <c r="N1341" s="81"/>
      <c r="O1341" s="81"/>
      <c r="P1341" s="81"/>
      <c r="Q1341" s="81"/>
      <c r="R1341" s="81"/>
      <c r="S1341" s="81"/>
      <c r="T1341" s="81"/>
      <c r="U1341" s="81"/>
      <c r="V1341" s="81"/>
      <c r="W1341" s="81"/>
      <c r="X1341" s="81"/>
      <c r="Y1341" s="81"/>
      <c r="Z1341" s="81"/>
      <c r="AA1341" s="81"/>
      <c r="AB1341" s="81"/>
      <c r="AC1341" s="9"/>
      <c r="AD1341" s="9"/>
      <c r="AE1341" s="1740"/>
      <c r="AF1341" s="1740"/>
      <c r="AG1341" s="1740"/>
      <c r="AH1341" s="1740"/>
      <c r="AI1341" s="1707"/>
      <c r="AJ1341" s="1740"/>
      <c r="AK1341" s="1740"/>
      <c r="AL1341" s="1740"/>
      <c r="AM1341" s="1740"/>
      <c r="AN1341" s="1740"/>
      <c r="AO1341" s="1740"/>
      <c r="AP1341" s="1740"/>
      <c r="AQ1341" s="1740"/>
      <c r="AS1341" s="65" t="s">
        <v>388</v>
      </c>
      <c r="AT1341" s="9"/>
      <c r="BC1341" s="9"/>
      <c r="BD1341" s="1704"/>
      <c r="BE1341" s="1702"/>
      <c r="BM1341"/>
      <c r="BN1341"/>
      <c r="BO1341"/>
      <c r="BP1341"/>
      <c r="BQ1341"/>
      <c r="BR1341"/>
    </row>
    <row r="1342" spans="2:70" s="70" customFormat="1" x14ac:dyDescent="0.2">
      <c r="B1342" s="109" t="s">
        <v>381</v>
      </c>
      <c r="C1342" s="109"/>
      <c r="D1342" s="134">
        <f t="shared" ref="D1342:AE1342" si="3120">(D1329)/D$797</f>
        <v>8.8080504656052865E-3</v>
      </c>
      <c r="E1342" s="134">
        <f t="shared" si="3120"/>
        <v>9.8803908355795146E-3</v>
      </c>
      <c r="F1342" s="134">
        <f t="shared" si="3120"/>
        <v>8.962408312958435E-3</v>
      </c>
      <c r="G1342" s="134">
        <f t="shared" si="3120"/>
        <v>1.9783801436969301E-2</v>
      </c>
      <c r="H1342" s="134">
        <f t="shared" si="3120"/>
        <v>7.7447187579536784E-3</v>
      </c>
      <c r="I1342" s="134">
        <f t="shared" si="3120"/>
        <v>8.0598992843890806E-3</v>
      </c>
      <c r="J1342" s="134">
        <f t="shared" si="3120"/>
        <v>1.007641196013289E-2</v>
      </c>
      <c r="K1342" s="134">
        <f t="shared" si="3120"/>
        <v>1.3421355782011519E-2</v>
      </c>
      <c r="L1342" s="134">
        <f t="shared" si="3120"/>
        <v>7.7356760886172658E-3</v>
      </c>
      <c r="M1342" s="134">
        <f t="shared" si="3120"/>
        <v>0.2485081967213115</v>
      </c>
      <c r="N1342" s="134">
        <f t="shared" si="3120"/>
        <v>1.039993134225884E-2</v>
      </c>
      <c r="O1342" s="134">
        <f t="shared" si="3120"/>
        <v>0.16893296089385476</v>
      </c>
      <c r="P1342" s="134">
        <f t="shared" si="3120"/>
        <v>6.550302245250432E-3</v>
      </c>
      <c r="Q1342" s="134">
        <f t="shared" si="3120"/>
        <v>3.4374143444495207E-2</v>
      </c>
      <c r="R1342" s="134">
        <f t="shared" si="3120"/>
        <v>3.7766227180527391E-2</v>
      </c>
      <c r="S1342" s="134">
        <f t="shared" si="3120"/>
        <v>4.6333542516473182E-2</v>
      </c>
      <c r="T1342" s="134">
        <f t="shared" si="3120"/>
        <v>4.5110667076544729E-2</v>
      </c>
      <c r="U1342" s="134">
        <f t="shared" si="3120"/>
        <v>3.9843664289632479E-2</v>
      </c>
      <c r="V1342" s="134">
        <f t="shared" si="3120"/>
        <v>0.12693541202672606</v>
      </c>
      <c r="W1342" s="134">
        <f t="shared" si="3120"/>
        <v>0.13831743062051763</v>
      </c>
      <c r="X1342" s="134">
        <f t="shared" si="3120"/>
        <v>0.11741151385927506</v>
      </c>
      <c r="Y1342" s="134">
        <f t="shared" ref="Y1342:Z1342" si="3121">(Y1329)/Y$797</f>
        <v>0.12516106804478896</v>
      </c>
      <c r="Z1342" s="134">
        <f t="shared" si="3121"/>
        <v>0.22189352216102806</v>
      </c>
      <c r="AA1342" s="134">
        <f t="shared" ref="AA1342:AB1342" si="3122">(AA1329)/AA$797</f>
        <v>0.23644853364002302</v>
      </c>
      <c r="AB1342" s="134">
        <f t="shared" si="3122"/>
        <v>0.18958364312267659</v>
      </c>
      <c r="AC1342" s="134">
        <f t="shared" si="3120"/>
        <v>0.19716704778452981</v>
      </c>
      <c r="AD1342" s="134">
        <f t="shared" si="3120"/>
        <v>0.232161919717533</v>
      </c>
      <c r="AE1342" s="134">
        <f t="shared" si="3120"/>
        <v>0.23839967203694454</v>
      </c>
      <c r="AF1342" s="134">
        <f t="shared" ref="AF1342:AI1342" si="3123">(AF1329)/AF$797</f>
        <v>0.20426903017481166</v>
      </c>
      <c r="AG1342" s="134">
        <f t="shared" si="3123"/>
        <v>0.19576075435713169</v>
      </c>
      <c r="AH1342" s="134">
        <f t="shared" si="3123"/>
        <v>0.21697189282765653</v>
      </c>
      <c r="AI1342" s="134">
        <f t="shared" si="3123"/>
        <v>0.22647838130548506</v>
      </c>
      <c r="AJ1342" s="134"/>
      <c r="AK1342" s="134"/>
      <c r="AL1342" s="134"/>
      <c r="AM1342" s="134"/>
      <c r="AN1342" s="134"/>
      <c r="AO1342" s="134"/>
      <c r="AP1342" s="134"/>
      <c r="AQ1342" s="134"/>
      <c r="AS1342" s="109" t="s">
        <v>381</v>
      </c>
      <c r="AT1342" s="109"/>
      <c r="AU1342" s="134">
        <f t="shared" ref="AU1342:BD1342" si="3124">(AU1329)/AU$797</f>
        <v>1.0654144144144144E-2</v>
      </c>
      <c r="AV1342" s="134">
        <f t="shared" si="3124"/>
        <v>9.3654869303724259E-3</v>
      </c>
      <c r="AW1342" s="134">
        <f t="shared" si="3124"/>
        <v>1.6976613919619105E-2</v>
      </c>
      <c r="AX1342" s="134">
        <f t="shared" si="3124"/>
        <v>2.957970385973608E-2</v>
      </c>
      <c r="AY1342" s="134">
        <f t="shared" si="3124"/>
        <v>8.6987224412322955E-2</v>
      </c>
      <c r="AZ1342" s="134">
        <f t="shared" si="3124"/>
        <v>0.17519702602230483</v>
      </c>
      <c r="BA1342" s="134">
        <f t="shared" si="3124"/>
        <v>0.21404962054898494</v>
      </c>
      <c r="BB1342" s="134">
        <f t="shared" ref="BB1342" si="3125">(BB1329)/BB$797</f>
        <v>0.21061099869643543</v>
      </c>
      <c r="BC1342" s="134">
        <f t="shared" si="3124"/>
        <v>0.19761927774301769</v>
      </c>
      <c r="BD1342" s="134">
        <f t="shared" si="3124"/>
        <v>0.19560663614001023</v>
      </c>
      <c r="BE1342" s="134">
        <f t="shared" ref="BE1342" si="3126">(BE1329)/BE$797</f>
        <v>0.19799338795974508</v>
      </c>
      <c r="BM1342"/>
      <c r="BN1342"/>
      <c r="BO1342"/>
      <c r="BP1342"/>
      <c r="BQ1342"/>
      <c r="BR1342"/>
    </row>
    <row r="1343" spans="2:70" s="70" customFormat="1" x14ac:dyDescent="0.2">
      <c r="B1343" s="133" t="s">
        <v>382</v>
      </c>
      <c r="C1343" s="133"/>
      <c r="D1343" s="135">
        <f t="shared" ref="D1343:AE1343" si="3127">-1*(D1333)/D$797</f>
        <v>0</v>
      </c>
      <c r="E1343" s="135">
        <f t="shared" si="3127"/>
        <v>0</v>
      </c>
      <c r="F1343" s="135">
        <f t="shared" si="3127"/>
        <v>0</v>
      </c>
      <c r="G1343" s="135">
        <f t="shared" si="3127"/>
        <v>0</v>
      </c>
      <c r="H1343" s="135">
        <f t="shared" si="3127"/>
        <v>0</v>
      </c>
      <c r="I1343" s="135">
        <f t="shared" si="3127"/>
        <v>5.3008216273522396E-2</v>
      </c>
      <c r="J1343" s="135">
        <f t="shared" si="3127"/>
        <v>0.19933554817275748</v>
      </c>
      <c r="K1343" s="135">
        <f t="shared" si="3127"/>
        <v>0.13291980505095261</v>
      </c>
      <c r="L1343" s="135">
        <f t="shared" si="3127"/>
        <v>0.10185892538833716</v>
      </c>
      <c r="M1343" s="135">
        <f t="shared" si="3127"/>
        <v>2.459016393442623</v>
      </c>
      <c r="N1343" s="135">
        <f t="shared" si="3127"/>
        <v>0.17473395125300378</v>
      </c>
      <c r="O1343" s="135">
        <f t="shared" si="3127"/>
        <v>3.1843575418994412</v>
      </c>
      <c r="P1343" s="135">
        <f t="shared" si="3127"/>
        <v>6.4766839378238336E-2</v>
      </c>
      <c r="Q1343" s="135">
        <f t="shared" si="3127"/>
        <v>0.35381452718136136</v>
      </c>
      <c r="R1343" s="135">
        <f t="shared" si="3127"/>
        <v>0.49442190669371194</v>
      </c>
      <c r="S1343" s="135">
        <f t="shared" si="3127"/>
        <v>0.51835582052086604</v>
      </c>
      <c r="T1343" s="135">
        <f t="shared" si="3127"/>
        <v>0.41592376268060249</v>
      </c>
      <c r="U1343" s="135">
        <f t="shared" si="3127"/>
        <v>0.37136588041689522</v>
      </c>
      <c r="V1343" s="135">
        <f t="shared" si="3127"/>
        <v>0.70684855233853006</v>
      </c>
      <c r="W1343" s="135">
        <f t="shared" si="3127"/>
        <v>1.3358278765201121</v>
      </c>
      <c r="X1343" s="135">
        <f t="shared" si="3127"/>
        <v>0.47547974413646055</v>
      </c>
      <c r="Y1343" s="135">
        <f t="shared" ref="Y1343:Z1343" si="3128">-1*(Y1333)/Y$797</f>
        <v>0.51105368934826301</v>
      </c>
      <c r="Z1343" s="135">
        <f t="shared" si="3128"/>
        <v>1.4398111723052713</v>
      </c>
      <c r="AA1343" s="135">
        <f t="shared" ref="AA1343:AB1343" si="3129">-1*(AA1333)/AA$797</f>
        <v>1.5770557791834388</v>
      </c>
      <c r="AB1343" s="135">
        <f t="shared" si="3129"/>
        <v>0.52857806691449816</v>
      </c>
      <c r="AC1343" s="135">
        <f t="shared" si="3127"/>
        <v>0.55558228390828024</v>
      </c>
      <c r="AD1343" s="135">
        <f t="shared" si="3127"/>
        <v>1.2674296157368117</v>
      </c>
      <c r="AE1343" s="135">
        <f t="shared" si="3127"/>
        <v>1.3795617810867633</v>
      </c>
      <c r="AF1343" s="135">
        <f t="shared" ref="AF1343:AI1343" si="3130">-1*(AF1333)/AF$797</f>
        <v>1.1545410678001677</v>
      </c>
      <c r="AG1343" s="135">
        <f t="shared" si="3130"/>
        <v>1.1649344976013556</v>
      </c>
      <c r="AH1343" s="135">
        <f t="shared" si="3130"/>
        <v>1.0747882851766073</v>
      </c>
      <c r="AI1343" s="135">
        <f t="shared" si="3130"/>
        <v>1.1443132104540907</v>
      </c>
      <c r="AJ1343" s="1774"/>
      <c r="AK1343" s="1774"/>
      <c r="AL1343" s="1774"/>
      <c r="AM1343" s="1774"/>
      <c r="AN1343" s="1774"/>
      <c r="AO1343" s="1774"/>
      <c r="AP1343" s="1774"/>
      <c r="AQ1343" s="1774"/>
      <c r="AS1343" s="133" t="s">
        <v>382</v>
      </c>
      <c r="AT1343" s="133"/>
      <c r="AU1343" s="135">
        <f t="shared" ref="AU1343:BD1343" si="3131">-1*(AU1333)/AU$797</f>
        <v>0</v>
      </c>
      <c r="AV1343" s="135">
        <f t="shared" si="3131"/>
        <v>8.4817642069550461E-2</v>
      </c>
      <c r="AW1343" s="135">
        <f t="shared" si="3131"/>
        <v>0.24912477244083461</v>
      </c>
      <c r="AX1343" s="135">
        <f t="shared" si="3131"/>
        <v>0.33771141812774919</v>
      </c>
      <c r="AY1343" s="135">
        <f t="shared" si="3131"/>
        <v>0.69572200321214772</v>
      </c>
      <c r="AZ1343" s="135">
        <f t="shared" si="3131"/>
        <v>1.0008949469916013</v>
      </c>
      <c r="BA1343" s="135">
        <f t="shared" si="3131"/>
        <v>0.92834820050872358</v>
      </c>
      <c r="BB1343" s="135">
        <f t="shared" ref="BB1343" si="3132">-1*(BB1333)/BB$797</f>
        <v>1.1344893144948802</v>
      </c>
      <c r="BC1343" s="135">
        <f t="shared" si="3131"/>
        <v>0.77981260966038002</v>
      </c>
      <c r="BD1343" s="135">
        <f t="shared" si="3131"/>
        <v>0.63972554153119165</v>
      </c>
      <c r="BE1343" s="135">
        <f t="shared" ref="BE1343" si="3133">-1*(BE1333)/BE$797</f>
        <v>0.63822000610832641</v>
      </c>
      <c r="BM1343"/>
      <c r="BN1343"/>
      <c r="BO1343"/>
      <c r="BP1343"/>
      <c r="BQ1343"/>
      <c r="BR1343"/>
    </row>
    <row r="1344" spans="2:70" s="70" customFormat="1" x14ac:dyDescent="0.2">
      <c r="B1344" s="120" t="s">
        <v>383</v>
      </c>
      <c r="C1344" s="120"/>
      <c r="D1344" s="134">
        <f t="shared" ref="D1344:AE1344" si="3134">SUM(D1342:D1343)</f>
        <v>8.8080504656052865E-3</v>
      </c>
      <c r="E1344" s="134">
        <f t="shared" si="3134"/>
        <v>9.8803908355795146E-3</v>
      </c>
      <c r="F1344" s="134">
        <f t="shared" si="3134"/>
        <v>8.962408312958435E-3</v>
      </c>
      <c r="G1344" s="134">
        <f t="shared" si="3134"/>
        <v>1.9783801436969301E-2</v>
      </c>
      <c r="H1344" s="134">
        <f t="shared" si="3134"/>
        <v>7.7447187579536784E-3</v>
      </c>
      <c r="I1344" s="134">
        <f t="shared" si="3134"/>
        <v>6.1068115557911473E-2</v>
      </c>
      <c r="J1344" s="134">
        <f t="shared" si="3134"/>
        <v>0.20941196013289037</v>
      </c>
      <c r="K1344" s="134">
        <f t="shared" si="3134"/>
        <v>0.14634116083296411</v>
      </c>
      <c r="L1344" s="134">
        <f t="shared" si="3134"/>
        <v>0.10959460147695442</v>
      </c>
      <c r="M1344" s="134">
        <f t="shared" si="3134"/>
        <v>2.7075245901639344</v>
      </c>
      <c r="N1344" s="134">
        <f t="shared" si="3134"/>
        <v>0.18513388259526262</v>
      </c>
      <c r="O1344" s="134">
        <f t="shared" si="3134"/>
        <v>3.3532905027932958</v>
      </c>
      <c r="P1344" s="134">
        <f t="shared" si="3134"/>
        <v>7.1317141623488761E-2</v>
      </c>
      <c r="Q1344" s="134">
        <f t="shared" si="3134"/>
        <v>0.38818867062585655</v>
      </c>
      <c r="R1344" s="134">
        <f t="shared" si="3134"/>
        <v>0.53218813387423936</v>
      </c>
      <c r="S1344" s="134">
        <f t="shared" si="3134"/>
        <v>0.56468936303733919</v>
      </c>
      <c r="T1344" s="134">
        <f t="shared" si="3134"/>
        <v>0.4610344297571472</v>
      </c>
      <c r="U1344" s="134">
        <f t="shared" si="3134"/>
        <v>0.41120954470652771</v>
      </c>
      <c r="V1344" s="134">
        <f t="shared" si="3134"/>
        <v>0.83378396436525615</v>
      </c>
      <c r="W1344" s="134">
        <f t="shared" si="3134"/>
        <v>1.4741453071406299</v>
      </c>
      <c r="X1344" s="134">
        <f t="shared" si="3134"/>
        <v>0.59289125799573561</v>
      </c>
      <c r="Y1344" s="134">
        <f t="shared" ref="Y1344:Z1344" si="3135">SUM(Y1342:Y1343)</f>
        <v>0.636214757393052</v>
      </c>
      <c r="Z1344" s="134">
        <f t="shared" si="3135"/>
        <v>1.6617046944662994</v>
      </c>
      <c r="AA1344" s="134">
        <f t="shared" ref="AA1344:AB1344" si="3136">SUM(AA1342:AA1343)</f>
        <v>1.8135043128234618</v>
      </c>
      <c r="AB1344" s="134">
        <f t="shared" si="3136"/>
        <v>0.71816171003717477</v>
      </c>
      <c r="AC1344" s="134">
        <f t="shared" si="3134"/>
        <v>0.75274933169281</v>
      </c>
      <c r="AD1344" s="134">
        <f t="shared" si="3134"/>
        <v>1.4995915354543448</v>
      </c>
      <c r="AE1344" s="134">
        <f t="shared" si="3134"/>
        <v>1.6179614531237079</v>
      </c>
      <c r="AF1344" s="134">
        <f t="shared" ref="AF1344:AI1344" si="3137">SUM(AF1342:AF1343)</f>
        <v>1.3588100979749793</v>
      </c>
      <c r="AG1344" s="134">
        <f t="shared" si="3137"/>
        <v>1.3606952519584872</v>
      </c>
      <c r="AH1344" s="134">
        <f t="shared" si="3137"/>
        <v>1.2917601780042638</v>
      </c>
      <c r="AI1344" s="134">
        <f t="shared" si="3137"/>
        <v>1.3707915917595759</v>
      </c>
      <c r="AJ1344" s="134"/>
      <c r="AK1344" s="134"/>
      <c r="AL1344" s="134"/>
      <c r="AM1344" s="134"/>
      <c r="AN1344" s="134"/>
      <c r="AO1344" s="134"/>
      <c r="AP1344" s="134"/>
      <c r="AQ1344" s="134"/>
      <c r="AS1344" s="120" t="s">
        <v>383</v>
      </c>
      <c r="AT1344" s="120"/>
      <c r="AU1344" s="134">
        <f t="shared" ref="AU1344:BD1344" si="3138">SUM(AU1342:AU1343)</f>
        <v>1.0654144144144144E-2</v>
      </c>
      <c r="AV1344" s="134">
        <f t="shared" si="3138"/>
        <v>9.4183128999922885E-2</v>
      </c>
      <c r="AW1344" s="134">
        <f t="shared" si="3138"/>
        <v>0.26610138636045372</v>
      </c>
      <c r="AX1344" s="134">
        <f t="shared" si="3138"/>
        <v>0.36729112198748526</v>
      </c>
      <c r="AY1344" s="134">
        <f t="shared" si="3138"/>
        <v>0.7827092276244707</v>
      </c>
      <c r="AZ1344" s="134">
        <f t="shared" si="3138"/>
        <v>1.1760919730139061</v>
      </c>
      <c r="BA1344" s="134">
        <f t="shared" si="3138"/>
        <v>1.1423978210577086</v>
      </c>
      <c r="BB1344" s="134">
        <f t="shared" ref="BB1344" si="3139">SUM(BB1342:BB1343)</f>
        <v>1.3451003131913157</v>
      </c>
      <c r="BC1344" s="134">
        <f t="shared" si="3138"/>
        <v>0.9774318874033977</v>
      </c>
      <c r="BD1344" s="134">
        <f t="shared" si="3138"/>
        <v>0.83533217767120194</v>
      </c>
      <c r="BE1344" s="134">
        <f t="shared" ref="BE1344" si="3140">SUM(BE1342:BE1343)</f>
        <v>0.83621339406807149</v>
      </c>
      <c r="BM1344"/>
      <c r="BN1344"/>
      <c r="BO1344"/>
      <c r="BP1344"/>
      <c r="BQ1344"/>
      <c r="BR1344"/>
    </row>
    <row r="1345" spans="1:70" x14ac:dyDescent="0.2">
      <c r="B1345" s="71"/>
      <c r="C1345" s="133" t="s">
        <v>384</v>
      </c>
      <c r="D1345" s="135">
        <f t="shared" ref="D1345:AE1345" si="3141">-1*D1320*D1335/D$797</f>
        <v>-7.9906278161608307E-2</v>
      </c>
      <c r="E1345" s="135">
        <f t="shared" si="3141"/>
        <v>-3.2324797843685366E-3</v>
      </c>
      <c r="F1345" s="135">
        <f t="shared" si="3141"/>
        <v>0</v>
      </c>
      <c r="G1345" s="135">
        <f t="shared" si="3141"/>
        <v>-2.308310907903333</v>
      </c>
      <c r="H1345" s="135">
        <f t="shared" si="3141"/>
        <v>-0.15493000763553064</v>
      </c>
      <c r="I1345" s="135">
        <f t="shared" si="3141"/>
        <v>-3.0118304700864997E-2</v>
      </c>
      <c r="J1345" s="135">
        <f t="shared" si="3141"/>
        <v>-7.0731968706463783E-2</v>
      </c>
      <c r="K1345" s="135">
        <f t="shared" si="3141"/>
        <v>-4.7310439085930231E-2</v>
      </c>
      <c r="L1345" s="135">
        <f t="shared" si="3141"/>
        <v>-0.22881352804627131</v>
      </c>
      <c r="M1345" s="135">
        <f t="shared" si="3141"/>
        <v>-0.117096018735434</v>
      </c>
      <c r="N1345" s="135">
        <f t="shared" si="3141"/>
        <v>-0.13717431687151105</v>
      </c>
      <c r="O1345" s="135">
        <f t="shared" si="3141"/>
        <v>-1.5177778938025106</v>
      </c>
      <c r="P1345" s="135">
        <f t="shared" si="3141"/>
        <v>-0.17673662948976804</v>
      </c>
      <c r="Q1345" s="135">
        <f t="shared" si="3141"/>
        <v>-5.2141088216204008E-2</v>
      </c>
      <c r="R1345" s="135">
        <f t="shared" si="3141"/>
        <v>-7.1416497633533665E-2</v>
      </c>
      <c r="S1345" s="135">
        <f t="shared" si="3141"/>
        <v>-8.8622124153570445E-2</v>
      </c>
      <c r="T1345" s="135">
        <f t="shared" si="3141"/>
        <v>-0.16905288418630821</v>
      </c>
      <c r="U1345" s="135">
        <f t="shared" si="3141"/>
        <v>-6.1894313402815872E-3</v>
      </c>
      <c r="V1345" s="135">
        <f t="shared" si="3141"/>
        <v>-3.7866886732386817E-3</v>
      </c>
      <c r="W1345" s="135">
        <f t="shared" si="3141"/>
        <v>-2.874566316562728E-2</v>
      </c>
      <c r="X1345" s="135">
        <f t="shared" si="3141"/>
        <v>-0.17275764036958211</v>
      </c>
      <c r="Y1345" s="135">
        <f t="shared" ref="Y1345:Z1345" si="3142">-1*Y1320*Y1335/Y$797</f>
        <v>-5.2867623035979128E-3</v>
      </c>
      <c r="Z1345" s="135">
        <f t="shared" si="3142"/>
        <v>-7.1101786286696233E-3</v>
      </c>
      <c r="AA1345" s="135">
        <f t="shared" ref="AA1345:AB1345" si="3143">-1*AA1320*AA1335/AA$797</f>
        <v>2.1311564583540604E-3</v>
      </c>
      <c r="AB1345" s="135">
        <f t="shared" si="3143"/>
        <v>-0.17619268897149937</v>
      </c>
      <c r="AC1345" s="135">
        <f t="shared" si="3141"/>
        <v>-4.7051649427546798E-2</v>
      </c>
      <c r="AD1345" s="135">
        <f t="shared" si="3141"/>
        <v>-4.7366996759397692E-2</v>
      </c>
      <c r="AE1345" s="135">
        <f t="shared" si="3141"/>
        <v>-5.1927709331777434E-2</v>
      </c>
      <c r="AF1345" s="135">
        <f t="shared" ref="AF1345:AI1345" si="3144">-1*AF1320*AF1335/AF$797</f>
        <v>-0.1737225049237035</v>
      </c>
      <c r="AG1345" s="135">
        <f t="shared" si="3144"/>
        <v>-5.1565540759952434E-2</v>
      </c>
      <c r="AH1345" s="135">
        <f t="shared" si="3144"/>
        <v>-5.202443795264592E-2</v>
      </c>
      <c r="AI1345" s="135">
        <f t="shared" si="3144"/>
        <v>-5.5553218811357177E-2</v>
      </c>
      <c r="AJ1345" s="1774"/>
      <c r="AK1345" s="1774"/>
      <c r="AL1345" s="1774"/>
      <c r="AM1345" s="1774"/>
      <c r="AN1345" s="1774"/>
      <c r="AO1345" s="1774"/>
      <c r="AP1345" s="1774"/>
      <c r="AQ1345" s="1774"/>
      <c r="AS1345" s="71"/>
      <c r="AT1345" s="133" t="s">
        <v>384</v>
      </c>
      <c r="AU1345" s="135">
        <f t="shared" ref="AU1345:BD1345" si="3145">-1*AU1320*AU1335/AU$797</f>
        <v>-0.34645351351351378</v>
      </c>
      <c r="AV1345" s="135">
        <f t="shared" si="3145"/>
        <v>-8.5938580070469631E-2</v>
      </c>
      <c r="AW1345" s="135">
        <f t="shared" si="3145"/>
        <v>-0.21096404140221101</v>
      </c>
      <c r="AX1345" s="135">
        <f t="shared" si="3145"/>
        <v>-0.10257901063446485</v>
      </c>
      <c r="AY1345" s="135">
        <f t="shared" si="3145"/>
        <v>-5.3598991063792692E-2</v>
      </c>
      <c r="AZ1345" s="135">
        <f t="shared" si="3145"/>
        <v>-5.3786410702819698E-2</v>
      </c>
      <c r="BA1345" s="135">
        <f t="shared" si="3145"/>
        <v>-8.3939240506409996E-2</v>
      </c>
      <c r="BB1345" s="135">
        <f t="shared" ref="BB1345" si="3146">-1*BB1320*BB1335/BB$797</f>
        <v>-8.4863485926527621E-2</v>
      </c>
      <c r="BC1345" s="135">
        <f t="shared" si="3145"/>
        <v>-9.2619133284493019E-2</v>
      </c>
      <c r="BD1345" s="135">
        <f t="shared" si="3145"/>
        <v>-8.7669944744524386E-2</v>
      </c>
      <c r="BE1345" s="135">
        <f t="shared" ref="BE1345" si="3147">-1*BE1320*BE1335/BE$797</f>
        <v>-9.2239547008547945E-2</v>
      </c>
    </row>
    <row r="1346" spans="1:70" x14ac:dyDescent="0.2">
      <c r="B1346" s="120" t="s">
        <v>385</v>
      </c>
      <c r="C1346" s="120"/>
      <c r="D1346" s="134">
        <f t="shared" ref="D1346:AE1346" si="3148">SUM(D1344:D1345)</f>
        <v>-7.1098227696003019E-2</v>
      </c>
      <c r="E1346" s="134">
        <f t="shared" si="3148"/>
        <v>6.6479110512109776E-3</v>
      </c>
      <c r="F1346" s="134">
        <f t="shared" si="3148"/>
        <v>8.962408312958435E-3</v>
      </c>
      <c r="G1346" s="134">
        <f t="shared" si="3148"/>
        <v>-2.2885271064663639</v>
      </c>
      <c r="H1346" s="134">
        <f t="shared" si="3148"/>
        <v>-0.14718528887757695</v>
      </c>
      <c r="I1346" s="134">
        <f t="shared" si="3148"/>
        <v>3.0949810857046477E-2</v>
      </c>
      <c r="J1346" s="134">
        <f t="shared" si="3148"/>
        <v>0.13867999142642659</v>
      </c>
      <c r="K1346" s="134">
        <f t="shared" si="3148"/>
        <v>9.9030721747033881E-2</v>
      </c>
      <c r="L1346" s="134">
        <f t="shared" si="3148"/>
        <v>-0.11921892656931689</v>
      </c>
      <c r="M1346" s="134">
        <f t="shared" si="3148"/>
        <v>2.5904285714285002</v>
      </c>
      <c r="N1346" s="134">
        <f t="shared" si="3148"/>
        <v>4.7959565723751568E-2</v>
      </c>
      <c r="O1346" s="134">
        <f t="shared" si="3148"/>
        <v>1.8355126089907852</v>
      </c>
      <c r="P1346" s="134">
        <f t="shared" si="3148"/>
        <v>-0.10541948786627928</v>
      </c>
      <c r="Q1346" s="134">
        <f t="shared" si="3148"/>
        <v>0.33604758240965255</v>
      </c>
      <c r="R1346" s="134">
        <f t="shared" si="3148"/>
        <v>0.46077163624070572</v>
      </c>
      <c r="S1346" s="134">
        <f t="shared" si="3148"/>
        <v>0.47606723888376873</v>
      </c>
      <c r="T1346" s="134">
        <f t="shared" si="3148"/>
        <v>0.291981545570839</v>
      </c>
      <c r="U1346" s="134">
        <f t="shared" si="3148"/>
        <v>0.4050201133662461</v>
      </c>
      <c r="V1346" s="134">
        <f t="shared" si="3148"/>
        <v>0.82999727569201742</v>
      </c>
      <c r="W1346" s="134">
        <f t="shared" si="3148"/>
        <v>1.4453996439750025</v>
      </c>
      <c r="X1346" s="134">
        <f t="shared" si="3148"/>
        <v>0.42013361762615353</v>
      </c>
      <c r="Y1346" s="134">
        <f t="shared" ref="Y1346:Z1346" si="3149">SUM(Y1344:Y1345)</f>
        <v>0.63092799508945407</v>
      </c>
      <c r="Z1346" s="134">
        <f t="shared" si="3149"/>
        <v>1.6545945158376298</v>
      </c>
      <c r="AA1346" s="134">
        <f t="shared" ref="AA1346:AB1346" si="3150">SUM(AA1344:AA1345)</f>
        <v>1.815635469281816</v>
      </c>
      <c r="AB1346" s="134">
        <f t="shared" si="3150"/>
        <v>0.54196902106567535</v>
      </c>
      <c r="AC1346" s="134">
        <f t="shared" si="3148"/>
        <v>0.70569768226526319</v>
      </c>
      <c r="AD1346" s="134">
        <f t="shared" si="3148"/>
        <v>1.4522245386949471</v>
      </c>
      <c r="AE1346" s="134">
        <f t="shared" si="3148"/>
        <v>1.5660337437919305</v>
      </c>
      <c r="AF1346" s="134">
        <f t="shared" ref="AF1346:AI1346" si="3151">SUM(AF1344:AF1345)</f>
        <v>1.1850875930512759</v>
      </c>
      <c r="AG1346" s="134">
        <f t="shared" si="3151"/>
        <v>1.3091297111985347</v>
      </c>
      <c r="AH1346" s="134">
        <f t="shared" si="3151"/>
        <v>1.2397357400516178</v>
      </c>
      <c r="AI1346" s="134">
        <f t="shared" si="3151"/>
        <v>1.3152383729482187</v>
      </c>
      <c r="AJ1346" s="134"/>
      <c r="AK1346" s="134"/>
      <c r="AL1346" s="134"/>
      <c r="AM1346" s="134"/>
      <c r="AN1346" s="134"/>
      <c r="AO1346" s="134"/>
      <c r="AP1346" s="134"/>
      <c r="AQ1346" s="134"/>
      <c r="AS1346" s="120" t="s">
        <v>385</v>
      </c>
      <c r="AT1346" s="120"/>
      <c r="AU1346" s="134">
        <f t="shared" ref="AU1346:BD1346" si="3152">SUM(AU1344:AU1345)</f>
        <v>-0.33579936936936966</v>
      </c>
      <c r="AV1346" s="134">
        <f t="shared" si="3152"/>
        <v>8.2445489294532548E-3</v>
      </c>
      <c r="AW1346" s="134">
        <f t="shared" si="3152"/>
        <v>5.5137344958242712E-2</v>
      </c>
      <c r="AX1346" s="134">
        <f t="shared" si="3152"/>
        <v>0.26471211135302042</v>
      </c>
      <c r="AY1346" s="134">
        <f t="shared" si="3152"/>
        <v>0.72911023656067797</v>
      </c>
      <c r="AZ1346" s="134">
        <f t="shared" si="3152"/>
        <v>1.1223055623110865</v>
      </c>
      <c r="BA1346" s="134">
        <f t="shared" si="3152"/>
        <v>1.0584585805512985</v>
      </c>
      <c r="BB1346" s="134">
        <f t="shared" ref="BB1346" si="3153">SUM(BB1344:BB1345)</f>
        <v>1.2602368272647881</v>
      </c>
      <c r="BC1346" s="134">
        <f t="shared" si="3152"/>
        <v>0.8848127541189047</v>
      </c>
      <c r="BD1346" s="134">
        <f t="shared" si="3152"/>
        <v>0.74766223292667755</v>
      </c>
      <c r="BE1346" s="134">
        <f t="shared" ref="BE1346" si="3154">SUM(BE1344:BE1345)</f>
        <v>0.74397384705952352</v>
      </c>
    </row>
    <row r="1347" spans="1:70" x14ac:dyDescent="0.2">
      <c r="B1347" s="120" t="s">
        <v>386</v>
      </c>
      <c r="C1347" s="120"/>
      <c r="D1347" s="135">
        <f t="shared" ref="D1347:AE1347" si="3155">1-D1346</f>
        <v>1.071098227696003</v>
      </c>
      <c r="E1347" s="135">
        <f t="shared" si="3155"/>
        <v>0.99335208894878901</v>
      </c>
      <c r="F1347" s="135">
        <f t="shared" si="3155"/>
        <v>0.99103759168704153</v>
      </c>
      <c r="G1347" s="135">
        <f t="shared" si="3155"/>
        <v>3.2885271064663639</v>
      </c>
      <c r="H1347" s="135">
        <f t="shared" si="3155"/>
        <v>1.1471852888775769</v>
      </c>
      <c r="I1347" s="135">
        <f t="shared" si="3155"/>
        <v>0.96905018914295349</v>
      </c>
      <c r="J1347" s="135">
        <f t="shared" si="3155"/>
        <v>0.86132000857357338</v>
      </c>
      <c r="K1347" s="135">
        <f t="shared" si="3155"/>
        <v>0.90096927825296613</v>
      </c>
      <c r="L1347" s="135">
        <f t="shared" si="3155"/>
        <v>1.1192189265693169</v>
      </c>
      <c r="M1347" s="135">
        <f t="shared" si="3155"/>
        <v>-1.5904285714285002</v>
      </c>
      <c r="N1347" s="135">
        <f t="shared" si="3155"/>
        <v>0.9520404342762484</v>
      </c>
      <c r="O1347" s="135">
        <f t="shared" si="3155"/>
        <v>-0.83551260899078517</v>
      </c>
      <c r="P1347" s="135">
        <f t="shared" si="3155"/>
        <v>1.1054194878662793</v>
      </c>
      <c r="Q1347" s="135">
        <f t="shared" si="3155"/>
        <v>0.66395241759034751</v>
      </c>
      <c r="R1347" s="135">
        <f t="shared" si="3155"/>
        <v>0.53922836375929428</v>
      </c>
      <c r="S1347" s="135">
        <f t="shared" si="3155"/>
        <v>0.52393276111623122</v>
      </c>
      <c r="T1347" s="135">
        <f t="shared" si="3155"/>
        <v>0.708018454429161</v>
      </c>
      <c r="U1347" s="135">
        <f t="shared" si="3155"/>
        <v>0.5949798866337539</v>
      </c>
      <c r="V1347" s="135">
        <f t="shared" si="3155"/>
        <v>0.17000272430798258</v>
      </c>
      <c r="W1347" s="135">
        <f t="shared" si="3155"/>
        <v>-0.44539964397500253</v>
      </c>
      <c r="X1347" s="135">
        <f t="shared" si="3155"/>
        <v>0.57986638237384647</v>
      </c>
      <c r="Y1347" s="135">
        <f t="shared" ref="Y1347:Z1347" si="3156">1-Y1346</f>
        <v>0.36907200491054593</v>
      </c>
      <c r="Z1347" s="135">
        <f t="shared" si="3156"/>
        <v>-0.65459451583762984</v>
      </c>
      <c r="AA1347" s="135">
        <f t="shared" ref="AA1347:AB1347" si="3157">1-AA1346</f>
        <v>-0.81563546928181596</v>
      </c>
      <c r="AB1347" s="135">
        <f t="shared" si="3157"/>
        <v>0.45803097893432465</v>
      </c>
      <c r="AC1347" s="135">
        <f t="shared" si="3155"/>
        <v>0.29430231773473681</v>
      </c>
      <c r="AD1347" s="135">
        <f t="shared" si="3155"/>
        <v>-0.45222453869494705</v>
      </c>
      <c r="AE1347" s="135">
        <f t="shared" si="3155"/>
        <v>-0.5660337437919305</v>
      </c>
      <c r="AF1347" s="135">
        <f t="shared" ref="AF1347:AI1347" si="3158">1-AF1346</f>
        <v>-0.18508759305127587</v>
      </c>
      <c r="AG1347" s="135">
        <f t="shared" si="3158"/>
        <v>-0.30912971119853472</v>
      </c>
      <c r="AH1347" s="135">
        <f t="shared" si="3158"/>
        <v>-0.2397357400516178</v>
      </c>
      <c r="AI1347" s="135">
        <f t="shared" si="3158"/>
        <v>-0.31523837294821866</v>
      </c>
      <c r="AJ1347" s="1774"/>
      <c r="AK1347" s="1774"/>
      <c r="AL1347" s="1774"/>
      <c r="AM1347" s="1774"/>
      <c r="AN1347" s="1774"/>
      <c r="AO1347" s="1774"/>
      <c r="AP1347" s="1774"/>
      <c r="AQ1347" s="1774"/>
      <c r="AS1347" s="120" t="s">
        <v>386</v>
      </c>
      <c r="AT1347" s="120"/>
      <c r="AU1347" s="135">
        <f t="shared" ref="AU1347:BD1347" si="3159">1-AU1346</f>
        <v>1.3357993693693697</v>
      </c>
      <c r="AV1347" s="135">
        <f t="shared" si="3159"/>
        <v>0.99175545107054675</v>
      </c>
      <c r="AW1347" s="135">
        <f t="shared" si="3159"/>
        <v>0.94486265504175726</v>
      </c>
      <c r="AX1347" s="135">
        <f t="shared" si="3159"/>
        <v>0.73528788864697958</v>
      </c>
      <c r="AY1347" s="135">
        <f t="shared" si="3159"/>
        <v>0.27088976343932203</v>
      </c>
      <c r="AZ1347" s="135">
        <f t="shared" si="3159"/>
        <v>-0.12230556231108647</v>
      </c>
      <c r="BA1347" s="135">
        <f t="shared" si="3159"/>
        <v>-5.8458580551298489E-2</v>
      </c>
      <c r="BB1347" s="135">
        <f t="shared" ref="BB1347" si="3160">1-BB1346</f>
        <v>-0.26023682726478814</v>
      </c>
      <c r="BC1347" s="135">
        <f t="shared" si="3159"/>
        <v>0.1151872458810953</v>
      </c>
      <c r="BD1347" s="135">
        <f t="shared" si="3159"/>
        <v>0.25233776707332245</v>
      </c>
      <c r="BE1347" s="135">
        <f t="shared" ref="BE1347" si="3161">1-BE1346</f>
        <v>0.25602615294047648</v>
      </c>
    </row>
    <row r="1348" spans="1:70" x14ac:dyDescent="0.2">
      <c r="B1348" s="120" t="s">
        <v>387</v>
      </c>
      <c r="C1348" s="120"/>
      <c r="D1348" s="136">
        <f t="shared" ref="D1348:AE1348" si="3162">SUM(D1346:D1347)</f>
        <v>1</v>
      </c>
      <c r="E1348" s="136">
        <f t="shared" si="3162"/>
        <v>1</v>
      </c>
      <c r="F1348" s="136">
        <f t="shared" si="3162"/>
        <v>1</v>
      </c>
      <c r="G1348" s="136">
        <f t="shared" si="3162"/>
        <v>1</v>
      </c>
      <c r="H1348" s="136">
        <f t="shared" si="3162"/>
        <v>0.99999999999999989</v>
      </c>
      <c r="I1348" s="136">
        <f t="shared" si="3162"/>
        <v>1</v>
      </c>
      <c r="J1348" s="136">
        <f t="shared" si="3162"/>
        <v>1</v>
      </c>
      <c r="K1348" s="136">
        <f t="shared" si="3162"/>
        <v>1</v>
      </c>
      <c r="L1348" s="136">
        <f t="shared" si="3162"/>
        <v>1</v>
      </c>
      <c r="M1348" s="136">
        <f t="shared" si="3162"/>
        <v>1</v>
      </c>
      <c r="N1348" s="136">
        <f t="shared" si="3162"/>
        <v>1</v>
      </c>
      <c r="O1348" s="136">
        <f t="shared" si="3162"/>
        <v>1</v>
      </c>
      <c r="P1348" s="136">
        <f t="shared" si="3162"/>
        <v>1</v>
      </c>
      <c r="Q1348" s="136">
        <f t="shared" si="3162"/>
        <v>1</v>
      </c>
      <c r="R1348" s="136">
        <f t="shared" si="3162"/>
        <v>1</v>
      </c>
      <c r="S1348" s="136">
        <f t="shared" si="3162"/>
        <v>1</v>
      </c>
      <c r="T1348" s="136">
        <f t="shared" si="3162"/>
        <v>1</v>
      </c>
      <c r="U1348" s="136">
        <f t="shared" si="3162"/>
        <v>1</v>
      </c>
      <c r="V1348" s="136">
        <f t="shared" si="3162"/>
        <v>1</v>
      </c>
      <c r="W1348" s="136">
        <f t="shared" si="3162"/>
        <v>1</v>
      </c>
      <c r="X1348" s="136">
        <f t="shared" si="3162"/>
        <v>1</v>
      </c>
      <c r="Y1348" s="136">
        <f t="shared" ref="Y1348:Z1348" si="3163">SUM(Y1346:Y1347)</f>
        <v>1</v>
      </c>
      <c r="Z1348" s="136">
        <f t="shared" si="3163"/>
        <v>1</v>
      </c>
      <c r="AA1348" s="136">
        <f t="shared" ref="AA1348:AB1348" si="3164">SUM(AA1346:AA1347)</f>
        <v>1</v>
      </c>
      <c r="AB1348" s="136">
        <f t="shared" si="3164"/>
        <v>1</v>
      </c>
      <c r="AC1348" s="136">
        <f t="shared" si="3162"/>
        <v>1</v>
      </c>
      <c r="AD1348" s="136">
        <f t="shared" si="3162"/>
        <v>1</v>
      </c>
      <c r="AE1348" s="136">
        <f t="shared" si="3162"/>
        <v>1</v>
      </c>
      <c r="AF1348" s="136">
        <f t="shared" ref="AF1348:AI1348" si="3165">SUM(AF1346:AF1347)</f>
        <v>1</v>
      </c>
      <c r="AG1348" s="136">
        <f t="shared" si="3165"/>
        <v>1</v>
      </c>
      <c r="AH1348" s="136">
        <f t="shared" si="3165"/>
        <v>1</v>
      </c>
      <c r="AI1348" s="136">
        <f t="shared" si="3165"/>
        <v>1</v>
      </c>
      <c r="AJ1348" s="136"/>
      <c r="AK1348" s="136"/>
      <c r="AL1348" s="136"/>
      <c r="AM1348" s="136"/>
      <c r="AN1348" s="136"/>
      <c r="AO1348" s="136"/>
      <c r="AP1348" s="136"/>
      <c r="AQ1348" s="136"/>
      <c r="AS1348" s="120" t="s">
        <v>387</v>
      </c>
      <c r="AT1348" s="120"/>
      <c r="AU1348" s="136">
        <f t="shared" ref="AU1348:BD1348" si="3166">SUM(AU1346:AU1347)</f>
        <v>1</v>
      </c>
      <c r="AV1348" s="136">
        <f t="shared" si="3166"/>
        <v>1</v>
      </c>
      <c r="AW1348" s="136">
        <f t="shared" si="3166"/>
        <v>1</v>
      </c>
      <c r="AX1348" s="136">
        <f t="shared" si="3166"/>
        <v>1</v>
      </c>
      <c r="AY1348" s="136">
        <f t="shared" si="3166"/>
        <v>1</v>
      </c>
      <c r="AZ1348" s="136">
        <f t="shared" si="3166"/>
        <v>1</v>
      </c>
      <c r="BA1348" s="136">
        <f t="shared" si="3166"/>
        <v>1</v>
      </c>
      <c r="BB1348" s="136">
        <f t="shared" ref="BB1348" si="3167">SUM(BB1346:BB1347)</f>
        <v>1</v>
      </c>
      <c r="BC1348" s="136">
        <f t="shared" si="3166"/>
        <v>1</v>
      </c>
      <c r="BD1348" s="136">
        <f t="shared" si="3166"/>
        <v>1</v>
      </c>
      <c r="BE1348" s="136">
        <f t="shared" ref="BE1348" si="3168">SUM(BE1346:BE1347)</f>
        <v>1</v>
      </c>
    </row>
    <row r="1349" spans="1:70" x14ac:dyDescent="0.2">
      <c r="B1349" s="35"/>
      <c r="D1349" s="81"/>
      <c r="E1349" s="81"/>
      <c r="F1349" s="81"/>
      <c r="G1349" s="81"/>
      <c r="H1349" s="81"/>
      <c r="I1349" s="81"/>
      <c r="J1349" s="81"/>
      <c r="K1349" s="81"/>
      <c r="L1349" s="81"/>
      <c r="M1349" s="81"/>
      <c r="N1349" s="81"/>
      <c r="O1349" s="81"/>
      <c r="P1349" s="81"/>
      <c r="Q1349" s="81"/>
      <c r="R1349" s="81"/>
      <c r="S1349" s="81"/>
      <c r="T1349" s="81"/>
      <c r="U1349" s="81"/>
      <c r="V1349" s="81"/>
      <c r="W1349" s="81"/>
      <c r="X1349" s="81"/>
      <c r="Y1349" s="81"/>
      <c r="Z1349" s="81"/>
      <c r="AA1349" s="81"/>
      <c r="AB1349" s="81"/>
      <c r="AC1349" s="81"/>
      <c r="AD1349" s="81"/>
      <c r="AE1349" s="81"/>
      <c r="AF1349" s="81"/>
      <c r="AG1349" s="81"/>
      <c r="AH1349" s="81"/>
      <c r="AI1349" s="81"/>
      <c r="AJ1349" s="81"/>
      <c r="AK1349" s="81"/>
      <c r="AL1349" s="81"/>
      <c r="AM1349" s="81"/>
      <c r="AN1349" s="81"/>
      <c r="AO1349" s="81"/>
      <c r="AP1349" s="81"/>
      <c r="AQ1349" s="81"/>
      <c r="AS1349" s="35"/>
      <c r="AT1349" s="9"/>
      <c r="BC1349" s="81"/>
      <c r="BD1349" s="81"/>
      <c r="BE1349" s="81"/>
    </row>
    <row r="1350" spans="1:70" x14ac:dyDescent="0.2">
      <c r="B1350" s="65" t="s">
        <v>453</v>
      </c>
      <c r="D1350" s="81"/>
      <c r="E1350" s="81"/>
      <c r="F1350" s="81"/>
      <c r="G1350" s="81"/>
      <c r="H1350" s="81"/>
      <c r="I1350" s="81"/>
      <c r="J1350" s="81"/>
      <c r="K1350" s="81"/>
      <c r="L1350" s="81"/>
      <c r="M1350" s="81"/>
      <c r="N1350" s="81"/>
      <c r="O1350" s="81"/>
      <c r="P1350" s="81"/>
      <c r="Q1350" s="81"/>
      <c r="R1350" s="81"/>
      <c r="S1350" s="81"/>
      <c r="T1350" s="81"/>
      <c r="U1350" s="81"/>
      <c r="V1350" s="81"/>
      <c r="W1350" s="81"/>
      <c r="X1350" s="81"/>
      <c r="Y1350" s="81"/>
      <c r="Z1350" s="81"/>
      <c r="AA1350" s="81"/>
      <c r="AB1350" s="81"/>
      <c r="AC1350" s="81"/>
      <c r="AD1350" s="81"/>
      <c r="AE1350" s="81"/>
      <c r="AF1350" s="81"/>
      <c r="AG1350" s="81"/>
      <c r="AH1350" s="81"/>
      <c r="AI1350" s="81"/>
      <c r="AJ1350" s="81"/>
      <c r="AK1350" s="81"/>
      <c r="AL1350" s="81"/>
      <c r="AM1350" s="81"/>
      <c r="AN1350" s="81"/>
      <c r="AO1350" s="81"/>
      <c r="AP1350" s="81"/>
      <c r="AQ1350" s="81"/>
      <c r="AS1350" s="65" t="s">
        <v>453</v>
      </c>
      <c r="AT1350" s="9"/>
      <c r="BC1350" s="81"/>
      <c r="BD1350" s="81"/>
      <c r="BE1350" s="81"/>
    </row>
    <row r="1351" spans="1:70" x14ac:dyDescent="0.2">
      <c r="B1351" s="35" t="s">
        <v>454</v>
      </c>
      <c r="D1351" s="60">
        <f t="shared" ref="D1351:AE1351" si="3169">D870/D846</f>
        <v>9.3363914546119489E-2</v>
      </c>
      <c r="E1351" s="60">
        <f t="shared" si="3169"/>
        <v>9.580347683588103E-2</v>
      </c>
      <c r="F1351" s="60">
        <f t="shared" si="3169"/>
        <v>9.6560852725823668E-2</v>
      </c>
      <c r="G1351" s="60">
        <f t="shared" si="3169"/>
        <v>0.1012252135890251</v>
      </c>
      <c r="H1351" s="60">
        <f t="shared" si="3169"/>
        <v>0.10258072986291351</v>
      </c>
      <c r="I1351" s="60">
        <f t="shared" si="3169"/>
        <v>0.10382363387231124</v>
      </c>
      <c r="J1351" s="60">
        <f t="shared" si="3169"/>
        <v>0.10557224125983854</v>
      </c>
      <c r="K1351" s="60">
        <f t="shared" si="3169"/>
        <v>0.10850436295068974</v>
      </c>
      <c r="L1351" s="60">
        <f t="shared" si="3169"/>
        <v>0.10985911032047255</v>
      </c>
      <c r="M1351" s="60">
        <f t="shared" si="3169"/>
        <v>0.11051609196546085</v>
      </c>
      <c r="N1351" s="60">
        <f t="shared" si="3169"/>
        <v>0.11257765583623948</v>
      </c>
      <c r="O1351" s="60">
        <f t="shared" si="3169"/>
        <v>0.11409573760667382</v>
      </c>
      <c r="P1351" s="60">
        <f t="shared" si="3169"/>
        <v>0.11716338183023156</v>
      </c>
      <c r="Q1351" s="60">
        <f t="shared" si="3169"/>
        <v>0.11995386389850057</v>
      </c>
      <c r="R1351" s="60">
        <f t="shared" si="3169"/>
        <v>0.12212639546637941</v>
      </c>
      <c r="S1351" s="60">
        <f t="shared" si="3169"/>
        <v>0.12815140855239976</v>
      </c>
      <c r="T1351" s="60">
        <f t="shared" si="3169"/>
        <v>0.12633324208605709</v>
      </c>
      <c r="U1351" s="60">
        <f t="shared" si="3169"/>
        <v>0.12749708456974518</v>
      </c>
      <c r="V1351" s="60">
        <f t="shared" si="3169"/>
        <v>0.1273707907686909</v>
      </c>
      <c r="W1351" s="60">
        <f t="shared" si="3169"/>
        <v>0.1256196022827144</v>
      </c>
      <c r="X1351" s="60">
        <f t="shared" si="3169"/>
        <v>0.12524547359590751</v>
      </c>
      <c r="Y1351" s="60">
        <f t="shared" ref="Y1351:Z1351" si="3170">Y870/Y846</f>
        <v>0.12339658048038075</v>
      </c>
      <c r="Z1351" s="60">
        <f t="shared" si="3170"/>
        <v>0.1204965452405945</v>
      </c>
      <c r="AA1351" s="60">
        <f t="shared" ref="AA1351" si="3171">AA870/AA846</f>
        <v>0.1089167519867785</v>
      </c>
      <c r="AB1351" s="60">
        <f t="shared" si="3169"/>
        <v>0.10504894636294394</v>
      </c>
      <c r="AC1351" s="60">
        <f t="shared" si="3169"/>
        <v>0.1052467556071614</v>
      </c>
      <c r="AD1351" s="60">
        <f t="shared" si="3169"/>
        <v>0.10379640929656958</v>
      </c>
      <c r="AE1351" s="60">
        <f t="shared" si="3169"/>
        <v>0.10202500430210672</v>
      </c>
      <c r="AF1351" s="60">
        <f t="shared" ref="AF1351:AI1351" si="3172">AF870/AF846</f>
        <v>0.10199877957279348</v>
      </c>
      <c r="AG1351" s="60">
        <f t="shared" si="3172"/>
        <v>0.1005040848395506</v>
      </c>
      <c r="AH1351" s="60">
        <f t="shared" si="3172"/>
        <v>9.8948689358983752E-2</v>
      </c>
      <c r="AI1351" s="60">
        <f t="shared" si="3172"/>
        <v>9.7140106073208429E-2</v>
      </c>
      <c r="AJ1351" s="60"/>
      <c r="AK1351" s="60"/>
      <c r="AL1351" s="60"/>
      <c r="AM1351" s="60"/>
      <c r="AN1351" s="60"/>
      <c r="AO1351" s="60"/>
      <c r="AP1351" s="60"/>
      <c r="AQ1351" s="60"/>
      <c r="AS1351" s="35" t="s">
        <v>454</v>
      </c>
      <c r="AT1351" s="9"/>
      <c r="AU1351" s="60">
        <f t="shared" ref="AU1351:BD1351" si="3173">AU870/AU846</f>
        <v>0.1012252135890251</v>
      </c>
      <c r="AV1351" s="60">
        <f t="shared" si="3173"/>
        <v>0.10850436295068974</v>
      </c>
      <c r="AW1351" s="60">
        <f t="shared" si="3173"/>
        <v>0.11409573760667382</v>
      </c>
      <c r="AX1351" s="60">
        <f t="shared" si="3173"/>
        <v>0.12815140855239976</v>
      </c>
      <c r="AY1351" s="60">
        <f t="shared" si="3173"/>
        <v>0.1256196022827144</v>
      </c>
      <c r="AZ1351" s="60">
        <f t="shared" si="3173"/>
        <v>0.1089167519867785</v>
      </c>
      <c r="BA1351" s="60">
        <f t="shared" si="3173"/>
        <v>0.10202500430210672</v>
      </c>
      <c r="BB1351" s="60">
        <f t="shared" ref="BB1351" si="3174">BB870/BB846</f>
        <v>9.7140106073208429E-2</v>
      </c>
      <c r="BC1351" s="60">
        <f t="shared" si="3173"/>
        <v>9.5761045602693176E-2</v>
      </c>
      <c r="BD1351" s="60">
        <f t="shared" si="3173"/>
        <v>9.5146600034324555E-2</v>
      </c>
      <c r="BE1351" s="60">
        <f t="shared" ref="BE1351" si="3175">BE870/BE846</f>
        <v>9.4704752537176959E-2</v>
      </c>
    </row>
    <row r="1352" spans="1:70" x14ac:dyDescent="0.2">
      <c r="B1352" s="35" t="s">
        <v>457</v>
      </c>
      <c r="D1352" s="60">
        <f t="shared" ref="D1352:AE1352" si="3176">(D870-D842-D843)/(D846-D842-D843)</f>
        <v>7.8083467145076343E-2</v>
      </c>
      <c r="E1352" s="60">
        <f t="shared" si="3176"/>
        <v>8.0622625659933209E-2</v>
      </c>
      <c r="F1352" s="60">
        <f t="shared" si="3176"/>
        <v>8.1396285607320734E-2</v>
      </c>
      <c r="G1352" s="60">
        <f t="shared" si="3176"/>
        <v>8.5843210810067655E-2</v>
      </c>
      <c r="H1352" s="60">
        <f t="shared" si="3176"/>
        <v>8.75799000884116E-2</v>
      </c>
      <c r="I1352" s="60">
        <f t="shared" si="3176"/>
        <v>8.9379905596763315E-2</v>
      </c>
      <c r="J1352" s="60">
        <f t="shared" si="3176"/>
        <v>9.1223521783372161E-2</v>
      </c>
      <c r="K1352" s="60">
        <f t="shared" si="3176"/>
        <v>9.4016119180311025E-2</v>
      </c>
      <c r="L1352" s="60">
        <f t="shared" si="3176"/>
        <v>9.55848003557003E-2</v>
      </c>
      <c r="M1352" s="60">
        <f t="shared" si="3176"/>
        <v>9.6418880813798832E-2</v>
      </c>
      <c r="N1352" s="60">
        <f t="shared" si="3176"/>
        <v>9.8680859788074324E-2</v>
      </c>
      <c r="O1352" s="60">
        <f t="shared" si="3176"/>
        <v>0.1003443727008974</v>
      </c>
      <c r="P1352" s="60">
        <f t="shared" si="3176"/>
        <v>0.10376040438770189</v>
      </c>
      <c r="Q1352" s="60">
        <f t="shared" si="3176"/>
        <v>0.10672939437503572</v>
      </c>
      <c r="R1352" s="60">
        <f t="shared" si="3176"/>
        <v>0.10915853362902574</v>
      </c>
      <c r="S1352" s="60">
        <f t="shared" si="3176"/>
        <v>0.11482165687274945</v>
      </c>
      <c r="T1352" s="60">
        <f t="shared" si="3176"/>
        <v>0.11350166967247151</v>
      </c>
      <c r="U1352" s="60">
        <f t="shared" si="3176"/>
        <v>0.11384645797245183</v>
      </c>
      <c r="V1352" s="60">
        <f t="shared" si="3176"/>
        <v>0.11377260895308956</v>
      </c>
      <c r="W1352" s="60">
        <f t="shared" si="3176"/>
        <v>0.11235855127502119</v>
      </c>
      <c r="X1352" s="60">
        <f t="shared" si="3176"/>
        <v>0.11194620892530993</v>
      </c>
      <c r="Y1352" s="60">
        <f t="shared" ref="Y1352:Z1352" si="3177">(Y870-Y842-Y843)/(Y846-Y842-Y843)</f>
        <v>0.11039852963833828</v>
      </c>
      <c r="Z1352" s="60">
        <f t="shared" si="3177"/>
        <v>0.10770728699888725</v>
      </c>
      <c r="AA1352" s="60">
        <f t="shared" ref="AA1352" si="3178">(AA870-AA842-AA843)/(AA846-AA842-AA843)</f>
        <v>9.5746373639684731E-2</v>
      </c>
      <c r="AB1352" s="60">
        <f t="shared" si="3176"/>
        <v>9.2246153683782806E-2</v>
      </c>
      <c r="AC1352" s="60">
        <f t="shared" si="3176"/>
        <v>9.2499482086745938E-2</v>
      </c>
      <c r="AD1352" s="60">
        <f t="shared" si="3176"/>
        <v>9.1085442435325625E-2</v>
      </c>
      <c r="AE1352" s="60">
        <f t="shared" si="3176"/>
        <v>8.9364328119817441E-2</v>
      </c>
      <c r="AF1352" s="60">
        <f t="shared" ref="AF1352:AI1352" si="3179">(AF870-AF842-AF843)/(AF846-AF842-AF843)</f>
        <v>8.9414886346370251E-2</v>
      </c>
      <c r="AG1352" s="60">
        <f t="shared" si="3179"/>
        <v>8.7994997388412918E-2</v>
      </c>
      <c r="AH1352" s="60">
        <f t="shared" si="3179"/>
        <v>8.6544182432377922E-2</v>
      </c>
      <c r="AI1352" s="60">
        <f t="shared" si="3179"/>
        <v>8.4854612654861966E-2</v>
      </c>
      <c r="AJ1352" s="60"/>
      <c r="AK1352" s="60"/>
      <c r="AL1352" s="60"/>
      <c r="AM1352" s="60"/>
      <c r="AN1352" s="60"/>
      <c r="AO1352" s="60"/>
      <c r="AP1352" s="60"/>
      <c r="AQ1352" s="60"/>
      <c r="AS1352" s="35" t="s">
        <v>457</v>
      </c>
      <c r="AT1352" s="9"/>
      <c r="AU1352" s="60">
        <f t="shared" ref="AU1352:BD1352" si="3180">(AU870-AU842-AU843)/(AU846-AU842-AU843)</f>
        <v>8.5843210810067655E-2</v>
      </c>
      <c r="AV1352" s="60">
        <f t="shared" si="3180"/>
        <v>9.4016119180311025E-2</v>
      </c>
      <c r="AW1352" s="60">
        <f t="shared" si="3180"/>
        <v>0.1003443727008974</v>
      </c>
      <c r="AX1352" s="60">
        <f t="shared" si="3180"/>
        <v>0.11482165687274945</v>
      </c>
      <c r="AY1352" s="60">
        <f t="shared" si="3180"/>
        <v>0.11235855127502119</v>
      </c>
      <c r="AZ1352" s="60">
        <f t="shared" si="3180"/>
        <v>9.5746373639684731E-2</v>
      </c>
      <c r="BA1352" s="60">
        <f t="shared" si="3180"/>
        <v>8.9364328119817441E-2</v>
      </c>
      <c r="BB1352" s="60">
        <f t="shared" ref="BB1352" si="3181">(BB870-BB842-BB843)/(BB846-BB842-BB843)</f>
        <v>8.4854612654861966E-2</v>
      </c>
      <c r="BC1352" s="60">
        <f t="shared" si="3180"/>
        <v>8.3774528443949822E-2</v>
      </c>
      <c r="BD1352" s="60">
        <f t="shared" si="3180"/>
        <v>8.3542219364485831E-2</v>
      </c>
      <c r="BE1352" s="60">
        <f t="shared" ref="BE1352" si="3182">(BE870-BE842-BE843)/(BE846-BE842-BE843)</f>
        <v>8.3456316434837433E-2</v>
      </c>
    </row>
    <row r="1353" spans="1:70" x14ac:dyDescent="0.2">
      <c r="B1353" s="35" t="s">
        <v>455</v>
      </c>
      <c r="D1353" s="60">
        <f t="shared" ref="D1353:AE1353" si="3183">D1312/(D846-D842-D843)</f>
        <v>7.7897263963930985E-2</v>
      </c>
      <c r="E1353" s="60">
        <f t="shared" si="3183"/>
        <v>8.0436897145140462E-2</v>
      </c>
      <c r="F1353" s="60">
        <f t="shared" si="3183"/>
        <v>8.1194090207582018E-2</v>
      </c>
      <c r="G1353" s="60">
        <f t="shared" si="3183"/>
        <v>8.4410553869755878E-2</v>
      </c>
      <c r="H1353" s="60">
        <f t="shared" si="3183"/>
        <v>8.5883543121729147E-2</v>
      </c>
      <c r="I1353" s="60">
        <f t="shared" si="3183"/>
        <v>8.6920026972353334E-2</v>
      </c>
      <c r="J1353" s="60">
        <f t="shared" si="3183"/>
        <v>8.8275701939569157E-2</v>
      </c>
      <c r="K1353" s="60">
        <f t="shared" si="3183"/>
        <v>9.0373897955101978E-2</v>
      </c>
      <c r="L1353" s="60">
        <f t="shared" si="3183"/>
        <v>9.1713502505509553E-2</v>
      </c>
      <c r="M1353" s="60">
        <f t="shared" si="3183"/>
        <v>9.158588620862107E-2</v>
      </c>
      <c r="N1353" s="60">
        <f t="shared" si="3183"/>
        <v>9.3842393767399696E-2</v>
      </c>
      <c r="O1353" s="60">
        <f t="shared" si="3183"/>
        <v>9.4534633794610107E-2</v>
      </c>
      <c r="P1353" s="60">
        <f t="shared" si="3183"/>
        <v>9.6963157425126373E-2</v>
      </c>
      <c r="Q1353" s="60">
        <f t="shared" si="3183"/>
        <v>9.8827212314131996E-2</v>
      </c>
      <c r="R1353" s="60">
        <f t="shared" si="3183"/>
        <v>0.10042524488898066</v>
      </c>
      <c r="S1353" s="60">
        <f t="shared" si="3183"/>
        <v>0.10497730391639397</v>
      </c>
      <c r="T1353" s="60">
        <f t="shared" si="3183"/>
        <v>0.10348250801876614</v>
      </c>
      <c r="U1353" s="60">
        <f t="shared" si="3183"/>
        <v>0.10307836810639541</v>
      </c>
      <c r="V1353" s="60">
        <f t="shared" si="3183"/>
        <v>0.10300130710192043</v>
      </c>
      <c r="W1353" s="60">
        <f t="shared" si="3183"/>
        <v>0.10141142828657274</v>
      </c>
      <c r="X1353" s="60">
        <f t="shared" si="3183"/>
        <v>0.10118877427891301</v>
      </c>
      <c r="Y1353" s="60">
        <f t="shared" ref="Y1353:Z1353" si="3184">Y1312/(Y846-Y842-Y843)</f>
        <v>9.9851537461067369E-2</v>
      </c>
      <c r="Z1353" s="60">
        <f t="shared" si="3184"/>
        <v>9.7341862972971815E-2</v>
      </c>
      <c r="AA1353" s="60">
        <f t="shared" ref="AA1353" si="3185">AA1312/(AA846-AA842-AA843)</f>
        <v>8.5128137362591991E-2</v>
      </c>
      <c r="AB1353" s="60">
        <f t="shared" si="3183"/>
        <v>8.2112090005514532E-2</v>
      </c>
      <c r="AC1353" s="60">
        <f t="shared" si="3183"/>
        <v>8.2432359578952979E-2</v>
      </c>
      <c r="AD1353" s="60">
        <f t="shared" si="3183"/>
        <v>8.106323845410518E-2</v>
      </c>
      <c r="AE1353" s="60">
        <f t="shared" si="3183"/>
        <v>7.9401469024931115E-2</v>
      </c>
      <c r="AF1353" s="60">
        <f t="shared" ref="AF1353:AI1353" si="3186">AF1312/(AF846-AF842-AF843)</f>
        <v>7.8478894983705291E-2</v>
      </c>
      <c r="AG1353" s="60">
        <f t="shared" si="3186"/>
        <v>7.7142080079619882E-2</v>
      </c>
      <c r="AH1353" s="60">
        <f t="shared" si="3186"/>
        <v>7.5800577151563256E-2</v>
      </c>
      <c r="AI1353" s="60">
        <f t="shared" si="3186"/>
        <v>7.4235400368311485E-2</v>
      </c>
      <c r="AJ1353" s="60"/>
      <c r="AK1353" s="60"/>
      <c r="AL1353" s="60"/>
      <c r="AM1353" s="60"/>
      <c r="AN1353" s="60"/>
      <c r="AO1353" s="60"/>
      <c r="AP1353" s="60"/>
      <c r="AQ1353" s="60"/>
      <c r="AS1353" s="35" t="s">
        <v>455</v>
      </c>
      <c r="AT1353" s="9"/>
      <c r="AU1353" s="60">
        <f t="shared" ref="AU1353:BD1353" si="3187">AU1312/(AU846-AU842-AU843)</f>
        <v>8.4410553869755878E-2</v>
      </c>
      <c r="AV1353" s="60">
        <f t="shared" si="3187"/>
        <v>9.0373897955101978E-2</v>
      </c>
      <c r="AW1353" s="60">
        <f t="shared" si="3187"/>
        <v>9.4534633794610107E-2</v>
      </c>
      <c r="AX1353" s="60">
        <f t="shared" si="3187"/>
        <v>0.10497730391639397</v>
      </c>
      <c r="AY1353" s="60">
        <f t="shared" si="3187"/>
        <v>0.10141142828657274</v>
      </c>
      <c r="AZ1353" s="60">
        <f t="shared" si="3187"/>
        <v>8.5128137362591991E-2</v>
      </c>
      <c r="BA1353" s="60">
        <f t="shared" si="3187"/>
        <v>7.9401469024931115E-2</v>
      </c>
      <c r="BB1353" s="60">
        <f t="shared" ref="BB1353" si="3188">BB1312/(BB846-BB842-BB843)</f>
        <v>7.4235400368311485E-2</v>
      </c>
      <c r="BC1353" s="60">
        <f t="shared" si="3187"/>
        <v>7.3429543574822162E-2</v>
      </c>
      <c r="BD1353" s="60">
        <f t="shared" si="3187"/>
        <v>7.353383893182841E-2</v>
      </c>
      <c r="BE1353" s="60">
        <f t="shared" ref="BE1353" si="3189">BE1312/(BE846-BE842-BE843)</f>
        <v>7.3759660945021635E-2</v>
      </c>
    </row>
    <row r="1354" spans="1:70" x14ac:dyDescent="0.2">
      <c r="B1354" s="35" t="s">
        <v>456</v>
      </c>
      <c r="D1354" s="60" t="str">
        <f t="shared" ref="D1354:AE1354" si="3190">IFERROR(D1312/D1388,"NA")</f>
        <v>NA</v>
      </c>
      <c r="E1354" s="60" t="str">
        <f t="shared" si="3190"/>
        <v>NA</v>
      </c>
      <c r="F1354" s="60" t="str">
        <f t="shared" si="3190"/>
        <v>NA</v>
      </c>
      <c r="G1354" s="60">
        <f t="shared" si="3190"/>
        <v>0.12831185417392313</v>
      </c>
      <c r="H1354" s="60">
        <f t="shared" si="3190"/>
        <v>0.13340966880534708</v>
      </c>
      <c r="I1354" s="60">
        <f t="shared" si="3190"/>
        <v>0.13802307522963442</v>
      </c>
      <c r="J1354" s="60">
        <f t="shared" si="3190"/>
        <v>0.14240085197312211</v>
      </c>
      <c r="K1354" s="60">
        <f t="shared" si="3190"/>
        <v>0.14103503922162433</v>
      </c>
      <c r="L1354" s="60">
        <f t="shared" si="3190"/>
        <v>0.1356991682623977</v>
      </c>
      <c r="M1354" s="60">
        <f t="shared" si="3190"/>
        <v>0.13439799507356473</v>
      </c>
      <c r="N1354" s="60">
        <f t="shared" si="3190"/>
        <v>0.13362552433047031</v>
      </c>
      <c r="O1354" s="60">
        <f t="shared" si="3190"/>
        <v>0.13266852596114048</v>
      </c>
      <c r="P1354" s="60">
        <f t="shared" si="3190"/>
        <v>0.13628814776616777</v>
      </c>
      <c r="Q1354" s="60">
        <f t="shared" si="3190"/>
        <v>0.13930547093563003</v>
      </c>
      <c r="R1354" s="60">
        <f t="shared" si="3190"/>
        <v>0.14265831149813507</v>
      </c>
      <c r="S1354" s="60">
        <f t="shared" si="3190"/>
        <v>0.1471712447082367</v>
      </c>
      <c r="T1354" s="60">
        <f t="shared" si="3190"/>
        <v>0.14817255914325475</v>
      </c>
      <c r="U1354" s="60">
        <f t="shared" si="3190"/>
        <v>0.14972389313918252</v>
      </c>
      <c r="V1354" s="60">
        <f t="shared" si="3190"/>
        <v>0.15012419776224209</v>
      </c>
      <c r="W1354" s="60">
        <f t="shared" si="3190"/>
        <v>0.15047912043574743</v>
      </c>
      <c r="X1354" s="60">
        <f t="shared" si="3190"/>
        <v>0.15238665197243237</v>
      </c>
      <c r="Y1354" s="60">
        <f t="shared" ref="Y1354:Z1354" si="3191">IFERROR(Y1312/Y1388,"NA")</f>
        <v>0.15436382259396195</v>
      </c>
      <c r="Z1354" s="60">
        <f t="shared" si="3191"/>
        <v>0.15322786532963401</v>
      </c>
      <c r="AA1354" s="60">
        <f t="shared" ref="AA1354" si="3192">IFERROR(AA1312/AA1388,"NA")</f>
        <v>0.13623746986423044</v>
      </c>
      <c r="AB1354" s="60">
        <f t="shared" si="3190"/>
        <v>0.13197794741306193</v>
      </c>
      <c r="AC1354" s="60">
        <f t="shared" si="3190"/>
        <v>0.13323683165443062</v>
      </c>
      <c r="AD1354" s="60">
        <f t="shared" si="3190"/>
        <v>0.13103211014662391</v>
      </c>
      <c r="AE1354" s="60">
        <f t="shared" si="3190"/>
        <v>0.12835662450189517</v>
      </c>
      <c r="AF1354" s="60">
        <f t="shared" ref="AF1354:AI1354" si="3193">IFERROR(AF1312/AF1388,"NA")</f>
        <v>0.12792454632991962</v>
      </c>
      <c r="AG1354" s="60">
        <f t="shared" si="3193"/>
        <v>0.12575867279236114</v>
      </c>
      <c r="AH1354" s="60">
        <f t="shared" si="3193"/>
        <v>0.12358879971104147</v>
      </c>
      <c r="AI1354" s="60">
        <f t="shared" si="3193"/>
        <v>0.1210558961386589</v>
      </c>
      <c r="AJ1354" s="60"/>
      <c r="AK1354" s="60"/>
      <c r="AL1354" s="60"/>
      <c r="AM1354" s="60"/>
      <c r="AN1354" s="60"/>
      <c r="AO1354" s="60"/>
      <c r="AP1354" s="60"/>
      <c r="AQ1354" s="60"/>
      <c r="AS1354" s="35" t="s">
        <v>456</v>
      </c>
      <c r="AT1354" s="9"/>
      <c r="AU1354" s="60">
        <f t="shared" ref="AU1354:BD1354" si="3194">IFERROR(AU1312/AU1388,"NA")</f>
        <v>0.12831185417392313</v>
      </c>
      <c r="AV1354" s="60">
        <f t="shared" si="3194"/>
        <v>0.14103503922162433</v>
      </c>
      <c r="AW1354" s="60">
        <f t="shared" si="3194"/>
        <v>0.13266852596114048</v>
      </c>
      <c r="AX1354" s="60">
        <f t="shared" si="3194"/>
        <v>0.1471712447082367</v>
      </c>
      <c r="AY1354" s="60">
        <f t="shared" si="3194"/>
        <v>0.15047912043574743</v>
      </c>
      <c r="AZ1354" s="60">
        <f t="shared" si="3194"/>
        <v>0.13623746986423044</v>
      </c>
      <c r="BA1354" s="60">
        <f t="shared" si="3194"/>
        <v>0.12835662450189517</v>
      </c>
      <c r="BB1354" s="60">
        <f t="shared" ref="BB1354" si="3195">IFERROR(BB1312/BB1388,"NA")</f>
        <v>0.1210558961386589</v>
      </c>
      <c r="BC1354" s="60">
        <f t="shared" si="3194"/>
        <v>0.11978330872265279</v>
      </c>
      <c r="BD1354" s="60">
        <f t="shared" si="3194"/>
        <v>0.12000452568197044</v>
      </c>
      <c r="BE1354" s="60">
        <f t="shared" ref="BE1354" si="3196">IFERROR(BE1312/BE1388,"NA")</f>
        <v>0.12042055063346477</v>
      </c>
    </row>
    <row r="1355" spans="1:70" x14ac:dyDescent="0.2">
      <c r="B1355" s="35"/>
      <c r="D1355" s="60"/>
      <c r="E1355" s="60"/>
      <c r="F1355" s="60"/>
      <c r="G1355" s="60"/>
      <c r="H1355" s="60"/>
      <c r="I1355" s="60"/>
      <c r="J1355" s="60"/>
      <c r="K1355" s="60"/>
      <c r="L1355" s="60"/>
      <c r="M1355" s="60"/>
      <c r="N1355" s="60"/>
      <c r="O1355" s="60"/>
      <c r="P1355" s="60"/>
      <c r="Q1355" s="60"/>
      <c r="R1355" s="60"/>
      <c r="S1355" s="60"/>
      <c r="T1355" s="60"/>
      <c r="U1355" s="60"/>
      <c r="V1355" s="60"/>
      <c r="W1355" s="60"/>
      <c r="Y1355" s="1215"/>
      <c r="Z1355" s="1688"/>
      <c r="AS1355" s="35"/>
      <c r="AT1355" s="9"/>
      <c r="AU1355" s="60"/>
      <c r="AV1355" s="60"/>
      <c r="AW1355" s="60"/>
      <c r="AX1355" s="60"/>
      <c r="AY1355" s="60"/>
      <c r="AZ1355" s="60"/>
      <c r="BA1355" s="60"/>
      <c r="BB1355" s="60"/>
      <c r="BC1355" s="9"/>
      <c r="BD1355" s="1704"/>
      <c r="BE1355" s="1702"/>
    </row>
    <row r="1356" spans="1:70" x14ac:dyDescent="0.2">
      <c r="B1356" s="35"/>
      <c r="D1356" s="81"/>
      <c r="E1356" s="81"/>
      <c r="F1356" s="81"/>
      <c r="G1356" s="81"/>
      <c r="H1356" s="81"/>
      <c r="I1356" s="81"/>
      <c r="J1356" s="81"/>
      <c r="K1356" s="81"/>
      <c r="L1356" s="81"/>
      <c r="M1356" s="81"/>
      <c r="N1356" s="81"/>
      <c r="O1356" s="81"/>
      <c r="P1356" s="81"/>
      <c r="Q1356" s="81"/>
      <c r="R1356" s="81"/>
      <c r="S1356" s="81"/>
      <c r="T1356" s="81"/>
      <c r="U1356" s="81"/>
      <c r="V1356" s="81"/>
      <c r="W1356" s="81"/>
      <c r="Y1356" s="1215"/>
      <c r="AS1356" s="35"/>
      <c r="AT1356" s="9"/>
    </row>
    <row r="1357" spans="1:70" x14ac:dyDescent="0.2">
      <c r="A1357" s="411" t="s">
        <v>194</v>
      </c>
      <c r="B1357" s="13" t="s">
        <v>439</v>
      </c>
      <c r="C1357" s="13"/>
      <c r="D1357" s="14"/>
      <c r="E1357" s="14"/>
      <c r="F1357" s="14"/>
      <c r="G1357" s="14"/>
      <c r="H1357" s="14"/>
      <c r="I1357" s="14"/>
      <c r="J1357" s="14"/>
      <c r="K1357" s="14"/>
      <c r="L1357" s="14"/>
      <c r="M1357" s="14"/>
      <c r="N1357" s="14"/>
      <c r="O1357" s="14"/>
      <c r="P1357" s="14"/>
      <c r="Q1357" s="14"/>
      <c r="R1357" s="14"/>
      <c r="S1357" s="14"/>
      <c r="T1357" s="14"/>
      <c r="U1357" s="14"/>
      <c r="V1357" s="14"/>
      <c r="W1357" s="14"/>
      <c r="X1357" s="14"/>
      <c r="Y1357" s="14"/>
      <c r="Z1357" s="14"/>
      <c r="AA1357" s="14"/>
      <c r="AB1357" s="14"/>
      <c r="AC1357" s="14"/>
      <c r="AD1357" s="14"/>
      <c r="AE1357" s="14"/>
      <c r="AF1357" s="14"/>
      <c r="AG1357" s="14"/>
      <c r="AH1357" s="14"/>
      <c r="AI1357" s="14"/>
      <c r="AJ1357" s="14"/>
      <c r="AK1357" s="14"/>
      <c r="AL1357" s="14"/>
      <c r="AM1357" s="14"/>
      <c r="AN1357" s="14"/>
      <c r="AO1357" s="14"/>
      <c r="AP1357" s="14"/>
      <c r="AQ1357" s="14"/>
      <c r="AS1357" s="13" t="s">
        <v>439</v>
      </c>
      <c r="AT1357" s="13"/>
      <c r="AU1357" s="13"/>
      <c r="AV1357" s="13"/>
      <c r="AW1357" s="13"/>
      <c r="AX1357" s="13"/>
      <c r="AY1357" s="13"/>
      <c r="AZ1357" s="13"/>
      <c r="BA1357" s="13"/>
      <c r="BB1357" s="13"/>
      <c r="BC1357" s="13"/>
      <c r="BD1357" s="13"/>
      <c r="BE1357" s="13"/>
    </row>
    <row r="1358" spans="1:70" x14ac:dyDescent="0.2">
      <c r="B1358" s="16"/>
      <c r="C1358" s="16"/>
      <c r="D1358" s="81"/>
      <c r="E1358" s="81"/>
      <c r="F1358" s="81"/>
      <c r="G1358" s="81"/>
      <c r="H1358" s="81"/>
      <c r="I1358" s="81"/>
      <c r="J1358" s="81"/>
      <c r="K1358" s="81"/>
      <c r="L1358" s="81"/>
      <c r="M1358" s="81"/>
      <c r="N1358" s="81"/>
      <c r="O1358" s="81"/>
      <c r="P1358" s="81"/>
      <c r="Q1358" s="81"/>
      <c r="R1358" s="81"/>
      <c r="S1358" s="81"/>
      <c r="T1358" s="81"/>
      <c r="U1358" s="81"/>
      <c r="V1358" s="81"/>
      <c r="W1358" s="81"/>
      <c r="X1358" s="15"/>
      <c r="Y1358" s="15"/>
      <c r="Z1358" s="15"/>
      <c r="AA1358" s="15"/>
      <c r="AB1358" s="15"/>
      <c r="AC1358" s="15"/>
      <c r="AD1358" s="15"/>
      <c r="AE1358" s="15"/>
      <c r="AF1358" s="15"/>
      <c r="AG1358" s="15"/>
      <c r="AH1358" s="15"/>
      <c r="AI1358" s="15"/>
      <c r="AJ1358" s="15"/>
      <c r="AK1358" s="15"/>
      <c r="AL1358" s="15"/>
      <c r="AM1358" s="15"/>
      <c r="AN1358" s="15"/>
      <c r="AO1358" s="15"/>
      <c r="AP1358" s="15"/>
      <c r="AQ1358" s="15"/>
      <c r="AS1358" s="16"/>
      <c r="AT1358" s="16"/>
    </row>
    <row r="1359" spans="1:70" s="382" customFormat="1" x14ac:dyDescent="0.2">
      <c r="A1359" s="837"/>
      <c r="B1359" s="87" t="s">
        <v>423</v>
      </c>
      <c r="C1359" s="674"/>
      <c r="D1359" s="582"/>
      <c r="E1359" s="490"/>
      <c r="F1359" s="490"/>
      <c r="G1359" s="490"/>
      <c r="H1359" s="490"/>
      <c r="I1359" s="490"/>
      <c r="J1359" s="490"/>
      <c r="K1359" s="490"/>
      <c r="L1359" s="490"/>
      <c r="M1359" s="490"/>
      <c r="N1359" s="490"/>
      <c r="O1359" s="490"/>
      <c r="P1359" s="490"/>
      <c r="Q1359" s="490"/>
      <c r="R1359" s="490"/>
      <c r="S1359" s="490"/>
      <c r="T1359" s="490"/>
      <c r="U1359" s="490"/>
      <c r="V1359" s="490"/>
      <c r="W1359" s="490"/>
      <c r="X1359" s="490"/>
      <c r="Y1359" s="490"/>
      <c r="Z1359" s="492"/>
      <c r="AA1359" s="492"/>
      <c r="AB1359" s="492"/>
      <c r="AC1359" s="490"/>
      <c r="AD1359" s="491"/>
      <c r="AE1359" s="491"/>
      <c r="AF1359" s="491"/>
      <c r="AG1359" s="491"/>
      <c r="AH1359" s="491"/>
      <c r="AI1359" s="490"/>
      <c r="AJ1359" s="490"/>
      <c r="AK1359" s="490"/>
      <c r="AL1359" s="490"/>
      <c r="AM1359" s="490"/>
      <c r="AN1359" s="490"/>
      <c r="AO1359" s="490"/>
      <c r="AP1359" s="490"/>
      <c r="AQ1359" s="490"/>
      <c r="AR1359" s="70"/>
      <c r="AS1359" s="87" t="s">
        <v>423</v>
      </c>
      <c r="AT1359" s="674"/>
      <c r="AU1359" s="491"/>
      <c r="AV1359" s="490"/>
      <c r="AW1359" s="369"/>
      <c r="AX1359" s="663"/>
      <c r="AZ1359" s="747"/>
      <c r="BM1359"/>
      <c r="BN1359"/>
      <c r="BO1359"/>
      <c r="BP1359"/>
      <c r="BQ1359"/>
      <c r="BR1359"/>
    </row>
    <row r="1360" spans="1:70" s="382" customFormat="1" x14ac:dyDescent="0.2">
      <c r="A1360" s="837"/>
      <c r="B1360" s="334" t="s">
        <v>51</v>
      </c>
      <c r="C1360" s="321"/>
      <c r="D1360" s="582"/>
      <c r="E1360" s="490"/>
      <c r="F1360" s="490"/>
      <c r="G1360" s="454">
        <v>186155</v>
      </c>
      <c r="H1360" s="792">
        <v>189854</v>
      </c>
      <c r="I1360" s="792">
        <v>191311</v>
      </c>
      <c r="J1360" s="792">
        <v>195316</v>
      </c>
      <c r="K1360" s="792">
        <v>197347</v>
      </c>
      <c r="L1360" s="792">
        <v>201003</v>
      </c>
      <c r="M1360" s="792">
        <v>202165</v>
      </c>
      <c r="N1360" s="792">
        <v>203077</v>
      </c>
      <c r="O1360" s="792">
        <v>199841</v>
      </c>
      <c r="P1360" s="792">
        <v>202782</v>
      </c>
      <c r="Q1360" s="792">
        <v>205610</v>
      </c>
      <c r="R1360" s="792">
        <v>205772</v>
      </c>
      <c r="S1360" s="792">
        <v>205286</v>
      </c>
      <c r="T1360" s="792">
        <v>209947</v>
      </c>
      <c r="U1360" s="792">
        <v>212819</v>
      </c>
      <c r="V1360" s="792">
        <v>212506</v>
      </c>
      <c r="W1360" s="792">
        <v>206051</v>
      </c>
      <c r="X1360" s="792">
        <v>208907</v>
      </c>
      <c r="Y1360" s="792">
        <v>210950</v>
      </c>
      <c r="Z1360" s="792">
        <v>208565</v>
      </c>
      <c r="AA1360" s="792">
        <v>181671</v>
      </c>
      <c r="AB1360" s="792">
        <v>182942</v>
      </c>
      <c r="AC1360" s="385">
        <f t="shared" ref="AC1360:AE1360" si="3197">AC1374-AC1375</f>
        <v>184146.58072771662</v>
      </c>
      <c r="AD1360" s="385">
        <f t="shared" si="3197"/>
        <v>182232.70952223256</v>
      </c>
      <c r="AE1360" s="385">
        <f t="shared" si="3197"/>
        <v>179960.47861195539</v>
      </c>
      <c r="AF1360" s="385">
        <f t="shared" ref="AF1360:AI1360" si="3198">AF1374-AF1375</f>
        <v>179111.75252316543</v>
      </c>
      <c r="AG1360" s="385">
        <f t="shared" si="3198"/>
        <v>177667.95880714731</v>
      </c>
      <c r="AH1360" s="385">
        <f t="shared" si="3198"/>
        <v>176556.32685331046</v>
      </c>
      <c r="AI1360" s="385">
        <f t="shared" si="3198"/>
        <v>175186.5978112811</v>
      </c>
      <c r="AJ1360" s="385"/>
      <c r="AK1360" s="385"/>
      <c r="AL1360" s="385"/>
      <c r="AM1360" s="385"/>
      <c r="AN1360" s="385"/>
      <c r="AO1360" s="385"/>
      <c r="AP1360" s="385"/>
      <c r="AQ1360" s="385"/>
      <c r="AR1360" s="70"/>
      <c r="AS1360" s="334" t="s">
        <v>51</v>
      </c>
      <c r="AT1360" s="321"/>
      <c r="AU1360" s="635">
        <f>G1360</f>
        <v>186155</v>
      </c>
      <c r="AV1360" s="635">
        <f>K1360</f>
        <v>197347</v>
      </c>
      <c r="AW1360" s="635">
        <f>O1360</f>
        <v>199841</v>
      </c>
      <c r="AX1360" s="635">
        <f>S1360</f>
        <v>205286</v>
      </c>
      <c r="AY1360" s="635">
        <f>W1360</f>
        <v>206051</v>
      </c>
      <c r="AZ1360" s="379">
        <f>AA1360</f>
        <v>181671</v>
      </c>
      <c r="BA1360" s="379">
        <f>AE1360</f>
        <v>179960.47861195539</v>
      </c>
      <c r="BB1360" s="379">
        <f>AI1360</f>
        <v>175186.5978112811</v>
      </c>
      <c r="BC1360" s="385">
        <f>BC1374-BC1375</f>
        <v>177459.00783245653</v>
      </c>
      <c r="BD1360" s="385">
        <f>BD1374-BD1375</f>
        <v>182729.92593710366</v>
      </c>
      <c r="BE1360" s="385">
        <f>BE1374-BE1375</f>
        <v>188219.58875385395</v>
      </c>
      <c r="BM1360"/>
      <c r="BN1360"/>
      <c r="BO1360"/>
      <c r="BP1360"/>
      <c r="BQ1360"/>
      <c r="BR1360"/>
    </row>
    <row r="1361" spans="1:70" s="369" customFormat="1" x14ac:dyDescent="0.2">
      <c r="A1361" s="411"/>
      <c r="B1361" s="321"/>
      <c r="C1361" s="321" t="s">
        <v>424</v>
      </c>
      <c r="D1361" s="321"/>
      <c r="E1361" s="321"/>
      <c r="F1361" s="321"/>
      <c r="G1361" s="454">
        <v>171</v>
      </c>
      <c r="H1361" s="792">
        <v>164</v>
      </c>
      <c r="I1361" s="792">
        <v>161</v>
      </c>
      <c r="J1361" s="792">
        <v>172</v>
      </c>
      <c r="K1361" s="792">
        <v>182</v>
      </c>
      <c r="L1361" s="792">
        <v>177</v>
      </c>
      <c r="M1361" s="792">
        <v>183</v>
      </c>
      <c r="N1361" s="792">
        <v>172</v>
      </c>
      <c r="O1361" s="792">
        <v>165</v>
      </c>
      <c r="P1361" s="792">
        <v>146</v>
      </c>
      <c r="Q1361" s="792">
        <v>146</v>
      </c>
      <c r="R1361" s="792">
        <v>147</v>
      </c>
      <c r="S1361" s="792">
        <v>145</v>
      </c>
      <c r="T1361" s="792">
        <v>143</v>
      </c>
      <c r="U1361" s="792">
        <v>134</v>
      </c>
      <c r="V1361" s="792">
        <v>140</v>
      </c>
      <c r="W1361" s="792">
        <v>129</v>
      </c>
      <c r="X1361" s="792">
        <v>133</v>
      </c>
      <c r="Y1361" s="792">
        <v>143</v>
      </c>
      <c r="Z1361" s="792">
        <v>144</v>
      </c>
      <c r="AA1361" s="792">
        <v>153</v>
      </c>
      <c r="AB1361" s="792">
        <v>140</v>
      </c>
      <c r="AC1361" s="515">
        <f t="shared" ref="AC1361:AE1361" si="3199">AC1377</f>
        <v>140</v>
      </c>
      <c r="AD1361" s="515">
        <f t="shared" si="3199"/>
        <v>140</v>
      </c>
      <c r="AE1361" s="515">
        <f t="shared" si="3199"/>
        <v>140</v>
      </c>
      <c r="AF1361" s="515">
        <f t="shared" ref="AF1361:AI1361" si="3200">AF1377</f>
        <v>140</v>
      </c>
      <c r="AG1361" s="515">
        <f t="shared" si="3200"/>
        <v>140</v>
      </c>
      <c r="AH1361" s="515">
        <f t="shared" si="3200"/>
        <v>140</v>
      </c>
      <c r="AI1361" s="515">
        <f t="shared" si="3200"/>
        <v>140</v>
      </c>
      <c r="AJ1361" s="515"/>
      <c r="AK1361" s="515"/>
      <c r="AL1361" s="515"/>
      <c r="AM1361" s="515"/>
      <c r="AN1361" s="515"/>
      <c r="AO1361" s="515"/>
      <c r="AP1361" s="515"/>
      <c r="AQ1361" s="515"/>
      <c r="AR1361" s="70"/>
      <c r="AS1361" s="321"/>
      <c r="AT1361" s="321" t="s">
        <v>424</v>
      </c>
      <c r="AU1361" s="635">
        <f>G1361</f>
        <v>171</v>
      </c>
      <c r="AV1361" s="635">
        <f>K1361</f>
        <v>182</v>
      </c>
      <c r="AW1361" s="635">
        <f>O1361</f>
        <v>165</v>
      </c>
      <c r="AX1361" s="635">
        <f>S1361</f>
        <v>145</v>
      </c>
      <c r="AY1361" s="635">
        <f>W1361</f>
        <v>129</v>
      </c>
      <c r="AZ1361" s="379">
        <f>AA1361</f>
        <v>153</v>
      </c>
      <c r="BA1361" s="379">
        <f>AE1361</f>
        <v>140</v>
      </c>
      <c r="BB1361" s="379">
        <f>AI1361</f>
        <v>140</v>
      </c>
      <c r="BC1361" s="515">
        <f>BC1377</f>
        <v>140</v>
      </c>
      <c r="BD1361" s="515">
        <f>BD1377</f>
        <v>140</v>
      </c>
      <c r="BE1361" s="515">
        <f>BE1377</f>
        <v>140</v>
      </c>
      <c r="BM1361"/>
      <c r="BN1361"/>
      <c r="BO1361"/>
      <c r="BP1361"/>
      <c r="BQ1361"/>
      <c r="BR1361"/>
    </row>
    <row r="1362" spans="1:70" s="369" customFormat="1" x14ac:dyDescent="0.2">
      <c r="A1362" s="411"/>
      <c r="B1362" s="321" t="s">
        <v>118</v>
      </c>
      <c r="C1362" s="321"/>
      <c r="D1362" s="321"/>
      <c r="E1362" s="321"/>
      <c r="F1362" s="321"/>
      <c r="G1362" s="454"/>
      <c r="H1362" s="442"/>
      <c r="I1362" s="442"/>
      <c r="J1362" s="442"/>
      <c r="K1362" s="442"/>
      <c r="L1362" s="442"/>
      <c r="M1362" s="442"/>
      <c r="N1362" s="442"/>
      <c r="O1362" s="442"/>
      <c r="P1362" s="442"/>
      <c r="Q1362" s="442"/>
      <c r="R1362" s="442"/>
      <c r="S1362" s="442"/>
      <c r="T1362" s="442"/>
      <c r="U1362" s="442"/>
      <c r="V1362" s="442"/>
      <c r="W1362" s="442"/>
      <c r="X1362" s="442"/>
      <c r="Y1362" s="442"/>
      <c r="Z1362" s="442"/>
      <c r="AA1362" s="442"/>
      <c r="AB1362" s="442"/>
      <c r="AC1362" s="516"/>
      <c r="AD1362" s="516"/>
      <c r="AE1362" s="516"/>
      <c r="AF1362" s="516"/>
      <c r="AG1362" s="516"/>
      <c r="AH1362" s="516"/>
      <c r="AI1362" s="516"/>
      <c r="AJ1362" s="516"/>
      <c r="AK1362" s="516"/>
      <c r="AL1362" s="516"/>
      <c r="AM1362" s="516"/>
      <c r="AN1362" s="516"/>
      <c r="AO1362" s="516"/>
      <c r="AP1362" s="516"/>
      <c r="AQ1362" s="516"/>
      <c r="AR1362" s="70"/>
      <c r="AS1362" s="321" t="s">
        <v>118</v>
      </c>
      <c r="AT1362" s="321"/>
      <c r="AU1362" s="516"/>
      <c r="AV1362" s="516"/>
      <c r="AX1362" s="663"/>
      <c r="AY1362" s="382"/>
      <c r="AZ1362" s="747"/>
      <c r="BC1362" s="516"/>
      <c r="BD1362" s="516"/>
      <c r="BE1362" s="516"/>
      <c r="BM1362"/>
      <c r="BN1362"/>
      <c r="BO1362"/>
      <c r="BP1362"/>
      <c r="BQ1362"/>
      <c r="BR1362"/>
    </row>
    <row r="1363" spans="1:70" s="369" customFormat="1" x14ac:dyDescent="0.2">
      <c r="A1363" s="411"/>
      <c r="B1363" s="321" t="s">
        <v>60</v>
      </c>
      <c r="C1363" s="321"/>
      <c r="D1363" s="321"/>
      <c r="E1363" s="321"/>
      <c r="F1363" s="321"/>
      <c r="G1363" s="454"/>
      <c r="H1363" s="442"/>
      <c r="I1363" s="442"/>
      <c r="J1363" s="442"/>
      <c r="K1363" s="442"/>
      <c r="L1363" s="442"/>
      <c r="M1363" s="442"/>
      <c r="N1363" s="442"/>
      <c r="O1363" s="442"/>
      <c r="P1363" s="442"/>
      <c r="Q1363" s="442"/>
      <c r="R1363" s="442"/>
      <c r="S1363" s="442"/>
      <c r="T1363" s="442"/>
      <c r="U1363" s="442"/>
      <c r="V1363" s="442"/>
      <c r="W1363" s="442"/>
      <c r="X1363" s="442"/>
      <c r="Y1363" s="442"/>
      <c r="Z1363" s="442"/>
      <c r="AA1363" s="442"/>
      <c r="AB1363" s="442"/>
      <c r="AC1363" s="516"/>
      <c r="AD1363" s="516"/>
      <c r="AE1363" s="516"/>
      <c r="AF1363" s="516"/>
      <c r="AG1363" s="516"/>
      <c r="AH1363" s="516"/>
      <c r="AI1363" s="516"/>
      <c r="AJ1363" s="516"/>
      <c r="AK1363" s="516"/>
      <c r="AL1363" s="516"/>
      <c r="AM1363" s="516"/>
      <c r="AN1363" s="516"/>
      <c r="AO1363" s="516"/>
      <c r="AP1363" s="516"/>
      <c r="AQ1363" s="516"/>
      <c r="AR1363" s="70"/>
      <c r="AS1363" s="321" t="s">
        <v>60</v>
      </c>
      <c r="AT1363" s="321"/>
      <c r="AU1363" s="516"/>
      <c r="AV1363" s="516"/>
      <c r="AX1363" s="663"/>
      <c r="AY1363" s="382"/>
      <c r="AZ1363" s="747"/>
      <c r="BC1363" s="516"/>
      <c r="BD1363" s="516"/>
      <c r="BE1363" s="516"/>
      <c r="BM1363"/>
      <c r="BN1363"/>
      <c r="BO1363"/>
      <c r="BP1363"/>
      <c r="BQ1363"/>
      <c r="BR1363"/>
    </row>
    <row r="1364" spans="1:70" s="369" customFormat="1" x14ac:dyDescent="0.2">
      <c r="A1364" s="411"/>
      <c r="B1364" s="321"/>
      <c r="C1364" s="321" t="s">
        <v>428</v>
      </c>
      <c r="D1364" s="321"/>
      <c r="E1364" s="321"/>
      <c r="F1364" s="321"/>
      <c r="G1364" s="454">
        <v>-2293</v>
      </c>
      <c r="H1364" s="793">
        <v>-2168</v>
      </c>
      <c r="I1364" s="793">
        <v>-1671</v>
      </c>
      <c r="J1364" s="793">
        <v>-1341</v>
      </c>
      <c r="K1364" s="793">
        <v>-1245</v>
      </c>
      <c r="L1364" s="793">
        <v>-1127</v>
      </c>
      <c r="M1364" s="793">
        <v>-1007</v>
      </c>
      <c r="N1364" s="793">
        <v>-979</v>
      </c>
      <c r="O1364" s="793">
        <v>-909</v>
      </c>
      <c r="P1364" s="793">
        <v>-823</v>
      </c>
      <c r="Q1364" s="793">
        <v>-731</v>
      </c>
      <c r="R1364" s="793">
        <v>-542</v>
      </c>
      <c r="S1364" s="793">
        <v>-617</v>
      </c>
      <c r="T1364" s="793">
        <v>-300</v>
      </c>
      <c r="U1364" s="793">
        <v>-149</v>
      </c>
      <c r="V1364" s="793">
        <v>-232</v>
      </c>
      <c r="W1364" s="793">
        <v>-560</v>
      </c>
      <c r="X1364" s="793">
        <v>-562</v>
      </c>
      <c r="Y1364" s="793">
        <v>-445</v>
      </c>
      <c r="Z1364" s="793">
        <v>-437</v>
      </c>
      <c r="AA1364" s="793">
        <v>-698</v>
      </c>
      <c r="AB1364" s="793">
        <v>-920</v>
      </c>
      <c r="AC1364" s="794">
        <f t="shared" ref="AC1364:AE1365" si="3201">AB1364</f>
        <v>-920</v>
      </c>
      <c r="AD1364" s="794">
        <f t="shared" si="3201"/>
        <v>-920</v>
      </c>
      <c r="AE1364" s="794">
        <f t="shared" si="3201"/>
        <v>-920</v>
      </c>
      <c r="AF1364" s="794">
        <f t="shared" ref="AF1364:AF1365" si="3202">AE1364</f>
        <v>-920</v>
      </c>
      <c r="AG1364" s="794">
        <f t="shared" ref="AG1364:AG1365" si="3203">AF1364</f>
        <v>-920</v>
      </c>
      <c r="AH1364" s="794">
        <f t="shared" ref="AH1364:AH1365" si="3204">AG1364</f>
        <v>-920</v>
      </c>
      <c r="AI1364" s="794">
        <f t="shared" ref="AI1364:AI1365" si="3205">AH1364</f>
        <v>-920</v>
      </c>
      <c r="AJ1364" s="794"/>
      <c r="AK1364" s="794"/>
      <c r="AL1364" s="794"/>
      <c r="AM1364" s="794"/>
      <c r="AN1364" s="794"/>
      <c r="AO1364" s="794"/>
      <c r="AP1364" s="794"/>
      <c r="AQ1364" s="794"/>
      <c r="AR1364" s="70"/>
      <c r="AS1364" s="321"/>
      <c r="AT1364" s="321" t="s">
        <v>428</v>
      </c>
      <c r="AU1364" s="635">
        <f t="shared" ref="AU1364:AU1370" si="3206">G1364</f>
        <v>-2293</v>
      </c>
      <c r="AV1364" s="635">
        <f t="shared" ref="AV1364:AV1370" si="3207">K1364</f>
        <v>-1245</v>
      </c>
      <c r="AW1364" s="635">
        <f t="shared" ref="AW1364:AW1370" si="3208">O1364</f>
        <v>-909</v>
      </c>
      <c r="AX1364" s="635">
        <f t="shared" ref="AX1364:AX1370" si="3209">S1364</f>
        <v>-617</v>
      </c>
      <c r="AY1364" s="635">
        <f t="shared" ref="AY1364:AY1370" si="3210">W1364</f>
        <v>-560</v>
      </c>
      <c r="AZ1364" s="379">
        <f t="shared" ref="AZ1364:AZ1370" si="3211">AA1364</f>
        <v>-698</v>
      </c>
      <c r="BA1364" s="379">
        <f t="shared" ref="BA1364:BA1370" si="3212">AE1364</f>
        <v>-920</v>
      </c>
      <c r="BB1364" s="379">
        <f t="shared" ref="BB1364:BB1370" si="3213">AI1364</f>
        <v>-920</v>
      </c>
      <c r="BC1364" s="794">
        <f t="shared" ref="BC1364:BE1365" si="3214">BB1364</f>
        <v>-920</v>
      </c>
      <c r="BD1364" s="794">
        <f t="shared" si="3214"/>
        <v>-920</v>
      </c>
      <c r="BE1364" s="794">
        <f t="shared" si="3214"/>
        <v>-920</v>
      </c>
      <c r="BM1364"/>
      <c r="BN1364"/>
      <c r="BO1364"/>
      <c r="BP1364"/>
      <c r="BQ1364"/>
      <c r="BR1364"/>
    </row>
    <row r="1365" spans="1:70" s="369" customFormat="1" x14ac:dyDescent="0.2">
      <c r="A1365" s="411"/>
      <c r="B1365" s="321"/>
      <c r="C1365" s="321" t="s">
        <v>429</v>
      </c>
      <c r="D1365" s="321"/>
      <c r="E1365" s="321"/>
      <c r="F1365" s="321"/>
      <c r="G1365" s="454">
        <v>587</v>
      </c>
      <c r="H1365" s="793">
        <v>361</v>
      </c>
      <c r="I1365" s="793">
        <v>524</v>
      </c>
      <c r="J1365" s="793">
        <v>339</v>
      </c>
      <c r="K1365" s="793">
        <v>177</v>
      </c>
      <c r="L1365" s="793">
        <v>170</v>
      </c>
      <c r="M1365" s="793">
        <v>116</v>
      </c>
      <c r="N1365" s="793">
        <v>193</v>
      </c>
      <c r="O1365" s="793">
        <v>279</v>
      </c>
      <c r="P1365" s="793">
        <v>332</v>
      </c>
      <c r="Q1365" s="793">
        <v>474</v>
      </c>
      <c r="R1365" s="793">
        <v>717</v>
      </c>
      <c r="S1365" s="793">
        <v>441</v>
      </c>
      <c r="T1365" s="793">
        <v>562</v>
      </c>
      <c r="U1365" s="793">
        <v>574</v>
      </c>
      <c r="V1365" s="793">
        <v>335</v>
      </c>
      <c r="W1365" s="793">
        <v>-61</v>
      </c>
      <c r="X1365" s="793">
        <v>-173</v>
      </c>
      <c r="Y1365" s="793">
        <v>-291</v>
      </c>
      <c r="Z1365" s="793">
        <v>-416</v>
      </c>
      <c r="AA1365" s="793">
        <v>-721</v>
      </c>
      <c r="AB1365" s="793">
        <v>-498</v>
      </c>
      <c r="AC1365" s="794">
        <f t="shared" si="3201"/>
        <v>-498</v>
      </c>
      <c r="AD1365" s="794">
        <f t="shared" si="3201"/>
        <v>-498</v>
      </c>
      <c r="AE1365" s="794">
        <f t="shared" si="3201"/>
        <v>-498</v>
      </c>
      <c r="AF1365" s="794">
        <f t="shared" si="3202"/>
        <v>-498</v>
      </c>
      <c r="AG1365" s="794">
        <f t="shared" si="3203"/>
        <v>-498</v>
      </c>
      <c r="AH1365" s="794">
        <f t="shared" si="3204"/>
        <v>-498</v>
      </c>
      <c r="AI1365" s="794">
        <f t="shared" si="3205"/>
        <v>-498</v>
      </c>
      <c r="AJ1365" s="794"/>
      <c r="AK1365" s="794"/>
      <c r="AL1365" s="794"/>
      <c r="AM1365" s="794"/>
      <c r="AN1365" s="794"/>
      <c r="AO1365" s="794"/>
      <c r="AP1365" s="794"/>
      <c r="AQ1365" s="794"/>
      <c r="AR1365" s="70"/>
      <c r="AS1365" s="321"/>
      <c r="AT1365" s="321" t="s">
        <v>429</v>
      </c>
      <c r="AU1365" s="635">
        <f t="shared" si="3206"/>
        <v>587</v>
      </c>
      <c r="AV1365" s="635">
        <f t="shared" si="3207"/>
        <v>177</v>
      </c>
      <c r="AW1365" s="635">
        <f t="shared" si="3208"/>
        <v>279</v>
      </c>
      <c r="AX1365" s="635">
        <f t="shared" si="3209"/>
        <v>441</v>
      </c>
      <c r="AY1365" s="635">
        <f t="shared" si="3210"/>
        <v>-61</v>
      </c>
      <c r="AZ1365" s="379">
        <f t="shared" si="3211"/>
        <v>-721</v>
      </c>
      <c r="BA1365" s="379">
        <f t="shared" si="3212"/>
        <v>-498</v>
      </c>
      <c r="BB1365" s="379">
        <f t="shared" si="3213"/>
        <v>-498</v>
      </c>
      <c r="BC1365" s="794">
        <f t="shared" si="3214"/>
        <v>-498</v>
      </c>
      <c r="BD1365" s="794">
        <f t="shared" si="3214"/>
        <v>-498</v>
      </c>
      <c r="BE1365" s="794">
        <f t="shared" si="3214"/>
        <v>-498</v>
      </c>
      <c r="BM1365"/>
      <c r="BN1365"/>
      <c r="BO1365"/>
      <c r="BP1365"/>
      <c r="BQ1365"/>
      <c r="BR1365"/>
    </row>
    <row r="1366" spans="1:70" s="369" customFormat="1" x14ac:dyDescent="0.2">
      <c r="A1366" s="411"/>
      <c r="B1366" s="321"/>
      <c r="C1366" s="321" t="s">
        <v>430</v>
      </c>
      <c r="D1366" s="321"/>
      <c r="E1366" s="321"/>
      <c r="F1366" s="321"/>
      <c r="G1366" s="454">
        <v>25488</v>
      </c>
      <c r="H1366" s="793">
        <v>25206</v>
      </c>
      <c r="I1366" s="793">
        <v>24553</v>
      </c>
      <c r="J1366" s="793">
        <v>24721</v>
      </c>
      <c r="K1366" s="793">
        <v>24518</v>
      </c>
      <c r="L1366" s="793">
        <v>24314</v>
      </c>
      <c r="M1366" s="793">
        <v>24465</v>
      </c>
      <c r="N1366" s="793">
        <v>23678</v>
      </c>
      <c r="O1366" s="793">
        <v>22805</v>
      </c>
      <c r="P1366" s="793">
        <v>22448</v>
      </c>
      <c r="Q1366" s="793">
        <v>22312</v>
      </c>
      <c r="R1366" s="793">
        <v>21732</v>
      </c>
      <c r="S1366" s="793">
        <v>21980</v>
      </c>
      <c r="T1366" s="793">
        <v>21935</v>
      </c>
      <c r="U1366" s="793">
        <v>21854</v>
      </c>
      <c r="V1366" s="793">
        <v>21763</v>
      </c>
      <c r="W1366" s="793">
        <v>20858</v>
      </c>
      <c r="X1366" s="793">
        <v>21448</v>
      </c>
      <c r="Y1366" s="793">
        <v>21589</v>
      </c>
      <c r="Z1366" s="793">
        <v>21532</v>
      </c>
      <c r="AA1366" s="793">
        <v>22052</v>
      </c>
      <c r="AB1366" s="793">
        <v>22482</v>
      </c>
      <c r="AC1366" s="515">
        <f t="shared" ref="AC1366:AE1367" si="3215">AB1366+AC842-AB842</f>
        <v>22482</v>
      </c>
      <c r="AD1366" s="515">
        <f t="shared" si="3215"/>
        <v>22482</v>
      </c>
      <c r="AE1366" s="515">
        <f t="shared" si="3215"/>
        <v>22482</v>
      </c>
      <c r="AF1366" s="515">
        <f t="shared" ref="AF1366:AF1367" si="3216">AE1366+AF842-AE842</f>
        <v>22482</v>
      </c>
      <c r="AG1366" s="515">
        <f t="shared" ref="AG1366:AG1367" si="3217">AF1366+AG842-AF842</f>
        <v>22482</v>
      </c>
      <c r="AH1366" s="515">
        <f t="shared" ref="AH1366:AH1367" si="3218">AG1366+AH842-AG842</f>
        <v>22482</v>
      </c>
      <c r="AI1366" s="515">
        <f t="shared" ref="AI1366:AI1367" si="3219">AH1366+AI842-AH842</f>
        <v>22482</v>
      </c>
      <c r="AJ1366" s="515"/>
      <c r="AK1366" s="515"/>
      <c r="AL1366" s="515"/>
      <c r="AM1366" s="515"/>
      <c r="AN1366" s="515"/>
      <c r="AO1366" s="515"/>
      <c r="AP1366" s="515"/>
      <c r="AQ1366" s="515"/>
      <c r="AR1366" s="70"/>
      <c r="AS1366" s="321"/>
      <c r="AT1366" s="321" t="s">
        <v>430</v>
      </c>
      <c r="AU1366" s="635">
        <f t="shared" si="3206"/>
        <v>25488</v>
      </c>
      <c r="AV1366" s="635">
        <f t="shared" si="3207"/>
        <v>24518</v>
      </c>
      <c r="AW1366" s="635">
        <f t="shared" si="3208"/>
        <v>22805</v>
      </c>
      <c r="AX1366" s="635">
        <f t="shared" si="3209"/>
        <v>21980</v>
      </c>
      <c r="AY1366" s="635">
        <f t="shared" si="3210"/>
        <v>20858</v>
      </c>
      <c r="AZ1366" s="379">
        <f t="shared" si="3211"/>
        <v>22052</v>
      </c>
      <c r="BA1366" s="379">
        <f t="shared" si="3212"/>
        <v>22482</v>
      </c>
      <c r="BB1366" s="379">
        <f t="shared" si="3213"/>
        <v>22482</v>
      </c>
      <c r="BC1366" s="515">
        <f t="shared" ref="BC1366:BE1367" si="3220">BB1366+BC842-BB842</f>
        <v>22482</v>
      </c>
      <c r="BD1366" s="515">
        <f t="shared" si="3220"/>
        <v>22482</v>
      </c>
      <c r="BE1366" s="515">
        <f t="shared" si="3220"/>
        <v>22482</v>
      </c>
      <c r="BM1366"/>
      <c r="BN1366"/>
      <c r="BO1366"/>
      <c r="BP1366"/>
      <c r="BQ1366"/>
      <c r="BR1366"/>
    </row>
    <row r="1367" spans="1:70" s="369" customFormat="1" x14ac:dyDescent="0.2">
      <c r="A1367" s="411"/>
      <c r="B1367" s="321"/>
      <c r="C1367" s="321" t="s">
        <v>431</v>
      </c>
      <c r="D1367" s="321"/>
      <c r="E1367" s="321"/>
      <c r="F1367" s="321"/>
      <c r="G1367" s="454">
        <v>5632</v>
      </c>
      <c r="H1367" s="793">
        <v>5329</v>
      </c>
      <c r="I1367" s="793">
        <v>5057</v>
      </c>
      <c r="J1367" s="793">
        <v>4966</v>
      </c>
      <c r="K1367" s="793">
        <v>4950</v>
      </c>
      <c r="L1367" s="793">
        <v>4692</v>
      </c>
      <c r="M1367" s="793">
        <v>4506</v>
      </c>
      <c r="N1367" s="793">
        <v>4307</v>
      </c>
      <c r="O1367" s="793">
        <v>4373</v>
      </c>
      <c r="P1367" s="793">
        <v>4184</v>
      </c>
      <c r="Q1367" s="793">
        <v>4153</v>
      </c>
      <c r="R1367" s="793">
        <v>3911</v>
      </c>
      <c r="S1367" s="793">
        <v>3586</v>
      </c>
      <c r="T1367" s="793">
        <v>3332</v>
      </c>
      <c r="U1367" s="793">
        <v>5358</v>
      </c>
      <c r="V1367" s="793">
        <v>5177</v>
      </c>
      <c r="W1367" s="793">
        <v>4876</v>
      </c>
      <c r="X1367" s="793">
        <v>4738</v>
      </c>
      <c r="Y1367" s="793">
        <v>4587</v>
      </c>
      <c r="Z1367" s="793">
        <v>4410</v>
      </c>
      <c r="AA1367" s="793">
        <v>4401</v>
      </c>
      <c r="AB1367" s="793">
        <v>4209</v>
      </c>
      <c r="AC1367" s="515">
        <f t="shared" si="3215"/>
        <v>4209</v>
      </c>
      <c r="AD1367" s="515">
        <f t="shared" si="3215"/>
        <v>4209</v>
      </c>
      <c r="AE1367" s="515">
        <f t="shared" si="3215"/>
        <v>4209</v>
      </c>
      <c r="AF1367" s="515">
        <f t="shared" si="3216"/>
        <v>4209</v>
      </c>
      <c r="AG1367" s="515">
        <f t="shared" si="3217"/>
        <v>4209</v>
      </c>
      <c r="AH1367" s="515">
        <f t="shared" si="3218"/>
        <v>4209</v>
      </c>
      <c r="AI1367" s="515">
        <f t="shared" si="3219"/>
        <v>4209</v>
      </c>
      <c r="AJ1367" s="515"/>
      <c r="AK1367" s="515"/>
      <c r="AL1367" s="515"/>
      <c r="AM1367" s="515"/>
      <c r="AN1367" s="515"/>
      <c r="AO1367" s="515"/>
      <c r="AP1367" s="515"/>
      <c r="AQ1367" s="515"/>
      <c r="AR1367" s="70"/>
      <c r="AS1367" s="321"/>
      <c r="AT1367" s="321" t="s">
        <v>431</v>
      </c>
      <c r="AU1367" s="635">
        <f t="shared" si="3206"/>
        <v>5632</v>
      </c>
      <c r="AV1367" s="635">
        <f t="shared" si="3207"/>
        <v>4950</v>
      </c>
      <c r="AW1367" s="635">
        <f t="shared" si="3208"/>
        <v>4373</v>
      </c>
      <c r="AX1367" s="635">
        <f t="shared" si="3209"/>
        <v>3586</v>
      </c>
      <c r="AY1367" s="635">
        <f t="shared" si="3210"/>
        <v>4876</v>
      </c>
      <c r="AZ1367" s="379">
        <f t="shared" si="3211"/>
        <v>4401</v>
      </c>
      <c r="BA1367" s="379">
        <f t="shared" si="3212"/>
        <v>4209</v>
      </c>
      <c r="BB1367" s="379">
        <f t="shared" si="3213"/>
        <v>4209</v>
      </c>
      <c r="BC1367" s="515">
        <f t="shared" si="3220"/>
        <v>4209</v>
      </c>
      <c r="BD1367" s="515">
        <f t="shared" si="3220"/>
        <v>4209</v>
      </c>
      <c r="BE1367" s="515">
        <f t="shared" si="3220"/>
        <v>4209</v>
      </c>
      <c r="BM1367"/>
      <c r="BN1367"/>
      <c r="BO1367"/>
      <c r="BP1367"/>
      <c r="BQ1367"/>
      <c r="BR1367"/>
    </row>
    <row r="1368" spans="1:70" s="369" customFormat="1" x14ac:dyDescent="0.2">
      <c r="A1368" s="411"/>
      <c r="B1368" s="321"/>
      <c r="C1368" s="9" t="s">
        <v>432</v>
      </c>
      <c r="D1368" s="321"/>
      <c r="E1368" s="321"/>
      <c r="F1368" s="321"/>
      <c r="G1368" s="454">
        <v>732</v>
      </c>
      <c r="H1368" s="793">
        <v>498</v>
      </c>
      <c r="I1368" s="793">
        <v>876</v>
      </c>
      <c r="J1368" s="793">
        <v>954</v>
      </c>
      <c r="K1368" s="793">
        <v>1125</v>
      </c>
      <c r="L1368" s="793">
        <v>1178</v>
      </c>
      <c r="M1368" s="793">
        <v>1066</v>
      </c>
      <c r="N1368" s="793">
        <v>1179</v>
      </c>
      <c r="O1368" s="793">
        <v>936</v>
      </c>
      <c r="P1368" s="793">
        <v>897</v>
      </c>
      <c r="Q1368" s="793">
        <v>815</v>
      </c>
      <c r="R1368" s="793">
        <v>904</v>
      </c>
      <c r="S1368" s="793">
        <v>794</v>
      </c>
      <c r="T1368" s="793">
        <v>870</v>
      </c>
      <c r="U1368" s="793">
        <v>964</v>
      </c>
      <c r="V1368" s="793">
        <v>891</v>
      </c>
      <c r="W1368" s="793">
        <v>857</v>
      </c>
      <c r="X1368" s="793">
        <v>836</v>
      </c>
      <c r="Y1368" s="793">
        <v>796</v>
      </c>
      <c r="Z1368" s="793">
        <v>720</v>
      </c>
      <c r="AA1368" s="793">
        <v>896</v>
      </c>
      <c r="AB1368" s="793">
        <v>871</v>
      </c>
      <c r="AC1368" s="794">
        <f t="shared" ref="AC1368:AE1368" si="3221">AB1368</f>
        <v>871</v>
      </c>
      <c r="AD1368" s="794">
        <f t="shared" si="3221"/>
        <v>871</v>
      </c>
      <c r="AE1368" s="794">
        <f t="shared" si="3221"/>
        <v>871</v>
      </c>
      <c r="AF1368" s="794">
        <f t="shared" ref="AF1368" si="3222">AE1368</f>
        <v>871</v>
      </c>
      <c r="AG1368" s="794">
        <f t="shared" ref="AG1368" si="3223">AF1368</f>
        <v>871</v>
      </c>
      <c r="AH1368" s="794">
        <f t="shared" ref="AH1368" si="3224">AG1368</f>
        <v>871</v>
      </c>
      <c r="AI1368" s="794">
        <f t="shared" ref="AI1368" si="3225">AH1368</f>
        <v>871</v>
      </c>
      <c r="AJ1368" s="794"/>
      <c r="AK1368" s="794"/>
      <c r="AL1368" s="794"/>
      <c r="AM1368" s="794"/>
      <c r="AN1368" s="794"/>
      <c r="AO1368" s="794"/>
      <c r="AP1368" s="794"/>
      <c r="AQ1368" s="794"/>
      <c r="AR1368" s="70"/>
      <c r="AS1368" s="321"/>
      <c r="AT1368" s="9" t="s">
        <v>432</v>
      </c>
      <c r="AU1368" s="635">
        <f t="shared" si="3206"/>
        <v>732</v>
      </c>
      <c r="AV1368" s="635">
        <f t="shared" si="3207"/>
        <v>1125</v>
      </c>
      <c r="AW1368" s="635">
        <f t="shared" si="3208"/>
        <v>936</v>
      </c>
      <c r="AX1368" s="635">
        <f t="shared" si="3209"/>
        <v>794</v>
      </c>
      <c r="AY1368" s="635">
        <f t="shared" si="3210"/>
        <v>857</v>
      </c>
      <c r="AZ1368" s="379">
        <f t="shared" si="3211"/>
        <v>896</v>
      </c>
      <c r="BA1368" s="379">
        <f t="shared" si="3212"/>
        <v>871</v>
      </c>
      <c r="BB1368" s="379">
        <f t="shared" si="3213"/>
        <v>871</v>
      </c>
      <c r="BC1368" s="794">
        <f>BB1368</f>
        <v>871</v>
      </c>
      <c r="BD1368" s="794">
        <f>BC1368</f>
        <v>871</v>
      </c>
      <c r="BE1368" s="794">
        <f>BD1368</f>
        <v>871</v>
      </c>
      <c r="BM1368"/>
      <c r="BN1368"/>
      <c r="BO1368"/>
      <c r="BP1368"/>
      <c r="BQ1368"/>
      <c r="BR1368"/>
    </row>
    <row r="1369" spans="1:70" s="369" customFormat="1" x14ac:dyDescent="0.2">
      <c r="A1369" s="411"/>
      <c r="B1369" s="321"/>
      <c r="C1369" s="9" t="s">
        <v>433</v>
      </c>
      <c r="D1369" s="321"/>
      <c r="E1369" s="321"/>
      <c r="F1369" s="321"/>
      <c r="G1369" s="454">
        <v>29100</v>
      </c>
      <c r="H1369" s="793">
        <v>28000</v>
      </c>
      <c r="I1369" s="793">
        <v>27945</v>
      </c>
      <c r="J1369" s="793">
        <v>28003</v>
      </c>
      <c r="K1369" s="793">
        <v>26438</v>
      </c>
      <c r="L1369" s="793">
        <v>26489</v>
      </c>
      <c r="M1369" s="793">
        <v>25139</v>
      </c>
      <c r="N1369" s="793">
        <v>24654</v>
      </c>
      <c r="O1369" s="793">
        <v>23626</v>
      </c>
      <c r="P1369" s="793">
        <v>23190</v>
      </c>
      <c r="Q1369" s="793">
        <v>23760</v>
      </c>
      <c r="R1369" s="793">
        <v>23295</v>
      </c>
      <c r="S1369" s="793">
        <v>23659</v>
      </c>
      <c r="T1369" s="793">
        <v>23414</v>
      </c>
      <c r="U1369" s="793">
        <v>22942</v>
      </c>
      <c r="V1369" s="793">
        <v>22503</v>
      </c>
      <c r="W1369" s="793">
        <v>21337</v>
      </c>
      <c r="X1369" s="793">
        <v>21077</v>
      </c>
      <c r="Y1369" s="793">
        <v>20832</v>
      </c>
      <c r="Z1369" s="793">
        <v>20068</v>
      </c>
      <c r="AA1369" s="793">
        <v>13072</v>
      </c>
      <c r="AB1369" s="793">
        <v>12811</v>
      </c>
      <c r="AC1369" s="515">
        <f t="shared" ref="AC1369:AE1369" si="3226">AC1441</f>
        <v>12747.169588134213</v>
      </c>
      <c r="AD1369" s="515">
        <f t="shared" si="3226"/>
        <v>12692.779230399939</v>
      </c>
      <c r="AE1369" s="515">
        <f t="shared" si="3226"/>
        <v>12640.265348611674</v>
      </c>
      <c r="AF1369" s="515">
        <f t="shared" ref="AF1369:AI1369" si="3227">AF1441</f>
        <v>12582.687958153578</v>
      </c>
      <c r="AG1369" s="515">
        <f t="shared" si="3227"/>
        <v>12523.702038875899</v>
      </c>
      <c r="AH1369" s="515">
        <f t="shared" si="3227"/>
        <v>12465.220852037362</v>
      </c>
      <c r="AI1369" s="515">
        <f t="shared" si="3227"/>
        <v>12409.367509531185</v>
      </c>
      <c r="AJ1369" s="515"/>
      <c r="AK1369" s="515"/>
      <c r="AL1369" s="515"/>
      <c r="AM1369" s="515"/>
      <c r="AN1369" s="515"/>
      <c r="AO1369" s="515"/>
      <c r="AP1369" s="515"/>
      <c r="AQ1369" s="515"/>
      <c r="AR1369" s="70"/>
      <c r="AS1369" s="321"/>
      <c r="AT1369" s="9" t="s">
        <v>433</v>
      </c>
      <c r="AU1369" s="635">
        <f t="shared" si="3206"/>
        <v>29100</v>
      </c>
      <c r="AV1369" s="635">
        <f t="shared" si="3207"/>
        <v>26438</v>
      </c>
      <c r="AW1369" s="635">
        <f t="shared" si="3208"/>
        <v>23626</v>
      </c>
      <c r="AX1369" s="635">
        <f t="shared" si="3209"/>
        <v>23659</v>
      </c>
      <c r="AY1369" s="635">
        <f t="shared" si="3210"/>
        <v>21337</v>
      </c>
      <c r="AZ1369" s="379">
        <f t="shared" si="3211"/>
        <v>13072</v>
      </c>
      <c r="BA1369" s="379">
        <f t="shared" si="3212"/>
        <v>12640.265348611674</v>
      </c>
      <c r="BB1369" s="379">
        <f t="shared" si="3213"/>
        <v>12409.367509531185</v>
      </c>
      <c r="BC1369" s="515">
        <f>BC1441</f>
        <v>12163.313790380002</v>
      </c>
      <c r="BD1369" s="515">
        <f>BD1441</f>
        <v>11905.813377669883</v>
      </c>
      <c r="BE1369" s="515">
        <f>BE1441</f>
        <v>11643.334632145143</v>
      </c>
      <c r="BM1369"/>
      <c r="BN1369"/>
      <c r="BO1369"/>
      <c r="BP1369"/>
      <c r="BQ1369"/>
      <c r="BR1369"/>
    </row>
    <row r="1370" spans="1:70" s="369" customFormat="1" x14ac:dyDescent="0.2">
      <c r="A1370" s="411"/>
      <c r="C1370" s="25" t="s">
        <v>434</v>
      </c>
      <c r="D1370" s="376"/>
      <c r="E1370" s="376"/>
      <c r="F1370" s="376"/>
      <c r="G1370" s="795">
        <v>21940</v>
      </c>
      <c r="H1370" s="795">
        <v>21834</v>
      </c>
      <c r="I1370" s="795">
        <v>17193</v>
      </c>
      <c r="J1370" s="795">
        <v>16525</v>
      </c>
      <c r="K1370" s="795">
        <v>16217</v>
      </c>
      <c r="L1370" s="795">
        <v>13779</v>
      </c>
      <c r="M1370" s="795">
        <v>12725</v>
      </c>
      <c r="N1370" s="795">
        <v>11670</v>
      </c>
      <c r="O1370" s="795">
        <v>12299</v>
      </c>
      <c r="P1370" s="795">
        <v>10755</v>
      </c>
      <c r="Q1370" s="795">
        <v>9538</v>
      </c>
      <c r="R1370" s="795">
        <v>9451</v>
      </c>
      <c r="S1370" s="795">
        <v>8723</v>
      </c>
      <c r="T1370" s="795">
        <v>7254</v>
      </c>
      <c r="U1370" s="795">
        <v>6876</v>
      </c>
      <c r="V1370" s="795">
        <v>7077</v>
      </c>
      <c r="W1370" s="795">
        <v>9357</v>
      </c>
      <c r="X1370" s="795">
        <v>9012</v>
      </c>
      <c r="Y1370" s="795">
        <v>8851</v>
      </c>
      <c r="Z1370" s="795">
        <v>9298</v>
      </c>
      <c r="AA1370" s="795">
        <v>0</v>
      </c>
      <c r="AB1370" s="795">
        <v>0</v>
      </c>
      <c r="AC1370" s="638">
        <f t="shared" ref="AC1370:AE1370" si="3228">AC1449</f>
        <v>0</v>
      </c>
      <c r="AD1370" s="638">
        <f t="shared" si="3228"/>
        <v>0</v>
      </c>
      <c r="AE1370" s="638">
        <f t="shared" si="3228"/>
        <v>0</v>
      </c>
      <c r="AF1370" s="638">
        <f t="shared" ref="AF1370:AI1370" si="3229">AF1449</f>
        <v>0</v>
      </c>
      <c r="AG1370" s="638">
        <f t="shared" si="3229"/>
        <v>0</v>
      </c>
      <c r="AH1370" s="638">
        <f t="shared" si="3229"/>
        <v>0</v>
      </c>
      <c r="AI1370" s="638">
        <f t="shared" si="3229"/>
        <v>0</v>
      </c>
      <c r="AJ1370" s="635"/>
      <c r="AK1370" s="635"/>
      <c r="AL1370" s="635"/>
      <c r="AM1370" s="635"/>
      <c r="AN1370" s="635"/>
      <c r="AO1370" s="635"/>
      <c r="AP1370" s="635"/>
      <c r="AQ1370" s="635"/>
      <c r="AR1370" s="70"/>
      <c r="AT1370" s="25" t="s">
        <v>434</v>
      </c>
      <c r="AU1370" s="638">
        <f t="shared" si="3206"/>
        <v>21940</v>
      </c>
      <c r="AV1370" s="638">
        <f t="shared" si="3207"/>
        <v>16217</v>
      </c>
      <c r="AW1370" s="638">
        <f t="shared" si="3208"/>
        <v>12299</v>
      </c>
      <c r="AX1370" s="638">
        <f t="shared" si="3209"/>
        <v>8723</v>
      </c>
      <c r="AY1370" s="638">
        <f t="shared" si="3210"/>
        <v>9357</v>
      </c>
      <c r="AZ1370" s="432">
        <f t="shared" si="3211"/>
        <v>0</v>
      </c>
      <c r="BA1370" s="432">
        <f t="shared" si="3212"/>
        <v>0</v>
      </c>
      <c r="BB1370" s="432">
        <f t="shared" si="3213"/>
        <v>0</v>
      </c>
      <c r="BC1370" s="638">
        <f>BC1449</f>
        <v>0</v>
      </c>
      <c r="BD1370" s="638">
        <f>BD1449</f>
        <v>0</v>
      </c>
      <c r="BE1370" s="638">
        <f>BE1449</f>
        <v>0</v>
      </c>
      <c r="BM1370"/>
      <c r="BN1370"/>
      <c r="BO1370"/>
      <c r="BP1370"/>
      <c r="BQ1370"/>
      <c r="BR1370"/>
    </row>
    <row r="1371" spans="1:70" s="369" customFormat="1" x14ac:dyDescent="0.2">
      <c r="A1371" s="411"/>
      <c r="B1371" s="345" t="s">
        <v>124</v>
      </c>
      <c r="C1371" s="9"/>
      <c r="D1371" s="321"/>
      <c r="E1371" s="321"/>
      <c r="F1371" s="321"/>
      <c r="G1371" s="385">
        <f t="shared" ref="G1371:AE1371" si="3230">G1360+G1361-SUM(G1364:G1370)</f>
        <v>105140</v>
      </c>
      <c r="H1371" s="385">
        <f t="shared" si="3230"/>
        <v>110958</v>
      </c>
      <c r="I1371" s="385">
        <f t="shared" si="3230"/>
        <v>116995</v>
      </c>
      <c r="J1371" s="385">
        <f t="shared" si="3230"/>
        <v>121321</v>
      </c>
      <c r="K1371" s="385">
        <f t="shared" si="3230"/>
        <v>125349</v>
      </c>
      <c r="L1371" s="385">
        <f t="shared" si="3230"/>
        <v>131685</v>
      </c>
      <c r="M1371" s="385">
        <f t="shared" si="3230"/>
        <v>135338</v>
      </c>
      <c r="N1371" s="385">
        <f t="shared" si="3230"/>
        <v>138547</v>
      </c>
      <c r="O1371" s="385">
        <f t="shared" si="3230"/>
        <v>136597</v>
      </c>
      <c r="P1371" s="385">
        <f t="shared" si="3230"/>
        <v>141945</v>
      </c>
      <c r="Q1371" s="385">
        <f t="shared" si="3230"/>
        <v>145435</v>
      </c>
      <c r="R1371" s="385">
        <f t="shared" si="3230"/>
        <v>146451</v>
      </c>
      <c r="S1371" s="385">
        <f t="shared" si="3230"/>
        <v>146865</v>
      </c>
      <c r="T1371" s="385">
        <f t="shared" si="3230"/>
        <v>153023</v>
      </c>
      <c r="U1371" s="385">
        <f t="shared" si="3230"/>
        <v>154534</v>
      </c>
      <c r="V1371" s="385">
        <f t="shared" si="3230"/>
        <v>155132</v>
      </c>
      <c r="W1371" s="385">
        <f t="shared" si="3230"/>
        <v>149516</v>
      </c>
      <c r="X1371" s="385">
        <f t="shared" si="3230"/>
        <v>152664</v>
      </c>
      <c r="Y1371" s="385">
        <f t="shared" ref="Y1371:Z1371" si="3231">Y1360+Y1361-SUM(Y1364:Y1370)</f>
        <v>155174</v>
      </c>
      <c r="Z1371" s="385">
        <f t="shared" si="3231"/>
        <v>153534</v>
      </c>
      <c r="AA1371" s="385">
        <f t="shared" ref="AA1371:AB1371" si="3232">AA1360+AA1361-SUM(AA1364:AA1370)</f>
        <v>142822</v>
      </c>
      <c r="AB1371" s="385">
        <f t="shared" si="3232"/>
        <v>144127</v>
      </c>
      <c r="AC1371" s="385">
        <f t="shared" si="3230"/>
        <v>145395.4111395824</v>
      </c>
      <c r="AD1371" s="385">
        <f t="shared" si="3230"/>
        <v>143535.93029183263</v>
      </c>
      <c r="AE1371" s="385">
        <f t="shared" si="3230"/>
        <v>141316.21326334373</v>
      </c>
      <c r="AF1371" s="385">
        <f t="shared" ref="AF1371:AI1371" si="3233">AF1360+AF1361-SUM(AF1364:AF1370)</f>
        <v>140525.06456501185</v>
      </c>
      <c r="AG1371" s="385">
        <f t="shared" si="3233"/>
        <v>139140.25676827141</v>
      </c>
      <c r="AH1371" s="385">
        <f t="shared" si="3233"/>
        <v>138087.10600127309</v>
      </c>
      <c r="AI1371" s="385">
        <f t="shared" si="3233"/>
        <v>136773.23030174992</v>
      </c>
      <c r="AJ1371" s="385"/>
      <c r="AK1371" s="385"/>
      <c r="AL1371" s="385"/>
      <c r="AM1371" s="385"/>
      <c r="AN1371" s="385"/>
      <c r="AO1371" s="385"/>
      <c r="AP1371" s="385"/>
      <c r="AQ1371" s="385"/>
      <c r="AR1371" s="70"/>
      <c r="AS1371" s="345" t="s">
        <v>124</v>
      </c>
      <c r="AT1371" s="9"/>
      <c r="AU1371" s="385">
        <f t="shared" ref="AU1371:BD1371" si="3234">AU1360+AU1361-SUM(AU1364:AU1370)</f>
        <v>105140</v>
      </c>
      <c r="AV1371" s="385">
        <f t="shared" si="3234"/>
        <v>125349</v>
      </c>
      <c r="AW1371" s="385">
        <f t="shared" si="3234"/>
        <v>136597</v>
      </c>
      <c r="AX1371" s="385">
        <f t="shared" si="3234"/>
        <v>146865</v>
      </c>
      <c r="AY1371" s="385">
        <f t="shared" si="3234"/>
        <v>149516</v>
      </c>
      <c r="AZ1371" s="385">
        <f t="shared" si="3234"/>
        <v>142822</v>
      </c>
      <c r="BA1371" s="385">
        <f t="shared" si="3234"/>
        <v>141316.21326334373</v>
      </c>
      <c r="BB1371" s="385">
        <f t="shared" ref="BB1371" si="3235">BB1360+BB1361-SUM(BB1364:BB1370)</f>
        <v>136773.23030174992</v>
      </c>
      <c r="BC1371" s="385">
        <f t="shared" si="3234"/>
        <v>139291.69404207653</v>
      </c>
      <c r="BD1371" s="385">
        <f t="shared" si="3234"/>
        <v>144820.11255943379</v>
      </c>
      <c r="BE1371" s="385">
        <f t="shared" ref="BE1371" si="3236">BE1360+BE1361-SUM(BE1364:BE1370)</f>
        <v>150572.2541217088</v>
      </c>
      <c r="BM1371"/>
      <c r="BN1371"/>
      <c r="BO1371"/>
      <c r="BP1371"/>
      <c r="BQ1371"/>
      <c r="BR1371"/>
    </row>
    <row r="1372" spans="1:70" s="369" customFormat="1" x14ac:dyDescent="0.2">
      <c r="A1372" s="411"/>
      <c r="B1372" s="345"/>
      <c r="C1372" s="9"/>
      <c r="D1372" s="321"/>
      <c r="E1372" s="321"/>
      <c r="F1372" s="321"/>
      <c r="G1372" s="385"/>
      <c r="H1372" s="385"/>
      <c r="I1372" s="385"/>
      <c r="J1372" s="385"/>
      <c r="K1372" s="385"/>
      <c r="L1372" s="385"/>
      <c r="M1372" s="385"/>
      <c r="N1372" s="385"/>
      <c r="O1372" s="385"/>
      <c r="P1372" s="385"/>
      <c r="Q1372" s="385"/>
      <c r="R1372" s="385"/>
      <c r="S1372" s="385"/>
      <c r="T1372" s="385"/>
      <c r="U1372" s="385"/>
      <c r="V1372" s="385"/>
      <c r="W1372" s="385"/>
      <c r="X1372" s="385"/>
      <c r="Y1372" s="385"/>
      <c r="Z1372" s="385"/>
      <c r="AA1372" s="385"/>
      <c r="AB1372" s="385"/>
      <c r="AC1372" s="516"/>
      <c r="AD1372" s="516"/>
      <c r="AE1372" s="516"/>
      <c r="AF1372" s="516"/>
      <c r="AG1372" s="516"/>
      <c r="AH1372" s="516"/>
      <c r="AI1372" s="516"/>
      <c r="AJ1372" s="516"/>
      <c r="AK1372" s="516"/>
      <c r="AL1372" s="516"/>
      <c r="AM1372" s="516"/>
      <c r="AN1372" s="516"/>
      <c r="AO1372" s="516"/>
      <c r="AP1372" s="516"/>
      <c r="AQ1372" s="516"/>
      <c r="AR1372" s="70"/>
      <c r="AS1372" s="345"/>
      <c r="AT1372" s="9"/>
      <c r="AU1372" s="516"/>
      <c r="AV1372" s="516"/>
      <c r="AX1372" s="663"/>
      <c r="AY1372" s="382"/>
      <c r="AZ1372" s="747"/>
      <c r="BC1372" s="516"/>
      <c r="BD1372" s="516"/>
      <c r="BE1372" s="516"/>
      <c r="BM1372"/>
      <c r="BN1372"/>
      <c r="BO1372"/>
      <c r="BP1372"/>
      <c r="BQ1372"/>
      <c r="BR1372"/>
    </row>
    <row r="1373" spans="1:70" s="369" customFormat="1" x14ac:dyDescent="0.2">
      <c r="A1373" s="411"/>
      <c r="B1373" s="345"/>
      <c r="C1373" s="9"/>
      <c r="D1373" s="321"/>
      <c r="E1373" s="321"/>
      <c r="F1373" s="321"/>
      <c r="G1373" s="385"/>
      <c r="H1373" s="385"/>
      <c r="I1373" s="385"/>
      <c r="J1373" s="385"/>
      <c r="K1373" s="385"/>
      <c r="L1373" s="385"/>
      <c r="M1373" s="385"/>
      <c r="N1373" s="385"/>
      <c r="O1373" s="385"/>
      <c r="P1373" s="385"/>
      <c r="Q1373" s="385"/>
      <c r="R1373" s="385"/>
      <c r="S1373" s="385"/>
      <c r="T1373" s="385"/>
      <c r="U1373" s="385"/>
      <c r="V1373" s="385"/>
      <c r="W1373" s="385"/>
      <c r="X1373" s="385"/>
      <c r="Y1373" s="385"/>
      <c r="Z1373" s="385"/>
      <c r="AA1373" s="385"/>
      <c r="AB1373" s="385"/>
      <c r="AC1373" s="516"/>
      <c r="AD1373" s="516"/>
      <c r="AE1373" s="516"/>
      <c r="AF1373" s="516"/>
      <c r="AG1373" s="516"/>
      <c r="AH1373" s="516"/>
      <c r="AI1373" s="516"/>
      <c r="AJ1373" s="516"/>
      <c r="AK1373" s="516"/>
      <c r="AL1373" s="516"/>
      <c r="AM1373" s="516"/>
      <c r="AN1373" s="516"/>
      <c r="AO1373" s="516"/>
      <c r="AP1373" s="516"/>
      <c r="AQ1373" s="516"/>
      <c r="AR1373" s="70"/>
      <c r="AS1373" s="345"/>
      <c r="AT1373" s="9"/>
      <c r="AU1373" s="516"/>
      <c r="AV1373" s="516"/>
      <c r="AX1373" s="663"/>
      <c r="AY1373" s="382"/>
      <c r="AZ1373" s="747"/>
      <c r="BC1373" s="516"/>
      <c r="BD1373" s="516"/>
      <c r="BE1373" s="516"/>
      <c r="BM1373"/>
      <c r="BN1373"/>
      <c r="BO1373"/>
      <c r="BP1373"/>
      <c r="BQ1373"/>
      <c r="BR1373"/>
    </row>
    <row r="1374" spans="1:70" s="369" customFormat="1" x14ac:dyDescent="0.2">
      <c r="A1374" s="411"/>
      <c r="B1374" s="342" t="s">
        <v>590</v>
      </c>
      <c r="C1374" s="9"/>
      <c r="D1374" s="321"/>
      <c r="E1374" s="321"/>
      <c r="F1374" s="321"/>
      <c r="G1374" s="515">
        <f t="shared" ref="G1374:AE1374" si="3237">G868</f>
        <v>186155</v>
      </c>
      <c r="H1374" s="515">
        <f t="shared" si="3237"/>
        <v>189855</v>
      </c>
      <c r="I1374" s="515">
        <f t="shared" si="3237"/>
        <v>191272</v>
      </c>
      <c r="J1374" s="515">
        <f t="shared" si="3237"/>
        <v>195256</v>
      </c>
      <c r="K1374" s="515">
        <f t="shared" si="3237"/>
        <v>197254</v>
      </c>
      <c r="L1374" s="515">
        <f t="shared" si="3237"/>
        <v>200898</v>
      </c>
      <c r="M1374" s="515">
        <f t="shared" si="3237"/>
        <v>202048</v>
      </c>
      <c r="N1374" s="515">
        <f t="shared" si="3237"/>
        <v>202960</v>
      </c>
      <c r="O1374" s="515">
        <f t="shared" si="3237"/>
        <v>199717</v>
      </c>
      <c r="P1374" s="515">
        <f t="shared" si="3237"/>
        <v>202652</v>
      </c>
      <c r="Q1374" s="515">
        <f t="shared" si="3237"/>
        <v>205472</v>
      </c>
      <c r="R1374" s="515">
        <f t="shared" si="3237"/>
        <v>205630</v>
      </c>
      <c r="S1374" s="515">
        <f t="shared" si="3237"/>
        <v>205139</v>
      </c>
      <c r="T1374" s="515">
        <f t="shared" si="3237"/>
        <v>209769</v>
      </c>
      <c r="U1374" s="515">
        <f t="shared" si="3237"/>
        <v>212635</v>
      </c>
      <c r="V1374" s="515">
        <f t="shared" si="3237"/>
        <v>212322</v>
      </c>
      <c r="W1374" s="515">
        <f t="shared" si="3237"/>
        <v>205867</v>
      </c>
      <c r="X1374" s="515">
        <f t="shared" si="3237"/>
        <v>208879</v>
      </c>
      <c r="Y1374" s="515">
        <f t="shared" ref="Y1374:Z1374" si="3238">Y868</f>
        <v>210766</v>
      </c>
      <c r="Z1374" s="515">
        <f t="shared" si="3238"/>
        <v>208381</v>
      </c>
      <c r="AA1374" s="515">
        <f t="shared" ref="AA1374:AB1374" si="3239">AA868</f>
        <v>181487</v>
      </c>
      <c r="AB1374" s="515">
        <f t="shared" si="3239"/>
        <v>182759</v>
      </c>
      <c r="AC1374" s="515">
        <f t="shared" si="3237"/>
        <v>183963.58072771662</v>
      </c>
      <c r="AD1374" s="515">
        <f t="shared" si="3237"/>
        <v>182049.70952223256</v>
      </c>
      <c r="AE1374" s="515">
        <f t="shared" si="3237"/>
        <v>179777.47861195539</v>
      </c>
      <c r="AF1374" s="515">
        <f t="shared" ref="AF1374:AI1374" si="3240">AF868</f>
        <v>178928.75252316543</v>
      </c>
      <c r="AG1374" s="515">
        <f t="shared" si="3240"/>
        <v>177484.95880714731</v>
      </c>
      <c r="AH1374" s="515">
        <f t="shared" si="3240"/>
        <v>176373.32685331046</v>
      </c>
      <c r="AI1374" s="515">
        <f t="shared" si="3240"/>
        <v>175003.5978112811</v>
      </c>
      <c r="AJ1374" s="515"/>
      <c r="AK1374" s="515"/>
      <c r="AL1374" s="515"/>
      <c r="AM1374" s="515"/>
      <c r="AN1374" s="515"/>
      <c r="AO1374" s="515"/>
      <c r="AP1374" s="515"/>
      <c r="AQ1374" s="515"/>
      <c r="AR1374" s="70"/>
      <c r="AS1374" s="342" t="s">
        <v>590</v>
      </c>
      <c r="AT1374" s="9"/>
      <c r="AU1374" s="635">
        <f>G1374</f>
        <v>186155</v>
      </c>
      <c r="AV1374" s="635">
        <f>K1374</f>
        <v>197254</v>
      </c>
      <c r="AW1374" s="635">
        <f>O1374</f>
        <v>199717</v>
      </c>
      <c r="AX1374" s="635">
        <f>S1374</f>
        <v>205139</v>
      </c>
      <c r="AY1374" s="635">
        <f>W1374</f>
        <v>205867</v>
      </c>
      <c r="AZ1374" s="379">
        <f>AA1374</f>
        <v>181487</v>
      </c>
      <c r="BA1374" s="379">
        <f>AE1374</f>
        <v>179777.47861195539</v>
      </c>
      <c r="BB1374" s="379">
        <f>AI1374</f>
        <v>175003.5978112811</v>
      </c>
      <c r="BC1374" s="515">
        <f>BC868</f>
        <v>177276.00783245653</v>
      </c>
      <c r="BD1374" s="515">
        <f>BD868</f>
        <v>182546.92593710366</v>
      </c>
      <c r="BE1374" s="515">
        <f>BE868</f>
        <v>188036.58875385395</v>
      </c>
      <c r="BM1374"/>
      <c r="BN1374"/>
      <c r="BO1374"/>
      <c r="BP1374"/>
      <c r="BQ1374"/>
      <c r="BR1374"/>
    </row>
    <row r="1375" spans="1:70" s="369" customFormat="1" x14ac:dyDescent="0.2">
      <c r="A1375" s="411"/>
      <c r="B1375" s="342"/>
      <c r="C1375" s="9" t="s">
        <v>591</v>
      </c>
      <c r="D1375" s="321"/>
      <c r="E1375" s="321"/>
      <c r="F1375" s="321"/>
      <c r="G1375" s="515">
        <f t="shared" ref="G1375:X1375" si="3241">G1374-G1360</f>
        <v>0</v>
      </c>
      <c r="H1375" s="515">
        <f t="shared" si="3241"/>
        <v>1</v>
      </c>
      <c r="I1375" s="515">
        <f t="shared" si="3241"/>
        <v>-39</v>
      </c>
      <c r="J1375" s="515">
        <f t="shared" si="3241"/>
        <v>-60</v>
      </c>
      <c r="K1375" s="515">
        <f t="shared" si="3241"/>
        <v>-93</v>
      </c>
      <c r="L1375" s="515">
        <f t="shared" si="3241"/>
        <v>-105</v>
      </c>
      <c r="M1375" s="515">
        <f t="shared" si="3241"/>
        <v>-117</v>
      </c>
      <c r="N1375" s="515">
        <f t="shared" si="3241"/>
        <v>-117</v>
      </c>
      <c r="O1375" s="515">
        <f t="shared" si="3241"/>
        <v>-124</v>
      </c>
      <c r="P1375" s="515">
        <f t="shared" si="3241"/>
        <v>-130</v>
      </c>
      <c r="Q1375" s="515">
        <f t="shared" si="3241"/>
        <v>-138</v>
      </c>
      <c r="R1375" s="515">
        <f t="shared" si="3241"/>
        <v>-142</v>
      </c>
      <c r="S1375" s="515">
        <f t="shared" si="3241"/>
        <v>-147</v>
      </c>
      <c r="T1375" s="515">
        <f t="shared" si="3241"/>
        <v>-178</v>
      </c>
      <c r="U1375" s="515">
        <f t="shared" si="3241"/>
        <v>-184</v>
      </c>
      <c r="V1375" s="515">
        <f t="shared" si="3241"/>
        <v>-184</v>
      </c>
      <c r="W1375" s="515">
        <f t="shared" si="3241"/>
        <v>-184</v>
      </c>
      <c r="X1375" s="515">
        <f t="shared" si="3241"/>
        <v>-28</v>
      </c>
      <c r="Y1375" s="515">
        <f t="shared" ref="Y1375:Z1375" si="3242">Y1374-Y1360</f>
        <v>-184</v>
      </c>
      <c r="Z1375" s="515">
        <f t="shared" si="3242"/>
        <v>-184</v>
      </c>
      <c r="AA1375" s="515">
        <f t="shared" ref="AA1375:AB1375" si="3243">AA1374-AA1360</f>
        <v>-184</v>
      </c>
      <c r="AB1375" s="515">
        <f t="shared" si="3243"/>
        <v>-183</v>
      </c>
      <c r="AC1375" s="794">
        <f t="shared" ref="AC1375:AE1375" si="3244">AB1375</f>
        <v>-183</v>
      </c>
      <c r="AD1375" s="794">
        <f t="shared" si="3244"/>
        <v>-183</v>
      </c>
      <c r="AE1375" s="794">
        <f t="shared" si="3244"/>
        <v>-183</v>
      </c>
      <c r="AF1375" s="794">
        <f t="shared" ref="AF1375" si="3245">AE1375</f>
        <v>-183</v>
      </c>
      <c r="AG1375" s="794">
        <f t="shared" ref="AG1375" si="3246">AF1375</f>
        <v>-183</v>
      </c>
      <c r="AH1375" s="794">
        <f t="shared" ref="AH1375" si="3247">AG1375</f>
        <v>-183</v>
      </c>
      <c r="AI1375" s="794">
        <f t="shared" ref="AI1375" si="3248">AH1375</f>
        <v>-183</v>
      </c>
      <c r="AJ1375" s="794"/>
      <c r="AK1375" s="794"/>
      <c r="AL1375" s="794"/>
      <c r="AM1375" s="794"/>
      <c r="AN1375" s="794"/>
      <c r="AO1375" s="794"/>
      <c r="AP1375" s="794"/>
      <c r="AQ1375" s="794"/>
      <c r="AR1375" s="70"/>
      <c r="AS1375" s="342"/>
      <c r="AT1375" s="9" t="s">
        <v>591</v>
      </c>
      <c r="AU1375" s="635">
        <f>G1375</f>
        <v>0</v>
      </c>
      <c r="AV1375" s="635">
        <f>K1375</f>
        <v>-93</v>
      </c>
      <c r="AW1375" s="635">
        <f>O1375</f>
        <v>-124</v>
      </c>
      <c r="AX1375" s="635">
        <f>S1375</f>
        <v>-147</v>
      </c>
      <c r="AY1375" s="635">
        <f>W1375</f>
        <v>-184</v>
      </c>
      <c r="AZ1375" s="379">
        <f>AA1375</f>
        <v>-184</v>
      </c>
      <c r="BA1375" s="379">
        <f>AE1375</f>
        <v>-183</v>
      </c>
      <c r="BB1375" s="379">
        <f>AI1375</f>
        <v>-183</v>
      </c>
      <c r="BC1375" s="794">
        <f>BB1375</f>
        <v>-183</v>
      </c>
      <c r="BD1375" s="794">
        <f>BC1375</f>
        <v>-183</v>
      </c>
      <c r="BE1375" s="794">
        <f>BD1375</f>
        <v>-183</v>
      </c>
      <c r="BM1375"/>
      <c r="BN1375"/>
      <c r="BO1375"/>
      <c r="BP1375"/>
      <c r="BQ1375"/>
      <c r="BR1375"/>
    </row>
    <row r="1376" spans="1:70" s="369" customFormat="1" x14ac:dyDescent="0.2">
      <c r="A1376" s="411"/>
      <c r="B1376" s="345"/>
      <c r="C1376" s="9"/>
      <c r="D1376" s="321"/>
      <c r="E1376" s="321"/>
      <c r="F1376" s="321"/>
      <c r="G1376" s="385"/>
      <c r="H1376" s="385"/>
      <c r="I1376" s="385"/>
      <c r="J1376" s="385"/>
      <c r="K1376" s="385"/>
      <c r="L1376" s="385"/>
      <c r="M1376" s="385"/>
      <c r="N1376" s="385"/>
      <c r="O1376" s="385"/>
      <c r="P1376" s="385"/>
      <c r="Q1376" s="385"/>
      <c r="R1376" s="385"/>
      <c r="S1376" s="385"/>
      <c r="T1376" s="385"/>
      <c r="U1376" s="385"/>
      <c r="V1376" s="385"/>
      <c r="W1376" s="385"/>
      <c r="X1376" s="385"/>
      <c r="Y1376" s="385"/>
      <c r="Z1376" s="385"/>
      <c r="AA1376" s="385"/>
      <c r="AB1376" s="385"/>
      <c r="AC1376" s="516"/>
      <c r="AD1376" s="516"/>
      <c r="AE1376" s="516"/>
      <c r="AF1376" s="516"/>
      <c r="AG1376" s="516"/>
      <c r="AH1376" s="516"/>
      <c r="AI1376" s="516"/>
      <c r="AJ1376" s="516"/>
      <c r="AK1376" s="516"/>
      <c r="AL1376" s="516"/>
      <c r="AM1376" s="516"/>
      <c r="AN1376" s="516"/>
      <c r="AO1376" s="516"/>
      <c r="AP1376" s="516"/>
      <c r="AQ1376" s="516"/>
      <c r="AR1376" s="70"/>
      <c r="AS1376" s="345"/>
      <c r="AT1376" s="9"/>
      <c r="AU1376" s="516"/>
      <c r="AV1376" s="516"/>
      <c r="AX1376" s="663"/>
      <c r="AY1376" s="382"/>
      <c r="AZ1376" s="747"/>
      <c r="BC1376" s="516"/>
      <c r="BD1376" s="516"/>
      <c r="BE1376" s="516"/>
      <c r="BM1376"/>
      <c r="BN1376"/>
      <c r="BO1376"/>
      <c r="BP1376"/>
      <c r="BQ1376"/>
      <c r="BR1376"/>
    </row>
    <row r="1377" spans="1:70" s="369" customFormat="1" x14ac:dyDescent="0.2">
      <c r="A1377" s="411"/>
      <c r="B1377" s="342" t="s">
        <v>588</v>
      </c>
      <c r="C1377" s="9"/>
      <c r="D1377" s="321"/>
      <c r="E1377" s="321"/>
      <c r="F1377" s="321"/>
      <c r="G1377" s="385">
        <f t="shared" ref="G1377:X1377" si="3249">G1361</f>
        <v>171</v>
      </c>
      <c r="H1377" s="385">
        <f t="shared" si="3249"/>
        <v>164</v>
      </c>
      <c r="I1377" s="385">
        <f t="shared" si="3249"/>
        <v>161</v>
      </c>
      <c r="J1377" s="385">
        <f t="shared" si="3249"/>
        <v>172</v>
      </c>
      <c r="K1377" s="385">
        <f t="shared" si="3249"/>
        <v>182</v>
      </c>
      <c r="L1377" s="385">
        <f t="shared" si="3249"/>
        <v>177</v>
      </c>
      <c r="M1377" s="385">
        <f t="shared" si="3249"/>
        <v>183</v>
      </c>
      <c r="N1377" s="385">
        <f t="shared" si="3249"/>
        <v>172</v>
      </c>
      <c r="O1377" s="385">
        <f t="shared" si="3249"/>
        <v>165</v>
      </c>
      <c r="P1377" s="385">
        <f t="shared" si="3249"/>
        <v>146</v>
      </c>
      <c r="Q1377" s="385">
        <f t="shared" si="3249"/>
        <v>146</v>
      </c>
      <c r="R1377" s="385">
        <f t="shared" si="3249"/>
        <v>147</v>
      </c>
      <c r="S1377" s="385">
        <f t="shared" si="3249"/>
        <v>145</v>
      </c>
      <c r="T1377" s="385">
        <f t="shared" si="3249"/>
        <v>143</v>
      </c>
      <c r="U1377" s="385">
        <f t="shared" si="3249"/>
        <v>134</v>
      </c>
      <c r="V1377" s="385">
        <f t="shared" si="3249"/>
        <v>140</v>
      </c>
      <c r="W1377" s="385">
        <f t="shared" si="3249"/>
        <v>129</v>
      </c>
      <c r="X1377" s="385">
        <f t="shared" si="3249"/>
        <v>133</v>
      </c>
      <c r="Y1377" s="385">
        <f t="shared" ref="Y1377:Z1377" si="3250">Y1361</f>
        <v>143</v>
      </c>
      <c r="Z1377" s="385">
        <f t="shared" si="3250"/>
        <v>144</v>
      </c>
      <c r="AA1377" s="385">
        <f t="shared" ref="AA1377:AB1377" si="3251">AA1361</f>
        <v>153</v>
      </c>
      <c r="AB1377" s="385">
        <f t="shared" si="3251"/>
        <v>140</v>
      </c>
      <c r="AC1377" s="515">
        <f t="shared" ref="AC1377:AE1377" si="3252">AC1378*AC1379</f>
        <v>140</v>
      </c>
      <c r="AD1377" s="515">
        <f t="shared" si="3252"/>
        <v>140</v>
      </c>
      <c r="AE1377" s="515">
        <f t="shared" si="3252"/>
        <v>140</v>
      </c>
      <c r="AF1377" s="515">
        <f t="shared" ref="AF1377:AI1377" si="3253">AF1378*AF1379</f>
        <v>140</v>
      </c>
      <c r="AG1377" s="515">
        <f t="shared" si="3253"/>
        <v>140</v>
      </c>
      <c r="AH1377" s="515">
        <f t="shared" si="3253"/>
        <v>140</v>
      </c>
      <c r="AI1377" s="515">
        <f t="shared" si="3253"/>
        <v>140</v>
      </c>
      <c r="AJ1377" s="515"/>
      <c r="AK1377" s="515"/>
      <c r="AL1377" s="515"/>
      <c r="AM1377" s="515"/>
      <c r="AN1377" s="515"/>
      <c r="AO1377" s="515"/>
      <c r="AP1377" s="515"/>
      <c r="AQ1377" s="515"/>
      <c r="AR1377" s="70"/>
      <c r="AS1377" s="342" t="s">
        <v>588</v>
      </c>
      <c r="AT1377" s="9"/>
      <c r="AU1377" s="635">
        <f>G1377</f>
        <v>171</v>
      </c>
      <c r="AV1377" s="635">
        <f>K1377</f>
        <v>182</v>
      </c>
      <c r="AW1377" s="635">
        <f>O1377</f>
        <v>165</v>
      </c>
      <c r="AX1377" s="635">
        <f>S1377</f>
        <v>145</v>
      </c>
      <c r="AY1377" s="635">
        <f>W1377</f>
        <v>129</v>
      </c>
      <c r="AZ1377" s="379">
        <f>AA1377</f>
        <v>153</v>
      </c>
      <c r="BA1377" s="379">
        <f>AE1377</f>
        <v>140</v>
      </c>
      <c r="BB1377" s="379">
        <f>AI1377</f>
        <v>140</v>
      </c>
      <c r="BC1377" s="515">
        <f>BC1378*BC1379</f>
        <v>140</v>
      </c>
      <c r="BD1377" s="515">
        <f>BD1378*BD1379</f>
        <v>140</v>
      </c>
      <c r="BE1377" s="515">
        <f>BE1378*BE1379</f>
        <v>140</v>
      </c>
      <c r="BM1377"/>
      <c r="BN1377"/>
      <c r="BO1377"/>
      <c r="BP1377"/>
      <c r="BQ1377"/>
      <c r="BR1377"/>
    </row>
    <row r="1378" spans="1:70" s="369" customFormat="1" x14ac:dyDescent="0.2">
      <c r="A1378" s="411"/>
      <c r="B1378" s="342" t="s">
        <v>97</v>
      </c>
      <c r="C1378" s="9"/>
      <c r="D1378" s="321"/>
      <c r="E1378" s="321"/>
      <c r="F1378" s="321"/>
      <c r="G1378" s="385">
        <f t="shared" ref="G1378:AE1378" si="3254">G871</f>
        <v>1948</v>
      </c>
      <c r="H1378" s="385">
        <f t="shared" si="3254"/>
        <v>1980</v>
      </c>
      <c r="I1378" s="385">
        <f t="shared" si="3254"/>
        <v>1900</v>
      </c>
      <c r="J1378" s="385">
        <f t="shared" si="3254"/>
        <v>1893</v>
      </c>
      <c r="K1378" s="385">
        <f t="shared" si="3254"/>
        <v>1794</v>
      </c>
      <c r="L1378" s="385">
        <f t="shared" si="3254"/>
        <v>1780</v>
      </c>
      <c r="M1378" s="385">
        <f t="shared" si="3254"/>
        <v>1737</v>
      </c>
      <c r="N1378" s="385">
        <f t="shared" si="3254"/>
        <v>1619</v>
      </c>
      <c r="O1378" s="385">
        <f t="shared" si="3254"/>
        <v>1511</v>
      </c>
      <c r="P1378" s="385">
        <f t="shared" si="3254"/>
        <v>1403</v>
      </c>
      <c r="Q1378" s="385">
        <f t="shared" si="3254"/>
        <v>1385</v>
      </c>
      <c r="R1378" s="385">
        <f t="shared" si="3254"/>
        <v>1289</v>
      </c>
      <c r="S1378" s="385">
        <f t="shared" si="3254"/>
        <v>1235</v>
      </c>
      <c r="T1378" s="385">
        <f t="shared" si="3254"/>
        <v>1239</v>
      </c>
      <c r="U1378" s="385">
        <f t="shared" si="3254"/>
        <v>1133</v>
      </c>
      <c r="V1378" s="385">
        <f t="shared" si="3254"/>
        <v>1115</v>
      </c>
      <c r="W1378" s="385">
        <f t="shared" si="3254"/>
        <v>1023</v>
      </c>
      <c r="X1378" s="385">
        <f t="shared" si="3254"/>
        <v>865</v>
      </c>
      <c r="Y1378" s="385">
        <f t="shared" ref="Y1378:Z1378" si="3255">Y871</f>
        <v>1088</v>
      </c>
      <c r="Z1378" s="385">
        <f t="shared" si="3255"/>
        <v>988</v>
      </c>
      <c r="AA1378" s="385">
        <f t="shared" ref="AA1378:AB1378" si="3256">AA871</f>
        <v>1526</v>
      </c>
      <c r="AB1378" s="385">
        <f t="shared" si="3256"/>
        <v>951</v>
      </c>
      <c r="AC1378" s="385">
        <f t="shared" si="3254"/>
        <v>951</v>
      </c>
      <c r="AD1378" s="385">
        <f t="shared" si="3254"/>
        <v>951</v>
      </c>
      <c r="AE1378" s="385">
        <f t="shared" si="3254"/>
        <v>951</v>
      </c>
      <c r="AF1378" s="385">
        <f t="shared" ref="AF1378:AI1378" si="3257">AF871</f>
        <v>951</v>
      </c>
      <c r="AG1378" s="385">
        <f t="shared" si="3257"/>
        <v>951</v>
      </c>
      <c r="AH1378" s="385">
        <f t="shared" si="3257"/>
        <v>951</v>
      </c>
      <c r="AI1378" s="385">
        <f t="shared" si="3257"/>
        <v>951</v>
      </c>
      <c r="AJ1378" s="385"/>
      <c r="AK1378" s="385"/>
      <c r="AL1378" s="385"/>
      <c r="AM1378" s="385"/>
      <c r="AN1378" s="385"/>
      <c r="AO1378" s="385"/>
      <c r="AP1378" s="385"/>
      <c r="AQ1378" s="385"/>
      <c r="AR1378" s="70"/>
      <c r="AS1378" s="342" t="s">
        <v>97</v>
      </c>
      <c r="AT1378" s="9"/>
      <c r="AU1378" s="635">
        <f>G1378</f>
        <v>1948</v>
      </c>
      <c r="AV1378" s="635">
        <f>K1378</f>
        <v>1794</v>
      </c>
      <c r="AW1378" s="635">
        <f>O1378</f>
        <v>1511</v>
      </c>
      <c r="AX1378" s="635">
        <f>S1378</f>
        <v>1235</v>
      </c>
      <c r="AY1378" s="635">
        <f>W1378</f>
        <v>1023</v>
      </c>
      <c r="AZ1378" s="379">
        <f>AA1378</f>
        <v>1526</v>
      </c>
      <c r="BA1378" s="379">
        <f>AE1378</f>
        <v>951</v>
      </c>
      <c r="BB1378" s="379">
        <f>AI1378</f>
        <v>951</v>
      </c>
      <c r="BC1378" s="385">
        <f>BC871</f>
        <v>951</v>
      </c>
      <c r="BD1378" s="385">
        <f>BD871</f>
        <v>951</v>
      </c>
      <c r="BE1378" s="385">
        <f>BE871</f>
        <v>951</v>
      </c>
      <c r="BM1378"/>
      <c r="BN1378"/>
      <c r="BO1378"/>
      <c r="BP1378"/>
      <c r="BQ1378"/>
      <c r="BR1378"/>
    </row>
    <row r="1379" spans="1:70" s="369" customFormat="1" x14ac:dyDescent="0.2">
      <c r="A1379" s="411"/>
      <c r="B1379" s="342" t="s">
        <v>589</v>
      </c>
      <c r="C1379" s="9"/>
      <c r="D1379" s="321"/>
      <c r="E1379" s="321"/>
      <c r="F1379" s="321"/>
      <c r="G1379" s="456">
        <f t="shared" ref="G1379:X1379" si="3258">G1377/G1378</f>
        <v>8.7782340862422994E-2</v>
      </c>
      <c r="H1379" s="456">
        <f t="shared" si="3258"/>
        <v>8.2828282828282834E-2</v>
      </c>
      <c r="I1379" s="456">
        <f t="shared" si="3258"/>
        <v>8.4736842105263152E-2</v>
      </c>
      <c r="J1379" s="456">
        <f t="shared" si="3258"/>
        <v>9.0861067089276285E-2</v>
      </c>
      <c r="K1379" s="456">
        <f t="shared" si="3258"/>
        <v>0.10144927536231885</v>
      </c>
      <c r="L1379" s="456">
        <f t="shared" si="3258"/>
        <v>9.9438202247191007E-2</v>
      </c>
      <c r="M1379" s="456">
        <f t="shared" si="3258"/>
        <v>0.10535405872193437</v>
      </c>
      <c r="N1379" s="456">
        <f t="shared" si="3258"/>
        <v>0.10623841877702285</v>
      </c>
      <c r="O1379" s="456">
        <f t="shared" si="3258"/>
        <v>0.10919920582395765</v>
      </c>
      <c r="P1379" s="456">
        <f t="shared" si="3258"/>
        <v>0.10406272273699216</v>
      </c>
      <c r="Q1379" s="456">
        <f t="shared" si="3258"/>
        <v>0.10541516245487365</v>
      </c>
      <c r="R1379" s="456">
        <f t="shared" si="3258"/>
        <v>0.11404189294026378</v>
      </c>
      <c r="S1379" s="456">
        <f t="shared" si="3258"/>
        <v>0.11740890688259109</v>
      </c>
      <c r="T1379" s="456">
        <f t="shared" si="3258"/>
        <v>0.11541565778853914</v>
      </c>
      <c r="U1379" s="456">
        <f t="shared" si="3258"/>
        <v>0.11827007943512798</v>
      </c>
      <c r="V1379" s="456">
        <f t="shared" si="3258"/>
        <v>0.12556053811659193</v>
      </c>
      <c r="W1379" s="456">
        <f t="shared" si="3258"/>
        <v>0.12609970674486803</v>
      </c>
      <c r="X1379" s="456">
        <f t="shared" si="3258"/>
        <v>0.15375722543352602</v>
      </c>
      <c r="Y1379" s="456">
        <f t="shared" ref="Y1379:Z1379" si="3259">Y1377/Y1378</f>
        <v>0.13143382352941177</v>
      </c>
      <c r="Z1379" s="456">
        <f t="shared" si="3259"/>
        <v>0.145748987854251</v>
      </c>
      <c r="AA1379" s="456">
        <f t="shared" ref="AA1379:AB1379" si="3260">AA1377/AA1378</f>
        <v>0.10026212319790301</v>
      </c>
      <c r="AB1379" s="456">
        <f t="shared" si="3260"/>
        <v>0.14721345951629863</v>
      </c>
      <c r="AC1379" s="264">
        <f t="shared" ref="AC1379:AE1379" si="3261">AB1379</f>
        <v>0.14721345951629863</v>
      </c>
      <c r="AD1379" s="264">
        <f t="shared" si="3261"/>
        <v>0.14721345951629863</v>
      </c>
      <c r="AE1379" s="264">
        <f t="shared" si="3261"/>
        <v>0.14721345951629863</v>
      </c>
      <c r="AF1379" s="264">
        <f t="shared" ref="AF1379" si="3262">AE1379</f>
        <v>0.14721345951629863</v>
      </c>
      <c r="AG1379" s="264">
        <f t="shared" ref="AG1379" si="3263">AF1379</f>
        <v>0.14721345951629863</v>
      </c>
      <c r="AH1379" s="264">
        <f t="shared" ref="AH1379" si="3264">AG1379</f>
        <v>0.14721345951629863</v>
      </c>
      <c r="AI1379" s="264">
        <f t="shared" ref="AI1379" si="3265">AH1379</f>
        <v>0.14721345951629863</v>
      </c>
      <c r="AJ1379" s="264"/>
      <c r="AK1379" s="264"/>
      <c r="AL1379" s="264"/>
      <c r="AM1379" s="264"/>
      <c r="AN1379" s="264"/>
      <c r="AO1379" s="264"/>
      <c r="AP1379" s="264"/>
      <c r="AQ1379" s="264"/>
      <c r="AR1379" s="70"/>
      <c r="AS1379" s="342" t="s">
        <v>589</v>
      </c>
      <c r="AT1379" s="9"/>
      <c r="AU1379" s="456">
        <f t="shared" ref="AU1379:BA1379" si="3266">AU1377/AU1378</f>
        <v>8.7782340862422994E-2</v>
      </c>
      <c r="AV1379" s="456">
        <f t="shared" si="3266"/>
        <v>0.10144927536231885</v>
      </c>
      <c r="AW1379" s="456">
        <f t="shared" si="3266"/>
        <v>0.10919920582395765</v>
      </c>
      <c r="AX1379" s="456">
        <f t="shared" si="3266"/>
        <v>0.11740890688259109</v>
      </c>
      <c r="AY1379" s="456">
        <f t="shared" si="3266"/>
        <v>0.12609970674486803</v>
      </c>
      <c r="AZ1379" s="456">
        <f t="shared" si="3266"/>
        <v>0.10026212319790301</v>
      </c>
      <c r="BA1379" s="456">
        <f t="shared" si="3266"/>
        <v>0.14721345951629863</v>
      </c>
      <c r="BB1379" s="456">
        <f t="shared" ref="BB1379" si="3267">BB1377/BB1378</f>
        <v>0.14721345951629863</v>
      </c>
      <c r="BC1379" s="264">
        <f>BB1379</f>
        <v>0.14721345951629863</v>
      </c>
      <c r="BD1379" s="264">
        <f>BC1379</f>
        <v>0.14721345951629863</v>
      </c>
      <c r="BE1379" s="264">
        <f>BD1379</f>
        <v>0.14721345951629863</v>
      </c>
      <c r="BM1379"/>
      <c r="BN1379"/>
      <c r="BO1379"/>
      <c r="BP1379"/>
      <c r="BQ1379"/>
      <c r="BR1379"/>
    </row>
    <row r="1380" spans="1:70" s="369" customFormat="1" x14ac:dyDescent="0.2">
      <c r="A1380" s="411"/>
      <c r="B1380" s="342" t="s">
        <v>1147</v>
      </c>
      <c r="C1380" s="15"/>
      <c r="D1380" s="321"/>
      <c r="E1380" s="321"/>
      <c r="F1380" s="321"/>
      <c r="G1380" s="377">
        <f>G1298/G1388</f>
        <v>2.1246952281435039E-3</v>
      </c>
      <c r="H1380" s="377">
        <f t="shared" ref="H1380:AE1380" si="3268">H1298/H1388</f>
        <v>2.633405891206842E-3</v>
      </c>
      <c r="I1380" s="377">
        <f t="shared" si="3268"/>
        <v>3.6774059254804912E-3</v>
      </c>
      <c r="J1380" s="377">
        <f t="shared" si="3268"/>
        <v>4.5248126815577855E-3</v>
      </c>
      <c r="K1380" s="377">
        <f t="shared" si="3268"/>
        <v>5.6839510630203221E-3</v>
      </c>
      <c r="L1380" s="377">
        <f t="shared" si="3268"/>
        <v>5.7279668098526105E-3</v>
      </c>
      <c r="M1380" s="377">
        <f t="shared" si="3268"/>
        <v>7.0016278316267777E-3</v>
      </c>
      <c r="N1380" s="377">
        <f t="shared" si="3268"/>
        <v>6.8896639675491292E-3</v>
      </c>
      <c r="O1380" s="377">
        <f t="shared" si="3268"/>
        <v>8.0983749869449669E-3</v>
      </c>
      <c r="P1380" s="377">
        <f t="shared" si="3268"/>
        <v>9.3226293429135403E-3</v>
      </c>
      <c r="Q1380" s="377">
        <f t="shared" si="3268"/>
        <v>1.0924508424494737E-2</v>
      </c>
      <c r="R1380" s="377">
        <f t="shared" si="3268"/>
        <v>1.2130990463724609E-2</v>
      </c>
      <c r="S1380" s="377">
        <f t="shared" si="3268"/>
        <v>1.3745224155352769E-2</v>
      </c>
      <c r="T1380" s="377">
        <f t="shared" si="3268"/>
        <v>1.4321844180465079E-2</v>
      </c>
      <c r="U1380" s="377">
        <f t="shared" si="3268"/>
        <v>1.561658458084318E-2</v>
      </c>
      <c r="V1380" s="377">
        <f t="shared" si="3268"/>
        <v>1.5674726427053049E-2</v>
      </c>
      <c r="W1380" s="377">
        <f t="shared" si="3268"/>
        <v>1.6183343420079349E-2</v>
      </c>
      <c r="X1380" s="377">
        <f t="shared" si="3268"/>
        <v>1.6160020547307068E-2</v>
      </c>
      <c r="Y1380" s="377">
        <f t="shared" ref="Y1380:Z1380" si="3269">Y1298/Y1388</f>
        <v>1.6203951128082164E-2</v>
      </c>
      <c r="Z1380" s="377">
        <f t="shared" si="3269"/>
        <v>1.6275853440390627E-2</v>
      </c>
      <c r="AA1380" s="377">
        <f t="shared" ref="AA1380:AB1380" si="3270">AA1298/AA1388</f>
        <v>1.696502840869038E-2</v>
      </c>
      <c r="AB1380" s="377">
        <f t="shared" si="3270"/>
        <v>1.6247667514843089E-2</v>
      </c>
      <c r="AC1380" s="377">
        <f t="shared" si="3268"/>
        <v>1.6271662168430873E-2</v>
      </c>
      <c r="AD1380" s="377">
        <f t="shared" si="3268"/>
        <v>1.6200074917099554E-2</v>
      </c>
      <c r="AE1380" s="377">
        <f t="shared" si="3268"/>
        <v>1.6105482423833865E-2</v>
      </c>
      <c r="AF1380" s="377">
        <f t="shared" ref="AF1380:AI1380" si="3271">AF1298/AF1388</f>
        <v>1.7826216004026403E-2</v>
      </c>
      <c r="AG1380" s="377">
        <f t="shared" si="3271"/>
        <v>1.7692658472138283E-2</v>
      </c>
      <c r="AH1380" s="377">
        <f t="shared" si="3271"/>
        <v>1.7516875611252619E-2</v>
      </c>
      <c r="AI1380" s="377">
        <f t="shared" si="3271"/>
        <v>1.7316782199019005E-2</v>
      </c>
      <c r="AJ1380" s="377"/>
      <c r="AK1380" s="377"/>
      <c r="AL1380" s="377"/>
      <c r="AM1380" s="377"/>
      <c r="AN1380" s="377"/>
      <c r="AO1380" s="377"/>
      <c r="AP1380" s="377"/>
      <c r="AQ1380" s="377"/>
      <c r="AR1380" s="70"/>
      <c r="AS1380" s="342" t="s">
        <v>1147</v>
      </c>
      <c r="AT1380" s="15"/>
      <c r="AU1380" s="377">
        <f t="shared" ref="AU1380:BD1380" si="3272">AU1298/AU1388</f>
        <v>2.1246952281435039E-3</v>
      </c>
      <c r="AV1380" s="377">
        <f t="shared" si="3272"/>
        <v>5.6839510630203221E-3</v>
      </c>
      <c r="AW1380" s="377">
        <f t="shared" si="3272"/>
        <v>8.0983749869449669E-3</v>
      </c>
      <c r="AX1380" s="377">
        <f t="shared" si="3272"/>
        <v>1.3745224155352769E-2</v>
      </c>
      <c r="AY1380" s="377">
        <f t="shared" si="3272"/>
        <v>1.6183343420079349E-2</v>
      </c>
      <c r="AZ1380" s="377">
        <f t="shared" si="3272"/>
        <v>1.696502840869038E-2</v>
      </c>
      <c r="BA1380" s="377">
        <f t="shared" si="3272"/>
        <v>1.6105482423833865E-2</v>
      </c>
      <c r="BB1380" s="377">
        <f t="shared" ref="BB1380" si="3273">BB1298/BB1388</f>
        <v>1.7316782199019005E-2</v>
      </c>
      <c r="BC1380" s="377">
        <f t="shared" si="3272"/>
        <v>1.6875448981202405E-2</v>
      </c>
      <c r="BD1380" s="377">
        <f t="shared" si="3272"/>
        <v>1.6333309454702013E-2</v>
      </c>
      <c r="BE1380" s="377">
        <f t="shared" ref="BE1380" si="3274">BE1298/BE1388</f>
        <v>1.5830829188016211E-2</v>
      </c>
      <c r="BM1380"/>
      <c r="BN1380"/>
      <c r="BO1380"/>
      <c r="BP1380"/>
      <c r="BQ1380"/>
      <c r="BR1380"/>
    </row>
    <row r="1381" spans="1:70" s="369" customFormat="1" x14ac:dyDescent="0.2">
      <c r="A1381" s="411"/>
      <c r="B1381" s="345"/>
      <c r="C1381" s="9"/>
      <c r="D1381" s="321"/>
      <c r="E1381" s="321"/>
      <c r="F1381" s="321"/>
      <c r="G1381" s="385"/>
      <c r="H1381" s="385"/>
      <c r="I1381" s="385"/>
      <c r="J1381" s="385"/>
      <c r="K1381" s="385"/>
      <c r="L1381" s="385"/>
      <c r="M1381" s="385"/>
      <c r="N1381" s="385"/>
      <c r="O1381" s="385"/>
      <c r="P1381" s="385"/>
      <c r="Q1381" s="385"/>
      <c r="R1381" s="385"/>
      <c r="S1381" s="385"/>
      <c r="T1381" s="385"/>
      <c r="U1381" s="385"/>
      <c r="V1381" s="385"/>
      <c r="W1381" s="385"/>
      <c r="X1381" s="321"/>
      <c r="Y1381" s="321"/>
      <c r="Z1381" s="321"/>
      <c r="AA1381" s="321"/>
      <c r="AB1381" s="321"/>
      <c r="AC1381" s="516"/>
      <c r="AD1381" s="516"/>
      <c r="AE1381" s="516"/>
      <c r="AF1381" s="516"/>
      <c r="AG1381" s="516"/>
      <c r="AH1381" s="516"/>
      <c r="AI1381" s="516"/>
      <c r="AJ1381" s="516"/>
      <c r="AK1381" s="516"/>
      <c r="AL1381" s="516"/>
      <c r="AM1381" s="516"/>
      <c r="AN1381" s="516"/>
      <c r="AO1381" s="516"/>
      <c r="AP1381" s="516"/>
      <c r="AQ1381" s="516"/>
      <c r="AR1381" s="70"/>
      <c r="AS1381" s="345"/>
      <c r="AT1381" s="9"/>
      <c r="AU1381" s="516"/>
      <c r="AV1381" s="516"/>
      <c r="AX1381" s="663"/>
      <c r="AY1381" s="382"/>
      <c r="AZ1381" s="747"/>
      <c r="BC1381" s="516"/>
      <c r="BD1381" s="516"/>
      <c r="BE1381" s="516"/>
      <c r="BM1381"/>
      <c r="BN1381"/>
      <c r="BO1381"/>
      <c r="BP1381"/>
      <c r="BQ1381"/>
      <c r="BR1381"/>
    </row>
    <row r="1382" spans="1:70" s="799" customFormat="1" x14ac:dyDescent="0.2">
      <c r="A1382" s="411"/>
      <c r="B1382" s="341" t="s">
        <v>679</v>
      </c>
      <c r="C1382" s="323"/>
      <c r="D1382" s="418"/>
      <c r="E1382" s="418"/>
      <c r="F1382" s="418"/>
      <c r="G1382" s="796"/>
      <c r="H1382" s="796"/>
      <c r="I1382" s="796"/>
      <c r="J1382" s="796"/>
      <c r="K1382" s="796"/>
      <c r="L1382" s="796"/>
      <c r="M1382" s="796"/>
      <c r="N1382" s="796"/>
      <c r="O1382" s="796"/>
      <c r="P1382" s="796"/>
      <c r="Q1382" s="796"/>
      <c r="R1382" s="796"/>
      <c r="S1382" s="796"/>
      <c r="T1382" s="796"/>
      <c r="U1382" s="796"/>
      <c r="V1382" s="796"/>
      <c r="W1382" s="796"/>
      <c r="X1382" s="418"/>
      <c r="Y1382" s="418"/>
      <c r="Z1382" s="418"/>
      <c r="AA1382" s="418"/>
      <c r="AB1382" s="797"/>
      <c r="AC1382" s="798"/>
      <c r="AD1382" s="798"/>
      <c r="AE1382" s="798"/>
      <c r="AF1382" s="798"/>
      <c r="AG1382" s="798"/>
      <c r="AH1382" s="798"/>
      <c r="AI1382" s="798"/>
      <c r="AJ1382" s="798"/>
      <c r="AK1382" s="798"/>
      <c r="AL1382" s="798"/>
      <c r="AM1382" s="798"/>
      <c r="AN1382" s="798"/>
      <c r="AO1382" s="798"/>
      <c r="AP1382" s="798"/>
      <c r="AQ1382" s="798"/>
      <c r="AR1382" s="70"/>
      <c r="AS1382" s="341" t="s">
        <v>447</v>
      </c>
      <c r="AT1382" s="323"/>
      <c r="AU1382" s="798"/>
      <c r="AV1382" s="798"/>
      <c r="AX1382" s="800"/>
      <c r="AY1382" s="801"/>
      <c r="AZ1382" s="802"/>
      <c r="BC1382" s="798"/>
      <c r="BD1382" s="798"/>
      <c r="BE1382" s="798"/>
      <c r="BF1382" s="369"/>
      <c r="BG1382" s="369"/>
      <c r="BH1382" s="369"/>
      <c r="BI1382" s="369"/>
      <c r="BJ1382" s="369"/>
      <c r="BK1382" s="369"/>
      <c r="BL1382" s="369"/>
      <c r="BM1382"/>
      <c r="BN1382"/>
      <c r="BO1382"/>
      <c r="BP1382"/>
      <c r="BQ1382"/>
      <c r="BR1382"/>
    </row>
    <row r="1383" spans="1:70" s="369" customFormat="1" x14ac:dyDescent="0.2">
      <c r="A1383" s="411"/>
      <c r="B1383" s="346" t="s">
        <v>445</v>
      </c>
      <c r="C1383" s="9"/>
      <c r="D1383" s="321"/>
      <c r="E1383" s="321"/>
      <c r="F1383" s="321"/>
      <c r="G1383" s="385">
        <f t="shared" ref="G1383:AE1383" si="3275">G1371</f>
        <v>105140</v>
      </c>
      <c r="H1383" s="385">
        <f t="shared" si="3275"/>
        <v>110958</v>
      </c>
      <c r="I1383" s="385">
        <f t="shared" si="3275"/>
        <v>116995</v>
      </c>
      <c r="J1383" s="385">
        <f t="shared" si="3275"/>
        <v>121321</v>
      </c>
      <c r="K1383" s="385">
        <f t="shared" si="3275"/>
        <v>125349</v>
      </c>
      <c r="L1383" s="385">
        <f t="shared" si="3275"/>
        <v>131685</v>
      </c>
      <c r="M1383" s="385">
        <f t="shared" si="3275"/>
        <v>135338</v>
      </c>
      <c r="N1383" s="385">
        <f t="shared" si="3275"/>
        <v>138547</v>
      </c>
      <c r="O1383" s="385">
        <f t="shared" si="3275"/>
        <v>136597</v>
      </c>
      <c r="P1383" s="385">
        <f t="shared" si="3275"/>
        <v>141945</v>
      </c>
      <c r="Q1383" s="385">
        <f t="shared" si="3275"/>
        <v>145435</v>
      </c>
      <c r="R1383" s="385">
        <f t="shared" si="3275"/>
        <v>146451</v>
      </c>
      <c r="S1383" s="385">
        <f t="shared" si="3275"/>
        <v>146865</v>
      </c>
      <c r="T1383" s="385">
        <f t="shared" si="3275"/>
        <v>153023</v>
      </c>
      <c r="U1383" s="385">
        <f t="shared" si="3275"/>
        <v>154534</v>
      </c>
      <c r="V1383" s="385">
        <f t="shared" si="3275"/>
        <v>155132</v>
      </c>
      <c r="W1383" s="385">
        <f t="shared" si="3275"/>
        <v>149516</v>
      </c>
      <c r="X1383" s="385">
        <f t="shared" si="3275"/>
        <v>152664</v>
      </c>
      <c r="Y1383" s="385">
        <f t="shared" ref="Y1383:Z1383" si="3276">Y1371</f>
        <v>155174</v>
      </c>
      <c r="Z1383" s="385">
        <f t="shared" si="3276"/>
        <v>153534</v>
      </c>
      <c r="AA1383" s="385">
        <f t="shared" ref="AA1383:AB1383" si="3277">AA1371</f>
        <v>142822</v>
      </c>
      <c r="AB1383" s="385">
        <f t="shared" si="3277"/>
        <v>144127</v>
      </c>
      <c r="AC1383" s="385">
        <f t="shared" si="3275"/>
        <v>145395.4111395824</v>
      </c>
      <c r="AD1383" s="385">
        <f t="shared" si="3275"/>
        <v>143535.93029183263</v>
      </c>
      <c r="AE1383" s="385">
        <f t="shared" si="3275"/>
        <v>141316.21326334373</v>
      </c>
      <c r="AF1383" s="385">
        <f t="shared" ref="AF1383:AI1383" si="3278">AF1371</f>
        <v>140525.06456501185</v>
      </c>
      <c r="AG1383" s="385">
        <f t="shared" si="3278"/>
        <v>139140.25676827141</v>
      </c>
      <c r="AH1383" s="385">
        <f t="shared" si="3278"/>
        <v>138087.10600127309</v>
      </c>
      <c r="AI1383" s="385">
        <f t="shared" si="3278"/>
        <v>136773.23030174992</v>
      </c>
      <c r="AJ1383" s="385"/>
      <c r="AK1383" s="385"/>
      <c r="AL1383" s="385"/>
      <c r="AM1383" s="385"/>
      <c r="AN1383" s="385"/>
      <c r="AO1383" s="385"/>
      <c r="AP1383" s="385"/>
      <c r="AQ1383" s="385"/>
      <c r="AR1383" s="70"/>
      <c r="AS1383" s="346" t="s">
        <v>445</v>
      </c>
      <c r="AT1383" s="9"/>
      <c r="AU1383" s="635">
        <f>G1383</f>
        <v>105140</v>
      </c>
      <c r="AV1383" s="635">
        <f>K1383</f>
        <v>125349</v>
      </c>
      <c r="AW1383" s="635">
        <f>O1383</f>
        <v>136597</v>
      </c>
      <c r="AX1383" s="635">
        <f>S1383</f>
        <v>146865</v>
      </c>
      <c r="AY1383" s="635">
        <f>W1383</f>
        <v>149516</v>
      </c>
      <c r="AZ1383" s="379">
        <f>AA1383</f>
        <v>142822</v>
      </c>
      <c r="BA1383" s="379">
        <f>AE1383</f>
        <v>141316.21326334373</v>
      </c>
      <c r="BB1383" s="379">
        <f>AI1383</f>
        <v>136773.23030174992</v>
      </c>
      <c r="BC1383" s="385">
        <f>BC1371</f>
        <v>139291.69404207653</v>
      </c>
      <c r="BD1383" s="385">
        <f>BD1371</f>
        <v>144820.11255943379</v>
      </c>
      <c r="BE1383" s="385">
        <f>BE1371</f>
        <v>150572.2541217088</v>
      </c>
      <c r="BM1383"/>
      <c r="BN1383"/>
      <c r="BO1383"/>
      <c r="BP1383"/>
      <c r="BQ1383"/>
      <c r="BR1383"/>
    </row>
    <row r="1384" spans="1:70" s="369" customFormat="1" x14ac:dyDescent="0.2">
      <c r="A1384" s="411"/>
      <c r="B1384" s="346" t="s">
        <v>440</v>
      </c>
      <c r="C1384" s="9"/>
      <c r="D1384" s="321"/>
      <c r="E1384" s="321"/>
      <c r="F1384" s="321"/>
      <c r="G1384" s="385"/>
      <c r="H1384" s="385"/>
      <c r="I1384" s="385">
        <f>I1465</f>
        <v>122429</v>
      </c>
      <c r="J1384" s="385">
        <f t="shared" ref="J1384:AE1384" si="3279">J1465</f>
        <v>127683</v>
      </c>
      <c r="K1384" s="385">
        <f t="shared" si="3279"/>
        <v>133164</v>
      </c>
      <c r="L1384" s="385">
        <f t="shared" si="3279"/>
        <v>139964</v>
      </c>
      <c r="M1384" s="385">
        <f t="shared" si="3279"/>
        <v>145350</v>
      </c>
      <c r="N1384" s="385">
        <f t="shared" si="3279"/>
        <v>148557</v>
      </c>
      <c r="O1384" s="385">
        <f t="shared" si="3279"/>
        <v>148066</v>
      </c>
      <c r="P1384" s="385">
        <f t="shared" si="3279"/>
        <v>154905</v>
      </c>
      <c r="Q1384" s="385">
        <f t="shared" si="3279"/>
        <v>160391</v>
      </c>
      <c r="R1384" s="385">
        <f t="shared" si="3279"/>
        <v>161999</v>
      </c>
      <c r="S1384" s="385">
        <f t="shared" si="3279"/>
        <v>164036</v>
      </c>
      <c r="T1384" s="385">
        <f t="shared" si="3279"/>
        <v>171142</v>
      </c>
      <c r="U1384" s="385">
        <f t="shared" si="3279"/>
        <v>174027</v>
      </c>
      <c r="V1384" s="385">
        <f t="shared" si="3279"/>
        <v>174760</v>
      </c>
      <c r="W1384" s="385">
        <f t="shared" si="3279"/>
        <v>169390</v>
      </c>
      <c r="X1384" s="385">
        <f>X1465</f>
        <v>172455</v>
      </c>
      <c r="Y1384" s="385">
        <f>Y1465</f>
        <v>175129</v>
      </c>
      <c r="Z1384" s="385">
        <f>Z1465</f>
        <v>172849</v>
      </c>
      <c r="AA1384" s="385">
        <f>AA1465</f>
        <v>162377</v>
      </c>
      <c r="AB1384" s="385">
        <f>AB1465</f>
        <v>163477</v>
      </c>
      <c r="AC1384" s="385">
        <f t="shared" si="3279"/>
        <v>164745.4111395824</v>
      </c>
      <c r="AD1384" s="385">
        <f t="shared" si="3279"/>
        <v>162885.93029183263</v>
      </c>
      <c r="AE1384" s="385">
        <f t="shared" si="3279"/>
        <v>160666.21326334373</v>
      </c>
      <c r="AF1384" s="385">
        <f t="shared" ref="AF1384:AI1384" si="3280">AF1465</f>
        <v>161895.31931548167</v>
      </c>
      <c r="AG1384" s="385">
        <f t="shared" si="3280"/>
        <v>160510.51151874123</v>
      </c>
      <c r="AH1384" s="385">
        <f t="shared" si="3280"/>
        <v>159457.3607517429</v>
      </c>
      <c r="AI1384" s="385">
        <f t="shared" si="3280"/>
        <v>158143.48505221974</v>
      </c>
      <c r="AJ1384" s="385"/>
      <c r="AK1384" s="385"/>
      <c r="AL1384" s="385"/>
      <c r="AM1384" s="385"/>
      <c r="AN1384" s="385"/>
      <c r="AO1384" s="385"/>
      <c r="AP1384" s="385"/>
      <c r="AQ1384" s="385"/>
      <c r="AR1384" s="70"/>
      <c r="AS1384" s="346" t="s">
        <v>440</v>
      </c>
      <c r="AT1384" s="9"/>
      <c r="AU1384" s="635">
        <f>G1384</f>
        <v>0</v>
      </c>
      <c r="AV1384" s="635">
        <f>K1384</f>
        <v>133164</v>
      </c>
      <c r="AW1384" s="635">
        <f>O1384</f>
        <v>148066</v>
      </c>
      <c r="AX1384" s="635">
        <f>S1384</f>
        <v>164036</v>
      </c>
      <c r="AY1384" s="635">
        <f>W1384</f>
        <v>169390</v>
      </c>
      <c r="AZ1384" s="379">
        <f>AA1384</f>
        <v>162377</v>
      </c>
      <c r="BA1384" s="379">
        <f>AE1384</f>
        <v>160666.21326334373</v>
      </c>
      <c r="BB1384" s="379">
        <f>AI1384</f>
        <v>158143.48505221974</v>
      </c>
      <c r="BC1384" s="385">
        <f>BC1465</f>
        <v>160661.94879254635</v>
      </c>
      <c r="BD1384" s="385">
        <f>BD1465</f>
        <v>166190.36730990361</v>
      </c>
      <c r="BE1384" s="385">
        <f>BE1465</f>
        <v>171942.50887217862</v>
      </c>
      <c r="BM1384"/>
      <c r="BN1384"/>
      <c r="BO1384"/>
      <c r="BP1384"/>
      <c r="BQ1384"/>
      <c r="BR1384"/>
    </row>
    <row r="1385" spans="1:70" s="369" customFormat="1" x14ac:dyDescent="0.2">
      <c r="A1385" s="411"/>
      <c r="B1385" s="346" t="s">
        <v>441</v>
      </c>
      <c r="C1385" s="9"/>
      <c r="D1385" s="321"/>
      <c r="E1385" s="321"/>
      <c r="F1385" s="321"/>
      <c r="G1385" s="515"/>
      <c r="H1385" s="515"/>
      <c r="I1385" s="515">
        <f t="shared" ref="I1385:X1385" si="3281">I1386-I1384</f>
        <v>26881.332100000029</v>
      </c>
      <c r="J1385" s="515">
        <f t="shared" si="3281"/>
        <v>24341.32640000002</v>
      </c>
      <c r="K1385" s="515">
        <f t="shared" si="3281"/>
        <v>16675.995200000005</v>
      </c>
      <c r="L1385" s="515">
        <f t="shared" si="3281"/>
        <v>17804.651600000012</v>
      </c>
      <c r="M1385" s="515">
        <f t="shared" si="3281"/>
        <v>17317.315000000002</v>
      </c>
      <c r="N1385" s="515">
        <f t="shared" si="3281"/>
        <v>17534.815999999992</v>
      </c>
      <c r="O1385" s="515">
        <f t="shared" si="3281"/>
        <v>17387.440000000002</v>
      </c>
      <c r="P1385" s="515">
        <f t="shared" si="3281"/>
        <v>16861.820399999997</v>
      </c>
      <c r="Q1385" s="515">
        <f t="shared" si="3281"/>
        <v>20402.050199999998</v>
      </c>
      <c r="R1385" s="515">
        <f t="shared" si="3281"/>
        <v>21154.05799999999</v>
      </c>
      <c r="S1385" s="515">
        <f t="shared" si="3281"/>
        <v>22054.380999999994</v>
      </c>
      <c r="T1385" s="515">
        <f t="shared" si="3281"/>
        <v>23595.232499999984</v>
      </c>
      <c r="U1385" s="515">
        <f t="shared" si="3281"/>
        <v>24832.6728</v>
      </c>
      <c r="V1385" s="515">
        <f t="shared" si="3281"/>
        <v>25941.44219999999</v>
      </c>
      <c r="W1385" s="515">
        <f t="shared" si="3281"/>
        <v>23814.031999999977</v>
      </c>
      <c r="X1385" s="515">
        <f t="shared" si="3281"/>
        <v>24363.784400000004</v>
      </c>
      <c r="Y1385" s="515">
        <f t="shared" ref="Y1385:Z1385" si="3282">Y1386-Y1384</f>
        <v>26027.673100000015</v>
      </c>
      <c r="Z1385" s="515">
        <f t="shared" si="3282"/>
        <v>27655.601000000024</v>
      </c>
      <c r="AA1385" s="515">
        <f t="shared" ref="AA1385:AB1385" si="3283">AA1386-AA1384</f>
        <v>22605.831999999995</v>
      </c>
      <c r="AB1385" s="515">
        <f t="shared" si="3283"/>
        <v>25163</v>
      </c>
      <c r="AC1385" s="515">
        <f t="shared" ref="AC1385:AE1385" si="3284">AB1385-((-AC841)-(-AB841))</f>
        <v>24986.265516794519</v>
      </c>
      <c r="AD1385" s="515">
        <f t="shared" si="3284"/>
        <v>24800.694381528527</v>
      </c>
      <c r="AE1385" s="515">
        <f t="shared" si="3284"/>
        <v>24598.717328486055</v>
      </c>
      <c r="AF1385" s="515">
        <f t="shared" ref="AF1385" si="3285">AE1385-((-AF841)-(-AE841))</f>
        <v>24415.316890843213</v>
      </c>
      <c r="AG1385" s="515">
        <f t="shared" ref="AG1385" si="3286">AF1385-((-AG841)-(-AF841))</f>
        <v>24217.474278628924</v>
      </c>
      <c r="AH1385" s="515">
        <f t="shared" ref="AH1385" si="3287">AG1385-((-AH841)-(-AG841))</f>
        <v>24006.921961766937</v>
      </c>
      <c r="AI1385" s="515">
        <f t="shared" ref="AI1385" si="3288">AH1385-((-AI841)-(-AH841))</f>
        <v>23786.428800309492</v>
      </c>
      <c r="AJ1385" s="515"/>
      <c r="AK1385" s="515"/>
      <c r="AL1385" s="515"/>
      <c r="AM1385" s="515"/>
      <c r="AN1385" s="515"/>
      <c r="AO1385" s="515"/>
      <c r="AP1385" s="515"/>
      <c r="AQ1385" s="515"/>
      <c r="AR1385" s="70"/>
      <c r="AS1385" s="346" t="s">
        <v>441</v>
      </c>
      <c r="AT1385" s="9"/>
      <c r="AU1385" s="635">
        <f>G1385</f>
        <v>0</v>
      </c>
      <c r="AV1385" s="635">
        <f>K1385</f>
        <v>16675.995200000005</v>
      </c>
      <c r="AW1385" s="635">
        <f>O1385</f>
        <v>17387.440000000002</v>
      </c>
      <c r="AX1385" s="635">
        <f>S1385</f>
        <v>22054.380999999994</v>
      </c>
      <c r="AY1385" s="635">
        <f>W1385</f>
        <v>23814.031999999977</v>
      </c>
      <c r="AZ1385" s="379">
        <f>AA1385</f>
        <v>22605.831999999995</v>
      </c>
      <c r="BA1385" s="379">
        <f>AE1385</f>
        <v>24598.717328486055</v>
      </c>
      <c r="BB1385" s="379">
        <f>AI1385</f>
        <v>23786.428800309492</v>
      </c>
      <c r="BC1385" s="515">
        <f>BB1385-((-BC841)-(-BB841))</f>
        <v>22867.088552021531</v>
      </c>
      <c r="BD1385" s="515">
        <f>BC1385-((-BD841)-(-BC841))</f>
        <v>21849.06733788726</v>
      </c>
      <c r="BE1385" s="515">
        <f>BD1385-((-BE841)-(-BD841))</f>
        <v>20719.682868557422</v>
      </c>
      <c r="BM1385"/>
      <c r="BN1385"/>
      <c r="BO1385"/>
      <c r="BP1385"/>
      <c r="BQ1385"/>
      <c r="BR1385"/>
    </row>
    <row r="1386" spans="1:70" s="369" customFormat="1" x14ac:dyDescent="0.2">
      <c r="A1386" s="411"/>
      <c r="B1386" s="87"/>
      <c r="C1386" s="9" t="s">
        <v>442</v>
      </c>
      <c r="D1386" s="321"/>
      <c r="E1386" s="321"/>
      <c r="F1386" s="321"/>
      <c r="G1386" s="385"/>
      <c r="H1386" s="385"/>
      <c r="I1386" s="385">
        <f t="shared" ref="I1386:X1386" si="3289">I1394*I$1388</f>
        <v>149310.33210000003</v>
      </c>
      <c r="J1386" s="385">
        <f t="shared" si="3289"/>
        <v>152024.32640000002</v>
      </c>
      <c r="K1386" s="385">
        <f t="shared" si="3289"/>
        <v>149839.9952</v>
      </c>
      <c r="L1386" s="385">
        <f t="shared" si="3289"/>
        <v>157768.65160000001</v>
      </c>
      <c r="M1386" s="385">
        <f t="shared" si="3289"/>
        <v>162667.315</v>
      </c>
      <c r="N1386" s="385">
        <f t="shared" si="3289"/>
        <v>166091.81599999999</v>
      </c>
      <c r="O1386" s="385">
        <f t="shared" si="3289"/>
        <v>165453.44</v>
      </c>
      <c r="P1386" s="385">
        <f t="shared" si="3289"/>
        <v>171766.8204</v>
      </c>
      <c r="Q1386" s="385">
        <f t="shared" si="3289"/>
        <v>180793.0502</v>
      </c>
      <c r="R1386" s="385">
        <f t="shared" si="3289"/>
        <v>183153.05799999999</v>
      </c>
      <c r="S1386" s="385">
        <f t="shared" si="3289"/>
        <v>186090.38099999999</v>
      </c>
      <c r="T1386" s="385">
        <f t="shared" si="3289"/>
        <v>194737.23249999998</v>
      </c>
      <c r="U1386" s="385">
        <f t="shared" si="3289"/>
        <v>198859.6728</v>
      </c>
      <c r="V1386" s="385">
        <f t="shared" si="3289"/>
        <v>200701.44219999999</v>
      </c>
      <c r="W1386" s="385">
        <f t="shared" si="3289"/>
        <v>193204.03199999998</v>
      </c>
      <c r="X1386" s="385">
        <f t="shared" si="3289"/>
        <v>196818.7844</v>
      </c>
      <c r="Y1386" s="385">
        <f t="shared" ref="Y1386:Z1386" si="3290">Y1394*Y$1388</f>
        <v>201156.67310000001</v>
      </c>
      <c r="Z1386" s="385">
        <f t="shared" si="3290"/>
        <v>200504.60100000002</v>
      </c>
      <c r="AA1386" s="385">
        <f t="shared" ref="AA1386:AB1386" si="3291">AA1394*AA$1388</f>
        <v>184982.83199999999</v>
      </c>
      <c r="AB1386" s="385">
        <f t="shared" si="3291"/>
        <v>188640</v>
      </c>
      <c r="AC1386" s="515">
        <f t="shared" ref="AC1386:AE1386" si="3292">SUM(AC1384:AC1385)</f>
        <v>189731.67665637692</v>
      </c>
      <c r="AD1386" s="515">
        <f t="shared" si="3292"/>
        <v>187686.62467336116</v>
      </c>
      <c r="AE1386" s="515">
        <f t="shared" si="3292"/>
        <v>185264.93059182979</v>
      </c>
      <c r="AF1386" s="515">
        <f t="shared" ref="AF1386:AI1386" si="3293">SUM(AF1384:AF1385)</f>
        <v>186310.63620632488</v>
      </c>
      <c r="AG1386" s="515">
        <f t="shared" si="3293"/>
        <v>184727.98579737014</v>
      </c>
      <c r="AH1386" s="515">
        <f t="shared" si="3293"/>
        <v>183464.28271350983</v>
      </c>
      <c r="AI1386" s="515">
        <f t="shared" si="3293"/>
        <v>181929.91385252922</v>
      </c>
      <c r="AJ1386" s="515"/>
      <c r="AK1386" s="515"/>
      <c r="AL1386" s="515"/>
      <c r="AM1386" s="515"/>
      <c r="AN1386" s="515"/>
      <c r="AO1386" s="515"/>
      <c r="AP1386" s="515"/>
      <c r="AQ1386" s="515"/>
      <c r="AR1386" s="70"/>
      <c r="AS1386" s="87"/>
      <c r="AT1386" s="9" t="s">
        <v>442</v>
      </c>
      <c r="AU1386" s="635">
        <f>G1386</f>
        <v>0</v>
      </c>
      <c r="AV1386" s="635">
        <f>K1386</f>
        <v>149839.9952</v>
      </c>
      <c r="AW1386" s="635">
        <f>O1386</f>
        <v>165453.44</v>
      </c>
      <c r="AX1386" s="635">
        <f>S1386</f>
        <v>186090.38099999999</v>
      </c>
      <c r="AY1386" s="635">
        <f>W1386</f>
        <v>193204.03199999998</v>
      </c>
      <c r="AZ1386" s="379">
        <f>AA1386</f>
        <v>184982.83199999999</v>
      </c>
      <c r="BA1386" s="379">
        <f>AE1386</f>
        <v>185264.93059182979</v>
      </c>
      <c r="BB1386" s="379">
        <f>AI1386</f>
        <v>181929.91385252922</v>
      </c>
      <c r="BC1386" s="515">
        <f>SUM(BC1384:BC1385)</f>
        <v>183529.03734456789</v>
      </c>
      <c r="BD1386" s="515">
        <f>SUM(BD1384:BD1385)</f>
        <v>188039.43464779085</v>
      </c>
      <c r="BE1386" s="515">
        <f>SUM(BE1384:BE1385)</f>
        <v>192662.19174073605</v>
      </c>
      <c r="BM1386"/>
      <c r="BN1386"/>
      <c r="BO1386"/>
      <c r="BP1386"/>
      <c r="BQ1386"/>
      <c r="BR1386"/>
    </row>
    <row r="1387" spans="1:70" s="369" customFormat="1" x14ac:dyDescent="0.2">
      <c r="A1387" s="411"/>
      <c r="B1387" s="87"/>
      <c r="C1387" s="1700" t="s">
        <v>1419</v>
      </c>
      <c r="D1387" s="1701">
        <f t="shared" ref="D1387:AD1387" si="3294">D1386</f>
        <v>0</v>
      </c>
      <c r="E1387" s="1701">
        <f t="shared" si="3294"/>
        <v>0</v>
      </c>
      <c r="F1387" s="1701">
        <f t="shared" si="3294"/>
        <v>0</v>
      </c>
      <c r="G1387" s="1701">
        <f t="shared" si="3294"/>
        <v>0</v>
      </c>
      <c r="H1387" s="1701">
        <f t="shared" si="3294"/>
        <v>0</v>
      </c>
      <c r="I1387" s="1701">
        <f t="shared" si="3294"/>
        <v>149310.33210000003</v>
      </c>
      <c r="J1387" s="1701">
        <f t="shared" si="3294"/>
        <v>152024.32640000002</v>
      </c>
      <c r="K1387" s="1701">
        <f t="shared" si="3294"/>
        <v>149839.9952</v>
      </c>
      <c r="L1387" s="1701">
        <f t="shared" si="3294"/>
        <v>157768.65160000001</v>
      </c>
      <c r="M1387" s="1701">
        <f t="shared" si="3294"/>
        <v>162667.315</v>
      </c>
      <c r="N1387" s="1701">
        <f t="shared" si="3294"/>
        <v>166091.81599999999</v>
      </c>
      <c r="O1387" s="1701">
        <f t="shared" si="3294"/>
        <v>165453.44</v>
      </c>
      <c r="P1387" s="1701">
        <f t="shared" si="3294"/>
        <v>171766.8204</v>
      </c>
      <c r="Q1387" s="1701">
        <f t="shared" si="3294"/>
        <v>180793.0502</v>
      </c>
      <c r="R1387" s="1701">
        <f t="shared" si="3294"/>
        <v>183153.05799999999</v>
      </c>
      <c r="S1387" s="1701">
        <f t="shared" si="3294"/>
        <v>186090.38099999999</v>
      </c>
      <c r="T1387" s="1701">
        <f t="shared" si="3294"/>
        <v>194737.23249999998</v>
      </c>
      <c r="U1387" s="1701">
        <f t="shared" si="3294"/>
        <v>198859.6728</v>
      </c>
      <c r="V1387" s="1701">
        <f t="shared" si="3294"/>
        <v>200701.44219999999</v>
      </c>
      <c r="W1387" s="1701">
        <f t="shared" si="3294"/>
        <v>193204.03199999998</v>
      </c>
      <c r="X1387" s="1701">
        <f t="shared" si="3294"/>
        <v>196818.7844</v>
      </c>
      <c r="Y1387" s="1701">
        <f t="shared" si="3294"/>
        <v>201156.67310000001</v>
      </c>
      <c r="Z1387" s="1701">
        <f t="shared" si="3294"/>
        <v>200504.60100000002</v>
      </c>
      <c r="AA1387" s="1701">
        <f t="shared" ref="AA1387:AB1387" si="3295">AA1386</f>
        <v>184982.83199999999</v>
      </c>
      <c r="AB1387" s="1701">
        <f t="shared" si="3295"/>
        <v>188640</v>
      </c>
      <c r="AC1387" s="1701">
        <f t="shared" si="3294"/>
        <v>189731.67665637692</v>
      </c>
      <c r="AD1387" s="1701">
        <f t="shared" si="3294"/>
        <v>187686.62467336116</v>
      </c>
      <c r="AE1387" s="1701">
        <f>AE1386</f>
        <v>185264.93059182979</v>
      </c>
      <c r="AF1387" s="1701">
        <f t="shared" ref="AF1387:AI1387" si="3296">AF1386</f>
        <v>186310.63620632488</v>
      </c>
      <c r="AG1387" s="1701">
        <f t="shared" si="3296"/>
        <v>184727.98579737014</v>
      </c>
      <c r="AH1387" s="1701">
        <f t="shared" si="3296"/>
        <v>183464.28271350983</v>
      </c>
      <c r="AI1387" s="1701">
        <f t="shared" si="3296"/>
        <v>181929.91385252922</v>
      </c>
      <c r="AJ1387" s="1701"/>
      <c r="AK1387" s="1701"/>
      <c r="AL1387" s="1701"/>
      <c r="AM1387" s="1701"/>
      <c r="AN1387" s="1701"/>
      <c r="AO1387" s="1701"/>
      <c r="AP1387" s="1701"/>
      <c r="AQ1387" s="1701"/>
      <c r="AR1387" s="70"/>
      <c r="AS1387" s="87"/>
      <c r="AT1387" s="1700" t="s">
        <v>1419</v>
      </c>
      <c r="AU1387" s="1701"/>
      <c r="AV1387" s="1701">
        <f t="shared" ref="AV1387:BC1387" si="3297">AV1386</f>
        <v>149839.9952</v>
      </c>
      <c r="AW1387" s="1701">
        <f t="shared" si="3297"/>
        <v>165453.44</v>
      </c>
      <c r="AX1387" s="1701">
        <f t="shared" si="3297"/>
        <v>186090.38099999999</v>
      </c>
      <c r="AY1387" s="1701">
        <f t="shared" si="3297"/>
        <v>193204.03199999998</v>
      </c>
      <c r="AZ1387" s="1701">
        <f t="shared" si="3297"/>
        <v>184982.83199999999</v>
      </c>
      <c r="BA1387" s="1701">
        <f t="shared" si="3297"/>
        <v>185264.93059182979</v>
      </c>
      <c r="BB1387" s="1701">
        <f t="shared" ref="BB1387" si="3298">BB1386</f>
        <v>181929.91385252922</v>
      </c>
      <c r="BC1387" s="1701">
        <f t="shared" si="3297"/>
        <v>183529.03734456789</v>
      </c>
      <c r="BD1387" s="1701">
        <f>BD1386</f>
        <v>188039.43464779085</v>
      </c>
      <c r="BE1387" s="1701">
        <f>BE1386</f>
        <v>192662.19174073605</v>
      </c>
      <c r="BM1387"/>
      <c r="BN1387"/>
      <c r="BO1387"/>
      <c r="BP1387"/>
      <c r="BQ1387"/>
      <c r="BR1387"/>
    </row>
    <row r="1388" spans="1:70" s="369" customFormat="1" x14ac:dyDescent="0.2">
      <c r="A1388" s="411"/>
      <c r="B1388" s="342" t="s">
        <v>125</v>
      </c>
      <c r="C1388" s="9"/>
      <c r="D1388" s="321"/>
      <c r="E1388" s="321"/>
      <c r="F1388" s="321"/>
      <c r="G1388" s="792">
        <v>1205820</v>
      </c>
      <c r="H1388" s="792">
        <v>1191233</v>
      </c>
      <c r="I1388" s="792">
        <v>1167399</v>
      </c>
      <c r="J1388" s="792">
        <v>1158722</v>
      </c>
      <c r="K1388" s="792">
        <v>1185443</v>
      </c>
      <c r="L1388" s="792">
        <v>1260133</v>
      </c>
      <c r="M1388" s="792">
        <v>1280845</v>
      </c>
      <c r="N1388" s="792">
        <v>1301660</v>
      </c>
      <c r="O1388" s="792">
        <v>1292605</v>
      </c>
      <c r="P1388" s="792">
        <v>1283758</v>
      </c>
      <c r="Q1388" s="792">
        <v>1278593</v>
      </c>
      <c r="R1388" s="792">
        <v>1254473</v>
      </c>
      <c r="S1388" s="792">
        <v>1216277</v>
      </c>
      <c r="T1388" s="792">
        <v>1239575</v>
      </c>
      <c r="U1388" s="792">
        <v>1232856</v>
      </c>
      <c r="V1388" s="792">
        <v>1228283</v>
      </c>
      <c r="W1388" s="792">
        <v>1189680</v>
      </c>
      <c r="X1388" s="792">
        <v>1191397</v>
      </c>
      <c r="Y1388" s="792">
        <v>1188167</v>
      </c>
      <c r="Z1388" s="792">
        <v>1182918</v>
      </c>
      <c r="AA1388" s="792">
        <v>1134864</v>
      </c>
      <c r="AB1388" s="1691">
        <v>1179000</v>
      </c>
      <c r="AC1388" s="515">
        <f t="shared" ref="AC1388:AE1388" si="3299">AC1389*AC846</f>
        <v>1177261.4132295048</v>
      </c>
      <c r="AD1388" s="515">
        <f t="shared" si="3299"/>
        <v>1182463.667484673</v>
      </c>
      <c r="AE1388" s="515">
        <f t="shared" si="3299"/>
        <v>1189408.6433357499</v>
      </c>
      <c r="AF1388" s="515">
        <f t="shared" ref="AF1388:AI1388" si="3300">AF1389*AF846</f>
        <v>1186791.4085199854</v>
      </c>
      <c r="AG1388" s="515">
        <f t="shared" si="3300"/>
        <v>1195750.2052795319</v>
      </c>
      <c r="AH1388" s="515">
        <f t="shared" si="3300"/>
        <v>1207749.6278165984</v>
      </c>
      <c r="AI1388" s="515">
        <f t="shared" si="3300"/>
        <v>1221705.0348533278</v>
      </c>
      <c r="AJ1388" s="515"/>
      <c r="AK1388" s="515"/>
      <c r="AL1388" s="515"/>
      <c r="AM1388" s="515"/>
      <c r="AN1388" s="515"/>
      <c r="AO1388" s="515"/>
      <c r="AP1388" s="515"/>
      <c r="AQ1388" s="515"/>
      <c r="AR1388" s="70"/>
      <c r="AS1388" s="342" t="s">
        <v>125</v>
      </c>
      <c r="AT1388" s="9"/>
      <c r="AU1388" s="635">
        <f>G1388</f>
        <v>1205820</v>
      </c>
      <c r="AV1388" s="635">
        <f>K1388</f>
        <v>1185443</v>
      </c>
      <c r="AW1388" s="635">
        <f>O1388</f>
        <v>1292605</v>
      </c>
      <c r="AX1388" s="635">
        <f>S1388</f>
        <v>1216277</v>
      </c>
      <c r="AY1388" s="635">
        <f>W1388</f>
        <v>1189680</v>
      </c>
      <c r="AZ1388" s="379">
        <f>AA1388</f>
        <v>1134864</v>
      </c>
      <c r="BA1388" s="379">
        <f>AE1388</f>
        <v>1189408.6433357499</v>
      </c>
      <c r="BB1388" s="379">
        <f>AI1388</f>
        <v>1221705.0348533278</v>
      </c>
      <c r="BC1388" s="515">
        <f>BC1389*BC846</f>
        <v>1253655.5337618398</v>
      </c>
      <c r="BD1388" s="515">
        <f>BD1389*BD846</f>
        <v>1295267.1997474239</v>
      </c>
      <c r="BE1388" s="515">
        <f>BE1389*BE846</f>
        <v>1336379.7782629663</v>
      </c>
      <c r="BM1388"/>
      <c r="BN1388"/>
      <c r="BO1388"/>
      <c r="BP1388"/>
      <c r="BQ1388"/>
      <c r="BR1388"/>
    </row>
    <row r="1389" spans="1:70" s="369" customFormat="1" x14ac:dyDescent="0.2">
      <c r="A1389" s="411"/>
      <c r="B1389" s="342"/>
      <c r="C1389" s="9" t="s">
        <v>435</v>
      </c>
      <c r="D1389" s="321"/>
      <c r="E1389" s="321"/>
      <c r="F1389" s="321"/>
      <c r="G1389" s="138">
        <f t="shared" ref="G1389:X1389" si="3301">G1388/G846</f>
        <v>0.64678532962010982</v>
      </c>
      <c r="H1389" s="138">
        <f t="shared" si="3301"/>
        <v>0.63317417601137893</v>
      </c>
      <c r="I1389" s="138">
        <f t="shared" si="3301"/>
        <v>0.61976123723008858</v>
      </c>
      <c r="J1389" s="138">
        <f t="shared" si="3301"/>
        <v>0.61012213795122483</v>
      </c>
      <c r="K1389" s="138">
        <f t="shared" si="3301"/>
        <v>0.63054304840069464</v>
      </c>
      <c r="L1389" s="138">
        <f t="shared" si="3301"/>
        <v>0.66519196152851312</v>
      </c>
      <c r="M1389" s="138">
        <f t="shared" si="3301"/>
        <v>0.67082109325122596</v>
      </c>
      <c r="N1389" s="138">
        <f t="shared" si="3301"/>
        <v>0.69145101872239378</v>
      </c>
      <c r="O1389" s="138">
        <f t="shared" si="3301"/>
        <v>0.70167100844053865</v>
      </c>
      <c r="P1389" s="138">
        <f t="shared" si="3301"/>
        <v>0.70081739228224027</v>
      </c>
      <c r="Q1389" s="138">
        <f t="shared" si="3301"/>
        <v>0.69892531308592576</v>
      </c>
      <c r="R1389" s="138">
        <f t="shared" si="3301"/>
        <v>0.69370909267865399</v>
      </c>
      <c r="S1389" s="138">
        <f t="shared" si="3301"/>
        <v>0.7025589038880321</v>
      </c>
      <c r="T1389" s="138">
        <f t="shared" si="3301"/>
        <v>0.68828301684594995</v>
      </c>
      <c r="U1389" s="138">
        <f t="shared" si="3301"/>
        <v>0.67785114233732557</v>
      </c>
      <c r="V1389" s="138">
        <f t="shared" si="3301"/>
        <v>0.67557973441753194</v>
      </c>
      <c r="W1389" s="138">
        <f t="shared" si="3301"/>
        <v>0.66385540353455796</v>
      </c>
      <c r="X1389" s="138">
        <f t="shared" si="3301"/>
        <v>0.65408220462602096</v>
      </c>
      <c r="Y1389" s="138">
        <f t="shared" ref="Y1389:Z1389" si="3302">Y1388/Y846</f>
        <v>0.63740710480278828</v>
      </c>
      <c r="Z1389" s="138">
        <f t="shared" si="3302"/>
        <v>0.62616978264632506</v>
      </c>
      <c r="AA1389" s="138">
        <f t="shared" ref="AA1389:AB1389" si="3303">AA1388/AA846</f>
        <v>0.61575022828894788</v>
      </c>
      <c r="AB1389" s="138">
        <f t="shared" si="3303"/>
        <v>0.61339032643394942</v>
      </c>
      <c r="AC1389" s="588">
        <f>Drivers!AC313</f>
        <v>0.61</v>
      </c>
      <c r="AD1389" s="588">
        <f>Drivers!AD313</f>
        <v>0.61</v>
      </c>
      <c r="AE1389" s="588">
        <f>Drivers!AE313</f>
        <v>0.61</v>
      </c>
      <c r="AF1389" s="588">
        <f>Drivers!AF313</f>
        <v>0.60499999999999998</v>
      </c>
      <c r="AG1389" s="588">
        <f>Drivers!AG313</f>
        <v>0.60499999999999998</v>
      </c>
      <c r="AH1389" s="588">
        <f>Drivers!AH313</f>
        <v>0.60499999999999998</v>
      </c>
      <c r="AI1389" s="588">
        <f>Drivers!AI313</f>
        <v>0.60499999999999998</v>
      </c>
      <c r="AJ1389" s="588"/>
      <c r="AK1389" s="588"/>
      <c r="AL1389" s="588"/>
      <c r="AM1389" s="588"/>
      <c r="AN1389" s="588"/>
      <c r="AO1389" s="588"/>
      <c r="AP1389" s="588"/>
      <c r="AQ1389" s="588"/>
      <c r="AR1389" s="70"/>
      <c r="AS1389" s="342"/>
      <c r="AT1389" s="9" t="s">
        <v>435</v>
      </c>
      <c r="AU1389" s="138">
        <f t="shared" ref="AU1389:BA1389" si="3304">AU1388/AU846</f>
        <v>0.64678532962010982</v>
      </c>
      <c r="AV1389" s="138">
        <f t="shared" si="3304"/>
        <v>0.63054304840069464</v>
      </c>
      <c r="AW1389" s="138">
        <f t="shared" si="3304"/>
        <v>0.70167100844053865</v>
      </c>
      <c r="AX1389" s="138">
        <f t="shared" si="3304"/>
        <v>0.7025589038880321</v>
      </c>
      <c r="AY1389" s="138">
        <f t="shared" si="3304"/>
        <v>0.66385540353455796</v>
      </c>
      <c r="AZ1389" s="138">
        <f t="shared" si="3304"/>
        <v>0.61575022828894788</v>
      </c>
      <c r="BA1389" s="138">
        <f t="shared" si="3304"/>
        <v>0.61</v>
      </c>
      <c r="BB1389" s="138">
        <f t="shared" ref="BB1389" si="3305">BB1388/BB846</f>
        <v>0.60499999999999998</v>
      </c>
      <c r="BC1389" s="588">
        <f>Drivers!BC313</f>
        <v>0.60499999999999998</v>
      </c>
      <c r="BD1389" s="588">
        <f>Drivers!BD313</f>
        <v>0.60499999999999998</v>
      </c>
      <c r="BE1389" s="588">
        <f>Drivers!BE313</f>
        <v>0.60499999999999998</v>
      </c>
      <c r="BM1389"/>
      <c r="BN1389"/>
      <c r="BO1389"/>
      <c r="BP1389"/>
      <c r="BQ1389"/>
      <c r="BR1389"/>
    </row>
    <row r="1390" spans="1:70" s="369" customFormat="1" x14ac:dyDescent="0.2">
      <c r="A1390" s="411"/>
      <c r="B1390" s="342"/>
      <c r="C1390" s="9"/>
      <c r="D1390" s="321"/>
      <c r="E1390" s="321"/>
      <c r="F1390" s="321"/>
      <c r="G1390" s="803"/>
      <c r="H1390" s="803"/>
      <c r="I1390" s="803"/>
      <c r="J1390" s="803"/>
      <c r="K1390" s="803"/>
      <c r="L1390" s="803"/>
      <c r="M1390" s="803"/>
      <c r="N1390" s="803"/>
      <c r="O1390" s="803"/>
      <c r="P1390" s="803"/>
      <c r="Q1390" s="803"/>
      <c r="R1390" s="803"/>
      <c r="S1390" s="803"/>
      <c r="T1390" s="803"/>
      <c r="U1390" s="803"/>
      <c r="V1390" s="803"/>
      <c r="W1390" s="803"/>
      <c r="X1390" s="803"/>
      <c r="Y1390" s="803"/>
      <c r="Z1390" s="803"/>
      <c r="AA1390" s="803"/>
      <c r="AB1390" s="803"/>
      <c r="AC1390" s="2"/>
      <c r="AD1390" s="2"/>
      <c r="AE1390" s="2"/>
      <c r="AF1390" s="2"/>
      <c r="AG1390" s="2"/>
      <c r="AH1390" s="2"/>
      <c r="AI1390" s="2"/>
      <c r="AJ1390" s="516"/>
      <c r="AK1390" s="516"/>
      <c r="AL1390" s="516"/>
      <c r="AM1390" s="516"/>
      <c r="AN1390" s="516"/>
      <c r="AO1390" s="516"/>
      <c r="AP1390" s="516"/>
      <c r="AQ1390" s="516"/>
      <c r="AR1390" s="70"/>
      <c r="AS1390" s="342"/>
      <c r="AT1390" s="9"/>
      <c r="AU1390" s="516"/>
      <c r="AV1390" s="516"/>
      <c r="AX1390" s="663"/>
      <c r="AY1390" s="382"/>
      <c r="AZ1390" s="747"/>
      <c r="BA1390" s="2"/>
      <c r="BB1390" s="2"/>
      <c r="BC1390" s="2"/>
      <c r="BD1390" s="2"/>
      <c r="BE1390" s="2"/>
      <c r="BM1390"/>
      <c r="BN1390"/>
      <c r="BO1390"/>
      <c r="BP1390"/>
      <c r="BQ1390"/>
      <c r="BR1390"/>
    </row>
    <row r="1391" spans="1:70" x14ac:dyDescent="0.2">
      <c r="B1391" s="87" t="s">
        <v>448</v>
      </c>
      <c r="Y1391" s="1215"/>
      <c r="AA1391" s="1742"/>
      <c r="AB1391" s="1785"/>
      <c r="AS1391" s="87" t="s">
        <v>448</v>
      </c>
      <c r="AT1391" s="9"/>
      <c r="BC1391" s="9"/>
      <c r="BD1391" s="1704"/>
      <c r="BE1391" s="1702"/>
    </row>
    <row r="1392" spans="1:70" s="1091" customFormat="1" x14ac:dyDescent="0.2">
      <c r="A1392" s="1088"/>
      <c r="B1392" s="1089" t="s">
        <v>446</v>
      </c>
      <c r="C1392" s="1090"/>
      <c r="D1392" s="1090"/>
      <c r="E1392" s="1090"/>
      <c r="F1392" s="1090"/>
      <c r="G1392" s="1093">
        <f t="shared" ref="G1392:AE1392" si="3306">G1371/G1388</f>
        <v>8.7193776848949259E-2</v>
      </c>
      <c r="H1392" s="1093">
        <f t="shared" si="3306"/>
        <v>9.3145505539218604E-2</v>
      </c>
      <c r="I1392" s="1093">
        <f t="shared" si="3306"/>
        <v>0.10021851997474727</v>
      </c>
      <c r="J1392" s="1093">
        <f t="shared" si="3306"/>
        <v>0.10470242215130117</v>
      </c>
      <c r="K1392" s="1093">
        <f t="shared" si="3306"/>
        <v>0.10574021694843194</v>
      </c>
      <c r="L1392" s="1093">
        <f t="shared" si="3306"/>
        <v>0.10450087411408161</v>
      </c>
      <c r="M1392" s="1093">
        <f t="shared" si="3306"/>
        <v>0.10566305837162186</v>
      </c>
      <c r="N1392" s="1093">
        <f t="shared" si="3306"/>
        <v>0.1064387013505831</v>
      </c>
      <c r="O1392" s="1093">
        <f t="shared" si="3306"/>
        <v>0.10567574781158977</v>
      </c>
      <c r="P1392" s="1093">
        <f t="shared" si="3306"/>
        <v>0.1105699049197746</v>
      </c>
      <c r="Q1392" s="1093">
        <f t="shared" si="3306"/>
        <v>0.11374612562402578</v>
      </c>
      <c r="R1392" s="1093">
        <f t="shared" si="3306"/>
        <v>0.11674304668175402</v>
      </c>
      <c r="S1392" s="1093">
        <f t="shared" si="3306"/>
        <v>0.1207496318683984</v>
      </c>
      <c r="T1392" s="1093">
        <f t="shared" si="3306"/>
        <v>0.12344795595264506</v>
      </c>
      <c r="U1392" s="1093">
        <f t="shared" si="3306"/>
        <v>0.12534635026312888</v>
      </c>
      <c r="V1392" s="1093">
        <f t="shared" si="3306"/>
        <v>0.12629988365873338</v>
      </c>
      <c r="W1392" s="1093">
        <f t="shared" si="3306"/>
        <v>0.12567749310739021</v>
      </c>
      <c r="X1392" s="1093">
        <f t="shared" si="3306"/>
        <v>0.12813864731907165</v>
      </c>
      <c r="Y1392" s="1093">
        <f t="shared" ref="Y1392:Z1392" si="3307">Y1371/Y1388</f>
        <v>0.1305994864358293</v>
      </c>
      <c r="Z1392" s="1093">
        <f t="shared" si="3307"/>
        <v>0.12979259762722353</v>
      </c>
      <c r="AA1392" s="1093">
        <f t="shared" ref="AA1392:AB1392" si="3308">AA1371/AA1388</f>
        <v>0.12584944099028605</v>
      </c>
      <c r="AB1392" s="1093">
        <f t="shared" si="3308"/>
        <v>0.122245122985581</v>
      </c>
      <c r="AC1392" s="1093">
        <f t="shared" si="3306"/>
        <v>0.12350308054413217</v>
      </c>
      <c r="AD1392" s="1093">
        <f t="shared" si="3306"/>
        <v>0.12138718020585028</v>
      </c>
      <c r="AE1392" s="1093">
        <f t="shared" si="3306"/>
        <v>0.11881216271223326</v>
      </c>
      <c r="AF1392" s="1093">
        <f t="shared" ref="AF1392:AI1392" si="3309">AF1371/AF1388</f>
        <v>0.11840755128170059</v>
      </c>
      <c r="AG1392" s="1093">
        <f t="shared" si="3309"/>
        <v>0.11636231058454591</v>
      </c>
      <c r="AH1392" s="1093">
        <f t="shared" si="3309"/>
        <v>0.11433421532152371</v>
      </c>
      <c r="AI1392" s="1093">
        <f t="shared" si="3309"/>
        <v>0.11195274341991254</v>
      </c>
      <c r="AJ1392" s="1093"/>
      <c r="AK1392" s="1093"/>
      <c r="AL1392" s="1093"/>
      <c r="AM1392" s="1093"/>
      <c r="AN1392" s="1093"/>
      <c r="AO1392" s="1093"/>
      <c r="AP1392" s="1093"/>
      <c r="AQ1392" s="1093"/>
      <c r="AS1392" s="1089" t="s">
        <v>446</v>
      </c>
      <c r="AT1392" s="1090"/>
      <c r="AU1392" s="1093">
        <f t="shared" ref="AU1392:BD1392" si="3310">AU1371/AU1388</f>
        <v>8.7193776848949259E-2</v>
      </c>
      <c r="AV1392" s="1093">
        <f t="shared" si="3310"/>
        <v>0.10574021694843194</v>
      </c>
      <c r="AW1392" s="1093">
        <f t="shared" si="3310"/>
        <v>0.10567574781158977</v>
      </c>
      <c r="AX1392" s="1093">
        <f t="shared" si="3310"/>
        <v>0.1207496318683984</v>
      </c>
      <c r="AY1392" s="1093">
        <f t="shared" si="3310"/>
        <v>0.12567749310739021</v>
      </c>
      <c r="AZ1392" s="1093">
        <f t="shared" si="3310"/>
        <v>0.12584944099028605</v>
      </c>
      <c r="BA1392" s="1093">
        <f t="shared" si="3310"/>
        <v>0.11881216271223326</v>
      </c>
      <c r="BB1392" s="1093">
        <f t="shared" ref="BB1392" si="3311">BB1371/BB1388</f>
        <v>0.11195274341991254</v>
      </c>
      <c r="BC1392" s="1093">
        <f t="shared" si="3310"/>
        <v>0.11110842674949507</v>
      </c>
      <c r="BD1392" s="1093">
        <f t="shared" si="3310"/>
        <v>0.11180713337578038</v>
      </c>
      <c r="BE1392" s="1093">
        <f t="shared" ref="BE1392" si="3312">BE1371/BE1388</f>
        <v>0.1126717543701712</v>
      </c>
      <c r="BF1392" s="70"/>
      <c r="BG1392" s="70"/>
      <c r="BH1392" s="70"/>
      <c r="BI1392" s="70"/>
      <c r="BJ1392" s="70"/>
      <c r="BK1392" s="70"/>
      <c r="BL1392" s="70"/>
      <c r="BM1392"/>
      <c r="BN1392"/>
      <c r="BO1392"/>
      <c r="BP1392"/>
      <c r="BQ1392"/>
      <c r="BR1392"/>
    </row>
    <row r="1393" spans="1:70" x14ac:dyDescent="0.2">
      <c r="A1393" s="828"/>
      <c r="B1393" s="15" t="s">
        <v>444</v>
      </c>
      <c r="D1393" s="140" t="s">
        <v>229</v>
      </c>
      <c r="E1393" s="140" t="s">
        <v>229</v>
      </c>
      <c r="F1393" s="140" t="s">
        <v>229</v>
      </c>
      <c r="G1393" s="140" t="s">
        <v>229</v>
      </c>
      <c r="H1393" s="140" t="s">
        <v>229</v>
      </c>
      <c r="I1393" s="343">
        <f t="shared" ref="I1393:X1393" si="3313">I1384/I1388</f>
        <v>0.10487331238077127</v>
      </c>
      <c r="J1393" s="343">
        <f t="shared" si="3313"/>
        <v>0.11019295396134707</v>
      </c>
      <c r="K1393" s="343">
        <f t="shared" si="3313"/>
        <v>0.11233268912971775</v>
      </c>
      <c r="L1393" s="343">
        <f t="shared" si="3313"/>
        <v>0.11107081554089926</v>
      </c>
      <c r="M1393" s="343">
        <f t="shared" si="3313"/>
        <v>0.11347977311852722</v>
      </c>
      <c r="N1393" s="343">
        <f t="shared" si="3313"/>
        <v>0.11412888158197994</v>
      </c>
      <c r="O1393" s="343">
        <f t="shared" si="3313"/>
        <v>0.1145485279725825</v>
      </c>
      <c r="P1393" s="343">
        <f t="shared" si="3313"/>
        <v>0.12066526557186012</v>
      </c>
      <c r="Q1393" s="343">
        <f t="shared" si="3313"/>
        <v>0.12544335844166205</v>
      </c>
      <c r="R1393" s="343">
        <f t="shared" si="3313"/>
        <v>0.12913709581633084</v>
      </c>
      <c r="S1393" s="343">
        <f t="shared" si="3313"/>
        <v>0.13486730407629183</v>
      </c>
      <c r="T1393" s="343">
        <f t="shared" si="3313"/>
        <v>0.13806506262226972</v>
      </c>
      <c r="U1393" s="343">
        <f t="shared" si="3313"/>
        <v>0.14115760478109365</v>
      </c>
      <c r="V1393" s="343">
        <f t="shared" si="3313"/>
        <v>0.14227991431941989</v>
      </c>
      <c r="W1393" s="343">
        <f t="shared" si="3313"/>
        <v>0.14238282563378388</v>
      </c>
      <c r="X1393" s="343">
        <f t="shared" si="3313"/>
        <v>0.14475023858545891</v>
      </c>
      <c r="Y1393" s="343">
        <f t="shared" ref="Y1393:Z1393" si="3314">Y1384/Y1388</f>
        <v>0.14739426360099211</v>
      </c>
      <c r="Z1393" s="343">
        <f t="shared" si="3314"/>
        <v>0.14612086382995271</v>
      </c>
      <c r="AA1393" s="343">
        <f t="shared" ref="AA1393:AB1393" si="3315">AA1384/AA1388</f>
        <v>0.14308058058058057</v>
      </c>
      <c r="AB1393" s="343">
        <f t="shared" si="3315"/>
        <v>0.13865733672603903</v>
      </c>
      <c r="AC1393" s="343">
        <f t="shared" ref="AC1393:AE1393" si="3316">AC1384/AC$1388</f>
        <v>0.13993953194103848</v>
      </c>
      <c r="AD1393" s="343">
        <f t="shared" si="3316"/>
        <v>0.13775131936046903</v>
      </c>
      <c r="AE1393" s="343">
        <f t="shared" si="3316"/>
        <v>0.1350807513999126</v>
      </c>
      <c r="AF1393" s="343">
        <f t="shared" ref="AF1393:AI1393" si="3317">AF1384/AF$1388</f>
        <v>0.1364143000642184</v>
      </c>
      <c r="AG1393" s="343">
        <f t="shared" si="3317"/>
        <v>0.1342341492479347</v>
      </c>
      <c r="AH1393" s="343">
        <f t="shared" si="3317"/>
        <v>0.1320284909050348</v>
      </c>
      <c r="AI1393" s="343">
        <f t="shared" si="3317"/>
        <v>0.12944489917012228</v>
      </c>
      <c r="AJ1393" s="343"/>
      <c r="AK1393" s="343"/>
      <c r="AL1393" s="343"/>
      <c r="AM1393" s="343"/>
      <c r="AN1393" s="343"/>
      <c r="AO1393" s="343"/>
      <c r="AP1393" s="343"/>
      <c r="AQ1393" s="343"/>
      <c r="AS1393" s="15" t="s">
        <v>444</v>
      </c>
      <c r="AT1393" s="9"/>
      <c r="AU1393" s="343"/>
      <c r="AV1393" s="343">
        <f t="shared" ref="AV1393:BA1393" si="3318">AV1384/AV1388</f>
        <v>0.11233268912971775</v>
      </c>
      <c r="AW1393" s="343">
        <f t="shared" si="3318"/>
        <v>0.1145485279725825</v>
      </c>
      <c r="AX1393" s="343">
        <f t="shared" si="3318"/>
        <v>0.13486730407629183</v>
      </c>
      <c r="AY1393" s="343">
        <f t="shared" si="3318"/>
        <v>0.14238282563378388</v>
      </c>
      <c r="AZ1393" s="343">
        <f t="shared" si="3318"/>
        <v>0.14308058058058057</v>
      </c>
      <c r="BA1393" s="343">
        <f t="shared" si="3318"/>
        <v>0.1350807513999126</v>
      </c>
      <c r="BB1393" s="343">
        <f t="shared" ref="BB1393" si="3319">BB1384/BB1388</f>
        <v>0.12944489917012228</v>
      </c>
      <c r="BC1393" s="343">
        <f>BC1384/BC$1388</f>
        <v>0.12815477973478775</v>
      </c>
      <c r="BD1393" s="343">
        <f>BD1384/BD$1388</f>
        <v>0.12830585638415812</v>
      </c>
      <c r="BE1393" s="343">
        <f>BE1384/BE$1388</f>
        <v>0.12866290830565427</v>
      </c>
    </row>
    <row r="1394" spans="1:70" s="369" customFormat="1" x14ac:dyDescent="0.2">
      <c r="A1394" s="411"/>
      <c r="B1394" s="321" t="s">
        <v>443</v>
      </c>
      <c r="C1394" s="9"/>
      <c r="D1394" s="140" t="s">
        <v>229</v>
      </c>
      <c r="E1394" s="140" t="s">
        <v>229</v>
      </c>
      <c r="F1394" s="140" t="s">
        <v>229</v>
      </c>
      <c r="G1394" s="140" t="s">
        <v>229</v>
      </c>
      <c r="H1394" s="140" t="s">
        <v>229</v>
      </c>
      <c r="I1394" s="1094">
        <v>0.12790000000000001</v>
      </c>
      <c r="J1394" s="1094">
        <v>0.13120000000000001</v>
      </c>
      <c r="K1394" s="1094">
        <v>0.12640000000000001</v>
      </c>
      <c r="L1394" s="1094">
        <v>0.12520000000000001</v>
      </c>
      <c r="M1394" s="1094">
        <v>0.127</v>
      </c>
      <c r="N1394" s="1094">
        <v>0.12759999999999999</v>
      </c>
      <c r="O1394" s="1094">
        <v>0.128</v>
      </c>
      <c r="P1394" s="1094">
        <v>0.1338</v>
      </c>
      <c r="Q1394" s="1094">
        <v>0.1414</v>
      </c>
      <c r="R1394" s="1094">
        <v>0.14599999999999999</v>
      </c>
      <c r="S1394" s="1094">
        <v>0.153</v>
      </c>
      <c r="T1394" s="1094">
        <v>0.15709999999999999</v>
      </c>
      <c r="U1394" s="1094">
        <v>0.1613</v>
      </c>
      <c r="V1394" s="1094">
        <v>0.16339999999999999</v>
      </c>
      <c r="W1394" s="1094">
        <v>0.16239999999999999</v>
      </c>
      <c r="X1394" s="1094">
        <v>0.16520000000000001</v>
      </c>
      <c r="Y1394" s="1094">
        <v>0.16930000000000001</v>
      </c>
      <c r="Z1394" s="1094">
        <v>0.16950000000000001</v>
      </c>
      <c r="AA1394" s="1094">
        <v>0.16300000000000001</v>
      </c>
      <c r="AB1394" s="1094">
        <v>0.16</v>
      </c>
      <c r="AC1394" s="343">
        <f t="shared" ref="AC1394:AE1394" si="3320">AC1386/AC$1388</f>
        <v>0.16116359079152889</v>
      </c>
      <c r="AD1394" s="343">
        <f t="shared" si="3320"/>
        <v>0.15872506685351831</v>
      </c>
      <c r="AE1394" s="343">
        <f t="shared" si="3320"/>
        <v>0.15576221984754204</v>
      </c>
      <c r="AF1394" s="343">
        <f t="shared" ref="AF1394:AI1394" si="3321">AF1386/AF$1388</f>
        <v>0.15698684273310312</v>
      </c>
      <c r="AG1394" s="343">
        <f t="shared" si="3321"/>
        <v>0.15448710356205717</v>
      </c>
      <c r="AH1394" s="343">
        <f t="shared" si="3321"/>
        <v>0.15190589049916034</v>
      </c>
      <c r="AI1394" s="343">
        <f t="shared" si="3321"/>
        <v>0.14891476147053032</v>
      </c>
      <c r="AJ1394" s="343"/>
      <c r="AK1394" s="343"/>
      <c r="AL1394" s="343"/>
      <c r="AM1394" s="343"/>
      <c r="AN1394" s="343"/>
      <c r="AO1394" s="343"/>
      <c r="AP1394" s="343"/>
      <c r="AQ1394" s="343"/>
      <c r="AR1394" s="70"/>
      <c r="AS1394" s="321" t="s">
        <v>443</v>
      </c>
      <c r="AT1394" s="9"/>
      <c r="AU1394" s="516"/>
      <c r="AV1394" s="456">
        <f t="shared" ref="AV1394:BA1394" si="3322">AV1386/AV1388</f>
        <v>0.12640000000000001</v>
      </c>
      <c r="AW1394" s="456">
        <f t="shared" si="3322"/>
        <v>0.128</v>
      </c>
      <c r="AX1394" s="456">
        <f t="shared" si="3322"/>
        <v>0.153</v>
      </c>
      <c r="AY1394" s="456">
        <f t="shared" si="3322"/>
        <v>0.16239999999999999</v>
      </c>
      <c r="AZ1394" s="456">
        <f t="shared" si="3322"/>
        <v>0.16300000000000001</v>
      </c>
      <c r="BA1394" s="456">
        <f t="shared" si="3322"/>
        <v>0.15576221984754204</v>
      </c>
      <c r="BB1394" s="456">
        <f t="shared" ref="BB1394" si="3323">BB1386/BB1388</f>
        <v>0.14891476147053032</v>
      </c>
      <c r="BC1394" s="343">
        <f>BC1386/BC$1388</f>
        <v>0.14639510806756695</v>
      </c>
      <c r="BD1394" s="343">
        <f>BD1386/BD$1388</f>
        <v>0.14517424256899147</v>
      </c>
      <c r="BE1394" s="343">
        <f>BE1386/BE$1388</f>
        <v>0.14416724562471261</v>
      </c>
      <c r="BF1394" s="70"/>
      <c r="BG1394" s="70"/>
      <c r="BH1394" s="70"/>
      <c r="BI1394" s="70"/>
      <c r="BJ1394" s="70"/>
      <c r="BK1394" s="70"/>
      <c r="BL1394" s="70"/>
      <c r="BM1394"/>
      <c r="BN1394"/>
      <c r="BO1394"/>
      <c r="BP1394"/>
      <c r="BQ1394"/>
      <c r="BR1394"/>
    </row>
    <row r="1395" spans="1:70" s="369" customFormat="1" x14ac:dyDescent="0.2">
      <c r="A1395" s="411"/>
      <c r="B1395" s="321"/>
      <c r="C1395" s="9"/>
      <c r="D1395" s="804"/>
      <c r="E1395" s="804"/>
      <c r="F1395" s="804"/>
      <c r="G1395" s="805"/>
      <c r="H1395" s="805"/>
      <c r="I1395" s="805"/>
      <c r="J1395" s="805"/>
      <c r="K1395" s="805"/>
      <c r="L1395" s="805"/>
      <c r="M1395" s="805"/>
      <c r="N1395" s="805"/>
      <c r="O1395" s="805"/>
      <c r="P1395" s="805"/>
      <c r="Q1395" s="805"/>
      <c r="R1395" s="805"/>
      <c r="S1395" s="805"/>
      <c r="T1395" s="805"/>
      <c r="U1395" s="805"/>
      <c r="V1395" s="805"/>
      <c r="W1395" s="805"/>
      <c r="X1395" s="805"/>
      <c r="Y1395" s="805"/>
      <c r="Z1395" s="805"/>
      <c r="AA1395" s="805"/>
      <c r="AB1395" s="805"/>
      <c r="AC1395" s="516"/>
      <c r="AD1395" s="516"/>
      <c r="AE1395" s="516"/>
      <c r="AF1395" s="516"/>
      <c r="AG1395" s="516"/>
      <c r="AH1395" s="516"/>
      <c r="AI1395" s="516"/>
      <c r="AJ1395" s="516"/>
      <c r="AK1395" s="516"/>
      <c r="AL1395" s="516"/>
      <c r="AM1395" s="516"/>
      <c r="AN1395" s="516"/>
      <c r="AO1395" s="516"/>
      <c r="AP1395" s="516"/>
      <c r="AQ1395" s="516"/>
      <c r="AR1395" s="70"/>
      <c r="AS1395" s="321"/>
      <c r="AT1395" s="9"/>
      <c r="AU1395" s="516"/>
      <c r="AV1395" s="516"/>
      <c r="AX1395" s="663"/>
      <c r="AY1395" s="382"/>
      <c r="AZ1395" s="747"/>
      <c r="BC1395" s="516"/>
      <c r="BD1395" s="516"/>
      <c r="BE1395" s="516"/>
      <c r="BM1395"/>
      <c r="BN1395"/>
      <c r="BO1395"/>
      <c r="BP1395"/>
      <c r="BQ1395"/>
      <c r="BR1395"/>
    </row>
    <row r="1396" spans="1:70" s="369" customFormat="1" x14ac:dyDescent="0.2">
      <c r="A1396" s="411"/>
      <c r="B1396" s="87" t="s">
        <v>449</v>
      </c>
      <c r="C1396" s="9"/>
      <c r="D1396" s="804"/>
      <c r="E1396" s="804"/>
      <c r="F1396" s="804"/>
      <c r="G1396" s="805"/>
      <c r="H1396" s="805"/>
      <c r="I1396" s="805"/>
      <c r="J1396" s="805"/>
      <c r="K1396" s="805"/>
      <c r="L1396" s="805"/>
      <c r="M1396" s="805"/>
      <c r="N1396" s="805"/>
      <c r="O1396" s="805"/>
      <c r="P1396" s="805"/>
      <c r="Q1396" s="805"/>
      <c r="R1396" s="805"/>
      <c r="S1396" s="805"/>
      <c r="T1396" s="805"/>
      <c r="U1396" s="805"/>
      <c r="V1396" s="805"/>
      <c r="W1396" s="805"/>
      <c r="X1396" s="805"/>
      <c r="Y1396" s="805"/>
      <c r="Z1396" s="805"/>
      <c r="AA1396" s="805"/>
      <c r="AB1396" s="805"/>
      <c r="AC1396" s="516"/>
      <c r="AD1396" s="516"/>
      <c r="AE1396" s="516"/>
      <c r="AF1396" s="516"/>
      <c r="AG1396" s="516"/>
      <c r="AH1396" s="516"/>
      <c r="AI1396" s="516"/>
      <c r="AJ1396" s="516"/>
      <c r="AK1396" s="516"/>
      <c r="AL1396" s="516"/>
      <c r="AM1396" s="516"/>
      <c r="AN1396" s="516"/>
      <c r="AO1396" s="516"/>
      <c r="AP1396" s="516"/>
      <c r="AQ1396" s="516"/>
      <c r="AR1396" s="70"/>
      <c r="AS1396" s="87" t="s">
        <v>449</v>
      </c>
      <c r="AT1396" s="9"/>
      <c r="AU1396" s="516"/>
      <c r="AV1396" s="516"/>
      <c r="AX1396" s="663"/>
      <c r="AY1396" s="382"/>
      <c r="AZ1396" s="747"/>
      <c r="BC1396" s="516"/>
      <c r="BD1396" s="516"/>
      <c r="BE1396" s="516"/>
      <c r="BM1396"/>
      <c r="BN1396"/>
      <c r="BO1396"/>
      <c r="BP1396"/>
      <c r="BQ1396"/>
      <c r="BR1396"/>
    </row>
    <row r="1397" spans="1:70" s="369" customFormat="1" x14ac:dyDescent="0.2">
      <c r="A1397" s="411"/>
      <c r="B1397" s="346" t="s">
        <v>451</v>
      </c>
      <c r="C1397" s="9"/>
      <c r="D1397" s="140" t="s">
        <v>229</v>
      </c>
      <c r="E1397" s="140" t="s">
        <v>229</v>
      </c>
      <c r="F1397" s="140" t="s">
        <v>229</v>
      </c>
      <c r="G1397" s="140" t="s">
        <v>229</v>
      </c>
      <c r="H1397" s="141">
        <f t="shared" ref="H1397:AE1397" si="3324">(H1392-G1392)*10000</f>
        <v>59.517286902693449</v>
      </c>
      <c r="I1397" s="141">
        <f t="shared" si="3324"/>
        <v>70.730144355286711</v>
      </c>
      <c r="J1397" s="141">
        <f t="shared" si="3324"/>
        <v>44.839021765538945</v>
      </c>
      <c r="K1397" s="141">
        <f t="shared" si="3324"/>
        <v>10.377947971307727</v>
      </c>
      <c r="L1397" s="141">
        <f t="shared" si="3324"/>
        <v>-12.393428343503293</v>
      </c>
      <c r="M1397" s="141">
        <f t="shared" si="3324"/>
        <v>11.621842575402496</v>
      </c>
      <c r="N1397" s="141">
        <f t="shared" si="3324"/>
        <v>7.7564297896123851</v>
      </c>
      <c r="O1397" s="141">
        <f t="shared" si="3324"/>
        <v>-7.6295353899333289</v>
      </c>
      <c r="P1397" s="141">
        <f t="shared" si="3324"/>
        <v>48.941571081848323</v>
      </c>
      <c r="Q1397" s="141">
        <f t="shared" si="3324"/>
        <v>31.762207042511786</v>
      </c>
      <c r="R1397" s="141">
        <f t="shared" si="3324"/>
        <v>29.969210577282386</v>
      </c>
      <c r="S1397" s="141">
        <f t="shared" si="3324"/>
        <v>40.065851866443872</v>
      </c>
      <c r="T1397" s="141">
        <f t="shared" si="3324"/>
        <v>26.983240842466532</v>
      </c>
      <c r="U1397" s="141">
        <f t="shared" si="3324"/>
        <v>18.983943104838168</v>
      </c>
      <c r="V1397" s="141">
        <f t="shared" si="3324"/>
        <v>9.535333956045001</v>
      </c>
      <c r="W1397" s="141">
        <f t="shared" si="3324"/>
        <v>-6.2239055134316601</v>
      </c>
      <c r="X1397" s="141">
        <f t="shared" si="3324"/>
        <v>24.611542116814434</v>
      </c>
      <c r="Y1397" s="141">
        <f t="shared" si="3324"/>
        <v>24.608391167576514</v>
      </c>
      <c r="Z1397" s="141">
        <f t="shared" si="3324"/>
        <v>-8.0688880860577132</v>
      </c>
      <c r="AA1397" s="141">
        <f t="shared" si="3324"/>
        <v>-39.431566369374785</v>
      </c>
      <c r="AB1397" s="141">
        <f t="shared" si="3324"/>
        <v>-36.043180047050512</v>
      </c>
      <c r="AC1397" s="141">
        <f t="shared" si="3324"/>
        <v>12.579575585511677</v>
      </c>
      <c r="AD1397" s="141">
        <f t="shared" si="3324"/>
        <v>-21.159003382818923</v>
      </c>
      <c r="AE1397" s="141">
        <f t="shared" si="3324"/>
        <v>-25.750174936170211</v>
      </c>
      <c r="AF1397" s="141">
        <f t="shared" ref="AF1397:AF1399" si="3325">(AF1392-AE1392)*10000</f>
        <v>-4.0461143053266424</v>
      </c>
      <c r="AG1397" s="141">
        <f t="shared" ref="AG1397:AG1399" si="3326">(AG1392-AF1392)*10000</f>
        <v>-20.45240697154685</v>
      </c>
      <c r="AH1397" s="141">
        <f t="shared" ref="AH1397:AH1399" si="3327">(AH1392-AG1392)*10000</f>
        <v>-20.28095263022195</v>
      </c>
      <c r="AI1397" s="141">
        <f t="shared" ref="AI1397:AI1399" si="3328">(AI1392-AH1392)*10000</f>
        <v>-23.814719016111706</v>
      </c>
      <c r="AJ1397" s="141"/>
      <c r="AK1397" s="141"/>
      <c r="AL1397" s="141"/>
      <c r="AM1397" s="141"/>
      <c r="AN1397" s="141"/>
      <c r="AO1397" s="141"/>
      <c r="AP1397" s="141"/>
      <c r="AQ1397" s="141"/>
      <c r="AR1397" s="70"/>
      <c r="AS1397" s="346" t="s">
        <v>451</v>
      </c>
      <c r="AT1397" s="9"/>
      <c r="AU1397" s="516"/>
      <c r="AV1397" s="141">
        <f t="shared" ref="AV1397:BE1397" si="3329">(AV1392-AU1392)*10000</f>
        <v>185.46440099482683</v>
      </c>
      <c r="AW1397" s="141">
        <f t="shared" si="3329"/>
        <v>-0.64469136842174035</v>
      </c>
      <c r="AX1397" s="141">
        <f t="shared" si="3329"/>
        <v>150.73884056808637</v>
      </c>
      <c r="AY1397" s="141">
        <f t="shared" si="3329"/>
        <v>49.278612389918038</v>
      </c>
      <c r="AZ1397" s="141">
        <f t="shared" si="3329"/>
        <v>1.7194788289584539</v>
      </c>
      <c r="BA1397" s="141">
        <f t="shared" si="3329"/>
        <v>-70.37278278052797</v>
      </c>
      <c r="BB1397" s="141">
        <f t="shared" si="3329"/>
        <v>-68.594192923207146</v>
      </c>
      <c r="BC1397" s="141">
        <f t="shared" si="3329"/>
        <v>-8.4431667041746934</v>
      </c>
      <c r="BD1397" s="141">
        <f t="shared" si="3329"/>
        <v>6.9870662628530864</v>
      </c>
      <c r="BE1397" s="141">
        <f t="shared" si="3329"/>
        <v>8.6462099439081612</v>
      </c>
      <c r="BM1397"/>
      <c r="BN1397"/>
      <c r="BO1397"/>
      <c r="BP1397"/>
      <c r="BQ1397"/>
      <c r="BR1397"/>
    </row>
    <row r="1398" spans="1:70" s="369" customFormat="1" x14ac:dyDescent="0.2">
      <c r="A1398" s="411"/>
      <c r="B1398" s="321" t="s">
        <v>450</v>
      </c>
      <c r="C1398" s="9"/>
      <c r="D1398" s="140" t="s">
        <v>229</v>
      </c>
      <c r="E1398" s="140" t="s">
        <v>229</v>
      </c>
      <c r="F1398" s="140" t="s">
        <v>229</v>
      </c>
      <c r="G1398" s="140" t="s">
        <v>229</v>
      </c>
      <c r="H1398" s="140" t="s">
        <v>229</v>
      </c>
      <c r="I1398" s="140" t="s">
        <v>229</v>
      </c>
      <c r="J1398" s="141">
        <f t="shared" ref="J1398:AE1398" si="3330">(J1393-I1393)*10000</f>
        <v>53.196415805757958</v>
      </c>
      <c r="K1398" s="141">
        <f t="shared" si="3330"/>
        <v>21.397351683706823</v>
      </c>
      <c r="L1398" s="141">
        <f t="shared" si="3330"/>
        <v>-12.618735888184906</v>
      </c>
      <c r="M1398" s="141">
        <f t="shared" si="3330"/>
        <v>24.089575776279627</v>
      </c>
      <c r="N1398" s="141">
        <f t="shared" si="3330"/>
        <v>6.4910846345271613</v>
      </c>
      <c r="O1398" s="141">
        <f t="shared" si="3330"/>
        <v>4.196463906025599</v>
      </c>
      <c r="P1398" s="141">
        <f t="shared" si="3330"/>
        <v>61.167375992776243</v>
      </c>
      <c r="Q1398" s="141">
        <f t="shared" si="3330"/>
        <v>47.780928698019224</v>
      </c>
      <c r="R1398" s="141">
        <f t="shared" si="3330"/>
        <v>36.937373746687982</v>
      </c>
      <c r="S1398" s="141">
        <f t="shared" si="3330"/>
        <v>57.30208259960984</v>
      </c>
      <c r="T1398" s="141">
        <f t="shared" si="3330"/>
        <v>31.977585459778968</v>
      </c>
      <c r="U1398" s="141">
        <f t="shared" si="3330"/>
        <v>30.925421588239299</v>
      </c>
      <c r="V1398" s="141">
        <f t="shared" si="3330"/>
        <v>11.223095383262327</v>
      </c>
      <c r="W1398" s="141">
        <f t="shared" si="3330"/>
        <v>1.0291131436399037</v>
      </c>
      <c r="X1398" s="141">
        <f t="shared" si="3330"/>
        <v>23.674129516750298</v>
      </c>
      <c r="Y1398" s="141">
        <f t="shared" si="3330"/>
        <v>26.44025015533208</v>
      </c>
      <c r="Z1398" s="141">
        <f t="shared" si="3330"/>
        <v>-12.733997710394075</v>
      </c>
      <c r="AA1398" s="141">
        <f t="shared" si="3330"/>
        <v>-30.402832493721387</v>
      </c>
      <c r="AB1398" s="141">
        <f t="shared" si="3330"/>
        <v>-44.23243854541542</v>
      </c>
      <c r="AC1398" s="141">
        <f t="shared" si="3330"/>
        <v>12.821952149994488</v>
      </c>
      <c r="AD1398" s="141">
        <f t="shared" si="3330"/>
        <v>-21.882125805694486</v>
      </c>
      <c r="AE1398" s="141">
        <f t="shared" si="3330"/>
        <v>-26.705679605564249</v>
      </c>
      <c r="AF1398" s="141">
        <f t="shared" si="3325"/>
        <v>13.335486643057948</v>
      </c>
      <c r="AG1398" s="141">
        <f t="shared" si="3326"/>
        <v>-21.801508162836992</v>
      </c>
      <c r="AH1398" s="141">
        <f t="shared" si="3327"/>
        <v>-22.056583428999023</v>
      </c>
      <c r="AI1398" s="141">
        <f t="shared" si="3328"/>
        <v>-25.835917349125161</v>
      </c>
      <c r="AJ1398" s="141"/>
      <c r="AK1398" s="141"/>
      <c r="AL1398" s="141"/>
      <c r="AM1398" s="141"/>
      <c r="AN1398" s="141"/>
      <c r="AO1398" s="141"/>
      <c r="AP1398" s="141"/>
      <c r="AQ1398" s="141"/>
      <c r="AR1398" s="70"/>
      <c r="AS1398" s="321" t="s">
        <v>450</v>
      </c>
      <c r="AT1398" s="9"/>
      <c r="AU1398" s="516"/>
      <c r="AV1398" s="141"/>
      <c r="AW1398" s="141">
        <f t="shared" ref="AW1398:BE1399" si="3331">(AW1393-AV1393)*10000</f>
        <v>22.158388428647481</v>
      </c>
      <c r="AX1398" s="141">
        <f t="shared" si="3331"/>
        <v>203.18776103709328</v>
      </c>
      <c r="AY1398" s="141">
        <f t="shared" si="3331"/>
        <v>75.155215574920504</v>
      </c>
      <c r="AZ1398" s="141">
        <f t="shared" si="3331"/>
        <v>6.9775494679669148</v>
      </c>
      <c r="BA1398" s="141">
        <f t="shared" si="3331"/>
        <v>-79.99829180667966</v>
      </c>
      <c r="BB1398" s="141">
        <f t="shared" si="3331"/>
        <v>-56.358522297903221</v>
      </c>
      <c r="BC1398" s="141">
        <f t="shared" si="3331"/>
        <v>-12.901194353345247</v>
      </c>
      <c r="BD1398" s="141">
        <f t="shared" si="3331"/>
        <v>1.5107664937036303</v>
      </c>
      <c r="BE1398" s="141">
        <f t="shared" si="3331"/>
        <v>3.5705192149615428</v>
      </c>
      <c r="BM1398"/>
      <c r="BN1398"/>
      <c r="BO1398"/>
      <c r="BP1398"/>
      <c r="BQ1398"/>
      <c r="BR1398"/>
    </row>
    <row r="1399" spans="1:70" s="369" customFormat="1" x14ac:dyDescent="0.2">
      <c r="A1399" s="411"/>
      <c r="B1399" s="321" t="s">
        <v>452</v>
      </c>
      <c r="C1399" s="9"/>
      <c r="D1399" s="140" t="s">
        <v>229</v>
      </c>
      <c r="E1399" s="140" t="s">
        <v>229</v>
      </c>
      <c r="F1399" s="140" t="s">
        <v>229</v>
      </c>
      <c r="G1399" s="140" t="s">
        <v>229</v>
      </c>
      <c r="H1399" s="140" t="s">
        <v>229</v>
      </c>
      <c r="I1399" s="140" t="s">
        <v>229</v>
      </c>
      <c r="J1399" s="141">
        <f t="shared" ref="J1399:AE1399" si="3332">(J1394-I1394)*10000</f>
        <v>32.999999999999972</v>
      </c>
      <c r="K1399" s="141">
        <f t="shared" si="3332"/>
        <v>-47.999999999999986</v>
      </c>
      <c r="L1399" s="141">
        <f t="shared" si="3332"/>
        <v>-12.000000000000066</v>
      </c>
      <c r="M1399" s="141">
        <f t="shared" si="3332"/>
        <v>17.999999999999961</v>
      </c>
      <c r="N1399" s="141">
        <f t="shared" si="3332"/>
        <v>5.9999999999998943</v>
      </c>
      <c r="O1399" s="141">
        <f t="shared" si="3332"/>
        <v>4.0000000000001146</v>
      </c>
      <c r="P1399" s="141">
        <f t="shared" si="3332"/>
        <v>57.999999999999993</v>
      </c>
      <c r="Q1399" s="141">
        <f t="shared" si="3332"/>
        <v>75.999999999999957</v>
      </c>
      <c r="R1399" s="141">
        <f t="shared" si="3332"/>
        <v>45.999999999999929</v>
      </c>
      <c r="S1399" s="141">
        <f t="shared" si="3332"/>
        <v>70.000000000000057</v>
      </c>
      <c r="T1399" s="141">
        <f t="shared" si="3332"/>
        <v>40.999999999999929</v>
      </c>
      <c r="U1399" s="141">
        <f t="shared" si="3332"/>
        <v>42.000000000000092</v>
      </c>
      <c r="V1399" s="141">
        <f t="shared" si="3332"/>
        <v>20.999999999999908</v>
      </c>
      <c r="W1399" s="141">
        <f t="shared" si="3332"/>
        <v>-10.000000000000009</v>
      </c>
      <c r="X1399" s="141">
        <f t="shared" si="3332"/>
        <v>28.000000000000249</v>
      </c>
      <c r="Y1399" s="141">
        <f t="shared" si="3332"/>
        <v>40.999999999999929</v>
      </c>
      <c r="Z1399" s="141">
        <f t="shared" si="3332"/>
        <v>2.0000000000000573</v>
      </c>
      <c r="AA1399" s="141">
        <f t="shared" si="3332"/>
        <v>-65.000000000000057</v>
      </c>
      <c r="AB1399" s="141">
        <f t="shared" si="3332"/>
        <v>-30.000000000000028</v>
      </c>
      <c r="AC1399" s="141">
        <f t="shared" si="3332"/>
        <v>11.6359079152889</v>
      </c>
      <c r="AD1399" s="141">
        <f t="shared" si="3332"/>
        <v>-24.385239380105837</v>
      </c>
      <c r="AE1399" s="141">
        <f t="shared" si="3332"/>
        <v>-29.628470059762655</v>
      </c>
      <c r="AF1399" s="141">
        <f t="shared" si="3325"/>
        <v>12.246228855610774</v>
      </c>
      <c r="AG1399" s="141">
        <f t="shared" si="3326"/>
        <v>-24.99739171045956</v>
      </c>
      <c r="AH1399" s="141">
        <f t="shared" si="3327"/>
        <v>-25.812130628968255</v>
      </c>
      <c r="AI1399" s="141">
        <f t="shared" si="3328"/>
        <v>-29.91129028630024</v>
      </c>
      <c r="AJ1399" s="141"/>
      <c r="AK1399" s="141"/>
      <c r="AL1399" s="141"/>
      <c r="AM1399" s="141"/>
      <c r="AN1399" s="141"/>
      <c r="AO1399" s="141"/>
      <c r="AP1399" s="141"/>
      <c r="AQ1399" s="141"/>
      <c r="AR1399" s="70"/>
      <c r="AS1399" s="321" t="s">
        <v>452</v>
      </c>
      <c r="AT1399" s="9"/>
      <c r="AU1399" s="516"/>
      <c r="AV1399" s="141"/>
      <c r="AW1399" s="141">
        <f t="shared" si="3331"/>
        <v>15.999999999999904</v>
      </c>
      <c r="AX1399" s="141">
        <f t="shared" si="3331"/>
        <v>249.99999999999994</v>
      </c>
      <c r="AY1399" s="141">
        <f t="shared" si="3331"/>
        <v>93.999999999999915</v>
      </c>
      <c r="AZ1399" s="141">
        <f t="shared" si="3331"/>
        <v>6.0000000000001723</v>
      </c>
      <c r="BA1399" s="141">
        <f t="shared" si="3331"/>
        <v>-72.377801524579624</v>
      </c>
      <c r="BB1399" s="141">
        <f t="shared" si="3331"/>
        <v>-68.474583770117277</v>
      </c>
      <c r="BC1399" s="141">
        <f t="shared" si="3331"/>
        <v>-25.196534029633678</v>
      </c>
      <c r="BD1399" s="141">
        <f t="shared" si="3331"/>
        <v>-12.208654985754741</v>
      </c>
      <c r="BE1399" s="141">
        <f t="shared" si="3331"/>
        <v>-10.069969442788596</v>
      </c>
      <c r="BM1399"/>
      <c r="BN1399"/>
      <c r="BO1399"/>
      <c r="BP1399"/>
      <c r="BQ1399"/>
      <c r="BR1399"/>
    </row>
    <row r="1400" spans="1:70" s="369" customFormat="1" x14ac:dyDescent="0.2">
      <c r="A1400" s="411"/>
      <c r="B1400" s="321"/>
      <c r="C1400" s="9"/>
      <c r="D1400" s="804"/>
      <c r="E1400" s="804"/>
      <c r="F1400" s="804"/>
      <c r="G1400" s="805"/>
      <c r="H1400" s="805"/>
      <c r="I1400" s="805"/>
      <c r="J1400" s="805"/>
      <c r="K1400" s="805"/>
      <c r="L1400" s="805"/>
      <c r="M1400" s="805"/>
      <c r="N1400" s="805"/>
      <c r="O1400" s="805"/>
      <c r="P1400" s="805"/>
      <c r="Q1400" s="805"/>
      <c r="R1400" s="805"/>
      <c r="S1400" s="805"/>
      <c r="T1400" s="805"/>
      <c r="U1400" s="805"/>
      <c r="V1400" s="805"/>
      <c r="W1400" s="805"/>
      <c r="X1400" s="805"/>
      <c r="Y1400" s="321"/>
      <c r="Z1400" s="321"/>
      <c r="AA1400" s="321"/>
      <c r="AB1400" s="321"/>
      <c r="AC1400" s="516"/>
      <c r="AD1400" s="516"/>
      <c r="AE1400" s="516"/>
      <c r="AF1400" s="516"/>
      <c r="AG1400" s="516"/>
      <c r="AH1400" s="516"/>
      <c r="AI1400" s="516"/>
      <c r="AJ1400" s="516"/>
      <c r="AK1400" s="516"/>
      <c r="AL1400" s="516"/>
      <c r="AM1400" s="516"/>
      <c r="AN1400" s="516"/>
      <c r="AO1400" s="516"/>
      <c r="AP1400" s="516"/>
      <c r="AQ1400" s="516"/>
      <c r="AR1400" s="70"/>
      <c r="AS1400" s="321"/>
      <c r="AT1400" s="9"/>
      <c r="AU1400" s="516"/>
      <c r="AV1400" s="516"/>
      <c r="AX1400" s="663"/>
      <c r="AY1400" s="382"/>
      <c r="AZ1400" s="747"/>
      <c r="BM1400"/>
      <c r="BN1400"/>
      <c r="BO1400"/>
      <c r="BP1400"/>
      <c r="BQ1400"/>
      <c r="BR1400"/>
    </row>
    <row r="1401" spans="1:70" s="799" customFormat="1" x14ac:dyDescent="0.2">
      <c r="A1401" s="411"/>
      <c r="B1401" s="341" t="s">
        <v>680</v>
      </c>
      <c r="C1401" s="323"/>
      <c r="D1401" s="418"/>
      <c r="E1401" s="418"/>
      <c r="F1401" s="418"/>
      <c r="G1401" s="796"/>
      <c r="H1401" s="796"/>
      <c r="I1401" s="796"/>
      <c r="J1401" s="796"/>
      <c r="K1401" s="796"/>
      <c r="L1401" s="796"/>
      <c r="M1401" s="796"/>
      <c r="N1401" s="796"/>
      <c r="O1401" s="796"/>
      <c r="P1401" s="796"/>
      <c r="Q1401" s="796"/>
      <c r="R1401" s="796"/>
      <c r="S1401" s="796"/>
      <c r="T1401" s="796"/>
      <c r="U1401" s="796"/>
      <c r="V1401" s="796"/>
      <c r="W1401" s="796"/>
      <c r="X1401" s="796"/>
      <c r="Y1401" s="418"/>
      <c r="Z1401" s="797"/>
      <c r="AA1401" s="797"/>
      <c r="AB1401" s="797"/>
      <c r="AC1401" s="798"/>
      <c r="AD1401" s="798"/>
      <c r="AE1401" s="798"/>
      <c r="AF1401" s="798"/>
      <c r="AG1401" s="798"/>
      <c r="AH1401" s="798"/>
      <c r="AI1401" s="798"/>
      <c r="AJ1401" s="798"/>
      <c r="AK1401" s="798"/>
      <c r="AL1401" s="798"/>
      <c r="AM1401" s="798"/>
      <c r="AN1401" s="798"/>
      <c r="AO1401" s="798"/>
      <c r="AP1401" s="798"/>
      <c r="AQ1401" s="798"/>
      <c r="AR1401" s="70"/>
      <c r="AS1401" s="341" t="s">
        <v>447</v>
      </c>
      <c r="AT1401" s="323"/>
      <c r="AU1401" s="798"/>
      <c r="AV1401" s="798"/>
      <c r="AX1401" s="800"/>
      <c r="AY1401" s="801"/>
      <c r="AZ1401" s="802"/>
      <c r="BC1401" s="798"/>
      <c r="BD1401" s="798"/>
      <c r="BE1401" s="798"/>
      <c r="BF1401" s="369"/>
      <c r="BG1401" s="369"/>
      <c r="BH1401" s="369"/>
      <c r="BI1401" s="369"/>
      <c r="BJ1401" s="369"/>
      <c r="BK1401" s="369"/>
      <c r="BL1401" s="369"/>
      <c r="BM1401"/>
      <c r="BN1401"/>
      <c r="BO1401"/>
      <c r="BP1401"/>
      <c r="BQ1401"/>
      <c r="BR1401"/>
    </row>
    <row r="1402" spans="1:70" s="369" customFormat="1" x14ac:dyDescent="0.2">
      <c r="A1402" s="411"/>
      <c r="B1402" s="321"/>
      <c r="C1402" s="9"/>
      <c r="D1402" s="804"/>
      <c r="E1402" s="804"/>
      <c r="F1402" s="804"/>
      <c r="G1402" s="805"/>
      <c r="H1402" s="805"/>
      <c r="I1402" s="805"/>
      <c r="J1402" s="805"/>
      <c r="K1402" s="805"/>
      <c r="L1402" s="805"/>
      <c r="M1402" s="805"/>
      <c r="N1402" s="805"/>
      <c r="O1402" s="805"/>
      <c r="P1402" s="805"/>
      <c r="Q1402" s="805"/>
      <c r="R1402" s="805"/>
      <c r="S1402" s="805"/>
      <c r="T1402" s="805"/>
      <c r="U1402" s="805"/>
      <c r="V1402" s="805"/>
      <c r="W1402" s="805"/>
      <c r="X1402" s="805"/>
      <c r="Y1402" s="1690">
        <f>(Y1407-11.5%)*Y1403</f>
        <v>18382.649999999987</v>
      </c>
      <c r="Z1402" s="1690">
        <f>(Z1407-11.5%)*Z1403</f>
        <v>17359.855000000003</v>
      </c>
      <c r="AA1402" s="1690">
        <f>(AA1407-11%)*AA1403</f>
        <v>17623.629999999994</v>
      </c>
      <c r="AB1402" s="1690">
        <f>(AB1407-11%)*AB1403</f>
        <v>12674.799999999996</v>
      </c>
      <c r="AC1402" s="516"/>
      <c r="AD1402" s="516"/>
      <c r="AE1402" s="516"/>
      <c r="AF1402" s="516"/>
      <c r="AG1402" s="516"/>
      <c r="AH1402" s="516"/>
      <c r="AI1402" s="321"/>
      <c r="AJ1402" s="321"/>
      <c r="AK1402" s="321"/>
      <c r="AL1402" s="321"/>
      <c r="AM1402" s="321"/>
      <c r="AN1402" s="321"/>
      <c r="AO1402" s="321"/>
      <c r="AP1402" s="321"/>
      <c r="AQ1402" s="321"/>
      <c r="AR1402" s="70"/>
      <c r="AS1402" s="321"/>
      <c r="AT1402" s="9"/>
      <c r="AU1402" s="516"/>
      <c r="AV1402" s="516"/>
      <c r="AX1402" s="663"/>
      <c r="AY1402" s="382"/>
      <c r="AZ1402" s="747"/>
      <c r="BM1402"/>
      <c r="BN1402"/>
      <c r="BO1402"/>
      <c r="BP1402"/>
      <c r="BQ1402"/>
      <c r="BR1402"/>
    </row>
    <row r="1403" spans="1:70" s="369" customFormat="1" x14ac:dyDescent="0.2">
      <c r="A1403" s="411"/>
      <c r="B1403" s="342" t="s">
        <v>681</v>
      </c>
      <c r="C1403" s="9"/>
      <c r="D1403" s="804"/>
      <c r="E1403" s="804"/>
      <c r="F1403" s="804"/>
      <c r="G1403" s="805"/>
      <c r="H1403" s="805"/>
      <c r="I1403" s="806">
        <v>1165734</v>
      </c>
      <c r="J1403" s="806">
        <v>1157068</v>
      </c>
      <c r="K1403" s="807">
        <v>1174780</v>
      </c>
      <c r="L1403" s="807">
        <v>1208119</v>
      </c>
      <c r="M1403" s="807">
        <v>1230345</v>
      </c>
      <c r="N1403" s="807">
        <v>1250424</v>
      </c>
      <c r="O1403" s="808">
        <v>1228390</v>
      </c>
      <c r="P1403" s="808">
        <v>1202924</v>
      </c>
      <c r="Q1403" s="808">
        <v>1211958</v>
      </c>
      <c r="R1403" s="806">
        <v>1191882</v>
      </c>
      <c r="S1403" s="806">
        <v>1162884</v>
      </c>
      <c r="T1403" s="806">
        <v>1177015</v>
      </c>
      <c r="U1403" s="806">
        <v>1179497</v>
      </c>
      <c r="V1403" s="806">
        <v>1166379</v>
      </c>
      <c r="W1403" s="809">
        <v>1130192</v>
      </c>
      <c r="X1403" s="809">
        <v>1142579</v>
      </c>
      <c r="Y1403" s="809">
        <v>1189490</v>
      </c>
      <c r="Z1403" s="792">
        <v>1184123</v>
      </c>
      <c r="AA1403" s="792">
        <v>1138167</v>
      </c>
      <c r="AB1403" s="1691">
        <v>1195020</v>
      </c>
      <c r="AC1403" s="431">
        <f t="shared" ref="AC1403:AE1403" si="3333">AC1388*(1+AC1405)</f>
        <v>1189034.0273618</v>
      </c>
      <c r="AD1403" s="431">
        <f t="shared" si="3333"/>
        <v>1194288.3041595197</v>
      </c>
      <c r="AE1403" s="431">
        <f t="shared" si="3333"/>
        <v>1201302.7297691074</v>
      </c>
      <c r="AF1403" s="431">
        <f t="shared" ref="AF1403:AI1403" si="3334">AF1388*(1+AF1405)</f>
        <v>1198659.3226051852</v>
      </c>
      <c r="AG1403" s="431">
        <f t="shared" si="3334"/>
        <v>1207707.7073323273</v>
      </c>
      <c r="AH1403" s="431">
        <f t="shared" si="3334"/>
        <v>1219827.1240947645</v>
      </c>
      <c r="AI1403" s="431">
        <f t="shared" si="3334"/>
        <v>1233922.0852018611</v>
      </c>
      <c r="AJ1403" s="431"/>
      <c r="AK1403" s="431"/>
      <c r="AL1403" s="431"/>
      <c r="AM1403" s="431"/>
      <c r="AN1403" s="431"/>
      <c r="AO1403" s="431"/>
      <c r="AP1403" s="431"/>
      <c r="AQ1403" s="431"/>
      <c r="AR1403" s="70"/>
      <c r="AS1403" s="342" t="s">
        <v>681</v>
      </c>
      <c r="AT1403" s="9"/>
      <c r="AU1403" s="635">
        <f>G1403</f>
        <v>0</v>
      </c>
      <c r="AV1403" s="635">
        <f>K1403</f>
        <v>1174780</v>
      </c>
      <c r="AW1403" s="635">
        <f>O1403</f>
        <v>1228390</v>
      </c>
      <c r="AX1403" s="635">
        <f>S1403</f>
        <v>1162884</v>
      </c>
      <c r="AY1403" s="635">
        <f>W1403</f>
        <v>1130192</v>
      </c>
      <c r="AZ1403" s="379">
        <f>AA1403</f>
        <v>1138167</v>
      </c>
      <c r="BA1403" s="379">
        <f>AE1403</f>
        <v>1201302.7297691074</v>
      </c>
      <c r="BB1403" s="379">
        <f>AI1403</f>
        <v>1233922.0852018611</v>
      </c>
      <c r="BC1403" s="515">
        <f>BC1388*(1+BC1405)</f>
        <v>1266192.0890994582</v>
      </c>
      <c r="BD1403" s="515">
        <f>BD1388*(1+BD1405)</f>
        <v>1308219.8717448981</v>
      </c>
      <c r="BE1403" s="515">
        <f>BE1388*(1+BE1405)</f>
        <v>1349743.576045596</v>
      </c>
      <c r="BM1403"/>
      <c r="BN1403"/>
      <c r="BO1403"/>
      <c r="BP1403"/>
      <c r="BQ1403"/>
      <c r="BR1403"/>
    </row>
    <row r="1404" spans="1:70" s="369" customFormat="1" x14ac:dyDescent="0.2">
      <c r="A1404" s="411"/>
      <c r="B1404" s="321"/>
      <c r="C1404" s="9" t="s">
        <v>683</v>
      </c>
      <c r="D1404" s="804"/>
      <c r="E1404" s="804"/>
      <c r="F1404" s="804"/>
      <c r="G1404" s="805"/>
      <c r="H1404" s="805"/>
      <c r="I1404" s="94">
        <f t="shared" ref="I1404:AE1404" si="3335">I1403-I1388</f>
        <v>-1665</v>
      </c>
      <c r="J1404" s="94">
        <f t="shared" si="3335"/>
        <v>-1654</v>
      </c>
      <c r="K1404" s="94">
        <f t="shared" si="3335"/>
        <v>-10663</v>
      </c>
      <c r="L1404" s="94">
        <f t="shared" si="3335"/>
        <v>-52014</v>
      </c>
      <c r="M1404" s="94">
        <f t="shared" si="3335"/>
        <v>-50500</v>
      </c>
      <c r="N1404" s="94">
        <f t="shared" si="3335"/>
        <v>-51236</v>
      </c>
      <c r="O1404" s="94">
        <f t="shared" si="3335"/>
        <v>-64215</v>
      </c>
      <c r="P1404" s="94">
        <f t="shared" si="3335"/>
        <v>-80834</v>
      </c>
      <c r="Q1404" s="94">
        <f t="shared" si="3335"/>
        <v>-66635</v>
      </c>
      <c r="R1404" s="94">
        <f t="shared" si="3335"/>
        <v>-62591</v>
      </c>
      <c r="S1404" s="94">
        <f t="shared" si="3335"/>
        <v>-53393</v>
      </c>
      <c r="T1404" s="94">
        <f t="shared" si="3335"/>
        <v>-62560</v>
      </c>
      <c r="U1404" s="94">
        <f t="shared" si="3335"/>
        <v>-53359</v>
      </c>
      <c r="V1404" s="94">
        <f t="shared" si="3335"/>
        <v>-61904</v>
      </c>
      <c r="W1404" s="94">
        <f t="shared" si="3335"/>
        <v>-59488</v>
      </c>
      <c r="X1404" s="94">
        <f t="shared" si="3335"/>
        <v>-48818</v>
      </c>
      <c r="Y1404" s="94">
        <f t="shared" ref="Y1404:Z1404" si="3336">Y1403-Y1388</f>
        <v>1323</v>
      </c>
      <c r="Z1404" s="94">
        <f t="shared" si="3336"/>
        <v>1205</v>
      </c>
      <c r="AA1404" s="94">
        <f t="shared" ref="AA1404:AB1404" si="3337">AA1403-AA1388</f>
        <v>3303</v>
      </c>
      <c r="AB1404" s="94">
        <f t="shared" si="3337"/>
        <v>16020</v>
      </c>
      <c r="AC1404" s="94">
        <f t="shared" si="3335"/>
        <v>11772.61413229513</v>
      </c>
      <c r="AD1404" s="94">
        <f t="shared" si="3335"/>
        <v>11824.636674846755</v>
      </c>
      <c r="AE1404" s="94">
        <f t="shared" si="3335"/>
        <v>11894.086433357559</v>
      </c>
      <c r="AF1404" s="94">
        <f t="shared" ref="AF1404:AI1404" si="3338">AF1403-AF1388</f>
        <v>11867.914085199824</v>
      </c>
      <c r="AG1404" s="94">
        <f t="shared" si="3338"/>
        <v>11957.502052795375</v>
      </c>
      <c r="AH1404" s="94">
        <f t="shared" si="3338"/>
        <v>12077.496278166072</v>
      </c>
      <c r="AI1404" s="94">
        <f t="shared" si="3338"/>
        <v>12217.050348533317</v>
      </c>
      <c r="AJ1404" s="94"/>
      <c r="AK1404" s="94"/>
      <c r="AL1404" s="94"/>
      <c r="AM1404" s="94"/>
      <c r="AN1404" s="94"/>
      <c r="AO1404" s="94"/>
      <c r="AP1404" s="94"/>
      <c r="AQ1404" s="94"/>
      <c r="AR1404" s="70"/>
      <c r="AS1404" s="321"/>
      <c r="AT1404" s="9" t="s">
        <v>683</v>
      </c>
      <c r="AU1404" s="516"/>
      <c r="AV1404" s="94">
        <f t="shared" ref="AV1404:BD1404" si="3339">AV1403-AV1388</f>
        <v>-10663</v>
      </c>
      <c r="AW1404" s="94">
        <f t="shared" si="3339"/>
        <v>-64215</v>
      </c>
      <c r="AX1404" s="94">
        <f t="shared" si="3339"/>
        <v>-53393</v>
      </c>
      <c r="AY1404" s="94">
        <f t="shared" si="3339"/>
        <v>-59488</v>
      </c>
      <c r="AZ1404" s="94">
        <f t="shared" si="3339"/>
        <v>3303</v>
      </c>
      <c r="BA1404" s="94">
        <f t="shared" si="3339"/>
        <v>11894.086433357559</v>
      </c>
      <c r="BB1404" s="94">
        <f t="shared" ref="BB1404" si="3340">BB1403-BB1388</f>
        <v>12217.050348533317</v>
      </c>
      <c r="BC1404" s="94">
        <f t="shared" si="3339"/>
        <v>12536.555337618338</v>
      </c>
      <c r="BD1404" s="94">
        <f t="shared" si="3339"/>
        <v>12952.671997474274</v>
      </c>
      <c r="BE1404" s="94">
        <f t="shared" ref="BE1404" si="3341">BE1403-BE1388</f>
        <v>13363.797782629728</v>
      </c>
      <c r="BM1404"/>
      <c r="BN1404"/>
      <c r="BO1404"/>
      <c r="BP1404"/>
      <c r="BQ1404"/>
      <c r="BR1404"/>
    </row>
    <row r="1405" spans="1:70" s="369" customFormat="1" x14ac:dyDescent="0.2">
      <c r="A1405" s="411"/>
      <c r="B1405" s="321"/>
      <c r="C1405" s="9" t="s">
        <v>682</v>
      </c>
      <c r="D1405" s="804"/>
      <c r="E1405" s="804"/>
      <c r="F1405" s="804"/>
      <c r="G1405" s="805"/>
      <c r="H1405" s="805"/>
      <c r="I1405" s="343">
        <f t="shared" ref="I1405:X1405" si="3342">I1403/I1388-1</f>
        <v>-1.4262475811611663E-3</v>
      </c>
      <c r="J1405" s="343">
        <f t="shared" si="3342"/>
        <v>-1.4274347082389172E-3</v>
      </c>
      <c r="K1405" s="343">
        <f t="shared" si="3342"/>
        <v>-8.9949495673768975E-3</v>
      </c>
      <c r="L1405" s="343">
        <f t="shared" si="3342"/>
        <v>-4.12765954069928E-2</v>
      </c>
      <c r="M1405" s="343">
        <f t="shared" si="3342"/>
        <v>-3.9427096955525487E-2</v>
      </c>
      <c r="N1405" s="343">
        <f t="shared" si="3342"/>
        <v>-3.9362045388196654E-2</v>
      </c>
      <c r="O1405" s="343">
        <f t="shared" si="3342"/>
        <v>-4.9678749501974706E-2</v>
      </c>
      <c r="P1405" s="343">
        <f t="shared" si="3342"/>
        <v>-6.2966696215330353E-2</v>
      </c>
      <c r="Q1405" s="343">
        <f t="shared" si="3342"/>
        <v>-5.2115880503021628E-2</v>
      </c>
      <c r="R1405" s="343">
        <f t="shared" si="3342"/>
        <v>-4.9894258385792312E-2</v>
      </c>
      <c r="S1405" s="343">
        <f t="shared" si="3342"/>
        <v>-4.3898717150780642E-2</v>
      </c>
      <c r="T1405" s="343">
        <f t="shared" si="3342"/>
        <v>-5.0468910715366189E-2</v>
      </c>
      <c r="U1405" s="343">
        <f t="shared" si="3342"/>
        <v>-4.3280804895300062E-2</v>
      </c>
      <c r="V1405" s="343">
        <f t="shared" si="3342"/>
        <v>-5.0398808743587598E-2</v>
      </c>
      <c r="W1405" s="343">
        <f t="shared" si="3342"/>
        <v>-5.0003362248671857E-2</v>
      </c>
      <c r="X1405" s="343">
        <f t="shared" si="3342"/>
        <v>-4.097542632724438E-2</v>
      </c>
      <c r="Y1405" s="343">
        <f t="shared" ref="Y1405:Z1405" si="3343">Y1403/Y1388-1</f>
        <v>1.1134798391134737E-3</v>
      </c>
      <c r="Z1405" s="343">
        <f t="shared" si="3343"/>
        <v>1.0186673970637994E-3</v>
      </c>
      <c r="AA1405" s="343">
        <f t="shared" ref="AA1405" si="3344">AA1403/AA1388-1</f>
        <v>2.9104809034385948E-3</v>
      </c>
      <c r="AB1405" s="343">
        <f t="shared" ref="AB1405" si="3345">AB1403/AB1388-1</f>
        <v>1.3587786259541934E-2</v>
      </c>
      <c r="AC1405" s="588">
        <f>Drivers!AC322</f>
        <v>0.01</v>
      </c>
      <c r="AD1405" s="588">
        <f>Drivers!AD322</f>
        <v>0.01</v>
      </c>
      <c r="AE1405" s="588">
        <f>Drivers!AE322</f>
        <v>0.01</v>
      </c>
      <c r="AF1405" s="588">
        <f>Drivers!AF322</f>
        <v>0.01</v>
      </c>
      <c r="AG1405" s="588">
        <f>Drivers!AG322</f>
        <v>0.01</v>
      </c>
      <c r="AH1405" s="588">
        <f>Drivers!AH322</f>
        <v>0.01</v>
      </c>
      <c r="AI1405" s="588">
        <f>Drivers!AI322</f>
        <v>0.01</v>
      </c>
      <c r="AJ1405" s="588"/>
      <c r="AK1405" s="588"/>
      <c r="AL1405" s="588"/>
      <c r="AM1405" s="588"/>
      <c r="AN1405" s="588"/>
      <c r="AO1405" s="588"/>
      <c r="AP1405" s="588"/>
      <c r="AQ1405" s="588"/>
      <c r="AR1405" s="70"/>
      <c r="AS1405" s="321"/>
      <c r="AT1405" s="9" t="s">
        <v>682</v>
      </c>
      <c r="AU1405" s="516"/>
      <c r="AV1405" s="343">
        <f t="shared" ref="AV1405:BA1405" si="3346">AV1403/AV1388-1</f>
        <v>-8.9949495673768975E-3</v>
      </c>
      <c r="AW1405" s="343">
        <f t="shared" si="3346"/>
        <v>-4.9678749501974706E-2</v>
      </c>
      <c r="AX1405" s="343">
        <f t="shared" si="3346"/>
        <v>-4.3898717150780642E-2</v>
      </c>
      <c r="AY1405" s="343">
        <f t="shared" si="3346"/>
        <v>-5.0003362248671857E-2</v>
      </c>
      <c r="AZ1405" s="343">
        <f t="shared" si="3346"/>
        <v>2.9104809034385948E-3</v>
      </c>
      <c r="BA1405" s="343">
        <f t="shared" si="3346"/>
        <v>1.0000000000000009E-2</v>
      </c>
      <c r="BB1405" s="343">
        <f t="shared" ref="BB1405" si="3347">BB1403/BB1388-1</f>
        <v>1.0000000000000009E-2</v>
      </c>
      <c r="BC1405" s="588">
        <f>Drivers!BC322</f>
        <v>0.01</v>
      </c>
      <c r="BD1405" s="588">
        <f>Drivers!BD322</f>
        <v>0.01</v>
      </c>
      <c r="BE1405" s="588">
        <f>Drivers!BE322</f>
        <v>0.01</v>
      </c>
      <c r="BM1405"/>
      <c r="BN1405"/>
      <c r="BO1405"/>
      <c r="BP1405"/>
      <c r="BQ1405"/>
      <c r="BR1405"/>
    </row>
    <row r="1406" spans="1:70" s="369" customFormat="1" x14ac:dyDescent="0.2">
      <c r="A1406" s="411"/>
      <c r="B1406" s="321"/>
      <c r="C1406" s="9"/>
      <c r="D1406" s="804"/>
      <c r="E1406" s="804"/>
      <c r="F1406" s="804"/>
      <c r="G1406" s="805"/>
      <c r="H1406" s="805"/>
      <c r="I1406" s="805"/>
      <c r="J1406" s="805"/>
      <c r="K1406" s="805"/>
      <c r="L1406" s="805"/>
      <c r="M1406" s="805"/>
      <c r="N1406" s="805"/>
      <c r="O1406" s="805"/>
      <c r="P1406" s="805"/>
      <c r="Q1406" s="805"/>
      <c r="R1406" s="805"/>
      <c r="S1406" s="805"/>
      <c r="T1406" s="805"/>
      <c r="U1406" s="805"/>
      <c r="V1406" s="805"/>
      <c r="W1406" s="805"/>
      <c r="X1406" s="805"/>
      <c r="Y1406" s="805"/>
      <c r="Z1406" s="351"/>
      <c r="AA1406" s="3">
        <f>0.5%*AA1403</f>
        <v>5690.835</v>
      </c>
      <c r="AB1406" s="3">
        <f>0.5%*AB1403</f>
        <v>5975.1</v>
      </c>
      <c r="AC1406" s="516"/>
      <c r="AD1406" s="516"/>
      <c r="AE1406" s="516"/>
      <c r="AF1406" s="516"/>
      <c r="AG1406" s="516"/>
      <c r="AH1406" s="516"/>
      <c r="AI1406" s="516"/>
      <c r="AJ1406" s="516"/>
      <c r="AK1406" s="516"/>
      <c r="AL1406" s="516"/>
      <c r="AM1406" s="516"/>
      <c r="AN1406" s="516"/>
      <c r="AO1406" s="516"/>
      <c r="AP1406" s="516"/>
      <c r="AQ1406" s="516"/>
      <c r="AR1406" s="70"/>
      <c r="AS1406" s="321"/>
      <c r="AT1406" s="9"/>
      <c r="AU1406" s="516"/>
      <c r="AV1406" s="516"/>
      <c r="AX1406" s="663"/>
      <c r="AY1406" s="382"/>
      <c r="AZ1406" s="747"/>
      <c r="BA1406" s="1782"/>
      <c r="BB1406" s="1782"/>
      <c r="BC1406" s="1782"/>
      <c r="BD1406" s="1782"/>
      <c r="BM1406"/>
      <c r="BN1406"/>
      <c r="BO1406"/>
      <c r="BP1406"/>
      <c r="BQ1406"/>
      <c r="BR1406"/>
    </row>
    <row r="1407" spans="1:70" s="1091" customFormat="1" x14ac:dyDescent="0.2">
      <c r="A1407" s="1088"/>
      <c r="B1407" s="1089" t="s">
        <v>684</v>
      </c>
      <c r="C1407" s="1090"/>
      <c r="D1407" s="1090"/>
      <c r="E1407" s="1090"/>
      <c r="F1407" s="1090"/>
      <c r="G1407" s="1093"/>
      <c r="H1407" s="1093"/>
      <c r="I1407" s="1093">
        <f t="shared" ref="I1407:AE1407" si="3348">I1383/I$1403</f>
        <v>0.10036166055034854</v>
      </c>
      <c r="J1407" s="1093">
        <f t="shared" si="3348"/>
        <v>0.10485209166617693</v>
      </c>
      <c r="K1407" s="1093">
        <f t="shared" si="3348"/>
        <v>0.1066999778681966</v>
      </c>
      <c r="L1407" s="1093">
        <f t="shared" si="3348"/>
        <v>0.10900002400425786</v>
      </c>
      <c r="M1407" s="1093">
        <f t="shared" si="3348"/>
        <v>0.11000004063900776</v>
      </c>
      <c r="N1407" s="1093">
        <f t="shared" si="3348"/>
        <v>0.11080001663435762</v>
      </c>
      <c r="O1407" s="1093">
        <f t="shared" si="3348"/>
        <v>0.1112000260503586</v>
      </c>
      <c r="P1407" s="1093">
        <f t="shared" si="3348"/>
        <v>0.11799997339815317</v>
      </c>
      <c r="Q1407" s="1093">
        <f t="shared" si="3348"/>
        <v>0.12000003300444405</v>
      </c>
      <c r="R1407" s="1093">
        <f t="shared" si="3348"/>
        <v>0.12287374085689691</v>
      </c>
      <c r="S1407" s="1093">
        <f t="shared" si="3348"/>
        <v>0.12629376618820107</v>
      </c>
      <c r="T1407" s="1093">
        <f t="shared" si="3348"/>
        <v>0.13000938815563098</v>
      </c>
      <c r="U1407" s="1093">
        <f t="shared" si="3348"/>
        <v>0.13101686566392284</v>
      </c>
      <c r="V1407" s="1093">
        <f t="shared" si="3348"/>
        <v>0.13300308047384254</v>
      </c>
      <c r="W1407" s="1093">
        <f t="shared" si="3348"/>
        <v>0.13229256621883714</v>
      </c>
      <c r="X1407" s="1093">
        <f t="shared" si="3348"/>
        <v>0.13361351818998948</v>
      </c>
      <c r="Y1407" s="1093">
        <f t="shared" ref="Y1407" si="3349">Y1383/Y$1403</f>
        <v>0.13045422828270939</v>
      </c>
      <c r="Z1407" s="1093">
        <f t="shared" si="3348"/>
        <v>0.12966051668618886</v>
      </c>
      <c r="AA1407" s="1093">
        <f t="shared" ref="AA1407" si="3350">AA1383/AA$1403</f>
        <v>0.12548422155975353</v>
      </c>
      <c r="AB1407" s="1093">
        <f t="shared" ref="AB1407" si="3351">AB1383/AB$1403</f>
        <v>0.12060634968452411</v>
      </c>
      <c r="AC1407" s="1093">
        <f t="shared" si="3348"/>
        <v>0.12228027776646748</v>
      </c>
      <c r="AD1407" s="1093">
        <f t="shared" si="3348"/>
        <v>0.12018532693648543</v>
      </c>
      <c r="AE1407" s="1093">
        <f t="shared" si="3348"/>
        <v>0.11763580466557748</v>
      </c>
      <c r="AF1407" s="1093">
        <f t="shared" ref="AF1407:AI1407" si="3352">AF1383/AF$1403</f>
        <v>0.11723519928881247</v>
      </c>
      <c r="AG1407" s="1093">
        <f t="shared" si="3352"/>
        <v>0.1152102084995504</v>
      </c>
      <c r="AH1407" s="1093">
        <f t="shared" si="3352"/>
        <v>0.11320219338764724</v>
      </c>
      <c r="AI1407" s="1093">
        <f t="shared" si="3352"/>
        <v>0.11084430041575499</v>
      </c>
      <c r="AJ1407" s="1093"/>
      <c r="AK1407" s="1093"/>
      <c r="AL1407" s="1093"/>
      <c r="AM1407" s="1093"/>
      <c r="AN1407" s="1093"/>
      <c r="AO1407" s="1093"/>
      <c r="AP1407" s="1093"/>
      <c r="AQ1407" s="1093"/>
      <c r="AS1407" s="1089" t="s">
        <v>684</v>
      </c>
      <c r="AT1407" s="1090"/>
      <c r="AU1407" s="1093"/>
      <c r="AV1407" s="1093">
        <f t="shared" ref="AV1407:BD1407" si="3353">AV1383/AV$1403</f>
        <v>0.1066999778681966</v>
      </c>
      <c r="AW1407" s="1093">
        <f t="shared" si="3353"/>
        <v>0.1112000260503586</v>
      </c>
      <c r="AX1407" s="1093">
        <f t="shared" si="3353"/>
        <v>0.12629376618820107</v>
      </c>
      <c r="AY1407" s="1093">
        <f t="shared" si="3353"/>
        <v>0.13229256621883714</v>
      </c>
      <c r="AZ1407" s="1093">
        <f t="shared" si="3353"/>
        <v>0.12548422155975353</v>
      </c>
      <c r="BA1407" s="1093">
        <f t="shared" si="3353"/>
        <v>0.11763580466557748</v>
      </c>
      <c r="BB1407" s="1093">
        <f t="shared" ref="BB1407" si="3354">BB1383/BB$1403</f>
        <v>0.11084430041575499</v>
      </c>
      <c r="BC1407" s="1093">
        <f t="shared" si="3353"/>
        <v>0.11000834331633176</v>
      </c>
      <c r="BD1407" s="1093">
        <f t="shared" si="3353"/>
        <v>0.11070013205522811</v>
      </c>
      <c r="BE1407" s="1093">
        <f t="shared" ref="BE1407" si="3355">BE1383/BE$1403</f>
        <v>0.11155619244571406</v>
      </c>
      <c r="BF1407" s="369"/>
      <c r="BG1407" s="369"/>
      <c r="BH1407" s="369"/>
      <c r="BI1407" s="369"/>
      <c r="BJ1407" s="369"/>
      <c r="BK1407" s="369"/>
      <c r="BL1407" s="369"/>
      <c r="BM1407"/>
      <c r="BN1407"/>
      <c r="BO1407"/>
      <c r="BP1407"/>
      <c r="BQ1407"/>
      <c r="BR1407"/>
    </row>
    <row r="1408" spans="1:70" x14ac:dyDescent="0.2">
      <c r="B1408" s="15" t="s">
        <v>685</v>
      </c>
      <c r="I1408" s="66">
        <f t="shared" ref="I1408:AE1408" si="3356">I1384/I$1403</f>
        <v>0.1050231013250021</v>
      </c>
      <c r="J1408" s="66">
        <f t="shared" si="3356"/>
        <v>0.11035047205522926</v>
      </c>
      <c r="K1408" s="66">
        <f t="shared" si="3356"/>
        <v>0.11335228723675922</v>
      </c>
      <c r="L1408" s="66">
        <f t="shared" si="3356"/>
        <v>0.11585282575640314</v>
      </c>
      <c r="M1408" s="66">
        <f t="shared" si="3356"/>
        <v>0.11813759555246699</v>
      </c>
      <c r="N1408" s="66">
        <f t="shared" si="3356"/>
        <v>0.11880530124181878</v>
      </c>
      <c r="O1408" s="66">
        <f t="shared" si="3356"/>
        <v>0.12053663738714904</v>
      </c>
      <c r="P1408" s="66">
        <f t="shared" si="3356"/>
        <v>0.1287737213656058</v>
      </c>
      <c r="Q1408" s="66">
        <f t="shared" si="3356"/>
        <v>0.13234039463413749</v>
      </c>
      <c r="R1408" s="66">
        <f t="shared" si="3356"/>
        <v>0.13591865637705747</v>
      </c>
      <c r="S1408" s="66">
        <f t="shared" si="3356"/>
        <v>0.14105964137437613</v>
      </c>
      <c r="T1408" s="26">
        <f t="shared" si="3356"/>
        <v>0.14540341456990777</v>
      </c>
      <c r="U1408" s="26">
        <f t="shared" si="3356"/>
        <v>0.14754340197558791</v>
      </c>
      <c r="V1408" s="26">
        <f t="shared" si="3356"/>
        <v>0.14983122981466573</v>
      </c>
      <c r="W1408" s="26">
        <f t="shared" si="3356"/>
        <v>0.14987718900859323</v>
      </c>
      <c r="X1408" s="26">
        <f t="shared" si="3356"/>
        <v>0.15093485877125346</v>
      </c>
      <c r="Y1408" s="26">
        <f t="shared" ref="Y1408" si="3357">Y1384/Y$1403</f>
        <v>0.14723032560172847</v>
      </c>
      <c r="Z1408" s="26">
        <f t="shared" si="3356"/>
        <v>0.14597216674281305</v>
      </c>
      <c r="AA1408" s="26">
        <f t="shared" ref="AA1408" si="3358">AA1384/AA$1403</f>
        <v>0.14266535578698028</v>
      </c>
      <c r="AB1408" s="26">
        <f t="shared" ref="AB1408" si="3359">AB1384/AB$1403</f>
        <v>0.13679854730464763</v>
      </c>
      <c r="AC1408" s="26">
        <f t="shared" si="3356"/>
        <v>0.13855399202083019</v>
      </c>
      <c r="AD1408" s="26">
        <f t="shared" si="3356"/>
        <v>0.13638744491135546</v>
      </c>
      <c r="AE1408" s="26">
        <f t="shared" si="3356"/>
        <v>0.13374331821773522</v>
      </c>
      <c r="AF1408" s="26">
        <f t="shared" ref="AF1408:AI1408" si="3360">AF1384/AF$1403</f>
        <v>0.13506366342991918</v>
      </c>
      <c r="AG1408" s="26">
        <f t="shared" si="3360"/>
        <v>0.13290509826528188</v>
      </c>
      <c r="AH1408" s="26">
        <f t="shared" si="3360"/>
        <v>0.1307212781237968</v>
      </c>
      <c r="AI1408" s="26">
        <f t="shared" si="3360"/>
        <v>0.12816326650507157</v>
      </c>
      <c r="AJ1408" s="26"/>
      <c r="AK1408" s="26"/>
      <c r="AL1408" s="26"/>
      <c r="AM1408" s="26"/>
      <c r="AN1408" s="26"/>
      <c r="AO1408" s="26"/>
      <c r="AP1408" s="26"/>
      <c r="AQ1408" s="26"/>
      <c r="AS1408" s="15" t="s">
        <v>685</v>
      </c>
      <c r="AV1408" s="26">
        <f t="shared" ref="AV1408:BD1408" si="3361">AV1384/AV$1403</f>
        <v>0.11335228723675922</v>
      </c>
      <c r="AW1408" s="26">
        <f t="shared" si="3361"/>
        <v>0.12053663738714904</v>
      </c>
      <c r="AX1408" s="26">
        <f t="shared" si="3361"/>
        <v>0.14105964137437613</v>
      </c>
      <c r="AY1408" s="26">
        <f t="shared" si="3361"/>
        <v>0.14987718900859323</v>
      </c>
      <c r="AZ1408" s="26">
        <f t="shared" si="3361"/>
        <v>0.14266535578698028</v>
      </c>
      <c r="BA1408" s="26">
        <f t="shared" si="3361"/>
        <v>0.13374331821773522</v>
      </c>
      <c r="BB1408" s="26">
        <f t="shared" ref="BB1408" si="3362">BB1384/BB$1403</f>
        <v>0.12816326650507157</v>
      </c>
      <c r="BC1408" s="26">
        <f t="shared" si="3361"/>
        <v>0.12688592052949282</v>
      </c>
      <c r="BD1408" s="26">
        <f t="shared" si="3361"/>
        <v>0.12703550137045358</v>
      </c>
      <c r="BE1408" s="26">
        <f t="shared" ref="BE1408" si="3363">BE1384/BE$1403</f>
        <v>0.12738901812441017</v>
      </c>
      <c r="BF1408" s="369"/>
      <c r="BG1408" s="369"/>
      <c r="BH1408" s="369"/>
      <c r="BI1408" s="369"/>
      <c r="BJ1408" s="369"/>
      <c r="BK1408" s="369"/>
      <c r="BL1408" s="369"/>
    </row>
    <row r="1409" spans="1:70" s="369" customFormat="1" x14ac:dyDescent="0.2">
      <c r="A1409" s="411"/>
      <c r="B1409" s="321" t="s">
        <v>686</v>
      </c>
      <c r="C1409" s="9"/>
      <c r="D1409" s="804"/>
      <c r="E1409" s="804"/>
      <c r="F1409" s="804"/>
      <c r="G1409" s="805"/>
      <c r="H1409" s="805"/>
      <c r="I1409" s="66">
        <f t="shared" ref="I1409:AE1409" si="3364">I1385/I$1403</f>
        <v>2.3059576284126592E-2</v>
      </c>
      <c r="J1409" s="66">
        <f t="shared" si="3364"/>
        <v>2.1037075089795951E-2</v>
      </c>
      <c r="K1409" s="66">
        <f t="shared" si="3364"/>
        <v>1.4194994126559871E-2</v>
      </c>
      <c r="L1409" s="66">
        <f t="shared" si="3364"/>
        <v>1.4737498210027334E-2</v>
      </c>
      <c r="M1409" s="66">
        <f t="shared" si="3364"/>
        <v>1.407516997264995E-2</v>
      </c>
      <c r="N1409" s="66">
        <f t="shared" si="3364"/>
        <v>1.402309616578056E-2</v>
      </c>
      <c r="O1409" s="66">
        <f t="shared" si="3364"/>
        <v>1.4154657722710216E-2</v>
      </c>
      <c r="P1409" s="66">
        <f t="shared" si="3364"/>
        <v>1.4017361362812611E-2</v>
      </c>
      <c r="Q1409" s="66">
        <f t="shared" si="3364"/>
        <v>1.6833958107459166E-2</v>
      </c>
      <c r="R1409" s="66">
        <f t="shared" si="3364"/>
        <v>1.7748449930446126E-2</v>
      </c>
      <c r="S1409" s="66">
        <f t="shared" si="3364"/>
        <v>1.8965245888669886E-2</v>
      </c>
      <c r="T1409" s="26">
        <f t="shared" si="3364"/>
        <v>2.0046671027981789E-2</v>
      </c>
      <c r="U1409" s="26">
        <f t="shared" si="3364"/>
        <v>2.1053612514487108E-2</v>
      </c>
      <c r="V1409" s="26">
        <f t="shared" si="3364"/>
        <v>2.2241005882307544E-2</v>
      </c>
      <c r="W1409" s="26">
        <f t="shared" si="3364"/>
        <v>2.1070784433087457E-2</v>
      </c>
      <c r="X1409" s="26">
        <f t="shared" si="3364"/>
        <v>2.1323500957045424E-2</v>
      </c>
      <c r="Y1409" s="26">
        <f t="shared" si="3364"/>
        <v>2.1881371932508904E-2</v>
      </c>
      <c r="Z1409" s="26">
        <f t="shared" si="3364"/>
        <v>2.3355344841709876E-2</v>
      </c>
      <c r="AA1409" s="26">
        <f t="shared" ref="AA1409" si="3365">AA1385/AA$1403</f>
        <v>1.9861612575307486E-2</v>
      </c>
      <c r="AB1409" s="26">
        <f t="shared" ref="AB1409" si="3366">AB1385/AB$1403</f>
        <v>2.1056551354789042E-2</v>
      </c>
      <c r="AC1409" s="26">
        <f t="shared" si="3364"/>
        <v>2.1013919653950899E-2</v>
      </c>
      <c r="AD1409" s="26">
        <f t="shared" si="3364"/>
        <v>2.0766086626781474E-2</v>
      </c>
      <c r="AE1409" s="26">
        <f t="shared" si="3364"/>
        <v>2.0476701433296478E-2</v>
      </c>
      <c r="AF1409" s="26">
        <f t="shared" ref="AF1409:AI1409" si="3367">AF1385/AF$1403</f>
        <v>2.0368854127608648E-2</v>
      </c>
      <c r="AG1409" s="26">
        <f t="shared" si="3367"/>
        <v>2.0052430013982641E-2</v>
      </c>
      <c r="AH1409" s="26">
        <f t="shared" si="3367"/>
        <v>1.9680593657550049E-2</v>
      </c>
      <c r="AI1409" s="26">
        <f t="shared" si="3367"/>
        <v>1.927709138654261E-2</v>
      </c>
      <c r="AJ1409" s="26"/>
      <c r="AK1409" s="26"/>
      <c r="AL1409" s="26"/>
      <c r="AM1409" s="26"/>
      <c r="AN1409" s="26"/>
      <c r="AO1409" s="26"/>
      <c r="AP1409" s="26"/>
      <c r="AQ1409" s="26"/>
      <c r="AR1409" s="70"/>
      <c r="AS1409" s="321" t="s">
        <v>686</v>
      </c>
      <c r="AT1409" s="9"/>
      <c r="AU1409" s="516"/>
      <c r="AV1409" s="26">
        <f t="shared" ref="AV1409:BD1409" si="3368">AV1385/AV$1403</f>
        <v>1.4194994126559871E-2</v>
      </c>
      <c r="AW1409" s="26">
        <f t="shared" si="3368"/>
        <v>1.4154657722710216E-2</v>
      </c>
      <c r="AX1409" s="26">
        <f t="shared" si="3368"/>
        <v>1.8965245888669886E-2</v>
      </c>
      <c r="AY1409" s="26">
        <f t="shared" si="3368"/>
        <v>2.1070784433087457E-2</v>
      </c>
      <c r="AZ1409" s="26">
        <f t="shared" si="3368"/>
        <v>1.9861612575307486E-2</v>
      </c>
      <c r="BA1409" s="26">
        <f t="shared" si="3368"/>
        <v>2.0476701433296478E-2</v>
      </c>
      <c r="BB1409" s="26">
        <f t="shared" ref="BB1409" si="3369">BB1385/BB$1403</f>
        <v>1.927709138654261E-2</v>
      </c>
      <c r="BC1409" s="26">
        <f t="shared" si="3368"/>
        <v>1.8059731022553673E-2</v>
      </c>
      <c r="BD1409" s="26">
        <f t="shared" si="3368"/>
        <v>1.6701372460231068E-2</v>
      </c>
      <c r="BE1409" s="26">
        <f t="shared" ref="BE1409" si="3370">BE1385/BE$1403</f>
        <v>1.5350829028770635E-2</v>
      </c>
      <c r="BM1409"/>
      <c r="BN1409"/>
      <c r="BO1409"/>
      <c r="BP1409"/>
      <c r="BQ1409"/>
      <c r="BR1409"/>
    </row>
    <row r="1410" spans="1:70" s="369" customFormat="1" x14ac:dyDescent="0.2">
      <c r="A1410" s="411"/>
      <c r="B1410" s="321"/>
      <c r="C1410" s="9"/>
      <c r="D1410" s="804"/>
      <c r="E1410" s="804"/>
      <c r="F1410" s="804"/>
      <c r="G1410" s="805"/>
      <c r="H1410" s="805"/>
      <c r="I1410" s="805"/>
      <c r="J1410" s="805"/>
      <c r="K1410" s="805"/>
      <c r="L1410" s="805"/>
      <c r="M1410" s="805"/>
      <c r="N1410" s="805"/>
      <c r="O1410" s="805"/>
      <c r="P1410" s="805"/>
      <c r="Q1410" s="805"/>
      <c r="R1410" s="805"/>
      <c r="S1410" s="805"/>
      <c r="T1410" s="805"/>
      <c r="U1410" s="805"/>
      <c r="V1410" s="805"/>
      <c r="W1410" s="805"/>
      <c r="X1410" s="321"/>
      <c r="Y1410" s="321"/>
      <c r="Z1410" s="351"/>
      <c r="AA1410" s="351"/>
      <c r="AB1410" s="351"/>
      <c r="AC1410" s="516"/>
      <c r="AD1410" s="516"/>
      <c r="AE1410" s="516"/>
      <c r="AF1410" s="516"/>
      <c r="AG1410" s="516"/>
      <c r="AH1410" s="516"/>
      <c r="AI1410" s="516"/>
      <c r="AJ1410" s="516"/>
      <c r="AK1410" s="516"/>
      <c r="AL1410" s="516"/>
      <c r="AM1410" s="516"/>
      <c r="AN1410" s="516"/>
      <c r="AO1410" s="516"/>
      <c r="AP1410" s="516"/>
      <c r="AQ1410" s="516"/>
      <c r="AR1410" s="70"/>
      <c r="AS1410" s="321"/>
      <c r="AT1410" s="9"/>
      <c r="AU1410" s="516"/>
      <c r="AV1410" s="516"/>
      <c r="AX1410" s="663"/>
      <c r="AY1410" s="382"/>
      <c r="AZ1410" s="747"/>
      <c r="BM1410"/>
      <c r="BN1410"/>
      <c r="BO1410"/>
      <c r="BP1410"/>
      <c r="BQ1410"/>
      <c r="BR1410"/>
    </row>
    <row r="1411" spans="1:70" x14ac:dyDescent="0.2">
      <c r="A1411" s="411" t="s">
        <v>194</v>
      </c>
      <c r="B1411" s="13" t="s">
        <v>882</v>
      </c>
      <c r="C1411" s="13"/>
      <c r="D1411" s="14"/>
      <c r="E1411" s="14"/>
      <c r="F1411" s="14"/>
      <c r="G1411" s="14"/>
      <c r="H1411" s="14"/>
      <c r="I1411" s="14"/>
      <c r="J1411" s="14"/>
      <c r="K1411" s="14"/>
      <c r="L1411" s="14"/>
      <c r="M1411" s="14"/>
      <c r="N1411" s="14"/>
      <c r="O1411" s="14"/>
      <c r="P1411" s="14"/>
      <c r="Q1411" s="14"/>
      <c r="R1411" s="14"/>
      <c r="S1411" s="14"/>
      <c r="T1411" s="14"/>
      <c r="U1411" s="14"/>
      <c r="V1411" s="14"/>
      <c r="W1411" s="14"/>
      <c r="X1411" s="14"/>
      <c r="Y1411" s="14"/>
      <c r="Z1411" s="14"/>
      <c r="AA1411" s="14"/>
      <c r="AB1411" s="14"/>
      <c r="AC1411" s="14"/>
      <c r="AD1411" s="14"/>
      <c r="AE1411" s="14"/>
      <c r="AF1411" s="14"/>
      <c r="AG1411" s="14"/>
      <c r="AH1411" s="14"/>
      <c r="AI1411" s="14"/>
      <c r="AJ1411" s="14"/>
      <c r="AK1411" s="14"/>
      <c r="AL1411" s="14"/>
      <c r="AM1411" s="14"/>
      <c r="AN1411" s="14"/>
      <c r="AO1411" s="14"/>
      <c r="AP1411" s="14"/>
      <c r="AQ1411" s="14"/>
      <c r="AS1411" s="13" t="s">
        <v>439</v>
      </c>
      <c r="AT1411" s="13"/>
      <c r="AU1411" s="13"/>
      <c r="AV1411" s="13"/>
      <c r="AW1411" s="13"/>
      <c r="AX1411" s="13"/>
      <c r="AY1411" s="13"/>
      <c r="AZ1411" s="13"/>
      <c r="BA1411" s="13"/>
      <c r="BB1411" s="13"/>
      <c r="BC1411" s="13"/>
      <c r="BD1411" s="13"/>
      <c r="BE1411" s="13"/>
      <c r="BF1411" s="369"/>
      <c r="BG1411" s="369"/>
      <c r="BH1411" s="369"/>
      <c r="BI1411" s="369"/>
      <c r="BJ1411" s="369"/>
      <c r="BK1411" s="369"/>
      <c r="BL1411" s="369"/>
    </row>
    <row r="1412" spans="1:70" x14ac:dyDescent="0.2">
      <c r="B1412" s="9"/>
      <c r="C1412" s="15"/>
      <c r="D1412" s="107"/>
      <c r="E1412" s="107"/>
      <c r="F1412" s="107"/>
      <c r="G1412" s="107"/>
      <c r="H1412" s="107"/>
      <c r="I1412" s="107"/>
      <c r="J1412" s="107"/>
      <c r="K1412" s="107"/>
      <c r="L1412" s="107"/>
      <c r="M1412" s="107"/>
      <c r="N1412" s="107"/>
      <c r="O1412" s="107"/>
      <c r="P1412" s="107"/>
      <c r="Q1412" s="107"/>
      <c r="R1412" s="107"/>
      <c r="S1412" s="107"/>
      <c r="T1412" s="107"/>
      <c r="U1412" s="107"/>
      <c r="V1412" s="107"/>
      <c r="W1412" s="107"/>
      <c r="X1412" s="15"/>
      <c r="Y1412" s="15"/>
      <c r="Z1412" s="15"/>
      <c r="AA1412" s="15"/>
      <c r="AB1412" s="15"/>
      <c r="AC1412" s="15"/>
      <c r="AD1412" s="15"/>
      <c r="AE1412" s="15"/>
      <c r="AF1412" s="15"/>
      <c r="AG1412" s="15"/>
      <c r="AH1412" s="15"/>
      <c r="AI1412" s="15"/>
      <c r="AJ1412" s="15"/>
      <c r="AK1412" s="15"/>
      <c r="AL1412" s="15"/>
      <c r="AM1412" s="15"/>
      <c r="AN1412" s="15"/>
      <c r="AO1412" s="15"/>
      <c r="AP1412" s="15"/>
      <c r="AQ1412" s="15"/>
      <c r="AS1412" s="9"/>
      <c r="AT1412" s="15"/>
      <c r="AU1412" s="15"/>
      <c r="AV1412" s="15"/>
      <c r="AW1412" s="15"/>
      <c r="AX1412" s="15"/>
      <c r="AY1412" s="15"/>
      <c r="AZ1412" s="15"/>
      <c r="BA1412" s="15"/>
      <c r="BB1412" s="15"/>
      <c r="BC1412" s="15"/>
      <c r="BD1412" s="15"/>
      <c r="BE1412" s="15"/>
      <c r="BF1412" s="369"/>
      <c r="BG1412" s="369"/>
      <c r="BH1412" s="369"/>
      <c r="BI1412" s="369"/>
      <c r="BJ1412" s="369"/>
      <c r="BK1412" s="369"/>
      <c r="BL1412" s="369"/>
    </row>
    <row r="1413" spans="1:70" x14ac:dyDescent="0.2">
      <c r="B1413" s="65" t="s">
        <v>977</v>
      </c>
      <c r="D1413" s="51"/>
      <c r="E1413" s="81"/>
      <c r="F1413" s="81"/>
      <c r="G1413" s="81"/>
      <c r="H1413" s="81"/>
      <c r="I1413" s="81"/>
      <c r="J1413" s="81"/>
      <c r="K1413" s="81"/>
      <c r="L1413" s="81"/>
      <c r="M1413" s="81"/>
      <c r="N1413" s="81"/>
      <c r="O1413" s="81"/>
      <c r="P1413" s="81"/>
      <c r="Q1413" s="81"/>
      <c r="R1413" s="81"/>
      <c r="S1413" s="81"/>
      <c r="T1413" s="81"/>
      <c r="U1413" s="81"/>
      <c r="V1413" s="81"/>
      <c r="W1413" s="81"/>
      <c r="X1413" s="81"/>
      <c r="Y1413" s="81"/>
      <c r="AA1413" s="1742"/>
      <c r="AB1413" s="1785"/>
      <c r="AS1413" s="65" t="s">
        <v>595</v>
      </c>
      <c r="AT1413" s="9"/>
      <c r="BF1413" s="369"/>
      <c r="BG1413" s="369"/>
      <c r="BH1413" s="369"/>
      <c r="BI1413" s="369"/>
      <c r="BJ1413" s="369"/>
      <c r="BK1413" s="369"/>
      <c r="BL1413" s="369"/>
    </row>
    <row r="1414" spans="1:70" x14ac:dyDescent="0.2">
      <c r="B1414" s="35" t="s">
        <v>178</v>
      </c>
      <c r="D1414" s="51">
        <f t="shared" ref="D1414:AE1414" si="3371">D151</f>
        <v>5253</v>
      </c>
      <c r="E1414" s="51">
        <f t="shared" si="3371"/>
        <v>5186</v>
      </c>
      <c r="F1414" s="51">
        <f t="shared" si="3371"/>
        <v>5454</v>
      </c>
      <c r="G1414" s="51">
        <f t="shared" si="3371"/>
        <v>5399</v>
      </c>
      <c r="H1414" s="51">
        <f t="shared" si="3371"/>
        <v>5187</v>
      </c>
      <c r="I1414" s="51">
        <f t="shared" si="3371"/>
        <v>5130</v>
      </c>
      <c r="J1414" s="51">
        <f t="shared" si="3371"/>
        <v>4813</v>
      </c>
      <c r="K1414" s="51">
        <f t="shared" si="3371"/>
        <v>4945</v>
      </c>
      <c r="L1414" s="51">
        <f t="shared" si="3371"/>
        <v>4856</v>
      </c>
      <c r="M1414" s="51">
        <f t="shared" si="3371"/>
        <v>4856</v>
      </c>
      <c r="N1414" s="51">
        <f t="shared" si="3371"/>
        <v>5070</v>
      </c>
      <c r="O1414" s="51">
        <f t="shared" si="3371"/>
        <v>5165</v>
      </c>
      <c r="P1414" s="51">
        <f t="shared" si="3371"/>
        <v>5008</v>
      </c>
      <c r="Q1414" s="51">
        <f t="shared" si="3371"/>
        <v>4848</v>
      </c>
      <c r="R1414" s="51">
        <f t="shared" si="3371"/>
        <v>4840</v>
      </c>
      <c r="S1414" s="51">
        <f t="shared" si="3371"/>
        <v>4819</v>
      </c>
      <c r="T1414" s="51">
        <f t="shared" si="3371"/>
        <v>4830</v>
      </c>
      <c r="U1414" s="51">
        <f t="shared" si="3371"/>
        <v>4709</v>
      </c>
      <c r="V1414" s="51">
        <f t="shared" si="3371"/>
        <v>5161</v>
      </c>
      <c r="W1414" s="51">
        <f t="shared" si="3371"/>
        <v>5059</v>
      </c>
      <c r="X1414" s="51">
        <f t="shared" si="3371"/>
        <v>4945</v>
      </c>
      <c r="Y1414" s="51">
        <f t="shared" ref="Y1414:Z1414" si="3372">Y151</f>
        <v>4946</v>
      </c>
      <c r="Z1414" s="51">
        <f t="shared" si="3372"/>
        <v>5197</v>
      </c>
      <c r="AA1414" s="51">
        <f t="shared" ref="AA1414:AB1414" si="3373">AA151</f>
        <v>5182</v>
      </c>
      <c r="AB1414" s="51">
        <f t="shared" si="3373"/>
        <v>5157</v>
      </c>
      <c r="AC1414" s="51">
        <f t="shared" si="3371"/>
        <v>4992.6236952054787</v>
      </c>
      <c r="AD1414" s="51">
        <f t="shared" si="3371"/>
        <v>5207.5221528410975</v>
      </c>
      <c r="AE1414" s="51">
        <f t="shared" si="3371"/>
        <v>5229.3818727250955</v>
      </c>
      <c r="AF1414" s="51">
        <f t="shared" ref="AF1414:AI1414" si="3374">AF151</f>
        <v>5196.0603797014728</v>
      </c>
      <c r="AG1414" s="51">
        <f t="shared" si="3374"/>
        <v>5268.0513349164794</v>
      </c>
      <c r="AH1414" s="51">
        <f t="shared" si="3374"/>
        <v>5445.9121710969985</v>
      </c>
      <c r="AI1414" s="51">
        <f t="shared" si="3374"/>
        <v>5468.3809458063806</v>
      </c>
      <c r="AJ1414" s="51"/>
      <c r="AK1414" s="51"/>
      <c r="AL1414" s="51"/>
      <c r="AM1414" s="51"/>
      <c r="AN1414" s="51"/>
      <c r="AO1414" s="51"/>
      <c r="AP1414" s="51"/>
      <c r="AQ1414" s="51"/>
      <c r="AS1414" s="35" t="s">
        <v>178</v>
      </c>
      <c r="AT1414" s="9"/>
      <c r="AU1414" s="232">
        <f>SUM(D1414:G1414)</f>
        <v>21292</v>
      </c>
      <c r="AV1414" s="232">
        <f>SUM(H1414:K1414)</f>
        <v>20075</v>
      </c>
      <c r="AW1414" s="232">
        <f>SUM(L1414:O1414)</f>
        <v>19947</v>
      </c>
      <c r="AX1414" s="232">
        <f>SUM(P1414:S1414)</f>
        <v>19515</v>
      </c>
      <c r="AY1414" s="232">
        <f>SUM(T1414:W1414)</f>
        <v>19759</v>
      </c>
      <c r="AZ1414" s="232">
        <f>SUM(X1414:AA1414)</f>
        <v>20270</v>
      </c>
      <c r="BA1414" s="232">
        <f>SUM(AB1414:AE1414)</f>
        <v>20586.527720771672</v>
      </c>
      <c r="BB1414" s="232">
        <f>SUM(AF1414:AI1414)</f>
        <v>21378.404831521333</v>
      </c>
      <c r="BC1414" s="51">
        <f>BC151</f>
        <v>22368.618915102063</v>
      </c>
      <c r="BD1414" s="51">
        <f>BD151</f>
        <v>23368.690402641856</v>
      </c>
      <c r="BE1414" s="51">
        <f>BE151</f>
        <v>24371.74933415432</v>
      </c>
      <c r="BF1414" s="369"/>
      <c r="BG1414" s="369"/>
      <c r="BH1414" s="369"/>
      <c r="BI1414" s="369"/>
      <c r="BJ1414" s="369"/>
      <c r="BK1414" s="369"/>
      <c r="BL1414" s="369"/>
    </row>
    <row r="1415" spans="1:70" x14ac:dyDescent="0.2">
      <c r="B1415" s="70"/>
      <c r="C1415" s="35" t="s">
        <v>597</v>
      </c>
      <c r="D1415" s="51">
        <f t="shared" ref="D1415:AE1415" si="3375">D115</f>
        <v>8719</v>
      </c>
      <c r="E1415" s="51">
        <f t="shared" si="3375"/>
        <v>8544</v>
      </c>
      <c r="F1415" s="51">
        <f t="shared" si="3375"/>
        <v>8940</v>
      </c>
      <c r="G1415" s="51">
        <f t="shared" si="3375"/>
        <v>8988</v>
      </c>
      <c r="H1415" s="51">
        <f t="shared" si="3375"/>
        <v>8784</v>
      </c>
      <c r="I1415" s="51">
        <f t="shared" si="3375"/>
        <v>8763</v>
      </c>
      <c r="J1415" s="51">
        <f t="shared" si="3375"/>
        <v>8312</v>
      </c>
      <c r="K1415" s="51">
        <f t="shared" si="3375"/>
        <v>8536</v>
      </c>
      <c r="L1415" s="51">
        <f t="shared" si="3375"/>
        <v>8366</v>
      </c>
      <c r="M1415" s="51">
        <f t="shared" si="3375"/>
        <v>8480</v>
      </c>
      <c r="N1415" s="51">
        <f t="shared" si="3375"/>
        <v>8765</v>
      </c>
      <c r="O1415" s="51">
        <f t="shared" si="3375"/>
        <v>8636</v>
      </c>
      <c r="P1415" s="51">
        <f t="shared" si="3375"/>
        <v>8238</v>
      </c>
      <c r="Q1415" s="51">
        <f t="shared" si="3375"/>
        <v>8128</v>
      </c>
      <c r="R1415" s="51">
        <f t="shared" si="3375"/>
        <v>8071</v>
      </c>
      <c r="S1415" s="51">
        <f t="shared" si="3375"/>
        <v>7814</v>
      </c>
      <c r="T1415" s="51">
        <f t="shared" si="3375"/>
        <v>7714</v>
      </c>
      <c r="U1415" s="51">
        <f t="shared" si="3375"/>
        <v>7674</v>
      </c>
      <c r="V1415" s="51">
        <f t="shared" si="3375"/>
        <v>8164</v>
      </c>
      <c r="W1415" s="51">
        <f t="shared" si="3375"/>
        <v>7967</v>
      </c>
      <c r="X1415" s="51">
        <f t="shared" si="3375"/>
        <v>7846</v>
      </c>
      <c r="Y1415" s="51">
        <f t="shared" ref="Y1415:Z1415" si="3376">Y115</f>
        <v>8073</v>
      </c>
      <c r="Z1415" s="51">
        <f t="shared" si="3376"/>
        <v>8470</v>
      </c>
      <c r="AA1415" s="51">
        <f t="shared" ref="AA1415:AB1415" si="3377">AA115</f>
        <v>8449</v>
      </c>
      <c r="AB1415" s="51">
        <f t="shared" si="3377"/>
        <v>8433</v>
      </c>
      <c r="AC1415" s="51">
        <f t="shared" si="3375"/>
        <v>8374.5398401369857</v>
      </c>
      <c r="AD1415" s="51">
        <f t="shared" si="3375"/>
        <v>8687.4049600191793</v>
      </c>
      <c r="AE1415" s="51">
        <f t="shared" si="3375"/>
        <v>8781.8353472642739</v>
      </c>
      <c r="AF1415" s="51">
        <f t="shared" ref="AF1415:AI1415" si="3378">AF115</f>
        <v>8665.6098073894264</v>
      </c>
      <c r="AG1415" s="51">
        <f t="shared" si="3378"/>
        <v>8828.2466101304253</v>
      </c>
      <c r="AH1415" s="51">
        <f t="shared" si="3378"/>
        <v>9132.7422203267542</v>
      </c>
      <c r="AI1415" s="51">
        <f t="shared" si="3378"/>
        <v>9232.2154973847119</v>
      </c>
      <c r="AJ1415" s="51"/>
      <c r="AK1415" s="51"/>
      <c r="AL1415" s="51"/>
      <c r="AM1415" s="51"/>
      <c r="AN1415" s="51"/>
      <c r="AO1415" s="51"/>
      <c r="AP1415" s="51"/>
      <c r="AQ1415" s="51"/>
      <c r="AT1415" s="35" t="s">
        <v>597</v>
      </c>
      <c r="AU1415" s="232">
        <f>SUM(D1415:G1415)</f>
        <v>35191</v>
      </c>
      <c r="AV1415" s="232">
        <f>SUM(H1415:K1415)</f>
        <v>34395</v>
      </c>
      <c r="AW1415" s="232">
        <f>SUM(L1415:O1415)</f>
        <v>34247</v>
      </c>
      <c r="AX1415" s="232">
        <f>SUM(P1415:S1415)</f>
        <v>32251</v>
      </c>
      <c r="AY1415" s="232">
        <f>SUM(T1415:W1415)</f>
        <v>31519</v>
      </c>
      <c r="AZ1415" s="232">
        <f>SUM(X1415:AA1415)</f>
        <v>32838</v>
      </c>
      <c r="BA1415" s="232">
        <f>SUM(AB1415:AE1415)</f>
        <v>34276.780147420439</v>
      </c>
      <c r="BB1415" s="232">
        <f>SUM(AF1415:AI1415)</f>
        <v>35858.814135231318</v>
      </c>
      <c r="BC1415" s="51">
        <f>BC115</f>
        <v>37604.049129121064</v>
      </c>
      <c r="BD1415" s="51">
        <f>BD115</f>
        <v>39412.214226103104</v>
      </c>
      <c r="BE1415" s="51">
        <f>BE115</f>
        <v>41088.050693411191</v>
      </c>
      <c r="BF1415" s="369"/>
      <c r="BG1415" s="369"/>
      <c r="BH1415" s="369"/>
      <c r="BI1415" s="369"/>
      <c r="BJ1415" s="369"/>
      <c r="BK1415" s="369"/>
      <c r="BL1415" s="369"/>
    </row>
    <row r="1416" spans="1:70" s="72" customFormat="1" x14ac:dyDescent="0.2">
      <c r="A1416" s="831"/>
      <c r="C1416" s="213" t="s">
        <v>594</v>
      </c>
      <c r="D1416" s="239">
        <f t="shared" ref="D1416:AE1416" si="3379">D1414/D1415</f>
        <v>0.60247734831976141</v>
      </c>
      <c r="E1416" s="239">
        <f t="shared" si="3379"/>
        <v>0.60697565543071164</v>
      </c>
      <c r="F1416" s="239">
        <f t="shared" si="3379"/>
        <v>0.61006711409395975</v>
      </c>
      <c r="G1416" s="239">
        <f t="shared" si="3379"/>
        <v>0.60068980863373389</v>
      </c>
      <c r="H1416" s="239">
        <f t="shared" si="3379"/>
        <v>0.59050546448087426</v>
      </c>
      <c r="I1416" s="239">
        <f t="shared" si="3379"/>
        <v>0.58541595344060249</v>
      </c>
      <c r="J1416" s="239">
        <f t="shared" si="3379"/>
        <v>0.57904234841193458</v>
      </c>
      <c r="K1416" s="239">
        <f t="shared" si="3379"/>
        <v>0.57931115276476097</v>
      </c>
      <c r="L1416" s="239">
        <f t="shared" si="3379"/>
        <v>0.58044465694477643</v>
      </c>
      <c r="M1416" s="239">
        <f t="shared" si="3379"/>
        <v>0.5726415094339623</v>
      </c>
      <c r="N1416" s="239">
        <f t="shared" si="3379"/>
        <v>0.57843696520250998</v>
      </c>
      <c r="O1416" s="239">
        <f t="shared" si="3379"/>
        <v>0.59807781380268643</v>
      </c>
      <c r="P1416" s="239">
        <f t="shared" si="3379"/>
        <v>0.60791454236465159</v>
      </c>
      <c r="Q1416" s="239">
        <f t="shared" si="3379"/>
        <v>0.59645669291338588</v>
      </c>
      <c r="R1416" s="239">
        <f t="shared" si="3379"/>
        <v>0.59967785900136295</v>
      </c>
      <c r="S1416" s="239">
        <f t="shared" si="3379"/>
        <v>0.6167135909905298</v>
      </c>
      <c r="T1416" s="239">
        <f t="shared" si="3379"/>
        <v>0.62613430127041747</v>
      </c>
      <c r="U1416" s="239">
        <f t="shared" si="3379"/>
        <v>0.61363044044826687</v>
      </c>
      <c r="V1416" s="239">
        <f t="shared" si="3379"/>
        <v>0.63216560509554143</v>
      </c>
      <c r="W1416" s="239">
        <f t="shared" si="3379"/>
        <v>0.63499435170076568</v>
      </c>
      <c r="X1416" s="239">
        <f t="shared" si="3379"/>
        <v>0.63025745602854955</v>
      </c>
      <c r="Y1416" s="239">
        <f t="shared" ref="Y1416:Z1416" si="3380">Y1414/Y1415</f>
        <v>0.61265948222469957</v>
      </c>
      <c r="Z1416" s="239">
        <f t="shared" si="3380"/>
        <v>0.61357733175914997</v>
      </c>
      <c r="AA1416" s="239">
        <f t="shared" ref="AA1416:AB1416" si="3381">AA1414/AA1415</f>
        <v>0.61332702094922475</v>
      </c>
      <c r="AB1416" s="239">
        <f t="shared" si="3381"/>
        <v>0.61152614727854859</v>
      </c>
      <c r="AC1416" s="239">
        <f t="shared" si="3379"/>
        <v>0.59616692863256027</v>
      </c>
      <c r="AD1416" s="239">
        <f t="shared" si="3379"/>
        <v>0.59943356811463766</v>
      </c>
      <c r="AE1416" s="239">
        <f t="shared" si="3379"/>
        <v>0.59547710312675783</v>
      </c>
      <c r="AF1416" s="239">
        <f t="shared" ref="AF1416:AI1416" si="3382">AF1414/AF1415</f>
        <v>0.59961854909167911</v>
      </c>
      <c r="AG1416" s="239">
        <f t="shared" si="3382"/>
        <v>0.59672679837368647</v>
      </c>
      <c r="AH1416" s="239">
        <f t="shared" si="3382"/>
        <v>0.59630634914626468</v>
      </c>
      <c r="AI1416" s="239">
        <f t="shared" si="3382"/>
        <v>0.59231513252214008</v>
      </c>
      <c r="AJ1416" s="239"/>
      <c r="AK1416" s="239"/>
      <c r="AL1416" s="239"/>
      <c r="AM1416" s="239"/>
      <c r="AN1416" s="239"/>
      <c r="AO1416" s="239"/>
      <c r="AP1416" s="239"/>
      <c r="AQ1416" s="239"/>
      <c r="AR1416" s="70"/>
      <c r="AT1416" s="213" t="s">
        <v>594</v>
      </c>
      <c r="AU1416" s="258">
        <f t="shared" ref="AU1416:BD1416" si="3383">AU1414/AU1415</f>
        <v>0.6050410616350772</v>
      </c>
      <c r="AV1416" s="258">
        <f t="shared" si="3383"/>
        <v>0.58366041575810435</v>
      </c>
      <c r="AW1416" s="258">
        <f t="shared" si="3383"/>
        <v>0.58244517767979676</v>
      </c>
      <c r="AX1416" s="258">
        <f t="shared" si="3383"/>
        <v>0.605097516356082</v>
      </c>
      <c r="AY1416" s="258">
        <f t="shared" si="3383"/>
        <v>0.62689171610774452</v>
      </c>
      <c r="AZ1416" s="258">
        <f t="shared" si="3383"/>
        <v>0.61727267190450086</v>
      </c>
      <c r="BA1416" s="258">
        <f t="shared" si="3383"/>
        <v>0.6005968948142566</v>
      </c>
      <c r="BB1416" s="258">
        <f t="shared" ref="BB1416" si="3384">BB1414/BB1415</f>
        <v>0.59618270562151776</v>
      </c>
      <c r="BC1416" s="239">
        <f t="shared" si="3383"/>
        <v>0.59484601879693622</v>
      </c>
      <c r="BD1416" s="239">
        <f t="shared" si="3383"/>
        <v>0.59293015785864012</v>
      </c>
      <c r="BE1416" s="239">
        <f t="shared" ref="BE1416" si="3385">BE1414/BE1415</f>
        <v>0.5931590553178161</v>
      </c>
      <c r="BF1416" s="369"/>
      <c r="BG1416" s="369"/>
      <c r="BH1416" s="369"/>
      <c r="BI1416" s="369"/>
      <c r="BJ1416" s="369"/>
      <c r="BK1416" s="369"/>
      <c r="BL1416" s="369"/>
      <c r="BM1416"/>
      <c r="BN1416"/>
      <c r="BO1416"/>
      <c r="BP1416"/>
      <c r="BQ1416"/>
      <c r="BR1416"/>
    </row>
    <row r="1417" spans="1:70" x14ac:dyDescent="0.2">
      <c r="B1417" s="70"/>
      <c r="C1417" s="35"/>
      <c r="D1417" s="51"/>
      <c r="E1417" s="51"/>
      <c r="F1417" s="51"/>
      <c r="G1417" s="51"/>
      <c r="H1417" s="51"/>
      <c r="I1417" s="51"/>
      <c r="J1417" s="51"/>
      <c r="K1417" s="51"/>
      <c r="L1417" s="51"/>
      <c r="M1417" s="51"/>
      <c r="N1417" s="51"/>
      <c r="O1417" s="51"/>
      <c r="P1417" s="51"/>
      <c r="Q1417" s="51"/>
      <c r="R1417" s="51"/>
      <c r="S1417" s="51"/>
      <c r="T1417" s="51"/>
      <c r="U1417" s="51"/>
      <c r="V1417" s="51"/>
      <c r="W1417" s="51"/>
      <c r="X1417" s="51"/>
      <c r="Y1417" s="51"/>
      <c r="Z1417" s="51"/>
      <c r="AA1417" s="51"/>
      <c r="AB1417" s="51"/>
      <c r="AT1417" s="35"/>
      <c r="BF1417" s="369"/>
      <c r="BG1417" s="369"/>
      <c r="BH1417" s="369"/>
      <c r="BI1417" s="369"/>
      <c r="BJ1417" s="369"/>
      <c r="BK1417" s="369"/>
      <c r="BL1417" s="369"/>
    </row>
    <row r="1418" spans="1:70" x14ac:dyDescent="0.2">
      <c r="B1418" s="70" t="s">
        <v>593</v>
      </c>
      <c r="C1418" s="35"/>
      <c r="D1418" s="51">
        <f t="shared" ref="D1418:X1418" si="3386">D585</f>
        <v>2728</v>
      </c>
      <c r="E1418" s="51">
        <f t="shared" si="3386"/>
        <v>2632</v>
      </c>
      <c r="F1418" s="51">
        <f t="shared" si="3386"/>
        <v>2480</v>
      </c>
      <c r="G1418" s="51">
        <f t="shared" si="3386"/>
        <v>2420</v>
      </c>
      <c r="H1418" s="51">
        <f t="shared" si="3386"/>
        <v>3702</v>
      </c>
      <c r="I1418" s="51">
        <f t="shared" si="3386"/>
        <v>3143</v>
      </c>
      <c r="J1418" s="51">
        <f t="shared" si="3386"/>
        <v>2534</v>
      </c>
      <c r="K1418" s="51">
        <f t="shared" si="3386"/>
        <v>2346</v>
      </c>
      <c r="L1418" s="51">
        <f t="shared" si="3386"/>
        <v>3739</v>
      </c>
      <c r="M1418" s="51">
        <f t="shared" si="3386"/>
        <v>3327</v>
      </c>
      <c r="N1418" s="51">
        <f t="shared" si="3386"/>
        <v>3383</v>
      </c>
      <c r="O1418" s="51">
        <f t="shared" si="3386"/>
        <v>2544</v>
      </c>
      <c r="P1418" s="51">
        <f t="shared" si="3386"/>
        <v>3248</v>
      </c>
      <c r="Q1418" s="51">
        <f t="shared" si="3386"/>
        <v>3305</v>
      </c>
      <c r="R1418" s="51">
        <f t="shared" si="3386"/>
        <v>3282</v>
      </c>
      <c r="S1418" s="51">
        <f t="shared" si="3386"/>
        <v>2705</v>
      </c>
      <c r="T1418" s="51">
        <f t="shared" si="3386"/>
        <v>2980</v>
      </c>
      <c r="U1418" s="51">
        <f t="shared" si="3386"/>
        <v>3393</v>
      </c>
      <c r="V1418" s="51">
        <f t="shared" si="3386"/>
        <v>3191</v>
      </c>
      <c r="W1418" s="51">
        <f t="shared" si="3386"/>
        <v>2949</v>
      </c>
      <c r="X1418" s="51">
        <f t="shared" si="3386"/>
        <v>3522</v>
      </c>
      <c r="Y1418" s="51">
        <f t="shared" ref="Y1418:Z1418" si="3387">Y585</f>
        <v>3646</v>
      </c>
      <c r="Z1418" s="51">
        <f t="shared" si="3387"/>
        <v>3709</v>
      </c>
      <c r="AA1418" s="51">
        <f t="shared" ref="AA1418:AB1418" si="3388">AA585</f>
        <v>3046</v>
      </c>
      <c r="AB1418" s="51">
        <f t="shared" si="3388"/>
        <v>3265</v>
      </c>
      <c r="AC1418" s="33">
        <f t="shared" ref="AC1418:AE1418" si="3389">AC1419*AC1420</f>
        <v>3369.31745338774</v>
      </c>
      <c r="AD1418" s="33">
        <f t="shared" si="3389"/>
        <v>3295.1222983057232</v>
      </c>
      <c r="AE1418" s="33">
        <f t="shared" si="3389"/>
        <v>3104.7430392106235</v>
      </c>
      <c r="AF1418" s="33">
        <f t="shared" ref="AF1418:AI1418" si="3390">AF1419*AF1420</f>
        <v>3633.9093782362579</v>
      </c>
      <c r="AG1418" s="33">
        <f t="shared" si="3390"/>
        <v>3641.2267954921863</v>
      </c>
      <c r="AH1418" s="33">
        <f t="shared" si="3390"/>
        <v>3540.8065806535155</v>
      </c>
      <c r="AI1418" s="33">
        <f t="shared" si="3390"/>
        <v>3323.1187729668295</v>
      </c>
      <c r="AJ1418" s="33"/>
      <c r="AK1418" s="33"/>
      <c r="AL1418" s="33"/>
      <c r="AM1418" s="33"/>
      <c r="AN1418" s="33"/>
      <c r="AO1418" s="33"/>
      <c r="AP1418" s="33"/>
      <c r="AQ1418" s="33"/>
      <c r="AS1418" s="70" t="s">
        <v>593</v>
      </c>
      <c r="AT1418" s="35"/>
      <c r="AU1418" s="232">
        <f>SUM(D1418:G1418)</f>
        <v>10260</v>
      </c>
      <c r="AV1418" s="232">
        <f>SUM(H1418:K1418)</f>
        <v>11725</v>
      </c>
      <c r="AW1418" s="232">
        <f>SUM(L1418:O1418)</f>
        <v>12993</v>
      </c>
      <c r="AX1418" s="232">
        <f>SUM(P1418:S1418)</f>
        <v>12540</v>
      </c>
      <c r="AY1418" s="232">
        <f>SUM(T1418:W1418)</f>
        <v>12513</v>
      </c>
      <c r="AZ1418" s="232">
        <f>SUM(X1418:AA1418)</f>
        <v>13923</v>
      </c>
      <c r="BA1418" s="232">
        <f>SUM(AB1418:AE1418)</f>
        <v>13034.182790904086</v>
      </c>
      <c r="BB1418" s="232">
        <f>SUM(AF1418:AI1418)</f>
        <v>14139.061527348789</v>
      </c>
      <c r="BC1418" s="33">
        <f>BC1419*BC1420</f>
        <v>15103.710521698475</v>
      </c>
      <c r="BD1418" s="33">
        <f>BD1419*BD1420</f>
        <v>16033.804561894773</v>
      </c>
      <c r="BE1418" s="33">
        <f>BE1419*BE1420</f>
        <v>16980.764344069663</v>
      </c>
      <c r="BF1418" s="369"/>
      <c r="BG1418" s="369"/>
      <c r="BH1418" s="369"/>
      <c r="BI1418" s="369"/>
      <c r="BJ1418" s="369"/>
      <c r="BK1418" s="369"/>
      <c r="BL1418" s="369"/>
    </row>
    <row r="1419" spans="1:70" x14ac:dyDescent="0.2">
      <c r="B1419" s="70"/>
      <c r="C1419" s="35" t="s">
        <v>598</v>
      </c>
      <c r="D1419" s="51">
        <f t="shared" ref="D1419:AE1419" si="3391">D589</f>
        <v>9504</v>
      </c>
      <c r="E1419" s="51">
        <f t="shared" si="3391"/>
        <v>8069</v>
      </c>
      <c r="F1419" s="51">
        <f t="shared" si="3391"/>
        <v>8256</v>
      </c>
      <c r="G1419" s="51">
        <f t="shared" si="3391"/>
        <v>7529</v>
      </c>
      <c r="H1419" s="51">
        <f t="shared" si="3391"/>
        <v>9901</v>
      </c>
      <c r="I1419" s="51">
        <f t="shared" si="3391"/>
        <v>9132</v>
      </c>
      <c r="J1419" s="51">
        <f t="shared" si="3391"/>
        <v>7661</v>
      </c>
      <c r="K1419" s="51">
        <f t="shared" si="3391"/>
        <v>7231</v>
      </c>
      <c r="L1419" s="51">
        <f t="shared" si="3391"/>
        <v>9273</v>
      </c>
      <c r="M1419" s="51">
        <f t="shared" si="3391"/>
        <v>8503</v>
      </c>
      <c r="N1419" s="51">
        <f t="shared" si="3391"/>
        <v>8718</v>
      </c>
      <c r="O1419" s="51">
        <f t="shared" si="3391"/>
        <v>7211</v>
      </c>
      <c r="P1419" s="51">
        <f t="shared" si="3391"/>
        <v>9031</v>
      </c>
      <c r="Q1419" s="51">
        <f t="shared" si="3391"/>
        <v>8466</v>
      </c>
      <c r="R1419" s="51">
        <f t="shared" si="3391"/>
        <v>8260</v>
      </c>
      <c r="S1419" s="51">
        <f t="shared" si="3391"/>
        <v>7306</v>
      </c>
      <c r="T1419" s="51">
        <f t="shared" si="3391"/>
        <v>7895</v>
      </c>
      <c r="U1419" s="51">
        <f t="shared" si="3391"/>
        <v>8689</v>
      </c>
      <c r="V1419" s="51">
        <f t="shared" si="3391"/>
        <v>8459</v>
      </c>
      <c r="W1419" s="51">
        <f t="shared" si="3391"/>
        <v>8184</v>
      </c>
      <c r="X1419" s="51">
        <f t="shared" si="3391"/>
        <v>9319</v>
      </c>
      <c r="Y1419" s="51">
        <f t="shared" ref="Y1419:Z1419" si="3392">Y589</f>
        <v>9421</v>
      </c>
      <c r="Z1419" s="51">
        <f t="shared" si="3392"/>
        <v>9430</v>
      </c>
      <c r="AA1419" s="51">
        <f t="shared" ref="AA1419:AB1419" si="3393">AA589</f>
        <v>8304</v>
      </c>
      <c r="AB1419" s="51">
        <f t="shared" si="3393"/>
        <v>9848</v>
      </c>
      <c r="AC1419" s="51">
        <f t="shared" si="3391"/>
        <v>10162.645721581153</v>
      </c>
      <c r="AD1419" s="51">
        <f t="shared" si="3391"/>
        <v>9938.8558633123321</v>
      </c>
      <c r="AE1419" s="51">
        <f t="shared" si="3391"/>
        <v>9364.6277029544326</v>
      </c>
      <c r="AF1419" s="51">
        <f t="shared" ref="AF1419:AI1419" si="3394">AF589</f>
        <v>10960.716556468811</v>
      </c>
      <c r="AG1419" s="51">
        <f t="shared" si="3394"/>
        <v>10982.787590201242</v>
      </c>
      <c r="AH1419" s="51">
        <f t="shared" si="3394"/>
        <v>10679.896847251401</v>
      </c>
      <c r="AI1419" s="51">
        <f t="shared" si="3394"/>
        <v>10023.299747680656</v>
      </c>
      <c r="AJ1419" s="51"/>
      <c r="AK1419" s="51"/>
      <c r="AL1419" s="51"/>
      <c r="AM1419" s="51"/>
      <c r="AN1419" s="51"/>
      <c r="AO1419" s="51"/>
      <c r="AP1419" s="51"/>
      <c r="AQ1419" s="51"/>
      <c r="AT1419" s="35" t="s">
        <v>598</v>
      </c>
      <c r="AU1419" s="232">
        <f>SUM(D1419:G1419)</f>
        <v>33358</v>
      </c>
      <c r="AV1419" s="232">
        <f>SUM(H1419:K1419)</f>
        <v>33925</v>
      </c>
      <c r="AW1419" s="232">
        <f>SUM(L1419:O1419)</f>
        <v>33705</v>
      </c>
      <c r="AX1419" s="232">
        <f>SUM(P1419:S1419)</f>
        <v>33063</v>
      </c>
      <c r="AY1419" s="232">
        <f>SUM(T1419:W1419)</f>
        <v>33227</v>
      </c>
      <c r="AZ1419" s="232">
        <f>SUM(X1419:AA1419)</f>
        <v>36474</v>
      </c>
      <c r="BA1419" s="232">
        <f>SUM(AB1419:AE1419)</f>
        <v>39314.129287847914</v>
      </c>
      <c r="BB1419" s="232">
        <f>SUM(AF1419:AI1419)</f>
        <v>42646.700741602108</v>
      </c>
      <c r="BC1419" s="51">
        <f>BC589</f>
        <v>45556.306651665109</v>
      </c>
      <c r="BD1419" s="51">
        <f>BD589</f>
        <v>48361.686776581846</v>
      </c>
      <c r="BE1419" s="51">
        <f>BE589</f>
        <v>51217.937905175517</v>
      </c>
      <c r="BF1419" s="369"/>
      <c r="BG1419" s="369"/>
      <c r="BH1419" s="369"/>
      <c r="BI1419" s="369"/>
      <c r="BJ1419" s="369"/>
      <c r="BK1419" s="369"/>
      <c r="BL1419" s="369"/>
    </row>
    <row r="1420" spans="1:70" s="72" customFormat="1" x14ac:dyDescent="0.2">
      <c r="A1420" s="831"/>
      <c r="B1420" s="213"/>
      <c r="C1420" s="213" t="s">
        <v>594</v>
      </c>
      <c r="D1420" s="239">
        <f t="shared" ref="D1420:X1420" si="3395">D1418/D1419</f>
        <v>0.28703703703703703</v>
      </c>
      <c r="E1420" s="239">
        <f t="shared" si="3395"/>
        <v>0.32618664022803323</v>
      </c>
      <c r="F1420" s="239">
        <f t="shared" si="3395"/>
        <v>0.30038759689922478</v>
      </c>
      <c r="G1420" s="239">
        <f t="shared" si="3395"/>
        <v>0.32142382786558638</v>
      </c>
      <c r="H1420" s="239">
        <f t="shared" si="3395"/>
        <v>0.37390162609837391</v>
      </c>
      <c r="I1420" s="239">
        <f t="shared" si="3395"/>
        <v>0.34417433201927289</v>
      </c>
      <c r="J1420" s="239">
        <f t="shared" si="3395"/>
        <v>0.33076621850933297</v>
      </c>
      <c r="K1420" s="239">
        <f t="shared" si="3395"/>
        <v>0.32443645415571842</v>
      </c>
      <c r="L1420" s="239">
        <f t="shared" si="3395"/>
        <v>0.40321363097163809</v>
      </c>
      <c r="M1420" s="239">
        <f t="shared" si="3395"/>
        <v>0.39127366811713515</v>
      </c>
      <c r="N1420" s="239">
        <f t="shared" si="3395"/>
        <v>0.38804771736636845</v>
      </c>
      <c r="O1420" s="239">
        <f t="shared" si="3395"/>
        <v>0.35279434197753434</v>
      </c>
      <c r="P1420" s="239">
        <f t="shared" si="3395"/>
        <v>0.35965009412025245</v>
      </c>
      <c r="Q1420" s="239">
        <f t="shared" si="3395"/>
        <v>0.39038506969052683</v>
      </c>
      <c r="R1420" s="239">
        <f t="shared" si="3395"/>
        <v>0.39733656174334142</v>
      </c>
      <c r="S1420" s="239">
        <f t="shared" si="3395"/>
        <v>0.37024363536819055</v>
      </c>
      <c r="T1420" s="239">
        <f t="shared" si="3395"/>
        <v>0.37745408486383786</v>
      </c>
      <c r="U1420" s="239">
        <f t="shared" si="3395"/>
        <v>0.39049372770169177</v>
      </c>
      <c r="V1420" s="239">
        <f t="shared" si="3395"/>
        <v>0.37723135122354889</v>
      </c>
      <c r="W1420" s="239">
        <f t="shared" si="3395"/>
        <v>0.36033724340175954</v>
      </c>
      <c r="X1420" s="239">
        <f t="shared" si="3395"/>
        <v>0.3779375469470973</v>
      </c>
      <c r="Y1420" s="239">
        <f t="shared" ref="Y1420:Z1420" si="3396">Y1418/Y1419</f>
        <v>0.3870077486466405</v>
      </c>
      <c r="Z1420" s="239">
        <f t="shared" si="3396"/>
        <v>0.39331919406150584</v>
      </c>
      <c r="AA1420" s="239">
        <f t="shared" ref="AA1420:AB1420" si="3397">AA1418/AA1419</f>
        <v>0.36681117533718688</v>
      </c>
      <c r="AB1420" s="239">
        <f t="shared" si="3397"/>
        <v>0.33153939886271322</v>
      </c>
      <c r="AC1420" s="240">
        <f>Drivers!AC332</f>
        <v>0.33153939886271322</v>
      </c>
      <c r="AD1420" s="240">
        <f>Drivers!AD332</f>
        <v>0.33153939886271322</v>
      </c>
      <c r="AE1420" s="240">
        <f>Drivers!AE332</f>
        <v>0.33153939886271322</v>
      </c>
      <c r="AF1420" s="240">
        <f>Drivers!AF332</f>
        <v>0.33153939886271322</v>
      </c>
      <c r="AG1420" s="240">
        <f>Drivers!AG332</f>
        <v>0.33153939886271322</v>
      </c>
      <c r="AH1420" s="240">
        <f>Drivers!AH332</f>
        <v>0.33153939886271322</v>
      </c>
      <c r="AI1420" s="240">
        <f>Drivers!AI332</f>
        <v>0.33153939886271322</v>
      </c>
      <c r="AJ1420" s="240"/>
      <c r="AK1420" s="240"/>
      <c r="AL1420" s="240"/>
      <c r="AM1420" s="240"/>
      <c r="AN1420" s="240"/>
      <c r="AO1420" s="240"/>
      <c r="AP1420" s="240"/>
      <c r="AQ1420" s="240"/>
      <c r="AR1420" s="70"/>
      <c r="AS1420" s="213"/>
      <c r="AT1420" s="213" t="s">
        <v>871</v>
      </c>
      <c r="AU1420" s="258">
        <f t="shared" ref="AU1420:BA1420" si="3398">AU1418/AU1419</f>
        <v>0.3075723964266443</v>
      </c>
      <c r="AV1420" s="258">
        <f t="shared" si="3398"/>
        <v>0.3456153279292557</v>
      </c>
      <c r="AW1420" s="258">
        <f t="shared" si="3398"/>
        <v>0.38549176680017799</v>
      </c>
      <c r="AX1420" s="258">
        <f t="shared" si="3398"/>
        <v>0.37927592777424918</v>
      </c>
      <c r="AY1420" s="258">
        <f t="shared" si="3398"/>
        <v>0.3765913263309959</v>
      </c>
      <c r="AZ1420" s="258">
        <f t="shared" si="3398"/>
        <v>0.38172396775785489</v>
      </c>
      <c r="BA1420" s="258">
        <f t="shared" si="3398"/>
        <v>0.33153939886271322</v>
      </c>
      <c r="BB1420" s="258">
        <f t="shared" ref="BB1420" si="3399">BB1418/BB1419</f>
        <v>0.33153939886271322</v>
      </c>
      <c r="BC1420" s="240">
        <f>Drivers!BC332</f>
        <v>0.33153939886271322</v>
      </c>
      <c r="BD1420" s="240">
        <f>Drivers!BD332</f>
        <v>0.33153939886271322</v>
      </c>
      <c r="BE1420" s="240">
        <f>Drivers!BE332</f>
        <v>0.33153939886271322</v>
      </c>
      <c r="BF1420" s="369"/>
      <c r="BG1420" s="369"/>
      <c r="BH1420" s="369"/>
      <c r="BI1420" s="369"/>
      <c r="BJ1420" s="369"/>
      <c r="BK1420" s="369"/>
      <c r="BL1420" s="369"/>
      <c r="BM1420"/>
      <c r="BN1420"/>
      <c r="BO1420"/>
      <c r="BP1420"/>
      <c r="BQ1420"/>
      <c r="BR1420"/>
    </row>
    <row r="1421" spans="1:70" x14ac:dyDescent="0.2">
      <c r="B1421" s="35"/>
      <c r="C1421" s="35"/>
      <c r="D1421" s="51"/>
      <c r="E1421" s="81"/>
      <c r="F1421" s="81"/>
      <c r="G1421" s="81"/>
      <c r="H1421" s="81"/>
      <c r="I1421" s="81"/>
      <c r="J1421" s="81"/>
      <c r="K1421" s="81"/>
      <c r="L1421" s="81"/>
      <c r="M1421" s="81"/>
      <c r="N1421" s="81"/>
      <c r="O1421" s="81"/>
      <c r="P1421" s="81"/>
      <c r="Q1421" s="81"/>
      <c r="R1421" s="81"/>
      <c r="S1421" s="81"/>
      <c r="T1421" s="81"/>
      <c r="U1421" s="81"/>
      <c r="V1421" s="81"/>
      <c r="W1421" s="81"/>
      <c r="X1421" s="81"/>
      <c r="Y1421" s="81"/>
      <c r="Z1421" s="81"/>
      <c r="AA1421" s="81"/>
      <c r="AB1421" s="81"/>
      <c r="AS1421" s="35"/>
      <c r="AT1421" s="35"/>
      <c r="BF1421" s="369"/>
      <c r="BG1421" s="369"/>
      <c r="BH1421" s="369"/>
      <c r="BI1421" s="369"/>
      <c r="BJ1421" s="369"/>
      <c r="BK1421" s="369"/>
      <c r="BL1421" s="369"/>
    </row>
    <row r="1422" spans="1:70" x14ac:dyDescent="0.2">
      <c r="B1422" s="35" t="s">
        <v>596</v>
      </c>
      <c r="C1422" s="35"/>
      <c r="D1422" s="51">
        <f t="shared" ref="D1422:AE1422" si="3400">D1423*D1424</f>
        <v>1936</v>
      </c>
      <c r="E1422" s="51">
        <f t="shared" si="3400"/>
        <v>2102</v>
      </c>
      <c r="F1422" s="51">
        <f t="shared" si="3400"/>
        <v>2026</v>
      </c>
      <c r="G1422" s="51">
        <f t="shared" si="3400"/>
        <v>2035</v>
      </c>
      <c r="H1422" s="51">
        <f t="shared" si="3400"/>
        <v>1943</v>
      </c>
      <c r="I1422" s="51">
        <f t="shared" si="3400"/>
        <v>2235</v>
      </c>
      <c r="J1422" s="51">
        <f t="shared" si="3400"/>
        <v>2300</v>
      </c>
      <c r="K1422" s="51">
        <f t="shared" si="3400"/>
        <v>2271</v>
      </c>
      <c r="L1422" s="51">
        <f t="shared" si="3400"/>
        <v>2574</v>
      </c>
      <c r="M1422" s="51">
        <f t="shared" si="3400"/>
        <v>2474</v>
      </c>
      <c r="N1422" s="51">
        <f t="shared" si="3400"/>
        <v>2522</v>
      </c>
      <c r="O1422" s="51">
        <f t="shared" si="3400"/>
        <v>2040</v>
      </c>
      <c r="P1422" s="51">
        <f t="shared" si="3400"/>
        <v>2536</v>
      </c>
      <c r="Q1422" s="51">
        <f t="shared" si="3400"/>
        <v>2573</v>
      </c>
      <c r="R1422" s="51">
        <f t="shared" si="3400"/>
        <v>2140</v>
      </c>
      <c r="S1422" s="51">
        <f t="shared" si="3400"/>
        <v>3522</v>
      </c>
      <c r="T1422" s="51">
        <f t="shared" si="3400"/>
        <v>1946</v>
      </c>
      <c r="U1422" s="51">
        <f t="shared" si="3400"/>
        <v>1185</v>
      </c>
      <c r="V1422" s="51">
        <f t="shared" si="3400"/>
        <v>1137</v>
      </c>
      <c r="W1422" s="51">
        <f t="shared" si="3400"/>
        <v>861</v>
      </c>
      <c r="X1422" s="51">
        <f t="shared" si="3400"/>
        <v>1201</v>
      </c>
      <c r="Y1422" s="51">
        <f t="shared" ref="Y1422:Z1422" si="3401">Y1423*Y1424</f>
        <v>661</v>
      </c>
      <c r="Z1422" s="51">
        <f t="shared" si="3401"/>
        <v>519</v>
      </c>
      <c r="AA1422" s="51">
        <f t="shared" ref="AA1422:AB1422" si="3402">AA1423*AA1424</f>
        <v>751</v>
      </c>
      <c r="AB1422" s="51">
        <f t="shared" si="3402"/>
        <v>591</v>
      </c>
      <c r="AC1422" s="116">
        <f t="shared" si="3400"/>
        <v>537.62799999999993</v>
      </c>
      <c r="AD1422" s="116">
        <f t="shared" si="3400"/>
        <v>514.89187561643837</v>
      </c>
      <c r="AE1422" s="116">
        <f t="shared" si="3400"/>
        <v>488.3247993150685</v>
      </c>
      <c r="AF1422" s="116">
        <f t="shared" ref="AF1422:AI1422" si="3403">AF1423*AF1424</f>
        <v>447.7258680041096</v>
      </c>
      <c r="AG1422" s="116">
        <f t="shared" si="3403"/>
        <v>424.43103292627393</v>
      </c>
      <c r="AH1422" s="116">
        <f t="shared" si="3403"/>
        <v>406.14128219208692</v>
      </c>
      <c r="AI1422" s="116">
        <f t="shared" si="3403"/>
        <v>384.61746098534525</v>
      </c>
      <c r="AJ1422" s="116"/>
      <c r="AK1422" s="116"/>
      <c r="AL1422" s="116"/>
      <c r="AM1422" s="116"/>
      <c r="AN1422" s="116"/>
      <c r="AO1422" s="116"/>
      <c r="AP1422" s="116"/>
      <c r="AQ1422" s="116"/>
      <c r="AS1422" s="35" t="s">
        <v>596</v>
      </c>
      <c r="AT1422" s="35"/>
      <c r="AU1422" s="232">
        <f>SUM(D1422:G1422)</f>
        <v>8099</v>
      </c>
      <c r="AV1422" s="232">
        <f>SUM(H1422:K1422)</f>
        <v>8749</v>
      </c>
      <c r="AW1422" s="232">
        <f>SUM(L1422:O1422)</f>
        <v>9610</v>
      </c>
      <c r="AX1422" s="232">
        <f>SUM(P1422:S1422)</f>
        <v>10771</v>
      </c>
      <c r="AY1422" s="232">
        <f>SUM(T1422:W1422)</f>
        <v>5129</v>
      </c>
      <c r="AZ1422" s="232">
        <f>SUM(X1422:AA1422)</f>
        <v>3132</v>
      </c>
      <c r="BA1422" s="232">
        <f>SUM(AB1422:AE1422)</f>
        <v>2131.8446749315067</v>
      </c>
      <c r="BB1422" s="232">
        <f>SUM(AF1422:AI1422)</f>
        <v>1662.9156441078158</v>
      </c>
      <c r="BC1422" s="37">
        <f>BC1424*BC1423</f>
        <v>1319.5921652302852</v>
      </c>
      <c r="BD1422" s="37">
        <f>BD1424*BD1423</f>
        <v>1049.8333467670777</v>
      </c>
      <c r="BE1422" s="37">
        <f>BE1424*BE1423</f>
        <v>833.30252230196811</v>
      </c>
      <c r="BF1422" s="369"/>
      <c r="BG1422" s="369"/>
      <c r="BH1422" s="369"/>
      <c r="BI1422" s="369"/>
      <c r="BJ1422" s="369"/>
      <c r="BK1422" s="369"/>
      <c r="BL1422" s="369"/>
    </row>
    <row r="1423" spans="1:70" x14ac:dyDescent="0.2">
      <c r="B1423" s="35"/>
      <c r="C1423" s="35" t="s">
        <v>599</v>
      </c>
      <c r="D1423" s="51">
        <f t="shared" ref="D1423:AE1423" si="3404">D640</f>
        <v>1936</v>
      </c>
      <c r="E1423" s="51">
        <f t="shared" si="3404"/>
        <v>2102</v>
      </c>
      <c r="F1423" s="51">
        <f t="shared" si="3404"/>
        <v>2026</v>
      </c>
      <c r="G1423" s="51">
        <f t="shared" si="3404"/>
        <v>2035</v>
      </c>
      <c r="H1423" s="51">
        <f t="shared" si="3404"/>
        <v>1943</v>
      </c>
      <c r="I1423" s="51">
        <f t="shared" si="3404"/>
        <v>2235</v>
      </c>
      <c r="J1423" s="51">
        <f t="shared" si="3404"/>
        <v>2300</v>
      </c>
      <c r="K1423" s="51">
        <f t="shared" si="3404"/>
        <v>2271</v>
      </c>
      <c r="L1423" s="51">
        <f t="shared" si="3404"/>
        <v>2574</v>
      </c>
      <c r="M1423" s="51">
        <f t="shared" si="3404"/>
        <v>2474</v>
      </c>
      <c r="N1423" s="51">
        <f t="shared" si="3404"/>
        <v>2522</v>
      </c>
      <c r="O1423" s="51">
        <f t="shared" si="3404"/>
        <v>2040</v>
      </c>
      <c r="P1423" s="51">
        <f t="shared" si="3404"/>
        <v>2536</v>
      </c>
      <c r="Q1423" s="51">
        <f t="shared" si="3404"/>
        <v>2573</v>
      </c>
      <c r="R1423" s="51">
        <f t="shared" si="3404"/>
        <v>2140</v>
      </c>
      <c r="S1423" s="51">
        <f t="shared" si="3404"/>
        <v>3522</v>
      </c>
      <c r="T1423" s="51">
        <f t="shared" si="3404"/>
        <v>1946</v>
      </c>
      <c r="U1423" s="51">
        <f t="shared" si="3404"/>
        <v>1185</v>
      </c>
      <c r="V1423" s="51">
        <f t="shared" si="3404"/>
        <v>1137</v>
      </c>
      <c r="W1423" s="51">
        <f t="shared" si="3404"/>
        <v>861</v>
      </c>
      <c r="X1423" s="51">
        <f t="shared" si="3404"/>
        <v>1201</v>
      </c>
      <c r="Y1423" s="51">
        <f t="shared" ref="Y1423:Z1423" si="3405">Y640</f>
        <v>661</v>
      </c>
      <c r="Z1423" s="51">
        <f t="shared" si="3405"/>
        <v>519</v>
      </c>
      <c r="AA1423" s="51">
        <f t="shared" ref="AA1423:AB1423" si="3406">AA640</f>
        <v>751</v>
      </c>
      <c r="AB1423" s="51">
        <f t="shared" si="3406"/>
        <v>591</v>
      </c>
      <c r="AC1423" s="51">
        <f t="shared" si="3404"/>
        <v>537.62799999999993</v>
      </c>
      <c r="AD1423" s="51">
        <f t="shared" si="3404"/>
        <v>514.89187561643837</v>
      </c>
      <c r="AE1423" s="51">
        <f t="shared" si="3404"/>
        <v>488.3247993150685</v>
      </c>
      <c r="AF1423" s="51">
        <f t="shared" ref="AF1423:AI1423" si="3407">AF640</f>
        <v>447.7258680041096</v>
      </c>
      <c r="AG1423" s="51">
        <f t="shared" si="3407"/>
        <v>424.43103292627393</v>
      </c>
      <c r="AH1423" s="51">
        <f t="shared" si="3407"/>
        <v>406.14128219208692</v>
      </c>
      <c r="AI1423" s="51">
        <f t="shared" si="3407"/>
        <v>384.61746098534525</v>
      </c>
      <c r="AJ1423" s="51"/>
      <c r="AK1423" s="51"/>
      <c r="AL1423" s="51"/>
      <c r="AM1423" s="51"/>
      <c r="AN1423" s="51"/>
      <c r="AO1423" s="51"/>
      <c r="AP1423" s="51"/>
      <c r="AQ1423" s="51"/>
      <c r="AS1423" s="35"/>
      <c r="AT1423" s="35" t="s">
        <v>599</v>
      </c>
      <c r="AU1423" s="232">
        <f>SUM(D1423:G1423)</f>
        <v>8099</v>
      </c>
      <c r="AV1423" s="232">
        <f>SUM(H1423:K1423)</f>
        <v>8749</v>
      </c>
      <c r="AW1423" s="232">
        <f>SUM(L1423:O1423)</f>
        <v>9610</v>
      </c>
      <c r="AX1423" s="232">
        <f>SUM(P1423:S1423)</f>
        <v>10771</v>
      </c>
      <c r="AY1423" s="232">
        <f>SUM(T1423:W1423)</f>
        <v>5129</v>
      </c>
      <c r="AZ1423" s="232">
        <f>SUM(X1423:AA1423)</f>
        <v>3132</v>
      </c>
      <c r="BA1423" s="232">
        <f>SUM(AB1423:AE1423)</f>
        <v>2131.8446749315067</v>
      </c>
      <c r="BB1423" s="232">
        <f>SUM(AF1423:AI1423)</f>
        <v>1662.9156441078158</v>
      </c>
      <c r="BC1423" s="51">
        <f>BC640</f>
        <v>1319.5921652302852</v>
      </c>
      <c r="BD1423" s="51">
        <f>BD640</f>
        <v>1049.8333467670777</v>
      </c>
      <c r="BE1423" s="51">
        <f>BE640</f>
        <v>833.30252230196811</v>
      </c>
      <c r="BF1423" s="369"/>
      <c r="BG1423" s="369"/>
      <c r="BH1423" s="369"/>
      <c r="BI1423" s="369"/>
      <c r="BJ1423" s="369"/>
      <c r="BK1423" s="369"/>
      <c r="BL1423" s="369"/>
    </row>
    <row r="1424" spans="1:70" s="72" customFormat="1" x14ac:dyDescent="0.2">
      <c r="A1424" s="831"/>
      <c r="B1424" s="213"/>
      <c r="C1424" s="213" t="s">
        <v>594</v>
      </c>
      <c r="D1424" s="240">
        <f>Drivers!D333</f>
        <v>1</v>
      </c>
      <c r="E1424" s="240">
        <v>1</v>
      </c>
      <c r="F1424" s="240">
        <v>1</v>
      </c>
      <c r="G1424" s="240">
        <v>1</v>
      </c>
      <c r="H1424" s="240">
        <v>1</v>
      </c>
      <c r="I1424" s="240">
        <v>1</v>
      </c>
      <c r="J1424" s="240">
        <v>1</v>
      </c>
      <c r="K1424" s="240">
        <v>1</v>
      </c>
      <c r="L1424" s="240">
        <v>1</v>
      </c>
      <c r="M1424" s="240">
        <v>1</v>
      </c>
      <c r="N1424" s="240">
        <v>1</v>
      </c>
      <c r="O1424" s="240">
        <v>1</v>
      </c>
      <c r="P1424" s="240">
        <v>1</v>
      </c>
      <c r="Q1424" s="240">
        <v>1</v>
      </c>
      <c r="R1424" s="240">
        <v>1</v>
      </c>
      <c r="S1424" s="240">
        <v>1</v>
      </c>
      <c r="T1424" s="240">
        <v>1</v>
      </c>
      <c r="U1424" s="240">
        <v>1</v>
      </c>
      <c r="V1424" s="240">
        <v>1</v>
      </c>
      <c r="W1424" s="240">
        <v>1</v>
      </c>
      <c r="X1424" s="240">
        <v>1</v>
      </c>
      <c r="Y1424" s="240">
        <v>1</v>
      </c>
      <c r="Z1424" s="240">
        <v>1</v>
      </c>
      <c r="AA1424" s="240">
        <v>1</v>
      </c>
      <c r="AB1424" s="240">
        <v>1</v>
      </c>
      <c r="AC1424" s="240">
        <v>1</v>
      </c>
      <c r="AD1424" s="240">
        <v>1</v>
      </c>
      <c r="AE1424" s="240">
        <v>1</v>
      </c>
      <c r="AF1424" s="240">
        <v>1</v>
      </c>
      <c r="AG1424" s="240">
        <v>1</v>
      </c>
      <c r="AH1424" s="240">
        <v>1</v>
      </c>
      <c r="AI1424" s="240">
        <v>1</v>
      </c>
      <c r="AJ1424" s="240"/>
      <c r="AK1424" s="240"/>
      <c r="AL1424" s="240"/>
      <c r="AM1424" s="240"/>
      <c r="AN1424" s="240"/>
      <c r="AO1424" s="240"/>
      <c r="AP1424" s="240"/>
      <c r="AQ1424" s="240"/>
      <c r="AR1424" s="70"/>
      <c r="AS1424" s="213"/>
      <c r="AT1424" s="213" t="s">
        <v>872</v>
      </c>
      <c r="AU1424" s="129">
        <f>Drivers!AU333</f>
        <v>1</v>
      </c>
      <c r="AV1424" s="129">
        <f>Drivers!AV333</f>
        <v>1</v>
      </c>
      <c r="AW1424" s="129">
        <f>Drivers!AW333</f>
        <v>1</v>
      </c>
      <c r="AX1424" s="129">
        <f>Drivers!AX333</f>
        <v>1</v>
      </c>
      <c r="AY1424" s="129">
        <f>Drivers!AY333</f>
        <v>1</v>
      </c>
      <c r="AZ1424" s="129">
        <f>Drivers!AZ333</f>
        <v>1</v>
      </c>
      <c r="BA1424" s="129">
        <f>Drivers!BA333</f>
        <v>1</v>
      </c>
      <c r="BB1424" s="129">
        <f>Drivers!BB333</f>
        <v>1</v>
      </c>
      <c r="BC1424" s="240">
        <f>Drivers!BC333</f>
        <v>1</v>
      </c>
      <c r="BD1424" s="240">
        <f>Drivers!BD333</f>
        <v>1</v>
      </c>
      <c r="BE1424" s="240">
        <f>Drivers!BE333</f>
        <v>1</v>
      </c>
      <c r="BF1424" s="369"/>
      <c r="BG1424" s="369"/>
      <c r="BH1424" s="369"/>
      <c r="BI1424" s="369"/>
      <c r="BJ1424" s="369"/>
      <c r="BK1424" s="369"/>
      <c r="BL1424" s="369"/>
      <c r="BM1424"/>
      <c r="BN1424"/>
      <c r="BO1424"/>
      <c r="BP1424"/>
      <c r="BQ1424"/>
      <c r="BR1424"/>
    </row>
    <row r="1425" spans="1:70" x14ac:dyDescent="0.2">
      <c r="B1425" s="35"/>
      <c r="C1425" s="35"/>
      <c r="D1425" s="60"/>
      <c r="E1425" s="60"/>
      <c r="F1425" s="60"/>
      <c r="G1425" s="60"/>
      <c r="H1425" s="60"/>
      <c r="I1425" s="60"/>
      <c r="J1425" s="60"/>
      <c r="K1425" s="60"/>
      <c r="L1425" s="60"/>
      <c r="M1425" s="60"/>
      <c r="N1425" s="60"/>
      <c r="O1425" s="60"/>
      <c r="P1425" s="60"/>
      <c r="Q1425" s="60"/>
      <c r="R1425" s="60"/>
      <c r="S1425" s="60"/>
      <c r="T1425" s="60"/>
      <c r="U1425" s="60"/>
      <c r="V1425" s="60"/>
      <c r="W1425" s="60"/>
      <c r="X1425" s="60"/>
      <c r="Y1425" s="60"/>
      <c r="Z1425" s="60"/>
      <c r="AA1425" s="60"/>
      <c r="AB1425" s="60"/>
      <c r="AS1425" s="35"/>
      <c r="AT1425" s="35"/>
      <c r="BF1425" s="369"/>
      <c r="BG1425" s="369"/>
      <c r="BH1425" s="369"/>
      <c r="BI1425" s="369"/>
      <c r="BJ1425" s="369"/>
      <c r="BK1425" s="369"/>
      <c r="BL1425" s="369"/>
    </row>
    <row r="1426" spans="1:70" x14ac:dyDescent="0.2">
      <c r="B1426" s="35" t="s">
        <v>600</v>
      </c>
      <c r="C1426" s="35"/>
      <c r="D1426" s="51">
        <f t="shared" ref="D1426:AE1426" si="3408">D1414+D1418+D1422</f>
        <v>9917</v>
      </c>
      <c r="E1426" s="51">
        <f t="shared" si="3408"/>
        <v>9920</v>
      </c>
      <c r="F1426" s="51">
        <f t="shared" si="3408"/>
        <v>9960</v>
      </c>
      <c r="G1426" s="51">
        <f t="shared" si="3408"/>
        <v>9854</v>
      </c>
      <c r="H1426" s="51">
        <f t="shared" si="3408"/>
        <v>10832</v>
      </c>
      <c r="I1426" s="51">
        <f t="shared" si="3408"/>
        <v>10508</v>
      </c>
      <c r="J1426" s="51">
        <f t="shared" si="3408"/>
        <v>9647</v>
      </c>
      <c r="K1426" s="51">
        <f t="shared" si="3408"/>
        <v>9562</v>
      </c>
      <c r="L1426" s="51">
        <f t="shared" si="3408"/>
        <v>11169</v>
      </c>
      <c r="M1426" s="51">
        <f t="shared" si="3408"/>
        <v>10657</v>
      </c>
      <c r="N1426" s="51">
        <f t="shared" si="3408"/>
        <v>10975</v>
      </c>
      <c r="O1426" s="51">
        <f t="shared" si="3408"/>
        <v>9749</v>
      </c>
      <c r="P1426" s="51">
        <f t="shared" si="3408"/>
        <v>10792</v>
      </c>
      <c r="Q1426" s="51">
        <f t="shared" si="3408"/>
        <v>10726</v>
      </c>
      <c r="R1426" s="51">
        <f t="shared" si="3408"/>
        <v>10262</v>
      </c>
      <c r="S1426" s="51">
        <f t="shared" si="3408"/>
        <v>11046</v>
      </c>
      <c r="T1426" s="51">
        <f t="shared" si="3408"/>
        <v>9756</v>
      </c>
      <c r="U1426" s="51">
        <f t="shared" si="3408"/>
        <v>9287</v>
      </c>
      <c r="V1426" s="51">
        <f t="shared" si="3408"/>
        <v>9489</v>
      </c>
      <c r="W1426" s="51">
        <f t="shared" si="3408"/>
        <v>8869</v>
      </c>
      <c r="X1426" s="51">
        <f t="shared" si="3408"/>
        <v>9668</v>
      </c>
      <c r="Y1426" s="51">
        <f t="shared" ref="Y1426:Z1426" si="3409">Y1414+Y1418+Y1422</f>
        <v>9253</v>
      </c>
      <c r="Z1426" s="51">
        <f t="shared" si="3409"/>
        <v>9425</v>
      </c>
      <c r="AA1426" s="51">
        <f t="shared" ref="AA1426:AB1426" si="3410">AA1414+AA1418+AA1422</f>
        <v>8979</v>
      </c>
      <c r="AB1426" s="51">
        <f t="shared" si="3410"/>
        <v>9013</v>
      </c>
      <c r="AC1426" s="51">
        <f t="shared" si="3408"/>
        <v>8899.5691485932184</v>
      </c>
      <c r="AD1426" s="51">
        <f t="shared" si="3408"/>
        <v>9017.5363267632601</v>
      </c>
      <c r="AE1426" s="51">
        <f t="shared" si="3408"/>
        <v>8822.4497112507888</v>
      </c>
      <c r="AF1426" s="51">
        <f t="shared" ref="AF1426:AI1426" si="3411">AF1414+AF1418+AF1422</f>
        <v>9277.6956259418421</v>
      </c>
      <c r="AG1426" s="51">
        <f t="shared" si="3411"/>
        <v>9333.7091633349391</v>
      </c>
      <c r="AH1426" s="51">
        <f t="shared" si="3411"/>
        <v>9392.8600339426011</v>
      </c>
      <c r="AI1426" s="51">
        <f t="shared" si="3411"/>
        <v>9176.1171797585557</v>
      </c>
      <c r="AJ1426" s="51"/>
      <c r="AK1426" s="51"/>
      <c r="AL1426" s="51"/>
      <c r="AM1426" s="51"/>
      <c r="AN1426" s="51"/>
      <c r="AO1426" s="51"/>
      <c r="AP1426" s="51"/>
      <c r="AQ1426" s="51"/>
      <c r="AS1426" s="35" t="s">
        <v>600</v>
      </c>
      <c r="AT1426" s="35"/>
      <c r="AU1426" s="232">
        <f>SUM(D1426:G1426)</f>
        <v>39651</v>
      </c>
      <c r="AV1426" s="232">
        <f>SUM(H1426:K1426)</f>
        <v>40549</v>
      </c>
      <c r="AW1426" s="232">
        <f>SUM(L1426:O1426)</f>
        <v>42550</v>
      </c>
      <c r="AX1426" s="232">
        <f>SUM(P1426:S1426)</f>
        <v>42826</v>
      </c>
      <c r="AY1426" s="232">
        <f>SUM(T1426:W1426)</f>
        <v>37401</v>
      </c>
      <c r="AZ1426" s="232">
        <f>SUM(X1426:AA1426)</f>
        <v>37325</v>
      </c>
      <c r="BA1426" s="232">
        <f>SUM(AB1426:AE1426)</f>
        <v>35752.555186607264</v>
      </c>
      <c r="BB1426" s="232">
        <f>SUM(AF1426:AI1426)</f>
        <v>37180.382002977938</v>
      </c>
      <c r="BC1426" s="51">
        <f>BC1414+BC1418+BC1422</f>
        <v>38791.921602030823</v>
      </c>
      <c r="BD1426" s="51">
        <f>BD1414+BD1418+BD1422</f>
        <v>40452.328311303703</v>
      </c>
      <c r="BE1426" s="51">
        <f>BE1414+BE1418+BE1422</f>
        <v>42185.816200525951</v>
      </c>
      <c r="BF1426" s="369"/>
      <c r="BG1426" s="369"/>
      <c r="BH1426" s="369"/>
      <c r="BI1426" s="369"/>
      <c r="BJ1426" s="369"/>
      <c r="BK1426" s="369"/>
      <c r="BL1426" s="369"/>
    </row>
    <row r="1427" spans="1:70" x14ac:dyDescent="0.2">
      <c r="B1427" s="35"/>
      <c r="C1427" s="35" t="s">
        <v>602</v>
      </c>
      <c r="D1427" s="51">
        <f t="shared" ref="D1427:X1427" si="3412">D1415+D1419+D1423</f>
        <v>20159</v>
      </c>
      <c r="E1427" s="51">
        <f t="shared" si="3412"/>
        <v>18715</v>
      </c>
      <c r="F1427" s="51">
        <f t="shared" si="3412"/>
        <v>19222</v>
      </c>
      <c r="G1427" s="51">
        <f t="shared" si="3412"/>
        <v>18552</v>
      </c>
      <c r="H1427" s="51">
        <f t="shared" si="3412"/>
        <v>20628</v>
      </c>
      <c r="I1427" s="51">
        <f t="shared" si="3412"/>
        <v>20130</v>
      </c>
      <c r="J1427" s="51">
        <f t="shared" si="3412"/>
        <v>18273</v>
      </c>
      <c r="K1427" s="51">
        <f t="shared" si="3412"/>
        <v>18038</v>
      </c>
      <c r="L1427" s="51">
        <f t="shared" si="3412"/>
        <v>20213</v>
      </c>
      <c r="M1427" s="51">
        <f t="shared" si="3412"/>
        <v>19457</v>
      </c>
      <c r="N1427" s="51">
        <f t="shared" si="3412"/>
        <v>20005</v>
      </c>
      <c r="O1427" s="51">
        <f t="shared" si="3412"/>
        <v>17887</v>
      </c>
      <c r="P1427" s="51">
        <f t="shared" si="3412"/>
        <v>19805</v>
      </c>
      <c r="Q1427" s="51">
        <f t="shared" si="3412"/>
        <v>19167</v>
      </c>
      <c r="R1427" s="51">
        <f t="shared" si="3412"/>
        <v>18471</v>
      </c>
      <c r="S1427" s="51">
        <f t="shared" si="3412"/>
        <v>18642</v>
      </c>
      <c r="T1427" s="51">
        <f t="shared" si="3412"/>
        <v>17555</v>
      </c>
      <c r="U1427" s="51">
        <f t="shared" si="3412"/>
        <v>17548</v>
      </c>
      <c r="V1427" s="51">
        <f t="shared" si="3412"/>
        <v>17760</v>
      </c>
      <c r="W1427" s="51">
        <f t="shared" si="3412"/>
        <v>17012</v>
      </c>
      <c r="X1427" s="51">
        <f t="shared" si="3412"/>
        <v>18366</v>
      </c>
      <c r="Y1427" s="51">
        <f t="shared" ref="Y1427:Z1427" si="3413">Y1415+Y1419+Y1423</f>
        <v>18155</v>
      </c>
      <c r="Z1427" s="51">
        <f t="shared" si="3413"/>
        <v>18419</v>
      </c>
      <c r="AA1427" s="51">
        <f t="shared" ref="AA1427:AB1427" si="3414">AA1415+AA1419+AA1423</f>
        <v>17504</v>
      </c>
      <c r="AB1427" s="51">
        <f t="shared" si="3414"/>
        <v>18872</v>
      </c>
      <c r="AC1427" s="116">
        <f t="shared" ref="AC1427:AE1427" si="3415">AC53</f>
        <v>19074.81356171814</v>
      </c>
      <c r="AD1427" s="116">
        <f t="shared" si="3415"/>
        <v>19141.15269894795</v>
      </c>
      <c r="AE1427" s="116">
        <f t="shared" si="3415"/>
        <v>18634.787849533775</v>
      </c>
      <c r="AF1427" s="116">
        <f t="shared" ref="AF1427:AI1427" si="3416">AF53</f>
        <v>20074.052231862344</v>
      </c>
      <c r="AG1427" s="116">
        <f t="shared" si="3416"/>
        <v>20235.465233257943</v>
      </c>
      <c r="AH1427" s="116">
        <f t="shared" si="3416"/>
        <v>20218.780349770241</v>
      </c>
      <c r="AI1427" s="116">
        <f t="shared" si="3416"/>
        <v>19640.132706050714</v>
      </c>
      <c r="AJ1427" s="116"/>
      <c r="AK1427" s="116"/>
      <c r="AL1427" s="116"/>
      <c r="AM1427" s="116"/>
      <c r="AN1427" s="116"/>
      <c r="AO1427" s="116"/>
      <c r="AP1427" s="116"/>
      <c r="AQ1427" s="116"/>
      <c r="AS1427" s="35"/>
      <c r="AT1427" s="35" t="s">
        <v>602</v>
      </c>
      <c r="AU1427" s="232">
        <f>SUM(D1427:G1427)</f>
        <v>76648</v>
      </c>
      <c r="AV1427" s="232">
        <f>SUM(H1427:K1427)</f>
        <v>77069</v>
      </c>
      <c r="AW1427" s="232">
        <f>SUM(L1427:O1427)</f>
        <v>77562</v>
      </c>
      <c r="AX1427" s="232">
        <f>SUM(P1427:S1427)</f>
        <v>76085</v>
      </c>
      <c r="AY1427" s="232">
        <f>SUM(T1427:W1427)</f>
        <v>69875</v>
      </c>
      <c r="AZ1427" s="232">
        <f>SUM(X1427:AA1427)</f>
        <v>72444</v>
      </c>
      <c r="BA1427" s="232">
        <f>SUM(AB1427:AE1427)</f>
        <v>75722.754110199865</v>
      </c>
      <c r="BB1427" s="232">
        <f>SUM(AF1427:AI1427)</f>
        <v>80168.430520941241</v>
      </c>
      <c r="BC1427" s="116">
        <f>BC53</f>
        <v>84479.947946016444</v>
      </c>
      <c r="BD1427" s="116">
        <f>BD53</f>
        <v>88823.734349452032</v>
      </c>
      <c r="BE1427" s="116">
        <f>BE53</f>
        <v>93139.291120888665</v>
      </c>
      <c r="BF1427" s="369"/>
      <c r="BG1427" s="369"/>
      <c r="BH1427" s="369"/>
      <c r="BI1427" s="369"/>
      <c r="BJ1427" s="369"/>
      <c r="BK1427" s="369"/>
      <c r="BL1427" s="369"/>
    </row>
    <row r="1428" spans="1:70" s="72" customFormat="1" x14ac:dyDescent="0.2">
      <c r="A1428" s="831"/>
      <c r="B1428" s="213"/>
      <c r="C1428" s="213" t="s">
        <v>601</v>
      </c>
      <c r="D1428" s="239">
        <f t="shared" ref="D1428:AE1428" si="3417">D1426/D1427</f>
        <v>0.49193908427997418</v>
      </c>
      <c r="E1428" s="239">
        <f t="shared" si="3417"/>
        <v>0.53005610472882714</v>
      </c>
      <c r="F1428" s="239">
        <f t="shared" si="3417"/>
        <v>0.51815627926334407</v>
      </c>
      <c r="G1428" s="239">
        <f t="shared" si="3417"/>
        <v>0.53115567054764989</v>
      </c>
      <c r="H1428" s="239">
        <f t="shared" si="3417"/>
        <v>0.52511149893348841</v>
      </c>
      <c r="I1428" s="239">
        <f t="shared" si="3417"/>
        <v>0.52200695479384007</v>
      </c>
      <c r="J1428" s="239">
        <f t="shared" si="3417"/>
        <v>0.52793739396924422</v>
      </c>
      <c r="K1428" s="239">
        <f t="shared" si="3417"/>
        <v>0.53010311564474999</v>
      </c>
      <c r="L1428" s="239">
        <f t="shared" si="3417"/>
        <v>0.55256518082422201</v>
      </c>
      <c r="M1428" s="239">
        <f t="shared" si="3417"/>
        <v>0.54772061468880096</v>
      </c>
      <c r="N1428" s="239">
        <f t="shared" si="3417"/>
        <v>0.54861284678830291</v>
      </c>
      <c r="O1428" s="239">
        <f t="shared" si="3417"/>
        <v>0.54503270531671044</v>
      </c>
      <c r="P1428" s="239">
        <f t="shared" si="3417"/>
        <v>0.54491290078263066</v>
      </c>
      <c r="Q1428" s="239">
        <f t="shared" si="3417"/>
        <v>0.55960765899723486</v>
      </c>
      <c r="R1428" s="239">
        <f t="shared" si="3417"/>
        <v>0.55557360186237892</v>
      </c>
      <c r="S1428" s="239">
        <f t="shared" si="3417"/>
        <v>0.59253299002252979</v>
      </c>
      <c r="T1428" s="239">
        <f t="shared" si="3417"/>
        <v>0.55573910566790086</v>
      </c>
      <c r="U1428" s="239">
        <f t="shared" si="3417"/>
        <v>0.52923410075222244</v>
      </c>
      <c r="V1428" s="239">
        <f t="shared" si="3417"/>
        <v>0.53429054054054059</v>
      </c>
      <c r="W1428" s="239">
        <f t="shared" si="3417"/>
        <v>0.52133787914413354</v>
      </c>
      <c r="X1428" s="239">
        <f t="shared" si="3417"/>
        <v>0.52640749210497662</v>
      </c>
      <c r="Y1428" s="239">
        <f t="shared" ref="Y1428:Z1428" si="3418">Y1426/Y1427</f>
        <v>0.50966675846874143</v>
      </c>
      <c r="Z1428" s="239">
        <f t="shared" si="3418"/>
        <v>0.51169987512894299</v>
      </c>
      <c r="AA1428" s="239">
        <f t="shared" ref="AA1428:AB1428" si="3419">AA1426/AA1427</f>
        <v>0.51296846435100552</v>
      </c>
      <c r="AB1428" s="239">
        <f t="shared" si="3419"/>
        <v>0.47758584145824501</v>
      </c>
      <c r="AC1428" s="239">
        <f t="shared" si="3417"/>
        <v>0.46656126518867014</v>
      </c>
      <c r="AD1428" s="239">
        <f t="shared" si="3417"/>
        <v>0.47110727700630528</v>
      </c>
      <c r="AE1428" s="239">
        <f t="shared" si="3417"/>
        <v>0.47343977202678583</v>
      </c>
      <c r="AF1428" s="239">
        <f t="shared" ref="AF1428:AI1428" si="3420">AF1426/AF1427</f>
        <v>0.46217353221866736</v>
      </c>
      <c r="AG1428" s="239">
        <f t="shared" si="3420"/>
        <v>0.46125498256370934</v>
      </c>
      <c r="AH1428" s="239">
        <f t="shared" si="3420"/>
        <v>0.46456115905375756</v>
      </c>
      <c r="AI1428" s="239">
        <f t="shared" si="3420"/>
        <v>0.46721258542879324</v>
      </c>
      <c r="AJ1428" s="239"/>
      <c r="AK1428" s="239"/>
      <c r="AL1428" s="239"/>
      <c r="AM1428" s="239"/>
      <c r="AN1428" s="239"/>
      <c r="AO1428" s="239"/>
      <c r="AP1428" s="239"/>
      <c r="AQ1428" s="239"/>
      <c r="AR1428" s="70"/>
      <c r="AS1428" s="213"/>
      <c r="AT1428" s="213" t="s">
        <v>601</v>
      </c>
      <c r="AU1428" s="239">
        <f t="shared" ref="AU1428:BD1428" si="3421">AU1426/AU1427</f>
        <v>0.51731291096962739</v>
      </c>
      <c r="AV1428" s="239">
        <f t="shared" si="3421"/>
        <v>0.52613891447923289</v>
      </c>
      <c r="AW1428" s="239">
        <f t="shared" si="3421"/>
        <v>0.54859338335782981</v>
      </c>
      <c r="AX1428" s="239">
        <f t="shared" si="3421"/>
        <v>0.56287047381218369</v>
      </c>
      <c r="AY1428" s="239">
        <f t="shared" si="3421"/>
        <v>0.53525581395348842</v>
      </c>
      <c r="AZ1428" s="239">
        <f t="shared" si="3421"/>
        <v>0.5152255535310033</v>
      </c>
      <c r="BA1428" s="239">
        <f t="shared" si="3421"/>
        <v>0.47215075054687411</v>
      </c>
      <c r="BB1428" s="239">
        <f t="shared" ref="BB1428" si="3422">BB1426/BB1427</f>
        <v>0.4637783446847677</v>
      </c>
      <c r="BC1428" s="239">
        <f t="shared" si="3421"/>
        <v>0.45918496099002404</v>
      </c>
      <c r="BD1428" s="239">
        <f t="shared" si="3421"/>
        <v>0.45542251299810682</v>
      </c>
      <c r="BE1428" s="239">
        <f t="shared" ref="BE1428" si="3423">BE1426/BE1427</f>
        <v>0.45293254536124328</v>
      </c>
      <c r="BF1428" s="369"/>
      <c r="BG1428" s="369"/>
      <c r="BH1428" s="369"/>
      <c r="BI1428" s="369"/>
      <c r="BJ1428" s="369"/>
      <c r="BK1428" s="369"/>
      <c r="BL1428" s="369"/>
      <c r="BM1428"/>
      <c r="BN1428"/>
      <c r="BO1428"/>
      <c r="BP1428"/>
      <c r="BQ1428"/>
      <c r="BR1428"/>
    </row>
    <row r="1429" spans="1:70" x14ac:dyDescent="0.2">
      <c r="B1429" s="9"/>
      <c r="C1429" s="15"/>
      <c r="D1429" s="107"/>
      <c r="E1429" s="107"/>
      <c r="F1429" s="107"/>
      <c r="G1429" s="107"/>
      <c r="H1429" s="107"/>
      <c r="I1429" s="107"/>
      <c r="J1429" s="107"/>
      <c r="K1429" s="107"/>
      <c r="L1429" s="107"/>
      <c r="M1429" s="107"/>
      <c r="N1429" s="107"/>
      <c r="O1429" s="107"/>
      <c r="P1429" s="107"/>
      <c r="Q1429" s="107"/>
      <c r="R1429" s="107"/>
      <c r="S1429" s="107"/>
      <c r="T1429" s="107"/>
      <c r="U1429" s="107"/>
      <c r="V1429" s="107"/>
      <c r="W1429" s="107"/>
      <c r="X1429" s="107"/>
      <c r="Y1429" s="107"/>
      <c r="Z1429" s="107"/>
      <c r="AA1429" s="107"/>
      <c r="AB1429" s="107"/>
      <c r="AC1429" s="15"/>
      <c r="AD1429" s="15"/>
      <c r="AE1429" s="15"/>
      <c r="AF1429" s="15"/>
      <c r="AG1429" s="15"/>
      <c r="AH1429" s="15"/>
      <c r="AI1429" s="15"/>
      <c r="AJ1429" s="15"/>
      <c r="AK1429" s="15"/>
      <c r="AL1429" s="15"/>
      <c r="AM1429" s="15"/>
      <c r="AN1429" s="15"/>
      <c r="AO1429" s="15"/>
      <c r="AP1429" s="15"/>
      <c r="AQ1429" s="15"/>
      <c r="AS1429" s="9"/>
      <c r="AT1429" s="15"/>
      <c r="AU1429" s="15"/>
      <c r="AV1429" s="15"/>
      <c r="AW1429" s="15"/>
      <c r="AX1429" s="15"/>
      <c r="AY1429" s="15"/>
      <c r="AZ1429" s="15"/>
      <c r="BA1429" s="15"/>
      <c r="BB1429" s="15"/>
      <c r="BC1429" s="15"/>
      <c r="BD1429" s="15"/>
      <c r="BE1429" s="15"/>
      <c r="BF1429" s="369"/>
      <c r="BG1429" s="369"/>
      <c r="BH1429" s="369"/>
      <c r="BI1429" s="369"/>
      <c r="BJ1429" s="369"/>
      <c r="BK1429" s="369"/>
      <c r="BL1429" s="369"/>
    </row>
    <row r="1430" spans="1:70" x14ac:dyDescent="0.2">
      <c r="B1430" s="35" t="s">
        <v>425</v>
      </c>
      <c r="D1430" s="51">
        <f t="shared" ref="D1430:AE1430" si="3424">D789</f>
        <v>5090</v>
      </c>
      <c r="E1430" s="51">
        <f t="shared" si="3424"/>
        <v>4221</v>
      </c>
      <c r="F1430" s="51">
        <f t="shared" si="3424"/>
        <v>4653</v>
      </c>
      <c r="G1430" s="51">
        <f t="shared" si="3424"/>
        <v>1814</v>
      </c>
      <c r="H1430" s="51">
        <f t="shared" si="3424"/>
        <v>6017</v>
      </c>
      <c r="I1430" s="51">
        <f t="shared" si="3424"/>
        <v>6084</v>
      </c>
      <c r="J1430" s="51">
        <f t="shared" si="3424"/>
        <v>4764</v>
      </c>
      <c r="K1430" s="51">
        <f t="shared" si="3424"/>
        <v>3800</v>
      </c>
      <c r="L1430" s="51">
        <f t="shared" si="3424"/>
        <v>6204</v>
      </c>
      <c r="M1430" s="51">
        <f t="shared" si="3424"/>
        <v>2328</v>
      </c>
      <c r="N1430" s="51">
        <f t="shared" si="3424"/>
        <v>5479</v>
      </c>
      <c r="O1430" s="51">
        <f t="shared" si="3424"/>
        <v>1577</v>
      </c>
      <c r="P1430" s="51">
        <f t="shared" si="3424"/>
        <v>7133</v>
      </c>
      <c r="Q1430" s="51">
        <f t="shared" si="3424"/>
        <v>6709</v>
      </c>
      <c r="R1430" s="51">
        <f t="shared" si="3424"/>
        <v>6107</v>
      </c>
      <c r="S1430" s="51">
        <f t="shared" si="3424"/>
        <v>5117</v>
      </c>
      <c r="T1430" s="51">
        <f t="shared" si="3424"/>
        <v>5106</v>
      </c>
      <c r="U1430" s="51">
        <f t="shared" si="3424"/>
        <v>5885</v>
      </c>
      <c r="V1430" s="51">
        <f t="shared" si="3424"/>
        <v>5734</v>
      </c>
      <c r="W1430" s="51">
        <f t="shared" si="3424"/>
        <v>5213</v>
      </c>
      <c r="X1430" s="51">
        <f t="shared" si="3424"/>
        <v>6104</v>
      </c>
      <c r="Y1430" s="51">
        <f t="shared" ref="Y1430:Z1430" si="3425">Y789</f>
        <v>5800</v>
      </c>
      <c r="Z1430" s="51">
        <f t="shared" si="3425"/>
        <v>6126</v>
      </c>
      <c r="AA1430" s="51">
        <f t="shared" ref="AA1430:AB1430" si="3426">AA789</f>
        <v>5227</v>
      </c>
      <c r="AB1430" s="51">
        <f t="shared" si="3426"/>
        <v>6154</v>
      </c>
      <c r="AC1430" s="51">
        <f t="shared" si="3424"/>
        <v>6036.5575078414131</v>
      </c>
      <c r="AD1430" s="51">
        <f t="shared" si="3424"/>
        <v>6108.5804570974215</v>
      </c>
      <c r="AE1430" s="51">
        <f t="shared" si="3424"/>
        <v>5868.7766176352998</v>
      </c>
      <c r="AF1430" s="51">
        <f t="shared" ref="AF1430:AI1430" si="3427">AF789</f>
        <v>6591.5128478608749</v>
      </c>
      <c r="AG1430" s="51">
        <f t="shared" si="3427"/>
        <v>6766.2100744872714</v>
      </c>
      <c r="AH1430" s="51">
        <f t="shared" si="3427"/>
        <v>6660.5712284950114</v>
      </c>
      <c r="AI1430" s="51">
        <f t="shared" si="3427"/>
        <v>6325.1791569206252</v>
      </c>
      <c r="AJ1430" s="51"/>
      <c r="AK1430" s="51"/>
      <c r="AL1430" s="51"/>
      <c r="AM1430" s="51"/>
      <c r="AN1430" s="51"/>
      <c r="AO1430" s="51"/>
      <c r="AP1430" s="51"/>
      <c r="AQ1430" s="51"/>
      <c r="AS1430" s="35" t="s">
        <v>425</v>
      </c>
      <c r="AT1430" s="9"/>
      <c r="AU1430" s="232">
        <f>SUM(D1430:G1430)</f>
        <v>15778</v>
      </c>
      <c r="AV1430" s="232">
        <f>SUM(H1430:K1430)</f>
        <v>20665</v>
      </c>
      <c r="AW1430" s="232">
        <f>SUM(L1430:O1430)</f>
        <v>15588</v>
      </c>
      <c r="AX1430" s="232">
        <f>SUM(P1430:S1430)</f>
        <v>25066</v>
      </c>
      <c r="AY1430" s="232">
        <f>SUM(T1430:W1430)</f>
        <v>21938</v>
      </c>
      <c r="AZ1430" s="232">
        <f>SUM(X1430:AA1430)</f>
        <v>23257</v>
      </c>
      <c r="BA1430" s="232">
        <f>SUM(AB1430:AE1430)</f>
        <v>24167.914582574133</v>
      </c>
      <c r="BB1430" s="232">
        <f>SUM(AF1430:AI1430)</f>
        <v>26343.473307763783</v>
      </c>
      <c r="BC1430" s="51">
        <f>BC789</f>
        <v>28351.789376845933</v>
      </c>
      <c r="BD1430" s="51">
        <f>BD789</f>
        <v>29915.86948822928</v>
      </c>
      <c r="BE1430" s="51">
        <f>BE789</f>
        <v>30661.882118455243</v>
      </c>
      <c r="BF1430" s="369"/>
      <c r="BG1430" s="369"/>
      <c r="BH1430" s="369"/>
      <c r="BI1430" s="369"/>
      <c r="BJ1430" s="369"/>
      <c r="BK1430" s="369"/>
      <c r="BL1430" s="369"/>
    </row>
    <row r="1431" spans="1:70" x14ac:dyDescent="0.2">
      <c r="B1431" s="35"/>
      <c r="C1431" s="9" t="s">
        <v>603</v>
      </c>
      <c r="D1431" s="134">
        <f t="shared" ref="D1431:AE1431" si="3428">+D1428</f>
        <v>0.49193908427997418</v>
      </c>
      <c r="E1431" s="134">
        <f t="shared" si="3428"/>
        <v>0.53005610472882714</v>
      </c>
      <c r="F1431" s="134">
        <f t="shared" si="3428"/>
        <v>0.51815627926334407</v>
      </c>
      <c r="G1431" s="134">
        <f t="shared" si="3428"/>
        <v>0.53115567054764989</v>
      </c>
      <c r="H1431" s="134">
        <f t="shared" si="3428"/>
        <v>0.52511149893348841</v>
      </c>
      <c r="I1431" s="134">
        <f t="shared" si="3428"/>
        <v>0.52200695479384007</v>
      </c>
      <c r="J1431" s="134">
        <f t="shared" si="3428"/>
        <v>0.52793739396924422</v>
      </c>
      <c r="K1431" s="134">
        <f t="shared" si="3428"/>
        <v>0.53010311564474999</v>
      </c>
      <c r="L1431" s="134">
        <f t="shared" si="3428"/>
        <v>0.55256518082422201</v>
      </c>
      <c r="M1431" s="134">
        <f t="shared" si="3428"/>
        <v>0.54772061468880096</v>
      </c>
      <c r="N1431" s="134">
        <f t="shared" si="3428"/>
        <v>0.54861284678830291</v>
      </c>
      <c r="O1431" s="134">
        <f t="shared" si="3428"/>
        <v>0.54503270531671044</v>
      </c>
      <c r="P1431" s="134">
        <f t="shared" si="3428"/>
        <v>0.54491290078263066</v>
      </c>
      <c r="Q1431" s="134">
        <f t="shared" si="3428"/>
        <v>0.55960765899723486</v>
      </c>
      <c r="R1431" s="134">
        <f t="shared" si="3428"/>
        <v>0.55557360186237892</v>
      </c>
      <c r="S1431" s="134">
        <f t="shared" si="3428"/>
        <v>0.59253299002252979</v>
      </c>
      <c r="T1431" s="134">
        <f t="shared" si="3428"/>
        <v>0.55573910566790086</v>
      </c>
      <c r="U1431" s="134">
        <f t="shared" si="3428"/>
        <v>0.52923410075222244</v>
      </c>
      <c r="V1431" s="134">
        <f t="shared" si="3428"/>
        <v>0.53429054054054059</v>
      </c>
      <c r="W1431" s="134">
        <f t="shared" si="3428"/>
        <v>0.52133787914413354</v>
      </c>
      <c r="X1431" s="134">
        <f t="shared" si="3428"/>
        <v>0.52640749210497662</v>
      </c>
      <c r="Y1431" s="134">
        <f t="shared" ref="Y1431:Z1431" si="3429">+Y1428</f>
        <v>0.50966675846874143</v>
      </c>
      <c r="Z1431" s="134">
        <f t="shared" si="3429"/>
        <v>0.51169987512894299</v>
      </c>
      <c r="AA1431" s="134">
        <f t="shared" ref="AA1431:AB1431" si="3430">+AA1428</f>
        <v>0.51296846435100552</v>
      </c>
      <c r="AB1431" s="134">
        <f t="shared" si="3430"/>
        <v>0.47758584145824501</v>
      </c>
      <c r="AC1431" s="134">
        <f t="shared" si="3428"/>
        <v>0.46656126518867014</v>
      </c>
      <c r="AD1431" s="134">
        <f t="shared" si="3428"/>
        <v>0.47110727700630528</v>
      </c>
      <c r="AE1431" s="134">
        <f t="shared" si="3428"/>
        <v>0.47343977202678583</v>
      </c>
      <c r="AF1431" s="134">
        <f t="shared" ref="AF1431:AI1431" si="3431">+AF1428</f>
        <v>0.46217353221866736</v>
      </c>
      <c r="AG1431" s="134">
        <f t="shared" si="3431"/>
        <v>0.46125498256370934</v>
      </c>
      <c r="AH1431" s="134">
        <f t="shared" si="3431"/>
        <v>0.46456115905375756</v>
      </c>
      <c r="AI1431" s="134">
        <f t="shared" si="3431"/>
        <v>0.46721258542879324</v>
      </c>
      <c r="AJ1431" s="134"/>
      <c r="AK1431" s="134"/>
      <c r="AL1431" s="134"/>
      <c r="AM1431" s="134"/>
      <c r="AN1431" s="134"/>
      <c r="AO1431" s="134"/>
      <c r="AP1431" s="134"/>
      <c r="AQ1431" s="134"/>
      <c r="AS1431" s="35"/>
      <c r="AT1431" s="9" t="s">
        <v>603</v>
      </c>
      <c r="AU1431" s="134">
        <f t="shared" ref="AU1431:BD1431" si="3432">AU1428</f>
        <v>0.51731291096962739</v>
      </c>
      <c r="AV1431" s="134">
        <f t="shared" si="3432"/>
        <v>0.52613891447923289</v>
      </c>
      <c r="AW1431" s="134">
        <f t="shared" si="3432"/>
        <v>0.54859338335782981</v>
      </c>
      <c r="AX1431" s="134">
        <f t="shared" si="3432"/>
        <v>0.56287047381218369</v>
      </c>
      <c r="AY1431" s="134">
        <f t="shared" si="3432"/>
        <v>0.53525581395348842</v>
      </c>
      <c r="AZ1431" s="134">
        <f t="shared" si="3432"/>
        <v>0.5152255535310033</v>
      </c>
      <c r="BA1431" s="134">
        <f t="shared" si="3432"/>
        <v>0.47215075054687411</v>
      </c>
      <c r="BB1431" s="134">
        <f t="shared" ref="BB1431" si="3433">BB1428</f>
        <v>0.4637783446847677</v>
      </c>
      <c r="BC1431" s="134">
        <f t="shared" si="3432"/>
        <v>0.45918496099002404</v>
      </c>
      <c r="BD1431" s="134">
        <f t="shared" si="3432"/>
        <v>0.45542251299810682</v>
      </c>
      <c r="BE1431" s="134">
        <f t="shared" ref="BE1431" si="3434">BE1428</f>
        <v>0.45293254536124328</v>
      </c>
      <c r="BF1431" s="369"/>
      <c r="BG1431" s="369"/>
      <c r="BH1431" s="369"/>
      <c r="BI1431" s="369"/>
      <c r="BJ1431" s="369"/>
      <c r="BK1431" s="369"/>
      <c r="BL1431" s="369"/>
    </row>
    <row r="1432" spans="1:70" x14ac:dyDescent="0.2">
      <c r="B1432" s="35"/>
      <c r="C1432" s="9" t="s">
        <v>604</v>
      </c>
      <c r="D1432" s="51">
        <f t="shared" ref="D1432:AE1432" si="3435">D1431*D1430</f>
        <v>2503.9699389850684</v>
      </c>
      <c r="E1432" s="51">
        <f t="shared" si="3435"/>
        <v>2237.3668180603795</v>
      </c>
      <c r="F1432" s="51">
        <f t="shared" si="3435"/>
        <v>2410.9811674123398</v>
      </c>
      <c r="G1432" s="51">
        <f t="shared" si="3435"/>
        <v>963.51638637343694</v>
      </c>
      <c r="H1432" s="51">
        <f t="shared" si="3435"/>
        <v>3159.5958890827997</v>
      </c>
      <c r="I1432" s="51">
        <f t="shared" si="3435"/>
        <v>3175.8903129657228</v>
      </c>
      <c r="J1432" s="51">
        <f t="shared" si="3435"/>
        <v>2515.0937448694795</v>
      </c>
      <c r="K1432" s="51">
        <f t="shared" si="3435"/>
        <v>2014.3918394500499</v>
      </c>
      <c r="L1432" s="51">
        <f t="shared" si="3435"/>
        <v>3428.1143818334735</v>
      </c>
      <c r="M1432" s="51">
        <f t="shared" si="3435"/>
        <v>1275.0935909955285</v>
      </c>
      <c r="N1432" s="51">
        <f t="shared" si="3435"/>
        <v>3005.8497875531116</v>
      </c>
      <c r="O1432" s="51">
        <f t="shared" si="3435"/>
        <v>859.51657628445241</v>
      </c>
      <c r="P1432" s="51">
        <f t="shared" si="3435"/>
        <v>3886.8637212825047</v>
      </c>
      <c r="Q1432" s="51">
        <f t="shared" si="3435"/>
        <v>3754.4077842124489</v>
      </c>
      <c r="R1432" s="51">
        <f t="shared" si="3435"/>
        <v>3392.887986573548</v>
      </c>
      <c r="S1432" s="51">
        <f t="shared" si="3435"/>
        <v>3031.9913099452851</v>
      </c>
      <c r="T1432" s="51">
        <f t="shared" si="3435"/>
        <v>2837.6038735403017</v>
      </c>
      <c r="U1432" s="51">
        <f t="shared" si="3435"/>
        <v>3114.542682926829</v>
      </c>
      <c r="V1432" s="51">
        <f t="shared" si="3435"/>
        <v>3063.62195945946</v>
      </c>
      <c r="W1432" s="51">
        <f t="shared" si="3435"/>
        <v>2717.734363978368</v>
      </c>
      <c r="X1432" s="51">
        <f t="shared" si="3435"/>
        <v>3213.1913318087772</v>
      </c>
      <c r="Y1432" s="51">
        <f t="shared" ref="Y1432:Z1432" si="3436">Y1431*Y1430</f>
        <v>2956.0671991187005</v>
      </c>
      <c r="Z1432" s="51">
        <f t="shared" si="3436"/>
        <v>3134.6734350399047</v>
      </c>
      <c r="AA1432" s="51">
        <f t="shared" ref="AA1432:AB1432" si="3437">AA1431*AA1430</f>
        <v>2681.2861631627056</v>
      </c>
      <c r="AB1432" s="51">
        <f t="shared" si="3437"/>
        <v>2939.06326833404</v>
      </c>
      <c r="AC1432" s="51">
        <f t="shared" si="3435"/>
        <v>2816.4239082426552</v>
      </c>
      <c r="AD1432" s="51">
        <f t="shared" si="3435"/>
        <v>2877.796705517098</v>
      </c>
      <c r="AE1432" s="51">
        <f t="shared" si="3435"/>
        <v>2778.5122639293877</v>
      </c>
      <c r="AF1432" s="51">
        <f t="shared" ref="AF1432:AI1432" si="3438">AF1431*AF1430</f>
        <v>3046.422775560588</v>
      </c>
      <c r="AG1432" s="51">
        <f t="shared" si="3438"/>
        <v>3120.948109930021</v>
      </c>
      <c r="AH1432" s="51">
        <f t="shared" si="3438"/>
        <v>3094.2426898697522</v>
      </c>
      <c r="AI1432" s="51">
        <f t="shared" si="3438"/>
        <v>2955.2033072052</v>
      </c>
      <c r="AJ1432" s="51"/>
      <c r="AK1432" s="51"/>
      <c r="AL1432" s="51"/>
      <c r="AM1432" s="51"/>
      <c r="AN1432" s="51"/>
      <c r="AO1432" s="51"/>
      <c r="AP1432" s="51"/>
      <c r="AQ1432" s="51"/>
      <c r="AS1432" s="35"/>
      <c r="AT1432" s="9" t="s">
        <v>604</v>
      </c>
      <c r="AU1432" s="232">
        <f>SUM(D1432:G1432)</f>
        <v>8115.8343108312247</v>
      </c>
      <c r="AV1432" s="232">
        <f>SUM(H1432:K1432)</f>
        <v>10864.971786368053</v>
      </c>
      <c r="AW1432" s="232">
        <f>SUM(L1432:O1432)</f>
        <v>8568.5743366665647</v>
      </c>
      <c r="AX1432" s="232">
        <f>SUM(P1432:S1432)</f>
        <v>14066.150802013788</v>
      </c>
      <c r="AY1432" s="232">
        <f>SUM(T1432:W1432)</f>
        <v>11733.50287990496</v>
      </c>
      <c r="AZ1432" s="232">
        <f>SUM(X1432:AA1432)</f>
        <v>11985.218129130088</v>
      </c>
      <c r="BA1432" s="232">
        <f>SUM(AB1432:AE1432)</f>
        <v>11411.79614602318</v>
      </c>
      <c r="BB1432" s="232">
        <f>SUM(AF1432:AI1432)</f>
        <v>12216.816882565561</v>
      </c>
      <c r="BC1432" s="51">
        <f>BC1431*BC1430</f>
        <v>13018.715299004378</v>
      </c>
      <c r="BD1432" s="51">
        <f>BD1431*BD1430</f>
        <v>13624.360460852766</v>
      </c>
      <c r="BE1432" s="51">
        <f>BE1431*BE1430</f>
        <v>13887.764313478323</v>
      </c>
    </row>
    <row r="1433" spans="1:70" x14ac:dyDescent="0.2">
      <c r="B1433" s="35"/>
      <c r="D1433" s="51"/>
      <c r="E1433" s="51"/>
      <c r="F1433" s="51"/>
      <c r="G1433" s="51"/>
      <c r="H1433" s="51"/>
      <c r="I1433" s="51"/>
      <c r="J1433" s="51"/>
      <c r="K1433" s="51"/>
      <c r="L1433" s="51"/>
      <c r="M1433" s="51"/>
      <c r="N1433" s="51"/>
      <c r="O1433" s="51"/>
      <c r="P1433" s="51"/>
      <c r="Q1433" s="51"/>
      <c r="R1433" s="51"/>
      <c r="S1433" s="51"/>
      <c r="T1433" s="51"/>
      <c r="U1433" s="51"/>
      <c r="V1433" s="51"/>
      <c r="W1433" s="51"/>
      <c r="X1433" s="51"/>
      <c r="Y1433" s="51"/>
      <c r="Z1433" s="51"/>
      <c r="AA1433" s="51"/>
      <c r="AB1433" s="51"/>
      <c r="AC1433" s="51"/>
      <c r="AD1433" s="51"/>
      <c r="AE1433" s="51"/>
      <c r="AF1433" s="51"/>
      <c r="AG1433" s="51"/>
      <c r="AH1433" s="51"/>
      <c r="AI1433" s="51"/>
      <c r="AJ1433" s="51"/>
      <c r="AK1433" s="51"/>
      <c r="AL1433" s="51"/>
      <c r="AM1433" s="51"/>
      <c r="AN1433" s="51"/>
      <c r="AO1433" s="51"/>
      <c r="AP1433" s="51"/>
      <c r="AQ1433" s="51"/>
      <c r="AS1433" s="35"/>
      <c r="AT1433" s="9"/>
      <c r="AU1433" s="232"/>
      <c r="AV1433" s="232"/>
      <c r="AW1433" s="232"/>
      <c r="AX1433" s="232"/>
      <c r="AY1433" s="232"/>
      <c r="AZ1433" s="232"/>
      <c r="BA1433" s="232"/>
      <c r="BB1433" s="232"/>
      <c r="BC1433" s="51"/>
      <c r="BD1433" s="51"/>
      <c r="BE1433" s="51"/>
    </row>
    <row r="1434" spans="1:70" x14ac:dyDescent="0.2">
      <c r="B1434" s="35" t="s">
        <v>867</v>
      </c>
      <c r="D1434" s="60">
        <v>0.35</v>
      </c>
      <c r="E1434" s="60">
        <v>0.35</v>
      </c>
      <c r="F1434" s="60">
        <v>0.35</v>
      </c>
      <c r="G1434" s="60">
        <v>0.35</v>
      </c>
      <c r="H1434" s="60">
        <v>0.35</v>
      </c>
      <c r="I1434" s="60">
        <v>0.35</v>
      </c>
      <c r="J1434" s="60">
        <v>0.35</v>
      </c>
      <c r="K1434" s="60">
        <v>0.35</v>
      </c>
      <c r="L1434" s="60">
        <v>0.35</v>
      </c>
      <c r="M1434" s="60">
        <v>0.35</v>
      </c>
      <c r="N1434" s="60">
        <v>0.35</v>
      </c>
      <c r="O1434" s="60">
        <v>0.35</v>
      </c>
      <c r="P1434" s="60">
        <v>0.35</v>
      </c>
      <c r="Q1434" s="60">
        <v>0.35</v>
      </c>
      <c r="R1434" s="60">
        <v>0.35</v>
      </c>
      <c r="S1434" s="60">
        <v>0.35</v>
      </c>
      <c r="T1434" s="849">
        <v>0.35</v>
      </c>
      <c r="U1434" s="849">
        <v>0.35</v>
      </c>
      <c r="V1434" s="849">
        <v>0.35</v>
      </c>
      <c r="W1434" s="849">
        <v>0.35</v>
      </c>
      <c r="X1434" s="849">
        <v>0.35</v>
      </c>
      <c r="Y1434" s="849">
        <v>0.35</v>
      </c>
      <c r="Z1434" s="849">
        <v>0.35</v>
      </c>
      <c r="AA1434" s="849">
        <v>0.35</v>
      </c>
      <c r="AB1434" s="849">
        <v>0.21</v>
      </c>
      <c r="AC1434" s="849">
        <v>0.21</v>
      </c>
      <c r="AD1434" s="849">
        <v>0.21</v>
      </c>
      <c r="AE1434" s="849">
        <v>0.21</v>
      </c>
      <c r="AF1434" s="849">
        <v>0.21</v>
      </c>
      <c r="AG1434" s="849">
        <v>0.21</v>
      </c>
      <c r="AH1434" s="849">
        <v>0.21</v>
      </c>
      <c r="AI1434" s="849">
        <v>0.21</v>
      </c>
      <c r="AJ1434" s="849"/>
      <c r="AK1434" s="849"/>
      <c r="AL1434" s="849"/>
      <c r="AM1434" s="849"/>
      <c r="AN1434" s="849"/>
      <c r="AO1434" s="849"/>
      <c r="AP1434" s="849"/>
      <c r="AQ1434" s="849"/>
      <c r="AS1434" s="35" t="s">
        <v>867</v>
      </c>
      <c r="AT1434" s="9"/>
      <c r="AU1434" s="849">
        <v>0.35</v>
      </c>
      <c r="AV1434" s="849">
        <v>0.35</v>
      </c>
      <c r="AW1434" s="849">
        <v>0.35</v>
      </c>
      <c r="AX1434" s="849">
        <v>0.35</v>
      </c>
      <c r="AY1434" s="849">
        <v>0.35</v>
      </c>
      <c r="AZ1434" s="849">
        <v>0.35</v>
      </c>
      <c r="BA1434" s="849">
        <v>0.21</v>
      </c>
      <c r="BB1434" s="849">
        <v>0.21</v>
      </c>
      <c r="BC1434" s="849">
        <v>0.21</v>
      </c>
      <c r="BD1434" s="849">
        <v>0.21</v>
      </c>
      <c r="BE1434" s="849">
        <v>0.21</v>
      </c>
    </row>
    <row r="1435" spans="1:70" x14ac:dyDescent="0.2">
      <c r="B1435" s="35" t="s">
        <v>875</v>
      </c>
      <c r="D1435" s="51">
        <f t="shared" ref="D1435:AE1435" si="3439">D1432*D1434</f>
        <v>876.38947864477393</v>
      </c>
      <c r="E1435" s="51">
        <f t="shared" si="3439"/>
        <v>783.07838632113283</v>
      </c>
      <c r="F1435" s="51">
        <f t="shared" si="3439"/>
        <v>843.84340859431893</v>
      </c>
      <c r="G1435" s="51">
        <f t="shared" si="3439"/>
        <v>337.23073523070292</v>
      </c>
      <c r="H1435" s="51">
        <f t="shared" si="3439"/>
        <v>1105.8585611789797</v>
      </c>
      <c r="I1435" s="51">
        <f t="shared" si="3439"/>
        <v>1111.5616095380028</v>
      </c>
      <c r="J1435" s="51">
        <f t="shared" si="3439"/>
        <v>880.28281070431774</v>
      </c>
      <c r="K1435" s="51">
        <f t="shared" si="3439"/>
        <v>705.0371438075174</v>
      </c>
      <c r="L1435" s="51">
        <f t="shared" si="3439"/>
        <v>1199.8400336417158</v>
      </c>
      <c r="M1435" s="51">
        <f t="shared" si="3439"/>
        <v>446.28275684843499</v>
      </c>
      <c r="N1435" s="51">
        <f t="shared" si="3439"/>
        <v>1052.0474256435889</v>
      </c>
      <c r="O1435" s="51">
        <f t="shared" si="3439"/>
        <v>300.83080169955832</v>
      </c>
      <c r="P1435" s="51">
        <f t="shared" si="3439"/>
        <v>1360.4023024488765</v>
      </c>
      <c r="Q1435" s="51">
        <f t="shared" si="3439"/>
        <v>1314.0427244743571</v>
      </c>
      <c r="R1435" s="51">
        <f t="shared" si="3439"/>
        <v>1187.5107953007416</v>
      </c>
      <c r="S1435" s="51">
        <f t="shared" si="3439"/>
        <v>1061.1969584808498</v>
      </c>
      <c r="T1435" s="51">
        <f t="shared" si="3439"/>
        <v>993.16135573910549</v>
      </c>
      <c r="U1435" s="51">
        <f t="shared" si="3439"/>
        <v>1090.0899390243901</v>
      </c>
      <c r="V1435" s="51">
        <f t="shared" si="3439"/>
        <v>1072.2676858108109</v>
      </c>
      <c r="W1435" s="51">
        <f t="shared" si="3439"/>
        <v>951.2070273924287</v>
      </c>
      <c r="X1435" s="51">
        <f t="shared" si="3439"/>
        <v>1124.6169661330719</v>
      </c>
      <c r="Y1435" s="51">
        <f t="shared" ref="Y1435:Z1435" si="3440">Y1432*Y1434</f>
        <v>1034.6235196915452</v>
      </c>
      <c r="Z1435" s="51">
        <f t="shared" si="3440"/>
        <v>1097.1357022639666</v>
      </c>
      <c r="AA1435" s="51">
        <f t="shared" ref="AA1435" si="3441">AA1432*AA1434</f>
        <v>938.4501571069469</v>
      </c>
      <c r="AB1435" s="51">
        <f t="shared" si="3439"/>
        <v>617.20328635014835</v>
      </c>
      <c r="AC1435" s="51">
        <f t="shared" si="3439"/>
        <v>591.44902073095761</v>
      </c>
      <c r="AD1435" s="51">
        <f t="shared" si="3439"/>
        <v>604.33730815859053</v>
      </c>
      <c r="AE1435" s="51">
        <f t="shared" si="3439"/>
        <v>583.48757542517137</v>
      </c>
      <c r="AF1435" s="51">
        <f t="shared" ref="AF1435:AI1435" si="3442">AF1432*AF1434</f>
        <v>639.74878286772343</v>
      </c>
      <c r="AG1435" s="51">
        <f t="shared" si="3442"/>
        <v>655.39910308530443</v>
      </c>
      <c r="AH1435" s="51">
        <f t="shared" si="3442"/>
        <v>649.79096487264792</v>
      </c>
      <c r="AI1435" s="51">
        <f t="shared" si="3442"/>
        <v>620.59269451309194</v>
      </c>
      <c r="AJ1435" s="51"/>
      <c r="AK1435" s="51"/>
      <c r="AL1435" s="51"/>
      <c r="AM1435" s="51"/>
      <c r="AN1435" s="51"/>
      <c r="AO1435" s="51"/>
      <c r="AP1435" s="51"/>
      <c r="AQ1435" s="51"/>
      <c r="AS1435" s="35" t="s">
        <v>868</v>
      </c>
      <c r="AT1435" s="9"/>
      <c r="AU1435" s="232">
        <f>SUM(D1435:G1435)</f>
        <v>2840.5420087909288</v>
      </c>
      <c r="AV1435" s="232">
        <f>SUM(H1435:K1435)</f>
        <v>3802.7401252288173</v>
      </c>
      <c r="AW1435" s="232">
        <f>SUM(L1435:O1435)</f>
        <v>2999.0010178332982</v>
      </c>
      <c r="AX1435" s="232">
        <f>SUM(P1435:S1435)</f>
        <v>4923.152780704826</v>
      </c>
      <c r="AY1435" s="232">
        <f>SUM(T1435:W1435)</f>
        <v>4106.7260079667358</v>
      </c>
      <c r="AZ1435" s="232">
        <f>SUM(X1435:AA1435)</f>
        <v>4194.8263451955308</v>
      </c>
      <c r="BA1435" s="232">
        <f>SUM(AB1435:AE1435)</f>
        <v>2396.4771906648675</v>
      </c>
      <c r="BB1435" s="232">
        <f>SUM(AF1435:AI1435)</f>
        <v>2565.531545338768</v>
      </c>
      <c r="BC1435" s="51">
        <f>BC1432*BC1434</f>
        <v>2733.9302127909191</v>
      </c>
      <c r="BD1435" s="51">
        <f>BD1432*BD1434</f>
        <v>2861.1156967790807</v>
      </c>
      <c r="BE1435" s="51">
        <f>BE1432*BE1434</f>
        <v>2916.4305058304476</v>
      </c>
    </row>
    <row r="1436" spans="1:70" x14ac:dyDescent="0.2">
      <c r="B1436" s="35"/>
      <c r="D1436" s="51"/>
      <c r="E1436" s="51"/>
      <c r="F1436" s="51"/>
      <c r="G1436" s="51"/>
      <c r="H1436" s="51"/>
      <c r="I1436" s="51"/>
      <c r="J1436" s="51"/>
      <c r="K1436" s="51"/>
      <c r="L1436" s="51"/>
      <c r="M1436" s="51"/>
      <c r="N1436" s="51"/>
      <c r="O1436" s="51"/>
      <c r="P1436" s="51"/>
      <c r="Q1436" s="51"/>
      <c r="R1436" s="51"/>
      <c r="S1436" s="51"/>
      <c r="T1436" s="51"/>
      <c r="U1436" s="51"/>
      <c r="V1436" s="51"/>
      <c r="W1436" s="51"/>
      <c r="X1436" s="51"/>
      <c r="Y1436" s="51"/>
      <c r="Z1436" s="51"/>
      <c r="AA1436" s="51"/>
      <c r="AB1436" s="51"/>
      <c r="AC1436" s="51"/>
      <c r="AD1436" s="51"/>
      <c r="AE1436" s="51"/>
      <c r="AF1436" s="51"/>
      <c r="AG1436" s="51"/>
      <c r="AH1436" s="51"/>
      <c r="AI1436" s="51"/>
      <c r="AJ1436" s="51"/>
      <c r="AK1436" s="51"/>
      <c r="AL1436" s="51"/>
      <c r="AM1436" s="51"/>
      <c r="AN1436" s="51"/>
      <c r="AO1436" s="51"/>
      <c r="AP1436" s="51"/>
      <c r="AQ1436" s="51"/>
      <c r="AS1436" s="35"/>
      <c r="AT1436" s="9"/>
      <c r="AU1436" s="232"/>
      <c r="AV1436" s="232"/>
      <c r="AW1436" s="232"/>
      <c r="AX1436" s="232"/>
      <c r="AY1436" s="232"/>
      <c r="AZ1436" s="232"/>
      <c r="BA1436" s="232"/>
      <c r="BB1436" s="232"/>
      <c r="BC1436" s="51"/>
      <c r="BD1436" s="51"/>
      <c r="BE1436" s="51"/>
    </row>
    <row r="1437" spans="1:70" s="160" customFormat="1" x14ac:dyDescent="0.2">
      <c r="A1437" s="829"/>
      <c r="B1437" s="201" t="s">
        <v>846</v>
      </c>
      <c r="C1437" s="19"/>
      <c r="D1437" s="810">
        <v>51930</v>
      </c>
      <c r="E1437" s="810">
        <v>51000</v>
      </c>
      <c r="F1437" s="810">
        <v>53300</v>
      </c>
      <c r="G1437" s="810">
        <v>55300</v>
      </c>
      <c r="H1437" s="810">
        <v>54600</v>
      </c>
      <c r="I1437" s="810">
        <v>54000</v>
      </c>
      <c r="J1437" s="810">
        <v>53500</v>
      </c>
      <c r="K1437" s="809">
        <v>52799</v>
      </c>
      <c r="L1437" s="809">
        <v>51800</v>
      </c>
      <c r="M1437" s="809">
        <v>50600</v>
      </c>
      <c r="N1437" s="809">
        <v>49900</v>
      </c>
      <c r="O1437" s="809">
        <v>49507</v>
      </c>
      <c r="P1437" s="809">
        <v>48100</v>
      </c>
      <c r="Q1437" s="809">
        <v>47900</v>
      </c>
      <c r="R1437" s="809">
        <v>47200</v>
      </c>
      <c r="S1437" s="809">
        <v>47849</v>
      </c>
      <c r="T1437" s="809">
        <v>46200</v>
      </c>
      <c r="U1437" s="809">
        <v>45400</v>
      </c>
      <c r="V1437" s="809">
        <v>45400</v>
      </c>
      <c r="W1437" s="809">
        <v>46668</v>
      </c>
      <c r="X1437" s="809">
        <f>W1437-800</f>
        <v>45868</v>
      </c>
      <c r="Y1437" s="809">
        <f>X1437-800</f>
        <v>45068</v>
      </c>
      <c r="Z1437" s="809">
        <f>Y1437-800</f>
        <v>44268</v>
      </c>
      <c r="AA1437" s="809">
        <f>Z1437-800</f>
        <v>43468</v>
      </c>
      <c r="AB1437" s="809">
        <f>AA1437-800</f>
        <v>42668</v>
      </c>
      <c r="AC1437" s="195">
        <f t="shared" ref="AC1437:AE1437" si="3443">AB1437-AC1438</f>
        <v>42490.56529378071</v>
      </c>
      <c r="AD1437" s="195">
        <f t="shared" si="3443"/>
        <v>42309.26410133313</v>
      </c>
      <c r="AE1437" s="195">
        <f t="shared" si="3443"/>
        <v>42134.217828705579</v>
      </c>
      <c r="AF1437" s="195">
        <f t="shared" ref="AF1437" si="3444">AE1437-AF1438</f>
        <v>41942.29319384526</v>
      </c>
      <c r="AG1437" s="195">
        <f t="shared" ref="AG1437" si="3445">AF1437-AG1438</f>
        <v>41745.673462919665</v>
      </c>
      <c r="AH1437" s="195">
        <f t="shared" ref="AH1437" si="3446">AG1437-AH1438</f>
        <v>41550.736173457874</v>
      </c>
      <c r="AI1437" s="195">
        <f t="shared" ref="AI1437" si="3447">AH1437-AI1438</f>
        <v>41364.558365103949</v>
      </c>
      <c r="AJ1437" s="195"/>
      <c r="AK1437" s="195"/>
      <c r="AL1437" s="195"/>
      <c r="AM1437" s="195"/>
      <c r="AN1437" s="195"/>
      <c r="AO1437" s="195"/>
      <c r="AP1437" s="195"/>
      <c r="AQ1437" s="195"/>
      <c r="AR1437" s="70"/>
      <c r="AS1437" s="201" t="s">
        <v>846</v>
      </c>
      <c r="AT1437" s="19"/>
      <c r="AU1437" s="195">
        <f>G1437</f>
        <v>55300</v>
      </c>
      <c r="AV1437" s="195">
        <f>K1437</f>
        <v>52799</v>
      </c>
      <c r="AW1437" s="195">
        <f>O1437</f>
        <v>49507</v>
      </c>
      <c r="AX1437" s="195">
        <f>S1437</f>
        <v>47849</v>
      </c>
      <c r="AY1437" s="195">
        <f>W1437</f>
        <v>46668</v>
      </c>
      <c r="AZ1437" s="195">
        <f>AA1437</f>
        <v>43468</v>
      </c>
      <c r="BA1437" s="195">
        <f>AE1437</f>
        <v>42134.217828705579</v>
      </c>
      <c r="BB1437" s="195">
        <f>AI1437</f>
        <v>41364.558365103949</v>
      </c>
      <c r="BC1437" s="195">
        <f>BB1437-BC1438</f>
        <v>40544.379301266672</v>
      </c>
      <c r="BD1437" s="195">
        <f>BC1437-BD1438</f>
        <v>39686.044592232945</v>
      </c>
      <c r="BE1437" s="195">
        <f>BD1437-BE1438</f>
        <v>38811.115440483809</v>
      </c>
      <c r="BM1437"/>
      <c r="BN1437"/>
      <c r="BO1437"/>
      <c r="BP1437"/>
      <c r="BQ1437"/>
      <c r="BR1437"/>
    </row>
    <row r="1438" spans="1:70" x14ac:dyDescent="0.2">
      <c r="B1438" s="9" t="s">
        <v>870</v>
      </c>
      <c r="C1438" s="70"/>
      <c r="D1438" s="51" t="s">
        <v>229</v>
      </c>
      <c r="E1438" s="51">
        <f t="shared" ref="E1438:AB1438" si="3448">D1437-E1437</f>
        <v>930</v>
      </c>
      <c r="F1438" s="51">
        <f t="shared" si="3448"/>
        <v>-2300</v>
      </c>
      <c r="G1438" s="51">
        <f t="shared" si="3448"/>
        <v>-2000</v>
      </c>
      <c r="H1438" s="51">
        <f t="shared" si="3448"/>
        <v>700</v>
      </c>
      <c r="I1438" s="51">
        <f t="shared" si="3448"/>
        <v>600</v>
      </c>
      <c r="J1438" s="51">
        <f t="shared" si="3448"/>
        <v>500</v>
      </c>
      <c r="K1438" s="51">
        <f t="shared" si="3448"/>
        <v>701</v>
      </c>
      <c r="L1438" s="51">
        <f t="shared" si="3448"/>
        <v>999</v>
      </c>
      <c r="M1438" s="51">
        <f t="shared" si="3448"/>
        <v>1200</v>
      </c>
      <c r="N1438" s="51">
        <f t="shared" si="3448"/>
        <v>700</v>
      </c>
      <c r="O1438" s="51">
        <f t="shared" si="3448"/>
        <v>393</v>
      </c>
      <c r="P1438" s="51">
        <f t="shared" si="3448"/>
        <v>1407</v>
      </c>
      <c r="Q1438" s="51">
        <f t="shared" si="3448"/>
        <v>200</v>
      </c>
      <c r="R1438" s="51">
        <f t="shared" si="3448"/>
        <v>700</v>
      </c>
      <c r="S1438" s="51">
        <f t="shared" si="3448"/>
        <v>-649</v>
      </c>
      <c r="T1438" s="51">
        <f t="shared" si="3448"/>
        <v>1649</v>
      </c>
      <c r="U1438" s="51">
        <f t="shared" si="3448"/>
        <v>800</v>
      </c>
      <c r="V1438" s="51">
        <f t="shared" si="3448"/>
        <v>0</v>
      </c>
      <c r="W1438" s="51">
        <f t="shared" si="3448"/>
        <v>-1268</v>
      </c>
      <c r="X1438" s="51">
        <f t="shared" si="3448"/>
        <v>800</v>
      </c>
      <c r="Y1438" s="51">
        <f t="shared" si="3448"/>
        <v>800</v>
      </c>
      <c r="Z1438" s="51">
        <f t="shared" si="3448"/>
        <v>800</v>
      </c>
      <c r="AA1438" s="51">
        <f t="shared" si="3448"/>
        <v>800</v>
      </c>
      <c r="AB1438" s="51">
        <f t="shared" si="3448"/>
        <v>800</v>
      </c>
      <c r="AC1438" s="116">
        <f t="shared" ref="AC1438:AE1438" si="3449">AC1439*AC1435</f>
        <v>177.43470621928728</v>
      </c>
      <c r="AD1438" s="116">
        <f t="shared" si="3449"/>
        <v>181.30119244757717</v>
      </c>
      <c r="AE1438" s="116">
        <f t="shared" si="3449"/>
        <v>175.04627262755142</v>
      </c>
      <c r="AF1438" s="116">
        <f t="shared" ref="AF1438:AI1438" si="3450">AF1439*AF1435</f>
        <v>191.92463486031701</v>
      </c>
      <c r="AG1438" s="116">
        <f t="shared" si="3450"/>
        <v>196.61973092559131</v>
      </c>
      <c r="AH1438" s="116">
        <f t="shared" si="3450"/>
        <v>194.93728946179436</v>
      </c>
      <c r="AI1438" s="116">
        <f t="shared" si="3450"/>
        <v>186.17780835392759</v>
      </c>
      <c r="AJ1438" s="116"/>
      <c r="AK1438" s="116"/>
      <c r="AL1438" s="116"/>
      <c r="AM1438" s="116"/>
      <c r="AN1438" s="116"/>
      <c r="AO1438" s="116"/>
      <c r="AP1438" s="116"/>
      <c r="AQ1438" s="116"/>
      <c r="AS1438" s="9" t="s">
        <v>870</v>
      </c>
      <c r="AV1438" s="51">
        <f t="shared" ref="AV1438:BB1438" si="3451">AU1437-AV1437</f>
        <v>2501</v>
      </c>
      <c r="AW1438" s="51">
        <f t="shared" si="3451"/>
        <v>3292</v>
      </c>
      <c r="AX1438" s="51">
        <f t="shared" si="3451"/>
        <v>1658</v>
      </c>
      <c r="AY1438" s="51">
        <f t="shared" si="3451"/>
        <v>1181</v>
      </c>
      <c r="AZ1438" s="51">
        <f t="shared" si="3451"/>
        <v>3200</v>
      </c>
      <c r="BA1438" s="51">
        <f t="shared" si="3451"/>
        <v>1333.7821712944206</v>
      </c>
      <c r="BB1438" s="51">
        <f t="shared" si="3451"/>
        <v>769.6594636016307</v>
      </c>
      <c r="BC1438" s="116">
        <f>BC1439*BC1435</f>
        <v>820.17906383727575</v>
      </c>
      <c r="BD1438" s="116">
        <f>BD1439*BD1435</f>
        <v>858.33470903372415</v>
      </c>
      <c r="BE1438" s="116">
        <f>BE1439*BE1435</f>
        <v>874.92915174913423</v>
      </c>
    </row>
    <row r="1439" spans="1:70" x14ac:dyDescent="0.2">
      <c r="B1439" s="9"/>
      <c r="C1439" s="70" t="s">
        <v>869</v>
      </c>
      <c r="D1439" s="51"/>
      <c r="E1439" s="51"/>
      <c r="F1439" s="51"/>
      <c r="G1439" s="51"/>
      <c r="H1439" s="404">
        <f t="shared" ref="H1439:X1439" si="3452">H1438/H1435</f>
        <v>0.63299234149231065</v>
      </c>
      <c r="I1439" s="404">
        <f t="shared" si="3452"/>
        <v>0.53978114649837305</v>
      </c>
      <c r="J1439" s="404">
        <f t="shared" si="3452"/>
        <v>0.56799927695958075</v>
      </c>
      <c r="K1439" s="404">
        <f t="shared" si="3452"/>
        <v>0.99427385657198852</v>
      </c>
      <c r="L1439" s="404">
        <f t="shared" si="3452"/>
        <v>0.83261099145680895</v>
      </c>
      <c r="M1439" s="404">
        <f t="shared" si="3452"/>
        <v>2.6888782539441465</v>
      </c>
      <c r="N1439" s="404">
        <f t="shared" si="3452"/>
        <v>0.66536924375987683</v>
      </c>
      <c r="O1439" s="404">
        <f t="shared" si="3452"/>
        <v>1.3063821848684618</v>
      </c>
      <c r="P1439" s="404">
        <f t="shared" si="3452"/>
        <v>1.0342528805392657</v>
      </c>
      <c r="Q1439" s="404">
        <f t="shared" si="3452"/>
        <v>0.15220205269962125</v>
      </c>
      <c r="R1439" s="404">
        <f t="shared" si="3452"/>
        <v>0.5894683254839147</v>
      </c>
      <c r="S1439" s="404">
        <f t="shared" si="3452"/>
        <v>-0.61157355834214988</v>
      </c>
      <c r="T1439" s="404">
        <f t="shared" si="3452"/>
        <v>1.6603545742804531</v>
      </c>
      <c r="U1439" s="404">
        <f t="shared" si="3452"/>
        <v>0.73388439922304471</v>
      </c>
      <c r="V1439" s="404">
        <f t="shared" si="3452"/>
        <v>0</v>
      </c>
      <c r="W1439" s="404">
        <f t="shared" si="3452"/>
        <v>-1.3330431372821172</v>
      </c>
      <c r="X1439" s="404">
        <f t="shared" si="3452"/>
        <v>0.71135330880766645</v>
      </c>
      <c r="Y1439" s="404">
        <f t="shared" ref="Y1439:Z1439" si="3453">Y1438/Y1435</f>
        <v>0.77322812092895965</v>
      </c>
      <c r="Z1439" s="404">
        <f t="shared" si="3453"/>
        <v>0.72917142186621065</v>
      </c>
      <c r="AA1439" s="404">
        <f t="shared" ref="AA1439:AB1439" si="3454">AA1438/AA1435</f>
        <v>0.85246935486295738</v>
      </c>
      <c r="AB1439" s="404">
        <f t="shared" si="3454"/>
        <v>1.2961693783758443</v>
      </c>
      <c r="AC1439" s="920">
        <f>Drivers!AC337</f>
        <v>0.3</v>
      </c>
      <c r="AD1439" s="920">
        <f>Drivers!AD337</f>
        <v>0.3</v>
      </c>
      <c r="AE1439" s="920">
        <f>Drivers!AE337</f>
        <v>0.3</v>
      </c>
      <c r="AF1439" s="920">
        <f>Drivers!AF337</f>
        <v>0.3</v>
      </c>
      <c r="AG1439" s="920">
        <f>Drivers!AG337</f>
        <v>0.3</v>
      </c>
      <c r="AH1439" s="920">
        <f>Drivers!AH337</f>
        <v>0.3</v>
      </c>
      <c r="AI1439" s="920">
        <f>Drivers!AI337</f>
        <v>0.3</v>
      </c>
      <c r="AJ1439" s="920"/>
      <c r="AK1439" s="920"/>
      <c r="AL1439" s="920"/>
      <c r="AM1439" s="920"/>
      <c r="AN1439" s="920"/>
      <c r="AO1439" s="920"/>
      <c r="AP1439" s="920"/>
      <c r="AQ1439" s="920"/>
      <c r="AS1439" s="9"/>
      <c r="AT1439" s="70" t="s">
        <v>869</v>
      </c>
      <c r="AV1439" s="404">
        <f t="shared" ref="AV1439:BA1439" si="3455">AV1438/AV1435</f>
        <v>0.65768364853738481</v>
      </c>
      <c r="AW1439" s="404">
        <f t="shared" si="3455"/>
        <v>1.0976988605286924</v>
      </c>
      <c r="AX1439" s="404">
        <f t="shared" si="3455"/>
        <v>0.33677606075890082</v>
      </c>
      <c r="AY1439" s="404">
        <f t="shared" si="3455"/>
        <v>0.28757701334565539</v>
      </c>
      <c r="AZ1439" s="404">
        <f t="shared" si="3455"/>
        <v>0.76284445091870434</v>
      </c>
      <c r="BA1439" s="404">
        <f t="shared" si="3455"/>
        <v>0.55655951013845539</v>
      </c>
      <c r="BB1439" s="404">
        <f t="shared" ref="BB1439" si="3456">BB1438/BB1435</f>
        <v>0.3000000000000001</v>
      </c>
      <c r="BC1439" s="920">
        <f>Drivers!BC337</f>
        <v>0.3</v>
      </c>
      <c r="BD1439" s="920">
        <f>Drivers!BD337</f>
        <v>0.3</v>
      </c>
      <c r="BE1439" s="920">
        <f>Drivers!BE337</f>
        <v>0.3</v>
      </c>
    </row>
    <row r="1440" spans="1:70" x14ac:dyDescent="0.2">
      <c r="B1440" s="15"/>
      <c r="C1440" s="70"/>
      <c r="Y1440" s="1215"/>
      <c r="Z1440" s="1688"/>
      <c r="AA1440" s="1742"/>
      <c r="AB1440" s="1785"/>
      <c r="AS1440" s="15"/>
      <c r="AV1440" s="9"/>
      <c r="AW1440" s="9"/>
      <c r="AX1440" s="9"/>
      <c r="AY1440" s="9"/>
      <c r="AZ1440" s="9"/>
      <c r="BA1440" s="9"/>
      <c r="BB1440" s="1707"/>
      <c r="BC1440" s="914"/>
      <c r="BD1440" s="1704"/>
      <c r="BE1440" s="1702"/>
    </row>
    <row r="1441" spans="2:70" s="70" customFormat="1" x14ac:dyDescent="0.2">
      <c r="B1441" s="35" t="s">
        <v>433</v>
      </c>
      <c r="C1441" s="914"/>
      <c r="D1441" s="809"/>
      <c r="E1441" s="809"/>
      <c r="F1441" s="809"/>
      <c r="G1441" s="809"/>
      <c r="H1441" s="405">
        <f t="shared" ref="H1441:X1441" si="3457">H1369</f>
        <v>28000</v>
      </c>
      <c r="I1441" s="405">
        <f t="shared" si="3457"/>
        <v>27945</v>
      </c>
      <c r="J1441" s="405">
        <f t="shared" si="3457"/>
        <v>28003</v>
      </c>
      <c r="K1441" s="405">
        <f t="shared" si="3457"/>
        <v>26438</v>
      </c>
      <c r="L1441" s="405">
        <f t="shared" si="3457"/>
        <v>26489</v>
      </c>
      <c r="M1441" s="405">
        <f t="shared" si="3457"/>
        <v>25139</v>
      </c>
      <c r="N1441" s="405">
        <f t="shared" si="3457"/>
        <v>24654</v>
      </c>
      <c r="O1441" s="405">
        <f t="shared" si="3457"/>
        <v>23626</v>
      </c>
      <c r="P1441" s="405">
        <f t="shared" si="3457"/>
        <v>23190</v>
      </c>
      <c r="Q1441" s="405">
        <f t="shared" si="3457"/>
        <v>23760</v>
      </c>
      <c r="R1441" s="405">
        <f t="shared" si="3457"/>
        <v>23295</v>
      </c>
      <c r="S1441" s="405">
        <f t="shared" si="3457"/>
        <v>23659</v>
      </c>
      <c r="T1441" s="405">
        <f t="shared" si="3457"/>
        <v>23414</v>
      </c>
      <c r="U1441" s="405">
        <f t="shared" si="3457"/>
        <v>22942</v>
      </c>
      <c r="V1441" s="405">
        <f t="shared" si="3457"/>
        <v>22503</v>
      </c>
      <c r="W1441" s="405">
        <f t="shared" si="3457"/>
        <v>21337</v>
      </c>
      <c r="X1441" s="405">
        <f t="shared" si="3457"/>
        <v>21077</v>
      </c>
      <c r="Y1441" s="405">
        <f t="shared" ref="Y1441:Z1441" si="3458">Y1369</f>
        <v>20832</v>
      </c>
      <c r="Z1441" s="405">
        <f t="shared" si="3458"/>
        <v>20068</v>
      </c>
      <c r="AA1441" s="405">
        <f t="shared" ref="AA1441:AB1441" si="3459">AA1369</f>
        <v>13072</v>
      </c>
      <c r="AB1441" s="405">
        <f t="shared" si="3459"/>
        <v>12811</v>
      </c>
      <c r="AC1441" s="406">
        <f t="shared" ref="AC1441:AE1441" si="3460">AC1442*AC1437</f>
        <v>12747.169588134213</v>
      </c>
      <c r="AD1441" s="406">
        <f t="shared" si="3460"/>
        <v>12692.779230399939</v>
      </c>
      <c r="AE1441" s="406">
        <f t="shared" si="3460"/>
        <v>12640.265348611674</v>
      </c>
      <c r="AF1441" s="406">
        <f t="shared" ref="AF1441:AI1441" si="3461">AF1442*AF1437</f>
        <v>12582.687958153578</v>
      </c>
      <c r="AG1441" s="406">
        <f t="shared" si="3461"/>
        <v>12523.702038875899</v>
      </c>
      <c r="AH1441" s="406">
        <f t="shared" si="3461"/>
        <v>12465.220852037362</v>
      </c>
      <c r="AI1441" s="406">
        <f t="shared" si="3461"/>
        <v>12409.367509531185</v>
      </c>
      <c r="AJ1441" s="406"/>
      <c r="AK1441" s="406"/>
      <c r="AL1441" s="406"/>
      <c r="AM1441" s="406"/>
      <c r="AN1441" s="406"/>
      <c r="AO1441" s="406"/>
      <c r="AP1441" s="406"/>
      <c r="AQ1441" s="406"/>
      <c r="AS1441" s="35" t="s">
        <v>433</v>
      </c>
      <c r="AT1441" s="914"/>
      <c r="AU1441" s="33">
        <f t="shared" ref="AU1441:BA1441" si="3462">AU1369</f>
        <v>29100</v>
      </c>
      <c r="AV1441" s="33">
        <f t="shared" si="3462"/>
        <v>26438</v>
      </c>
      <c r="AW1441" s="33">
        <f t="shared" si="3462"/>
        <v>23626</v>
      </c>
      <c r="AX1441" s="33">
        <f t="shared" si="3462"/>
        <v>23659</v>
      </c>
      <c r="AY1441" s="33">
        <f t="shared" si="3462"/>
        <v>21337</v>
      </c>
      <c r="AZ1441" s="33">
        <f t="shared" si="3462"/>
        <v>13072</v>
      </c>
      <c r="BA1441" s="33">
        <f t="shared" si="3462"/>
        <v>12640.265348611674</v>
      </c>
      <c r="BB1441" s="33">
        <f t="shared" ref="BB1441" si="3463">BB1369</f>
        <v>12409.367509531185</v>
      </c>
      <c r="BC1441" s="406">
        <f>BC1442*BC1437</f>
        <v>12163.313790380002</v>
      </c>
      <c r="BD1441" s="406">
        <f>BD1442*BD1437</f>
        <v>11905.813377669883</v>
      </c>
      <c r="BE1441" s="406">
        <f>BE1442*BE1437</f>
        <v>11643.334632145143</v>
      </c>
      <c r="BM1441"/>
      <c r="BN1441"/>
      <c r="BO1441"/>
      <c r="BP1441"/>
      <c r="BQ1441"/>
      <c r="BR1441"/>
    </row>
    <row r="1442" spans="2:70" s="70" customFormat="1" x14ac:dyDescent="0.2">
      <c r="B1442" s="9"/>
      <c r="C1442" s="70" t="s">
        <v>874</v>
      </c>
      <c r="D1442" s="51"/>
      <c r="E1442" s="51"/>
      <c r="F1442" s="51"/>
      <c r="G1442" s="51"/>
      <c r="H1442" s="51"/>
      <c r="I1442" s="407">
        <f t="shared" ref="I1442:X1442" si="3464">I1441/I1437</f>
        <v>0.51749999999999996</v>
      </c>
      <c r="J1442" s="407">
        <f t="shared" si="3464"/>
        <v>0.52342056074766352</v>
      </c>
      <c r="K1442" s="407">
        <f t="shared" si="3464"/>
        <v>0.50072918047690296</v>
      </c>
      <c r="L1442" s="407">
        <f t="shared" si="3464"/>
        <v>0.51137065637065637</v>
      </c>
      <c r="M1442" s="407">
        <f t="shared" si="3464"/>
        <v>0.49681818181818183</v>
      </c>
      <c r="N1442" s="407">
        <f t="shared" si="3464"/>
        <v>0.49406813627254509</v>
      </c>
      <c r="O1442" s="407">
        <f t="shared" si="3464"/>
        <v>0.47722544286666529</v>
      </c>
      <c r="P1442" s="407">
        <f t="shared" si="3464"/>
        <v>0.48212058212058212</v>
      </c>
      <c r="Q1442" s="407">
        <f t="shared" si="3464"/>
        <v>0.49603340292275572</v>
      </c>
      <c r="R1442" s="407">
        <f t="shared" si="3464"/>
        <v>0.49353813559322035</v>
      </c>
      <c r="S1442" s="407">
        <f t="shared" si="3464"/>
        <v>0.49445129469790383</v>
      </c>
      <c r="T1442" s="407">
        <f t="shared" si="3464"/>
        <v>0.5067965367965368</v>
      </c>
      <c r="U1442" s="407">
        <f t="shared" si="3464"/>
        <v>0.50533039647577094</v>
      </c>
      <c r="V1442" s="407">
        <f t="shared" si="3464"/>
        <v>0.49566079295154186</v>
      </c>
      <c r="W1442" s="407">
        <f t="shared" si="3464"/>
        <v>0.45720836547527216</v>
      </c>
      <c r="X1442" s="407">
        <f t="shared" si="3464"/>
        <v>0.4595142583064446</v>
      </c>
      <c r="Y1442" s="407">
        <f t="shared" ref="Y1442:Z1442" si="3465">Y1441/Y1437</f>
        <v>0.46223484512292534</v>
      </c>
      <c r="Z1442" s="407">
        <f t="shared" si="3465"/>
        <v>0.45332971898436791</v>
      </c>
      <c r="AA1442" s="407">
        <f t="shared" ref="AA1442:AB1442" si="3466">AA1441/AA1437</f>
        <v>0.30072697156528944</v>
      </c>
      <c r="AB1442" s="407">
        <f t="shared" si="3466"/>
        <v>0.30024842973657073</v>
      </c>
      <c r="AC1442" s="920">
        <f>Drivers!AC339</f>
        <v>0.3</v>
      </c>
      <c r="AD1442" s="920">
        <f>Drivers!AD339</f>
        <v>0.3</v>
      </c>
      <c r="AE1442" s="920">
        <f>Drivers!AE339</f>
        <v>0.3</v>
      </c>
      <c r="AF1442" s="920">
        <f>Drivers!AF339</f>
        <v>0.3</v>
      </c>
      <c r="AG1442" s="920">
        <f>Drivers!AG339</f>
        <v>0.3</v>
      </c>
      <c r="AH1442" s="920">
        <f>Drivers!AH339</f>
        <v>0.3</v>
      </c>
      <c r="AI1442" s="920">
        <f>Drivers!AI339</f>
        <v>0.3</v>
      </c>
      <c r="AJ1442" s="920"/>
      <c r="AK1442" s="920"/>
      <c r="AL1442" s="920"/>
      <c r="AM1442" s="920"/>
      <c r="AN1442" s="920"/>
      <c r="AO1442" s="920"/>
      <c r="AP1442" s="920"/>
      <c r="AQ1442" s="920"/>
      <c r="AS1442" s="9"/>
      <c r="AT1442" s="70" t="s">
        <v>874</v>
      </c>
      <c r="AU1442" s="404">
        <f t="shared" ref="AU1442:BA1442" si="3467">AU1441/AU1437</f>
        <v>0.52622061482820981</v>
      </c>
      <c r="AV1442" s="404">
        <f t="shared" si="3467"/>
        <v>0.50072918047690296</v>
      </c>
      <c r="AW1442" s="404">
        <f t="shared" si="3467"/>
        <v>0.47722544286666529</v>
      </c>
      <c r="AX1442" s="404">
        <f t="shared" si="3467"/>
        <v>0.49445129469790383</v>
      </c>
      <c r="AY1442" s="404">
        <f t="shared" si="3467"/>
        <v>0.45720836547527216</v>
      </c>
      <c r="AZ1442" s="404">
        <f t="shared" si="3467"/>
        <v>0.30072697156528944</v>
      </c>
      <c r="BA1442" s="404">
        <f t="shared" si="3467"/>
        <v>0.3</v>
      </c>
      <c r="BB1442" s="404">
        <f t="shared" ref="BB1442" si="3468">BB1441/BB1437</f>
        <v>0.3</v>
      </c>
      <c r="BC1442" s="920">
        <f>Drivers!BC339</f>
        <v>0.3</v>
      </c>
      <c r="BD1442" s="920">
        <f>Drivers!BD339</f>
        <v>0.3</v>
      </c>
      <c r="BE1442" s="920">
        <f>Drivers!BE339</f>
        <v>0.3</v>
      </c>
      <c r="BM1442"/>
      <c r="BN1442"/>
      <c r="BO1442"/>
      <c r="BP1442"/>
      <c r="BQ1442"/>
      <c r="BR1442"/>
    </row>
    <row r="1443" spans="2:70" s="70" customFormat="1" x14ac:dyDescent="0.2">
      <c r="B1443" s="9"/>
      <c r="C1443" s="70" t="s">
        <v>873</v>
      </c>
      <c r="D1443" s="51"/>
      <c r="E1443" s="51"/>
      <c r="F1443" s="51"/>
      <c r="G1443" s="51"/>
      <c r="H1443" s="404"/>
      <c r="I1443" s="404">
        <f t="shared" ref="I1443:AE1443" si="3469">I1441/H1441-1</f>
        <v>-1.9642857142857517E-3</v>
      </c>
      <c r="J1443" s="404">
        <f t="shared" si="3469"/>
        <v>2.0755054571479636E-3</v>
      </c>
      <c r="K1443" s="404">
        <f t="shared" si="3469"/>
        <v>-5.5886869264007433E-2</v>
      </c>
      <c r="L1443" s="404">
        <f t="shared" si="3469"/>
        <v>1.9290415311294939E-3</v>
      </c>
      <c r="M1443" s="404">
        <f t="shared" si="3469"/>
        <v>-5.0964551323190777E-2</v>
      </c>
      <c r="N1443" s="404">
        <f t="shared" si="3469"/>
        <v>-1.9292732407812596E-2</v>
      </c>
      <c r="O1443" s="404">
        <f t="shared" si="3469"/>
        <v>-4.1697087693680523E-2</v>
      </c>
      <c r="P1443" s="404">
        <f t="shared" si="3469"/>
        <v>-1.8454245322949259E-2</v>
      </c>
      <c r="Q1443" s="404">
        <f t="shared" si="3469"/>
        <v>2.4579560155239433E-2</v>
      </c>
      <c r="R1443" s="404">
        <f t="shared" si="3469"/>
        <v>-1.9570707070707072E-2</v>
      </c>
      <c r="S1443" s="404">
        <f t="shared" si="3469"/>
        <v>1.5625670744795039E-2</v>
      </c>
      <c r="T1443" s="404">
        <f t="shared" si="3469"/>
        <v>-1.0355467264043239E-2</v>
      </c>
      <c r="U1443" s="404">
        <f t="shared" si="3469"/>
        <v>-2.0158879302981103E-2</v>
      </c>
      <c r="V1443" s="404">
        <f t="shared" si="3469"/>
        <v>-1.9135210530904057E-2</v>
      </c>
      <c r="W1443" s="404">
        <f t="shared" si="3469"/>
        <v>-5.181531351375368E-2</v>
      </c>
      <c r="X1443" s="404">
        <f t="shared" si="3469"/>
        <v>-1.2185405633406754E-2</v>
      </c>
      <c r="Y1443" s="404">
        <f t="shared" si="3469"/>
        <v>-1.1624045167718311E-2</v>
      </c>
      <c r="Z1443" s="404">
        <f t="shared" si="3469"/>
        <v>-3.6674347158218157E-2</v>
      </c>
      <c r="AA1443" s="404">
        <f t="shared" si="3469"/>
        <v>-0.34861470998604749</v>
      </c>
      <c r="AB1443" s="404">
        <f t="shared" si="3469"/>
        <v>-1.9966340269277794E-2</v>
      </c>
      <c r="AC1443" s="404">
        <f t="shared" si="3469"/>
        <v>-4.9824691176166835E-3</v>
      </c>
      <c r="AD1443" s="404">
        <f t="shared" si="3469"/>
        <v>-4.2668576234290434E-3</v>
      </c>
      <c r="AE1443" s="404">
        <f t="shared" si="3469"/>
        <v>-4.1373036460361501E-3</v>
      </c>
      <c r="AF1443" s="404">
        <f t="shared" ref="AF1443" si="3470">AF1441/AE1441-1</f>
        <v>-4.5550776720379993E-3</v>
      </c>
      <c r="AG1443" s="404">
        <f t="shared" ref="AG1443" si="3471">AG1441/AF1441-1</f>
        <v>-4.6878631556189765E-3</v>
      </c>
      <c r="AH1443" s="404">
        <f t="shared" ref="AH1443" si="3472">AH1441/AG1441-1</f>
        <v>-4.6696405469405233E-3</v>
      </c>
      <c r="AI1443" s="404">
        <f t="shared" ref="AI1443" si="3473">AI1441/AH1441-1</f>
        <v>-4.4807342901629355E-3</v>
      </c>
      <c r="AJ1443" s="404"/>
      <c r="AK1443" s="404"/>
      <c r="AL1443" s="404"/>
      <c r="AM1443" s="404"/>
      <c r="AN1443" s="404"/>
      <c r="AO1443" s="404"/>
      <c r="AP1443" s="404"/>
      <c r="AQ1443" s="404"/>
      <c r="AS1443" s="9"/>
      <c r="AT1443" s="70" t="s">
        <v>873</v>
      </c>
      <c r="AV1443" s="404">
        <f t="shared" ref="AV1443:BE1443" si="3474">AV1441/AU1441-1</f>
        <v>-9.1477663230240536E-2</v>
      </c>
      <c r="AW1443" s="404">
        <f t="shared" si="3474"/>
        <v>-0.10636205461835235</v>
      </c>
      <c r="AX1443" s="404">
        <f t="shared" si="3474"/>
        <v>1.3967662744434062E-3</v>
      </c>
      <c r="AY1443" s="404">
        <f t="shared" si="3474"/>
        <v>-9.8144469335136764E-2</v>
      </c>
      <c r="AZ1443" s="404">
        <f t="shared" si="3474"/>
        <v>-0.38735529830810334</v>
      </c>
      <c r="BA1443" s="404">
        <f t="shared" si="3474"/>
        <v>-3.3027436611714034E-2</v>
      </c>
      <c r="BB1443" s="404">
        <f t="shared" si="3474"/>
        <v>-1.8266850632676745E-2</v>
      </c>
      <c r="BC1443" s="404">
        <f t="shared" si="3474"/>
        <v>-1.9828062869618357E-2</v>
      </c>
      <c r="BD1443" s="404">
        <f t="shared" si="3474"/>
        <v>-2.1170251557086073E-2</v>
      </c>
      <c r="BE1443" s="404">
        <f t="shared" si="3474"/>
        <v>-2.2046267415633758E-2</v>
      </c>
      <c r="BM1443"/>
      <c r="BN1443"/>
      <c r="BO1443"/>
      <c r="BP1443"/>
      <c r="BQ1443"/>
      <c r="BR1443"/>
    </row>
    <row r="1444" spans="2:70" s="70" customFormat="1" x14ac:dyDescent="0.2">
      <c r="B1444" s="9"/>
      <c r="D1444" s="51"/>
      <c r="E1444" s="51"/>
      <c r="F1444" s="51"/>
      <c r="G1444" s="51"/>
      <c r="H1444" s="9"/>
      <c r="I1444" s="60"/>
      <c r="J1444" s="60"/>
      <c r="K1444" s="60"/>
      <c r="L1444" s="60"/>
      <c r="M1444" s="60"/>
      <c r="N1444" s="60"/>
      <c r="O1444" s="60"/>
      <c r="P1444" s="60"/>
      <c r="Q1444" s="60"/>
      <c r="R1444" s="60"/>
      <c r="S1444" s="60"/>
      <c r="T1444" s="60"/>
      <c r="U1444" s="60"/>
      <c r="V1444" s="60"/>
      <c r="W1444" s="60"/>
      <c r="X1444" s="60"/>
      <c r="Y1444" s="60"/>
      <c r="Z1444" s="60"/>
      <c r="AA1444" s="60"/>
      <c r="AB1444" s="60"/>
      <c r="AC1444" s="60"/>
      <c r="AD1444" s="60"/>
      <c r="AE1444" s="60"/>
      <c r="AF1444" s="60"/>
      <c r="AG1444" s="60"/>
      <c r="AH1444" s="60"/>
      <c r="AI1444" s="60"/>
      <c r="AJ1444" s="60"/>
      <c r="AK1444" s="60"/>
      <c r="AL1444" s="60"/>
      <c r="AM1444" s="60"/>
      <c r="AN1444" s="60"/>
      <c r="AO1444" s="60"/>
      <c r="AP1444" s="60"/>
      <c r="AQ1444" s="60"/>
      <c r="AS1444" s="9"/>
      <c r="AU1444" s="60"/>
      <c r="AV1444" s="60"/>
      <c r="AW1444" s="60"/>
      <c r="AX1444" s="60"/>
      <c r="AY1444" s="60"/>
      <c r="AZ1444" s="60"/>
      <c r="BA1444" s="60"/>
      <c r="BB1444" s="60"/>
      <c r="BC1444" s="60"/>
      <c r="BD1444" s="60"/>
      <c r="BE1444" s="60"/>
      <c r="BM1444"/>
      <c r="BN1444"/>
      <c r="BO1444"/>
      <c r="BP1444"/>
      <c r="BQ1444"/>
      <c r="BR1444"/>
    </row>
    <row r="1445" spans="2:70" s="70" customFormat="1" x14ac:dyDescent="0.2">
      <c r="B1445" s="9" t="s">
        <v>879</v>
      </c>
      <c r="D1445" s="9"/>
      <c r="E1445" s="9"/>
      <c r="F1445" s="9"/>
      <c r="G1445" s="9"/>
      <c r="H1445" s="405">
        <f t="shared" ref="H1445:T1445" si="3475">H1446+H1370</f>
        <v>37726.199999999997</v>
      </c>
      <c r="I1445" s="405">
        <f t="shared" si="3475"/>
        <v>33305.800000000003</v>
      </c>
      <c r="J1445" s="405">
        <f t="shared" si="3475"/>
        <v>33025.300000000003</v>
      </c>
      <c r="K1445" s="405">
        <f t="shared" si="3475"/>
        <v>32935.9</v>
      </c>
      <c r="L1445" s="405">
        <f t="shared" si="3475"/>
        <v>30878.9</v>
      </c>
      <c r="M1445" s="405">
        <f t="shared" si="3475"/>
        <v>29939.3</v>
      </c>
      <c r="N1445" s="405">
        <f t="shared" si="3475"/>
        <v>29063.5</v>
      </c>
      <c r="O1445" s="405">
        <f t="shared" si="3475"/>
        <v>29447.8</v>
      </c>
      <c r="P1445" s="405">
        <f t="shared" si="3475"/>
        <v>28251.100000000002</v>
      </c>
      <c r="Q1445" s="405">
        <f t="shared" si="3475"/>
        <v>27349.5</v>
      </c>
      <c r="R1445" s="405">
        <f t="shared" si="3475"/>
        <v>27347.100000000002</v>
      </c>
      <c r="S1445" s="405">
        <f t="shared" si="3475"/>
        <v>26623.100000000002</v>
      </c>
      <c r="T1445" s="405">
        <f t="shared" si="3475"/>
        <v>25621.100000000002</v>
      </c>
      <c r="U1445" s="405">
        <f t="shared" ref="U1445:AE1445" si="3476">U1437-U1441</f>
        <v>22458</v>
      </c>
      <c r="V1445" s="405">
        <f t="shared" si="3476"/>
        <v>22897</v>
      </c>
      <c r="W1445" s="405">
        <f t="shared" si="3476"/>
        <v>25331</v>
      </c>
      <c r="X1445" s="405">
        <f t="shared" si="3476"/>
        <v>24791</v>
      </c>
      <c r="Y1445" s="405">
        <f t="shared" ref="Y1445:Z1445" si="3477">Y1437-Y1441</f>
        <v>24236</v>
      </c>
      <c r="Z1445" s="405">
        <f t="shared" si="3477"/>
        <v>24200</v>
      </c>
      <c r="AA1445" s="405">
        <f t="shared" ref="AA1445:AB1445" si="3478">AA1437-AA1441</f>
        <v>30396</v>
      </c>
      <c r="AB1445" s="405">
        <f t="shared" si="3478"/>
        <v>29857</v>
      </c>
      <c r="AC1445" s="405">
        <f t="shared" si="3476"/>
        <v>29743.395705646497</v>
      </c>
      <c r="AD1445" s="405">
        <f t="shared" si="3476"/>
        <v>29616.484870933193</v>
      </c>
      <c r="AE1445" s="405">
        <f t="shared" si="3476"/>
        <v>29493.952480093903</v>
      </c>
      <c r="AF1445" s="405">
        <f t="shared" ref="AF1445:AI1445" si="3479">AF1437-AF1441</f>
        <v>29359.605235691684</v>
      </c>
      <c r="AG1445" s="405">
        <f t="shared" si="3479"/>
        <v>29221.971424043768</v>
      </c>
      <c r="AH1445" s="405">
        <f t="shared" si="3479"/>
        <v>29085.515321420513</v>
      </c>
      <c r="AI1445" s="405">
        <f t="shared" si="3479"/>
        <v>28955.190855572764</v>
      </c>
      <c r="AJ1445" s="405"/>
      <c r="AK1445" s="405"/>
      <c r="AL1445" s="405"/>
      <c r="AM1445" s="405"/>
      <c r="AN1445" s="405"/>
      <c r="AO1445" s="405"/>
      <c r="AP1445" s="405"/>
      <c r="AQ1445" s="405"/>
      <c r="AS1445" s="9" t="s">
        <v>879</v>
      </c>
      <c r="AU1445" s="405">
        <f t="shared" ref="AU1445:BD1445" si="3480">AU1437-AU1441</f>
        <v>26200</v>
      </c>
      <c r="AV1445" s="405">
        <f t="shared" si="3480"/>
        <v>26361</v>
      </c>
      <c r="AW1445" s="405">
        <f t="shared" si="3480"/>
        <v>25881</v>
      </c>
      <c r="AX1445" s="405">
        <f t="shared" si="3480"/>
        <v>24190</v>
      </c>
      <c r="AY1445" s="405">
        <f t="shared" si="3480"/>
        <v>25331</v>
      </c>
      <c r="AZ1445" s="405">
        <f t="shared" si="3480"/>
        <v>30396</v>
      </c>
      <c r="BA1445" s="405">
        <f t="shared" si="3480"/>
        <v>29493.952480093903</v>
      </c>
      <c r="BB1445" s="405">
        <f t="shared" ref="BB1445" si="3481">BB1437-BB1441</f>
        <v>28955.190855572764</v>
      </c>
      <c r="BC1445" s="405">
        <f t="shared" si="3480"/>
        <v>28381.06551088667</v>
      </c>
      <c r="BD1445" s="405">
        <f t="shared" si="3480"/>
        <v>27780.231214563064</v>
      </c>
      <c r="BE1445" s="405">
        <f t="shared" ref="BE1445" si="3482">BE1437-BE1441</f>
        <v>27167.780808338666</v>
      </c>
      <c r="BM1445"/>
      <c r="BN1445"/>
      <c r="BO1445"/>
      <c r="BP1445"/>
      <c r="BQ1445"/>
      <c r="BR1445"/>
    </row>
    <row r="1446" spans="2:70" s="70" customFormat="1" x14ac:dyDescent="0.2">
      <c r="B1446" s="35"/>
      <c r="C1446" s="9" t="s">
        <v>880</v>
      </c>
      <c r="D1446" s="51"/>
      <c r="E1446" s="81"/>
      <c r="F1446" s="81"/>
      <c r="G1446" s="81"/>
      <c r="H1446" s="51">
        <f t="shared" ref="H1446:AE1446" si="3483">0.1*H1312</f>
        <v>15892.2</v>
      </c>
      <c r="I1446" s="51">
        <f t="shared" si="3483"/>
        <v>16112.800000000001</v>
      </c>
      <c r="J1446" s="51">
        <f t="shared" si="3483"/>
        <v>16500.3</v>
      </c>
      <c r="K1446" s="51">
        <f t="shared" si="3483"/>
        <v>16718.900000000001</v>
      </c>
      <c r="L1446" s="51">
        <f t="shared" si="3483"/>
        <v>17099.900000000001</v>
      </c>
      <c r="M1446" s="51">
        <f t="shared" si="3483"/>
        <v>17214.3</v>
      </c>
      <c r="N1446" s="51">
        <f t="shared" si="3483"/>
        <v>17393.5</v>
      </c>
      <c r="O1446" s="51">
        <f t="shared" si="3483"/>
        <v>17148.8</v>
      </c>
      <c r="P1446" s="51">
        <f t="shared" si="3483"/>
        <v>17496.100000000002</v>
      </c>
      <c r="Q1446" s="51">
        <f t="shared" si="3483"/>
        <v>17811.5</v>
      </c>
      <c r="R1446" s="51">
        <f t="shared" si="3483"/>
        <v>17896.100000000002</v>
      </c>
      <c r="S1446" s="51">
        <f t="shared" si="3483"/>
        <v>17900.100000000002</v>
      </c>
      <c r="T1446" s="51">
        <f t="shared" si="3483"/>
        <v>18367.100000000002</v>
      </c>
      <c r="U1446" s="51">
        <f t="shared" si="3483"/>
        <v>18458.8</v>
      </c>
      <c r="V1446" s="51">
        <f t="shared" si="3483"/>
        <v>18439.5</v>
      </c>
      <c r="W1446" s="51">
        <f t="shared" si="3483"/>
        <v>17902.2</v>
      </c>
      <c r="X1446" s="51">
        <f t="shared" si="3483"/>
        <v>18155.3</v>
      </c>
      <c r="Y1446" s="51">
        <f t="shared" ref="Y1446:Z1446" si="3484">0.1*Y1312</f>
        <v>18341</v>
      </c>
      <c r="Z1446" s="51">
        <f t="shared" si="3484"/>
        <v>18125.600000000002</v>
      </c>
      <c r="AA1446" s="51">
        <f t="shared" ref="AA1446:AB1446" si="3485">0.1*AA1312</f>
        <v>15461.1</v>
      </c>
      <c r="AB1446" s="51">
        <f t="shared" si="3485"/>
        <v>15560.2</v>
      </c>
      <c r="AC1446" s="51">
        <f t="shared" si="3483"/>
        <v>15685.458072771662</v>
      </c>
      <c r="AD1446" s="51">
        <f t="shared" si="3483"/>
        <v>15494.070952223257</v>
      </c>
      <c r="AE1446" s="51">
        <f t="shared" si="3483"/>
        <v>15266.84786119554</v>
      </c>
      <c r="AF1446" s="51">
        <f t="shared" ref="AF1446:AI1446" si="3486">0.1*AF1312</f>
        <v>15181.975252316544</v>
      </c>
      <c r="AG1446" s="51">
        <f t="shared" si="3486"/>
        <v>15037.595880714733</v>
      </c>
      <c r="AH1446" s="51">
        <f t="shared" si="3486"/>
        <v>14926.432685331047</v>
      </c>
      <c r="AI1446" s="51">
        <f t="shared" si="3486"/>
        <v>14789.459781128111</v>
      </c>
      <c r="AJ1446" s="51"/>
      <c r="AK1446" s="51"/>
      <c r="AL1446" s="51"/>
      <c r="AM1446" s="51"/>
      <c r="AN1446" s="51"/>
      <c r="AO1446" s="51"/>
      <c r="AP1446" s="51"/>
      <c r="AQ1446" s="51"/>
      <c r="AS1446" s="35"/>
      <c r="AT1446" s="9" t="s">
        <v>880</v>
      </c>
      <c r="AU1446" s="51">
        <f t="shared" ref="AU1446:BD1446" si="3487">0.1*AU1312</f>
        <v>15472.1</v>
      </c>
      <c r="AV1446" s="51">
        <f t="shared" si="3487"/>
        <v>16718.900000000001</v>
      </c>
      <c r="AW1446" s="51">
        <f t="shared" si="3487"/>
        <v>17148.8</v>
      </c>
      <c r="AX1446" s="51">
        <f t="shared" si="3487"/>
        <v>17900.100000000002</v>
      </c>
      <c r="AY1446" s="51">
        <f t="shared" si="3487"/>
        <v>17902.2</v>
      </c>
      <c r="AZ1446" s="51">
        <f t="shared" si="3487"/>
        <v>15461.1</v>
      </c>
      <c r="BA1446" s="51">
        <f t="shared" si="3487"/>
        <v>15266.84786119554</v>
      </c>
      <c r="BB1446" s="51">
        <f t="shared" ref="BB1446" si="3488">0.1*BB1312</f>
        <v>14789.459781128111</v>
      </c>
      <c r="BC1446" s="51">
        <f t="shared" si="3487"/>
        <v>15016.700783245653</v>
      </c>
      <c r="BD1446" s="51">
        <f t="shared" si="3487"/>
        <v>15543.792593710366</v>
      </c>
      <c r="BE1446" s="51">
        <f t="shared" ref="BE1446" si="3489">0.1*BE1312</f>
        <v>16092.758875385396</v>
      </c>
      <c r="BM1446"/>
      <c r="BN1446"/>
      <c r="BO1446"/>
      <c r="BP1446"/>
      <c r="BQ1446"/>
      <c r="BR1446"/>
    </row>
    <row r="1447" spans="2:70" s="70" customFormat="1" x14ac:dyDescent="0.2">
      <c r="B1447" s="9"/>
      <c r="C1447" s="70" t="s">
        <v>877</v>
      </c>
      <c r="D1447" s="51"/>
      <c r="E1447" s="51"/>
      <c r="F1447" s="51"/>
      <c r="G1447" s="51"/>
      <c r="H1447" s="51">
        <f t="shared" ref="H1447:AE1447" si="3490">IF(H1446&lt;H1445,H1445-H1446,0)</f>
        <v>21833.999999999996</v>
      </c>
      <c r="I1447" s="51">
        <f t="shared" si="3490"/>
        <v>17193</v>
      </c>
      <c r="J1447" s="51">
        <f t="shared" si="3490"/>
        <v>16525.000000000004</v>
      </c>
      <c r="K1447" s="51">
        <f t="shared" si="3490"/>
        <v>16217</v>
      </c>
      <c r="L1447" s="51">
        <f t="shared" si="3490"/>
        <v>13779</v>
      </c>
      <c r="M1447" s="51">
        <f t="shared" si="3490"/>
        <v>12725</v>
      </c>
      <c r="N1447" s="51">
        <f t="shared" si="3490"/>
        <v>11670</v>
      </c>
      <c r="O1447" s="51">
        <f t="shared" si="3490"/>
        <v>12299</v>
      </c>
      <c r="P1447" s="51">
        <f t="shared" si="3490"/>
        <v>10755</v>
      </c>
      <c r="Q1447" s="51">
        <f t="shared" si="3490"/>
        <v>9538</v>
      </c>
      <c r="R1447" s="51">
        <f t="shared" si="3490"/>
        <v>9451</v>
      </c>
      <c r="S1447" s="51">
        <f t="shared" si="3490"/>
        <v>8723</v>
      </c>
      <c r="T1447" s="51">
        <f t="shared" si="3490"/>
        <v>7254</v>
      </c>
      <c r="U1447" s="51">
        <f t="shared" si="3490"/>
        <v>3999.2000000000007</v>
      </c>
      <c r="V1447" s="51">
        <f t="shared" si="3490"/>
        <v>4457.5</v>
      </c>
      <c r="W1447" s="51">
        <f t="shared" si="3490"/>
        <v>7428.7999999999993</v>
      </c>
      <c r="X1447" s="51">
        <f t="shared" si="3490"/>
        <v>6635.7000000000007</v>
      </c>
      <c r="Y1447" s="51">
        <f t="shared" ref="Y1447:Z1447" si="3491">IF(Y1446&lt;Y1445,Y1445-Y1446,0)</f>
        <v>5895</v>
      </c>
      <c r="Z1447" s="51">
        <f t="shared" si="3491"/>
        <v>6074.3999999999978</v>
      </c>
      <c r="AA1447" s="51">
        <f t="shared" ref="AA1447:AB1447" si="3492">IF(AA1446&lt;AA1445,AA1445-AA1446,0)</f>
        <v>14934.9</v>
      </c>
      <c r="AB1447" s="51">
        <f t="shared" si="3492"/>
        <v>14296.8</v>
      </c>
      <c r="AC1447" s="51">
        <f t="shared" si="3490"/>
        <v>14057.937632874835</v>
      </c>
      <c r="AD1447" s="51">
        <f t="shared" si="3490"/>
        <v>14122.413918709935</v>
      </c>
      <c r="AE1447" s="51">
        <f t="shared" si="3490"/>
        <v>14227.104618898364</v>
      </c>
      <c r="AF1447" s="51">
        <f t="shared" ref="AF1447:AI1447" si="3493">IF(AF1446&lt;AF1445,AF1445-AF1446,0)</f>
        <v>14177.62998337514</v>
      </c>
      <c r="AG1447" s="51">
        <f t="shared" si="3493"/>
        <v>14184.375543329035</v>
      </c>
      <c r="AH1447" s="51">
        <f t="shared" si="3493"/>
        <v>14159.082636089466</v>
      </c>
      <c r="AI1447" s="51">
        <f t="shared" si="3493"/>
        <v>14165.731074444653</v>
      </c>
      <c r="AJ1447" s="51"/>
      <c r="AK1447" s="51"/>
      <c r="AL1447" s="51"/>
      <c r="AM1447" s="51"/>
      <c r="AN1447" s="51"/>
      <c r="AO1447" s="51"/>
      <c r="AP1447" s="51"/>
      <c r="AQ1447" s="51"/>
      <c r="AS1447" s="9"/>
      <c r="AT1447" s="70" t="s">
        <v>877</v>
      </c>
      <c r="AU1447" s="51">
        <f t="shared" ref="AU1447:BD1447" si="3494">IF(AU1446&lt;AU1445,AU1445-AU1446,0)</f>
        <v>10727.9</v>
      </c>
      <c r="AV1447" s="51">
        <f t="shared" si="3494"/>
        <v>9642.0999999999985</v>
      </c>
      <c r="AW1447" s="51">
        <f t="shared" si="3494"/>
        <v>8732.2000000000007</v>
      </c>
      <c r="AX1447" s="51">
        <f t="shared" si="3494"/>
        <v>6289.8999999999978</v>
      </c>
      <c r="AY1447" s="51">
        <f t="shared" si="3494"/>
        <v>7428.7999999999993</v>
      </c>
      <c r="AZ1447" s="51">
        <f t="shared" si="3494"/>
        <v>14934.9</v>
      </c>
      <c r="BA1447" s="51">
        <f t="shared" si="3494"/>
        <v>14227.104618898364</v>
      </c>
      <c r="BB1447" s="51">
        <f t="shared" ref="BB1447" si="3495">IF(BB1446&lt;BB1445,BB1445-BB1446,0)</f>
        <v>14165.731074444653</v>
      </c>
      <c r="BC1447" s="51">
        <f t="shared" si="3494"/>
        <v>13364.364727641017</v>
      </c>
      <c r="BD1447" s="51">
        <f t="shared" si="3494"/>
        <v>12236.438620852698</v>
      </c>
      <c r="BE1447" s="51">
        <f t="shared" ref="BE1447" si="3496">IF(BE1446&lt;BE1445,BE1445-BE1446,0)</f>
        <v>11075.02193295327</v>
      </c>
      <c r="BM1447"/>
      <c r="BN1447"/>
      <c r="BO1447"/>
      <c r="BP1447"/>
      <c r="BQ1447"/>
      <c r="BR1447"/>
    </row>
    <row r="1448" spans="2:70" s="70" customFormat="1" x14ac:dyDescent="0.2">
      <c r="B1448" s="35"/>
      <c r="D1448" s="32"/>
      <c r="E1448" s="32"/>
      <c r="F1448" s="32"/>
      <c r="G1448" s="32"/>
      <c r="I1448" s="32"/>
      <c r="J1448" s="32"/>
      <c r="K1448" s="32"/>
      <c r="L1448" s="32"/>
      <c r="M1448" s="32"/>
      <c r="N1448" s="32"/>
      <c r="O1448" s="32"/>
      <c r="AS1448" s="35"/>
      <c r="BM1448"/>
      <c r="BN1448"/>
      <c r="BO1448"/>
      <c r="BP1448"/>
      <c r="BQ1448"/>
      <c r="BR1448"/>
    </row>
    <row r="1449" spans="2:70" s="70" customFormat="1" x14ac:dyDescent="0.2">
      <c r="B1449" s="9" t="s">
        <v>878</v>
      </c>
      <c r="C1449" s="9"/>
      <c r="D1449" s="32"/>
      <c r="E1449" s="32"/>
      <c r="F1449" s="32"/>
      <c r="G1449" s="32"/>
      <c r="H1449" s="51">
        <f t="shared" ref="H1449:X1449" si="3497">H1370</f>
        <v>21834</v>
      </c>
      <c r="I1449" s="51">
        <f t="shared" si="3497"/>
        <v>17193</v>
      </c>
      <c r="J1449" s="51">
        <f t="shared" si="3497"/>
        <v>16525</v>
      </c>
      <c r="K1449" s="51">
        <f t="shared" si="3497"/>
        <v>16217</v>
      </c>
      <c r="L1449" s="51">
        <f t="shared" si="3497"/>
        <v>13779</v>
      </c>
      <c r="M1449" s="51">
        <f t="shared" si="3497"/>
        <v>12725</v>
      </c>
      <c r="N1449" s="51">
        <f t="shared" si="3497"/>
        <v>11670</v>
      </c>
      <c r="O1449" s="51">
        <f t="shared" si="3497"/>
        <v>12299</v>
      </c>
      <c r="P1449" s="51">
        <f t="shared" si="3497"/>
        <v>10755</v>
      </c>
      <c r="Q1449" s="51">
        <f t="shared" si="3497"/>
        <v>9538</v>
      </c>
      <c r="R1449" s="51">
        <f t="shared" si="3497"/>
        <v>9451</v>
      </c>
      <c r="S1449" s="51">
        <f t="shared" si="3497"/>
        <v>8723</v>
      </c>
      <c r="T1449" s="51">
        <f t="shared" si="3497"/>
        <v>7254</v>
      </c>
      <c r="U1449" s="51">
        <f t="shared" si="3497"/>
        <v>6876</v>
      </c>
      <c r="V1449" s="51">
        <f t="shared" si="3497"/>
        <v>7077</v>
      </c>
      <c r="W1449" s="51">
        <f t="shared" si="3497"/>
        <v>9357</v>
      </c>
      <c r="X1449" s="51">
        <f t="shared" si="3497"/>
        <v>9012</v>
      </c>
      <c r="Y1449" s="51">
        <f t="shared" ref="Y1449:Z1449" si="3498">Y1370</f>
        <v>8851</v>
      </c>
      <c r="Z1449" s="51">
        <f t="shared" si="3498"/>
        <v>9298</v>
      </c>
      <c r="AA1449" s="51">
        <f>AA1370</f>
        <v>0</v>
      </c>
      <c r="AB1449" s="51">
        <f>AB1370</f>
        <v>0</v>
      </c>
      <c r="AC1449" s="51">
        <f t="shared" ref="AC1449:AI1449" si="3499">AB1449</f>
        <v>0</v>
      </c>
      <c r="AD1449" s="51">
        <f t="shared" si="3499"/>
        <v>0</v>
      </c>
      <c r="AE1449" s="51">
        <f t="shared" si="3499"/>
        <v>0</v>
      </c>
      <c r="AF1449" s="51">
        <f t="shared" si="3499"/>
        <v>0</v>
      </c>
      <c r="AG1449" s="51">
        <f t="shared" si="3499"/>
        <v>0</v>
      </c>
      <c r="AH1449" s="51">
        <f t="shared" si="3499"/>
        <v>0</v>
      </c>
      <c r="AI1449" s="51">
        <f t="shared" si="3499"/>
        <v>0</v>
      </c>
      <c r="AJ1449" s="51"/>
      <c r="AK1449" s="51"/>
      <c r="AL1449" s="51"/>
      <c r="AM1449" s="51"/>
      <c r="AN1449" s="51"/>
      <c r="AO1449" s="51"/>
      <c r="AP1449" s="51"/>
      <c r="AQ1449" s="51"/>
      <c r="AS1449" s="9" t="s">
        <v>878</v>
      </c>
      <c r="AT1449" s="9"/>
      <c r="AU1449" s="51">
        <f t="shared" ref="AU1449:BA1449" si="3500">AU1370</f>
        <v>21940</v>
      </c>
      <c r="AV1449" s="51">
        <f t="shared" si="3500"/>
        <v>16217</v>
      </c>
      <c r="AW1449" s="51">
        <f t="shared" si="3500"/>
        <v>12299</v>
      </c>
      <c r="AX1449" s="51">
        <f t="shared" si="3500"/>
        <v>8723</v>
      </c>
      <c r="AY1449" s="51">
        <f t="shared" si="3500"/>
        <v>9357</v>
      </c>
      <c r="AZ1449" s="51">
        <f t="shared" si="3500"/>
        <v>0</v>
      </c>
      <c r="BA1449" s="51">
        <f t="shared" si="3500"/>
        <v>0</v>
      </c>
      <c r="BB1449" s="51">
        <f t="shared" ref="BB1449" si="3501">BB1370</f>
        <v>0</v>
      </c>
      <c r="BC1449" s="51">
        <f t="shared" ref="BC1449:BE1449" si="3502">BB1449</f>
        <v>0</v>
      </c>
      <c r="BD1449" s="51">
        <f t="shared" si="3502"/>
        <v>0</v>
      </c>
      <c r="BE1449" s="51">
        <f t="shared" si="3502"/>
        <v>0</v>
      </c>
      <c r="BM1449"/>
      <c r="BN1449"/>
      <c r="BO1449"/>
      <c r="BP1449"/>
      <c r="BQ1449"/>
      <c r="BR1449"/>
    </row>
    <row r="1450" spans="2:70" s="70" customFormat="1" x14ac:dyDescent="0.2">
      <c r="B1450" s="914"/>
      <c r="C1450" s="914"/>
      <c r="D1450" s="32"/>
      <c r="E1450" s="32"/>
      <c r="F1450" s="32"/>
      <c r="G1450" s="32"/>
      <c r="H1450" s="51"/>
      <c r="I1450" s="51"/>
      <c r="J1450" s="51"/>
      <c r="K1450" s="51"/>
      <c r="L1450" s="51"/>
      <c r="M1450" s="51"/>
      <c r="N1450" s="51"/>
      <c r="O1450" s="51"/>
      <c r="P1450" s="51"/>
      <c r="Q1450" s="51"/>
      <c r="R1450" s="51"/>
      <c r="S1450" s="51"/>
      <c r="T1450" s="51"/>
      <c r="U1450" s="51"/>
      <c r="V1450" s="51"/>
      <c r="W1450" s="51"/>
      <c r="X1450" s="51"/>
      <c r="Y1450" s="51"/>
      <c r="Z1450" s="51"/>
      <c r="AA1450" s="51"/>
      <c r="AB1450" s="51"/>
      <c r="AC1450" s="51"/>
      <c r="AD1450" s="51"/>
      <c r="AE1450" s="51"/>
      <c r="AF1450" s="51"/>
      <c r="AG1450" s="51"/>
      <c r="AH1450" s="51"/>
      <c r="AI1450" s="51"/>
      <c r="AJ1450" s="51"/>
      <c r="AK1450" s="51"/>
      <c r="AL1450" s="51"/>
      <c r="AM1450" s="51"/>
      <c r="AN1450" s="51"/>
      <c r="AO1450" s="51"/>
      <c r="AP1450" s="51"/>
      <c r="AQ1450" s="51"/>
      <c r="AS1450" s="914"/>
      <c r="AT1450" s="914"/>
      <c r="AU1450" s="51"/>
      <c r="AV1450" s="51"/>
      <c r="AW1450" s="51"/>
      <c r="AX1450" s="51"/>
      <c r="AY1450" s="51"/>
      <c r="AZ1450" s="51"/>
      <c r="BA1450" s="51"/>
      <c r="BB1450" s="51"/>
      <c r="BC1450" s="51"/>
      <c r="BD1450" s="51"/>
      <c r="BE1450" s="51"/>
      <c r="BM1450"/>
      <c r="BN1450"/>
      <c r="BO1450"/>
      <c r="BP1450"/>
      <c r="BQ1450"/>
      <c r="BR1450"/>
    </row>
    <row r="1451" spans="2:70" s="70" customFormat="1" x14ac:dyDescent="0.2">
      <c r="B1451" s="914" t="s">
        <v>997</v>
      </c>
      <c r="C1451" s="914"/>
      <c r="D1451" s="32"/>
      <c r="E1451" s="32"/>
      <c r="F1451" s="32"/>
      <c r="G1451" s="32"/>
      <c r="H1451" s="51">
        <f>AVERAGE(H1447+H1441,G1447+G1441)</f>
        <v>24917</v>
      </c>
      <c r="I1451" s="51">
        <f t="shared" ref="I1451:U1451" si="3503">AVERAGE(I1447+I1441,H1447+H1441)</f>
        <v>47486</v>
      </c>
      <c r="J1451" s="51">
        <f t="shared" si="3503"/>
        <v>44833</v>
      </c>
      <c r="K1451" s="51">
        <f t="shared" si="3503"/>
        <v>43591.5</v>
      </c>
      <c r="L1451" s="51">
        <f t="shared" si="3503"/>
        <v>41461.5</v>
      </c>
      <c r="M1451" s="51">
        <f t="shared" si="3503"/>
        <v>39066</v>
      </c>
      <c r="N1451" s="51">
        <f t="shared" si="3503"/>
        <v>37094</v>
      </c>
      <c r="O1451" s="51">
        <f t="shared" si="3503"/>
        <v>36124.5</v>
      </c>
      <c r="P1451" s="51">
        <f t="shared" si="3503"/>
        <v>34935</v>
      </c>
      <c r="Q1451" s="51">
        <f t="shared" si="3503"/>
        <v>33621.5</v>
      </c>
      <c r="R1451" s="51">
        <f t="shared" si="3503"/>
        <v>33022</v>
      </c>
      <c r="S1451" s="51">
        <f t="shared" si="3503"/>
        <v>32564</v>
      </c>
      <c r="T1451" s="51">
        <f t="shared" si="3503"/>
        <v>31525</v>
      </c>
      <c r="U1451" s="51">
        <f t="shared" si="3503"/>
        <v>28804.6</v>
      </c>
      <c r="V1451" s="51">
        <f t="shared" ref="V1451:AB1451" si="3504">AVERAGE(V1447+V1441,U1447+U1441)</f>
        <v>26950.85</v>
      </c>
      <c r="W1451" s="51">
        <f t="shared" si="3504"/>
        <v>27863.15</v>
      </c>
      <c r="X1451" s="51">
        <f t="shared" si="3504"/>
        <v>28239.25</v>
      </c>
      <c r="Y1451" s="51">
        <f t="shared" si="3504"/>
        <v>27219.85</v>
      </c>
      <c r="Z1451" s="51">
        <f t="shared" si="3504"/>
        <v>26434.699999999997</v>
      </c>
      <c r="AA1451" s="51">
        <f t="shared" si="3504"/>
        <v>27074.65</v>
      </c>
      <c r="AB1451" s="51">
        <f t="shared" si="3504"/>
        <v>27557.35</v>
      </c>
      <c r="AC1451" s="51">
        <f t="shared" ref="AC1451:AE1451" si="3505">AVERAGE(AC1447+AC1441,AB1447+AB1441)</f>
        <v>26956.453610504526</v>
      </c>
      <c r="AD1451" s="51">
        <f t="shared" si="3505"/>
        <v>26810.150185059461</v>
      </c>
      <c r="AE1451" s="51">
        <f t="shared" si="3505"/>
        <v>26841.281558309955</v>
      </c>
      <c r="AF1451" s="51">
        <f t="shared" ref="AF1451" si="3506">AVERAGE(AF1447+AF1441,AE1447+AE1441)</f>
        <v>26813.843954519376</v>
      </c>
      <c r="AG1451" s="51">
        <f t="shared" ref="AG1451" si="3507">AVERAGE(AG1447+AG1441,AF1447+AF1441)</f>
        <v>26734.197761866824</v>
      </c>
      <c r="AH1451" s="51">
        <f t="shared" ref="AH1451" si="3508">AVERAGE(AH1447+AH1441,AG1447+AG1441)</f>
        <v>26666.190535165879</v>
      </c>
      <c r="AI1451" s="51">
        <f t="shared" ref="AI1451" si="3509">AVERAGE(AI1447+AI1441,AH1447+AH1441)</f>
        <v>26599.70103605133</v>
      </c>
      <c r="AJ1451" s="51"/>
      <c r="AK1451" s="51"/>
      <c r="AL1451" s="51"/>
      <c r="AM1451" s="51"/>
      <c r="AN1451" s="51"/>
      <c r="AO1451" s="51"/>
      <c r="AP1451" s="51"/>
      <c r="AQ1451" s="51"/>
      <c r="AS1451" s="914" t="s">
        <v>997</v>
      </c>
      <c r="AT1451" s="914"/>
      <c r="AU1451" s="925" t="s">
        <v>229</v>
      </c>
      <c r="AV1451" s="207">
        <f>AVERAGE(H1451:K1451)</f>
        <v>40206.875</v>
      </c>
      <c r="AW1451" s="207">
        <f>AVERAGE(L1451:O1451)</f>
        <v>38436.5</v>
      </c>
      <c r="AX1451" s="207">
        <f>AVERAGE(P1451:S1451)</f>
        <v>33535.625</v>
      </c>
      <c r="AY1451" s="207">
        <f>AVERAGE(T1451:W1451)</f>
        <v>28785.9</v>
      </c>
      <c r="AZ1451" s="207">
        <f>AVERAGE(X1451:AA1451)</f>
        <v>27242.112499999996</v>
      </c>
      <c r="BA1451" s="207">
        <f>AVERAGE(AB1451:AE1451)</f>
        <v>27041.308838468485</v>
      </c>
      <c r="BB1451" s="207">
        <f>AVERAGE(AF1451:AI1451)</f>
        <v>26703.483321900851</v>
      </c>
      <c r="BC1451" s="51">
        <f t="shared" ref="BC1451:BE1451" si="3510">AVERAGE(BC1447+BC1441,BB1447+BB1441)</f>
        <v>26051.388550998428</v>
      </c>
      <c r="BD1451" s="51">
        <f t="shared" si="3510"/>
        <v>24834.965258271801</v>
      </c>
      <c r="BE1451" s="51">
        <f t="shared" si="3510"/>
        <v>23430.304281810495</v>
      </c>
      <c r="BM1451"/>
      <c r="BN1451"/>
      <c r="BO1451"/>
      <c r="BP1451"/>
      <c r="BQ1451"/>
      <c r="BR1451"/>
    </row>
    <row r="1452" spans="2:70" s="70" customFormat="1" x14ac:dyDescent="0.2">
      <c r="B1452" s="914" t="s">
        <v>991</v>
      </c>
      <c r="C1452" s="914"/>
      <c r="D1452" s="32"/>
      <c r="E1452" s="32"/>
      <c r="F1452" s="32"/>
      <c r="G1452" s="32"/>
      <c r="H1452" s="51">
        <f>H1451</f>
        <v>24917</v>
      </c>
      <c r="I1452" s="51">
        <f t="shared" ref="I1452:S1452" si="3511">I1451</f>
        <v>47486</v>
      </c>
      <c r="J1452" s="51">
        <f t="shared" si="3511"/>
        <v>44833</v>
      </c>
      <c r="K1452" s="51">
        <f t="shared" si="3511"/>
        <v>43591.5</v>
      </c>
      <c r="L1452" s="51">
        <f t="shared" si="3511"/>
        <v>41461.5</v>
      </c>
      <c r="M1452" s="51">
        <f t="shared" si="3511"/>
        <v>39066</v>
      </c>
      <c r="N1452" s="51">
        <f t="shared" si="3511"/>
        <v>37094</v>
      </c>
      <c r="O1452" s="51">
        <f t="shared" si="3511"/>
        <v>36124.5</v>
      </c>
      <c r="P1452" s="51">
        <f t="shared" si="3511"/>
        <v>34935</v>
      </c>
      <c r="Q1452" s="51">
        <f t="shared" si="3511"/>
        <v>33621.5</v>
      </c>
      <c r="R1452" s="51">
        <f t="shared" si="3511"/>
        <v>33022</v>
      </c>
      <c r="S1452" s="51">
        <f t="shared" si="3511"/>
        <v>32564</v>
      </c>
      <c r="T1452" s="922">
        <v>29988</v>
      </c>
      <c r="U1452" s="51">
        <f>U1451+T1452-T1451</f>
        <v>27267.599999999999</v>
      </c>
      <c r="V1452" s="51">
        <f>V1451+U1452-U1451</f>
        <v>25413.85</v>
      </c>
      <c r="W1452" s="922">
        <v>28532</v>
      </c>
      <c r="X1452" s="922">
        <v>21077</v>
      </c>
      <c r="Y1452" s="922">
        <v>28448</v>
      </c>
      <c r="Z1452" s="922">
        <v>28085</v>
      </c>
      <c r="AA1452" s="922">
        <v>13072</v>
      </c>
      <c r="AB1452" s="922">
        <v>12811</v>
      </c>
      <c r="AC1452" s="51">
        <f t="shared" ref="AC1452:AE1452" si="3512">AC1451+AB1452-AB1451</f>
        <v>12210.103610504528</v>
      </c>
      <c r="AD1452" s="51">
        <f t="shared" si="3512"/>
        <v>12063.800185059459</v>
      </c>
      <c r="AE1452" s="51">
        <f t="shared" si="3512"/>
        <v>12094.931558309956</v>
      </c>
      <c r="AF1452" s="51">
        <f t="shared" ref="AF1452" si="3513">AF1451+AE1452-AE1451</f>
        <v>12067.493954519381</v>
      </c>
      <c r="AG1452" s="51">
        <f t="shared" ref="AG1452" si="3514">AG1451+AF1452-AF1451</f>
        <v>11987.847761866833</v>
      </c>
      <c r="AH1452" s="51">
        <f t="shared" ref="AH1452" si="3515">AH1451+AG1452-AG1451</f>
        <v>11919.840535165888</v>
      </c>
      <c r="AI1452" s="51">
        <f t="shared" ref="AI1452" si="3516">AI1451+AH1452-AH1451</f>
        <v>11853.351036051339</v>
      </c>
      <c r="AJ1452" s="51"/>
      <c r="AK1452" s="51"/>
      <c r="AL1452" s="51"/>
      <c r="AM1452" s="51"/>
      <c r="AN1452" s="51"/>
      <c r="AO1452" s="51"/>
      <c r="AP1452" s="51"/>
      <c r="AQ1452" s="51"/>
      <c r="AS1452" s="914" t="s">
        <v>991</v>
      </c>
      <c r="AT1452" s="914"/>
      <c r="AU1452" s="925" t="s">
        <v>229</v>
      </c>
      <c r="AV1452" s="207">
        <f>AVERAGE(H1452:K1452)</f>
        <v>40206.875</v>
      </c>
      <c r="AW1452" s="207">
        <f>AVERAGE(L1452:O1452)</f>
        <v>38436.5</v>
      </c>
      <c r="AX1452" s="207">
        <f>AVERAGE(P1452:S1452)</f>
        <v>33535.625</v>
      </c>
      <c r="AY1452" s="207">
        <f>AVERAGE(T1452:W1452)</f>
        <v>27800.362499999999</v>
      </c>
      <c r="AZ1452" s="207">
        <f>AVERAGE(X1452:AA1452)</f>
        <v>22670.5</v>
      </c>
      <c r="BA1452" s="207">
        <f>AVERAGE(AB1452:AE1452)</f>
        <v>12294.958838468487</v>
      </c>
      <c r="BB1452" s="207">
        <f>AVERAGE(AF1452:AI1452)</f>
        <v>11957.133321900861</v>
      </c>
      <c r="BC1452" s="51">
        <f t="shared" ref="BC1452" si="3517">BC1451+BB1452-BB1451</f>
        <v>11305.038550998441</v>
      </c>
      <c r="BD1452" s="51">
        <f t="shared" ref="BD1452:BE1452" si="3518">BD1451+BC1452-BC1451</f>
        <v>10088.615258271817</v>
      </c>
      <c r="BE1452" s="51">
        <f t="shared" si="3518"/>
        <v>8683.9542818105074</v>
      </c>
      <c r="BM1452"/>
      <c r="BN1452"/>
      <c r="BO1452"/>
      <c r="BP1452"/>
      <c r="BQ1452"/>
      <c r="BR1452"/>
    </row>
    <row r="1453" spans="2:70" s="70" customFormat="1" x14ac:dyDescent="0.2">
      <c r="B1453" s="914"/>
      <c r="C1453" s="914"/>
      <c r="D1453" s="32"/>
      <c r="E1453" s="32"/>
      <c r="F1453" s="32"/>
      <c r="G1453" s="32"/>
      <c r="H1453" s="51"/>
      <c r="I1453" s="51"/>
      <c r="J1453" s="51"/>
      <c r="K1453" s="51"/>
      <c r="L1453" s="51"/>
      <c r="M1453" s="51"/>
      <c r="N1453" s="51"/>
      <c r="O1453" s="51"/>
      <c r="P1453" s="51"/>
      <c r="Q1453" s="51"/>
      <c r="R1453" s="51"/>
      <c r="S1453" s="51"/>
      <c r="T1453" s="51"/>
      <c r="U1453" s="51"/>
      <c r="V1453" s="51"/>
      <c r="W1453" s="51"/>
      <c r="X1453" s="51"/>
      <c r="Y1453" s="51"/>
      <c r="Z1453" s="51"/>
      <c r="AA1453" s="51"/>
      <c r="AB1453" s="51"/>
      <c r="AC1453" s="51"/>
      <c r="AD1453" s="51"/>
      <c r="AE1453" s="51"/>
      <c r="AF1453" s="51"/>
      <c r="AG1453" s="51"/>
      <c r="AH1453" s="51"/>
      <c r="AI1453" s="51"/>
      <c r="AJ1453" s="51"/>
      <c r="AK1453" s="51"/>
      <c r="AL1453" s="51"/>
      <c r="AM1453" s="51"/>
      <c r="AN1453" s="51"/>
      <c r="AO1453" s="51"/>
      <c r="AP1453" s="51"/>
      <c r="AQ1453" s="51"/>
      <c r="AS1453" s="914"/>
      <c r="AT1453" s="914"/>
      <c r="AU1453" s="51"/>
      <c r="AV1453" s="51"/>
      <c r="AW1453" s="51"/>
      <c r="AX1453" s="51"/>
      <c r="AY1453" s="51"/>
      <c r="AZ1453" s="51"/>
      <c r="BA1453" s="51"/>
      <c r="BB1453" s="51"/>
      <c r="BC1453" s="51"/>
      <c r="BD1453" s="51"/>
      <c r="BE1453" s="51"/>
      <c r="BM1453"/>
      <c r="BN1453"/>
      <c r="BO1453"/>
      <c r="BP1453"/>
      <c r="BQ1453"/>
      <c r="BR1453"/>
    </row>
    <row r="1454" spans="2:70" s="70" customFormat="1" hidden="1" outlineLevel="1" x14ac:dyDescent="0.2">
      <c r="B1454" s="110" t="s">
        <v>881</v>
      </c>
      <c r="C1454" s="9"/>
      <c r="D1454" s="81"/>
      <c r="E1454" s="81"/>
      <c r="F1454" s="81"/>
      <c r="G1454" s="81"/>
      <c r="H1454" s="9"/>
      <c r="I1454" s="81"/>
      <c r="J1454" s="81"/>
      <c r="K1454" s="81"/>
      <c r="L1454" s="81"/>
      <c r="M1454" s="81"/>
      <c r="N1454" s="81"/>
      <c r="O1454" s="81"/>
      <c r="P1454" s="81"/>
      <c r="Q1454" s="81"/>
      <c r="R1454" s="81"/>
      <c r="S1454" s="81"/>
      <c r="T1454" s="9"/>
      <c r="U1454" s="9"/>
      <c r="V1454" s="9"/>
      <c r="W1454" s="9"/>
      <c r="X1454" s="9"/>
      <c r="Y1454" s="1215"/>
      <c r="Z1454" s="1688"/>
      <c r="AA1454" s="1742"/>
      <c r="AB1454" s="1785"/>
      <c r="AC1454" s="9"/>
      <c r="AD1454" s="9"/>
      <c r="AE1454" s="1740"/>
      <c r="AF1454" s="1740"/>
      <c r="AG1454" s="1740"/>
      <c r="AH1454" s="1740"/>
      <c r="AI1454" s="1707"/>
      <c r="AJ1454" s="1740"/>
      <c r="AK1454" s="1740"/>
      <c r="AL1454" s="1740"/>
      <c r="AM1454" s="1740"/>
      <c r="AN1454" s="1740"/>
      <c r="AO1454" s="1740"/>
      <c r="AP1454" s="1740"/>
      <c r="AQ1454" s="1740"/>
      <c r="AS1454" s="35"/>
      <c r="AT1454" s="9"/>
      <c r="BM1454"/>
      <c r="BN1454"/>
      <c r="BO1454"/>
      <c r="BP1454"/>
      <c r="BQ1454"/>
      <c r="BR1454"/>
    </row>
    <row r="1455" spans="2:70" s="70" customFormat="1" hidden="1" outlineLevel="1" x14ac:dyDescent="0.2">
      <c r="B1455" s="35" t="s">
        <v>425</v>
      </c>
      <c r="C1455" s="9"/>
      <c r="D1455" s="51">
        <f t="shared" ref="D1455:AE1455" si="3519">D1430</f>
        <v>5090</v>
      </c>
      <c r="E1455" s="51">
        <f t="shared" si="3519"/>
        <v>4221</v>
      </c>
      <c r="F1455" s="51">
        <f t="shared" si="3519"/>
        <v>4653</v>
      </c>
      <c r="G1455" s="51">
        <f t="shared" si="3519"/>
        <v>1814</v>
      </c>
      <c r="H1455" s="51">
        <f t="shared" si="3519"/>
        <v>6017</v>
      </c>
      <c r="I1455" s="51">
        <f t="shared" si="3519"/>
        <v>6084</v>
      </c>
      <c r="J1455" s="51">
        <f t="shared" si="3519"/>
        <v>4764</v>
      </c>
      <c r="K1455" s="51">
        <f t="shared" si="3519"/>
        <v>3800</v>
      </c>
      <c r="L1455" s="51">
        <f t="shared" si="3519"/>
        <v>6204</v>
      </c>
      <c r="M1455" s="51">
        <f t="shared" si="3519"/>
        <v>2328</v>
      </c>
      <c r="N1455" s="51">
        <f t="shared" si="3519"/>
        <v>5479</v>
      </c>
      <c r="O1455" s="51">
        <f t="shared" si="3519"/>
        <v>1577</v>
      </c>
      <c r="P1455" s="51">
        <f t="shared" si="3519"/>
        <v>7133</v>
      </c>
      <c r="Q1455" s="51">
        <f t="shared" si="3519"/>
        <v>6709</v>
      </c>
      <c r="R1455" s="51">
        <f t="shared" si="3519"/>
        <v>6107</v>
      </c>
      <c r="S1455" s="51">
        <f t="shared" si="3519"/>
        <v>5117</v>
      </c>
      <c r="T1455" s="51">
        <f t="shared" si="3519"/>
        <v>5106</v>
      </c>
      <c r="U1455" s="51">
        <f t="shared" si="3519"/>
        <v>5885</v>
      </c>
      <c r="V1455" s="51">
        <f t="shared" si="3519"/>
        <v>5734</v>
      </c>
      <c r="W1455" s="51">
        <f t="shared" si="3519"/>
        <v>5213</v>
      </c>
      <c r="X1455" s="51">
        <f t="shared" si="3519"/>
        <v>6104</v>
      </c>
      <c r="Y1455" s="51">
        <f t="shared" ref="Y1455:Z1455" si="3520">Y1430</f>
        <v>5800</v>
      </c>
      <c r="Z1455" s="51">
        <f t="shared" si="3520"/>
        <v>6126</v>
      </c>
      <c r="AA1455" s="51">
        <f t="shared" ref="AA1455:AB1455" si="3521">AA1430</f>
        <v>5227</v>
      </c>
      <c r="AB1455" s="51">
        <f t="shared" si="3521"/>
        <v>6154</v>
      </c>
      <c r="AC1455" s="51">
        <f t="shared" si="3519"/>
        <v>6036.5575078414131</v>
      </c>
      <c r="AD1455" s="51">
        <f t="shared" si="3519"/>
        <v>6108.5804570974215</v>
      </c>
      <c r="AE1455" s="51">
        <f t="shared" si="3519"/>
        <v>5868.7766176352998</v>
      </c>
      <c r="AF1455" s="51">
        <f t="shared" ref="AF1455:AI1455" si="3522">AF1430</f>
        <v>6591.5128478608749</v>
      </c>
      <c r="AG1455" s="51">
        <f t="shared" si="3522"/>
        <v>6766.2100744872714</v>
      </c>
      <c r="AH1455" s="51">
        <f t="shared" si="3522"/>
        <v>6660.5712284950114</v>
      </c>
      <c r="AI1455" s="51">
        <f t="shared" si="3522"/>
        <v>6325.1791569206252</v>
      </c>
      <c r="AJ1455" s="51"/>
      <c r="AK1455" s="51"/>
      <c r="AL1455" s="51"/>
      <c r="AM1455" s="51"/>
      <c r="AN1455" s="51"/>
      <c r="AO1455" s="51"/>
      <c r="AP1455" s="51"/>
      <c r="AQ1455" s="51"/>
      <c r="AS1455" s="35"/>
      <c r="AT1455" s="9"/>
      <c r="BM1455"/>
      <c r="BN1455"/>
      <c r="BO1455"/>
      <c r="BP1455"/>
      <c r="BQ1455"/>
      <c r="BR1455"/>
    </row>
    <row r="1456" spans="2:70" s="70" customFormat="1" hidden="1" outlineLevel="1" x14ac:dyDescent="0.2">
      <c r="B1456" s="35"/>
      <c r="C1456" s="9" t="s">
        <v>876</v>
      </c>
      <c r="D1456" s="60">
        <f t="shared" ref="D1456:AE1456" si="3523">D791</f>
        <v>0.31080550098231829</v>
      </c>
      <c r="E1456" s="60">
        <f t="shared" si="3523"/>
        <v>0.26984126984126983</v>
      </c>
      <c r="F1456" s="60">
        <f t="shared" si="3523"/>
        <v>0.28841607565011823</v>
      </c>
      <c r="G1456" s="60">
        <f t="shared" si="3523"/>
        <v>0.12127894156560089</v>
      </c>
      <c r="H1456" s="60">
        <f t="shared" si="3523"/>
        <v>0.31959448230014958</v>
      </c>
      <c r="I1456" s="60">
        <f t="shared" si="3523"/>
        <v>0.35880999342537806</v>
      </c>
      <c r="J1456" s="60">
        <f t="shared" si="3523"/>
        <v>0.32136859781696053</v>
      </c>
      <c r="K1456" s="60">
        <f t="shared" si="3523"/>
        <v>0.36184210526315791</v>
      </c>
      <c r="L1456" s="60">
        <f t="shared" si="3523"/>
        <v>0.32978723404255317</v>
      </c>
      <c r="M1456" s="60">
        <f t="shared" si="3523"/>
        <v>0.88273195876288657</v>
      </c>
      <c r="N1456" s="60">
        <f t="shared" si="3523"/>
        <v>0.42617265924438769</v>
      </c>
      <c r="O1456" s="60">
        <f t="shared" si="3523"/>
        <v>0.75967025998731774</v>
      </c>
      <c r="P1456" s="60">
        <f t="shared" si="3523"/>
        <v>0.31809897658769104</v>
      </c>
      <c r="Q1456" s="60">
        <f t="shared" si="3523"/>
        <v>0.30511253540020866</v>
      </c>
      <c r="R1456" s="60">
        <f t="shared" si="3523"/>
        <v>0.31570329130505975</v>
      </c>
      <c r="S1456" s="60">
        <f t="shared" si="3523"/>
        <v>0.3122923588039867</v>
      </c>
      <c r="T1456" s="60">
        <f t="shared" si="3523"/>
        <v>0.31296513905209555</v>
      </c>
      <c r="U1456" s="60">
        <f t="shared" si="3523"/>
        <v>0.31231945624468987</v>
      </c>
      <c r="V1456" s="60">
        <f t="shared" si="3523"/>
        <v>0.32211370770840597</v>
      </c>
      <c r="W1456" s="60">
        <f t="shared" si="3523"/>
        <v>0.31114521388835603</v>
      </c>
      <c r="X1456" s="60">
        <f t="shared" si="3523"/>
        <v>0.32536041939711663</v>
      </c>
      <c r="Y1456" s="60">
        <f t="shared" ref="Y1456" si="3524">Y791</f>
        <v>0.33051724137931032</v>
      </c>
      <c r="Z1456" s="60">
        <f t="shared" si="3523"/>
        <v>0.32468168462291869</v>
      </c>
      <c r="AA1456" s="60">
        <f t="shared" ref="AA1456:AB1456" si="3525">AA791</f>
        <v>0.26745743256169885</v>
      </c>
      <c r="AB1456" s="60">
        <f t="shared" si="3525"/>
        <v>0.24455638609034774</v>
      </c>
      <c r="AC1456" s="60">
        <f t="shared" si="3523"/>
        <v>0.26</v>
      </c>
      <c r="AD1456" s="60">
        <f t="shared" si="3523"/>
        <v>0.255</v>
      </c>
      <c r="AE1456" s="60">
        <f t="shared" si="3523"/>
        <v>0.255</v>
      </c>
      <c r="AF1456" s="60">
        <f t="shared" ref="AF1456:AI1456" si="3526">AF791</f>
        <v>0.25</v>
      </c>
      <c r="AG1456" s="60">
        <f t="shared" si="3526"/>
        <v>0.25</v>
      </c>
      <c r="AH1456" s="60">
        <f t="shared" si="3526"/>
        <v>0.25</v>
      </c>
      <c r="AI1456" s="60">
        <f t="shared" si="3526"/>
        <v>0.25</v>
      </c>
      <c r="AJ1456" s="60"/>
      <c r="AK1456" s="60"/>
      <c r="AL1456" s="60"/>
      <c r="AM1456" s="60"/>
      <c r="AN1456" s="60"/>
      <c r="AO1456" s="60"/>
      <c r="AP1456" s="60"/>
      <c r="AQ1456" s="60"/>
      <c r="AS1456" s="35"/>
      <c r="AT1456" s="9"/>
      <c r="BM1456"/>
      <c r="BN1456"/>
      <c r="BO1456"/>
      <c r="BP1456"/>
      <c r="BQ1456"/>
      <c r="BR1456"/>
    </row>
    <row r="1457" spans="1:70" hidden="1" outlineLevel="1" x14ac:dyDescent="0.2">
      <c r="B1457" s="35" t="s">
        <v>727</v>
      </c>
      <c r="D1457" s="51">
        <f>D1456*D1455</f>
        <v>1582.0000000000002</v>
      </c>
      <c r="E1457" s="51">
        <f t="shared" ref="E1457:W1457" si="3527">E1456*E1455</f>
        <v>1139</v>
      </c>
      <c r="F1457" s="51">
        <f t="shared" si="3527"/>
        <v>1342.0000000000002</v>
      </c>
      <c r="G1457" s="51">
        <f t="shared" si="3527"/>
        <v>220</v>
      </c>
      <c r="H1457" s="51">
        <f t="shared" si="3527"/>
        <v>1923</v>
      </c>
      <c r="I1457" s="51">
        <f t="shared" si="3527"/>
        <v>2183</v>
      </c>
      <c r="J1457" s="51">
        <f t="shared" si="3527"/>
        <v>1531</v>
      </c>
      <c r="K1457" s="51">
        <f t="shared" si="3527"/>
        <v>1375</v>
      </c>
      <c r="L1457" s="51">
        <f t="shared" si="3527"/>
        <v>2045.9999999999998</v>
      </c>
      <c r="M1457" s="51">
        <f t="shared" si="3527"/>
        <v>2055</v>
      </c>
      <c r="N1457" s="51">
        <f t="shared" si="3527"/>
        <v>2335</v>
      </c>
      <c r="O1457" s="51">
        <f t="shared" si="3527"/>
        <v>1198</v>
      </c>
      <c r="P1457" s="51">
        <f t="shared" si="3527"/>
        <v>2269</v>
      </c>
      <c r="Q1457" s="51">
        <f t="shared" si="3527"/>
        <v>2047</v>
      </c>
      <c r="R1457" s="51">
        <f t="shared" si="3527"/>
        <v>1928</v>
      </c>
      <c r="S1457" s="51">
        <f t="shared" si="3527"/>
        <v>1598</v>
      </c>
      <c r="T1457" s="51">
        <f t="shared" si="3527"/>
        <v>1598</v>
      </c>
      <c r="U1457" s="51">
        <f t="shared" si="3527"/>
        <v>1838</v>
      </c>
      <c r="V1457" s="51">
        <f t="shared" si="3527"/>
        <v>1846.9999999999998</v>
      </c>
      <c r="W1457" s="51">
        <f t="shared" si="3527"/>
        <v>1622</v>
      </c>
      <c r="X1457" s="51">
        <f>X1456*X1455</f>
        <v>1986</v>
      </c>
      <c r="Y1457" s="51">
        <f>Y1456*Y1455</f>
        <v>1916.9999999999998</v>
      </c>
      <c r="Z1457" s="51">
        <f t="shared" ref="Z1457:AE1457" si="3528">Z1456*Z1455</f>
        <v>1988.9999999999998</v>
      </c>
      <c r="AA1457" s="51">
        <f t="shared" ref="AA1457:AB1457" si="3529">AA1456*AA1455</f>
        <v>1397.9999999999998</v>
      </c>
      <c r="AB1457" s="51">
        <f t="shared" si="3529"/>
        <v>1505</v>
      </c>
      <c r="AC1457" s="51">
        <f t="shared" si="3528"/>
        <v>1569.5049520387674</v>
      </c>
      <c r="AD1457" s="51">
        <f t="shared" si="3528"/>
        <v>1557.6880165598425</v>
      </c>
      <c r="AE1457" s="51">
        <f t="shared" si="3528"/>
        <v>1496.5380374970014</v>
      </c>
      <c r="AF1457" s="51">
        <f t="shared" ref="AF1457:AI1457" si="3530">AF1456*AF1455</f>
        <v>1647.8782119652187</v>
      </c>
      <c r="AG1457" s="51">
        <f t="shared" si="3530"/>
        <v>1691.5525186218179</v>
      </c>
      <c r="AH1457" s="51">
        <f t="shared" si="3530"/>
        <v>1665.1428071237528</v>
      </c>
      <c r="AI1457" s="51">
        <f t="shared" si="3530"/>
        <v>1581.2947892301563</v>
      </c>
      <c r="AJ1457" s="51"/>
      <c r="AK1457" s="51"/>
      <c r="AL1457" s="51"/>
      <c r="AM1457" s="51"/>
      <c r="AN1457" s="51"/>
      <c r="AO1457" s="51"/>
      <c r="AP1457" s="51"/>
      <c r="AQ1457" s="51"/>
      <c r="AS1457" s="35"/>
      <c r="AT1457" s="9"/>
    </row>
    <row r="1458" spans="1:70" hidden="1" outlineLevel="1" x14ac:dyDescent="0.2">
      <c r="B1458" s="35"/>
      <c r="C1458" s="70" t="s">
        <v>869</v>
      </c>
      <c r="D1458" s="60"/>
      <c r="E1458" s="60">
        <f t="shared" ref="E1458:AE1458" si="3531">E1438/E1457</f>
        <v>0.81650570676031609</v>
      </c>
      <c r="F1458" s="60">
        <f t="shared" si="3531"/>
        <v>-1.7138599105812218</v>
      </c>
      <c r="G1458" s="60">
        <f t="shared" si="3531"/>
        <v>-9.0909090909090917</v>
      </c>
      <c r="H1458" s="60">
        <f t="shared" si="3531"/>
        <v>0.36401456058242332</v>
      </c>
      <c r="I1458" s="60">
        <f t="shared" si="3531"/>
        <v>0.27485112230874942</v>
      </c>
      <c r="J1458" s="60">
        <f t="shared" si="3531"/>
        <v>0.32658393207054215</v>
      </c>
      <c r="K1458" s="60">
        <f t="shared" si="3531"/>
        <v>0.50981818181818184</v>
      </c>
      <c r="L1458" s="60">
        <f t="shared" si="3531"/>
        <v>0.48826979472140769</v>
      </c>
      <c r="M1458" s="60">
        <f t="shared" si="3531"/>
        <v>0.58394160583941601</v>
      </c>
      <c r="N1458" s="60">
        <f t="shared" si="3531"/>
        <v>0.29978586723768735</v>
      </c>
      <c r="O1458" s="60">
        <f t="shared" si="3531"/>
        <v>0.32804674457429051</v>
      </c>
      <c r="P1458" s="60">
        <f t="shared" si="3531"/>
        <v>0.62009695901278095</v>
      </c>
      <c r="Q1458" s="60">
        <f t="shared" si="3531"/>
        <v>9.7703957010258913E-2</v>
      </c>
      <c r="R1458" s="60">
        <f t="shared" si="3531"/>
        <v>0.36307053941908712</v>
      </c>
      <c r="S1458" s="60">
        <f t="shared" si="3531"/>
        <v>-0.40613266583229035</v>
      </c>
      <c r="T1458" s="60">
        <f t="shared" si="3531"/>
        <v>1.0319148936170213</v>
      </c>
      <c r="U1458" s="60">
        <f t="shared" si="3531"/>
        <v>0.43525571273122959</v>
      </c>
      <c r="V1458" s="60">
        <f t="shared" si="3531"/>
        <v>0</v>
      </c>
      <c r="W1458" s="60">
        <f t="shared" si="3531"/>
        <v>-0.78175092478421704</v>
      </c>
      <c r="X1458" s="60">
        <f t="shared" si="3531"/>
        <v>0.4028197381671702</v>
      </c>
      <c r="Y1458" s="60">
        <f t="shared" ref="Y1458" si="3532">Y1438/Y1457</f>
        <v>0.41731872717788215</v>
      </c>
      <c r="Z1458" s="60">
        <f t="shared" si="3531"/>
        <v>0.40221216691804934</v>
      </c>
      <c r="AA1458" s="60">
        <f t="shared" ref="AA1458:AB1458" si="3533">AA1438/AA1457</f>
        <v>0.57224606580829762</v>
      </c>
      <c r="AB1458" s="60">
        <f t="shared" si="3533"/>
        <v>0.53156146179401997</v>
      </c>
      <c r="AC1458" s="60">
        <f t="shared" si="3531"/>
        <v>0.11305138348802392</v>
      </c>
      <c r="AD1458" s="60">
        <f t="shared" si="3531"/>
        <v>0.11639120961332249</v>
      </c>
      <c r="AE1458" s="60">
        <f t="shared" si="3531"/>
        <v>0.11696747308897062</v>
      </c>
      <c r="AF1458" s="60">
        <f t="shared" ref="AF1458:AI1458" si="3534">AF1438/AF1457</f>
        <v>0.11646773011910416</v>
      </c>
      <c r="AG1458" s="60">
        <f t="shared" si="3534"/>
        <v>0.11623625560605476</v>
      </c>
      <c r="AH1458" s="60">
        <f t="shared" si="3534"/>
        <v>0.11706941208154688</v>
      </c>
      <c r="AI1458" s="60">
        <f t="shared" si="3534"/>
        <v>0.11773757152805589</v>
      </c>
      <c r="AJ1458" s="60"/>
      <c r="AK1458" s="60"/>
      <c r="AL1458" s="60"/>
      <c r="AM1458" s="60"/>
      <c r="AN1458" s="60"/>
      <c r="AO1458" s="60"/>
      <c r="AP1458" s="60"/>
      <c r="AQ1458" s="60"/>
      <c r="AS1458" s="35"/>
      <c r="AT1458" s="9"/>
    </row>
    <row r="1459" spans="1:70" hidden="1" outlineLevel="1" x14ac:dyDescent="0.2">
      <c r="B1459" s="35"/>
      <c r="D1459" s="81"/>
      <c r="E1459" s="81"/>
      <c r="F1459" s="81"/>
      <c r="G1459" s="81"/>
      <c r="I1459" s="81"/>
      <c r="J1459" s="81"/>
      <c r="K1459" s="81"/>
      <c r="L1459" s="81"/>
      <c r="M1459" s="81"/>
      <c r="N1459" s="81"/>
      <c r="O1459" s="81"/>
      <c r="P1459" s="81"/>
      <c r="Q1459" s="81"/>
      <c r="R1459" s="81"/>
      <c r="S1459" s="81"/>
      <c r="W1459" s="83"/>
      <c r="X1459" s="83"/>
      <c r="Y1459" s="83"/>
      <c r="AA1459" s="1742"/>
      <c r="AB1459" s="1785"/>
      <c r="AS1459" s="35"/>
      <c r="AT1459" s="9"/>
    </row>
    <row r="1460" spans="1:70" collapsed="1" x14ac:dyDescent="0.2">
      <c r="B1460" s="35"/>
      <c r="D1460" s="81"/>
      <c r="E1460" s="81"/>
      <c r="F1460" s="81"/>
      <c r="G1460" s="81"/>
      <c r="I1460" s="81"/>
      <c r="J1460" s="81"/>
      <c r="K1460" s="81"/>
      <c r="L1460" s="81"/>
      <c r="M1460" s="81"/>
      <c r="N1460" s="81"/>
      <c r="O1460" s="81"/>
      <c r="P1460" s="81"/>
      <c r="Q1460" s="81"/>
      <c r="R1460" s="81"/>
      <c r="S1460" s="81"/>
      <c r="W1460" s="83"/>
      <c r="X1460" s="83"/>
      <c r="AA1460" s="1742"/>
      <c r="AB1460" s="1785"/>
      <c r="AS1460" s="35"/>
      <c r="AT1460" s="9"/>
    </row>
    <row r="1461" spans="1:70" x14ac:dyDescent="0.2">
      <c r="A1461" s="411" t="s">
        <v>194</v>
      </c>
      <c r="B1461" s="13" t="s">
        <v>468</v>
      </c>
      <c r="C1461" s="13"/>
      <c r="D1461" s="14"/>
      <c r="E1461" s="14"/>
      <c r="F1461" s="14"/>
      <c r="G1461" s="14"/>
      <c r="H1461" s="14"/>
      <c r="I1461" s="14"/>
      <c r="J1461" s="14"/>
      <c r="K1461" s="14"/>
      <c r="L1461" s="14"/>
      <c r="M1461" s="14"/>
      <c r="N1461" s="14"/>
      <c r="O1461" s="14"/>
      <c r="P1461" s="14"/>
      <c r="Q1461" s="14"/>
      <c r="R1461" s="14"/>
      <c r="S1461" s="14"/>
      <c r="T1461" s="14"/>
      <c r="U1461" s="14"/>
      <c r="V1461" s="14"/>
      <c r="W1461" s="14"/>
      <c r="X1461" s="14"/>
      <c r="Y1461" s="14"/>
      <c r="Z1461" s="14"/>
      <c r="AA1461" s="14"/>
      <c r="AB1461" s="14"/>
      <c r="AC1461" s="14"/>
      <c r="AD1461" s="14"/>
      <c r="AE1461" s="14"/>
      <c r="AF1461" s="14"/>
      <c r="AG1461" s="14"/>
      <c r="AH1461" s="14"/>
      <c r="AI1461" s="14"/>
      <c r="AJ1461" s="14"/>
      <c r="AK1461" s="14"/>
      <c r="AL1461" s="14"/>
      <c r="AM1461" s="14"/>
      <c r="AN1461" s="14"/>
      <c r="AO1461" s="14"/>
      <c r="AP1461" s="14"/>
      <c r="AQ1461" s="14"/>
      <c r="AS1461" s="13" t="s">
        <v>468</v>
      </c>
      <c r="AT1461" s="13"/>
      <c r="AU1461" s="13"/>
      <c r="AV1461" s="13"/>
      <c r="AW1461" s="13"/>
      <c r="AX1461" s="13"/>
      <c r="AY1461" s="13"/>
      <c r="AZ1461" s="13"/>
      <c r="BA1461" s="13"/>
      <c r="BB1461" s="13"/>
      <c r="BC1461" s="13"/>
      <c r="BD1461" s="13"/>
      <c r="BE1461" s="13"/>
    </row>
    <row r="1462" spans="1:70" x14ac:dyDescent="0.2">
      <c r="B1462" s="16"/>
      <c r="C1462" s="16"/>
      <c r="D1462" s="15"/>
      <c r="E1462" s="15"/>
      <c r="F1462" s="15"/>
      <c r="G1462" s="15"/>
      <c r="H1462" s="15"/>
      <c r="I1462" s="15"/>
      <c r="J1462" s="15"/>
      <c r="K1462" s="15"/>
      <c r="L1462" s="15"/>
      <c r="M1462" s="15"/>
      <c r="N1462" s="15"/>
      <c r="O1462" s="15"/>
      <c r="P1462" s="15"/>
      <c r="Q1462" s="15"/>
      <c r="R1462" s="15"/>
      <c r="S1462" s="15"/>
      <c r="T1462" s="15"/>
      <c r="U1462" s="15"/>
      <c r="V1462" s="15"/>
      <c r="W1462" s="15"/>
      <c r="X1462" s="15"/>
      <c r="Y1462" s="15"/>
      <c r="Z1462" s="15"/>
      <c r="AA1462" s="15"/>
      <c r="AB1462" s="15"/>
      <c r="AC1462" s="15"/>
      <c r="AD1462" s="15"/>
      <c r="AE1462" s="15"/>
      <c r="AF1462" s="15"/>
      <c r="AG1462" s="15"/>
      <c r="AH1462" s="15"/>
      <c r="AI1462" s="15"/>
      <c r="AJ1462" s="15"/>
      <c r="AK1462" s="15"/>
      <c r="AL1462" s="15"/>
      <c r="AM1462" s="15"/>
      <c r="AN1462" s="15"/>
      <c r="AO1462" s="15"/>
      <c r="AP1462" s="15"/>
      <c r="AQ1462" s="15"/>
      <c r="AS1462" s="16"/>
      <c r="AT1462" s="16"/>
    </row>
    <row r="1463" spans="1:70" s="369" customFormat="1" x14ac:dyDescent="0.2">
      <c r="A1463" s="411"/>
      <c r="B1463" s="334" t="s">
        <v>124</v>
      </c>
      <c r="D1463" s="378"/>
      <c r="E1463" s="378"/>
      <c r="F1463" s="378"/>
      <c r="G1463" s="378"/>
      <c r="H1463" s="378"/>
      <c r="I1463" s="379">
        <f t="shared" ref="I1463:AE1463" si="3535">I1383</f>
        <v>116995</v>
      </c>
      <c r="J1463" s="379">
        <f t="shared" si="3535"/>
        <v>121321</v>
      </c>
      <c r="K1463" s="379">
        <f t="shared" si="3535"/>
        <v>125349</v>
      </c>
      <c r="L1463" s="379">
        <f t="shared" si="3535"/>
        <v>131685</v>
      </c>
      <c r="M1463" s="379">
        <f t="shared" si="3535"/>
        <v>135338</v>
      </c>
      <c r="N1463" s="379">
        <f t="shared" si="3535"/>
        <v>138547</v>
      </c>
      <c r="O1463" s="379">
        <f t="shared" si="3535"/>
        <v>136597</v>
      </c>
      <c r="P1463" s="379">
        <f t="shared" si="3535"/>
        <v>141945</v>
      </c>
      <c r="Q1463" s="379">
        <f t="shared" si="3535"/>
        <v>145435</v>
      </c>
      <c r="R1463" s="379">
        <f t="shared" si="3535"/>
        <v>146451</v>
      </c>
      <c r="S1463" s="379">
        <f t="shared" si="3535"/>
        <v>146865</v>
      </c>
      <c r="T1463" s="379">
        <f t="shared" si="3535"/>
        <v>153023</v>
      </c>
      <c r="U1463" s="379">
        <f t="shared" si="3535"/>
        <v>154534</v>
      </c>
      <c r="V1463" s="379">
        <f t="shared" si="3535"/>
        <v>155132</v>
      </c>
      <c r="W1463" s="379">
        <f t="shared" si="3535"/>
        <v>149516</v>
      </c>
      <c r="X1463" s="379">
        <f t="shared" si="3535"/>
        <v>152664</v>
      </c>
      <c r="Y1463" s="379">
        <f t="shared" ref="Y1463:Z1463" si="3536">Y1383</f>
        <v>155174</v>
      </c>
      <c r="Z1463" s="379">
        <f t="shared" si="3536"/>
        <v>153534</v>
      </c>
      <c r="AA1463" s="379">
        <f t="shared" ref="AA1463:AB1463" si="3537">AA1383</f>
        <v>142822</v>
      </c>
      <c r="AB1463" s="379">
        <f t="shared" si="3537"/>
        <v>144127</v>
      </c>
      <c r="AC1463" s="379">
        <f t="shared" si="3535"/>
        <v>145395.4111395824</v>
      </c>
      <c r="AD1463" s="379">
        <f t="shared" si="3535"/>
        <v>143535.93029183263</v>
      </c>
      <c r="AE1463" s="379">
        <f t="shared" si="3535"/>
        <v>141316.21326334373</v>
      </c>
      <c r="AF1463" s="379">
        <f t="shared" ref="AF1463:AI1463" si="3538">AF1383</f>
        <v>140525.06456501185</v>
      </c>
      <c r="AG1463" s="379">
        <f t="shared" si="3538"/>
        <v>139140.25676827141</v>
      </c>
      <c r="AH1463" s="379">
        <f t="shared" si="3538"/>
        <v>138087.10600127309</v>
      </c>
      <c r="AI1463" s="379">
        <f t="shared" si="3538"/>
        <v>136773.23030174992</v>
      </c>
      <c r="AJ1463" s="379"/>
      <c r="AK1463" s="379"/>
      <c r="AL1463" s="379"/>
      <c r="AM1463" s="379"/>
      <c r="AN1463" s="379"/>
      <c r="AO1463" s="379"/>
      <c r="AP1463" s="379"/>
      <c r="AQ1463" s="379"/>
      <c r="AR1463" s="70"/>
      <c r="AS1463" s="334" t="s">
        <v>124</v>
      </c>
      <c r="AU1463" s="635">
        <f>G1463</f>
        <v>0</v>
      </c>
      <c r="AV1463" s="635">
        <f>K1463</f>
        <v>125349</v>
      </c>
      <c r="AW1463" s="635">
        <f>O1463</f>
        <v>136597</v>
      </c>
      <c r="AX1463" s="635">
        <f>S1463</f>
        <v>146865</v>
      </c>
      <c r="AY1463" s="635">
        <f>W1463</f>
        <v>149516</v>
      </c>
      <c r="AZ1463" s="379">
        <f>AA1463</f>
        <v>142822</v>
      </c>
      <c r="BA1463" s="379">
        <f>AE1463</f>
        <v>141316.21326334373</v>
      </c>
      <c r="BB1463" s="379">
        <f>AI1463</f>
        <v>136773.23030174992</v>
      </c>
      <c r="BC1463" s="379">
        <f>BC1383</f>
        <v>139291.69404207653</v>
      </c>
      <c r="BD1463" s="379">
        <f>BD1383</f>
        <v>144820.11255943379</v>
      </c>
      <c r="BE1463" s="379">
        <f>BE1383</f>
        <v>150572.2541217088</v>
      </c>
      <c r="BM1463"/>
      <c r="BN1463"/>
      <c r="BO1463"/>
      <c r="BP1463"/>
      <c r="BQ1463"/>
      <c r="BR1463"/>
    </row>
    <row r="1464" spans="1:70" s="379" customFormat="1" x14ac:dyDescent="0.2">
      <c r="A1464" s="832"/>
      <c r="B1464" s="334" t="s">
        <v>851</v>
      </c>
      <c r="D1464" s="811" t="s">
        <v>145</v>
      </c>
      <c r="E1464" s="432"/>
      <c r="F1464" s="432"/>
      <c r="G1464" s="432"/>
      <c r="H1464" s="432"/>
      <c r="I1464" s="443">
        <v>5434</v>
      </c>
      <c r="J1464" s="443">
        <v>6362</v>
      </c>
      <c r="K1464" s="443">
        <v>7815</v>
      </c>
      <c r="L1464" s="443">
        <v>8279</v>
      </c>
      <c r="M1464" s="443">
        <v>10012</v>
      </c>
      <c r="N1464" s="443">
        <v>10010</v>
      </c>
      <c r="O1464" s="443">
        <v>11469</v>
      </c>
      <c r="P1464" s="443">
        <v>12960</v>
      </c>
      <c r="Q1464" s="443">
        <v>14956</v>
      </c>
      <c r="R1464" s="443">
        <v>15548</v>
      </c>
      <c r="S1464" s="443">
        <v>17171</v>
      </c>
      <c r="T1464" s="443">
        <v>18119</v>
      </c>
      <c r="U1464" s="443">
        <v>19493</v>
      </c>
      <c r="V1464" s="443">
        <v>19628</v>
      </c>
      <c r="W1464" s="443">
        <v>19874</v>
      </c>
      <c r="X1464" s="443">
        <v>19791</v>
      </c>
      <c r="Y1464" s="443">
        <v>19955</v>
      </c>
      <c r="Z1464" s="443">
        <v>19315</v>
      </c>
      <c r="AA1464" s="443">
        <v>19555</v>
      </c>
      <c r="AB1464" s="443">
        <v>19350</v>
      </c>
      <c r="AC1464" s="42">
        <f t="shared" ref="AC1464:AE1464" si="3539">AC1474*AC1473</f>
        <v>19350</v>
      </c>
      <c r="AD1464" s="42">
        <f t="shared" si="3539"/>
        <v>19350</v>
      </c>
      <c r="AE1464" s="42">
        <f t="shared" si="3539"/>
        <v>19350</v>
      </c>
      <c r="AF1464" s="42">
        <f t="shared" ref="AF1464:AI1464" si="3540">AF1474*AF1473</f>
        <v>21370.254750469827</v>
      </c>
      <c r="AG1464" s="42">
        <f t="shared" si="3540"/>
        <v>21370.254750469827</v>
      </c>
      <c r="AH1464" s="42">
        <f t="shared" si="3540"/>
        <v>21370.254750469827</v>
      </c>
      <c r="AI1464" s="42">
        <f t="shared" si="3540"/>
        <v>21370.254750469827</v>
      </c>
      <c r="AJ1464" s="207"/>
      <c r="AK1464" s="207"/>
      <c r="AL1464" s="207"/>
      <c r="AM1464" s="207"/>
      <c r="AN1464" s="207"/>
      <c r="AO1464" s="207"/>
      <c r="AP1464" s="207"/>
      <c r="AQ1464" s="207"/>
      <c r="AR1464" s="70"/>
      <c r="AS1464" s="334" t="s">
        <v>946</v>
      </c>
      <c r="AU1464" s="42">
        <f>G1464</f>
        <v>0</v>
      </c>
      <c r="AV1464" s="42">
        <f>K1464</f>
        <v>7815</v>
      </c>
      <c r="AW1464" s="42">
        <f>O1464</f>
        <v>11469</v>
      </c>
      <c r="AX1464" s="42">
        <f>S1464</f>
        <v>17171</v>
      </c>
      <c r="AY1464" s="42">
        <f>W1464</f>
        <v>19874</v>
      </c>
      <c r="AZ1464" s="42">
        <f>AA1464</f>
        <v>19555</v>
      </c>
      <c r="BA1464" s="42">
        <f>AE1464</f>
        <v>19350</v>
      </c>
      <c r="BB1464" s="42">
        <f>AI1464</f>
        <v>21370.254750469827</v>
      </c>
      <c r="BC1464" s="42">
        <f>BC1474*BC1473</f>
        <v>21370.254750469827</v>
      </c>
      <c r="BD1464" s="42">
        <f>BD1474*BD1473</f>
        <v>21370.254750469827</v>
      </c>
      <c r="BE1464" s="42">
        <f>BE1474*BE1473</f>
        <v>21370.254750469827</v>
      </c>
      <c r="BM1464"/>
      <c r="BN1464"/>
      <c r="BO1464"/>
      <c r="BP1464"/>
      <c r="BQ1464"/>
      <c r="BR1464"/>
    </row>
    <row r="1465" spans="1:70" s="369" customFormat="1" x14ac:dyDescent="0.2">
      <c r="A1465" s="830"/>
      <c r="C1465" s="369" t="s">
        <v>127</v>
      </c>
      <c r="D1465" s="378"/>
      <c r="E1465" s="378"/>
      <c r="F1465" s="378"/>
      <c r="G1465" s="378"/>
      <c r="H1465" s="378"/>
      <c r="I1465" s="379">
        <f>SUM(I1463:I1464)</f>
        <v>122429</v>
      </c>
      <c r="J1465" s="379">
        <f t="shared" ref="J1465:W1465" si="3541">SUM(J1463:J1464)</f>
        <v>127683</v>
      </c>
      <c r="K1465" s="379">
        <f t="shared" si="3541"/>
        <v>133164</v>
      </c>
      <c r="L1465" s="379">
        <f t="shared" si="3541"/>
        <v>139964</v>
      </c>
      <c r="M1465" s="379">
        <f t="shared" si="3541"/>
        <v>145350</v>
      </c>
      <c r="N1465" s="379">
        <f t="shared" si="3541"/>
        <v>148557</v>
      </c>
      <c r="O1465" s="379">
        <f t="shared" si="3541"/>
        <v>148066</v>
      </c>
      <c r="P1465" s="379">
        <f t="shared" si="3541"/>
        <v>154905</v>
      </c>
      <c r="Q1465" s="379">
        <f t="shared" si="3541"/>
        <v>160391</v>
      </c>
      <c r="R1465" s="379">
        <f t="shared" si="3541"/>
        <v>161999</v>
      </c>
      <c r="S1465" s="379">
        <f t="shared" si="3541"/>
        <v>164036</v>
      </c>
      <c r="T1465" s="379">
        <f t="shared" si="3541"/>
        <v>171142</v>
      </c>
      <c r="U1465" s="379">
        <f t="shared" si="3541"/>
        <v>174027</v>
      </c>
      <c r="V1465" s="379">
        <f t="shared" si="3541"/>
        <v>174760</v>
      </c>
      <c r="W1465" s="379">
        <f t="shared" si="3541"/>
        <v>169390</v>
      </c>
      <c r="X1465" s="379">
        <f>SUM(X1463:X1464)</f>
        <v>172455</v>
      </c>
      <c r="Y1465" s="379">
        <f>SUM(Y1463:Y1464)</f>
        <v>175129</v>
      </c>
      <c r="Z1465" s="379">
        <f>SUM(Z1463:Z1464)</f>
        <v>172849</v>
      </c>
      <c r="AA1465" s="379">
        <f>SUM(AA1463:AA1464)</f>
        <v>162377</v>
      </c>
      <c r="AB1465" s="379">
        <f>SUM(AB1463:AB1464)</f>
        <v>163477</v>
      </c>
      <c r="AC1465" s="379">
        <f t="shared" ref="AC1465:AE1465" si="3542">SUM(AC1463:AC1464)</f>
        <v>164745.4111395824</v>
      </c>
      <c r="AD1465" s="379">
        <f t="shared" si="3542"/>
        <v>162885.93029183263</v>
      </c>
      <c r="AE1465" s="379">
        <f t="shared" si="3542"/>
        <v>160666.21326334373</v>
      </c>
      <c r="AF1465" s="379">
        <f t="shared" ref="AF1465:AI1465" si="3543">SUM(AF1463:AF1464)</f>
        <v>161895.31931548167</v>
      </c>
      <c r="AG1465" s="379">
        <f t="shared" si="3543"/>
        <v>160510.51151874123</v>
      </c>
      <c r="AH1465" s="379">
        <f t="shared" si="3543"/>
        <v>159457.3607517429</v>
      </c>
      <c r="AI1465" s="379">
        <f t="shared" si="3543"/>
        <v>158143.48505221974</v>
      </c>
      <c r="AJ1465" s="379"/>
      <c r="AK1465" s="379"/>
      <c r="AL1465" s="379"/>
      <c r="AM1465" s="379"/>
      <c r="AN1465" s="379"/>
      <c r="AO1465" s="379"/>
      <c r="AP1465" s="379"/>
      <c r="AQ1465" s="379"/>
      <c r="AR1465" s="70"/>
      <c r="AT1465" s="369" t="s">
        <v>127</v>
      </c>
      <c r="AU1465" s="635">
        <f>G1465</f>
        <v>0</v>
      </c>
      <c r="AV1465" s="635">
        <f>K1465</f>
        <v>133164</v>
      </c>
      <c r="AW1465" s="635">
        <f>O1465</f>
        <v>148066</v>
      </c>
      <c r="AX1465" s="635">
        <f>S1465</f>
        <v>164036</v>
      </c>
      <c r="AY1465" s="635">
        <f>W1465</f>
        <v>169390</v>
      </c>
      <c r="AZ1465" s="379">
        <f>AA1465</f>
        <v>162377</v>
      </c>
      <c r="BA1465" s="379">
        <f>AE1465</f>
        <v>160666.21326334373</v>
      </c>
      <c r="BB1465" s="379">
        <f>AI1465</f>
        <v>158143.48505221974</v>
      </c>
      <c r="BC1465" s="379">
        <f>SUM(BC1463:BC1464)</f>
        <v>160661.94879254635</v>
      </c>
      <c r="BD1465" s="379">
        <f>SUM(BD1463:BD1464)</f>
        <v>166190.36730990361</v>
      </c>
      <c r="BE1465" s="379">
        <f>SUM(BE1463:BE1464)</f>
        <v>171942.50887217862</v>
      </c>
      <c r="BM1465"/>
      <c r="BN1465"/>
      <c r="BO1465"/>
      <c r="BP1465"/>
      <c r="BQ1465"/>
      <c r="BR1465"/>
    </row>
    <row r="1466" spans="1:70" s="369" customFormat="1" x14ac:dyDescent="0.2">
      <c r="A1466" s="411"/>
      <c r="D1466" s="378"/>
      <c r="E1466" s="378"/>
      <c r="F1466" s="378"/>
      <c r="G1466" s="378"/>
      <c r="H1466" s="378"/>
      <c r="I1466" s="379"/>
      <c r="J1466" s="379"/>
      <c r="K1466" s="379"/>
      <c r="L1466" s="379"/>
      <c r="M1466" s="379"/>
      <c r="N1466" s="379"/>
      <c r="O1466" s="379"/>
      <c r="P1466" s="379"/>
      <c r="Q1466" s="379"/>
      <c r="R1466" s="379"/>
      <c r="S1466" s="379"/>
      <c r="T1466" s="379"/>
      <c r="U1466" s="379"/>
      <c r="V1466" s="379"/>
      <c r="W1466" s="379"/>
      <c r="X1466" s="379"/>
      <c r="Y1466" s="379"/>
      <c r="Z1466" s="379"/>
      <c r="AA1466" s="379"/>
      <c r="AB1466" s="379"/>
      <c r="AC1466" s="517"/>
      <c r="AD1466" s="416"/>
      <c r="AE1466" s="416"/>
      <c r="AF1466" s="416"/>
      <c r="AG1466" s="416"/>
      <c r="AH1466" s="416"/>
      <c r="AI1466" s="517"/>
      <c r="AJ1466" s="517"/>
      <c r="AK1466" s="517"/>
      <c r="AL1466" s="517"/>
      <c r="AM1466" s="517"/>
      <c r="AN1466" s="517"/>
      <c r="AO1466" s="517"/>
      <c r="AP1466" s="517"/>
      <c r="AQ1466" s="517"/>
      <c r="AR1466" s="70"/>
      <c r="AU1466" s="416"/>
      <c r="AV1466" s="378"/>
      <c r="AX1466" s="663"/>
      <c r="AY1466" s="382"/>
      <c r="AZ1466" s="747"/>
      <c r="BC1466" s="517"/>
      <c r="BD1466" s="517"/>
      <c r="BE1466" s="517"/>
      <c r="BM1466"/>
      <c r="BN1466"/>
      <c r="BO1466"/>
      <c r="BP1466"/>
      <c r="BQ1466"/>
      <c r="BR1466"/>
    </row>
    <row r="1467" spans="1:70" s="369" customFormat="1" x14ac:dyDescent="0.2">
      <c r="A1467" s="830"/>
      <c r="B1467" s="369" t="s">
        <v>126</v>
      </c>
      <c r="D1467" s="378"/>
      <c r="E1467" s="378"/>
      <c r="F1467" s="378"/>
      <c r="G1467" s="378"/>
      <c r="H1467" s="378"/>
      <c r="I1467" s="437">
        <v>2410941</v>
      </c>
      <c r="J1467" s="437">
        <v>2432254</v>
      </c>
      <c r="K1467" s="437">
        <v>2456105</v>
      </c>
      <c r="L1467" s="437">
        <v>2454621</v>
      </c>
      <c r="M1467" s="437">
        <v>2498061</v>
      </c>
      <c r="N1467" s="437">
        <v>2485082</v>
      </c>
      <c r="O1467" s="437">
        <v>2492636</v>
      </c>
      <c r="P1467" s="437">
        <v>2406286</v>
      </c>
      <c r="Q1467" s="437">
        <v>2386189</v>
      </c>
      <c r="R1467" s="437">
        <v>2363506</v>
      </c>
      <c r="S1467" s="437">
        <v>2317849</v>
      </c>
      <c r="T1467" s="437">
        <v>2300427</v>
      </c>
      <c r="U1467" s="437">
        <v>2326929</v>
      </c>
      <c r="V1467" s="437">
        <v>2360520</v>
      </c>
      <c r="W1467" s="437">
        <v>2345391</v>
      </c>
      <c r="X1467" s="437">
        <v>2372177</v>
      </c>
      <c r="Y1467" s="437">
        <v>2418658</v>
      </c>
      <c r="Z1467" s="437">
        <v>2430582</v>
      </c>
      <c r="AA1467" s="437">
        <v>2432491</v>
      </c>
      <c r="AB1467" s="437">
        <v>2437858</v>
      </c>
      <c r="AC1467" s="379">
        <f t="shared" ref="AC1467:AE1467" si="3544">AC846*(1+AC1470)</f>
        <v>2447792.4859500397</v>
      </c>
      <c r="AD1467" s="379">
        <f t="shared" si="3544"/>
        <v>2458609.1480207602</v>
      </c>
      <c r="AE1467" s="379">
        <f t="shared" si="3544"/>
        <v>2473049.3220656528</v>
      </c>
      <c r="AF1467" s="379">
        <f t="shared" ref="AF1467:AI1467" si="3545">AF846*(1+AF1470)</f>
        <v>2488000.9499161048</v>
      </c>
      <c r="AG1467" s="379">
        <f t="shared" si="3545"/>
        <v>2506782.257808832</v>
      </c>
      <c r="AH1467" s="379">
        <f t="shared" si="3545"/>
        <v>2531937.9628942749</v>
      </c>
      <c r="AI1467" s="379">
        <f t="shared" si="3545"/>
        <v>2561194.2127412031</v>
      </c>
      <c r="AJ1467" s="379"/>
      <c r="AK1467" s="379"/>
      <c r="AL1467" s="379"/>
      <c r="AM1467" s="379"/>
      <c r="AN1467" s="379"/>
      <c r="AO1467" s="379"/>
      <c r="AP1467" s="379"/>
      <c r="AQ1467" s="379"/>
      <c r="AR1467" s="70"/>
      <c r="AS1467" s="369" t="s">
        <v>126</v>
      </c>
      <c r="AU1467" s="635">
        <f>G1467</f>
        <v>0</v>
      </c>
      <c r="AV1467" s="635">
        <f>K1467</f>
        <v>2456105</v>
      </c>
      <c r="AW1467" s="635">
        <f>O1467</f>
        <v>2492636</v>
      </c>
      <c r="AX1467" s="635">
        <f>S1467</f>
        <v>2317849</v>
      </c>
      <c r="AY1467" s="635">
        <f>W1467</f>
        <v>2345391</v>
      </c>
      <c r="AZ1467" s="379">
        <f>AA1467</f>
        <v>2432491</v>
      </c>
      <c r="BA1467" s="379">
        <f>AE1467</f>
        <v>2473049.3220656528</v>
      </c>
      <c r="BB1467" s="379">
        <f>AI1467</f>
        <v>2561194.2127412031</v>
      </c>
      <c r="BC1467" s="379">
        <f>BC846*(1+BC1470)</f>
        <v>2628175.546667276</v>
      </c>
      <c r="BD1467" s="379">
        <f>BD846*(1+BD1470)</f>
        <v>2715410.6443908382</v>
      </c>
      <c r="BE1467" s="379">
        <f>BE846*(1+BE1470)</f>
        <v>2801599.4503308227</v>
      </c>
      <c r="BM1467"/>
      <c r="BN1467"/>
      <c r="BO1467"/>
      <c r="BP1467"/>
      <c r="BQ1467"/>
      <c r="BR1467"/>
    </row>
    <row r="1468" spans="1:70" s="382" customFormat="1" x14ac:dyDescent="0.2">
      <c r="A1468" s="839"/>
      <c r="B1468" s="345" t="s">
        <v>128</v>
      </c>
      <c r="C1468" s="345"/>
      <c r="D1468" s="812"/>
      <c r="E1468" s="812"/>
      <c r="F1468" s="812"/>
      <c r="G1468" s="813"/>
      <c r="H1468" s="813"/>
      <c r="I1468" s="812">
        <f>I1465/I1467</f>
        <v>5.0780587330838872E-2</v>
      </c>
      <c r="J1468" s="812">
        <f t="shared" ref="J1468:W1468" si="3546">J1465/J1467</f>
        <v>5.2495750854968271E-2</v>
      </c>
      <c r="K1468" s="812">
        <f t="shared" si="3546"/>
        <v>5.4217551774048744E-2</v>
      </c>
      <c r="L1468" s="812">
        <f t="shared" si="3546"/>
        <v>5.7020615402540761E-2</v>
      </c>
      <c r="M1468" s="812">
        <f t="shared" si="3546"/>
        <v>5.8185128385575852E-2</v>
      </c>
      <c r="N1468" s="812">
        <f t="shared" si="3546"/>
        <v>5.9779516329843442E-2</v>
      </c>
      <c r="O1468" s="812">
        <f t="shared" si="3546"/>
        <v>5.9401372683376155E-2</v>
      </c>
      <c r="P1468" s="812">
        <f t="shared" si="3546"/>
        <v>6.4375140777114606E-2</v>
      </c>
      <c r="Q1468" s="812">
        <f t="shared" si="3546"/>
        <v>6.721638562578236E-2</v>
      </c>
      <c r="R1468" s="812">
        <f t="shared" si="3546"/>
        <v>6.8541818806468022E-2</v>
      </c>
      <c r="S1468" s="812">
        <f t="shared" si="3546"/>
        <v>7.0770787915865094E-2</v>
      </c>
      <c r="T1468" s="812">
        <f t="shared" si="3546"/>
        <v>7.4395753484027091E-2</v>
      </c>
      <c r="U1468" s="812">
        <f t="shared" si="3546"/>
        <v>7.4788272439769321E-2</v>
      </c>
      <c r="V1468" s="812">
        <f t="shared" si="3546"/>
        <v>7.4034534763526685E-2</v>
      </c>
      <c r="W1468" s="812">
        <f t="shared" si="3546"/>
        <v>7.2222499361513703E-2</v>
      </c>
      <c r="X1468" s="812">
        <f>X1465/X1467</f>
        <v>7.2699043958355553E-2</v>
      </c>
      <c r="Y1468" s="812">
        <f>Y1465/Y1467</f>
        <v>7.2407508626684713E-2</v>
      </c>
      <c r="Z1468" s="812">
        <f>Z1465/Z1467</f>
        <v>7.1114243419888729E-2</v>
      </c>
      <c r="AA1468" s="812">
        <f>AA1465/AA1467</f>
        <v>6.6753381615800425E-2</v>
      </c>
      <c r="AB1468" s="812">
        <f>AB1465/AB1467</f>
        <v>6.7057638303789635E-2</v>
      </c>
      <c r="AC1468" s="812">
        <f t="shared" ref="AC1468:AE1468" si="3547">AC1465/AC1467</f>
        <v>6.7303667318694804E-2</v>
      </c>
      <c r="AD1468" s="812">
        <f t="shared" si="3547"/>
        <v>6.6251250396167985E-2</v>
      </c>
      <c r="AE1468" s="812">
        <f t="shared" si="3547"/>
        <v>6.496684551731656E-2</v>
      </c>
      <c r="AF1468" s="812">
        <f t="shared" ref="AF1468:AI1468" si="3548">AF1465/AF1467</f>
        <v>6.5070441118979791E-2</v>
      </c>
      <c r="AG1468" s="812">
        <f t="shared" si="3548"/>
        <v>6.4030496074694104E-2</v>
      </c>
      <c r="AH1468" s="812">
        <f t="shared" si="3548"/>
        <v>6.2978383786886374E-2</v>
      </c>
      <c r="AI1468" s="812">
        <f t="shared" si="3548"/>
        <v>6.1745994999325496E-2</v>
      </c>
      <c r="AJ1468" s="812"/>
      <c r="AK1468" s="812"/>
      <c r="AL1468" s="812"/>
      <c r="AM1468" s="812"/>
      <c r="AN1468" s="812"/>
      <c r="AO1468" s="812"/>
      <c r="AP1468" s="812"/>
      <c r="AQ1468" s="812"/>
      <c r="AR1468" s="70"/>
      <c r="AS1468" s="345" t="s">
        <v>128</v>
      </c>
      <c r="AT1468" s="345"/>
      <c r="AU1468" s="635">
        <f>G1468</f>
        <v>0</v>
      </c>
      <c r="AV1468" s="812">
        <f t="shared" ref="AV1468:BA1468" si="3549">AV1465/AV1467</f>
        <v>5.4217551774048744E-2</v>
      </c>
      <c r="AW1468" s="812">
        <f t="shared" si="3549"/>
        <v>5.9401372683376155E-2</v>
      </c>
      <c r="AX1468" s="812">
        <f t="shared" si="3549"/>
        <v>7.0770787915865094E-2</v>
      </c>
      <c r="AY1468" s="812">
        <f t="shared" si="3549"/>
        <v>7.2222499361513703E-2</v>
      </c>
      <c r="AZ1468" s="812">
        <f t="shared" si="3549"/>
        <v>6.6753381615800425E-2</v>
      </c>
      <c r="BA1468" s="812">
        <f t="shared" si="3549"/>
        <v>6.496684551731656E-2</v>
      </c>
      <c r="BB1468" s="812">
        <f t="shared" ref="BB1468" si="3550">BB1465/BB1467</f>
        <v>6.1745994999325496E-2</v>
      </c>
      <c r="BC1468" s="812">
        <f>BC1465/BC1467</f>
        <v>6.113060027374418E-2</v>
      </c>
      <c r="BD1468" s="812">
        <f>BD1465/BD1467</f>
        <v>6.1202664743617789E-2</v>
      </c>
      <c r="BE1468" s="812">
        <f>BE1465/BE1467</f>
        <v>6.1372980656415763E-2</v>
      </c>
      <c r="BM1468"/>
      <c r="BN1468"/>
      <c r="BO1468"/>
      <c r="BP1468"/>
      <c r="BQ1468"/>
      <c r="BR1468"/>
    </row>
    <row r="1469" spans="1:70" s="382" customFormat="1" x14ac:dyDescent="0.2">
      <c r="A1469" s="837"/>
      <c r="B1469" s="345"/>
      <c r="C1469" s="674"/>
      <c r="D1469" s="582"/>
      <c r="E1469" s="490"/>
      <c r="F1469" s="490"/>
      <c r="G1469" s="490"/>
      <c r="H1469" s="490"/>
      <c r="J1469" s="490"/>
      <c r="K1469" s="490"/>
      <c r="L1469" s="490"/>
      <c r="M1469" s="490"/>
      <c r="N1469" s="490"/>
      <c r="O1469" s="490"/>
      <c r="P1469" s="490"/>
      <c r="Q1469" s="490"/>
      <c r="R1469" s="490"/>
      <c r="S1469" s="490"/>
      <c r="T1469" s="490"/>
      <c r="U1469" s="490"/>
      <c r="V1469" s="490"/>
      <c r="W1469" s="490"/>
      <c r="X1469" s="490"/>
      <c r="Y1469" s="490"/>
      <c r="Z1469" s="490"/>
      <c r="AA1469" s="490"/>
      <c r="AB1469" s="490"/>
      <c r="AC1469" s="490"/>
      <c r="AD1469" s="491"/>
      <c r="AE1469" s="491"/>
      <c r="AF1469" s="491"/>
      <c r="AG1469" s="491"/>
      <c r="AH1469" s="491"/>
      <c r="AI1469" s="490"/>
      <c r="AJ1469" s="490"/>
      <c r="AK1469" s="490"/>
      <c r="AL1469" s="490"/>
      <c r="AM1469" s="490"/>
      <c r="AN1469" s="490"/>
      <c r="AO1469" s="490"/>
      <c r="AP1469" s="490"/>
      <c r="AQ1469" s="490"/>
      <c r="AR1469" s="70"/>
      <c r="AS1469" s="345"/>
      <c r="AT1469" s="674"/>
      <c r="AU1469" s="491"/>
      <c r="AV1469" s="490"/>
      <c r="AW1469" s="369"/>
      <c r="AX1469" s="663"/>
      <c r="AZ1469" s="747"/>
      <c r="BC1469" s="490"/>
      <c r="BD1469" s="490"/>
      <c r="BE1469" s="490"/>
      <c r="BM1469"/>
      <c r="BN1469"/>
      <c r="BO1469"/>
      <c r="BP1469"/>
      <c r="BQ1469"/>
      <c r="BR1469"/>
    </row>
    <row r="1470" spans="1:70" x14ac:dyDescent="0.2">
      <c r="B1470" s="342" t="s">
        <v>426</v>
      </c>
      <c r="I1470" s="49">
        <f t="shared" ref="I1470:X1470" si="3551">I1467/I846-1</f>
        <v>0.27994608274355803</v>
      </c>
      <c r="J1470" s="49">
        <f t="shared" si="3551"/>
        <v>0.28069719097455503</v>
      </c>
      <c r="K1470" s="49">
        <f t="shared" si="3551"/>
        <v>0.30641450824053806</v>
      </c>
      <c r="L1470" s="49">
        <f t="shared" si="3551"/>
        <v>0.29573160753593508</v>
      </c>
      <c r="M1470" s="49">
        <f t="shared" si="3551"/>
        <v>0.3083175645985663</v>
      </c>
      <c r="N1470" s="49">
        <f t="shared" si="3551"/>
        <v>0.32009317372331014</v>
      </c>
      <c r="O1470" s="49">
        <f t="shared" si="3551"/>
        <v>0.35308962582938386</v>
      </c>
      <c r="P1470" s="49">
        <f t="shared" si="3551"/>
        <v>0.31361758182247956</v>
      </c>
      <c r="Q1470" s="49">
        <f t="shared" si="3551"/>
        <v>0.30437746327970827</v>
      </c>
      <c r="R1470" s="49">
        <f t="shared" si="3551"/>
        <v>0.306991543700466</v>
      </c>
      <c r="S1470" s="49">
        <f t="shared" si="3551"/>
        <v>0.33886068125761759</v>
      </c>
      <c r="T1470" s="49">
        <f t="shared" si="3551"/>
        <v>0.27732879058861148</v>
      </c>
      <c r="U1470" s="49">
        <f t="shared" si="3551"/>
        <v>0.2793963616090207</v>
      </c>
      <c r="V1470" s="49">
        <f t="shared" si="3551"/>
        <v>0.29833228554597979</v>
      </c>
      <c r="W1470" s="49">
        <f t="shared" si="3551"/>
        <v>0.30875570636752769</v>
      </c>
      <c r="X1470" s="49">
        <f t="shared" si="3551"/>
        <v>0.30233562945276882</v>
      </c>
      <c r="Y1470" s="49">
        <f t="shared" ref="Y1470:Z1470" si="3552">Y1467/Y846-1</f>
        <v>0.29751945079109454</v>
      </c>
      <c r="Z1470" s="49">
        <f t="shared" si="3552"/>
        <v>0.2866124301465276</v>
      </c>
      <c r="AA1470" s="49">
        <f t="shared" ref="AA1470:AB1470" si="3553">AA1467/AA846-1</f>
        <v>0.31981179115806935</v>
      </c>
      <c r="AB1470" s="49">
        <f t="shared" si="3553"/>
        <v>0.26832783241697644</v>
      </c>
      <c r="AC1470" s="49">
        <f t="shared" ref="AC1470:AE1470" si="3554">AB1470</f>
        <v>0.26832783241697644</v>
      </c>
      <c r="AD1470" s="49">
        <f t="shared" si="3554"/>
        <v>0.26832783241697644</v>
      </c>
      <c r="AE1470" s="49">
        <f t="shared" si="3554"/>
        <v>0.26832783241697644</v>
      </c>
      <c r="AF1470" s="49">
        <f t="shared" ref="AF1470" si="3555">AE1470</f>
        <v>0.26832783241697644</v>
      </c>
      <c r="AG1470" s="49">
        <f t="shared" ref="AG1470" si="3556">AF1470</f>
        <v>0.26832783241697644</v>
      </c>
      <c r="AH1470" s="49">
        <f t="shared" ref="AH1470" si="3557">AG1470</f>
        <v>0.26832783241697644</v>
      </c>
      <c r="AI1470" s="49">
        <f t="shared" ref="AI1470" si="3558">AH1470</f>
        <v>0.26832783241697644</v>
      </c>
      <c r="AJ1470" s="49"/>
      <c r="AK1470" s="49"/>
      <c r="AL1470" s="49"/>
      <c r="AM1470" s="49"/>
      <c r="AN1470" s="49"/>
      <c r="AO1470" s="49"/>
      <c r="AP1470" s="49"/>
      <c r="AQ1470" s="49"/>
      <c r="AS1470" s="342" t="s">
        <v>426</v>
      </c>
      <c r="AT1470" s="9"/>
      <c r="AV1470" s="49">
        <f t="shared" ref="AV1470:BA1470" si="3559">AV1467/AV846-1</f>
        <v>0.30641450824053806</v>
      </c>
      <c r="AW1470" s="49">
        <f t="shared" si="3559"/>
        <v>0.35308962582938386</v>
      </c>
      <c r="AX1470" s="49">
        <f t="shared" si="3559"/>
        <v>0.33886068125761759</v>
      </c>
      <c r="AY1470" s="49">
        <f t="shared" si="3559"/>
        <v>0.30875570636752769</v>
      </c>
      <c r="AZ1470" s="49">
        <f t="shared" si="3559"/>
        <v>0.31981179115806935</v>
      </c>
      <c r="BA1470" s="49">
        <f t="shared" si="3559"/>
        <v>0.26832783241697644</v>
      </c>
      <c r="BB1470" s="49">
        <f t="shared" ref="BB1470" si="3560">BB1467/BB846-1</f>
        <v>0.26832783241697644</v>
      </c>
      <c r="BC1470" s="49">
        <f>BB1470</f>
        <v>0.26832783241697644</v>
      </c>
      <c r="BD1470" s="49">
        <f>BC1470</f>
        <v>0.26832783241697644</v>
      </c>
      <c r="BE1470" s="49">
        <f>BD1470</f>
        <v>0.26832783241697644</v>
      </c>
    </row>
    <row r="1471" spans="1:70" x14ac:dyDescent="0.2">
      <c r="B1471" s="342" t="s">
        <v>427</v>
      </c>
      <c r="I1471" s="33">
        <f t="shared" ref="I1471:AE1471" si="3561">I1467-I846</f>
        <v>527314</v>
      </c>
      <c r="J1471" s="33">
        <f t="shared" si="3561"/>
        <v>533090</v>
      </c>
      <c r="K1471" s="33">
        <f t="shared" si="3561"/>
        <v>576070</v>
      </c>
      <c r="L1471" s="33">
        <f t="shared" si="3561"/>
        <v>560231</v>
      </c>
      <c r="M1471" s="33">
        <f t="shared" si="3561"/>
        <v>588692</v>
      </c>
      <c r="N1471" s="33">
        <f t="shared" si="3561"/>
        <v>602577</v>
      </c>
      <c r="O1471" s="33">
        <f t="shared" si="3561"/>
        <v>650455</v>
      </c>
      <c r="P1471" s="33">
        <f t="shared" si="3561"/>
        <v>574485</v>
      </c>
      <c r="Q1471" s="33">
        <f t="shared" si="3561"/>
        <v>556819</v>
      </c>
      <c r="R1471" s="33">
        <f t="shared" si="3561"/>
        <v>555150</v>
      </c>
      <c r="S1471" s="33">
        <f t="shared" si="3561"/>
        <v>586639</v>
      </c>
      <c r="T1471" s="33">
        <f t="shared" si="3561"/>
        <v>499460</v>
      </c>
      <c r="U1471" s="33">
        <f t="shared" si="3561"/>
        <v>508158</v>
      </c>
      <c r="V1471" s="33">
        <f t="shared" si="3561"/>
        <v>542403</v>
      </c>
      <c r="W1471" s="33">
        <f t="shared" si="3561"/>
        <v>553314</v>
      </c>
      <c r="X1471" s="33">
        <f t="shared" si="3561"/>
        <v>550698</v>
      </c>
      <c r="Y1471" s="33">
        <f t="shared" ref="Y1471:Z1471" si="3562">Y1467-Y846</f>
        <v>554595</v>
      </c>
      <c r="Z1471" s="33">
        <f t="shared" si="3562"/>
        <v>541449</v>
      </c>
      <c r="AA1471" s="33">
        <f t="shared" ref="AA1471:AB1471" si="3563">AA1467-AA846</f>
        <v>589432</v>
      </c>
      <c r="AB1471" s="33">
        <f t="shared" si="3563"/>
        <v>515754</v>
      </c>
      <c r="AC1471" s="33">
        <f t="shared" si="3561"/>
        <v>517855.74295085156</v>
      </c>
      <c r="AD1471" s="33">
        <f t="shared" si="3561"/>
        <v>520144.11935736192</v>
      </c>
      <c r="AE1471" s="33">
        <f t="shared" si="3561"/>
        <v>523199.08708901377</v>
      </c>
      <c r="AF1471" s="33">
        <f t="shared" ref="AF1471:AI1471" si="3564">AF1467-AF846</f>
        <v>526362.25814753398</v>
      </c>
      <c r="AG1471" s="33">
        <f t="shared" si="3564"/>
        <v>530335.63751208503</v>
      </c>
      <c r="AH1471" s="33">
        <f t="shared" si="3564"/>
        <v>535657.58633791399</v>
      </c>
      <c r="AI1471" s="33">
        <f t="shared" si="3564"/>
        <v>541847.0476943804</v>
      </c>
      <c r="AJ1471" s="33"/>
      <c r="AK1471" s="33"/>
      <c r="AL1471" s="33"/>
      <c r="AM1471" s="33"/>
      <c r="AN1471" s="33"/>
      <c r="AO1471" s="33"/>
      <c r="AP1471" s="33"/>
      <c r="AQ1471" s="33"/>
      <c r="AS1471" s="342" t="s">
        <v>427</v>
      </c>
      <c r="AT1471" s="9"/>
      <c r="AV1471" s="33">
        <f t="shared" ref="AV1471:BD1471" si="3565">AV1467-AV846</f>
        <v>576070</v>
      </c>
      <c r="AW1471" s="33">
        <f t="shared" si="3565"/>
        <v>650455</v>
      </c>
      <c r="AX1471" s="33">
        <f t="shared" si="3565"/>
        <v>586639</v>
      </c>
      <c r="AY1471" s="33">
        <f t="shared" si="3565"/>
        <v>553314</v>
      </c>
      <c r="AZ1471" s="33">
        <f t="shared" si="3565"/>
        <v>589432</v>
      </c>
      <c r="BA1471" s="33">
        <f t="shared" si="3565"/>
        <v>523199.08708901377</v>
      </c>
      <c r="BB1471" s="33">
        <f t="shared" ref="BB1471" si="3566">BB1467-BB846</f>
        <v>541847.0476943804</v>
      </c>
      <c r="BC1471" s="33">
        <f t="shared" si="3565"/>
        <v>556017.63962291251</v>
      </c>
      <c r="BD1471" s="33">
        <f t="shared" si="3565"/>
        <v>574473.12414716231</v>
      </c>
      <c r="BE1471" s="33">
        <f t="shared" ref="BE1471" si="3567">BE1467-BE846</f>
        <v>592707.25485484535</v>
      </c>
    </row>
    <row r="1472" spans="1:70" x14ac:dyDescent="0.2">
      <c r="B1472" s="342"/>
      <c r="I1472" s="33"/>
      <c r="J1472" s="33"/>
      <c r="K1472" s="33"/>
      <c r="L1472" s="33"/>
      <c r="M1472" s="33"/>
      <c r="N1472" s="33"/>
      <c r="O1472" s="33"/>
      <c r="P1472" s="33"/>
      <c r="Q1472" s="33"/>
      <c r="R1472" s="33"/>
      <c r="S1472" s="33"/>
      <c r="T1472" s="33"/>
      <c r="U1472" s="33"/>
      <c r="V1472" s="33"/>
      <c r="W1472" s="33"/>
      <c r="X1472" s="33"/>
      <c r="Y1472" s="33"/>
      <c r="Z1472" s="33"/>
      <c r="AA1472" s="33"/>
      <c r="AB1472" s="33"/>
      <c r="AS1472" s="342"/>
      <c r="AT1472" s="9"/>
      <c r="AV1472" s="33"/>
      <c r="AW1472" s="33"/>
      <c r="AX1472" s="33"/>
      <c r="AY1472" s="33"/>
      <c r="AZ1472" s="33"/>
      <c r="BA1472" s="33"/>
      <c r="BB1472" s="33"/>
      <c r="BC1472" s="9"/>
      <c r="BD1472" s="1704"/>
      <c r="BE1472" s="1702"/>
    </row>
    <row r="1473" spans="1:70" x14ac:dyDescent="0.2">
      <c r="B1473" s="342" t="s">
        <v>418</v>
      </c>
      <c r="I1473" s="33">
        <f t="shared" ref="I1473:AE1473" si="3568">I862</f>
        <v>4293</v>
      </c>
      <c r="J1473" s="33">
        <f t="shared" si="3568"/>
        <v>5243</v>
      </c>
      <c r="K1473" s="33">
        <f t="shared" si="3568"/>
        <v>6738</v>
      </c>
      <c r="L1473" s="33">
        <f t="shared" si="3568"/>
        <v>7218</v>
      </c>
      <c r="M1473" s="33">
        <f t="shared" si="3568"/>
        <v>8968</v>
      </c>
      <c r="N1473" s="33">
        <f t="shared" si="3568"/>
        <v>8968</v>
      </c>
      <c r="O1473" s="33">
        <f t="shared" si="3568"/>
        <v>10468</v>
      </c>
      <c r="P1473" s="33">
        <f t="shared" si="3568"/>
        <v>11968</v>
      </c>
      <c r="Q1473" s="33">
        <f t="shared" si="3568"/>
        <v>13968</v>
      </c>
      <c r="R1473" s="33">
        <f t="shared" si="3568"/>
        <v>15218</v>
      </c>
      <c r="S1473" s="33">
        <f t="shared" si="3568"/>
        <v>16718</v>
      </c>
      <c r="T1473" s="33">
        <f t="shared" si="3568"/>
        <v>17753</v>
      </c>
      <c r="U1473" s="33">
        <f t="shared" si="3568"/>
        <v>19253</v>
      </c>
      <c r="V1473" s="33">
        <f t="shared" si="3568"/>
        <v>19253</v>
      </c>
      <c r="W1473" s="33">
        <f t="shared" si="3568"/>
        <v>19253</v>
      </c>
      <c r="X1473" s="33">
        <f t="shared" si="3568"/>
        <v>19253</v>
      </c>
      <c r="Y1473" s="33">
        <f t="shared" ref="Y1473:Z1473" si="3569">Y862</f>
        <v>19253</v>
      </c>
      <c r="Z1473" s="33">
        <f t="shared" si="3569"/>
        <v>19253</v>
      </c>
      <c r="AA1473" s="33">
        <f t="shared" ref="AA1473:AB1473" si="3570">AA862</f>
        <v>19253</v>
      </c>
      <c r="AB1473" s="33">
        <f t="shared" si="3570"/>
        <v>19156</v>
      </c>
      <c r="AC1473" s="33">
        <f t="shared" si="3568"/>
        <v>19156</v>
      </c>
      <c r="AD1473" s="33">
        <f t="shared" si="3568"/>
        <v>19156</v>
      </c>
      <c r="AE1473" s="33">
        <f t="shared" si="3568"/>
        <v>19156</v>
      </c>
      <c r="AF1473" s="33">
        <f t="shared" ref="AF1473:AI1473" si="3571">AF862</f>
        <v>21156</v>
      </c>
      <c r="AG1473" s="33">
        <f t="shared" si="3571"/>
        <v>21156</v>
      </c>
      <c r="AH1473" s="33">
        <f t="shared" si="3571"/>
        <v>21156</v>
      </c>
      <c r="AI1473" s="33">
        <f t="shared" si="3571"/>
        <v>21156</v>
      </c>
      <c r="AJ1473" s="33"/>
      <c r="AK1473" s="33"/>
      <c r="AL1473" s="33"/>
      <c r="AM1473" s="33"/>
      <c r="AN1473" s="33"/>
      <c r="AO1473" s="33"/>
      <c r="AP1473" s="33"/>
      <c r="AQ1473" s="33"/>
      <c r="AS1473" s="342" t="s">
        <v>418</v>
      </c>
      <c r="AT1473" s="9"/>
      <c r="AV1473" s="33">
        <f t="shared" ref="AV1473:BD1473" si="3572">AV862</f>
        <v>6738</v>
      </c>
      <c r="AW1473" s="33">
        <f t="shared" si="3572"/>
        <v>10468</v>
      </c>
      <c r="AX1473" s="33">
        <f t="shared" si="3572"/>
        <v>16718</v>
      </c>
      <c r="AY1473" s="33">
        <f t="shared" si="3572"/>
        <v>19253</v>
      </c>
      <c r="AZ1473" s="33">
        <f t="shared" si="3572"/>
        <v>19253</v>
      </c>
      <c r="BA1473" s="33">
        <f t="shared" si="3572"/>
        <v>19156</v>
      </c>
      <c r="BB1473" s="33">
        <f t="shared" ref="BB1473" si="3573">BB862</f>
        <v>21156</v>
      </c>
      <c r="BC1473" s="33">
        <f t="shared" si="3572"/>
        <v>21156</v>
      </c>
      <c r="BD1473" s="33">
        <f t="shared" si="3572"/>
        <v>21156</v>
      </c>
      <c r="BE1473" s="33">
        <f t="shared" ref="BE1473" si="3574">BE862</f>
        <v>21156</v>
      </c>
    </row>
    <row r="1474" spans="1:70" x14ac:dyDescent="0.2">
      <c r="B1474" s="334" t="s">
        <v>850</v>
      </c>
      <c r="I1474" s="49">
        <f t="shared" ref="I1474:N1474" si="3575">I1464/I1473</f>
        <v>1.2657815047752154</v>
      </c>
      <c r="J1474" s="49">
        <f t="shared" si="3575"/>
        <v>1.2134274270455845</v>
      </c>
      <c r="K1474" s="49">
        <f t="shared" si="3575"/>
        <v>1.1598397150489759</v>
      </c>
      <c r="L1474" s="49">
        <f t="shared" si="3575"/>
        <v>1.1469936270435024</v>
      </c>
      <c r="M1474" s="49">
        <f t="shared" si="3575"/>
        <v>1.116413916146298</v>
      </c>
      <c r="N1474" s="49">
        <f t="shared" si="3575"/>
        <v>1.1161909009812667</v>
      </c>
      <c r="O1474" s="49">
        <f t="shared" ref="O1474:W1474" si="3576">O1464/O1473</f>
        <v>1.0956247611769201</v>
      </c>
      <c r="P1474" s="49">
        <f t="shared" si="3576"/>
        <v>1.0828877005347595</v>
      </c>
      <c r="Q1474" s="49">
        <f t="shared" si="3576"/>
        <v>1.0707331042382588</v>
      </c>
      <c r="R1474" s="49">
        <f t="shared" si="3576"/>
        <v>1.0216848468918387</v>
      </c>
      <c r="S1474" s="49">
        <f t="shared" si="3576"/>
        <v>1.0270965426486423</v>
      </c>
      <c r="T1474" s="49">
        <f t="shared" si="3576"/>
        <v>1.0206162338759646</v>
      </c>
      <c r="U1474" s="49">
        <f t="shared" si="3576"/>
        <v>1.0124655897782164</v>
      </c>
      <c r="V1474" s="49">
        <f t="shared" si="3576"/>
        <v>1.0194774840284631</v>
      </c>
      <c r="W1474" s="49">
        <f t="shared" si="3576"/>
        <v>1.0322547135511349</v>
      </c>
      <c r="X1474" s="49">
        <f>X1464/X1473</f>
        <v>1.0279436970861684</v>
      </c>
      <c r="Y1474" s="49">
        <f>Y1464/Y1473</f>
        <v>1.036461850101283</v>
      </c>
      <c r="Z1474" s="49">
        <f>Z1464/Z1473</f>
        <v>1.0032202773593726</v>
      </c>
      <c r="AA1474" s="49">
        <f>AA1464/AA1473</f>
        <v>1.015685867137589</v>
      </c>
      <c r="AB1474" s="49">
        <f>AB1464/AB1473</f>
        <v>1.0101273752349134</v>
      </c>
      <c r="AC1474" s="49">
        <f t="shared" ref="AC1474:AE1474" si="3577">AB1474</f>
        <v>1.0101273752349134</v>
      </c>
      <c r="AD1474" s="49">
        <f t="shared" si="3577"/>
        <v>1.0101273752349134</v>
      </c>
      <c r="AE1474" s="49">
        <f t="shared" si="3577"/>
        <v>1.0101273752349134</v>
      </c>
      <c r="AF1474" s="49">
        <f t="shared" ref="AF1474" si="3578">AE1474</f>
        <v>1.0101273752349134</v>
      </c>
      <c r="AG1474" s="49">
        <f t="shared" ref="AG1474" si="3579">AF1474</f>
        <v>1.0101273752349134</v>
      </c>
      <c r="AH1474" s="49">
        <f t="shared" ref="AH1474" si="3580">AG1474</f>
        <v>1.0101273752349134</v>
      </c>
      <c r="AI1474" s="49">
        <f t="shared" ref="AI1474" si="3581">AH1474</f>
        <v>1.0101273752349134</v>
      </c>
      <c r="AJ1474" s="49"/>
      <c r="AK1474" s="49"/>
      <c r="AL1474" s="49"/>
      <c r="AM1474" s="49"/>
      <c r="AN1474" s="49"/>
      <c r="AO1474" s="49"/>
      <c r="AP1474" s="49"/>
      <c r="AQ1474" s="49"/>
      <c r="AS1474" s="334" t="s">
        <v>850</v>
      </c>
      <c r="AT1474" s="9"/>
      <c r="AV1474" s="49">
        <f t="shared" ref="AV1474:BA1474" si="3582">AV1464/AV1473</f>
        <v>1.1598397150489759</v>
      </c>
      <c r="AW1474" s="49">
        <f t="shared" si="3582"/>
        <v>1.0956247611769201</v>
      </c>
      <c r="AX1474" s="49">
        <f t="shared" si="3582"/>
        <v>1.0270965426486423</v>
      </c>
      <c r="AY1474" s="49">
        <f t="shared" si="3582"/>
        <v>1.0322547135511349</v>
      </c>
      <c r="AZ1474" s="49">
        <f t="shared" si="3582"/>
        <v>1.015685867137589</v>
      </c>
      <c r="BA1474" s="49">
        <f t="shared" si="3582"/>
        <v>1.0101273752349134</v>
      </c>
      <c r="BB1474" s="49">
        <f t="shared" ref="BB1474" si="3583">BB1464/BB1473</f>
        <v>1.0101273752349134</v>
      </c>
      <c r="BC1474" s="49">
        <f>BB1474</f>
        <v>1.0101273752349134</v>
      </c>
      <c r="BD1474" s="49">
        <f>BC1474</f>
        <v>1.0101273752349134</v>
      </c>
      <c r="BE1474" s="49">
        <f>BD1474</f>
        <v>1.0101273752349134</v>
      </c>
    </row>
    <row r="1475" spans="1:70" x14ac:dyDescent="0.2">
      <c r="B1475" s="334"/>
      <c r="C1475" s="15"/>
      <c r="D1475" s="15"/>
      <c r="E1475" s="15"/>
      <c r="F1475" s="15"/>
      <c r="G1475" s="15"/>
      <c r="H1475" s="15"/>
      <c r="I1475" s="37"/>
      <c r="J1475" s="37"/>
      <c r="K1475" s="37"/>
      <c r="L1475" s="37"/>
      <c r="M1475" s="37"/>
      <c r="N1475" s="37"/>
      <c r="O1475" s="109"/>
      <c r="P1475" s="109"/>
      <c r="Q1475" s="109"/>
      <c r="R1475" s="109"/>
      <c r="S1475" s="109"/>
      <c r="T1475" s="109"/>
      <c r="U1475" s="109"/>
      <c r="V1475" s="109"/>
      <c r="W1475" s="109"/>
      <c r="Y1475" s="1215"/>
      <c r="Z1475" s="1688"/>
      <c r="AA1475" s="1742"/>
      <c r="AB1475" s="1785"/>
      <c r="AS1475" s="342"/>
      <c r="AT1475" s="15"/>
      <c r="AV1475" s="109"/>
      <c r="AW1475" s="109"/>
      <c r="AX1475" s="109"/>
      <c r="AY1475" s="109"/>
      <c r="AZ1475" s="109"/>
      <c r="BA1475" s="109"/>
      <c r="BB1475" s="109"/>
      <c r="BC1475" s="9"/>
      <c r="BD1475" s="1704"/>
      <c r="BE1475" s="1702"/>
    </row>
    <row r="1476" spans="1:70" x14ac:dyDescent="0.2">
      <c r="B1476" s="18"/>
      <c r="C1476" s="15"/>
      <c r="D1476" s="15"/>
      <c r="E1476" s="15"/>
      <c r="F1476" s="15"/>
      <c r="G1476" s="15"/>
      <c r="H1476" s="15"/>
      <c r="I1476" s="15"/>
      <c r="J1476" s="15"/>
      <c r="K1476" s="15"/>
      <c r="L1476" s="15"/>
      <c r="M1476" s="15"/>
      <c r="N1476" s="15"/>
      <c r="O1476" s="15"/>
      <c r="P1476" s="15"/>
      <c r="Q1476" s="15"/>
      <c r="R1476" s="15"/>
      <c r="S1476" s="15"/>
      <c r="T1476" s="15"/>
      <c r="U1476" s="15"/>
      <c r="V1476" s="15"/>
      <c r="W1476" s="15"/>
      <c r="X1476" s="15"/>
      <c r="Y1476" s="15"/>
      <c r="Z1476" s="15"/>
      <c r="AA1476" s="15"/>
      <c r="AB1476" s="15"/>
      <c r="AC1476" s="15"/>
      <c r="AD1476" s="15"/>
      <c r="AE1476" s="15"/>
      <c r="AF1476" s="15"/>
      <c r="AG1476" s="15"/>
      <c r="AH1476" s="15"/>
      <c r="AI1476" s="15"/>
      <c r="AJ1476" s="15"/>
      <c r="AK1476" s="15"/>
      <c r="AL1476" s="15"/>
      <c r="AM1476" s="15"/>
      <c r="AN1476" s="15"/>
      <c r="AO1476" s="15"/>
      <c r="AP1476" s="15"/>
      <c r="AQ1476" s="15"/>
      <c r="AS1476" s="18"/>
      <c r="AT1476" s="15"/>
      <c r="BC1476" s="15"/>
      <c r="BD1476" s="15"/>
      <c r="BE1476" s="15"/>
    </row>
    <row r="1477" spans="1:70" x14ac:dyDescent="0.2">
      <c r="A1477" s="411" t="s">
        <v>194</v>
      </c>
      <c r="B1477" s="13" t="s">
        <v>467</v>
      </c>
      <c r="C1477" s="13"/>
      <c r="D1477" s="14"/>
      <c r="E1477" s="14"/>
      <c r="F1477" s="14"/>
      <c r="G1477" s="14"/>
      <c r="H1477" s="14"/>
      <c r="I1477" s="14"/>
      <c r="J1477" s="14"/>
      <c r="K1477" s="14"/>
      <c r="L1477" s="14"/>
      <c r="M1477" s="14"/>
      <c r="N1477" s="14"/>
      <c r="O1477" s="14"/>
      <c r="P1477" s="14"/>
      <c r="Q1477" s="14"/>
      <c r="R1477" s="14"/>
      <c r="S1477" s="14"/>
      <c r="T1477" s="14"/>
      <c r="U1477" s="14"/>
      <c r="V1477" s="14"/>
      <c r="W1477" s="14"/>
      <c r="X1477" s="14"/>
      <c r="Y1477" s="14"/>
      <c r="Z1477" s="14"/>
      <c r="AA1477" s="14"/>
      <c r="AB1477" s="14"/>
      <c r="AC1477" s="14"/>
      <c r="AD1477" s="14"/>
      <c r="AE1477" s="14"/>
      <c r="AF1477" s="14"/>
      <c r="AG1477" s="14"/>
      <c r="AH1477" s="14"/>
      <c r="AI1477" s="14"/>
      <c r="AJ1477" s="14"/>
      <c r="AK1477" s="14"/>
      <c r="AL1477" s="14"/>
      <c r="AM1477" s="14"/>
      <c r="AN1477" s="14"/>
      <c r="AO1477" s="14"/>
      <c r="AP1477" s="14"/>
      <c r="AQ1477" s="14"/>
      <c r="AS1477" s="13" t="s">
        <v>467</v>
      </c>
      <c r="AT1477" s="13"/>
      <c r="AU1477" s="13"/>
      <c r="AV1477" s="13"/>
      <c r="AW1477" s="13"/>
      <c r="AX1477" s="13"/>
      <c r="AY1477" s="13"/>
      <c r="AZ1477" s="13"/>
      <c r="BA1477" s="13"/>
      <c r="BB1477" s="13"/>
      <c r="BC1477" s="14"/>
      <c r="BD1477" s="14"/>
      <c r="BE1477" s="14"/>
    </row>
    <row r="1478" spans="1:70" x14ac:dyDescent="0.2">
      <c r="B1478" s="16"/>
      <c r="C1478" s="16"/>
      <c r="D1478" s="15"/>
      <c r="E1478" s="15"/>
      <c r="F1478" s="15"/>
      <c r="G1478" s="15"/>
      <c r="H1478" s="15"/>
      <c r="I1478" s="15"/>
      <c r="J1478" s="15"/>
      <c r="K1478" s="15"/>
      <c r="L1478" s="15"/>
      <c r="M1478" s="15"/>
      <c r="N1478" s="15"/>
      <c r="O1478" s="15"/>
      <c r="P1478" s="15"/>
      <c r="Q1478" s="15"/>
      <c r="R1478" s="15"/>
      <c r="S1478" s="15"/>
      <c r="T1478" s="15"/>
      <c r="U1478" s="15"/>
      <c r="V1478" s="15"/>
      <c r="W1478" s="15"/>
      <c r="X1478" s="15"/>
      <c r="Y1478" s="15"/>
      <c r="Z1478" s="15"/>
      <c r="AA1478" s="15"/>
      <c r="AB1478" s="15"/>
      <c r="AC1478" s="15"/>
      <c r="AD1478" s="15"/>
      <c r="AE1478" s="15"/>
      <c r="AF1478" s="15"/>
      <c r="AG1478" s="15"/>
      <c r="AH1478" s="15"/>
      <c r="AI1478" s="15"/>
      <c r="AJ1478" s="15"/>
      <c r="AK1478" s="15"/>
      <c r="AL1478" s="15"/>
      <c r="AM1478" s="15"/>
      <c r="AN1478" s="15"/>
      <c r="AO1478" s="15"/>
      <c r="AP1478" s="15"/>
      <c r="AQ1478" s="15"/>
      <c r="AS1478" s="16"/>
      <c r="AT1478" s="16"/>
      <c r="AU1478" s="16"/>
      <c r="AV1478" s="16"/>
      <c r="AW1478" s="16"/>
      <c r="AX1478" s="16"/>
      <c r="AY1478" s="16"/>
      <c r="AZ1478" s="16"/>
      <c r="BA1478" s="16"/>
      <c r="BB1478" s="16"/>
      <c r="BC1478" s="15"/>
      <c r="BD1478" s="15"/>
      <c r="BE1478" s="15"/>
    </row>
    <row r="1479" spans="1:70" x14ac:dyDescent="0.2">
      <c r="B1479" s="110" t="s">
        <v>995</v>
      </c>
      <c r="D1479" s="81"/>
      <c r="E1479" s="81"/>
      <c r="F1479" s="81"/>
      <c r="G1479" s="81"/>
      <c r="H1479" s="81"/>
      <c r="I1479" s="81"/>
      <c r="J1479" s="81"/>
      <c r="K1479" s="81"/>
      <c r="L1479" s="81"/>
      <c r="M1479" s="81"/>
      <c r="N1479" s="81"/>
      <c r="O1479" s="81"/>
      <c r="P1479" s="81"/>
      <c r="Q1479" s="81"/>
      <c r="R1479" s="81"/>
      <c r="S1479" s="81"/>
      <c r="T1479" s="81"/>
      <c r="U1479" s="81"/>
      <c r="V1479" s="81"/>
      <c r="W1479" s="81"/>
      <c r="Y1479" s="1215"/>
      <c r="AB1479" s="1785"/>
      <c r="AS1479" s="10"/>
      <c r="AT1479" s="9"/>
      <c r="BC1479" s="9"/>
      <c r="BD1479" s="1704"/>
      <c r="BE1479" s="1702"/>
    </row>
    <row r="1480" spans="1:70" x14ac:dyDescent="0.2">
      <c r="B1480" s="35" t="s">
        <v>462</v>
      </c>
      <c r="D1480" s="108">
        <f t="shared" ref="D1480:AE1480" si="3584">IFERROR(D797/D896*D1,"NA")</f>
        <v>7.0034338503843678E-3</v>
      </c>
      <c r="E1480" s="108">
        <f t="shared" si="3584"/>
        <v>6.2299623032361405E-3</v>
      </c>
      <c r="F1480" s="108">
        <f t="shared" si="3584"/>
        <v>6.8172565021563797E-3</v>
      </c>
      <c r="G1480" s="108">
        <f t="shared" si="3584"/>
        <v>3.1965557842470599E-3</v>
      </c>
      <c r="H1480" s="108">
        <f t="shared" si="3584"/>
        <v>8.4451334416884554E-3</v>
      </c>
      <c r="I1480" s="108">
        <f t="shared" si="3584"/>
        <v>7.9695937324037805E-3</v>
      </c>
      <c r="J1480" s="108">
        <f t="shared" si="3584"/>
        <v>6.430374145757878E-3</v>
      </c>
      <c r="K1480" s="108">
        <f t="shared" si="3584"/>
        <v>4.7427977616064845E-3</v>
      </c>
      <c r="L1480" s="108">
        <f t="shared" si="3584"/>
        <v>8.434129463891684E-3</v>
      </c>
      <c r="M1480" s="108">
        <f t="shared" si="3584"/>
        <v>2.5710117130282108E-4</v>
      </c>
      <c r="N1480" s="108">
        <f t="shared" si="3584"/>
        <v>6.0973994246941096E-3</v>
      </c>
      <c r="O1480" s="108">
        <f t="shared" si="3584"/>
        <v>3.7373068281142027E-4</v>
      </c>
      <c r="P1480" s="108">
        <f t="shared" si="3584"/>
        <v>1.0137247495188243E-2</v>
      </c>
      <c r="Q1480" s="108">
        <f t="shared" si="3584"/>
        <v>9.5450942491220794E-3</v>
      </c>
      <c r="R1480" s="108">
        <f t="shared" si="3584"/>
        <v>8.6050326134776856E-3</v>
      </c>
      <c r="S1480" s="108">
        <f t="shared" si="3584"/>
        <v>7.0862949542994571E-3</v>
      </c>
      <c r="T1480" s="108">
        <f t="shared" si="3584"/>
        <v>7.3602016795086102E-3</v>
      </c>
      <c r="U1480" s="108">
        <f t="shared" si="3584"/>
        <v>8.1138338229025993E-3</v>
      </c>
      <c r="V1480" s="108">
        <f t="shared" si="3584"/>
        <v>7.8078423360716104E-3</v>
      </c>
      <c r="W1480" s="108">
        <f t="shared" si="3584"/>
        <v>7.0108158087128537E-3</v>
      </c>
      <c r="X1480" s="108">
        <f t="shared" si="3584"/>
        <v>8.3122716292168917E-3</v>
      </c>
      <c r="Y1480" s="108">
        <f t="shared" ref="Y1480" si="3585">IFERROR(Y797/Y896*Y1,"NA")</f>
        <v>7.4739325515058453E-3</v>
      </c>
      <c r="Z1480" s="108">
        <f t="shared" si="3584"/>
        <v>7.9943259755209332E-3</v>
      </c>
      <c r="AA1480" s="108">
        <f t="shared" si="3584"/>
        <v>7.2255259760809227E-3</v>
      </c>
      <c r="AB1480" s="108">
        <f t="shared" ref="AB1480" si="3586">IFERROR(AB797/AB896*AB1,"NA")</f>
        <v>9.1666374913932942E-3</v>
      </c>
      <c r="AC1480" s="108">
        <f t="shared" si="3584"/>
        <v>8.5864757462599198E-3</v>
      </c>
      <c r="AD1480" s="108">
        <f t="shared" si="3584"/>
        <v>8.7431911308497139E-3</v>
      </c>
      <c r="AE1480" s="108">
        <f t="shared" si="3584"/>
        <v>8.2447643058338859E-3</v>
      </c>
      <c r="AF1480" s="108">
        <f t="shared" ref="AF1480:AI1480" si="3587">IFERROR(AF797/AF896*AF1,"NA")</f>
        <v>9.5694262992972144E-3</v>
      </c>
      <c r="AG1480" s="108">
        <f t="shared" si="3587"/>
        <v>9.567425815881915E-3</v>
      </c>
      <c r="AH1480" s="108">
        <f t="shared" si="3587"/>
        <v>9.3019940902635476E-3</v>
      </c>
      <c r="AI1480" s="108">
        <f t="shared" si="3587"/>
        <v>8.6169576113157304E-3</v>
      </c>
      <c r="AJ1480" s="108"/>
      <c r="AK1480" s="108"/>
      <c r="AL1480" s="108"/>
      <c r="AM1480" s="108"/>
      <c r="AN1480" s="108"/>
      <c r="AO1480" s="108"/>
      <c r="AP1480" s="108"/>
      <c r="AQ1480" s="108"/>
      <c r="AS1480" s="35" t="s">
        <v>462</v>
      </c>
      <c r="AT1480" s="9"/>
      <c r="AU1480" s="108">
        <f t="shared" ref="AU1480:BD1480" si="3588">IFERROR(AU797/AU896*AU1,"NA")</f>
        <v>5.809465241341411E-3</v>
      </c>
      <c r="AV1480" s="108">
        <f t="shared" si="3588"/>
        <v>6.8885111807510486E-3</v>
      </c>
      <c r="AW1480" s="108">
        <f t="shared" si="3588"/>
        <v>3.7647617039223958E-3</v>
      </c>
      <c r="AX1480" s="108">
        <f t="shared" si="3588"/>
        <v>8.8498389418134472E-3</v>
      </c>
      <c r="AY1480" s="108">
        <f t="shared" si="3588"/>
        <v>7.5732905776168292E-3</v>
      </c>
      <c r="AZ1480" s="108">
        <f t="shared" si="3588"/>
        <v>7.7453411181316488E-3</v>
      </c>
      <c r="BA1480" s="108">
        <f t="shared" si="3588"/>
        <v>8.6817305009276834E-3</v>
      </c>
      <c r="BB1480" s="108">
        <f t="shared" ref="BB1480" si="3589">IFERROR(BB797/BB896*BB1,"NA")</f>
        <v>9.2583138974978683E-3</v>
      </c>
      <c r="BC1480" s="108">
        <f t="shared" si="3588"/>
        <v>9.7594388686361513E-3</v>
      </c>
      <c r="BD1480" s="108">
        <f t="shared" si="3588"/>
        <v>1.0001506317984653E-2</v>
      </c>
      <c r="BE1480" s="108">
        <f t="shared" ref="BE1480" si="3590">IFERROR(BE797/BE896*BE1,"NA")</f>
        <v>9.9506674648210947E-3</v>
      </c>
    </row>
    <row r="1481" spans="1:70" x14ac:dyDescent="0.2">
      <c r="B1481" s="35" t="s">
        <v>463</v>
      </c>
      <c r="D1481" s="108" t="str">
        <f t="shared" ref="D1481:AE1481" si="3591">IFERROR(D797/D922*D1,"NA")</f>
        <v>NA</v>
      </c>
      <c r="E1481" s="60">
        <f t="shared" si="3591"/>
        <v>6.5507116190875E-2</v>
      </c>
      <c r="F1481" s="60">
        <f t="shared" si="3591"/>
        <v>7.0474215854650635E-2</v>
      </c>
      <c r="G1481" s="60">
        <f t="shared" si="3591"/>
        <v>3.2718966392094373E-2</v>
      </c>
      <c r="H1481" s="60">
        <f t="shared" si="3591"/>
        <v>8.4754542580132319E-2</v>
      </c>
      <c r="I1481" s="60">
        <f t="shared" si="3591"/>
        <v>7.9414271560196661E-2</v>
      </c>
      <c r="J1481" s="60">
        <f t="shared" si="3591"/>
        <v>6.1790337704316148E-2</v>
      </c>
      <c r="K1481" s="60">
        <f t="shared" si="3591"/>
        <v>4.5626364545683126E-2</v>
      </c>
      <c r="L1481" s="60">
        <f t="shared" si="3591"/>
        <v>8.0000435344625503E-2</v>
      </c>
      <c r="M1481" s="60">
        <f t="shared" si="3591"/>
        <v>2.4288150736856023E-3</v>
      </c>
      <c r="N1481" s="60">
        <f t="shared" si="3591"/>
        <v>5.7070531296000156E-2</v>
      </c>
      <c r="O1481" s="60">
        <f t="shared" si="3591"/>
        <v>3.5272093686913373E-3</v>
      </c>
      <c r="P1481" s="60">
        <f t="shared" si="3591"/>
        <v>9.3373661158455704E-2</v>
      </c>
      <c r="Q1481" s="60">
        <f t="shared" si="3591"/>
        <v>8.6052816742509086E-2</v>
      </c>
      <c r="R1481" s="60">
        <f t="shared" si="3591"/>
        <v>7.6124131258655151E-2</v>
      </c>
      <c r="S1481" s="60">
        <f t="shared" si="3591"/>
        <v>6.1562951863244404E-2</v>
      </c>
      <c r="T1481" s="60">
        <f t="shared" si="3591"/>
        <v>6.3066966679333758E-2</v>
      </c>
      <c r="U1481" s="60">
        <f t="shared" si="3591"/>
        <v>6.9431785059477988E-2</v>
      </c>
      <c r="V1481" s="60">
        <f t="shared" si="3591"/>
        <v>6.7253454083487318E-2</v>
      </c>
      <c r="W1481" s="60">
        <f t="shared" si="3591"/>
        <v>6.1016825448281291E-2</v>
      </c>
      <c r="X1481" s="60">
        <f t="shared" si="3591"/>
        <v>7.3377172748836372E-2</v>
      </c>
      <c r="Y1481" s="60">
        <f t="shared" ref="Y1481" si="3592">IFERROR(Y797/Y922*Y1,"NA")</f>
        <v>6.6581394870782323E-2</v>
      </c>
      <c r="Z1481" s="60">
        <f t="shared" si="3591"/>
        <v>7.2183091103971919E-2</v>
      </c>
      <c r="AA1481" s="60">
        <f t="shared" si="3591"/>
        <v>7.0785942711490746E-2</v>
      </c>
      <c r="AB1481" s="60">
        <f t="shared" ref="AB1481" si="3593">IFERROR(AB797/AB922*AB1,"NA")</f>
        <v>9.5842431275078438E-2</v>
      </c>
      <c r="AC1481" s="60">
        <f t="shared" si="3591"/>
        <v>8.9533599314993786E-2</v>
      </c>
      <c r="AD1481" s="60">
        <f t="shared" si="3591"/>
        <v>9.1748032875393112E-2</v>
      </c>
      <c r="AE1481" s="60">
        <f t="shared" si="3591"/>
        <v>8.8032690844670691E-2</v>
      </c>
      <c r="AF1481" s="60">
        <f t="shared" ref="AF1481:AI1481" si="3594">IFERROR(AF797/AF922*AF1,"NA")</f>
        <v>0.10368875838521836</v>
      </c>
      <c r="AG1481" s="60">
        <f t="shared" si="3594"/>
        <v>0.10512147930278029</v>
      </c>
      <c r="AH1481" s="60">
        <f t="shared" si="3594"/>
        <v>0.10397619053411715</v>
      </c>
      <c r="AI1481" s="60">
        <f t="shared" si="3594"/>
        <v>9.811996443253522E-2</v>
      </c>
      <c r="AJ1481" s="60"/>
      <c r="AK1481" s="60"/>
      <c r="AL1481" s="60"/>
      <c r="AM1481" s="60"/>
      <c r="AN1481" s="60"/>
      <c r="AO1481" s="60"/>
      <c r="AP1481" s="60"/>
      <c r="AQ1481" s="60"/>
      <c r="AS1481" s="35" t="s">
        <v>463</v>
      </c>
      <c r="AT1481" s="9"/>
      <c r="AU1481" s="60">
        <f t="shared" ref="AU1481:BD1481" si="3595">IFERROR(AU797/AU922*AU1,"NA")</f>
        <v>6.0207798265906928E-2</v>
      </c>
      <c r="AV1481" s="60">
        <f t="shared" si="3595"/>
        <v>6.7539180106433186E-2</v>
      </c>
      <c r="AW1481" s="60">
        <f t="shared" si="3595"/>
        <v>3.5510071899069046E-2</v>
      </c>
      <c r="AX1481" s="60">
        <f t="shared" si="3595"/>
        <v>7.9104905523522936E-2</v>
      </c>
      <c r="AY1481" s="60">
        <f t="shared" si="3595"/>
        <v>6.5210793724091887E-2</v>
      </c>
      <c r="AZ1481" s="60">
        <f t="shared" si="3595"/>
        <v>7.0711680497698076E-2</v>
      </c>
      <c r="BA1481" s="60">
        <f t="shared" si="3595"/>
        <v>9.1271346708619042E-2</v>
      </c>
      <c r="BB1481" s="60">
        <f t="shared" ref="BB1481" si="3596">IFERROR(BB797/BB922*BB1,"NA")</f>
        <v>0.10272367117557889</v>
      </c>
      <c r="BC1481" s="60">
        <f t="shared" si="3595"/>
        <v>0.11200174666265739</v>
      </c>
      <c r="BD1481" s="60">
        <f t="shared" si="3595"/>
        <v>0.11610346159802784</v>
      </c>
      <c r="BE1481" s="60">
        <f t="shared" ref="BE1481" si="3597">IFERROR(BE797/BE922*BE1,"NA")</f>
        <v>0.11571915120217997</v>
      </c>
    </row>
    <row r="1482" spans="1:70" x14ac:dyDescent="0.2">
      <c r="B1482" s="35" t="s">
        <v>845</v>
      </c>
      <c r="D1482" s="60" t="str">
        <f t="shared" ref="D1482:AE1482" si="3598">IFERROR(D797/(D922-D1452)*D1,"NA")</f>
        <v>NA</v>
      </c>
      <c r="E1482" s="60">
        <f t="shared" si="3598"/>
        <v>6.5507116190875E-2</v>
      </c>
      <c r="F1482" s="60">
        <f t="shared" si="3598"/>
        <v>7.0474215854650635E-2</v>
      </c>
      <c r="G1482" s="60">
        <f t="shared" si="3598"/>
        <v>3.2718966392094373E-2</v>
      </c>
      <c r="H1482" s="60">
        <f t="shared" si="3598"/>
        <v>9.7703557452282055E-2</v>
      </c>
      <c r="I1482" s="60">
        <f t="shared" si="3598"/>
        <v>0.10577107888005828</v>
      </c>
      <c r="J1482" s="60">
        <f t="shared" si="3598"/>
        <v>8.0453866281888262E-2</v>
      </c>
      <c r="K1482" s="60">
        <f t="shared" si="3598"/>
        <v>5.8654505981541379E-2</v>
      </c>
      <c r="L1482" s="60">
        <f t="shared" si="3598"/>
        <v>0.10104506036352409</v>
      </c>
      <c r="M1482" s="60">
        <f t="shared" si="3598"/>
        <v>3.0130515269702622E-3</v>
      </c>
      <c r="N1482" s="60">
        <f t="shared" si="3598"/>
        <v>6.98688765465523E-2</v>
      </c>
      <c r="O1482" s="60">
        <f t="shared" si="3598"/>
        <v>4.2984434943664626E-3</v>
      </c>
      <c r="P1482" s="60">
        <f t="shared" si="3598"/>
        <v>0.11299482604960215</v>
      </c>
      <c r="Q1482" s="60">
        <f t="shared" si="3598"/>
        <v>0.10302780084610107</v>
      </c>
      <c r="R1482" s="60">
        <f t="shared" si="3598"/>
        <v>9.0694267655569941E-2</v>
      </c>
      <c r="S1482" s="60">
        <f t="shared" si="3598"/>
        <v>7.3163056969263021E-2</v>
      </c>
      <c r="T1482" s="60">
        <f t="shared" si="3598"/>
        <v>7.3723949970667654E-2</v>
      </c>
      <c r="U1482" s="60">
        <f t="shared" si="3598"/>
        <v>7.9724792470206043E-2</v>
      </c>
      <c r="V1482" s="60">
        <f t="shared" si="3598"/>
        <v>7.6390237511353751E-2</v>
      </c>
      <c r="W1482" s="60">
        <f t="shared" si="3598"/>
        <v>7.065853988893403E-2</v>
      </c>
      <c r="X1482" s="60">
        <f t="shared" si="3598"/>
        <v>8.1678857540926506E-2</v>
      </c>
      <c r="Y1482" s="60">
        <f t="shared" ref="Y1482" si="3599">IFERROR(Y797/(Y922-Y1452)*Y1,"NA")</f>
        <v>7.7024469951810892E-2</v>
      </c>
      <c r="Z1482" s="60">
        <f t="shared" si="3598"/>
        <v>8.3353287086940828E-2</v>
      </c>
      <c r="AA1482" s="60">
        <f t="shared" si="3598"/>
        <v>7.5873942640693151E-2</v>
      </c>
      <c r="AB1482" s="60">
        <f t="shared" ref="AB1482" si="3600">IFERROR(AB797/(AB922-AB1452)*AB1,"NA")</f>
        <v>0.10309435309435308</v>
      </c>
      <c r="AC1482" s="60">
        <f t="shared" si="3598"/>
        <v>9.592101937906207E-2</v>
      </c>
      <c r="AD1482" s="60">
        <f t="shared" si="3598"/>
        <v>9.8222886715400567E-2</v>
      </c>
      <c r="AE1482" s="60">
        <f t="shared" si="3598"/>
        <v>9.4339750472066747E-2</v>
      </c>
      <c r="AF1482" s="60">
        <f t="shared" ref="AF1482:AI1482" si="3601">IFERROR(AF797/(AF922-AF1452)*AF1,"NA")</f>
        <v>0.11116856120927471</v>
      </c>
      <c r="AG1482" s="60">
        <f t="shared" si="3601"/>
        <v>0.11270292444723196</v>
      </c>
      <c r="AH1482" s="60">
        <f t="shared" si="3601"/>
        <v>0.11148715866368655</v>
      </c>
      <c r="AI1482" s="60">
        <f t="shared" si="3601"/>
        <v>0.10521887243132615</v>
      </c>
      <c r="AJ1482" s="60"/>
      <c r="AK1482" s="60"/>
      <c r="AL1482" s="60"/>
      <c r="AM1482" s="60"/>
      <c r="AN1482" s="60"/>
      <c r="AO1482" s="60"/>
      <c r="AP1482" s="60"/>
      <c r="AQ1482" s="60"/>
      <c r="AS1482" s="35" t="s">
        <v>458</v>
      </c>
      <c r="AT1482" s="9"/>
      <c r="AU1482" s="60">
        <f t="shared" ref="AU1482:BD1482" si="3602">IFERROR(AU797/(AU922-AU1437)*AU1,"NA")</f>
        <v>8.6005509001522526E-2</v>
      </c>
      <c r="AV1482" s="60">
        <f t="shared" si="3602"/>
        <v>9.3152795472726729E-2</v>
      </c>
      <c r="AW1482" s="60">
        <f t="shared" si="3602"/>
        <v>4.7107057070552565E-2</v>
      </c>
      <c r="AX1482" s="60">
        <f t="shared" si="3602"/>
        <v>0.10333778285685019</v>
      </c>
      <c r="AY1482" s="60">
        <f t="shared" si="3602"/>
        <v>8.383660491739818E-2</v>
      </c>
      <c r="AZ1482" s="60">
        <f t="shared" si="3602"/>
        <v>8.9690058055264407E-2</v>
      </c>
      <c r="BA1482" s="60">
        <f t="shared" si="3602"/>
        <v>0.11869775824962545</v>
      </c>
      <c r="BB1482" s="60">
        <f t="shared" ref="BB1482" si="3603">IFERROR(BB797/(BB922-BB1437)*BB1,"NA")</f>
        <v>0.13392593595234764</v>
      </c>
      <c r="BC1482" s="60">
        <f t="shared" si="3602"/>
        <v>0.14549138208833387</v>
      </c>
      <c r="BD1482" s="60">
        <f t="shared" si="3602"/>
        <v>0.14896260424820354</v>
      </c>
      <c r="BE1482" s="60">
        <f t="shared" ref="BE1482" si="3604">IFERROR(BE797/(BE922-BE1437)*BE1,"NA")</f>
        <v>0.14637978510966601</v>
      </c>
    </row>
    <row r="1483" spans="1:70" x14ac:dyDescent="0.2">
      <c r="B1483" s="35" t="s">
        <v>459</v>
      </c>
      <c r="D1483" s="60" t="str">
        <f t="shared" ref="D1483:AE1483" si="3605">IFERROR(D797/(D896-D892-D893)*D1,"NA")</f>
        <v>NA</v>
      </c>
      <c r="E1483" s="60">
        <f t="shared" si="3605"/>
        <v>6.335541434569175E-3</v>
      </c>
      <c r="F1483" s="60">
        <f t="shared" si="3605"/>
        <v>6.9325638388464421E-3</v>
      </c>
      <c r="G1483" s="60">
        <f t="shared" si="3605"/>
        <v>3.2505045380580963E-3</v>
      </c>
      <c r="H1483" s="60">
        <f t="shared" si="3605"/>
        <v>8.5869005853625776E-3</v>
      </c>
      <c r="I1483" s="60">
        <f t="shared" si="3605"/>
        <v>8.0992742496968344E-3</v>
      </c>
      <c r="J1483" s="60">
        <f t="shared" si="3605"/>
        <v>6.5357124020510183E-3</v>
      </c>
      <c r="K1483" s="60">
        <f t="shared" si="3605"/>
        <v>4.8194429869263767E-3</v>
      </c>
      <c r="L1483" s="60">
        <f t="shared" si="3605"/>
        <v>8.5702052429490888E-3</v>
      </c>
      <c r="M1483" s="60">
        <f t="shared" si="3605"/>
        <v>2.6119677181671698E-4</v>
      </c>
      <c r="N1483" s="60">
        <f t="shared" si="3605"/>
        <v>6.1934910096475256E-3</v>
      </c>
      <c r="O1483" s="60">
        <f t="shared" si="3605"/>
        <v>3.7943995417752207E-4</v>
      </c>
      <c r="P1483" s="60">
        <f t="shared" si="3605"/>
        <v>1.0291506238527152E-2</v>
      </c>
      <c r="Q1483" s="60">
        <f t="shared" si="3605"/>
        <v>9.6885422890968381E-3</v>
      </c>
      <c r="R1483" s="60">
        <f t="shared" si="3605"/>
        <v>8.7332822854472424E-3</v>
      </c>
      <c r="S1483" s="60">
        <f t="shared" si="3605"/>
        <v>7.1918858490978748E-3</v>
      </c>
      <c r="T1483" s="60">
        <f t="shared" si="3605"/>
        <v>7.4697476125141406E-3</v>
      </c>
      <c r="U1483" s="60">
        <f t="shared" si="3605"/>
        <v>8.2370847296707739E-3</v>
      </c>
      <c r="V1483" s="60">
        <f t="shared" si="3605"/>
        <v>7.9289602142875622E-3</v>
      </c>
      <c r="W1483" s="60">
        <f t="shared" si="3605"/>
        <v>7.1177303928922752E-3</v>
      </c>
      <c r="X1483" s="60">
        <f t="shared" si="3605"/>
        <v>8.4368261163841277E-3</v>
      </c>
      <c r="Y1483" s="60">
        <f t="shared" ref="Y1483" si="3606">IFERROR(Y797/(Y896-Y892-Y893)*Y1,"NA")</f>
        <v>7.5845315111676779E-3</v>
      </c>
      <c r="Z1483" s="60">
        <f t="shared" si="3605"/>
        <v>8.1107234073293875E-3</v>
      </c>
      <c r="AA1483" s="60">
        <f t="shared" si="3605"/>
        <v>7.3289942429750569E-3</v>
      </c>
      <c r="AB1483" s="60">
        <f t="shared" ref="AB1483" si="3607">IFERROR(AB797/(AB896-AB892-AB893)*AB1,"NA")</f>
        <v>9.2983659703339064E-3</v>
      </c>
      <c r="AC1483" s="60">
        <f t="shared" si="3605"/>
        <v>8.7099713423842012E-3</v>
      </c>
      <c r="AD1483" s="60">
        <f t="shared" si="3605"/>
        <v>8.8683795398718616E-3</v>
      </c>
      <c r="AE1483" s="60">
        <f t="shared" si="3605"/>
        <v>8.3621169285657306E-3</v>
      </c>
      <c r="AF1483" s="60">
        <f t="shared" ref="AF1483:AI1483" si="3608">IFERROR(AF797/(AF896-AF892-AF893)*AF1,"NA")</f>
        <v>9.7048035053562548E-3</v>
      </c>
      <c r="AG1483" s="60">
        <f t="shared" si="3608"/>
        <v>9.7017464238989305E-3</v>
      </c>
      <c r="AH1483" s="60">
        <f t="shared" si="3608"/>
        <v>9.431272673123171E-3</v>
      </c>
      <c r="AI1483" s="60">
        <f t="shared" si="3608"/>
        <v>8.7353288215464928E-3</v>
      </c>
      <c r="AJ1483" s="60"/>
      <c r="AK1483" s="60"/>
      <c r="AL1483" s="60"/>
      <c r="AM1483" s="60"/>
      <c r="AN1483" s="60"/>
      <c r="AO1483" s="60"/>
      <c r="AP1483" s="60"/>
      <c r="AQ1483" s="60"/>
      <c r="AS1483" s="35" t="s">
        <v>459</v>
      </c>
      <c r="AT1483" s="9"/>
      <c r="AU1483" s="60">
        <f t="shared" ref="AU1483:BD1483" si="3609">IFERROR(AU797/(AU896-AU892-AU893)*AU1,"NA")</f>
        <v>5.9076999062307872E-3</v>
      </c>
      <c r="AV1483" s="60">
        <f t="shared" si="3609"/>
        <v>7.0014819911520523E-3</v>
      </c>
      <c r="AW1483" s="60">
        <f t="shared" si="3609"/>
        <v>3.8241483508226356E-3</v>
      </c>
      <c r="AX1483" s="60">
        <f t="shared" si="3609"/>
        <v>8.9827111609810523E-3</v>
      </c>
      <c r="AY1483" s="60">
        <f t="shared" si="3609"/>
        <v>7.6884904104001176E-3</v>
      </c>
      <c r="AZ1483" s="60">
        <f t="shared" si="3609"/>
        <v>7.8589006506545947E-3</v>
      </c>
      <c r="BA1483" s="60">
        <f t="shared" si="3609"/>
        <v>8.806104533026226E-3</v>
      </c>
      <c r="BB1483" s="60">
        <f t="shared" ref="BB1483" si="3610">IFERROR(BB797/(BB896-BB892-BB893)*BB1,"NA")</f>
        <v>9.3875006203308613E-3</v>
      </c>
      <c r="BC1483" s="60">
        <f t="shared" si="3609"/>
        <v>9.8921002617992498E-3</v>
      </c>
      <c r="BD1483" s="60">
        <f t="shared" si="3609"/>
        <v>1.0133033150631051E-2</v>
      </c>
      <c r="BE1483" s="60">
        <f t="shared" ref="BE1483" si="3611">IFERROR(BE797/(BE896-BE892-BE893)*BE1,"NA")</f>
        <v>1.0077448696547517E-2</v>
      </c>
    </row>
    <row r="1484" spans="1:70" x14ac:dyDescent="0.2">
      <c r="B1484" s="35" t="s">
        <v>460</v>
      </c>
      <c r="D1484" s="60" t="str">
        <f t="shared" ref="D1484:AE1484" si="3612">IFERROR(D797/(D924-D892-D893)*D1,"NA")</f>
        <v>NA</v>
      </c>
      <c r="E1484" s="60">
        <f t="shared" si="3612"/>
        <v>7.9259743901299182E-2</v>
      </c>
      <c r="F1484" s="60">
        <f t="shared" si="3612"/>
        <v>8.4934633314633162E-2</v>
      </c>
      <c r="G1484" s="60">
        <f t="shared" si="3612"/>
        <v>3.9051696633578242E-2</v>
      </c>
      <c r="H1484" s="60">
        <f t="shared" si="3612"/>
        <v>9.9773817673807649E-2</v>
      </c>
      <c r="I1484" s="60">
        <f t="shared" si="3612"/>
        <v>9.2347873149645238E-2</v>
      </c>
      <c r="J1484" s="60">
        <f t="shared" si="3612"/>
        <v>7.1039930434989518E-2</v>
      </c>
      <c r="K1484" s="60">
        <f t="shared" si="3612"/>
        <v>5.1993973835286512E-2</v>
      </c>
      <c r="L1484" s="60">
        <f t="shared" si="3612"/>
        <v>9.0452580005149413E-2</v>
      </c>
      <c r="M1484" s="60">
        <f t="shared" si="3612"/>
        <v>2.7227643768746139E-3</v>
      </c>
      <c r="N1484" s="60">
        <f t="shared" si="3612"/>
        <v>6.3477389226733391E-2</v>
      </c>
      <c r="O1484" s="60">
        <f t="shared" si="3612"/>
        <v>3.892050768521419E-3</v>
      </c>
      <c r="P1484" s="60">
        <f t="shared" si="3612"/>
        <v>0.10174776282566875</v>
      </c>
      <c r="Q1484" s="60">
        <f t="shared" si="3612"/>
        <v>9.2523162997868127E-2</v>
      </c>
      <c r="R1484" s="60">
        <f t="shared" si="3612"/>
        <v>8.088994447568025E-2</v>
      </c>
      <c r="S1484" s="60">
        <f t="shared" si="3612"/>
        <v>6.4789750157984369E-2</v>
      </c>
      <c r="T1484" s="60">
        <f t="shared" si="3612"/>
        <v>6.587182342957805E-2</v>
      </c>
      <c r="U1484" s="60">
        <f t="shared" si="3612"/>
        <v>7.2357401434068311E-2</v>
      </c>
      <c r="V1484" s="60">
        <f t="shared" si="3612"/>
        <v>7.0126110202592878E-2</v>
      </c>
      <c r="W1484" s="60">
        <f t="shared" si="3612"/>
        <v>6.3470095684077618E-2</v>
      </c>
      <c r="X1484" s="60">
        <f t="shared" si="3612"/>
        <v>7.6234500637245114E-2</v>
      </c>
      <c r="Y1484" s="60">
        <f t="shared" ref="Y1484" si="3613">IFERROR(Y797/(Y924-Y892-Y893)*Y1,"NA")</f>
        <v>6.9221972838341E-2</v>
      </c>
      <c r="Z1484" s="60">
        <f t="shared" si="3612"/>
        <v>7.5011965307077197E-2</v>
      </c>
      <c r="AA1484" s="60">
        <f t="shared" si="3612"/>
        <v>7.3699967453975473E-2</v>
      </c>
      <c r="AB1484" s="60">
        <f t="shared" ref="AB1484" si="3614">IFERROR(AB797/(AB924-AB892-AB893)*AB1,"NA")</f>
        <v>0.10011477485710499</v>
      </c>
      <c r="AC1484" s="60">
        <f t="shared" si="3612"/>
        <v>9.3593046641429034E-2</v>
      </c>
      <c r="AD1484" s="60">
        <f t="shared" si="3612"/>
        <v>9.5916310005167094E-2</v>
      </c>
      <c r="AE1484" s="60">
        <f t="shared" si="3612"/>
        <v>9.208057235238612E-2</v>
      </c>
      <c r="AF1484" s="60">
        <f t="shared" ref="AF1484:AI1484" si="3615">IFERROR(AF797/(AF924-AF892-AF893)*AF1,"NA")</f>
        <v>0.10787058816345826</v>
      </c>
      <c r="AG1484" s="60">
        <f t="shared" si="3615"/>
        <v>0.10875442071865152</v>
      </c>
      <c r="AH1484" s="60">
        <f t="shared" si="3615"/>
        <v>0.10759640474648366</v>
      </c>
      <c r="AI1484" s="60">
        <f t="shared" si="3615"/>
        <v>0.10156124971400077</v>
      </c>
      <c r="AJ1484" s="60"/>
      <c r="AK1484" s="60"/>
      <c r="AL1484" s="60"/>
      <c r="AM1484" s="60"/>
      <c r="AN1484" s="60"/>
      <c r="AO1484" s="60"/>
      <c r="AP1484" s="60"/>
      <c r="AQ1484" s="60"/>
      <c r="AS1484" s="35" t="s">
        <v>460</v>
      </c>
      <c r="AT1484" s="9"/>
      <c r="AU1484" s="60">
        <f t="shared" ref="AU1484:BD1484" si="3616">IFERROR(AU797/(AU924-AU892-AU893)*AU1,"NA")</f>
        <v>7.0725037831523604E-2</v>
      </c>
      <c r="AV1484" s="60">
        <f t="shared" si="3616"/>
        <v>7.8137508820895707E-2</v>
      </c>
      <c r="AW1484" s="60">
        <f t="shared" si="3616"/>
        <v>4.0201005025125629E-2</v>
      </c>
      <c r="AX1484" s="60">
        <f t="shared" si="3616"/>
        <v>8.5383029455055687E-2</v>
      </c>
      <c r="AY1484" s="60">
        <f t="shared" si="3616"/>
        <v>6.9749812392710595E-2</v>
      </c>
      <c r="AZ1484" s="60">
        <f t="shared" si="3616"/>
        <v>7.8168165683577942E-2</v>
      </c>
      <c r="BA1484" s="60">
        <f t="shared" si="3616"/>
        <v>9.6337984264229931E-2</v>
      </c>
      <c r="BB1484" s="60">
        <f t="shared" ref="BB1484" si="3617">IFERROR(BB797/(BB924-BB892-BB893)*BB1,"NA")</f>
        <v>0.1070070135361199</v>
      </c>
      <c r="BC1484" s="60">
        <f t="shared" si="3616"/>
        <v>0.11591947933538801</v>
      </c>
      <c r="BD1484" s="60">
        <f t="shared" si="3616"/>
        <v>0.12007661633588171</v>
      </c>
      <c r="BE1484" s="60">
        <f t="shared" ref="BE1484" si="3618">IFERROR(BE797/(BE924-BE892-BE893)*BE1,"NA")</f>
        <v>0.11956035160583574</v>
      </c>
    </row>
    <row r="1485" spans="1:70" x14ac:dyDescent="0.2">
      <c r="B1485" s="35" t="s">
        <v>461</v>
      </c>
      <c r="D1485" s="60" t="str">
        <f t="shared" ref="D1485:AE1485" si="3619">IFERROR(D797/D1313*D1,"NA")</f>
        <v>NA</v>
      </c>
      <c r="E1485" s="60">
        <f t="shared" si="3619"/>
        <v>7.9445950705667442E-2</v>
      </c>
      <c r="F1485" s="60">
        <f t="shared" si="3619"/>
        <v>8.5138511321615082E-2</v>
      </c>
      <c r="G1485" s="60">
        <f t="shared" si="3619"/>
        <v>3.9432200409194249E-2</v>
      </c>
      <c r="H1485" s="60">
        <f t="shared" si="3619"/>
        <v>0.10160773731776432</v>
      </c>
      <c r="I1485" s="60">
        <f t="shared" si="3619"/>
        <v>9.4569358153173175E-2</v>
      </c>
      <c r="J1485" s="60">
        <f t="shared" si="3619"/>
        <v>7.3233441936442434E-2</v>
      </c>
      <c r="K1485" s="60">
        <f t="shared" si="3619"/>
        <v>5.3911004322277738E-2</v>
      </c>
      <c r="L1485" s="60">
        <f t="shared" si="3619"/>
        <v>9.41852855019496E-2</v>
      </c>
      <c r="M1485" s="60">
        <f t="shared" si="3619"/>
        <v>2.8521175451600759E-3</v>
      </c>
      <c r="N1485" s="60">
        <f t="shared" si="3619"/>
        <v>6.6788474676605952E-2</v>
      </c>
      <c r="O1485" s="60">
        <f t="shared" si="3619"/>
        <v>4.1118457281551068E-3</v>
      </c>
      <c r="P1485" s="60">
        <f t="shared" si="3619"/>
        <v>0.10844501403284947</v>
      </c>
      <c r="Q1485" s="60">
        <f t="shared" si="3619"/>
        <v>9.9469292107704235E-2</v>
      </c>
      <c r="R1485" s="60">
        <f t="shared" si="3619"/>
        <v>8.7641797848905134E-2</v>
      </c>
      <c r="S1485" s="60">
        <f t="shared" si="3619"/>
        <v>7.0644795184720846E-2</v>
      </c>
      <c r="T1485" s="60">
        <f t="shared" si="3619"/>
        <v>7.2150563073490673E-2</v>
      </c>
      <c r="U1485" s="60">
        <f t="shared" si="3619"/>
        <v>7.9640317646720749E-2</v>
      </c>
      <c r="V1485" s="60">
        <f t="shared" si="3619"/>
        <v>7.7455671635160747E-2</v>
      </c>
      <c r="W1485" s="60">
        <f t="shared" si="3619"/>
        <v>7.0212910285956096E-2</v>
      </c>
      <c r="X1485" s="60">
        <f t="shared" si="3619"/>
        <v>8.4400995323826916E-2</v>
      </c>
      <c r="Y1485" s="60">
        <f t="shared" ref="Y1485" si="3620">IFERROR(Y797/Y1313*Y1,"NA")</f>
        <v>7.6557211143456871E-2</v>
      </c>
      <c r="Z1485" s="60">
        <f t="shared" si="3619"/>
        <v>8.2967225041425618E-2</v>
      </c>
      <c r="AA1485" s="60">
        <f t="shared" si="3619"/>
        <v>8.2166970595633021E-2</v>
      </c>
      <c r="AB1485" s="60">
        <f t="shared" ref="AB1485" si="3621">IFERROR(AB797/AB1313*AB1,"NA")</f>
        <v>0.11253629674521126</v>
      </c>
      <c r="AC1485" s="60">
        <f t="shared" si="3619"/>
        <v>0.10508337678843224</v>
      </c>
      <c r="AD1485" s="60">
        <f t="shared" si="3619"/>
        <v>0.10770207388239601</v>
      </c>
      <c r="AE1485" s="60">
        <f t="shared" si="3619"/>
        <v>0.10354899080036074</v>
      </c>
      <c r="AF1485" s="60">
        <f t="shared" ref="AF1485:AI1485" si="3622">IFERROR(AF797/AF1313*AF1,"NA")</f>
        <v>0.12215185983637107</v>
      </c>
      <c r="AG1485" s="60">
        <f t="shared" si="3622"/>
        <v>0.12398169521963814</v>
      </c>
      <c r="AH1485" s="60">
        <f t="shared" si="3622"/>
        <v>0.1227900195422995</v>
      </c>
      <c r="AI1485" s="60">
        <f t="shared" si="3622"/>
        <v>0.1160223990897067</v>
      </c>
      <c r="AJ1485" s="60"/>
      <c r="AK1485" s="60"/>
      <c r="AL1485" s="60"/>
      <c r="AM1485" s="60"/>
      <c r="AN1485" s="60"/>
      <c r="AO1485" s="60"/>
      <c r="AP1485" s="60"/>
      <c r="AQ1485" s="60"/>
      <c r="AS1485" s="35" t="s">
        <v>461</v>
      </c>
      <c r="AT1485" s="9"/>
      <c r="AU1485" s="60">
        <f t="shared" ref="AU1485:BD1485" si="3623">IFERROR(AU797/AU1313*AU1,"NA")</f>
        <v>7.2769865845583662E-2</v>
      </c>
      <c r="AV1485" s="60">
        <f t="shared" si="3623"/>
        <v>8.0302411115651812E-2</v>
      </c>
      <c r="AW1485" s="60">
        <f t="shared" si="3623"/>
        <v>4.1613279420409356E-2</v>
      </c>
      <c r="AX1485" s="60">
        <f t="shared" si="3623"/>
        <v>9.1284728923349476E-2</v>
      </c>
      <c r="AY1485" s="60">
        <f t="shared" si="3623"/>
        <v>7.4886679773749076E-2</v>
      </c>
      <c r="AZ1485" s="60">
        <f t="shared" si="3623"/>
        <v>8.1488228846950825E-2</v>
      </c>
      <c r="BA1485" s="60">
        <f t="shared" si="3623"/>
        <v>0.10719768796321176</v>
      </c>
      <c r="BB1485" s="60">
        <f t="shared" ref="BB1485" si="3624">IFERROR(BB797/BB1313*BB1,"NA")</f>
        <v>0.12123484681068024</v>
      </c>
      <c r="BC1485" s="60">
        <f t="shared" si="3623"/>
        <v>0.13237508756123059</v>
      </c>
      <c r="BD1485" s="60">
        <f t="shared" si="3623"/>
        <v>0.1367016155717739</v>
      </c>
      <c r="BE1485" s="60">
        <f t="shared" ref="BE1485" si="3625">IFERROR(BE797/BE1313*BE1,"NA")</f>
        <v>0.13555083527814074</v>
      </c>
    </row>
    <row r="1486" spans="1:70" x14ac:dyDescent="0.2">
      <c r="B1486" s="35" t="s">
        <v>990</v>
      </c>
      <c r="D1486" s="60" t="str">
        <f t="shared" ref="D1486:AE1486" si="3626">IFERROR(D797/(D1313-D1452)*D1,"NA")</f>
        <v>NA</v>
      </c>
      <c r="E1486" s="60">
        <f t="shared" si="3626"/>
        <v>7.9445950705667442E-2</v>
      </c>
      <c r="F1486" s="60">
        <f t="shared" si="3626"/>
        <v>8.5138511321615082E-2</v>
      </c>
      <c r="G1486" s="60">
        <f t="shared" si="3626"/>
        <v>3.9432200409194249E-2</v>
      </c>
      <c r="H1486" s="60">
        <f t="shared" si="3626"/>
        <v>0.12080162373366926</v>
      </c>
      <c r="I1486" s="60">
        <f t="shared" si="3626"/>
        <v>0.13447304079884786</v>
      </c>
      <c r="J1486" s="60">
        <f t="shared" si="3626"/>
        <v>0.10100308989564591</v>
      </c>
      <c r="K1486" s="60">
        <f t="shared" si="3626"/>
        <v>7.3094475500190131E-2</v>
      </c>
      <c r="L1486" s="60">
        <f t="shared" si="3626"/>
        <v>0.12478143628516769</v>
      </c>
      <c r="M1486" s="60">
        <f t="shared" si="3626"/>
        <v>3.6929976932240996E-3</v>
      </c>
      <c r="N1486" s="60">
        <f t="shared" si="3626"/>
        <v>8.5012401114901007E-2</v>
      </c>
      <c r="O1486" s="60">
        <f t="shared" si="3626"/>
        <v>5.1993457904358454E-3</v>
      </c>
      <c r="P1486" s="60">
        <f t="shared" si="3626"/>
        <v>0.13584063383939729</v>
      </c>
      <c r="Q1486" s="60">
        <f t="shared" si="3626"/>
        <v>0.12286971686341247</v>
      </c>
      <c r="R1486" s="60">
        <f t="shared" si="3626"/>
        <v>0.10753038363030749</v>
      </c>
      <c r="S1486" s="60">
        <f t="shared" si="3626"/>
        <v>8.6356612189544393E-2</v>
      </c>
      <c r="T1486" s="60">
        <f t="shared" si="3626"/>
        <v>8.6446431439427707E-2</v>
      </c>
      <c r="U1486" s="60">
        <f t="shared" si="3626"/>
        <v>9.3484344306245609E-2</v>
      </c>
      <c r="V1486" s="60">
        <f t="shared" si="3626"/>
        <v>8.9829797230964001E-2</v>
      </c>
      <c r="W1486" s="60">
        <f t="shared" si="3626"/>
        <v>8.3291383526165247E-2</v>
      </c>
      <c r="X1486" s="60">
        <f t="shared" si="3626"/>
        <v>9.5574377597234125E-2</v>
      </c>
      <c r="Y1486" s="60">
        <f t="shared" ref="Y1486" si="3627">IFERROR(Y797/(Y1313-Y1452)*Y1,"NA")</f>
        <v>9.0696340245951218E-2</v>
      </c>
      <c r="Z1486" s="60">
        <f t="shared" si="3626"/>
        <v>9.807364143119042E-2</v>
      </c>
      <c r="AA1486" s="60">
        <f t="shared" si="3626"/>
        <v>8.9102759281821098E-2</v>
      </c>
      <c r="AB1486" s="60">
        <f t="shared" ref="AB1486" si="3628">IFERROR(AB797/(AB1313-AB1452)*AB1,"NA")</f>
        <v>0.12266804720536566</v>
      </c>
      <c r="AC1486" s="60">
        <f t="shared" si="3626"/>
        <v>0.11399252185721338</v>
      </c>
      <c r="AD1486" s="60">
        <f t="shared" si="3626"/>
        <v>0.11673538797739572</v>
      </c>
      <c r="AE1486" s="60">
        <f t="shared" si="3626"/>
        <v>0.11238690583374669</v>
      </c>
      <c r="AF1486" s="60">
        <f t="shared" ref="AF1486:AI1486" si="3629">IFERROR(AF797/(AF1313-AF1452)*AF1,"NA")</f>
        <v>0.13266764209126009</v>
      </c>
      <c r="AG1486" s="60">
        <f t="shared" si="3629"/>
        <v>0.13466585597811115</v>
      </c>
      <c r="AH1486" s="60">
        <f t="shared" si="3629"/>
        <v>0.13340375590034165</v>
      </c>
      <c r="AI1486" s="60">
        <f t="shared" si="3629"/>
        <v>0.12608085984323003</v>
      </c>
      <c r="AJ1486" s="60"/>
      <c r="AK1486" s="60"/>
      <c r="AL1486" s="60"/>
      <c r="AM1486" s="60"/>
      <c r="AN1486" s="60"/>
      <c r="AO1486" s="60"/>
      <c r="AP1486" s="60"/>
      <c r="AQ1486" s="60"/>
      <c r="AS1486" s="35" t="s">
        <v>990</v>
      </c>
      <c r="AU1486" s="60" t="str">
        <f t="shared" ref="AU1486:BD1486" si="3630">IFERROR(AU797/(AU1313-AU1452)*AU1,"NA")</f>
        <v>NA</v>
      </c>
      <c r="AV1486" s="60">
        <f t="shared" si="3630"/>
        <v>0.10692103248172587</v>
      </c>
      <c r="AW1486" s="60">
        <f t="shared" si="3630"/>
        <v>5.3624245427981138E-2</v>
      </c>
      <c r="AX1486" s="60">
        <f t="shared" si="3630"/>
        <v>0.11264981095336385</v>
      </c>
      <c r="AY1486" s="60">
        <f t="shared" si="3630"/>
        <v>8.8308097785842699E-2</v>
      </c>
      <c r="AZ1486" s="60">
        <f t="shared" si="3630"/>
        <v>9.3361730913379612E-2</v>
      </c>
      <c r="BA1486" s="60">
        <f t="shared" si="3630"/>
        <v>0.11641671099518218</v>
      </c>
      <c r="BB1486" s="60">
        <f t="shared" ref="BB1486" si="3631">IFERROR(BB797/(BB1313-BB1452)*BB1,"NA")</f>
        <v>0.13170306917600075</v>
      </c>
      <c r="BC1486" s="60">
        <f t="shared" si="3630"/>
        <v>0.14324092283899514</v>
      </c>
      <c r="BD1486" s="60">
        <f t="shared" si="3630"/>
        <v>0.14636521857155196</v>
      </c>
      <c r="BE1486" s="60">
        <f t="shared" ref="BE1486" si="3632">IFERROR(BE797/(BE1313-BE1452)*BE1,"NA")</f>
        <v>0.14342459234036478</v>
      </c>
    </row>
    <row r="1487" spans="1:70" x14ac:dyDescent="0.2">
      <c r="B1487" s="35"/>
      <c r="C1487" s="914"/>
      <c r="D1487" s="914"/>
      <c r="E1487" s="914"/>
      <c r="F1487" s="914"/>
      <c r="G1487" s="914"/>
      <c r="H1487" s="914"/>
      <c r="I1487" s="914"/>
      <c r="J1487" s="914"/>
      <c r="K1487" s="914"/>
      <c r="L1487" s="914"/>
      <c r="M1487" s="914"/>
      <c r="N1487" s="914"/>
      <c r="O1487" s="914"/>
      <c r="P1487" s="914"/>
      <c r="Q1487" s="914"/>
      <c r="R1487" s="914"/>
      <c r="S1487" s="914"/>
      <c r="T1487" s="914"/>
      <c r="U1487" s="914"/>
      <c r="V1487" s="914"/>
      <c r="W1487" s="914"/>
      <c r="X1487" s="219"/>
      <c r="Y1487" s="219"/>
      <c r="Z1487" s="914"/>
      <c r="AA1487" s="914"/>
      <c r="AB1487" s="1785"/>
      <c r="AC1487" s="914"/>
      <c r="AD1487" s="914"/>
    </row>
    <row r="1488" spans="1:70" s="1138" customFormat="1" x14ac:dyDescent="0.2">
      <c r="A1488" s="1135"/>
      <c r="B1488" s="1136" t="s">
        <v>994</v>
      </c>
      <c r="C1488" s="885"/>
      <c r="D1488" s="885"/>
      <c r="E1488" s="885"/>
      <c r="F1488" s="885"/>
      <c r="G1488" s="885"/>
      <c r="H1488" s="885"/>
      <c r="I1488" s="885"/>
      <c r="J1488" s="885"/>
      <c r="K1488" s="885"/>
      <c r="L1488" s="885"/>
      <c r="M1488" s="885"/>
      <c r="N1488" s="885"/>
      <c r="O1488" s="885"/>
      <c r="P1488" s="885"/>
      <c r="Q1488" s="885"/>
      <c r="R1488" s="885"/>
      <c r="S1488" s="885"/>
      <c r="T1488" s="885"/>
      <c r="U1488" s="885"/>
      <c r="V1488" s="885"/>
      <c r="W1488" s="885"/>
      <c r="X1488" s="1137"/>
      <c r="Y1488" s="1137"/>
      <c r="Z1488" s="885"/>
      <c r="AA1488" s="885"/>
      <c r="AB1488" s="885"/>
      <c r="AC1488" s="885"/>
      <c r="AD1488" s="885"/>
      <c r="AE1488" s="885"/>
      <c r="AF1488" s="885"/>
      <c r="AG1488" s="885"/>
      <c r="AH1488" s="885"/>
      <c r="AI1488" s="885"/>
      <c r="AJ1488" s="885"/>
      <c r="AK1488" s="885"/>
      <c r="AL1488" s="885"/>
      <c r="AM1488" s="885"/>
      <c r="AN1488" s="885"/>
      <c r="AO1488" s="885"/>
      <c r="AP1488" s="885"/>
      <c r="AQ1488" s="885"/>
      <c r="AS1488" s="1136" t="s">
        <v>994</v>
      </c>
      <c r="BF1488" s="70"/>
      <c r="BG1488" s="70"/>
      <c r="BH1488" s="70"/>
      <c r="BI1488" s="70"/>
      <c r="BJ1488" s="70"/>
      <c r="BK1488" s="70"/>
      <c r="BL1488" s="70"/>
      <c r="BM1488"/>
      <c r="BN1488"/>
      <c r="BO1488"/>
      <c r="BP1488"/>
      <c r="BQ1488"/>
      <c r="BR1488"/>
    </row>
    <row r="1489" spans="2:70" s="70" customFormat="1" x14ac:dyDescent="0.2">
      <c r="B1489" s="35" t="s">
        <v>754</v>
      </c>
      <c r="C1489" s="9"/>
      <c r="D1489" s="108">
        <f t="shared" ref="D1489:AE1489" si="3633">D21/D896*D1</f>
        <v>6.1051261741710532E-3</v>
      </c>
      <c r="E1489" s="108">
        <f t="shared" si="3633"/>
        <v>6.1187129763926379E-3</v>
      </c>
      <c r="F1489" s="108">
        <f t="shared" si="3633"/>
        <v>1.0292557188463481E-3</v>
      </c>
      <c r="G1489" s="108">
        <f t="shared" si="3633"/>
        <v>2.463707266761287E-3</v>
      </c>
      <c r="H1489" s="108">
        <f t="shared" si="3633"/>
        <v>8.1098214496030906E-3</v>
      </c>
      <c r="I1489" s="108">
        <f t="shared" si="3633"/>
        <v>8.8461856748759688E-3</v>
      </c>
      <c r="J1489" s="108">
        <f t="shared" si="3633"/>
        <v>6.9260043124740999E-3</v>
      </c>
      <c r="K1489" s="108">
        <f t="shared" si="3633"/>
        <v>5.1609708916728076E-3</v>
      </c>
      <c r="L1489" s="108">
        <f t="shared" si="3633"/>
        <v>8.4706408468522548E-3</v>
      </c>
      <c r="M1489" s="108">
        <f t="shared" si="3633"/>
        <v>3.8143698365418537E-4</v>
      </c>
      <c r="N1489" s="108">
        <f t="shared" si="3633"/>
        <v>5.9466913029714956E-3</v>
      </c>
      <c r="O1489" s="108">
        <f t="shared" si="3633"/>
        <v>7.1823103288898651E-4</v>
      </c>
      <c r="P1489" s="108">
        <f t="shared" si="3633"/>
        <v>1.0439263936107064E-2</v>
      </c>
      <c r="Q1489" s="108">
        <f t="shared" si="3633"/>
        <v>1.056544694637862E-2</v>
      </c>
      <c r="R1489" s="108">
        <f t="shared" si="3633"/>
        <v>9.3621183936188519E-3</v>
      </c>
      <c r="S1489" s="108">
        <f t="shared" si="3633"/>
        <v>7.4153729753965135E-3</v>
      </c>
      <c r="T1489" s="108">
        <f t="shared" si="3633"/>
        <v>7.9213237257791721E-3</v>
      </c>
      <c r="U1489" s="108">
        <f t="shared" si="3633"/>
        <v>8.8971770773353231E-3</v>
      </c>
      <c r="V1489" s="108">
        <f t="shared" si="3633"/>
        <v>8.3469138559340138E-3</v>
      </c>
      <c r="W1489" s="108">
        <f t="shared" si="3633"/>
        <v>7.8109276222422912E-3</v>
      </c>
      <c r="X1489" s="108">
        <f t="shared" si="3633"/>
        <v>9.0610850115930407E-3</v>
      </c>
      <c r="Y1489" s="108">
        <f t="shared" ref="Y1489" si="3634">Y21/Y896*Y1</f>
        <v>8.3086611654983149E-3</v>
      </c>
      <c r="Z1489" s="108">
        <f t="shared" si="3633"/>
        <v>8.6652371510170488E-3</v>
      </c>
      <c r="AA1489" s="108">
        <f t="shared" ref="AA1489:AB1489" si="3635">AA21/AA896*AA1</f>
        <v>-3.9250104159314798E-2</v>
      </c>
      <c r="AB1489" s="108">
        <f t="shared" si="3635"/>
        <v>9.8396526975457754E-3</v>
      </c>
      <c r="AC1489" s="108">
        <f t="shared" si="3633"/>
        <v>9.3302719129853204E-3</v>
      </c>
      <c r="AD1489" s="108">
        <f t="shared" si="3633"/>
        <v>9.3689887661177352E-3</v>
      </c>
      <c r="AE1489" s="108">
        <f t="shared" si="3633"/>
        <v>8.9407247231259677E-3</v>
      </c>
      <c r="AF1489" s="108">
        <f t="shared" ref="AF1489:AI1489" si="3636">AF21/AF896*AF1</f>
        <v>1.027302169153084E-2</v>
      </c>
      <c r="AG1489" s="108">
        <f t="shared" si="3636"/>
        <v>1.0352576282462325E-2</v>
      </c>
      <c r="AH1489" s="108">
        <f t="shared" si="3636"/>
        <v>9.980621945795215E-3</v>
      </c>
      <c r="AI1489" s="108">
        <f t="shared" si="3636"/>
        <v>9.3685275026251843E-3</v>
      </c>
      <c r="AJ1489" s="108"/>
      <c r="AK1489" s="108"/>
      <c r="AL1489" s="108"/>
      <c r="AM1489" s="108"/>
      <c r="AN1489" s="108"/>
      <c r="AO1489" s="108"/>
      <c r="AP1489" s="108"/>
      <c r="AQ1489" s="108"/>
      <c r="AS1489" s="35" t="s">
        <v>754</v>
      </c>
      <c r="AT1489" s="9"/>
      <c r="AU1489" s="108">
        <f t="shared" ref="AU1489:BD1489" si="3637">AU21/AU896*AU1</f>
        <v>5.114422913368312E-3</v>
      </c>
      <c r="AV1489" s="108">
        <f t="shared" si="3637"/>
        <v>7.1615233441334252E-3</v>
      </c>
      <c r="AW1489" s="108">
        <f t="shared" si="3637"/>
        <v>3.9645719105862506E-3</v>
      </c>
      <c r="AX1489" s="108">
        <f t="shared" si="3637"/>
        <v>9.453498732095127E-3</v>
      </c>
      <c r="AY1489" s="108">
        <f t="shared" si="3637"/>
        <v>8.2444816099738766E-3</v>
      </c>
      <c r="AZ1489" s="108">
        <f t="shared" si="3637"/>
        <v>8.4225119304700211E-3</v>
      </c>
      <c r="BA1489" s="108">
        <f t="shared" si="3637"/>
        <v>9.3662805261276131E-3</v>
      </c>
      <c r="BB1489" s="108">
        <f t="shared" ref="BB1489" si="3638">BB21/BB896*BB1</f>
        <v>9.9881454273068639E-3</v>
      </c>
      <c r="BC1489" s="108">
        <f t="shared" si="3637"/>
        <v>1.0475636923830311E-2</v>
      </c>
      <c r="BD1489" s="108">
        <f t="shared" si="3637"/>
        <v>1.0698439814544868E-2</v>
      </c>
      <c r="BE1489" s="108">
        <f t="shared" ref="BE1489" si="3639">BE21/BE896*BE1</f>
        <v>1.0627891208817861E-2</v>
      </c>
      <c r="BM1489"/>
      <c r="BN1489"/>
      <c r="BO1489"/>
      <c r="BP1489"/>
      <c r="BQ1489"/>
      <c r="BR1489"/>
    </row>
    <row r="1490" spans="2:70" s="70" customFormat="1" x14ac:dyDescent="0.2">
      <c r="B1490" s="35" t="s">
        <v>756</v>
      </c>
      <c r="C1490" s="9"/>
      <c r="D1490" s="60" t="str">
        <f t="shared" ref="D1490:AE1490" si="3640">IFERROR(D22/D922*D1,"NA")</f>
        <v>NA</v>
      </c>
      <c r="E1490" s="60">
        <f t="shared" si="3640"/>
        <v>6.4138706081766417E-2</v>
      </c>
      <c r="F1490" s="60">
        <f t="shared" si="3640"/>
        <v>1.055390151857543E-2</v>
      </c>
      <c r="G1490" s="60">
        <f t="shared" si="3640"/>
        <v>2.5025414529812218E-2</v>
      </c>
      <c r="H1490" s="60">
        <f t="shared" si="3640"/>
        <v>8.13030977308523E-2</v>
      </c>
      <c r="I1490" s="60">
        <f t="shared" si="3640"/>
        <v>8.7959777590792973E-2</v>
      </c>
      <c r="J1490" s="60">
        <f t="shared" si="3640"/>
        <v>6.4294796574723645E-2</v>
      </c>
      <c r="K1490" s="60">
        <f t="shared" si="3640"/>
        <v>4.821394747073738E-2</v>
      </c>
      <c r="L1490" s="60">
        <f t="shared" si="3640"/>
        <v>7.7820642479365779E-2</v>
      </c>
      <c r="M1490" s="60">
        <f t="shared" si="3640"/>
        <v>1.612573942365031E-3</v>
      </c>
      <c r="N1490" s="60">
        <f t="shared" si="3640"/>
        <v>5.3152197530397675E-2</v>
      </c>
      <c r="O1490" s="60">
        <f t="shared" si="3640"/>
        <v>3.6454398503234491E-3</v>
      </c>
      <c r="P1490" s="60">
        <f t="shared" si="3640"/>
        <v>9.3575245055602635E-2</v>
      </c>
      <c r="Q1490" s="60">
        <f t="shared" si="3640"/>
        <v>9.1281242794018322E-2</v>
      </c>
      <c r="R1490" s="60">
        <f t="shared" si="3640"/>
        <v>7.9463247563864928E-2</v>
      </c>
      <c r="S1490" s="60">
        <f t="shared" si="3640"/>
        <v>5.9302874872971548E-2</v>
      </c>
      <c r="T1490" s="60">
        <f t="shared" si="3640"/>
        <v>6.3803685011278005E-2</v>
      </c>
      <c r="U1490" s="60">
        <f t="shared" si="3640"/>
        <v>7.0003083345760025E-2</v>
      </c>
      <c r="V1490" s="60">
        <f t="shared" si="3640"/>
        <v>6.7684085888587611E-2</v>
      </c>
      <c r="W1490" s="60">
        <f t="shared" si="3640"/>
        <v>6.1892027808936399E-2</v>
      </c>
      <c r="X1490" s="60">
        <f t="shared" si="3640"/>
        <v>7.4100774932127134E-2</v>
      </c>
      <c r="Y1490" s="60">
        <f t="shared" ref="Y1490" si="3641">IFERROR(Y22/Y922*Y1,"NA")</f>
        <v>6.7900406138678968E-2</v>
      </c>
      <c r="Z1490" s="60">
        <f t="shared" si="3640"/>
        <v>7.3091768883408237E-2</v>
      </c>
      <c r="AA1490" s="60">
        <f t="shared" ref="AA1490:AB1490" si="3642">IFERROR(AA22/AA922*AA1,"NA")</f>
        <v>-0.39103229365033693</v>
      </c>
      <c r="AB1490" s="60">
        <f t="shared" si="3642"/>
        <v>9.6176454618276896E-2</v>
      </c>
      <c r="AC1490" s="60">
        <f t="shared" si="3640"/>
        <v>9.0333189301859462E-2</v>
      </c>
      <c r="AD1490" s="60">
        <f t="shared" si="3640"/>
        <v>9.2461621863163243E-2</v>
      </c>
      <c r="AE1490" s="60">
        <f t="shared" si="3640"/>
        <v>8.8599728158170493E-2</v>
      </c>
      <c r="AF1490" s="60">
        <f t="shared" ref="AF1490:AI1490" si="3643">IFERROR(AF22/AF922*AF1,"NA")</f>
        <v>0.10441581140433974</v>
      </c>
      <c r="AG1490" s="60">
        <f t="shared" si="3643"/>
        <v>0.10591566334408818</v>
      </c>
      <c r="AH1490" s="60">
        <f t="shared" si="3643"/>
        <v>0.10472258018165888</v>
      </c>
      <c r="AI1490" s="60">
        <f t="shared" si="3643"/>
        <v>9.8819449615188584E-2</v>
      </c>
      <c r="AJ1490" s="60"/>
      <c r="AK1490" s="60"/>
      <c r="AL1490" s="60"/>
      <c r="AM1490" s="60"/>
      <c r="AN1490" s="60"/>
      <c r="AO1490" s="60"/>
      <c r="AP1490" s="60"/>
      <c r="AQ1490" s="60"/>
      <c r="AS1490" s="35" t="s">
        <v>756</v>
      </c>
      <c r="AT1490" s="9"/>
      <c r="AU1490" s="60">
        <f t="shared" ref="AU1490:BD1490" si="3644">IFERROR(AU22/AU922*AU1,"NA")</f>
        <v>5.2863531702660262E-2</v>
      </c>
      <c r="AV1490" s="60">
        <f t="shared" si="3644"/>
        <v>6.9205656907578891E-2</v>
      </c>
      <c r="AW1490" s="60">
        <f t="shared" si="3644"/>
        <v>3.4853675107208368E-2</v>
      </c>
      <c r="AX1490" s="60">
        <f t="shared" si="3644"/>
        <v>8.0731993599466784E-2</v>
      </c>
      <c r="AY1490" s="60">
        <f t="shared" si="3644"/>
        <v>6.5862996873471399E-2</v>
      </c>
      <c r="AZ1490" s="60">
        <f t="shared" si="3644"/>
        <v>7.0989153015140513E-2</v>
      </c>
      <c r="BA1490" s="60">
        <f t="shared" si="3644"/>
        <v>9.1876367591411059E-2</v>
      </c>
      <c r="BB1490" s="60">
        <f t="shared" ref="BB1490" si="3645">IFERROR(BB22/BB922*BB1,"NA")</f>
        <v>0.10346545643251218</v>
      </c>
      <c r="BC1490" s="60">
        <f t="shared" si="3644"/>
        <v>0.11280644868875127</v>
      </c>
      <c r="BD1490" s="60">
        <f t="shared" si="3644"/>
        <v>0.11693475610756152</v>
      </c>
      <c r="BE1490" s="60">
        <f t="shared" ref="BE1490" si="3646">IFERROR(BE22/BE922*BE1,"NA")</f>
        <v>0.11654643560438746</v>
      </c>
      <c r="BM1490"/>
      <c r="BN1490"/>
      <c r="BO1490"/>
      <c r="BP1490"/>
      <c r="BQ1490"/>
      <c r="BR1490"/>
    </row>
    <row r="1491" spans="2:70" s="70" customFormat="1" x14ac:dyDescent="0.2">
      <c r="B1491" s="35" t="s">
        <v>996</v>
      </c>
      <c r="C1491" s="914"/>
      <c r="D1491" s="60" t="str">
        <f t="shared" ref="D1491:AE1491" si="3647">IFERROR(D22/D1313*D1,"NA")</f>
        <v>NA</v>
      </c>
      <c r="E1491" s="60">
        <f t="shared" si="3647"/>
        <v>7.778636548203155E-2</v>
      </c>
      <c r="F1491" s="60">
        <f t="shared" si="3647"/>
        <v>1.2749960436305437E-2</v>
      </c>
      <c r="G1491" s="60">
        <f t="shared" si="3647"/>
        <v>3.0160095806117872E-2</v>
      </c>
      <c r="H1491" s="60">
        <f t="shared" si="3647"/>
        <v>9.7469982680237655E-2</v>
      </c>
      <c r="I1491" s="60">
        <f t="shared" si="3647"/>
        <v>0.10474565272253133</v>
      </c>
      <c r="J1491" s="60">
        <f t="shared" si="3647"/>
        <v>7.6201707689348086E-2</v>
      </c>
      <c r="K1491" s="60">
        <f t="shared" si="3647"/>
        <v>5.696842946771484E-2</v>
      </c>
      <c r="L1491" s="60">
        <f t="shared" si="3647"/>
        <v>9.1618994300343135E-2</v>
      </c>
      <c r="M1491" s="60">
        <f t="shared" si="3647"/>
        <v>1.8936190258849682E-3</v>
      </c>
      <c r="N1491" s="60">
        <f t="shared" si="3647"/>
        <v>6.2202928869767228E-2</v>
      </c>
      <c r="O1491" s="60">
        <f t="shared" si="3647"/>
        <v>4.2496729592664513E-3</v>
      </c>
      <c r="P1491" s="60">
        <f t="shared" si="3647"/>
        <v>0.10867913539302401</v>
      </c>
      <c r="Q1491" s="60">
        <f t="shared" si="3647"/>
        <v>0.10551288089268582</v>
      </c>
      <c r="R1491" s="60">
        <f t="shared" si="3647"/>
        <v>9.148612620282516E-2</v>
      </c>
      <c r="S1491" s="60">
        <f t="shared" si="3647"/>
        <v>6.8051308822432696E-2</v>
      </c>
      <c r="T1491" s="60">
        <f t="shared" si="3647"/>
        <v>7.2993391661499485E-2</v>
      </c>
      <c r="U1491" s="60">
        <f t="shared" si="3647"/>
        <v>8.0295613732678406E-2</v>
      </c>
      <c r="V1491" s="60">
        <f t="shared" si="3647"/>
        <v>7.7951629443515066E-2</v>
      </c>
      <c r="W1491" s="60">
        <f t="shared" si="3647"/>
        <v>7.1220017823578161E-2</v>
      </c>
      <c r="X1491" s="60">
        <f t="shared" si="3647"/>
        <v>8.5233307910975525E-2</v>
      </c>
      <c r="Y1491" s="60">
        <f t="shared" ref="Y1491" si="3648">IFERROR(Y22/Y1313*Y1,"NA")</f>
        <v>7.807384840125145E-2</v>
      </c>
      <c r="Z1491" s="60">
        <f t="shared" si="3647"/>
        <v>8.4011659030932162E-2</v>
      </c>
      <c r="AA1491" s="60">
        <f t="shared" ref="AA1491:AB1491" si="3649">IFERROR(AA22/AA1313*AA1,"NA")</f>
        <v>-0.45390281945195438</v>
      </c>
      <c r="AB1491" s="60">
        <f t="shared" si="3649"/>
        <v>0.11292850038163742</v>
      </c>
      <c r="AC1491" s="60">
        <f t="shared" si="3647"/>
        <v>0.10602183583072379</v>
      </c>
      <c r="AD1491" s="60">
        <f t="shared" si="3647"/>
        <v>0.10853974866924254</v>
      </c>
      <c r="AE1491" s="60">
        <f t="shared" si="3647"/>
        <v>0.10421597190698911</v>
      </c>
      <c r="AF1491" s="60">
        <f t="shared" ref="AF1491:AI1491" si="3650">IFERROR(AF22/AF1313*AF1,"NA")</f>
        <v>0.12300837388734832</v>
      </c>
      <c r="AG1491" s="60">
        <f t="shared" si="3650"/>
        <v>0.12491836662505214</v>
      </c>
      <c r="AH1491" s="60">
        <f t="shared" si="3650"/>
        <v>0.12367146363961662</v>
      </c>
      <c r="AI1491" s="60">
        <f t="shared" si="3650"/>
        <v>0.11684950853158736</v>
      </c>
      <c r="AJ1491" s="60"/>
      <c r="AK1491" s="60"/>
      <c r="AL1491" s="60"/>
      <c r="AM1491" s="60"/>
      <c r="AN1491" s="60"/>
      <c r="AO1491" s="60"/>
      <c r="AP1491" s="60"/>
      <c r="AQ1491" s="60"/>
      <c r="AS1491" s="35" t="s">
        <v>996</v>
      </c>
      <c r="AT1491" s="914"/>
      <c r="AU1491" s="60">
        <f t="shared" ref="AU1491:BD1491" si="3651">IFERROR(AU22/AU1313*AU1,"NA")</f>
        <v>6.3893253381176435E-2</v>
      </c>
      <c r="AV1491" s="60">
        <f t="shared" si="3651"/>
        <v>8.2283810726802145E-2</v>
      </c>
      <c r="AW1491" s="60">
        <f t="shared" si="3651"/>
        <v>4.0844066021236407E-2</v>
      </c>
      <c r="AX1491" s="60">
        <f t="shared" si="3651"/>
        <v>9.3162340595646848E-2</v>
      </c>
      <c r="AY1491" s="60">
        <f t="shared" si="3651"/>
        <v>7.5635655911068647E-2</v>
      </c>
      <c r="AZ1491" s="60">
        <f t="shared" si="3651"/>
        <v>8.1807988522310596E-2</v>
      </c>
      <c r="BA1491" s="60">
        <f t="shared" si="3651"/>
        <v>0.1079082816176674</v>
      </c>
      <c r="BB1491" s="60">
        <f t="shared" ref="BB1491" si="3652">IFERROR(BB22/BB1313*BB1,"NA")</f>
        <v>0.12211030444339098</v>
      </c>
      <c r="BC1491" s="60">
        <f t="shared" si="3651"/>
        <v>0.13332616648936299</v>
      </c>
      <c r="BD1491" s="60">
        <f t="shared" si="3651"/>
        <v>0.1376803917504088</v>
      </c>
      <c r="BE1491" s="60">
        <f t="shared" ref="BE1491" si="3653">IFERROR(BE22/BE1313*BE1,"NA")</f>
        <v>0.13651989779343587</v>
      </c>
      <c r="BM1491"/>
      <c r="BN1491"/>
      <c r="BO1491"/>
      <c r="BP1491"/>
      <c r="BQ1491"/>
      <c r="BR1491"/>
    </row>
    <row r="1492" spans="2:70" s="70" customFormat="1" x14ac:dyDescent="0.2">
      <c r="B1492" s="35" t="s">
        <v>990</v>
      </c>
      <c r="C1492" s="914"/>
      <c r="D1492" s="60" t="str">
        <f t="shared" ref="D1492:AE1492" si="3654">IFERROR(D22/(D1313-D1452)*D1,"NA")</f>
        <v>NA</v>
      </c>
      <c r="E1492" s="60">
        <f t="shared" si="3654"/>
        <v>7.778636548203155E-2</v>
      </c>
      <c r="F1492" s="60">
        <f t="shared" si="3654"/>
        <v>1.2749960436305437E-2</v>
      </c>
      <c r="G1492" s="60">
        <f t="shared" si="3654"/>
        <v>3.0160095806117872E-2</v>
      </c>
      <c r="H1492" s="60">
        <f t="shared" si="3654"/>
        <v>0.11588223971804516</v>
      </c>
      <c r="I1492" s="60">
        <f t="shared" si="3654"/>
        <v>0.14894323813898361</v>
      </c>
      <c r="J1492" s="60">
        <f t="shared" si="3654"/>
        <v>0.10509690284158239</v>
      </c>
      <c r="K1492" s="60">
        <f t="shared" si="3654"/>
        <v>7.7239842298605879E-2</v>
      </c>
      <c r="L1492" s="60">
        <f t="shared" si="3654"/>
        <v>0.12138148373041523</v>
      </c>
      <c r="M1492" s="60">
        <f t="shared" si="3654"/>
        <v>2.4519083045176399E-3</v>
      </c>
      <c r="N1492" s="60">
        <f t="shared" si="3654"/>
        <v>7.9175641683737183E-2</v>
      </c>
      <c r="O1492" s="60">
        <f t="shared" si="3654"/>
        <v>5.3736255376012924E-3</v>
      </c>
      <c r="P1492" s="60">
        <f t="shared" si="3654"/>
        <v>0.13613389945649443</v>
      </c>
      <c r="Q1492" s="60">
        <f t="shared" si="3654"/>
        <v>0.13033507654492635</v>
      </c>
      <c r="R1492" s="60">
        <f t="shared" si="3654"/>
        <v>0.11224710684735698</v>
      </c>
      <c r="S1492" s="60">
        <f t="shared" si="3654"/>
        <v>8.3186319241261769E-2</v>
      </c>
      <c r="T1492" s="60">
        <f t="shared" si="3654"/>
        <v>8.7456257567524315E-2</v>
      </c>
      <c r="U1492" s="60">
        <f t="shared" si="3654"/>
        <v>9.4253551747053993E-2</v>
      </c>
      <c r="V1492" s="60">
        <f t="shared" si="3654"/>
        <v>9.0404988026151128E-2</v>
      </c>
      <c r="W1492" s="60">
        <f t="shared" si="3654"/>
        <v>8.4486083757597613E-2</v>
      </c>
      <c r="X1492" s="60">
        <f t="shared" si="3654"/>
        <v>9.6516875457334783E-2</v>
      </c>
      <c r="Y1492" s="60">
        <f t="shared" ref="Y1492" si="3655">IFERROR(Y22/(Y1313-Y1452)*Y1,"NA")</f>
        <v>9.2493080836525604E-2</v>
      </c>
      <c r="Z1492" s="60">
        <f t="shared" si="3654"/>
        <v>9.9308242739529554E-2</v>
      </c>
      <c r="AA1492" s="60">
        <f t="shared" ref="AA1492:AB1492" si="3656">IFERROR(AA22/(AA1313-AA1452)*AA1,"NA")</f>
        <v>-0.49221716908614971</v>
      </c>
      <c r="AB1492" s="60">
        <f t="shared" si="3656"/>
        <v>0.12309556131040295</v>
      </c>
      <c r="AC1492" s="60">
        <f t="shared" si="3654"/>
        <v>0.11501054503233364</v>
      </c>
      <c r="AD1492" s="60">
        <f t="shared" si="3654"/>
        <v>0.11764332120204456</v>
      </c>
      <c r="AE1492" s="60">
        <f t="shared" si="3654"/>
        <v>0.11311081383366195</v>
      </c>
      <c r="AF1492" s="60">
        <f t="shared" ref="AF1492:AI1492" si="3657">IFERROR(AF22/(AF1313-AF1452)*AF1,"NA")</f>
        <v>0.13359789153415355</v>
      </c>
      <c r="AG1492" s="60">
        <f t="shared" si="3657"/>
        <v>0.13568324533027995</v>
      </c>
      <c r="AH1492" s="60">
        <f t="shared" si="3657"/>
        <v>0.13436139035334196</v>
      </c>
      <c r="AI1492" s="60">
        <f t="shared" si="3657"/>
        <v>0.12697967481719155</v>
      </c>
      <c r="AJ1492" s="60"/>
      <c r="AK1492" s="60"/>
      <c r="AL1492" s="60"/>
      <c r="AM1492" s="60"/>
      <c r="AN1492" s="60"/>
      <c r="AO1492" s="60"/>
      <c r="AP1492" s="60"/>
      <c r="AQ1492" s="60"/>
      <c r="AS1492" s="35" t="s">
        <v>990</v>
      </c>
      <c r="AT1492" s="914"/>
      <c r="AU1492" s="60" t="str">
        <f t="shared" ref="AU1492:BD1492" si="3658">IFERROR(AU22/(AU1313-AU1452)*AU1,"NA")</f>
        <v>NA</v>
      </c>
      <c r="AV1492" s="60">
        <f t="shared" si="3658"/>
        <v>0.10955922589634168</v>
      </c>
      <c r="AW1492" s="60">
        <f t="shared" si="3658"/>
        <v>5.2633011651690216E-2</v>
      </c>
      <c r="AX1492" s="60">
        <f t="shared" si="3658"/>
        <v>0.11496687540020832</v>
      </c>
      <c r="AY1492" s="60">
        <f t="shared" si="3658"/>
        <v>8.9191307699454936E-2</v>
      </c>
      <c r="AZ1492" s="60">
        <f t="shared" si="3658"/>
        <v>9.372808219123055E-2</v>
      </c>
      <c r="BA1492" s="60">
        <f t="shared" si="3658"/>
        <v>0.11718841584887418</v>
      </c>
      <c r="BB1492" s="60">
        <f t="shared" ref="BB1492" si="3659">IFERROR(BB22/(BB1313-BB1452)*BB1,"NA")</f>
        <v>0.13265411963875764</v>
      </c>
      <c r="BC1492" s="60">
        <f t="shared" si="3658"/>
        <v>0.14427006983234758</v>
      </c>
      <c r="BD1492" s="60">
        <f t="shared" si="3658"/>
        <v>0.14741318562533787</v>
      </c>
      <c r="BE1492" s="60">
        <f t="shared" ref="BE1492" si="3660">IFERROR(BE22/(BE1313-BE1452)*BE1,"NA")</f>
        <v>0.14444994490217924</v>
      </c>
      <c r="BM1492"/>
      <c r="BN1492"/>
      <c r="BO1492"/>
      <c r="BP1492"/>
      <c r="BQ1492"/>
      <c r="BR1492"/>
    </row>
    <row r="1493" spans="2:70" s="70" customFormat="1" x14ac:dyDescent="0.2">
      <c r="B1493" s="35"/>
      <c r="C1493" s="914"/>
      <c r="D1493" s="108"/>
      <c r="E1493" s="108"/>
      <c r="F1493" s="108"/>
      <c r="G1493" s="108"/>
      <c r="H1493" s="108"/>
      <c r="I1493" s="108"/>
      <c r="J1493" s="108"/>
      <c r="K1493" s="108"/>
      <c r="L1493" s="108"/>
      <c r="M1493" s="108"/>
      <c r="N1493" s="108"/>
      <c r="O1493" s="108"/>
      <c r="P1493" s="108"/>
      <c r="Q1493" s="108"/>
      <c r="R1493" s="108"/>
      <c r="S1493" s="108"/>
      <c r="T1493" s="108"/>
      <c r="U1493" s="108"/>
      <c r="V1493" s="108"/>
      <c r="W1493" s="108"/>
      <c r="X1493" s="108"/>
      <c r="Y1493" s="108"/>
      <c r="Z1493" s="108"/>
      <c r="AA1493" s="108"/>
      <c r="AB1493" s="108"/>
      <c r="AC1493" s="108"/>
      <c r="AD1493" s="108"/>
      <c r="AE1493" s="108"/>
      <c r="AF1493" s="108"/>
      <c r="AG1493" s="108"/>
      <c r="AH1493" s="108"/>
      <c r="AI1493" s="108"/>
      <c r="AJ1493" s="108"/>
      <c r="AK1493" s="108"/>
      <c r="AL1493" s="108"/>
      <c r="AM1493" s="108"/>
      <c r="AN1493" s="108"/>
      <c r="AO1493" s="108"/>
      <c r="AP1493" s="108"/>
      <c r="AQ1493" s="108"/>
      <c r="AS1493" s="35"/>
      <c r="AT1493" s="914"/>
      <c r="AU1493" s="357"/>
      <c r="AV1493" s="357"/>
      <c r="AW1493" s="357"/>
      <c r="AX1493" s="357"/>
      <c r="AY1493" s="357"/>
      <c r="AZ1493" s="357"/>
      <c r="BA1493" s="357"/>
      <c r="BB1493" s="357"/>
      <c r="BC1493" s="357"/>
      <c r="BD1493" s="357"/>
      <c r="BE1493" s="357"/>
      <c r="BM1493"/>
      <c r="BN1493"/>
      <c r="BO1493"/>
      <c r="BP1493"/>
      <c r="BQ1493"/>
      <c r="BR1493"/>
    </row>
    <row r="1494" spans="2:70" s="70" customFormat="1" x14ac:dyDescent="0.2">
      <c r="B1494" s="35" t="s">
        <v>464</v>
      </c>
      <c r="C1494" s="9"/>
      <c r="D1494" s="142" t="str">
        <f t="shared" ref="D1494:AE1494" si="3661">IFERROR(D896/D924,"NA")</f>
        <v>NA</v>
      </c>
      <c r="E1494" s="142">
        <f t="shared" si="3661"/>
        <v>10.496877396734963</v>
      </c>
      <c r="F1494" s="142">
        <f t="shared" si="3661"/>
        <v>10.320188524235741</v>
      </c>
      <c r="G1494" s="142">
        <f t="shared" si="3661"/>
        <v>10.157284922663582</v>
      </c>
      <c r="H1494" s="142">
        <f t="shared" si="3661"/>
        <v>9.8860650390742695</v>
      </c>
      <c r="I1494" s="142">
        <f t="shared" si="3661"/>
        <v>9.7741129358112193</v>
      </c>
      <c r="J1494" s="142">
        <f t="shared" si="3661"/>
        <v>9.3777773289165385</v>
      </c>
      <c r="K1494" s="142">
        <f t="shared" si="3661"/>
        <v>9.3351891636649516</v>
      </c>
      <c r="L1494" s="142">
        <f t="shared" si="3661"/>
        <v>9.1641026138779154</v>
      </c>
      <c r="M1494" s="142">
        <f t="shared" si="3661"/>
        <v>9.0821030128933131</v>
      </c>
      <c r="N1494" s="142">
        <f t="shared" si="3661"/>
        <v>8.9628887039418927</v>
      </c>
      <c r="O1494" s="142">
        <f t="shared" si="3661"/>
        <v>9.0032763738619757</v>
      </c>
      <c r="P1494" s="142">
        <f t="shared" si="3661"/>
        <v>8.7244735819964454</v>
      </c>
      <c r="Q1494" s="142">
        <f t="shared" si="3661"/>
        <v>8.4767082891766119</v>
      </c>
      <c r="R1494" s="142">
        <f t="shared" si="3661"/>
        <v>8.26004796860237</v>
      </c>
      <c r="S1494" s="142">
        <f t="shared" si="3661"/>
        <v>8.060898340881625</v>
      </c>
      <c r="T1494" s="142">
        <f t="shared" si="3661"/>
        <v>7.911362124175807</v>
      </c>
      <c r="U1494" s="142">
        <f t="shared" si="3661"/>
        <v>7.8679175464182318</v>
      </c>
      <c r="V1494" s="142">
        <f t="shared" si="3661"/>
        <v>7.8979335998774447</v>
      </c>
      <c r="W1494" s="142">
        <f t="shared" si="3661"/>
        <v>7.9694325534547126</v>
      </c>
      <c r="X1494" s="142">
        <f t="shared" si="3661"/>
        <v>8.0776256916682119</v>
      </c>
      <c r="Y1494" s="142">
        <f t="shared" ref="Y1494" si="3662">IFERROR(Y896/Y924,"NA")</f>
        <v>8.1597551898828122</v>
      </c>
      <c r="Z1494" s="142">
        <f t="shared" si="3661"/>
        <v>8.269584160925417</v>
      </c>
      <c r="AA1494" s="142">
        <f t="shared" ref="AA1494:AB1494" si="3663">IFERROR(AA896/AA924,"NA")</f>
        <v>8.9160406560622256</v>
      </c>
      <c r="AB1494" s="142">
        <f t="shared" si="3663"/>
        <v>9.4582210577293218</v>
      </c>
      <c r="AC1494" s="142">
        <f t="shared" si="3661"/>
        <v>9.4409705916366811</v>
      </c>
      <c r="AD1494" s="142">
        <f t="shared" si="3661"/>
        <v>9.4993248029995154</v>
      </c>
      <c r="AE1494" s="142">
        <f t="shared" si="3661"/>
        <v>9.6550792416076607</v>
      </c>
      <c r="AF1494" s="142">
        <f t="shared" ref="AF1494:AI1494" si="3664">IFERROR(AF896/AF924,"NA")</f>
        <v>9.7407400598622349</v>
      </c>
      <c r="AG1494" s="142">
        <f t="shared" si="3664"/>
        <v>9.8214706221467267</v>
      </c>
      <c r="AH1494" s="142">
        <f t="shared" si="3664"/>
        <v>9.9840170279321701</v>
      </c>
      <c r="AI1494" s="142">
        <f t="shared" si="3664"/>
        <v>10.163036040919252</v>
      </c>
      <c r="AJ1494" s="142"/>
      <c r="AK1494" s="142"/>
      <c r="AL1494" s="142"/>
      <c r="AM1494" s="142"/>
      <c r="AN1494" s="142"/>
      <c r="AO1494" s="142"/>
      <c r="AP1494" s="142"/>
      <c r="AQ1494" s="142"/>
      <c r="AS1494" s="35" t="s">
        <v>464</v>
      </c>
      <c r="AT1494" s="9"/>
      <c r="AU1494" s="142">
        <f t="shared" ref="AU1494:BD1494" si="3665">IFERROR(AU896/AU924,"NA")</f>
        <v>10.124551577229397</v>
      </c>
      <c r="AV1494" s="142">
        <f t="shared" si="3665"/>
        <v>9.5882701949789801</v>
      </c>
      <c r="AW1494" s="142">
        <f t="shared" si="3665"/>
        <v>9.1593690620193779</v>
      </c>
      <c r="AX1494" s="142">
        <f t="shared" si="3665"/>
        <v>8.4430448891542955</v>
      </c>
      <c r="AY1494" s="142">
        <f t="shared" si="3665"/>
        <v>8.093145732330747</v>
      </c>
      <c r="AZ1494" s="142">
        <f t="shared" si="3665"/>
        <v>8.8078241675668068</v>
      </c>
      <c r="BA1494" s="142">
        <f t="shared" si="3665"/>
        <v>9.5931511679037413</v>
      </c>
      <c r="BB1494" s="142">
        <f t="shared" ref="BB1494" si="3666">IFERROR(BB896/BB924,"NA")</f>
        <v>9.971859972653883</v>
      </c>
      <c r="BC1494" s="142">
        <f t="shared" si="3665"/>
        <v>10.245652146683707</v>
      </c>
      <c r="BD1494" s="142">
        <f t="shared" si="3665"/>
        <v>10.38715931280775</v>
      </c>
      <c r="BE1494" s="142">
        <f t="shared" ref="BE1494" si="3667">IFERROR(BE896/BE924,"NA")</f>
        <v>10.437559330892435</v>
      </c>
      <c r="BM1494"/>
      <c r="BN1494"/>
      <c r="BO1494"/>
      <c r="BP1494"/>
      <c r="BQ1494"/>
      <c r="BR1494"/>
    </row>
    <row r="1495" spans="2:70" s="70" customFormat="1" x14ac:dyDescent="0.2">
      <c r="B1495" s="35"/>
      <c r="C1495" s="9"/>
      <c r="D1495" s="81"/>
      <c r="E1495" s="81"/>
      <c r="F1495" s="81"/>
      <c r="G1495" s="81"/>
      <c r="H1495" s="81"/>
      <c r="I1495" s="81"/>
      <c r="J1495" s="81"/>
      <c r="K1495" s="81"/>
      <c r="L1495" s="81"/>
      <c r="M1495" s="81"/>
      <c r="N1495" s="81"/>
      <c r="O1495" s="81"/>
      <c r="P1495" s="81"/>
      <c r="Q1495" s="81"/>
      <c r="R1495" s="81"/>
      <c r="S1495" s="81"/>
      <c r="T1495" s="81"/>
      <c r="U1495" s="81"/>
      <c r="V1495" s="81"/>
      <c r="W1495" s="81"/>
      <c r="X1495" s="923"/>
      <c r="Y1495" s="923"/>
      <c r="Z1495" s="923"/>
      <c r="AA1495" s="923"/>
      <c r="AB1495" s="923"/>
      <c r="AC1495" s="923"/>
      <c r="AD1495" s="923"/>
      <c r="AE1495" s="923"/>
      <c r="AF1495" s="923"/>
      <c r="AG1495" s="923"/>
      <c r="AH1495" s="923"/>
      <c r="AI1495" s="923"/>
      <c r="AJ1495" s="923"/>
      <c r="AK1495" s="923"/>
      <c r="AL1495" s="923"/>
      <c r="AM1495" s="923"/>
      <c r="AN1495" s="923"/>
      <c r="AO1495" s="923"/>
      <c r="AP1495" s="923"/>
      <c r="AQ1495" s="923"/>
      <c r="AS1495" s="35"/>
      <c r="AT1495" s="9"/>
      <c r="AU1495" s="81"/>
      <c r="AV1495" s="81"/>
      <c r="AW1495" s="81"/>
      <c r="AX1495" s="81"/>
      <c r="AY1495" s="81"/>
      <c r="AZ1495" s="81"/>
      <c r="BA1495" s="81"/>
      <c r="BB1495" s="81"/>
      <c r="BC1495" s="81"/>
      <c r="BD1495" s="81"/>
      <c r="BE1495" s="81"/>
      <c r="BM1495"/>
      <c r="BN1495"/>
      <c r="BO1495"/>
      <c r="BP1495"/>
      <c r="BQ1495"/>
      <c r="BR1495"/>
    </row>
    <row r="1496" spans="2:70" s="70" customFormat="1" x14ac:dyDescent="0.2">
      <c r="B1496" s="110" t="s">
        <v>465</v>
      </c>
      <c r="C1496" s="9"/>
      <c r="D1496" s="81"/>
      <c r="E1496" s="81"/>
      <c r="F1496" s="81"/>
      <c r="G1496" s="81"/>
      <c r="H1496" s="81"/>
      <c r="I1496" s="81"/>
      <c r="J1496" s="81"/>
      <c r="K1496" s="81"/>
      <c r="L1496" s="81"/>
      <c r="M1496" s="81"/>
      <c r="N1496" s="81"/>
      <c r="O1496" s="81"/>
      <c r="P1496" s="81"/>
      <c r="Q1496" s="81"/>
      <c r="R1496" s="81"/>
      <c r="S1496" s="81"/>
      <c r="T1496" s="81"/>
      <c r="U1496" s="81"/>
      <c r="V1496" s="81"/>
      <c r="W1496" s="81"/>
      <c r="X1496" s="81"/>
      <c r="Y1496" s="81"/>
      <c r="Z1496" s="81"/>
      <c r="AA1496" s="81"/>
      <c r="AB1496" s="81"/>
      <c r="AC1496" s="81"/>
      <c r="AD1496" s="81"/>
      <c r="AE1496" s="81"/>
      <c r="AF1496" s="81"/>
      <c r="AG1496" s="81"/>
      <c r="AH1496" s="81"/>
      <c r="AI1496" s="81"/>
      <c r="AJ1496" s="81"/>
      <c r="AK1496" s="81"/>
      <c r="AL1496" s="81"/>
      <c r="AM1496" s="81"/>
      <c r="AN1496" s="81"/>
      <c r="AO1496" s="81"/>
      <c r="AP1496" s="81"/>
      <c r="AQ1496" s="81"/>
      <c r="AS1496" s="110" t="s">
        <v>465</v>
      </c>
      <c r="AT1496" s="9"/>
      <c r="AU1496" s="81"/>
      <c r="AV1496" s="81"/>
      <c r="AW1496" s="81"/>
      <c r="AX1496" s="81"/>
      <c r="AY1496" s="81"/>
      <c r="AZ1496" s="81"/>
      <c r="BA1496" s="81"/>
      <c r="BB1496" s="81"/>
      <c r="BC1496" s="81"/>
      <c r="BD1496" s="81"/>
      <c r="BE1496" s="81"/>
      <c r="BM1496"/>
      <c r="BN1496"/>
      <c r="BO1496"/>
      <c r="BP1496"/>
      <c r="BQ1496"/>
      <c r="BR1496"/>
    </row>
    <row r="1497" spans="2:70" s="70" customFormat="1" x14ac:dyDescent="0.2">
      <c r="B1497" s="35" t="s">
        <v>665</v>
      </c>
      <c r="C1497" s="9"/>
      <c r="D1497" s="60">
        <f t="shared" ref="D1497:AE1497" si="3668">D780/D769</f>
        <v>0.60455332838406339</v>
      </c>
      <c r="E1497" s="60">
        <f t="shared" si="3668"/>
        <v>0.63421470121628765</v>
      </c>
      <c r="F1497" s="60">
        <f t="shared" si="3668"/>
        <v>0.62448368442792235</v>
      </c>
      <c r="G1497" s="60">
        <f t="shared" si="3668"/>
        <v>0.73595927116827442</v>
      </c>
      <c r="H1497" s="60">
        <f t="shared" si="3668"/>
        <v>0.59179348873049509</v>
      </c>
      <c r="I1497" s="60">
        <f t="shared" si="3668"/>
        <v>0.59974329861282516</v>
      </c>
      <c r="J1497" s="60">
        <f t="shared" si="3668"/>
        <v>0.63465927616563422</v>
      </c>
      <c r="K1497" s="60">
        <f t="shared" si="3668"/>
        <v>0.67672318872495041</v>
      </c>
      <c r="L1497" s="60">
        <f t="shared" si="3668"/>
        <v>0.59767796526787031</v>
      </c>
      <c r="M1497" s="60">
        <f t="shared" si="3668"/>
        <v>0.79273711629807442</v>
      </c>
      <c r="N1497" s="60">
        <f t="shared" si="3668"/>
        <v>0.64184502576298053</v>
      </c>
      <c r="O1497" s="60">
        <f t="shared" si="3668"/>
        <v>0.80073268206039072</v>
      </c>
      <c r="P1497" s="60">
        <f t="shared" si="3668"/>
        <v>0.54605659241420834</v>
      </c>
      <c r="Q1497" s="60">
        <f t="shared" si="3668"/>
        <v>0.56665802437127299</v>
      </c>
      <c r="R1497" s="60">
        <f t="shared" si="3668"/>
        <v>0.5732323232323232</v>
      </c>
      <c r="S1497" s="60">
        <f t="shared" si="3668"/>
        <v>0.5933386624034106</v>
      </c>
      <c r="T1497" s="60">
        <f t="shared" si="3668"/>
        <v>0.59539436460337214</v>
      </c>
      <c r="U1497" s="60">
        <f t="shared" si="3668"/>
        <v>0.58704636811413691</v>
      </c>
      <c r="V1497" s="60">
        <f t="shared" si="3668"/>
        <v>0.58207452165156093</v>
      </c>
      <c r="W1497" s="60">
        <f t="shared" si="3668"/>
        <v>0.59094890510948905</v>
      </c>
      <c r="X1497" s="60">
        <f t="shared" si="3668"/>
        <v>0.57996646654767703</v>
      </c>
      <c r="Y1497" s="60">
        <f t="shared" ref="Y1497:Z1497" si="3669">Y780/Y769</f>
        <v>0.58871806095092194</v>
      </c>
      <c r="Z1497" s="60">
        <f t="shared" si="3669"/>
        <v>0.56180563046057597</v>
      </c>
      <c r="AA1497" s="60">
        <f t="shared" ref="AA1497:AB1497" si="3670">AA780/AA769</f>
        <v>0.58598003629764062</v>
      </c>
      <c r="AB1497" s="60">
        <f t="shared" si="3670"/>
        <v>0.57694338825517533</v>
      </c>
      <c r="AC1497" s="60">
        <f t="shared" si="3668"/>
        <v>0.56984924745973697</v>
      </c>
      <c r="AD1497" s="60">
        <f t="shared" si="3668"/>
        <v>0.56150372900345413</v>
      </c>
      <c r="AE1497" s="60">
        <f t="shared" si="3668"/>
        <v>0.55649865646265517</v>
      </c>
      <c r="AF1497" s="60">
        <f t="shared" ref="AF1497:AI1497" si="3671">AF780/AF769</f>
        <v>0.5535819993500094</v>
      </c>
      <c r="AG1497" s="60">
        <f t="shared" si="3671"/>
        <v>0.54456025695188559</v>
      </c>
      <c r="AH1497" s="60">
        <f t="shared" si="3671"/>
        <v>0.54117824397828829</v>
      </c>
      <c r="AI1497" s="60">
        <f t="shared" si="3671"/>
        <v>0.53798384291471413</v>
      </c>
      <c r="AJ1497" s="60"/>
      <c r="AK1497" s="60"/>
      <c r="AL1497" s="60"/>
      <c r="AM1497" s="60"/>
      <c r="AN1497" s="60"/>
      <c r="AO1497" s="60"/>
      <c r="AP1497" s="60"/>
      <c r="AQ1497" s="60"/>
      <c r="AS1497" s="35" t="s">
        <v>81</v>
      </c>
      <c r="AT1497" s="9"/>
      <c r="AU1497" s="60">
        <f t="shared" ref="AU1497:BD1497" si="3672">AU780/AU769</f>
        <v>0.64861361367849324</v>
      </c>
      <c r="AV1497" s="60">
        <f t="shared" si="3672"/>
        <v>0.62391895549512155</v>
      </c>
      <c r="AW1497" s="60">
        <f t="shared" si="3672"/>
        <v>0.70482421324866207</v>
      </c>
      <c r="AX1497" s="60">
        <f t="shared" si="3672"/>
        <v>0.56943102592892392</v>
      </c>
      <c r="AY1497" s="60">
        <f t="shared" si="3672"/>
        <v>0.5888307552320291</v>
      </c>
      <c r="AZ1497" s="60">
        <f t="shared" si="3672"/>
        <v>0.5789964354263778</v>
      </c>
      <c r="BA1497" s="60">
        <f t="shared" si="3672"/>
        <v>0.56622010871879858</v>
      </c>
      <c r="BB1497" s="60">
        <f t="shared" ref="BB1497" si="3673">BB780/BB769</f>
        <v>0.54435333801517327</v>
      </c>
      <c r="BC1497" s="60">
        <f t="shared" si="3672"/>
        <v>0.52826300232049883</v>
      </c>
      <c r="BD1497" s="60">
        <f t="shared" si="3672"/>
        <v>0.51836296122826386</v>
      </c>
      <c r="BE1497" s="60">
        <f t="shared" ref="BE1497" si="3674">BE780/BE769</f>
        <v>0.51380594105829758</v>
      </c>
      <c r="BM1497"/>
      <c r="BN1497"/>
      <c r="BO1497"/>
      <c r="BP1497"/>
      <c r="BQ1497"/>
      <c r="BR1497"/>
    </row>
    <row r="1498" spans="2:70" s="70" customFormat="1" x14ac:dyDescent="0.2">
      <c r="C1498" s="35" t="s">
        <v>668</v>
      </c>
      <c r="D1498" s="60">
        <f t="shared" ref="D1498:X1498" si="3675">D772/D769</f>
        <v>0.31487255629794603</v>
      </c>
      <c r="E1498" s="60">
        <f t="shared" si="3675"/>
        <v>0.32284505552617665</v>
      </c>
      <c r="F1498" s="60">
        <f t="shared" si="3675"/>
        <v>0.3156237092110698</v>
      </c>
      <c r="G1498" s="60">
        <f t="shared" si="3675"/>
        <v>0.35042872454448015</v>
      </c>
      <c r="H1498" s="60">
        <f t="shared" si="3675"/>
        <v>0.30509535734925836</v>
      </c>
      <c r="I1498" s="60">
        <f t="shared" si="3675"/>
        <v>0.29989633213210248</v>
      </c>
      <c r="J1498" s="60">
        <f t="shared" si="3675"/>
        <v>0.31670470601021627</v>
      </c>
      <c r="K1498" s="60">
        <f t="shared" si="3675"/>
        <v>0.3154040960140938</v>
      </c>
      <c r="L1498" s="60">
        <f t="shared" si="3675"/>
        <v>0.2956658631376986</v>
      </c>
      <c r="M1498" s="60">
        <f t="shared" si="3675"/>
        <v>0.30788089279329894</v>
      </c>
      <c r="N1498" s="60">
        <f t="shared" si="3675"/>
        <v>0.30291319857312721</v>
      </c>
      <c r="O1498" s="60">
        <f t="shared" si="3675"/>
        <v>0.3223246003552398</v>
      </c>
      <c r="P1498" s="60">
        <f t="shared" si="3675"/>
        <v>0.2769416014449127</v>
      </c>
      <c r="Q1498" s="60">
        <f t="shared" si="3675"/>
        <v>0.28431423386051335</v>
      </c>
      <c r="R1498" s="60">
        <f t="shared" si="3675"/>
        <v>0.28589082312486569</v>
      </c>
      <c r="S1498" s="60">
        <f t="shared" si="3675"/>
        <v>0.29016786570743403</v>
      </c>
      <c r="T1498" s="60">
        <f t="shared" si="3675"/>
        <v>0.31436007694919088</v>
      </c>
      <c r="U1498" s="60">
        <f t="shared" si="3675"/>
        <v>0.29604257487403046</v>
      </c>
      <c r="V1498" s="60">
        <f t="shared" si="3675"/>
        <v>0.29109320801163702</v>
      </c>
      <c r="W1498" s="60">
        <f t="shared" si="3675"/>
        <v>0.29091970802919709</v>
      </c>
      <c r="X1498" s="60">
        <f t="shared" si="3675"/>
        <v>0.2993131050895127</v>
      </c>
      <c r="Y1498" s="60">
        <f t="shared" ref="Y1498:Z1498" si="3676">Y772/Y769</f>
        <v>0.29890025715379986</v>
      </c>
      <c r="Z1498" s="60">
        <f t="shared" si="3676"/>
        <v>0.28605328443533601</v>
      </c>
      <c r="AA1498" s="60">
        <f t="shared" ref="AA1498:AB1498" si="3677">AA772/AA769</f>
        <v>0.27676950998185118</v>
      </c>
      <c r="AB1498" s="60">
        <f t="shared" si="3677"/>
        <v>0.30666455428812844</v>
      </c>
      <c r="AC1498" s="814">
        <f>Drivers!AC302</f>
        <v>0.28999999999999998</v>
      </c>
      <c r="AD1498" s="814">
        <f>Drivers!AD302</f>
        <v>0.28999999999999998</v>
      </c>
      <c r="AE1498" s="814">
        <f>Drivers!AE302</f>
        <v>0.28000000000000003</v>
      </c>
      <c r="AF1498" s="814">
        <f>Drivers!AF302</f>
        <v>0.28999999999999998</v>
      </c>
      <c r="AG1498" s="814">
        <f>Drivers!AG302</f>
        <v>0.27500000000000002</v>
      </c>
      <c r="AH1498" s="814">
        <f>Drivers!AH302</f>
        <v>0.27500000000000002</v>
      </c>
      <c r="AI1498" s="814">
        <f>Drivers!AI302</f>
        <v>0.27500000000000002</v>
      </c>
      <c r="AJ1498" s="814"/>
      <c r="AK1498" s="814"/>
      <c r="AL1498" s="814"/>
      <c r="AM1498" s="814"/>
      <c r="AN1498" s="814"/>
      <c r="AO1498" s="814"/>
      <c r="AP1498" s="814"/>
      <c r="AQ1498" s="814"/>
      <c r="AT1498" s="35" t="s">
        <v>666</v>
      </c>
      <c r="AU1498" s="60">
        <f t="shared" ref="AU1498:BA1498" si="3678">AU772/AU769</f>
        <v>0.32561606367395618</v>
      </c>
      <c r="AV1498" s="60">
        <f t="shared" si="3678"/>
        <v>0.30890484230605642</v>
      </c>
      <c r="AW1498" s="60">
        <f t="shared" si="3678"/>
        <v>0.30674980155173737</v>
      </c>
      <c r="AX1498" s="60">
        <f t="shared" si="3678"/>
        <v>0.2842128626263154</v>
      </c>
      <c r="AY1498" s="60">
        <f t="shared" si="3678"/>
        <v>0.2981403548680619</v>
      </c>
      <c r="AZ1498" s="60">
        <f t="shared" si="3678"/>
        <v>0.29038936111872771</v>
      </c>
      <c r="BA1498" s="60">
        <f t="shared" si="3678"/>
        <v>0.2916894088390104</v>
      </c>
      <c r="BB1498" s="60">
        <f t="shared" ref="BB1498" si="3679">BB772/BB769</f>
        <v>0.27875398090450626</v>
      </c>
      <c r="BC1498" s="814">
        <f>Drivers!BC302</f>
        <v>0.28000000000000003</v>
      </c>
      <c r="BD1498" s="814">
        <f>Drivers!BD302</f>
        <v>0.28000000000000003</v>
      </c>
      <c r="BE1498" s="814">
        <f>Drivers!BE302</f>
        <v>0.28000000000000003</v>
      </c>
      <c r="BM1498"/>
      <c r="BN1498"/>
      <c r="BO1498"/>
      <c r="BP1498"/>
      <c r="BQ1498"/>
      <c r="BR1498"/>
    </row>
    <row r="1499" spans="2:70" s="70" customFormat="1" x14ac:dyDescent="0.2">
      <c r="B1499" s="10"/>
      <c r="C1499" s="9" t="s">
        <v>667</v>
      </c>
      <c r="D1499" s="68">
        <f>D1497-D1498</f>
        <v>0.28968077208611737</v>
      </c>
      <c r="E1499" s="68">
        <f t="shared" ref="E1499:AE1499" si="3680">E1497-E1498</f>
        <v>0.311369645690111</v>
      </c>
      <c r="F1499" s="68">
        <f t="shared" si="3680"/>
        <v>0.30885997521685254</v>
      </c>
      <c r="G1499" s="68">
        <f t="shared" si="3680"/>
        <v>0.38553054662379427</v>
      </c>
      <c r="H1499" s="68">
        <f t="shared" si="3680"/>
        <v>0.28669813138123673</v>
      </c>
      <c r="I1499" s="68">
        <f t="shared" si="3680"/>
        <v>0.29984696648072268</v>
      </c>
      <c r="J1499" s="68">
        <f t="shared" si="3680"/>
        <v>0.31795457015541795</v>
      </c>
      <c r="K1499" s="68">
        <f t="shared" si="3680"/>
        <v>0.3613190927108566</v>
      </c>
      <c r="L1499" s="68">
        <f t="shared" si="3680"/>
        <v>0.30201210213017171</v>
      </c>
      <c r="M1499" s="68">
        <f t="shared" si="3680"/>
        <v>0.48485622350477547</v>
      </c>
      <c r="N1499" s="68">
        <f t="shared" si="3680"/>
        <v>0.33893182718985332</v>
      </c>
      <c r="O1499" s="68">
        <f t="shared" si="3680"/>
        <v>0.47840808170515092</v>
      </c>
      <c r="P1499" s="68">
        <f t="shared" si="3680"/>
        <v>0.26911499096929564</v>
      </c>
      <c r="Q1499" s="68">
        <f t="shared" si="3680"/>
        <v>0.28234379051075964</v>
      </c>
      <c r="R1499" s="68">
        <f t="shared" si="3680"/>
        <v>0.28734150010745751</v>
      </c>
      <c r="S1499" s="68">
        <f t="shared" si="3680"/>
        <v>0.30317079669597657</v>
      </c>
      <c r="T1499" s="68">
        <f t="shared" si="3680"/>
        <v>0.28103428765418126</v>
      </c>
      <c r="U1499" s="68">
        <f t="shared" si="3680"/>
        <v>0.29100379324010645</v>
      </c>
      <c r="V1499" s="68">
        <f t="shared" si="3680"/>
        <v>0.29098131363992391</v>
      </c>
      <c r="W1499" s="68">
        <f t="shared" si="3680"/>
        <v>0.30002919708029196</v>
      </c>
      <c r="X1499" s="68">
        <f>X1497-X1498</f>
        <v>0.28065336145816433</v>
      </c>
      <c r="Y1499" s="68">
        <f>Y1497-Y1498</f>
        <v>0.28981780379712208</v>
      </c>
      <c r="Z1499" s="68">
        <f>Z1497-Z1498</f>
        <v>0.27575234602523996</v>
      </c>
      <c r="AA1499" s="68">
        <f>AA1497-AA1498</f>
        <v>0.30921052631578944</v>
      </c>
      <c r="AB1499" s="68">
        <f>AB1497-AB1498</f>
        <v>0.27027883396704688</v>
      </c>
      <c r="AC1499" s="68">
        <f t="shared" si="3680"/>
        <v>0.27984924745973699</v>
      </c>
      <c r="AD1499" s="68">
        <f t="shared" si="3680"/>
        <v>0.27150372900345415</v>
      </c>
      <c r="AE1499" s="68">
        <f t="shared" si="3680"/>
        <v>0.27649865646265515</v>
      </c>
      <c r="AF1499" s="68">
        <f t="shared" ref="AF1499:AI1499" si="3681">AF1497-AF1498</f>
        <v>0.26358199935000942</v>
      </c>
      <c r="AG1499" s="68">
        <f t="shared" si="3681"/>
        <v>0.26956025695188557</v>
      </c>
      <c r="AH1499" s="68">
        <f t="shared" si="3681"/>
        <v>0.26617824397828826</v>
      </c>
      <c r="AI1499" s="68">
        <f t="shared" si="3681"/>
        <v>0.26298384291471411</v>
      </c>
      <c r="AJ1499" s="68"/>
      <c r="AK1499" s="68"/>
      <c r="AL1499" s="68"/>
      <c r="AM1499" s="68"/>
      <c r="AN1499" s="68"/>
      <c r="AO1499" s="68"/>
      <c r="AP1499" s="68"/>
      <c r="AQ1499" s="68"/>
      <c r="AT1499" s="9" t="s">
        <v>667</v>
      </c>
      <c r="AU1499" s="68">
        <f t="shared" ref="AU1499:BD1499" si="3682">AU1497-AU1498</f>
        <v>0.32299755000453706</v>
      </c>
      <c r="AV1499" s="68">
        <f t="shared" si="3682"/>
        <v>0.31501411318906514</v>
      </c>
      <c r="AW1499" s="68">
        <f t="shared" si="3682"/>
        <v>0.3980744116969247</v>
      </c>
      <c r="AX1499" s="68">
        <f t="shared" si="3682"/>
        <v>0.28521816330260852</v>
      </c>
      <c r="AY1499" s="68">
        <f t="shared" si="3682"/>
        <v>0.29069040036396721</v>
      </c>
      <c r="AZ1499" s="68">
        <f t="shared" si="3682"/>
        <v>0.28860707430765009</v>
      </c>
      <c r="BA1499" s="68">
        <f t="shared" si="3682"/>
        <v>0.27453069987978818</v>
      </c>
      <c r="BB1499" s="68">
        <f t="shared" ref="BB1499" si="3683">BB1497-BB1498</f>
        <v>0.26559935711066701</v>
      </c>
      <c r="BC1499" s="68">
        <f t="shared" si="3682"/>
        <v>0.2482630023204988</v>
      </c>
      <c r="BD1499" s="68">
        <f t="shared" si="3682"/>
        <v>0.23836296122826384</v>
      </c>
      <c r="BE1499" s="68">
        <f t="shared" ref="BE1499" si="3684">BE1497-BE1498</f>
        <v>0.23380594105829755</v>
      </c>
      <c r="BM1499"/>
      <c r="BN1499"/>
      <c r="BO1499"/>
      <c r="BP1499"/>
      <c r="BQ1499"/>
      <c r="BR1499"/>
    </row>
    <row r="1500" spans="2:70" s="70" customFormat="1" x14ac:dyDescent="0.2">
      <c r="B1500" s="35"/>
      <c r="C1500" s="9"/>
      <c r="D1500" s="60"/>
      <c r="E1500" s="60"/>
      <c r="F1500" s="60"/>
      <c r="G1500" s="60"/>
      <c r="H1500" s="60"/>
      <c r="I1500" s="60"/>
      <c r="J1500" s="60"/>
      <c r="K1500" s="60"/>
      <c r="L1500" s="60"/>
      <c r="M1500" s="60"/>
      <c r="N1500" s="60"/>
      <c r="O1500" s="60"/>
      <c r="P1500" s="60"/>
      <c r="Q1500" s="60"/>
      <c r="R1500" s="60"/>
      <c r="S1500" s="60"/>
      <c r="T1500" s="60"/>
      <c r="U1500" s="60"/>
      <c r="V1500" s="60"/>
      <c r="W1500" s="60"/>
      <c r="X1500" s="60"/>
      <c r="Y1500" s="60"/>
      <c r="Z1500" s="60"/>
      <c r="AA1500" s="60"/>
      <c r="AB1500" s="60"/>
      <c r="AC1500" s="60"/>
      <c r="AD1500" s="60"/>
      <c r="AE1500" s="60"/>
      <c r="AF1500" s="60"/>
      <c r="AG1500" s="60"/>
      <c r="AH1500" s="60"/>
      <c r="AI1500" s="60"/>
      <c r="AJ1500" s="60"/>
      <c r="AK1500" s="60"/>
      <c r="AL1500" s="60"/>
      <c r="AM1500" s="60"/>
      <c r="AN1500" s="60"/>
      <c r="AO1500" s="60"/>
      <c r="AP1500" s="60"/>
      <c r="AQ1500" s="60"/>
      <c r="AS1500" s="35"/>
      <c r="AT1500" s="9"/>
      <c r="AU1500" s="60"/>
      <c r="AV1500" s="60"/>
      <c r="AW1500" s="60"/>
      <c r="AX1500" s="60"/>
      <c r="AY1500" s="60"/>
      <c r="AZ1500" s="60"/>
      <c r="BA1500" s="60">
        <f>(BA780-1000)/(BA751+BA765-1000)</f>
        <v>0.56265265778501183</v>
      </c>
      <c r="BB1500" s="60"/>
      <c r="BC1500" s="60"/>
      <c r="BD1500" s="60"/>
      <c r="BE1500" s="60"/>
      <c r="BM1500"/>
      <c r="BN1500"/>
      <c r="BO1500"/>
      <c r="BP1500"/>
      <c r="BQ1500"/>
      <c r="BR1500"/>
    </row>
    <row r="1501" spans="2:70" s="70" customFormat="1" x14ac:dyDescent="0.2">
      <c r="B1501" s="35" t="s">
        <v>989</v>
      </c>
      <c r="C1501" s="914"/>
      <c r="D1501" s="60">
        <f t="shared" ref="D1501:AE1501" si="3685">D780/(D751+D765)</f>
        <v>0.65032209977106958</v>
      </c>
      <c r="E1501" s="60">
        <f t="shared" si="3685"/>
        <v>0.63411410141172742</v>
      </c>
      <c r="F1501" s="60">
        <f t="shared" si="3685"/>
        <v>0.65651631113282305</v>
      </c>
      <c r="G1501" s="60">
        <f t="shared" si="3685"/>
        <v>0.76116838487972505</v>
      </c>
      <c r="H1501" s="60">
        <f t="shared" si="3685"/>
        <v>0.60478393542671527</v>
      </c>
      <c r="I1501" s="60">
        <f t="shared" si="3685"/>
        <v>0.58998640248640244</v>
      </c>
      <c r="J1501" s="60">
        <f t="shared" si="3685"/>
        <v>0.65096705869238058</v>
      </c>
      <c r="K1501" s="60">
        <f t="shared" si="3685"/>
        <v>0.68774128573826443</v>
      </c>
      <c r="L1501" s="60">
        <f t="shared" si="3685"/>
        <v>0.60125705236068494</v>
      </c>
      <c r="M1501" s="60">
        <f t="shared" si="3685"/>
        <v>0.79902187902187904</v>
      </c>
      <c r="N1501" s="60">
        <f t="shared" si="3685"/>
        <v>0.65798161409924327</v>
      </c>
      <c r="O1501" s="60">
        <f t="shared" si="3685"/>
        <v>0.80596681378847979</v>
      </c>
      <c r="P1501" s="60">
        <f t="shared" si="3685"/>
        <v>0.55147952979327119</v>
      </c>
      <c r="Q1501" s="60">
        <f t="shared" si="3685"/>
        <v>0.56127375449409345</v>
      </c>
      <c r="R1501" s="60">
        <f t="shared" si="3685"/>
        <v>0.57077894286325703</v>
      </c>
      <c r="S1501" s="60">
        <f t="shared" si="3685"/>
        <v>0.60327264846120499</v>
      </c>
      <c r="T1501" s="60">
        <f t="shared" si="3685"/>
        <v>0.59943036172030761</v>
      </c>
      <c r="U1501" s="60">
        <f t="shared" si="3685"/>
        <v>0.5908935491224071</v>
      </c>
      <c r="V1501" s="60">
        <f t="shared" si="3685"/>
        <v>0.58581081081081077</v>
      </c>
      <c r="W1501" s="60">
        <f t="shared" si="3685"/>
        <v>0.59487420644251121</v>
      </c>
      <c r="X1501" s="60">
        <f t="shared" si="3685"/>
        <v>0.58385059348796686</v>
      </c>
      <c r="Y1501" s="60">
        <f t="shared" ref="Y1501" si="3686">Y780/(Y751+Y765)</f>
        <v>0.59267419443679425</v>
      </c>
      <c r="Z1501" s="1687">
        <f>Z780/(Z751+Z765-500)</f>
        <v>0.58133824432166969</v>
      </c>
      <c r="AA1501" s="60">
        <f t="shared" si="3685"/>
        <v>0.59026508226691043</v>
      </c>
      <c r="AB1501" s="60">
        <f t="shared" ref="AB1501" si="3687">AB780/(AB751+AB765)</f>
        <v>0.57889995760915647</v>
      </c>
      <c r="AC1501" s="60">
        <f t="shared" si="3685"/>
        <v>0.5721316164925293</v>
      </c>
      <c r="AD1501" s="60">
        <f t="shared" si="3685"/>
        <v>0.5637407312471443</v>
      </c>
      <c r="AE1501" s="60">
        <f t="shared" si="3685"/>
        <v>0.55884751382360542</v>
      </c>
      <c r="AF1501" s="60">
        <f t="shared" ref="AF1501:AI1501" si="3688">AF780/(AF751+AF765)</f>
        <v>0.55538406716403421</v>
      </c>
      <c r="AG1501" s="60">
        <f t="shared" si="3688"/>
        <v>0.54666711852379291</v>
      </c>
      <c r="AH1501" s="60">
        <f t="shared" si="3688"/>
        <v>0.54328167592256982</v>
      </c>
      <c r="AI1501" s="60">
        <f t="shared" si="3688"/>
        <v>0.54021674786227802</v>
      </c>
      <c r="AJ1501" s="60"/>
      <c r="AK1501" s="60"/>
      <c r="AL1501" s="60"/>
      <c r="AM1501" s="60"/>
      <c r="AN1501" s="60"/>
      <c r="AO1501" s="60"/>
      <c r="AP1501" s="60"/>
      <c r="AQ1501" s="60"/>
      <c r="AS1501" s="35" t="s">
        <v>989</v>
      </c>
      <c r="AT1501" s="914"/>
      <c r="AU1501" s="60">
        <f t="shared" ref="AU1501:BD1501" si="3689">AU780/(AU751+AU765)</f>
        <v>0.67469424630196462</v>
      </c>
      <c r="AV1501" s="60">
        <f t="shared" si="3689"/>
        <v>0.63093686460559928</v>
      </c>
      <c r="AW1501" s="60">
        <f t="shared" si="3689"/>
        <v>0.71292039523951356</v>
      </c>
      <c r="AX1501" s="60">
        <f t="shared" si="3689"/>
        <v>0.57122089216020122</v>
      </c>
      <c r="AY1501" s="60">
        <f t="shared" si="3689"/>
        <v>0.5927155635062612</v>
      </c>
      <c r="AZ1501" s="1687">
        <f>AZ780/(AZ751+AZ765-500)</f>
        <v>0.5870121205381964</v>
      </c>
      <c r="BA1501" s="60">
        <f t="shared" si="3689"/>
        <v>0.56842829745044865</v>
      </c>
      <c r="BB1501" s="60">
        <f t="shared" ref="BB1501" si="3690">BB780/(BB751+BB765)</f>
        <v>0.54641575806059506</v>
      </c>
      <c r="BC1501" s="60">
        <f t="shared" si="3689"/>
        <v>0.53021332017889067</v>
      </c>
      <c r="BD1501" s="60">
        <f t="shared" si="3689"/>
        <v>0.52024495848070829</v>
      </c>
      <c r="BE1501" s="60">
        <f t="shared" ref="BE1501" si="3691">BE780/(BE751+BE765)</f>
        <v>0.51564280395471329</v>
      </c>
      <c r="BM1501"/>
      <c r="BN1501"/>
      <c r="BO1501"/>
      <c r="BP1501"/>
      <c r="BQ1501"/>
      <c r="BR1501"/>
    </row>
    <row r="1502" spans="2:70" s="70" customFormat="1" x14ac:dyDescent="0.2">
      <c r="C1502" s="35" t="s">
        <v>668</v>
      </c>
      <c r="D1502" s="60">
        <f t="shared" ref="D1502:AE1502" si="3692">D772/(D751+D765)</f>
        <v>0.33871053612309004</v>
      </c>
      <c r="E1502" s="60">
        <f t="shared" si="3692"/>
        <v>0.32279384550309309</v>
      </c>
      <c r="F1502" s="60">
        <f t="shared" si="3692"/>
        <v>0.33181349400206261</v>
      </c>
      <c r="G1502" s="60">
        <f t="shared" si="3692"/>
        <v>0.36243210287107858</v>
      </c>
      <c r="H1502" s="60">
        <f t="shared" si="3692"/>
        <v>0.31179249926173835</v>
      </c>
      <c r="I1502" s="60">
        <f t="shared" si="3692"/>
        <v>0.2950174825174825</v>
      </c>
      <c r="J1502" s="60">
        <f t="shared" si="3692"/>
        <v>0.32484253943481411</v>
      </c>
      <c r="K1502" s="60">
        <f t="shared" si="3692"/>
        <v>0.32053936104738989</v>
      </c>
      <c r="L1502" s="60">
        <f t="shared" si="3692"/>
        <v>0.29743640502820945</v>
      </c>
      <c r="M1502" s="60">
        <f t="shared" si="3692"/>
        <v>0.3103217503217503</v>
      </c>
      <c r="N1502" s="60">
        <f t="shared" si="3692"/>
        <v>0.31052872162120981</v>
      </c>
      <c r="O1502" s="60">
        <f t="shared" si="3692"/>
        <v>0.32443153248784851</v>
      </c>
      <c r="P1502" s="60">
        <f t="shared" si="3692"/>
        <v>0.27969193352249694</v>
      </c>
      <c r="Q1502" s="60">
        <f t="shared" si="3692"/>
        <v>0.28161273754494093</v>
      </c>
      <c r="R1502" s="60">
        <f t="shared" si="3692"/>
        <v>0.28466723732077892</v>
      </c>
      <c r="S1502" s="60">
        <f t="shared" si="3692"/>
        <v>0.29502600780234073</v>
      </c>
      <c r="T1502" s="60">
        <f t="shared" si="3692"/>
        <v>0.31649102819709485</v>
      </c>
      <c r="U1502" s="60">
        <f t="shared" si="3692"/>
        <v>0.29798267608844314</v>
      </c>
      <c r="V1502" s="60">
        <f t="shared" si="3692"/>
        <v>0.2929617117117117</v>
      </c>
      <c r="W1502" s="60">
        <f t="shared" si="3692"/>
        <v>0.2928521043968963</v>
      </c>
      <c r="X1502" s="60">
        <f t="shared" si="3692"/>
        <v>0.30131765218338236</v>
      </c>
      <c r="Y1502" s="60">
        <f t="shared" ref="Y1502" si="3693">Y772/(Y751+Y765)</f>
        <v>0.30090884053979622</v>
      </c>
      <c r="Z1502" s="60">
        <f t="shared" si="3692"/>
        <v>0.28796351593463271</v>
      </c>
      <c r="AA1502" s="60">
        <f t="shared" ref="AA1502:AB1502" si="3694">AA772/(AA751+AA765)</f>
        <v>0.27879341864716634</v>
      </c>
      <c r="AB1502" s="60">
        <f t="shared" si="3694"/>
        <v>0.3077045358202628</v>
      </c>
      <c r="AC1502" s="60">
        <f t="shared" si="3692"/>
        <v>0.29116151249204997</v>
      </c>
      <c r="AD1502" s="60">
        <f t="shared" si="3692"/>
        <v>0.29115534522241104</v>
      </c>
      <c r="AE1502" s="60">
        <f t="shared" si="3692"/>
        <v>0.28118181787759661</v>
      </c>
      <c r="AF1502" s="60">
        <f t="shared" ref="AF1502:AI1502" si="3695">AF772/(AF751+AF765)</f>
        <v>0.29094403298279348</v>
      </c>
      <c r="AG1502" s="60">
        <f t="shared" si="3695"/>
        <v>0.27606395375879539</v>
      </c>
      <c r="AH1502" s="60">
        <f t="shared" si="3695"/>
        <v>0.27606886001259989</v>
      </c>
      <c r="AI1502" s="60">
        <f t="shared" si="3695"/>
        <v>0.2761413890373608</v>
      </c>
      <c r="AJ1502" s="60"/>
      <c r="AK1502" s="60"/>
      <c r="AL1502" s="60"/>
      <c r="AM1502" s="60"/>
      <c r="AN1502" s="60"/>
      <c r="AO1502" s="60"/>
      <c r="AP1502" s="60"/>
      <c r="AQ1502" s="60"/>
      <c r="AT1502" s="35" t="s">
        <v>668</v>
      </c>
      <c r="AU1502" s="60">
        <f t="shared" ref="AU1502:BD1502" si="3696">AU772/(AU751+AU765)</f>
        <v>0.33870902495921035</v>
      </c>
      <c r="AV1502" s="60">
        <f t="shared" si="3696"/>
        <v>0.31237943798550649</v>
      </c>
      <c r="AW1502" s="60">
        <f t="shared" si="3696"/>
        <v>0.3102733783136275</v>
      </c>
      <c r="AX1502" s="60">
        <f t="shared" si="3696"/>
        <v>0.28510621578437279</v>
      </c>
      <c r="AY1502" s="60">
        <f t="shared" si="3696"/>
        <v>0.30010733452593918</v>
      </c>
      <c r="AZ1502" s="60">
        <f t="shared" si="3696"/>
        <v>0.29237756059853126</v>
      </c>
      <c r="BA1502" s="60">
        <f t="shared" si="3696"/>
        <v>0.29282696163132893</v>
      </c>
      <c r="BB1502" s="60">
        <f t="shared" ref="BB1502" si="3697">BB772/(BB751+BB765)</f>
        <v>0.27981011073380946</v>
      </c>
      <c r="BC1502" s="60">
        <f t="shared" si="3696"/>
        <v>0.28103374455138996</v>
      </c>
      <c r="BD1502" s="60">
        <f t="shared" si="3696"/>
        <v>0.28101658349476938</v>
      </c>
      <c r="BE1502" s="60">
        <f t="shared" ref="BE1502" si="3698">BE772/(BE751+BE765)</f>
        <v>0.28100100362782315</v>
      </c>
      <c r="BM1502"/>
      <c r="BN1502"/>
      <c r="BO1502"/>
      <c r="BP1502"/>
      <c r="BQ1502"/>
      <c r="BR1502"/>
    </row>
    <row r="1503" spans="2:70" s="70" customFormat="1" x14ac:dyDescent="0.2">
      <c r="B1503" s="10"/>
      <c r="C1503" s="914" t="s">
        <v>667</v>
      </c>
      <c r="D1503" s="60">
        <f>D1501-D1502</f>
        <v>0.31161156364797954</v>
      </c>
      <c r="E1503" s="60">
        <f t="shared" ref="E1503:AE1503" si="3699">E1501-E1502</f>
        <v>0.31132025590863432</v>
      </c>
      <c r="F1503" s="60">
        <f t="shared" si="3699"/>
        <v>0.32470281713076043</v>
      </c>
      <c r="G1503" s="60">
        <f t="shared" si="3699"/>
        <v>0.39873628200864647</v>
      </c>
      <c r="H1503" s="60">
        <f t="shared" si="3699"/>
        <v>0.29299143616497692</v>
      </c>
      <c r="I1503" s="60">
        <f t="shared" si="3699"/>
        <v>0.29496891996891994</v>
      </c>
      <c r="J1503" s="60">
        <f t="shared" si="3699"/>
        <v>0.32612451925756647</v>
      </c>
      <c r="K1503" s="60">
        <f t="shared" si="3699"/>
        <v>0.36720192469087454</v>
      </c>
      <c r="L1503" s="60">
        <f t="shared" si="3699"/>
        <v>0.30382064733247549</v>
      </c>
      <c r="M1503" s="60">
        <f t="shared" si="3699"/>
        <v>0.48870012870012874</v>
      </c>
      <c r="N1503" s="60">
        <f t="shared" si="3699"/>
        <v>0.34745289247803346</v>
      </c>
      <c r="O1503" s="60">
        <f t="shared" si="3699"/>
        <v>0.48153528130063128</v>
      </c>
      <c r="P1503" s="60">
        <f t="shared" si="3699"/>
        <v>0.27178759627077426</v>
      </c>
      <c r="Q1503" s="60">
        <f t="shared" si="3699"/>
        <v>0.27966101694915252</v>
      </c>
      <c r="R1503" s="60">
        <f t="shared" si="3699"/>
        <v>0.28611170554247811</v>
      </c>
      <c r="S1503" s="60">
        <f t="shared" si="3699"/>
        <v>0.30824664065886426</v>
      </c>
      <c r="T1503" s="60">
        <f t="shared" si="3699"/>
        <v>0.28293933352321277</v>
      </c>
      <c r="U1503" s="60">
        <f t="shared" si="3699"/>
        <v>0.29291087303396396</v>
      </c>
      <c r="V1503" s="60">
        <f t="shared" si="3699"/>
        <v>0.29284909909909906</v>
      </c>
      <c r="W1503" s="60">
        <f t="shared" si="3699"/>
        <v>0.30202210204561492</v>
      </c>
      <c r="X1503" s="60">
        <f t="shared" si="3699"/>
        <v>0.28253294130458451</v>
      </c>
      <c r="Y1503" s="60">
        <f t="shared" ref="Y1503:Z1503" si="3700">Y1501-Y1502</f>
        <v>0.29176535389699804</v>
      </c>
      <c r="Z1503" s="60">
        <f t="shared" si="3700"/>
        <v>0.29337472838703699</v>
      </c>
      <c r="AA1503" s="60">
        <f t="shared" ref="AA1503:AB1503" si="3701">AA1501-AA1502</f>
        <v>0.3114716636197441</v>
      </c>
      <c r="AB1503" s="60">
        <f t="shared" si="3701"/>
        <v>0.27119542178889366</v>
      </c>
      <c r="AC1503" s="60">
        <f t="shared" si="3699"/>
        <v>0.28097010400047934</v>
      </c>
      <c r="AD1503" s="60">
        <f t="shared" si="3699"/>
        <v>0.27258538602473326</v>
      </c>
      <c r="AE1503" s="60">
        <f t="shared" si="3699"/>
        <v>0.27766569594600882</v>
      </c>
      <c r="AF1503" s="60">
        <f t="shared" ref="AF1503:AI1503" si="3702">AF1501-AF1502</f>
        <v>0.26444003418124074</v>
      </c>
      <c r="AG1503" s="60">
        <f t="shared" si="3702"/>
        <v>0.27060316476499752</v>
      </c>
      <c r="AH1503" s="60">
        <f t="shared" si="3702"/>
        <v>0.26721281590996993</v>
      </c>
      <c r="AI1503" s="60">
        <f t="shared" si="3702"/>
        <v>0.26407535882491723</v>
      </c>
      <c r="AJ1503" s="60"/>
      <c r="AK1503" s="60"/>
      <c r="AL1503" s="60"/>
      <c r="AM1503" s="60"/>
      <c r="AN1503" s="60"/>
      <c r="AO1503" s="60"/>
      <c r="AP1503" s="60"/>
      <c r="AQ1503" s="60"/>
      <c r="AS1503" s="10"/>
      <c r="AT1503" s="914" t="s">
        <v>667</v>
      </c>
      <c r="AU1503" s="60">
        <f t="shared" ref="AU1503" si="3703">AU1501-AU1502</f>
        <v>0.33598522134275427</v>
      </c>
      <c r="AV1503" s="60">
        <f t="shared" ref="AV1503" si="3704">AV1501-AV1502</f>
        <v>0.31855742662009279</v>
      </c>
      <c r="AW1503" s="60">
        <f t="shared" ref="AW1503" si="3705">AW1501-AW1502</f>
        <v>0.40264701692588606</v>
      </c>
      <c r="AX1503" s="60">
        <f t="shared" ref="AX1503" si="3706">AX1501-AX1502</f>
        <v>0.28611467637582844</v>
      </c>
      <c r="AY1503" s="60">
        <f t="shared" ref="AY1503" si="3707">AY1501-AY1502</f>
        <v>0.29260822898032202</v>
      </c>
      <c r="AZ1503" s="60">
        <f t="shared" ref="AZ1503" si="3708">AZ1501-AZ1502</f>
        <v>0.29463455993966514</v>
      </c>
      <c r="BA1503" s="60">
        <f t="shared" ref="BA1503:BB1503" si="3709">BA1501-BA1502</f>
        <v>0.27560133581911972</v>
      </c>
      <c r="BB1503" s="60">
        <f t="shared" si="3709"/>
        <v>0.2666056473267856</v>
      </c>
      <c r="BC1503" s="60">
        <f t="shared" ref="BC1503" si="3710">BC1501-BC1502</f>
        <v>0.2491795756275007</v>
      </c>
      <c r="BD1503" s="60">
        <f t="shared" ref="BD1503:BE1503" si="3711">BD1501-BD1502</f>
        <v>0.23922837498593891</v>
      </c>
      <c r="BE1503" s="60">
        <f t="shared" si="3711"/>
        <v>0.23464180032689014</v>
      </c>
      <c r="BM1503"/>
      <c r="BN1503"/>
      <c r="BO1503"/>
      <c r="BP1503"/>
      <c r="BQ1503"/>
      <c r="BR1503"/>
    </row>
    <row r="1504" spans="2:70" s="70" customFormat="1" x14ac:dyDescent="0.2">
      <c r="B1504" s="35"/>
      <c r="C1504" s="914"/>
      <c r="D1504" s="60"/>
      <c r="E1504" s="60"/>
      <c r="F1504" s="60"/>
      <c r="G1504" s="60"/>
      <c r="H1504" s="60"/>
      <c r="I1504" s="60"/>
      <c r="J1504" s="60"/>
      <c r="K1504" s="60"/>
      <c r="L1504" s="60"/>
      <c r="M1504" s="60"/>
      <c r="N1504" s="60"/>
      <c r="O1504" s="60"/>
      <c r="P1504" s="60"/>
      <c r="Q1504" s="60"/>
      <c r="R1504" s="60"/>
      <c r="S1504" s="60"/>
      <c r="T1504" s="60"/>
      <c r="U1504" s="60"/>
      <c r="V1504" s="60"/>
      <c r="W1504" s="60"/>
      <c r="X1504" s="60"/>
      <c r="Y1504" s="60"/>
      <c r="Z1504" s="60"/>
      <c r="AA1504" s="60"/>
      <c r="AB1504" s="60"/>
      <c r="AC1504" s="60"/>
      <c r="AD1504" s="60"/>
      <c r="AE1504" s="60"/>
      <c r="AF1504" s="60"/>
      <c r="AG1504" s="60"/>
      <c r="AH1504" s="60"/>
      <c r="AI1504" s="60"/>
      <c r="AJ1504" s="60"/>
      <c r="AK1504" s="60"/>
      <c r="AL1504" s="60"/>
      <c r="AM1504" s="60"/>
      <c r="AN1504" s="60"/>
      <c r="AO1504" s="60"/>
      <c r="AP1504" s="60"/>
      <c r="AQ1504" s="60"/>
      <c r="AS1504" s="35"/>
      <c r="AT1504" s="914"/>
      <c r="AU1504" s="60"/>
      <c r="AV1504" s="60"/>
      <c r="AW1504" s="60"/>
      <c r="AX1504" s="60"/>
      <c r="AY1504" s="60"/>
      <c r="AZ1504" s="60"/>
      <c r="BA1504" s="60"/>
      <c r="BB1504" s="60"/>
      <c r="BC1504" s="60"/>
      <c r="BD1504" s="60"/>
      <c r="BE1504" s="60"/>
      <c r="BM1504"/>
      <c r="BN1504"/>
      <c r="BO1504"/>
      <c r="BP1504"/>
      <c r="BQ1504"/>
      <c r="BR1504"/>
    </row>
    <row r="1505" spans="1:70" x14ac:dyDescent="0.2">
      <c r="B1505" s="9" t="s">
        <v>669</v>
      </c>
      <c r="D1505" s="60">
        <f t="shared" ref="D1505:AE1505" si="3712">D117/D115</f>
        <v>0.51324693198761329</v>
      </c>
      <c r="E1505" s="60">
        <f t="shared" si="3712"/>
        <v>0.53487827715355807</v>
      </c>
      <c r="F1505" s="60">
        <f t="shared" si="3712"/>
        <v>0.52214765100671146</v>
      </c>
      <c r="G1505" s="60">
        <f t="shared" si="3712"/>
        <v>0.56497552291944819</v>
      </c>
      <c r="H1505" s="60">
        <f t="shared" si="3712"/>
        <v>0.52686703096539167</v>
      </c>
      <c r="I1505" s="60">
        <f t="shared" si="3712"/>
        <v>0.52539084788314505</v>
      </c>
      <c r="J1505" s="60">
        <f t="shared" si="3712"/>
        <v>0.54475457170356112</v>
      </c>
      <c r="K1505" s="60">
        <f t="shared" si="3712"/>
        <v>0.54545454545454541</v>
      </c>
      <c r="L1505" s="60">
        <f t="shared" si="3712"/>
        <v>0.54434616304087979</v>
      </c>
      <c r="M1505" s="60">
        <f t="shared" si="3712"/>
        <v>0.566627358490566</v>
      </c>
      <c r="N1505" s="60">
        <f t="shared" si="3712"/>
        <v>0.52869366799771822</v>
      </c>
      <c r="O1505" s="60">
        <f t="shared" si="3712"/>
        <v>0.54087540528022238</v>
      </c>
      <c r="P1505" s="60">
        <f t="shared" si="3712"/>
        <v>0.52197135226996849</v>
      </c>
      <c r="Q1505" s="60">
        <f t="shared" si="3712"/>
        <v>0.53321850393700787</v>
      </c>
      <c r="R1505" s="60">
        <f t="shared" si="3712"/>
        <v>0.52347912278528064</v>
      </c>
      <c r="S1505" s="60">
        <f t="shared" si="3712"/>
        <v>0.5554133606347581</v>
      </c>
      <c r="T1505" s="60">
        <f t="shared" si="3712"/>
        <v>0.57052113041223751</v>
      </c>
      <c r="U1505" s="60">
        <f t="shared" si="3712"/>
        <v>0.5599426635392234</v>
      </c>
      <c r="V1505" s="60">
        <f t="shared" si="3712"/>
        <v>0.54250367466927973</v>
      </c>
      <c r="W1505" s="60">
        <f t="shared" si="3712"/>
        <v>0.54675536588427265</v>
      </c>
      <c r="X1505" s="60">
        <f t="shared" si="3712"/>
        <v>0.56729543716543462</v>
      </c>
      <c r="Y1505" s="60">
        <f t="shared" ref="Y1505:Z1505" si="3713">Y117/Y115</f>
        <v>0.56199677938808379</v>
      </c>
      <c r="Z1505" s="60">
        <f t="shared" si="3713"/>
        <v>0.52561983471074381</v>
      </c>
      <c r="AA1505" s="60">
        <f t="shared" ref="AA1505:AB1505" si="3714">AA117/AA115</f>
        <v>0.54006391288909927</v>
      </c>
      <c r="AB1505" s="60">
        <f t="shared" si="3714"/>
        <v>0.55508122850705566</v>
      </c>
      <c r="AC1505" s="60">
        <f t="shared" si="3712"/>
        <v>0.53884194706991306</v>
      </c>
      <c r="AD1505" s="60">
        <f t="shared" si="3712"/>
        <v>0.53404561216820245</v>
      </c>
      <c r="AE1505" s="60">
        <f t="shared" si="3712"/>
        <v>0.53439673918964514</v>
      </c>
      <c r="AF1505" s="60">
        <f t="shared" ref="AF1505:AI1505" si="3715">AF117/AF115</f>
        <v>0.53004632373331484</v>
      </c>
      <c r="AG1505" s="60">
        <f t="shared" si="3715"/>
        <v>0.52496401291889394</v>
      </c>
      <c r="AH1505" s="60">
        <f t="shared" si="3715"/>
        <v>0.51931438323621015</v>
      </c>
      <c r="AI1505" s="60">
        <f t="shared" si="3715"/>
        <v>0.51965609488357722</v>
      </c>
      <c r="AJ1505" s="60"/>
      <c r="AK1505" s="60"/>
      <c r="AL1505" s="60"/>
      <c r="AM1505" s="60"/>
      <c r="AN1505" s="60"/>
      <c r="AO1505" s="60"/>
      <c r="AP1505" s="60"/>
      <c r="AQ1505" s="60"/>
      <c r="AS1505" s="9" t="s">
        <v>123</v>
      </c>
      <c r="AT1505" s="9"/>
      <c r="AU1505" s="60">
        <f t="shared" ref="AU1505:BD1505" si="3716">AU117/AU115</f>
        <v>0.53397175414168396</v>
      </c>
      <c r="AV1505" s="60">
        <f t="shared" si="3716"/>
        <v>0.53542666085186796</v>
      </c>
      <c r="AW1505" s="60">
        <f t="shared" si="3716"/>
        <v>0.54498204222267643</v>
      </c>
      <c r="AX1505" s="60">
        <f t="shared" si="3716"/>
        <v>0.53328578958791972</v>
      </c>
      <c r="AY1505" s="60">
        <f t="shared" si="3716"/>
        <v>0.55468130334084198</v>
      </c>
      <c r="AZ1505" s="60">
        <f t="shared" si="3716"/>
        <v>0.54823679883062304</v>
      </c>
      <c r="BA1505" s="60">
        <f t="shared" si="3716"/>
        <v>0.54048273925674117</v>
      </c>
      <c r="BB1505" s="60">
        <f t="shared" ref="BB1505" si="3717">BB117/BB115</f>
        <v>0.52338674011712716</v>
      </c>
      <c r="BC1505" s="60">
        <f t="shared" si="3716"/>
        <v>0.509515951760526</v>
      </c>
      <c r="BD1505" s="60">
        <f t="shared" si="3716"/>
        <v>0.49977500378719358</v>
      </c>
      <c r="BE1505" s="60">
        <f t="shared" ref="BE1505" si="3718">BE117/BE115</f>
        <v>0.50053661793863968</v>
      </c>
    </row>
    <row r="1506" spans="1:70" x14ac:dyDescent="0.2">
      <c r="B1506" s="35"/>
      <c r="C1506" s="9" t="s">
        <v>178</v>
      </c>
      <c r="D1506" s="60">
        <f t="shared" ref="D1506:AE1506" si="3719">D153/D151</f>
        <v>0.46811345897582335</v>
      </c>
      <c r="E1506" s="60">
        <f t="shared" si="3719"/>
        <v>0.4967219436945623</v>
      </c>
      <c r="F1506" s="60">
        <f t="shared" si="3719"/>
        <v>0.47506417308397508</v>
      </c>
      <c r="G1506" s="60">
        <f t="shared" si="3719"/>
        <v>0.51842933876643826</v>
      </c>
      <c r="H1506" s="60">
        <f t="shared" si="3719"/>
        <v>0.49142085984191247</v>
      </c>
      <c r="I1506" s="60">
        <f t="shared" si="3719"/>
        <v>0.48888888888888887</v>
      </c>
      <c r="J1506" s="60">
        <f t="shared" si="3719"/>
        <v>0.51423228755453976</v>
      </c>
      <c r="K1506" s="60">
        <f t="shared" si="3719"/>
        <v>0.51263902932254801</v>
      </c>
      <c r="L1506" s="60">
        <f t="shared" si="3719"/>
        <v>0.51153212520593083</v>
      </c>
      <c r="M1506" s="60">
        <f t="shared" si="3719"/>
        <v>0.49299835255354202</v>
      </c>
      <c r="N1506" s="60">
        <f t="shared" si="3719"/>
        <v>0.48500986193293888</v>
      </c>
      <c r="O1506" s="60">
        <f t="shared" si="3719"/>
        <v>0.49467570183930298</v>
      </c>
      <c r="P1506" s="60">
        <f t="shared" si="3719"/>
        <v>0.46685303514376997</v>
      </c>
      <c r="Q1506" s="60">
        <f t="shared" si="3719"/>
        <v>0.47751650165016502</v>
      </c>
      <c r="R1506" s="60">
        <f t="shared" si="3719"/>
        <v>0.47830578512396693</v>
      </c>
      <c r="S1506" s="60">
        <f t="shared" si="3719"/>
        <v>0.49823614857854326</v>
      </c>
      <c r="T1506" s="60">
        <f t="shared" si="3719"/>
        <v>0.51759834368530022</v>
      </c>
      <c r="U1506" s="60">
        <f t="shared" si="3719"/>
        <v>0.51518369080484183</v>
      </c>
      <c r="V1506" s="60">
        <f t="shared" si="3719"/>
        <v>0.50280953303623332</v>
      </c>
      <c r="W1506" s="60">
        <f t="shared" si="3719"/>
        <v>0.50148250642419445</v>
      </c>
      <c r="X1506" s="60">
        <f t="shared" si="3719"/>
        <v>0.52517694641051571</v>
      </c>
      <c r="Y1506" s="60">
        <f t="shared" ref="Y1506:Z1506" si="3720">Y153/Y151</f>
        <v>0.5252729478366357</v>
      </c>
      <c r="Z1506" s="60">
        <f t="shared" si="3720"/>
        <v>0.47758322108908985</v>
      </c>
      <c r="AA1506" s="60">
        <f t="shared" ref="AA1506:AB1506" si="3721">AA153/AA151</f>
        <v>0.49556155924353529</v>
      </c>
      <c r="AB1506" s="60">
        <f t="shared" si="3721"/>
        <v>0.51289509404692646</v>
      </c>
      <c r="AC1506" s="60">
        <f t="shared" si="3719"/>
        <v>0.49</v>
      </c>
      <c r="AD1506" s="60">
        <f t="shared" si="3719"/>
        <v>0.49</v>
      </c>
      <c r="AE1506" s="60">
        <f t="shared" si="3719"/>
        <v>0.48999999999999994</v>
      </c>
      <c r="AF1506" s="60">
        <f t="shared" ref="AF1506:AI1506" si="3722">AF153/AF151</f>
        <v>0.49</v>
      </c>
      <c r="AG1506" s="60">
        <f t="shared" si="3722"/>
        <v>0.48499999999999993</v>
      </c>
      <c r="AH1506" s="60">
        <f t="shared" si="3722"/>
        <v>0.48</v>
      </c>
      <c r="AI1506" s="60">
        <f t="shared" si="3722"/>
        <v>0.47999999999999993</v>
      </c>
      <c r="AJ1506" s="60"/>
      <c r="AK1506" s="60"/>
      <c r="AL1506" s="60"/>
      <c r="AM1506" s="60"/>
      <c r="AN1506" s="60"/>
      <c r="AO1506" s="60"/>
      <c r="AP1506" s="60"/>
      <c r="AQ1506" s="60"/>
      <c r="AS1506" s="35"/>
      <c r="AT1506" s="9" t="s">
        <v>178</v>
      </c>
      <c r="AU1506" s="60">
        <f t="shared" ref="AU1506:BD1506" si="3723">AU153/AU151</f>
        <v>0.48962051474732293</v>
      </c>
      <c r="AV1506" s="60">
        <f t="shared" si="3723"/>
        <v>0.50146948941469494</v>
      </c>
      <c r="AW1506" s="60">
        <f t="shared" si="3723"/>
        <v>0.49591417255727677</v>
      </c>
      <c r="AX1506" s="60">
        <f t="shared" si="3723"/>
        <v>0.48009223674096846</v>
      </c>
      <c r="AY1506" s="60">
        <f t="shared" si="3723"/>
        <v>0.50903385798876466</v>
      </c>
      <c r="AZ1506" s="60">
        <f t="shared" si="3723"/>
        <v>0.50542673902318702</v>
      </c>
      <c r="BA1506" s="60">
        <f t="shared" si="3723"/>
        <v>0.49573530425341561</v>
      </c>
      <c r="BB1506" s="60">
        <f t="shared" ref="BB1506" si="3724">BB153/BB151</f>
        <v>0.4836626147314857</v>
      </c>
      <c r="BC1506" s="60">
        <f t="shared" si="3723"/>
        <v>0.47</v>
      </c>
      <c r="BD1506" s="60">
        <f t="shared" si="3723"/>
        <v>0.46000000000000008</v>
      </c>
      <c r="BE1506" s="60">
        <f t="shared" ref="BE1506" si="3725">BE153/BE151</f>
        <v>0.46500000000000002</v>
      </c>
    </row>
    <row r="1507" spans="1:70" x14ac:dyDescent="0.2">
      <c r="B1507" s="35"/>
      <c r="C1507" s="9" t="s">
        <v>179</v>
      </c>
      <c r="D1507" s="60">
        <f t="shared" ref="D1507:AE1507" si="3726">D279/D277</f>
        <v>0.51068228807718818</v>
      </c>
      <c r="E1507" s="60">
        <f t="shared" si="3726"/>
        <v>0.53189964157706093</v>
      </c>
      <c r="F1507" s="60">
        <f t="shared" si="3726"/>
        <v>0.54121621621621618</v>
      </c>
      <c r="G1507" s="60">
        <f t="shared" si="3726"/>
        <v>0.56301983365323094</v>
      </c>
      <c r="H1507" s="60">
        <f t="shared" si="3726"/>
        <v>0.51415984896161104</v>
      </c>
      <c r="I1507" s="60">
        <f t="shared" si="3726"/>
        <v>0.53803339517625237</v>
      </c>
      <c r="J1507" s="60">
        <f t="shared" si="3726"/>
        <v>0.53593947036569989</v>
      </c>
      <c r="K1507" s="60">
        <f t="shared" si="3726"/>
        <v>0.51628182356423924</v>
      </c>
      <c r="L1507" s="60">
        <f t="shared" si="3726"/>
        <v>0.54923273657289007</v>
      </c>
      <c r="M1507" s="60">
        <f t="shared" si="3726"/>
        <v>0.56088560885608851</v>
      </c>
      <c r="N1507" s="60">
        <f t="shared" si="3726"/>
        <v>0.53289863663307646</v>
      </c>
      <c r="O1507" s="60">
        <f t="shared" si="3726"/>
        <v>0.55208333333333337</v>
      </c>
      <c r="P1507" s="60">
        <f t="shared" si="3726"/>
        <v>0.5598591549295775</v>
      </c>
      <c r="Q1507" s="60">
        <f t="shared" si="3726"/>
        <v>0.5936619718309859</v>
      </c>
      <c r="R1507" s="60">
        <f t="shared" si="3726"/>
        <v>0.51663405088062619</v>
      </c>
      <c r="S1507" s="60">
        <f t="shared" si="3726"/>
        <v>0.60859896219421794</v>
      </c>
      <c r="T1507" s="60">
        <f t="shared" si="3726"/>
        <v>0.58421480878763221</v>
      </c>
      <c r="U1507" s="60">
        <f t="shared" si="3726"/>
        <v>0.58656957928802589</v>
      </c>
      <c r="V1507" s="60">
        <f t="shared" si="3726"/>
        <v>0.56787148594377512</v>
      </c>
      <c r="W1507" s="60">
        <f t="shared" si="3726"/>
        <v>0.56765676567656764</v>
      </c>
      <c r="X1507" s="60">
        <f t="shared" si="3726"/>
        <v>0.57155098543273353</v>
      </c>
      <c r="Y1507" s="60">
        <f t="shared" ref="Y1507:Z1507" si="3727">Y279/Y277</f>
        <v>0.56957186544342508</v>
      </c>
      <c r="Z1507" s="60">
        <f t="shared" si="3727"/>
        <v>0.56123919308357351</v>
      </c>
      <c r="AA1507" s="60">
        <f t="shared" ref="AA1507:AB1507" si="3728">AA279/AA277</f>
        <v>0.56512141280353201</v>
      </c>
      <c r="AB1507" s="60">
        <f t="shared" si="3728"/>
        <v>0.56347438752783963</v>
      </c>
      <c r="AC1507" s="60">
        <f t="shared" si="3726"/>
        <v>0.55500000000000005</v>
      </c>
      <c r="AD1507" s="60">
        <f t="shared" si="3726"/>
        <v>0.55000000000000004</v>
      </c>
      <c r="AE1507" s="60">
        <f t="shared" si="3726"/>
        <v>0.55000000000000004</v>
      </c>
      <c r="AF1507" s="60">
        <f t="shared" ref="AF1507:AI1507" si="3729">AF279/AF277</f>
        <v>0.54</v>
      </c>
      <c r="AG1507" s="60">
        <f t="shared" si="3729"/>
        <v>0.54</v>
      </c>
      <c r="AH1507" s="60">
        <f t="shared" si="3729"/>
        <v>0.53</v>
      </c>
      <c r="AI1507" s="60">
        <f t="shared" si="3729"/>
        <v>0.53</v>
      </c>
      <c r="AJ1507" s="60"/>
      <c r="AK1507" s="60"/>
      <c r="AL1507" s="60"/>
      <c r="AM1507" s="60"/>
      <c r="AN1507" s="60"/>
      <c r="AO1507" s="60"/>
      <c r="AP1507" s="60"/>
      <c r="AQ1507" s="60"/>
      <c r="AS1507" s="35"/>
      <c r="AT1507" s="9" t="s">
        <v>179</v>
      </c>
      <c r="AU1507" s="60">
        <f t="shared" ref="AU1507:BD1507" si="3730">AU279/AU277</f>
        <v>0.53727288164374254</v>
      </c>
      <c r="AV1507" s="60">
        <f t="shared" si="3730"/>
        <v>0.52599907421694181</v>
      </c>
      <c r="AW1507" s="60">
        <f t="shared" si="3730"/>
        <v>0.54862498079582112</v>
      </c>
      <c r="AX1507" s="60">
        <f t="shared" si="3730"/>
        <v>0.56815798671793083</v>
      </c>
      <c r="AY1507" s="60">
        <f t="shared" si="3730"/>
        <v>0.57659488013002846</v>
      </c>
      <c r="AZ1507" s="60">
        <f t="shared" si="3730"/>
        <v>0.56664113366526236</v>
      </c>
      <c r="BA1507" s="60">
        <f t="shared" si="3730"/>
        <v>0.55444660970454573</v>
      </c>
      <c r="BB1507" s="60">
        <f t="shared" ref="BB1507" si="3731">BB279/BB277</f>
        <v>0.5348752318888752</v>
      </c>
      <c r="BC1507" s="60">
        <f t="shared" si="3730"/>
        <v>0.52</v>
      </c>
      <c r="BD1507" s="60">
        <f t="shared" si="3730"/>
        <v>0.51</v>
      </c>
      <c r="BE1507" s="60">
        <f t="shared" ref="BE1507" si="3732">BE279/BE277</f>
        <v>0.51</v>
      </c>
    </row>
    <row r="1508" spans="1:70" s="382" customFormat="1" x14ac:dyDescent="0.2">
      <c r="A1508" s="833"/>
      <c r="B1508" s="329"/>
      <c r="C1508" s="9" t="s">
        <v>230</v>
      </c>
      <c r="D1508" s="60">
        <f t="shared" ref="D1508:AE1508" si="3733">D357/D355</f>
        <v>0.63275434243176176</v>
      </c>
      <c r="E1508" s="60">
        <f t="shared" si="3733"/>
        <v>0.63779928680590936</v>
      </c>
      <c r="F1508" s="60">
        <f t="shared" si="3733"/>
        <v>0.63609172482552345</v>
      </c>
      <c r="G1508" s="60">
        <f t="shared" si="3733"/>
        <v>0.69052319842053311</v>
      </c>
      <c r="H1508" s="60">
        <f t="shared" si="3733"/>
        <v>0.62848605577689243</v>
      </c>
      <c r="I1508" s="60">
        <f t="shared" si="3733"/>
        <v>0.60813492063492058</v>
      </c>
      <c r="J1508" s="60">
        <f t="shared" si="3733"/>
        <v>0.62885520125457395</v>
      </c>
      <c r="K1508" s="60">
        <f t="shared" si="3733"/>
        <v>0.656677181913775</v>
      </c>
      <c r="L1508" s="60">
        <f t="shared" si="3733"/>
        <v>0.62230215827338131</v>
      </c>
      <c r="M1508" s="60">
        <f t="shared" si="3733"/>
        <v>0.75025025025025027</v>
      </c>
      <c r="N1508" s="60">
        <f t="shared" si="3733"/>
        <v>0.63545816733067728</v>
      </c>
      <c r="O1508" s="60">
        <f t="shared" si="3733"/>
        <v>0.66068515497553015</v>
      </c>
      <c r="P1508" s="60">
        <f t="shared" si="3733"/>
        <v>0.6447513812154696</v>
      </c>
      <c r="Q1508" s="60">
        <f t="shared" si="3733"/>
        <v>0.63225806451612898</v>
      </c>
      <c r="R1508" s="60">
        <f t="shared" si="3733"/>
        <v>0.65842167255594819</v>
      </c>
      <c r="S1508" s="60">
        <f t="shared" si="3733"/>
        <v>0.67922235722964763</v>
      </c>
      <c r="T1508" s="60">
        <f t="shared" si="3733"/>
        <v>0.71480362537764353</v>
      </c>
      <c r="U1508" s="60">
        <f t="shared" si="3733"/>
        <v>0.66281087333718913</v>
      </c>
      <c r="V1508" s="60">
        <f t="shared" si="3733"/>
        <v>0.64106939704209331</v>
      </c>
      <c r="W1508" s="60">
        <f t="shared" si="3733"/>
        <v>0.66686320754716977</v>
      </c>
      <c r="X1508" s="60">
        <f t="shared" si="3733"/>
        <v>0.68454440599769317</v>
      </c>
      <c r="Y1508" s="60">
        <f t="shared" ref="Y1508:Z1508" si="3734">Y357/Y355</f>
        <v>0.65640461792193516</v>
      </c>
      <c r="Z1508" s="60">
        <f t="shared" si="3734"/>
        <v>0.63183023872679045</v>
      </c>
      <c r="AA1508" s="60">
        <f t="shared" ref="AA1508:AB1508" si="3735">AA357/AA355</f>
        <v>0.64308176100628933</v>
      </c>
      <c r="AB1508" s="60">
        <f t="shared" si="3735"/>
        <v>0.66200103680663558</v>
      </c>
      <c r="AC1508" s="60">
        <f t="shared" si="3733"/>
        <v>0.65</v>
      </c>
      <c r="AD1508" s="60">
        <f t="shared" si="3733"/>
        <v>0.63500000000000001</v>
      </c>
      <c r="AE1508" s="60">
        <f t="shared" si="3733"/>
        <v>0.63500000000000001</v>
      </c>
      <c r="AF1508" s="60">
        <f t="shared" ref="AF1508:AI1508" si="3736">AF357/AF355</f>
        <v>0.625</v>
      </c>
      <c r="AG1508" s="60">
        <f t="shared" si="3736"/>
        <v>0.61499999999999999</v>
      </c>
      <c r="AH1508" s="60">
        <f t="shared" si="3736"/>
        <v>0.61</v>
      </c>
      <c r="AI1508" s="60">
        <f t="shared" si="3736"/>
        <v>0.61</v>
      </c>
      <c r="AJ1508" s="60"/>
      <c r="AK1508" s="60"/>
      <c r="AL1508" s="60"/>
      <c r="AM1508" s="60"/>
      <c r="AN1508" s="60"/>
      <c r="AO1508" s="60"/>
      <c r="AP1508" s="60"/>
      <c r="AQ1508" s="60"/>
      <c r="AR1508" s="70"/>
      <c r="AS1508" s="329"/>
      <c r="AT1508" s="9" t="s">
        <v>230</v>
      </c>
      <c r="AU1508" s="60">
        <f t="shared" ref="AU1508:BD1508" si="3737">AU357/AU355</f>
        <v>0.64943820224719107</v>
      </c>
      <c r="AV1508" s="60">
        <f t="shared" si="3737"/>
        <v>0.63018242122719736</v>
      </c>
      <c r="AW1508" s="60">
        <f t="shared" si="3737"/>
        <v>0.66756513926325245</v>
      </c>
      <c r="AX1508" s="60">
        <f t="shared" si="3737"/>
        <v>0.65283718277730252</v>
      </c>
      <c r="AY1508" s="60">
        <f t="shared" si="3737"/>
        <v>0.67081017841474111</v>
      </c>
      <c r="AZ1508" s="60">
        <f t="shared" si="3737"/>
        <v>0.65328069697794722</v>
      </c>
      <c r="BA1508" s="60">
        <f t="shared" si="3737"/>
        <v>0.64518739440094641</v>
      </c>
      <c r="BB1508" s="60">
        <f t="shared" ref="BB1508" si="3738">BB357/BB355</f>
        <v>0.61481015586573373</v>
      </c>
      <c r="BC1508" s="60">
        <f t="shared" si="3737"/>
        <v>0.6</v>
      </c>
      <c r="BD1508" s="60">
        <f t="shared" si="3737"/>
        <v>0.59</v>
      </c>
      <c r="BE1508" s="60">
        <f t="shared" ref="BE1508" si="3739">BE357/BE355</f>
        <v>0.57999999999999996</v>
      </c>
      <c r="BM1508"/>
      <c r="BN1508"/>
      <c r="BO1508"/>
      <c r="BP1508"/>
      <c r="BQ1508"/>
      <c r="BR1508"/>
    </row>
    <row r="1509" spans="1:70" s="382" customFormat="1" x14ac:dyDescent="0.2">
      <c r="A1509" s="833"/>
      <c r="B1509" s="329"/>
      <c r="C1509" s="9"/>
      <c r="D1509" s="60"/>
      <c r="E1509" s="60"/>
      <c r="F1509" s="60"/>
      <c r="G1509" s="60"/>
      <c r="H1509" s="60"/>
      <c r="I1509" s="60"/>
      <c r="J1509" s="60"/>
      <c r="K1509" s="60"/>
      <c r="L1509" s="60"/>
      <c r="M1509" s="60"/>
      <c r="N1509" s="60"/>
      <c r="O1509" s="60"/>
      <c r="P1509" s="60"/>
      <c r="Q1509" s="60"/>
      <c r="R1509" s="60"/>
      <c r="S1509" s="60"/>
      <c r="T1509" s="60"/>
      <c r="U1509" s="60"/>
      <c r="V1509" s="60"/>
      <c r="W1509" s="60"/>
      <c r="X1509" s="60"/>
      <c r="Y1509" s="60"/>
      <c r="Z1509" s="60"/>
      <c r="AA1509" s="60"/>
      <c r="AB1509" s="60"/>
      <c r="AC1509" s="60"/>
      <c r="AD1509" s="60"/>
      <c r="AE1509" s="60"/>
      <c r="AF1509" s="60"/>
      <c r="AG1509" s="60"/>
      <c r="AH1509" s="60"/>
      <c r="AI1509" s="60"/>
      <c r="AJ1509" s="60"/>
      <c r="AK1509" s="60"/>
      <c r="AL1509" s="60"/>
      <c r="AM1509" s="60"/>
      <c r="AN1509" s="60"/>
      <c r="AO1509" s="60"/>
      <c r="AP1509" s="60"/>
      <c r="AQ1509" s="60"/>
      <c r="AR1509" s="70"/>
      <c r="AS1509" s="329"/>
      <c r="AT1509" s="9"/>
      <c r="AU1509" s="60"/>
      <c r="AV1509" s="60"/>
      <c r="AW1509" s="60"/>
      <c r="AX1509" s="60"/>
      <c r="AY1509" s="60"/>
      <c r="AZ1509" s="60"/>
      <c r="BA1509" s="60"/>
      <c r="BB1509" s="60"/>
      <c r="BC1509" s="60"/>
      <c r="BD1509" s="60"/>
      <c r="BE1509" s="60"/>
      <c r="BM1509"/>
      <c r="BN1509"/>
      <c r="BO1509"/>
      <c r="BP1509"/>
      <c r="BQ1509"/>
      <c r="BR1509"/>
    </row>
    <row r="1510" spans="1:70" s="382" customFormat="1" x14ac:dyDescent="0.2">
      <c r="A1510" s="833"/>
      <c r="B1510" s="329" t="s">
        <v>670</v>
      </c>
      <c r="C1510" s="9"/>
      <c r="D1510" s="60">
        <f t="shared" ref="D1510:AE1510" si="3740">D494/D487</f>
        <v>0.54029882154882158</v>
      </c>
      <c r="E1510" s="60">
        <f t="shared" si="3740"/>
        <v>0.61965547155781386</v>
      </c>
      <c r="F1510" s="60">
        <f t="shared" si="3740"/>
        <v>0.59120639534883723</v>
      </c>
      <c r="G1510" s="60">
        <f t="shared" si="3740"/>
        <v>0.69836631690795592</v>
      </c>
      <c r="H1510" s="60">
        <f t="shared" si="3740"/>
        <v>0.50247449752550244</v>
      </c>
      <c r="I1510" s="60">
        <f t="shared" si="3740"/>
        <v>0.53788874288217259</v>
      </c>
      <c r="J1510" s="60">
        <f t="shared" si="3740"/>
        <v>0.62472262106774568</v>
      </c>
      <c r="K1510" s="60">
        <f t="shared" si="3740"/>
        <v>0.71262619278108141</v>
      </c>
      <c r="L1510" s="60">
        <f t="shared" si="3740"/>
        <v>0.52701391135554831</v>
      </c>
      <c r="M1510" s="60">
        <f t="shared" si="3740"/>
        <v>0.56086087263318829</v>
      </c>
      <c r="N1510" s="60">
        <f t="shared" si="3740"/>
        <v>0.56641431520991048</v>
      </c>
      <c r="O1510" s="60">
        <f t="shared" si="3740"/>
        <v>0.68034946609346836</v>
      </c>
      <c r="P1510" s="60">
        <f t="shared" si="3740"/>
        <v>0.5153360646661499</v>
      </c>
      <c r="Q1510" s="60">
        <f t="shared" si="3740"/>
        <v>0.5725253957004488</v>
      </c>
      <c r="R1510" s="60">
        <f t="shared" si="3740"/>
        <v>0.57118644067796609</v>
      </c>
      <c r="S1510" s="60">
        <f t="shared" si="3740"/>
        <v>0.66630166986038875</v>
      </c>
      <c r="T1510" s="60">
        <f t="shared" si="3740"/>
        <v>0.61709943001899936</v>
      </c>
      <c r="U1510" s="60">
        <f t="shared" si="3740"/>
        <v>0.54816434572447925</v>
      </c>
      <c r="V1510" s="60">
        <f t="shared" si="3740"/>
        <v>0.55408440714032392</v>
      </c>
      <c r="W1510" s="60">
        <f t="shared" si="3740"/>
        <v>0.5662267839687195</v>
      </c>
      <c r="X1510" s="60">
        <f t="shared" si="3740"/>
        <v>0.55134671102049582</v>
      </c>
      <c r="Y1510" s="60">
        <f t="shared" ref="Y1510:Z1510" si="3741">Y494/Y487</f>
        <v>0.55482432862753428</v>
      </c>
      <c r="Z1510" s="60">
        <f t="shared" si="3741"/>
        <v>0.54485683987274658</v>
      </c>
      <c r="AA1510" s="60">
        <f t="shared" ref="AA1510:AB1510" si="3742">AA494/AA487</f>
        <v>0.59152215799614638</v>
      </c>
      <c r="AB1510" s="60">
        <f t="shared" si="3742"/>
        <v>0.5587936636880585</v>
      </c>
      <c r="AC1510" s="60">
        <f t="shared" si="3740"/>
        <v>0.56000000000000005</v>
      </c>
      <c r="AD1510" s="60">
        <f t="shared" si="3740"/>
        <v>0.55000000000000004</v>
      </c>
      <c r="AE1510" s="60">
        <f t="shared" si="3740"/>
        <v>0.54</v>
      </c>
      <c r="AF1510" s="60">
        <f t="shared" ref="AF1510:AI1510" si="3743">AF494/AF487</f>
        <v>0.54500000000000004</v>
      </c>
      <c r="AG1510" s="60">
        <f t="shared" si="3743"/>
        <v>0.53500000000000003</v>
      </c>
      <c r="AH1510" s="60">
        <f t="shared" si="3743"/>
        <v>0.53500000000000003</v>
      </c>
      <c r="AI1510" s="60">
        <f t="shared" si="3743"/>
        <v>0.53</v>
      </c>
      <c r="AJ1510" s="60"/>
      <c r="AK1510" s="60"/>
      <c r="AL1510" s="60"/>
      <c r="AM1510" s="60"/>
      <c r="AN1510" s="60"/>
      <c r="AO1510" s="60"/>
      <c r="AP1510" s="60"/>
      <c r="AQ1510" s="60"/>
      <c r="AR1510" s="70"/>
      <c r="AS1510" s="329" t="s">
        <v>466</v>
      </c>
      <c r="AT1510" s="9"/>
      <c r="AU1510" s="60">
        <f t="shared" ref="AU1510:BD1510" si="3744">AU494/AU487</f>
        <v>0.60777025001498886</v>
      </c>
      <c r="AV1510" s="60">
        <f t="shared" si="3744"/>
        <v>0.58440677966101695</v>
      </c>
      <c r="AW1510" s="60">
        <f t="shared" si="3744"/>
        <v>0.57854917668001782</v>
      </c>
      <c r="AX1510" s="60">
        <f t="shared" si="3744"/>
        <v>0.57729183679641893</v>
      </c>
      <c r="AY1510" s="60">
        <f t="shared" si="3744"/>
        <v>0.5704998946639781</v>
      </c>
      <c r="AZ1510" s="60">
        <f t="shared" si="3744"/>
        <v>0.55971376871195921</v>
      </c>
      <c r="BA1510" s="60">
        <f t="shared" si="3744"/>
        <v>0.55240575543448467</v>
      </c>
      <c r="BB1510" s="60">
        <f t="shared" ref="BB1510" si="3745">BB494/BB487</f>
        <v>0.53639496527965291</v>
      </c>
      <c r="BC1510" s="60">
        <f t="shared" si="3744"/>
        <v>0.52500000000000002</v>
      </c>
      <c r="BD1510" s="60">
        <f t="shared" si="3744"/>
        <v>0.52</v>
      </c>
      <c r="BE1510" s="60">
        <f t="shared" ref="BE1510" si="3746">BE494/BE487</f>
        <v>0.51500000000000001</v>
      </c>
      <c r="BM1510"/>
      <c r="BN1510"/>
      <c r="BO1510"/>
      <c r="BP1510"/>
      <c r="BQ1510"/>
      <c r="BR1510"/>
    </row>
    <row r="1511" spans="1:70" s="382" customFormat="1" x14ac:dyDescent="0.2">
      <c r="A1511" s="833"/>
      <c r="B1511" s="329" t="s">
        <v>671</v>
      </c>
      <c r="C1511" s="9"/>
      <c r="D1511" s="60">
        <f t="shared" ref="D1511:AE1511" si="3747">D644/D640</f>
        <v>1.3455578512396693</v>
      </c>
      <c r="E1511" s="60">
        <f t="shared" si="3747"/>
        <v>1.1527117031398668</v>
      </c>
      <c r="F1511" s="60">
        <f t="shared" si="3747"/>
        <v>1.2566633761105628</v>
      </c>
      <c r="G1511" s="60">
        <f t="shared" si="3747"/>
        <v>1.6692874692874693</v>
      </c>
      <c r="H1511" s="60">
        <f t="shared" si="3747"/>
        <v>1.3818836850231602</v>
      </c>
      <c r="I1511" s="60">
        <f t="shared" si="3747"/>
        <v>1.178076062639821</v>
      </c>
      <c r="J1511" s="60">
        <f t="shared" si="3747"/>
        <v>1.0282608695652173</v>
      </c>
      <c r="K1511" s="60">
        <f t="shared" si="3747"/>
        <v>1.0933509467195068</v>
      </c>
      <c r="L1511" s="60">
        <f t="shared" si="3747"/>
        <v>1.052059052059052</v>
      </c>
      <c r="M1511" s="60">
        <f t="shared" si="3747"/>
        <v>2.4037995149555376</v>
      </c>
      <c r="N1511" s="60">
        <f t="shared" si="3747"/>
        <v>1.3413957176843774</v>
      </c>
      <c r="O1511" s="60">
        <f t="shared" si="3747"/>
        <v>2.3769607843137255</v>
      </c>
      <c r="P1511" s="60">
        <f t="shared" si="3747"/>
        <v>0.76104100946372244</v>
      </c>
      <c r="Q1511" s="60">
        <f t="shared" si="3747"/>
        <v>0.6789739603575593</v>
      </c>
      <c r="R1511" s="60">
        <f t="shared" si="3747"/>
        <v>0.80654205607476637</v>
      </c>
      <c r="S1511" s="60">
        <f t="shared" si="3747"/>
        <v>0.54684838160136284</v>
      </c>
      <c r="T1511" s="60">
        <f t="shared" si="3747"/>
        <v>0.64234326824254884</v>
      </c>
      <c r="U1511" s="60">
        <f t="shared" si="3747"/>
        <v>1.1046413502109704</v>
      </c>
      <c r="V1511" s="60">
        <f t="shared" si="3747"/>
        <v>1.1328056288478452</v>
      </c>
      <c r="W1511" s="60">
        <f t="shared" si="3747"/>
        <v>1.3124274099883857</v>
      </c>
      <c r="X1511" s="60">
        <f t="shared" si="3747"/>
        <v>0.94421315570358033</v>
      </c>
      <c r="Y1511" s="60">
        <f t="shared" ref="Y1511:Z1511" si="3748">Y644/Y640</f>
        <v>1.5068078668683813</v>
      </c>
      <c r="Z1511" s="60">
        <f t="shared" si="3748"/>
        <v>1.5934489402697496</v>
      </c>
      <c r="AA1511" s="60">
        <f t="shared" ref="AA1511:AB1511" si="3749">AA644/AA640</f>
        <v>1.1411451398135819</v>
      </c>
      <c r="AB1511" s="60">
        <f t="shared" si="3749"/>
        <v>1.2538071065989849</v>
      </c>
      <c r="AC1511" s="60">
        <f t="shared" si="3747"/>
        <v>1.32</v>
      </c>
      <c r="AD1511" s="60">
        <f t="shared" si="3747"/>
        <v>1.33</v>
      </c>
      <c r="AE1511" s="60">
        <f t="shared" si="3747"/>
        <v>1.36</v>
      </c>
      <c r="AF1511" s="60">
        <f t="shared" ref="AF1511:AI1511" si="3750">AF644/AF640</f>
        <v>1.3</v>
      </c>
      <c r="AG1511" s="60">
        <f t="shared" si="3750"/>
        <v>1.3</v>
      </c>
      <c r="AH1511" s="60">
        <f t="shared" si="3750"/>
        <v>1.3</v>
      </c>
      <c r="AI1511" s="60">
        <f t="shared" si="3750"/>
        <v>1.3</v>
      </c>
      <c r="AJ1511" s="60"/>
      <c r="AK1511" s="60"/>
      <c r="AL1511" s="60"/>
      <c r="AM1511" s="60"/>
      <c r="AN1511" s="60"/>
      <c r="AO1511" s="60"/>
      <c r="AP1511" s="60"/>
      <c r="AQ1511" s="60"/>
      <c r="AR1511" s="70"/>
      <c r="AS1511" s="329" t="s">
        <v>183</v>
      </c>
      <c r="AT1511" s="9"/>
      <c r="AU1511" s="60">
        <f t="shared" ref="AU1511:BD1511" si="3751">AU644/AU640</f>
        <v>1.3546116804543771</v>
      </c>
      <c r="AV1511" s="60">
        <f t="shared" si="3751"/>
        <v>1.161961367013373</v>
      </c>
      <c r="AW1511" s="60">
        <f t="shared" si="3751"/>
        <v>1.7572320499479708</v>
      </c>
      <c r="AX1511" s="60">
        <f t="shared" si="3751"/>
        <v>0.68043821372203139</v>
      </c>
      <c r="AY1511" s="60">
        <f t="shared" si="3751"/>
        <v>0.97036459348800941</v>
      </c>
      <c r="AZ1511" s="60">
        <f t="shared" si="3751"/>
        <v>1.2177522349936143</v>
      </c>
      <c r="BA1511" s="60">
        <f t="shared" si="3751"/>
        <v>1.3132274196891496</v>
      </c>
      <c r="BB1511" s="60">
        <f t="shared" ref="BB1511" si="3752">BB644/BB640</f>
        <v>1.3</v>
      </c>
      <c r="BC1511" s="60">
        <f t="shared" si="3751"/>
        <v>1.3</v>
      </c>
      <c r="BD1511" s="60">
        <f t="shared" si="3751"/>
        <v>1.3</v>
      </c>
      <c r="BE1511" s="60">
        <f t="shared" ref="BE1511" si="3753">BE644/BE640</f>
        <v>1.3</v>
      </c>
      <c r="BM1511"/>
      <c r="BN1511"/>
      <c r="BO1511"/>
      <c r="BP1511"/>
      <c r="BQ1511"/>
      <c r="BR1511"/>
    </row>
    <row r="1512" spans="1:70" s="382" customFormat="1" x14ac:dyDescent="0.2">
      <c r="A1512" s="833"/>
      <c r="B1512" s="329"/>
      <c r="C1512" s="9"/>
      <c r="D1512" s="60"/>
      <c r="E1512" s="759"/>
      <c r="F1512" s="759"/>
      <c r="G1512" s="759"/>
      <c r="H1512" s="759"/>
      <c r="I1512" s="759"/>
      <c r="J1512" s="759"/>
      <c r="K1512" s="759"/>
      <c r="L1512" s="759"/>
      <c r="M1512" s="759"/>
      <c r="N1512" s="759"/>
      <c r="O1512" s="759"/>
      <c r="P1512" s="759"/>
      <c r="Q1512" s="759"/>
      <c r="R1512" s="759"/>
      <c r="S1512" s="759"/>
      <c r="T1512" s="759"/>
      <c r="U1512" s="759"/>
      <c r="V1512" s="759"/>
      <c r="W1512" s="759"/>
      <c r="X1512" s="759"/>
      <c r="Y1512" s="759"/>
      <c r="Z1512" s="759"/>
      <c r="AA1512" s="759"/>
      <c r="AB1512" s="759"/>
      <c r="AC1512" s="759"/>
      <c r="AD1512" s="369"/>
      <c r="AE1512" s="369"/>
      <c r="AF1512" s="369"/>
      <c r="AG1512" s="369"/>
      <c r="AH1512" s="369"/>
      <c r="AI1512" s="759"/>
      <c r="AJ1512" s="759"/>
      <c r="AK1512" s="759"/>
      <c r="AL1512" s="759"/>
      <c r="AM1512" s="759"/>
      <c r="AN1512" s="759"/>
      <c r="AO1512" s="759"/>
      <c r="AP1512" s="759"/>
      <c r="AQ1512" s="759"/>
      <c r="AR1512" s="70"/>
      <c r="AS1512" s="329"/>
      <c r="AT1512" s="9"/>
      <c r="AU1512" s="369"/>
      <c r="AV1512" s="759"/>
      <c r="AW1512" s="369"/>
      <c r="AX1512" s="759"/>
      <c r="AY1512" s="369"/>
      <c r="AZ1512" s="759"/>
      <c r="BC1512" s="759"/>
      <c r="BD1512" s="759"/>
      <c r="BE1512" s="759"/>
      <c r="BM1512"/>
      <c r="BN1512"/>
      <c r="BO1512"/>
      <c r="BP1512"/>
      <c r="BQ1512"/>
      <c r="BR1512"/>
    </row>
    <row r="1513" spans="1:70" s="382" customFormat="1" x14ac:dyDescent="0.2">
      <c r="A1513" s="833"/>
      <c r="B1513" s="143" t="s">
        <v>234</v>
      </c>
      <c r="C1513" s="9"/>
      <c r="D1513" s="60"/>
      <c r="E1513" s="759"/>
      <c r="F1513" s="759"/>
      <c r="G1513" s="759"/>
      <c r="H1513" s="759"/>
      <c r="I1513" s="759"/>
      <c r="J1513" s="759"/>
      <c r="K1513" s="759"/>
      <c r="L1513" s="759"/>
      <c r="M1513" s="759"/>
      <c r="N1513" s="759"/>
      <c r="O1513" s="759"/>
      <c r="P1513" s="759"/>
      <c r="Q1513" s="759"/>
      <c r="R1513" s="759"/>
      <c r="S1513" s="759"/>
      <c r="T1513" s="759"/>
      <c r="U1513" s="759"/>
      <c r="V1513" s="759"/>
      <c r="W1513" s="759"/>
      <c r="X1513" s="759"/>
      <c r="Y1513" s="759"/>
      <c r="Z1513" s="759"/>
      <c r="AA1513" s="759"/>
      <c r="AB1513" s="759"/>
      <c r="AC1513" s="759"/>
      <c r="AD1513" s="369"/>
      <c r="AE1513" s="369"/>
      <c r="AF1513" s="369"/>
      <c r="AG1513" s="369"/>
      <c r="AH1513" s="369"/>
      <c r="AI1513" s="759"/>
      <c r="AJ1513" s="759"/>
      <c r="AK1513" s="759"/>
      <c r="AL1513" s="759"/>
      <c r="AM1513" s="759"/>
      <c r="AN1513" s="759"/>
      <c r="AO1513" s="759"/>
      <c r="AP1513" s="759"/>
      <c r="AQ1513" s="759"/>
      <c r="AR1513" s="70"/>
      <c r="AS1513" s="143" t="s">
        <v>234</v>
      </c>
      <c r="AT1513" s="9"/>
      <c r="AU1513" s="369"/>
      <c r="AV1513" s="759"/>
      <c r="AW1513" s="369"/>
      <c r="AX1513" s="759"/>
      <c r="AY1513" s="369"/>
      <c r="AZ1513" s="759"/>
      <c r="BC1513" s="759"/>
      <c r="BD1513" s="759"/>
      <c r="BE1513" s="759"/>
      <c r="BM1513"/>
      <c r="BN1513"/>
      <c r="BO1513"/>
      <c r="BP1513"/>
      <c r="BQ1513"/>
      <c r="BR1513"/>
    </row>
    <row r="1514" spans="1:70" s="382" customFormat="1" x14ac:dyDescent="0.2">
      <c r="A1514" s="833"/>
      <c r="B1514" s="9" t="s">
        <v>123</v>
      </c>
      <c r="C1514" s="9"/>
      <c r="D1514" s="660">
        <v>382</v>
      </c>
      <c r="E1514" s="816">
        <v>379</v>
      </c>
      <c r="F1514" s="816">
        <v>386</v>
      </c>
      <c r="G1514" s="816">
        <v>387</v>
      </c>
      <c r="H1514" s="816">
        <v>390</v>
      </c>
      <c r="I1514" s="816">
        <v>383</v>
      </c>
      <c r="J1514" s="816">
        <v>393</v>
      </c>
      <c r="K1514" s="816">
        <v>398</v>
      </c>
      <c r="L1514" s="816">
        <v>391</v>
      </c>
      <c r="M1514" s="816">
        <v>399</v>
      </c>
      <c r="N1514" s="816">
        <v>395</v>
      </c>
      <c r="O1514" s="816">
        <v>392</v>
      </c>
      <c r="P1514" s="816">
        <v>374</v>
      </c>
      <c r="Q1514" s="816">
        <v>381</v>
      </c>
      <c r="R1514" s="816">
        <v>376</v>
      </c>
      <c r="S1514" s="816">
        <v>381</v>
      </c>
      <c r="T1514" s="816">
        <v>384</v>
      </c>
      <c r="U1514" s="816">
        <v>399</v>
      </c>
      <c r="V1514" s="816">
        <v>411</v>
      </c>
      <c r="W1514" s="816">
        <v>412</v>
      </c>
      <c r="X1514" s="816">
        <v>411</v>
      </c>
      <c r="Y1514" s="816">
        <v>418</v>
      </c>
      <c r="Z1514" s="816">
        <v>419</v>
      </c>
      <c r="AA1514" s="816">
        <v>428</v>
      </c>
      <c r="AB1514" s="816">
        <v>423</v>
      </c>
      <c r="AC1514" s="153" t="s">
        <v>226</v>
      </c>
      <c r="AD1514" s="153" t="s">
        <v>226</v>
      </c>
      <c r="AE1514" s="153" t="s">
        <v>226</v>
      </c>
      <c r="AF1514" s="153" t="s">
        <v>226</v>
      </c>
      <c r="AG1514" s="153" t="s">
        <v>226</v>
      </c>
      <c r="AH1514" s="153" t="s">
        <v>226</v>
      </c>
      <c r="AI1514" s="153" t="s">
        <v>226</v>
      </c>
      <c r="AJ1514" s="153"/>
      <c r="AK1514" s="153"/>
      <c r="AL1514" s="153"/>
      <c r="AM1514" s="153"/>
      <c r="AN1514" s="153"/>
      <c r="AO1514" s="153"/>
      <c r="AP1514" s="153"/>
      <c r="AQ1514" s="153"/>
      <c r="AR1514" s="70"/>
      <c r="AS1514" s="9" t="s">
        <v>123</v>
      </c>
      <c r="AT1514" s="9"/>
      <c r="AU1514" s="635">
        <f>G1514</f>
        <v>387</v>
      </c>
      <c r="AV1514" s="635">
        <f>K1514</f>
        <v>398</v>
      </c>
      <c r="AW1514" s="635">
        <f>O1514</f>
        <v>392</v>
      </c>
      <c r="AX1514" s="635">
        <f>S1514</f>
        <v>381</v>
      </c>
      <c r="AY1514" s="635">
        <f>W1514</f>
        <v>412</v>
      </c>
      <c r="AZ1514" s="667">
        <f>AA1514</f>
        <v>428</v>
      </c>
      <c r="BA1514" s="667" t="str">
        <f>AE1514</f>
        <v>NF</v>
      </c>
      <c r="BB1514" s="667" t="str">
        <f>AI1514</f>
        <v>NF</v>
      </c>
      <c r="BC1514" s="153" t="s">
        <v>226</v>
      </c>
      <c r="BD1514" s="153" t="s">
        <v>226</v>
      </c>
      <c r="BE1514" s="153" t="s">
        <v>226</v>
      </c>
      <c r="BM1514"/>
      <c r="BN1514"/>
      <c r="BO1514"/>
      <c r="BP1514"/>
      <c r="BQ1514"/>
      <c r="BR1514"/>
    </row>
    <row r="1515" spans="1:70" s="382" customFormat="1" x14ac:dyDescent="0.2">
      <c r="A1515" s="833"/>
      <c r="B1515" s="329" t="s">
        <v>466</v>
      </c>
      <c r="C1515" s="9"/>
      <c r="D1515" s="454">
        <v>1257</v>
      </c>
      <c r="E1515" s="454">
        <v>1252</v>
      </c>
      <c r="F1515" s="454">
        <v>1270</v>
      </c>
      <c r="G1515" s="454">
        <v>1223</v>
      </c>
      <c r="H1515" s="454">
        <v>1243</v>
      </c>
      <c r="I1515" s="454">
        <v>1271</v>
      </c>
      <c r="J1515" s="454">
        <v>1281</v>
      </c>
      <c r="K1515" s="454">
        <v>1268</v>
      </c>
      <c r="L1515" s="454">
        <v>1291</v>
      </c>
      <c r="M1515" s="454">
        <v>1298</v>
      </c>
      <c r="N1515" s="454">
        <v>1289</v>
      </c>
      <c r="O1515" s="454">
        <v>1263</v>
      </c>
      <c r="P1515" s="454">
        <v>1277</v>
      </c>
      <c r="Q1515" s="454">
        <v>1272</v>
      </c>
      <c r="R1515" s="454">
        <v>1264</v>
      </c>
      <c r="S1515" s="454">
        <v>1218</v>
      </c>
      <c r="T1515" s="454">
        <v>1293</v>
      </c>
      <c r="U1515" s="454">
        <v>1303</v>
      </c>
      <c r="V1515" s="454">
        <v>1303</v>
      </c>
      <c r="W1515" s="454">
        <v>1277</v>
      </c>
      <c r="X1515" s="454">
        <v>1314</v>
      </c>
      <c r="Y1515" s="454">
        <v>1353</v>
      </c>
      <c r="Z1515" s="454">
        <v>1370</v>
      </c>
      <c r="AA1515" s="454">
        <v>1336</v>
      </c>
      <c r="AB1515" s="454">
        <v>1407</v>
      </c>
      <c r="AC1515" s="153" t="s">
        <v>226</v>
      </c>
      <c r="AD1515" s="153" t="s">
        <v>226</v>
      </c>
      <c r="AE1515" s="153" t="s">
        <v>226</v>
      </c>
      <c r="AF1515" s="153" t="s">
        <v>226</v>
      </c>
      <c r="AG1515" s="153" t="s">
        <v>226</v>
      </c>
      <c r="AH1515" s="153" t="s">
        <v>226</v>
      </c>
      <c r="AI1515" s="153" t="s">
        <v>226</v>
      </c>
      <c r="AJ1515" s="153"/>
      <c r="AK1515" s="153"/>
      <c r="AL1515" s="153"/>
      <c r="AM1515" s="153"/>
      <c r="AN1515" s="153"/>
      <c r="AO1515" s="153"/>
      <c r="AP1515" s="153"/>
      <c r="AQ1515" s="153"/>
      <c r="AR1515" s="70"/>
      <c r="AS1515" s="329" t="s">
        <v>466</v>
      </c>
      <c r="AT1515" s="9"/>
      <c r="AU1515" s="635">
        <f>G1515</f>
        <v>1223</v>
      </c>
      <c r="AV1515" s="635">
        <f>K1515</f>
        <v>1268</v>
      </c>
      <c r="AW1515" s="635">
        <f>O1515</f>
        <v>1263</v>
      </c>
      <c r="AX1515" s="635">
        <f>S1515</f>
        <v>1218</v>
      </c>
      <c r="AY1515" s="635">
        <f>W1515</f>
        <v>1277</v>
      </c>
      <c r="AZ1515" s="667">
        <f>AA1515</f>
        <v>1336</v>
      </c>
      <c r="BA1515" s="667" t="str">
        <f>AE1515</f>
        <v>NF</v>
      </c>
      <c r="BB1515" s="667" t="str">
        <f>AI1515</f>
        <v>NF</v>
      </c>
      <c r="BC1515" s="153" t="s">
        <v>226</v>
      </c>
      <c r="BD1515" s="153" t="s">
        <v>226</v>
      </c>
      <c r="BE1515" s="153" t="s">
        <v>226</v>
      </c>
      <c r="BM1515"/>
      <c r="BN1515"/>
      <c r="BO1515"/>
      <c r="BP1515"/>
      <c r="BQ1515"/>
      <c r="BR1515"/>
    </row>
    <row r="1516" spans="1:70" s="382" customFormat="1" x14ac:dyDescent="0.2">
      <c r="A1516" s="833"/>
      <c r="B1516" s="329" t="s">
        <v>183</v>
      </c>
      <c r="C1516" s="9"/>
      <c r="D1516" s="537">
        <v>305</v>
      </c>
      <c r="E1516" s="537">
        <v>285</v>
      </c>
      <c r="F1516" s="537">
        <v>275</v>
      </c>
      <c r="G1516" s="537">
        <v>254</v>
      </c>
      <c r="H1516" s="537">
        <v>248</v>
      </c>
      <c r="I1516" s="537">
        <v>230</v>
      </c>
      <c r="J1516" s="537">
        <v>225</v>
      </c>
      <c r="K1516" s="537">
        <v>214</v>
      </c>
      <c r="L1516" s="537">
        <v>212</v>
      </c>
      <c r="M1516" s="537">
        <v>212</v>
      </c>
      <c r="N1516" s="537">
        <v>199</v>
      </c>
      <c r="O1516" s="537">
        <v>187</v>
      </c>
      <c r="P1516" s="537">
        <v>181</v>
      </c>
      <c r="Q1516" s="537">
        <v>176</v>
      </c>
      <c r="R1516" s="537">
        <v>168</v>
      </c>
      <c r="S1516" s="537">
        <v>132</v>
      </c>
      <c r="T1516" s="537">
        <v>124</v>
      </c>
      <c r="U1516" s="537">
        <v>117</v>
      </c>
      <c r="V1516" s="537">
        <v>104</v>
      </c>
      <c r="W1516" s="537">
        <v>103</v>
      </c>
      <c r="X1516" s="537">
        <v>96</v>
      </c>
      <c r="Y1516" s="537">
        <v>93</v>
      </c>
      <c r="Z1516" s="537">
        <v>100</v>
      </c>
      <c r="AA1516" s="537">
        <v>78</v>
      </c>
      <c r="AB1516" s="537">
        <v>92</v>
      </c>
      <c r="AC1516" s="198" t="s">
        <v>226</v>
      </c>
      <c r="AD1516" s="198" t="s">
        <v>226</v>
      </c>
      <c r="AE1516" s="198" t="s">
        <v>226</v>
      </c>
      <c r="AF1516" s="198" t="s">
        <v>226</v>
      </c>
      <c r="AG1516" s="198" t="s">
        <v>226</v>
      </c>
      <c r="AH1516" s="198" t="s">
        <v>226</v>
      </c>
      <c r="AI1516" s="198" t="s">
        <v>226</v>
      </c>
      <c r="AJ1516" s="153"/>
      <c r="AK1516" s="153"/>
      <c r="AL1516" s="153"/>
      <c r="AM1516" s="153"/>
      <c r="AN1516" s="153"/>
      <c r="AO1516" s="153"/>
      <c r="AP1516" s="153"/>
      <c r="AQ1516" s="153"/>
      <c r="AR1516" s="70"/>
      <c r="AS1516" s="329" t="s">
        <v>183</v>
      </c>
      <c r="AT1516" s="9"/>
      <c r="AU1516" s="638">
        <f>G1516</f>
        <v>254</v>
      </c>
      <c r="AV1516" s="638">
        <f>K1516</f>
        <v>214</v>
      </c>
      <c r="AW1516" s="638">
        <f>O1516</f>
        <v>187</v>
      </c>
      <c r="AX1516" s="638">
        <f>S1516</f>
        <v>132</v>
      </c>
      <c r="AY1516" s="638">
        <f>W1516</f>
        <v>103</v>
      </c>
      <c r="AZ1516" s="817">
        <f>AA1516</f>
        <v>78</v>
      </c>
      <c r="BA1516" s="817" t="str">
        <f>AE1516</f>
        <v>NF</v>
      </c>
      <c r="BB1516" s="817" t="str">
        <f>AI1516</f>
        <v>NF</v>
      </c>
      <c r="BC1516" s="198" t="s">
        <v>226</v>
      </c>
      <c r="BD1516" s="198" t="s">
        <v>226</v>
      </c>
      <c r="BE1516" s="198" t="s">
        <v>226</v>
      </c>
      <c r="BM1516"/>
      <c r="BN1516"/>
      <c r="BO1516"/>
      <c r="BP1516"/>
      <c r="BQ1516"/>
      <c r="BR1516"/>
    </row>
    <row r="1517" spans="1:70" s="382" customFormat="1" x14ac:dyDescent="0.2">
      <c r="A1517" s="833"/>
      <c r="B1517" s="143"/>
      <c r="C1517" s="9" t="s">
        <v>81</v>
      </c>
      <c r="D1517" s="144">
        <f>SUM(D1514:D1516)</f>
        <v>1944</v>
      </c>
      <c r="E1517" s="144">
        <f t="shared" ref="E1517:W1517" si="3754">SUM(E1514:E1516)</f>
        <v>1916</v>
      </c>
      <c r="F1517" s="144">
        <f t="shared" si="3754"/>
        <v>1931</v>
      </c>
      <c r="G1517" s="144">
        <f t="shared" si="3754"/>
        <v>1864</v>
      </c>
      <c r="H1517" s="144">
        <f t="shared" si="3754"/>
        <v>1881</v>
      </c>
      <c r="I1517" s="144">
        <f t="shared" si="3754"/>
        <v>1884</v>
      </c>
      <c r="J1517" s="144">
        <f t="shared" si="3754"/>
        <v>1899</v>
      </c>
      <c r="K1517" s="144">
        <f t="shared" si="3754"/>
        <v>1880</v>
      </c>
      <c r="L1517" s="144">
        <f t="shared" si="3754"/>
        <v>1894</v>
      </c>
      <c r="M1517" s="144">
        <f t="shared" si="3754"/>
        <v>1909</v>
      </c>
      <c r="N1517" s="144">
        <f t="shared" si="3754"/>
        <v>1883</v>
      </c>
      <c r="O1517" s="144">
        <f t="shared" si="3754"/>
        <v>1842</v>
      </c>
      <c r="P1517" s="144">
        <f t="shared" si="3754"/>
        <v>1832</v>
      </c>
      <c r="Q1517" s="144">
        <f t="shared" si="3754"/>
        <v>1829</v>
      </c>
      <c r="R1517" s="144">
        <f t="shared" si="3754"/>
        <v>1808</v>
      </c>
      <c r="S1517" s="144">
        <f t="shared" si="3754"/>
        <v>1731</v>
      </c>
      <c r="T1517" s="144">
        <f t="shared" si="3754"/>
        <v>1801</v>
      </c>
      <c r="U1517" s="144">
        <f t="shared" si="3754"/>
        <v>1819</v>
      </c>
      <c r="V1517" s="144">
        <f t="shared" si="3754"/>
        <v>1818</v>
      </c>
      <c r="W1517" s="144">
        <f t="shared" si="3754"/>
        <v>1792</v>
      </c>
      <c r="X1517" s="144">
        <f>SUM(X1514:X1516)</f>
        <v>1821</v>
      </c>
      <c r="Y1517" s="144">
        <f>SUM(Y1514:Y1516)</f>
        <v>1864</v>
      </c>
      <c r="Z1517" s="144">
        <f>SUM(Z1514:Z1516)</f>
        <v>1889</v>
      </c>
      <c r="AA1517" s="144">
        <f>SUM(AA1514:AA1516)</f>
        <v>1842</v>
      </c>
      <c r="AB1517" s="144">
        <f>SUM(AB1514:AB1516)</f>
        <v>1922</v>
      </c>
      <c r="AC1517" s="144">
        <f t="shared" ref="AC1517:AE1517" si="3755">AC846/1000</f>
        <v>1929.936742999188</v>
      </c>
      <c r="AD1517" s="144">
        <f t="shared" si="3755"/>
        <v>1938.4650286633982</v>
      </c>
      <c r="AE1517" s="144">
        <f t="shared" si="3755"/>
        <v>1949.8502349766391</v>
      </c>
      <c r="AF1517" s="144">
        <f t="shared" ref="AF1517:AI1517" si="3756">AF846/1000</f>
        <v>1961.6386917685709</v>
      </c>
      <c r="AG1517" s="144">
        <f t="shared" si="3756"/>
        <v>1976.4466202967469</v>
      </c>
      <c r="AH1517" s="144">
        <f t="shared" si="3756"/>
        <v>1996.2803765563608</v>
      </c>
      <c r="AI1517" s="144">
        <f t="shared" si="3756"/>
        <v>2019.3471650468227</v>
      </c>
      <c r="AJ1517" s="144"/>
      <c r="AK1517" s="144"/>
      <c r="AL1517" s="144"/>
      <c r="AM1517" s="144"/>
      <c r="AN1517" s="144"/>
      <c r="AO1517" s="144"/>
      <c r="AP1517" s="144"/>
      <c r="AQ1517" s="144"/>
      <c r="AR1517" s="70"/>
      <c r="AS1517" s="143"/>
      <c r="AT1517" s="9" t="s">
        <v>81</v>
      </c>
      <c r="AU1517" s="144">
        <f t="shared" ref="AU1517:BA1517" si="3757">SUM(AU1514:AU1516)</f>
        <v>1864</v>
      </c>
      <c r="AV1517" s="144">
        <f t="shared" si="3757"/>
        <v>1880</v>
      </c>
      <c r="AW1517" s="144">
        <f t="shared" si="3757"/>
        <v>1842</v>
      </c>
      <c r="AX1517" s="144">
        <f t="shared" si="3757"/>
        <v>1731</v>
      </c>
      <c r="AY1517" s="144">
        <f t="shared" si="3757"/>
        <v>1792</v>
      </c>
      <c r="AZ1517" s="144">
        <f t="shared" si="3757"/>
        <v>1842</v>
      </c>
      <c r="BA1517" s="144">
        <f t="shared" si="3757"/>
        <v>0</v>
      </c>
      <c r="BB1517" s="144">
        <f t="shared" ref="BB1517" si="3758">SUM(BB1514:BB1516)</f>
        <v>0</v>
      </c>
      <c r="BC1517" s="144">
        <f>BC846/1000</f>
        <v>2072.1579070443636</v>
      </c>
      <c r="BD1517" s="144">
        <f>BD846/1000</f>
        <v>2140.9375202436759</v>
      </c>
      <c r="BE1517" s="144">
        <f>BE846/1000</f>
        <v>2208.8921954759776</v>
      </c>
      <c r="BM1517"/>
      <c r="BN1517"/>
      <c r="BO1517"/>
      <c r="BP1517"/>
      <c r="BQ1517"/>
      <c r="BR1517"/>
    </row>
    <row r="1518" spans="1:70" s="382" customFormat="1" x14ac:dyDescent="0.2">
      <c r="A1518" s="833"/>
      <c r="B1518" s="329"/>
      <c r="C1518" s="9"/>
      <c r="D1518" s="60"/>
      <c r="E1518" s="759"/>
      <c r="F1518" s="759"/>
      <c r="G1518" s="759"/>
      <c r="H1518" s="759"/>
      <c r="I1518" s="759"/>
      <c r="J1518" s="759"/>
      <c r="K1518" s="759"/>
      <c r="L1518" s="759"/>
      <c r="M1518" s="759"/>
      <c r="N1518" s="759"/>
      <c r="O1518" s="759"/>
      <c r="P1518" s="759"/>
      <c r="Q1518" s="759"/>
      <c r="R1518" s="759"/>
      <c r="S1518" s="759"/>
      <c r="T1518" s="759"/>
      <c r="U1518" s="759"/>
      <c r="V1518" s="759"/>
      <c r="W1518" s="759"/>
      <c r="X1518" s="759"/>
      <c r="Y1518" s="759"/>
      <c r="Z1518" s="759"/>
      <c r="AA1518" s="759"/>
      <c r="AB1518" s="759"/>
      <c r="AC1518" s="759"/>
      <c r="AD1518" s="759"/>
      <c r="AE1518" s="759"/>
      <c r="AF1518" s="759"/>
      <c r="AG1518" s="759"/>
      <c r="AH1518" s="759"/>
      <c r="AI1518" s="759"/>
      <c r="AJ1518" s="759"/>
      <c r="AK1518" s="759"/>
      <c r="AL1518" s="759"/>
      <c r="AM1518" s="759"/>
      <c r="AN1518" s="759"/>
      <c r="AO1518" s="759"/>
      <c r="AP1518" s="759"/>
      <c r="AQ1518" s="759"/>
      <c r="AR1518" s="70"/>
      <c r="AS1518" s="329"/>
      <c r="AT1518" s="9"/>
      <c r="AU1518" s="369"/>
      <c r="AV1518" s="759"/>
      <c r="AW1518" s="369"/>
      <c r="AX1518" s="759"/>
      <c r="AY1518" s="369"/>
      <c r="AZ1518" s="759"/>
      <c r="BC1518" s="759"/>
      <c r="BD1518" s="759"/>
      <c r="BE1518" s="759"/>
      <c r="BM1518"/>
      <c r="BN1518"/>
      <c r="BO1518"/>
      <c r="BP1518"/>
      <c r="BQ1518"/>
      <c r="BR1518"/>
    </row>
    <row r="1519" spans="1:70" s="382" customFormat="1" x14ac:dyDescent="0.2">
      <c r="A1519" s="833"/>
      <c r="B1519" s="143" t="s">
        <v>469</v>
      </c>
      <c r="C1519" s="9"/>
      <c r="D1519" s="60"/>
      <c r="E1519" s="759"/>
      <c r="F1519" s="759"/>
      <c r="G1519" s="759"/>
      <c r="H1519" s="759"/>
      <c r="I1519" s="759"/>
      <c r="J1519" s="759"/>
      <c r="K1519" s="759"/>
      <c r="L1519" s="759"/>
      <c r="M1519" s="759"/>
      <c r="N1519" s="759"/>
      <c r="O1519" s="759"/>
      <c r="P1519" s="759"/>
      <c r="Q1519" s="759"/>
      <c r="R1519" s="759"/>
      <c r="S1519" s="759"/>
      <c r="T1519" s="759"/>
      <c r="U1519" s="759"/>
      <c r="V1519" s="759"/>
      <c r="W1519" s="759"/>
      <c r="X1519" s="759"/>
      <c r="Y1519" s="759"/>
      <c r="Z1519" s="759"/>
      <c r="AA1519" s="759"/>
      <c r="AB1519" s="759"/>
      <c r="AC1519" s="759"/>
      <c r="AD1519" s="759"/>
      <c r="AE1519" s="759"/>
      <c r="AF1519" s="759"/>
      <c r="AG1519" s="759"/>
      <c r="AH1519" s="759"/>
      <c r="AI1519" s="759"/>
      <c r="AJ1519" s="759"/>
      <c r="AK1519" s="759"/>
      <c r="AL1519" s="759"/>
      <c r="AM1519" s="759"/>
      <c r="AN1519" s="759"/>
      <c r="AO1519" s="759"/>
      <c r="AP1519" s="759"/>
      <c r="AQ1519" s="759"/>
      <c r="AR1519" s="70"/>
      <c r="AS1519" s="143" t="s">
        <v>469</v>
      </c>
      <c r="AT1519" s="9"/>
      <c r="AU1519" s="369"/>
      <c r="AV1519" s="759"/>
      <c r="AW1519" s="369"/>
      <c r="AX1519" s="759"/>
      <c r="AY1519" s="369"/>
      <c r="AZ1519" s="759"/>
      <c r="BC1519" s="759"/>
      <c r="BD1519" s="759"/>
      <c r="BE1519" s="759"/>
      <c r="BM1519"/>
      <c r="BN1519"/>
      <c r="BO1519"/>
      <c r="BP1519"/>
      <c r="BQ1519"/>
      <c r="BR1519"/>
    </row>
    <row r="1520" spans="1:70" s="382" customFormat="1" x14ac:dyDescent="0.2">
      <c r="A1520" s="833"/>
      <c r="B1520" s="9" t="s">
        <v>123</v>
      </c>
      <c r="C1520" s="9"/>
      <c r="D1520" s="144"/>
      <c r="E1520" s="144"/>
      <c r="F1520" s="144"/>
      <c r="G1520" s="144"/>
      <c r="H1520" s="144"/>
      <c r="I1520" s="144"/>
      <c r="J1520" s="144"/>
      <c r="K1520" s="144"/>
      <c r="L1520" s="144"/>
      <c r="M1520" s="144"/>
      <c r="N1520" s="144"/>
      <c r="O1520" s="144"/>
      <c r="P1520" s="144"/>
      <c r="Q1520" s="144"/>
      <c r="R1520" s="144"/>
      <c r="S1520" s="144"/>
      <c r="T1520" s="144"/>
      <c r="U1520" s="144"/>
      <c r="V1520" s="144"/>
      <c r="W1520" s="144"/>
      <c r="X1520" s="144"/>
      <c r="Y1520" s="144"/>
      <c r="Z1520" s="144"/>
      <c r="AA1520" s="144"/>
      <c r="AB1520" s="144"/>
      <c r="AC1520" s="144"/>
      <c r="AD1520" s="144"/>
      <c r="AE1520" s="144"/>
      <c r="AF1520" s="144"/>
      <c r="AG1520" s="144"/>
      <c r="AH1520" s="144"/>
      <c r="AI1520" s="144"/>
      <c r="AJ1520" s="144"/>
      <c r="AK1520" s="144"/>
      <c r="AL1520" s="144"/>
      <c r="AM1520" s="144"/>
      <c r="AN1520" s="144"/>
      <c r="AO1520" s="144"/>
      <c r="AP1520" s="144"/>
      <c r="AQ1520" s="144"/>
      <c r="AR1520" s="70"/>
      <c r="AS1520" s="9" t="s">
        <v>123</v>
      </c>
      <c r="AT1520" s="9"/>
      <c r="AU1520" s="369"/>
      <c r="AV1520" s="759"/>
      <c r="AW1520" s="369"/>
      <c r="AX1520" s="759"/>
      <c r="AY1520" s="369"/>
      <c r="AZ1520" s="759"/>
      <c r="BC1520" s="144"/>
      <c r="BD1520" s="144"/>
      <c r="BE1520" s="144"/>
      <c r="BM1520"/>
      <c r="BN1520"/>
      <c r="BO1520"/>
      <c r="BP1520"/>
      <c r="BQ1520"/>
      <c r="BR1520"/>
    </row>
    <row r="1521" spans="1:70" s="382" customFormat="1" x14ac:dyDescent="0.2">
      <c r="A1521" s="833"/>
      <c r="B1521" s="35"/>
      <c r="C1521" s="9" t="s">
        <v>178</v>
      </c>
      <c r="D1521" s="105">
        <v>200</v>
      </c>
      <c r="E1521" s="105">
        <v>201</v>
      </c>
      <c r="F1521" s="105">
        <v>204</v>
      </c>
      <c r="G1521" s="105">
        <v>204</v>
      </c>
      <c r="H1521" s="105">
        <v>202</v>
      </c>
      <c r="I1521" s="105">
        <v>201</v>
      </c>
      <c r="J1521" s="105">
        <v>203</v>
      </c>
      <c r="K1521" s="105">
        <v>211</v>
      </c>
      <c r="L1521" s="105">
        <v>209</v>
      </c>
      <c r="M1521" s="105">
        <v>210</v>
      </c>
      <c r="N1521" s="105">
        <v>213</v>
      </c>
      <c r="O1521" s="105">
        <v>214</v>
      </c>
      <c r="P1521" s="105">
        <v>208</v>
      </c>
      <c r="Q1521" s="105">
        <v>207</v>
      </c>
      <c r="R1521" s="105">
        <v>208</v>
      </c>
      <c r="S1521" s="105">
        <v>209</v>
      </c>
      <c r="T1521" s="105">
        <v>211</v>
      </c>
      <c r="U1521" s="105">
        <v>218</v>
      </c>
      <c r="V1521" s="105">
        <v>238</v>
      </c>
      <c r="W1521" s="105">
        <v>244</v>
      </c>
      <c r="X1521" s="105">
        <v>245</v>
      </c>
      <c r="Y1521" s="105">
        <v>244</v>
      </c>
      <c r="Z1521" s="105">
        <v>250</v>
      </c>
      <c r="AA1521" s="105">
        <v>254</v>
      </c>
      <c r="AB1521" s="105">
        <v>248</v>
      </c>
      <c r="AC1521" s="153" t="s">
        <v>226</v>
      </c>
      <c r="AD1521" s="153" t="s">
        <v>226</v>
      </c>
      <c r="AE1521" s="153" t="s">
        <v>226</v>
      </c>
      <c r="AF1521" s="153" t="s">
        <v>226</v>
      </c>
      <c r="AG1521" s="153" t="s">
        <v>226</v>
      </c>
      <c r="AH1521" s="153" t="s">
        <v>226</v>
      </c>
      <c r="AI1521" s="153" t="s">
        <v>226</v>
      </c>
      <c r="AJ1521" s="153"/>
      <c r="AK1521" s="153"/>
      <c r="AL1521" s="153"/>
      <c r="AM1521" s="153"/>
      <c r="AN1521" s="153"/>
      <c r="AO1521" s="153"/>
      <c r="AP1521" s="153"/>
      <c r="AQ1521" s="153"/>
      <c r="AR1521" s="70"/>
      <c r="AS1521" s="35"/>
      <c r="AT1521" s="9" t="s">
        <v>178</v>
      </c>
      <c r="AU1521" s="155">
        <f>AVERAGE(D1521:G1521)</f>
        <v>202.25</v>
      </c>
      <c r="AV1521" s="155">
        <f>AVERAGE(H1521:K1521)</f>
        <v>204.25</v>
      </c>
      <c r="AW1521" s="155">
        <f>AVERAGE(L1521:O1521)</f>
        <v>211.5</v>
      </c>
      <c r="AX1521" s="155">
        <f>AVERAGE(P1521:S1521)</f>
        <v>208</v>
      </c>
      <c r="AY1521" s="155">
        <f>AVERAGE(T1521:W1521)</f>
        <v>227.75</v>
      </c>
      <c r="AZ1521" s="667">
        <f>AA1521</f>
        <v>254</v>
      </c>
      <c r="BA1521" s="667" t="str">
        <f>AE1521</f>
        <v>NF</v>
      </c>
      <c r="BB1521" s="667" t="str">
        <f>AI1521</f>
        <v>NF</v>
      </c>
      <c r="BC1521" s="153" t="s">
        <v>226</v>
      </c>
      <c r="BD1521" s="153" t="s">
        <v>226</v>
      </c>
      <c r="BE1521" s="153" t="s">
        <v>226</v>
      </c>
      <c r="BM1521"/>
      <c r="BN1521"/>
      <c r="BO1521"/>
      <c r="BP1521"/>
      <c r="BQ1521"/>
      <c r="BR1521"/>
    </row>
    <row r="1522" spans="1:70" s="382" customFormat="1" x14ac:dyDescent="0.2">
      <c r="A1522" s="833"/>
      <c r="B1522" s="35"/>
      <c r="C1522" s="9" t="s">
        <v>179</v>
      </c>
      <c r="D1522" s="660">
        <v>61</v>
      </c>
      <c r="E1522" s="816">
        <v>59</v>
      </c>
      <c r="F1522" s="816">
        <v>61</v>
      </c>
      <c r="G1522" s="816">
        <v>63</v>
      </c>
      <c r="H1522" s="816">
        <v>67</v>
      </c>
      <c r="I1522" s="816">
        <v>64</v>
      </c>
      <c r="J1522" s="816">
        <v>63</v>
      </c>
      <c r="K1522" s="816">
        <v>64</v>
      </c>
      <c r="L1522" s="816">
        <v>64</v>
      </c>
      <c r="M1522" s="816">
        <v>63</v>
      </c>
      <c r="N1522" s="816">
        <v>62</v>
      </c>
      <c r="O1522" s="816">
        <v>59</v>
      </c>
      <c r="P1522" s="816">
        <v>56</v>
      </c>
      <c r="Q1522" s="816">
        <v>54</v>
      </c>
      <c r="R1522" s="816">
        <v>50</v>
      </c>
      <c r="S1522" s="816">
        <v>52</v>
      </c>
      <c r="T1522" s="816">
        <v>50</v>
      </c>
      <c r="U1522" s="816">
        <v>50</v>
      </c>
      <c r="V1522" s="816">
        <v>50</v>
      </c>
      <c r="W1522" s="816">
        <v>46</v>
      </c>
      <c r="X1522" s="816">
        <v>42</v>
      </c>
      <c r="Y1522" s="816">
        <v>45</v>
      </c>
      <c r="Z1522" s="816">
        <v>47</v>
      </c>
      <c r="AA1522" s="816">
        <v>44</v>
      </c>
      <c r="AB1522" s="816">
        <v>44</v>
      </c>
      <c r="AC1522" s="153" t="s">
        <v>226</v>
      </c>
      <c r="AD1522" s="153" t="s">
        <v>226</v>
      </c>
      <c r="AE1522" s="153" t="s">
        <v>226</v>
      </c>
      <c r="AF1522" s="153" t="s">
        <v>226</v>
      </c>
      <c r="AG1522" s="153" t="s">
        <v>226</v>
      </c>
      <c r="AH1522" s="153" t="s">
        <v>226</v>
      </c>
      <c r="AI1522" s="153" t="s">
        <v>226</v>
      </c>
      <c r="AJ1522" s="153"/>
      <c r="AK1522" s="153"/>
      <c r="AL1522" s="153"/>
      <c r="AM1522" s="153"/>
      <c r="AN1522" s="153"/>
      <c r="AO1522" s="153"/>
      <c r="AP1522" s="153"/>
      <c r="AQ1522" s="153"/>
      <c r="AR1522" s="70"/>
      <c r="AS1522" s="35"/>
      <c r="AT1522" s="9" t="s">
        <v>179</v>
      </c>
      <c r="AU1522" s="155">
        <f>AVERAGE(D1522:G1522)</f>
        <v>61</v>
      </c>
      <c r="AV1522" s="155">
        <f>AVERAGE(H1522:K1522)</f>
        <v>64.5</v>
      </c>
      <c r="AW1522" s="155">
        <f>AVERAGE(L1522:O1522)</f>
        <v>62</v>
      </c>
      <c r="AX1522" s="155">
        <f>AVERAGE(P1522:S1522)</f>
        <v>53</v>
      </c>
      <c r="AY1522" s="155">
        <f>AVERAGE(T1522:W1522)</f>
        <v>49</v>
      </c>
      <c r="AZ1522" s="667">
        <f>AA1522</f>
        <v>44</v>
      </c>
      <c r="BA1522" s="667" t="str">
        <f>AE1522</f>
        <v>NF</v>
      </c>
      <c r="BB1522" s="667" t="str">
        <f>AI1522</f>
        <v>NF</v>
      </c>
      <c r="BC1522" s="153" t="s">
        <v>226</v>
      </c>
      <c r="BD1522" s="153" t="s">
        <v>226</v>
      </c>
      <c r="BE1522" s="153" t="s">
        <v>226</v>
      </c>
      <c r="BM1522"/>
      <c r="BN1522"/>
      <c r="BO1522"/>
      <c r="BP1522"/>
      <c r="BQ1522"/>
      <c r="BR1522"/>
    </row>
    <row r="1523" spans="1:70" s="382" customFormat="1" x14ac:dyDescent="0.2">
      <c r="A1523" s="833"/>
      <c r="B1523" s="329"/>
      <c r="C1523" s="25" t="s">
        <v>230</v>
      </c>
      <c r="D1523" s="537">
        <v>116</v>
      </c>
      <c r="E1523" s="537">
        <v>112</v>
      </c>
      <c r="F1523" s="537">
        <v>115</v>
      </c>
      <c r="G1523" s="537">
        <v>116</v>
      </c>
      <c r="H1523" s="537">
        <v>117</v>
      </c>
      <c r="I1523" s="537">
        <v>116</v>
      </c>
      <c r="J1523" s="537">
        <v>115</v>
      </c>
      <c r="K1523" s="537">
        <v>117</v>
      </c>
      <c r="L1523" s="537">
        <v>117</v>
      </c>
      <c r="M1523" s="537">
        <v>120</v>
      </c>
      <c r="N1523" s="537">
        <v>120</v>
      </c>
      <c r="O1523" s="537">
        <v>118</v>
      </c>
      <c r="P1523" s="537">
        <v>115</v>
      </c>
      <c r="Q1523" s="537">
        <v>119</v>
      </c>
      <c r="R1523" s="537">
        <v>116</v>
      </c>
      <c r="S1523" s="537">
        <v>117</v>
      </c>
      <c r="T1523" s="537">
        <v>116</v>
      </c>
      <c r="U1523" s="537">
        <v>119</v>
      </c>
      <c r="V1523" s="537">
        <v>121</v>
      </c>
      <c r="W1523" s="537">
        <v>120</v>
      </c>
      <c r="X1523" s="537">
        <v>123</v>
      </c>
      <c r="Y1523" s="537">
        <v>125</v>
      </c>
      <c r="Z1523" s="537">
        <v>124</v>
      </c>
      <c r="AA1523" s="537">
        <v>125</v>
      </c>
      <c r="AB1523" s="537">
        <v>131</v>
      </c>
      <c r="AC1523" s="198" t="s">
        <v>226</v>
      </c>
      <c r="AD1523" s="198" t="s">
        <v>226</v>
      </c>
      <c r="AE1523" s="198" t="s">
        <v>226</v>
      </c>
      <c r="AF1523" s="198" t="s">
        <v>226</v>
      </c>
      <c r="AG1523" s="198" t="s">
        <v>226</v>
      </c>
      <c r="AH1523" s="198" t="s">
        <v>226</v>
      </c>
      <c r="AI1523" s="198" t="s">
        <v>226</v>
      </c>
      <c r="AJ1523" s="153"/>
      <c r="AK1523" s="153"/>
      <c r="AL1523" s="153"/>
      <c r="AM1523" s="153"/>
      <c r="AN1523" s="153"/>
      <c r="AO1523" s="153"/>
      <c r="AP1523" s="153"/>
      <c r="AQ1523" s="153"/>
      <c r="AR1523" s="70"/>
      <c r="AS1523" s="329"/>
      <c r="AT1523" s="25" t="s">
        <v>230</v>
      </c>
      <c r="AU1523" s="282">
        <f>AVERAGE(D1523:G1523)</f>
        <v>114.75</v>
      </c>
      <c r="AV1523" s="282">
        <f>AVERAGE(H1523:K1523)</f>
        <v>116.25</v>
      </c>
      <c r="AW1523" s="282">
        <f>AVERAGE(L1523:O1523)</f>
        <v>118.75</v>
      </c>
      <c r="AX1523" s="282">
        <f>AVERAGE(P1523:S1523)</f>
        <v>116.75</v>
      </c>
      <c r="AY1523" s="282">
        <f>AVERAGE(T1523:W1523)</f>
        <v>119</v>
      </c>
      <c r="AZ1523" s="817">
        <f>AA1523</f>
        <v>125</v>
      </c>
      <c r="BA1523" s="817" t="str">
        <f>AE1523</f>
        <v>NF</v>
      </c>
      <c r="BB1523" s="817" t="str">
        <f>AI1523</f>
        <v>NF</v>
      </c>
      <c r="BC1523" s="198" t="s">
        <v>226</v>
      </c>
      <c r="BD1523" s="198" t="s">
        <v>226</v>
      </c>
      <c r="BE1523" s="198" t="s">
        <v>226</v>
      </c>
      <c r="BM1523"/>
      <c r="BN1523"/>
      <c r="BO1523"/>
      <c r="BP1523"/>
      <c r="BQ1523"/>
      <c r="BR1523"/>
    </row>
    <row r="1524" spans="1:70" s="382" customFormat="1" x14ac:dyDescent="0.2">
      <c r="A1524" s="833"/>
      <c r="B1524" s="319"/>
      <c r="C1524" s="329" t="s">
        <v>122</v>
      </c>
      <c r="D1524" s="385">
        <f>SUM(D1521:D1523)</f>
        <v>377</v>
      </c>
      <c r="E1524" s="385">
        <f t="shared" ref="E1524:W1524" si="3759">SUM(E1521:E1523)</f>
        <v>372</v>
      </c>
      <c r="F1524" s="385">
        <f t="shared" si="3759"/>
        <v>380</v>
      </c>
      <c r="G1524" s="385">
        <f t="shared" si="3759"/>
        <v>383</v>
      </c>
      <c r="H1524" s="385">
        <f t="shared" si="3759"/>
        <v>386</v>
      </c>
      <c r="I1524" s="385">
        <f t="shared" si="3759"/>
        <v>381</v>
      </c>
      <c r="J1524" s="385">
        <f t="shared" si="3759"/>
        <v>381</v>
      </c>
      <c r="K1524" s="385">
        <f t="shared" si="3759"/>
        <v>392</v>
      </c>
      <c r="L1524" s="385">
        <f t="shared" si="3759"/>
        <v>390</v>
      </c>
      <c r="M1524" s="385">
        <f t="shared" si="3759"/>
        <v>393</v>
      </c>
      <c r="N1524" s="385">
        <f t="shared" si="3759"/>
        <v>395</v>
      </c>
      <c r="O1524" s="385">
        <f t="shared" si="3759"/>
        <v>391</v>
      </c>
      <c r="P1524" s="385">
        <f t="shared" si="3759"/>
        <v>379</v>
      </c>
      <c r="Q1524" s="385">
        <f t="shared" si="3759"/>
        <v>380</v>
      </c>
      <c r="R1524" s="385">
        <f t="shared" si="3759"/>
        <v>374</v>
      </c>
      <c r="S1524" s="385">
        <f t="shared" si="3759"/>
        <v>378</v>
      </c>
      <c r="T1524" s="385">
        <f t="shared" si="3759"/>
        <v>377</v>
      </c>
      <c r="U1524" s="385">
        <f t="shared" si="3759"/>
        <v>387</v>
      </c>
      <c r="V1524" s="385">
        <f t="shared" si="3759"/>
        <v>409</v>
      </c>
      <c r="W1524" s="385">
        <f t="shared" si="3759"/>
        <v>410</v>
      </c>
      <c r="X1524" s="385">
        <f>SUM(X1521:X1523)</f>
        <v>410</v>
      </c>
      <c r="Y1524" s="385">
        <f>SUM(Y1521:Y1523)</f>
        <v>414</v>
      </c>
      <c r="Z1524" s="385">
        <f>SUM(Z1521:Z1523)</f>
        <v>421</v>
      </c>
      <c r="AA1524" s="385">
        <f>SUM(AA1521:AA1523)</f>
        <v>423</v>
      </c>
      <c r="AB1524" s="385">
        <f>SUM(AB1521:AB1523)</f>
        <v>423</v>
      </c>
      <c r="AC1524" s="385">
        <f t="shared" ref="AC1524:AE1524" si="3760">SUM(AC1521:AC1523)</f>
        <v>0</v>
      </c>
      <c r="AD1524" s="385">
        <f t="shared" si="3760"/>
        <v>0</v>
      </c>
      <c r="AE1524" s="385">
        <f t="shared" si="3760"/>
        <v>0</v>
      </c>
      <c r="AF1524" s="385">
        <f t="shared" ref="AF1524:AI1524" si="3761">SUM(AF1521:AF1523)</f>
        <v>0</v>
      </c>
      <c r="AG1524" s="385">
        <f t="shared" si="3761"/>
        <v>0</v>
      </c>
      <c r="AH1524" s="385">
        <f t="shared" si="3761"/>
        <v>0</v>
      </c>
      <c r="AI1524" s="385">
        <f t="shared" si="3761"/>
        <v>0</v>
      </c>
      <c r="AJ1524" s="385"/>
      <c r="AK1524" s="385"/>
      <c r="AL1524" s="385"/>
      <c r="AM1524" s="385"/>
      <c r="AN1524" s="385"/>
      <c r="AO1524" s="385"/>
      <c r="AP1524" s="385"/>
      <c r="AQ1524" s="385"/>
      <c r="AR1524" s="70"/>
      <c r="AS1524" s="319"/>
      <c r="AT1524" s="329" t="s">
        <v>122</v>
      </c>
      <c r="AU1524" s="155">
        <f>SUM(AU1521:AU1523)</f>
        <v>378</v>
      </c>
      <c r="AV1524" s="155">
        <f t="shared" ref="AV1524:BA1524" si="3762">SUM(AV1521:AV1523)</f>
        <v>385</v>
      </c>
      <c r="AW1524" s="155">
        <f t="shared" si="3762"/>
        <v>392.25</v>
      </c>
      <c r="AX1524" s="155">
        <f t="shared" si="3762"/>
        <v>377.75</v>
      </c>
      <c r="AY1524" s="155">
        <f t="shared" si="3762"/>
        <v>395.75</v>
      </c>
      <c r="AZ1524" s="155">
        <f t="shared" si="3762"/>
        <v>423</v>
      </c>
      <c r="BA1524" s="155">
        <f t="shared" si="3762"/>
        <v>0</v>
      </c>
      <c r="BB1524" s="155">
        <f t="shared" ref="BB1524" si="3763">SUM(BB1521:BB1523)</f>
        <v>0</v>
      </c>
      <c r="BC1524" s="385">
        <f>SUM(BC1521:BC1523)</f>
        <v>0</v>
      </c>
      <c r="BD1524" s="385">
        <f>SUM(BD1521:BD1523)</f>
        <v>0</v>
      </c>
      <c r="BE1524" s="385">
        <f>SUM(BE1521:BE1523)</f>
        <v>0</v>
      </c>
      <c r="BM1524"/>
      <c r="BN1524"/>
      <c r="BO1524"/>
      <c r="BP1524"/>
      <c r="BQ1524"/>
      <c r="BR1524"/>
    </row>
    <row r="1525" spans="1:70" s="382" customFormat="1" x14ac:dyDescent="0.2">
      <c r="A1525" s="833"/>
      <c r="B1525" s="329"/>
      <c r="C1525" s="9"/>
      <c r="D1525" s="60"/>
      <c r="E1525" s="759"/>
      <c r="F1525" s="759"/>
      <c r="G1525" s="759"/>
      <c r="H1525" s="759"/>
      <c r="I1525" s="759"/>
      <c r="J1525" s="759"/>
      <c r="K1525" s="759"/>
      <c r="L1525" s="759"/>
      <c r="M1525" s="759"/>
      <c r="N1525" s="759"/>
      <c r="O1525" s="759"/>
      <c r="P1525" s="759"/>
      <c r="Q1525" s="759"/>
      <c r="R1525" s="759"/>
      <c r="S1525" s="759"/>
      <c r="T1525" s="759"/>
      <c r="U1525" s="759"/>
      <c r="V1525" s="759"/>
      <c r="W1525" s="759"/>
      <c r="X1525" s="759"/>
      <c r="Y1525" s="759"/>
      <c r="Z1525" s="759"/>
      <c r="AA1525" s="759"/>
      <c r="AB1525" s="759"/>
      <c r="AC1525" s="759"/>
      <c r="AD1525" s="759"/>
      <c r="AE1525" s="759"/>
      <c r="AF1525" s="759"/>
      <c r="AG1525" s="759"/>
      <c r="AH1525" s="759"/>
      <c r="AI1525" s="759"/>
      <c r="AJ1525" s="759"/>
      <c r="AK1525" s="759"/>
      <c r="AL1525" s="759"/>
      <c r="AM1525" s="759"/>
      <c r="AN1525" s="759"/>
      <c r="AO1525" s="759"/>
      <c r="AP1525" s="759"/>
      <c r="AQ1525" s="759"/>
      <c r="AR1525" s="70"/>
      <c r="AS1525" s="329"/>
      <c r="AT1525" s="9"/>
      <c r="AU1525" s="369"/>
      <c r="AV1525" s="759"/>
      <c r="AW1525" s="369"/>
      <c r="AX1525" s="759"/>
      <c r="AY1525" s="369"/>
      <c r="AZ1525" s="759"/>
      <c r="BC1525" s="759"/>
      <c r="BD1525" s="759"/>
      <c r="BE1525" s="759"/>
      <c r="BM1525"/>
      <c r="BN1525"/>
      <c r="BO1525"/>
      <c r="BP1525"/>
      <c r="BQ1525"/>
      <c r="BR1525"/>
    </row>
    <row r="1526" spans="1:70" s="382" customFormat="1" x14ac:dyDescent="0.2">
      <c r="A1526" s="833"/>
      <c r="B1526" s="329" t="s">
        <v>466</v>
      </c>
      <c r="C1526" s="9"/>
      <c r="D1526" s="454">
        <v>1222</v>
      </c>
      <c r="E1526" s="454">
        <v>1249</v>
      </c>
      <c r="F1526" s="454">
        <v>1247</v>
      </c>
      <c r="G1526" s="454">
        <v>1250</v>
      </c>
      <c r="H1526" s="454">
        <v>1246</v>
      </c>
      <c r="I1526" s="454">
        <v>1280</v>
      </c>
      <c r="J1526" s="454">
        <v>1253</v>
      </c>
      <c r="K1526" s="454">
        <v>1272</v>
      </c>
      <c r="L1526" s="454">
        <v>1288</v>
      </c>
      <c r="M1526" s="454">
        <v>1296</v>
      </c>
      <c r="N1526" s="454">
        <v>1284</v>
      </c>
      <c r="O1526" s="454">
        <v>1304</v>
      </c>
      <c r="P1526" s="454">
        <v>1280</v>
      </c>
      <c r="Q1526" s="454">
        <v>1285</v>
      </c>
      <c r="R1526" s="454">
        <v>1265</v>
      </c>
      <c r="S1526" s="454">
        <v>1258</v>
      </c>
      <c r="T1526" s="454">
        <v>1272</v>
      </c>
      <c r="U1526" s="454">
        <v>1300</v>
      </c>
      <c r="V1526" s="454">
        <v>1310</v>
      </c>
      <c r="W1526" s="454">
        <v>1310</v>
      </c>
      <c r="X1526" s="454">
        <v>1318</v>
      </c>
      <c r="Y1526" s="454">
        <v>1360</v>
      </c>
      <c r="Z1526" s="454">
        <v>1369</v>
      </c>
      <c r="AA1526" s="454">
        <v>1385</v>
      </c>
      <c r="AB1526" s="454">
        <v>1388</v>
      </c>
      <c r="AC1526" s="153" t="s">
        <v>226</v>
      </c>
      <c r="AD1526" s="153" t="s">
        <v>226</v>
      </c>
      <c r="AE1526" s="153" t="s">
        <v>226</v>
      </c>
      <c r="AF1526" s="153" t="s">
        <v>226</v>
      </c>
      <c r="AG1526" s="153" t="s">
        <v>226</v>
      </c>
      <c r="AH1526" s="153" t="s">
        <v>226</v>
      </c>
      <c r="AI1526" s="153" t="s">
        <v>226</v>
      </c>
      <c r="AJ1526" s="153"/>
      <c r="AK1526" s="153"/>
      <c r="AL1526" s="153"/>
      <c r="AM1526" s="153"/>
      <c r="AN1526" s="153"/>
      <c r="AO1526" s="153"/>
      <c r="AP1526" s="153"/>
      <c r="AQ1526" s="153"/>
      <c r="AR1526" s="70"/>
      <c r="AS1526" s="329" t="s">
        <v>466</v>
      </c>
      <c r="AT1526" s="9"/>
      <c r="AU1526" s="155">
        <f>AVERAGE(D1526:G1526)</f>
        <v>1242</v>
      </c>
      <c r="AV1526" s="155">
        <f>AVERAGE(H1526:K1526)</f>
        <v>1262.75</v>
      </c>
      <c r="AW1526" s="155">
        <f>AVERAGE(L1526:O1526)</f>
        <v>1293</v>
      </c>
      <c r="AX1526" s="155">
        <f>AVERAGE(P1526:S1526)</f>
        <v>1272</v>
      </c>
      <c r="AY1526" s="155">
        <f>AVERAGE(T1526:W1526)</f>
        <v>1298</v>
      </c>
      <c r="AZ1526" s="667">
        <f>AA1526</f>
        <v>1385</v>
      </c>
      <c r="BA1526" s="667" t="str">
        <f>AE1526</f>
        <v>NF</v>
      </c>
      <c r="BB1526" s="667" t="str">
        <f>AI1526</f>
        <v>NF</v>
      </c>
      <c r="BC1526" s="153" t="s">
        <v>226</v>
      </c>
      <c r="BD1526" s="153" t="s">
        <v>226</v>
      </c>
      <c r="BE1526" s="153" t="s">
        <v>226</v>
      </c>
      <c r="BM1526"/>
      <c r="BN1526"/>
      <c r="BO1526"/>
      <c r="BP1526"/>
      <c r="BQ1526"/>
      <c r="BR1526"/>
    </row>
    <row r="1527" spans="1:70" s="382" customFormat="1" x14ac:dyDescent="0.2">
      <c r="A1527" s="833"/>
      <c r="B1527" s="329" t="s">
        <v>183</v>
      </c>
      <c r="C1527" s="9"/>
      <c r="D1527" s="454">
        <v>313</v>
      </c>
      <c r="E1527" s="454">
        <v>295</v>
      </c>
      <c r="F1527" s="454">
        <v>282</v>
      </c>
      <c r="G1527" s="454">
        <v>272</v>
      </c>
      <c r="H1527" s="454">
        <v>255</v>
      </c>
      <c r="I1527" s="454">
        <v>238</v>
      </c>
      <c r="J1527" s="454">
        <v>223</v>
      </c>
      <c r="K1527" s="454">
        <v>224</v>
      </c>
      <c r="L1527" s="454">
        <v>210</v>
      </c>
      <c r="M1527" s="454">
        <v>214</v>
      </c>
      <c r="N1527" s="454">
        <v>216</v>
      </c>
      <c r="O1527" s="454">
        <v>205</v>
      </c>
      <c r="P1527" s="454">
        <v>194</v>
      </c>
      <c r="Q1527" s="454">
        <v>175</v>
      </c>
      <c r="R1527" s="454">
        <v>179</v>
      </c>
      <c r="S1527" s="454">
        <v>148</v>
      </c>
      <c r="T1527" s="454">
        <v>129</v>
      </c>
      <c r="U1527" s="454">
        <v>120</v>
      </c>
      <c r="V1527" s="454">
        <v>111</v>
      </c>
      <c r="W1527" s="454">
        <v>100</v>
      </c>
      <c r="X1527" s="454">
        <v>103</v>
      </c>
      <c r="Y1527" s="454">
        <v>95</v>
      </c>
      <c r="Z1527" s="454">
        <v>102</v>
      </c>
      <c r="AA1527" s="454">
        <v>102</v>
      </c>
      <c r="AB1527" s="454">
        <v>93</v>
      </c>
      <c r="AC1527" s="153" t="s">
        <v>226</v>
      </c>
      <c r="AD1527" s="153" t="s">
        <v>226</v>
      </c>
      <c r="AE1527" s="153" t="s">
        <v>226</v>
      </c>
      <c r="AF1527" s="153" t="s">
        <v>226</v>
      </c>
      <c r="AG1527" s="153" t="s">
        <v>226</v>
      </c>
      <c r="AH1527" s="153" t="s">
        <v>226</v>
      </c>
      <c r="AI1527" s="153" t="s">
        <v>226</v>
      </c>
      <c r="AJ1527" s="153"/>
      <c r="AK1527" s="153"/>
      <c r="AL1527" s="153"/>
      <c r="AM1527" s="153"/>
      <c r="AN1527" s="153"/>
      <c r="AO1527" s="153"/>
      <c r="AP1527" s="153"/>
      <c r="AQ1527" s="153"/>
      <c r="AR1527" s="70"/>
      <c r="AS1527" s="329" t="s">
        <v>183</v>
      </c>
      <c r="AT1527" s="9"/>
      <c r="AU1527" s="155">
        <f>AVERAGE(D1527:G1527)</f>
        <v>290.5</v>
      </c>
      <c r="AV1527" s="155">
        <f>AVERAGE(H1527:K1527)</f>
        <v>235</v>
      </c>
      <c r="AW1527" s="155">
        <f>AVERAGE(L1527:O1527)</f>
        <v>211.25</v>
      </c>
      <c r="AX1527" s="155">
        <f>AVERAGE(P1527:S1527)</f>
        <v>174</v>
      </c>
      <c r="AY1527" s="155">
        <f>AVERAGE(T1527:W1527)</f>
        <v>115</v>
      </c>
      <c r="AZ1527" s="667">
        <f>AA1527</f>
        <v>102</v>
      </c>
      <c r="BA1527" s="667" t="str">
        <f>AE1527</f>
        <v>NF</v>
      </c>
      <c r="BB1527" s="667" t="str">
        <f>AI1527</f>
        <v>NF</v>
      </c>
      <c r="BC1527" s="153" t="s">
        <v>226</v>
      </c>
      <c r="BD1527" s="153" t="s">
        <v>226</v>
      </c>
      <c r="BE1527" s="153" t="s">
        <v>226</v>
      </c>
      <c r="BM1527"/>
      <c r="BN1527"/>
      <c r="BO1527"/>
      <c r="BP1527"/>
      <c r="BQ1527"/>
      <c r="BR1527"/>
    </row>
    <row r="1528" spans="1:70" s="382" customFormat="1" x14ac:dyDescent="0.2">
      <c r="A1528" s="833"/>
      <c r="B1528" s="329"/>
      <c r="C1528" s="9"/>
      <c r="D1528" s="455"/>
      <c r="E1528" s="455"/>
      <c r="F1528" s="455"/>
      <c r="G1528" s="455"/>
      <c r="H1528" s="319"/>
      <c r="I1528" s="319"/>
      <c r="J1528" s="319"/>
      <c r="K1528" s="319"/>
      <c r="L1528" s="319"/>
      <c r="M1528" s="319"/>
      <c r="N1528" s="319"/>
      <c r="O1528" s="319"/>
      <c r="P1528" s="319"/>
      <c r="Q1528" s="319"/>
      <c r="R1528" s="319"/>
      <c r="S1528" s="319"/>
      <c r="T1528" s="319"/>
      <c r="U1528" s="319"/>
      <c r="V1528" s="319"/>
      <c r="W1528" s="319"/>
      <c r="X1528" s="319"/>
      <c r="Y1528" s="319"/>
      <c r="Z1528" s="319"/>
      <c r="AA1528" s="319"/>
      <c r="AB1528" s="319"/>
      <c r="AC1528" s="319"/>
      <c r="AD1528" s="319"/>
      <c r="AE1528" s="319"/>
      <c r="AF1528" s="319"/>
      <c r="AG1528" s="319"/>
      <c r="AH1528" s="319"/>
      <c r="AI1528" s="319"/>
      <c r="AJ1528" s="319"/>
      <c r="AK1528" s="319"/>
      <c r="AL1528" s="319"/>
      <c r="AM1528" s="319"/>
      <c r="AN1528" s="319"/>
      <c r="AO1528" s="319"/>
      <c r="AP1528" s="319"/>
      <c r="AQ1528" s="319"/>
      <c r="AR1528" s="70"/>
      <c r="AS1528" s="329"/>
      <c r="AT1528" s="9"/>
      <c r="AU1528" s="369"/>
      <c r="AV1528" s="759"/>
      <c r="AW1528" s="369"/>
      <c r="AX1528" s="759"/>
      <c r="AY1528" s="369"/>
      <c r="AZ1528" s="759"/>
      <c r="BC1528" s="319"/>
      <c r="BD1528" s="319"/>
      <c r="BE1528" s="319"/>
      <c r="BM1528"/>
      <c r="BN1528"/>
      <c r="BO1528"/>
      <c r="BP1528"/>
      <c r="BQ1528"/>
      <c r="BR1528"/>
    </row>
    <row r="1529" spans="1:70" s="382" customFormat="1" x14ac:dyDescent="0.2">
      <c r="A1529" s="833"/>
      <c r="B1529" s="329" t="s">
        <v>81</v>
      </c>
      <c r="C1529" s="9"/>
      <c r="D1529" s="144">
        <f>D1537</f>
        <v>1912</v>
      </c>
      <c r="E1529" s="144">
        <f t="shared" ref="E1529:W1529" si="3764">E1537</f>
        <v>1916</v>
      </c>
      <c r="F1529" s="144">
        <f t="shared" si="3764"/>
        <v>1909</v>
      </c>
      <c r="G1529" s="144">
        <f t="shared" si="3764"/>
        <v>1905</v>
      </c>
      <c r="H1529" s="144">
        <f t="shared" si="3764"/>
        <v>1887</v>
      </c>
      <c r="I1529" s="144">
        <f t="shared" si="3764"/>
        <v>1899</v>
      </c>
      <c r="J1529" s="144">
        <f t="shared" si="3764"/>
        <v>1857</v>
      </c>
      <c r="K1529" s="144">
        <f t="shared" si="3764"/>
        <v>1888</v>
      </c>
      <c r="L1529" s="144">
        <f t="shared" si="3764"/>
        <v>1888</v>
      </c>
      <c r="M1529" s="144">
        <f t="shared" si="3764"/>
        <v>1903</v>
      </c>
      <c r="N1529" s="144">
        <f t="shared" si="3764"/>
        <v>1895</v>
      </c>
      <c r="O1529" s="144">
        <f t="shared" si="3764"/>
        <v>1900</v>
      </c>
      <c r="P1529" s="144">
        <f t="shared" si="3764"/>
        <v>1853</v>
      </c>
      <c r="Q1529" s="144">
        <f t="shared" si="3764"/>
        <v>1840</v>
      </c>
      <c r="R1529" s="144">
        <f t="shared" si="3764"/>
        <v>1818</v>
      </c>
      <c r="S1529" s="144">
        <f t="shared" si="3764"/>
        <v>1784</v>
      </c>
      <c r="T1529" s="144">
        <f t="shared" si="3764"/>
        <v>1778</v>
      </c>
      <c r="U1529" s="144">
        <f t="shared" si="3764"/>
        <v>1807</v>
      </c>
      <c r="V1529" s="144">
        <f t="shared" si="3764"/>
        <v>1830</v>
      </c>
      <c r="W1529" s="144">
        <f t="shared" si="3764"/>
        <v>1820</v>
      </c>
      <c r="X1529" s="144">
        <f>X1537</f>
        <v>1830</v>
      </c>
      <c r="Y1529" s="144">
        <f>Y1537</f>
        <v>1871</v>
      </c>
      <c r="Z1529" s="144">
        <f>Z1537</f>
        <v>1892</v>
      </c>
      <c r="AA1529" s="144">
        <f>AA1537</f>
        <v>1910</v>
      </c>
      <c r="AB1529" s="144">
        <f>AB1537</f>
        <v>1904</v>
      </c>
      <c r="AC1529" s="144">
        <f t="shared" ref="AC1529:AE1529" si="3765">AC1537</f>
        <v>1911.9597826231329</v>
      </c>
      <c r="AD1529" s="144">
        <f t="shared" si="3765"/>
        <v>1920.4086290756604</v>
      </c>
      <c r="AE1529" s="144">
        <f t="shared" si="3765"/>
        <v>1931.68778455407</v>
      </c>
      <c r="AF1529" s="144">
        <f t="shared" ref="AF1529:AI1529" si="3766">AF1537</f>
        <v>1943.3664343166201</v>
      </c>
      <c r="AG1529" s="144">
        <f t="shared" si="3766"/>
        <v>1958.0364300626115</v>
      </c>
      <c r="AH1529" s="144">
        <f t="shared" si="3766"/>
        <v>1977.6854389973814</v>
      </c>
      <c r="AI1529" s="144">
        <f t="shared" si="3766"/>
        <v>2000.5373651384941</v>
      </c>
      <c r="AJ1529" s="144"/>
      <c r="AK1529" s="144"/>
      <c r="AL1529" s="144"/>
      <c r="AM1529" s="144"/>
      <c r="AN1529" s="144"/>
      <c r="AO1529" s="144"/>
      <c r="AP1529" s="144"/>
      <c r="AQ1529" s="144"/>
      <c r="AR1529" s="70"/>
      <c r="AS1529" s="329" t="s">
        <v>81</v>
      </c>
      <c r="AT1529" s="9"/>
      <c r="AU1529" s="144">
        <f t="shared" ref="AU1529:BA1529" si="3767">AU1537</f>
        <v>1910.675</v>
      </c>
      <c r="AV1529" s="144">
        <f t="shared" si="3767"/>
        <v>1882.7</v>
      </c>
      <c r="AW1529" s="144">
        <f t="shared" si="3767"/>
        <v>1896.8</v>
      </c>
      <c r="AX1529" s="144">
        <f t="shared" si="3767"/>
        <v>1823.875</v>
      </c>
      <c r="AY1529" s="144">
        <f t="shared" si="3767"/>
        <v>1808.7249999999999</v>
      </c>
      <c r="AZ1529" s="144">
        <f t="shared" si="3767"/>
        <v>1875.45</v>
      </c>
      <c r="BA1529" s="144">
        <f t="shared" si="3767"/>
        <v>1917.0640490632156</v>
      </c>
      <c r="BB1529" s="144">
        <f t="shared" ref="BB1529" si="3768">BB1537</f>
        <v>1969.9064171287769</v>
      </c>
      <c r="BC1529" s="144">
        <f>BC1537</f>
        <v>2021.4241657135653</v>
      </c>
      <c r="BD1529" s="144">
        <f>BD1537</f>
        <v>2088.5198111549075</v>
      </c>
      <c r="BE1529" s="144">
        <f>BE1537</f>
        <v>2154.8107160231198</v>
      </c>
      <c r="BM1529"/>
      <c r="BN1529"/>
      <c r="BO1529"/>
      <c r="BP1529"/>
      <c r="BQ1529"/>
      <c r="BR1529"/>
    </row>
    <row r="1530" spans="1:70" s="382" customFormat="1" x14ac:dyDescent="0.2">
      <c r="A1530" s="833"/>
      <c r="B1530" s="329"/>
      <c r="C1530" s="9"/>
      <c r="D1530" s="455"/>
      <c r="E1530" s="455"/>
      <c r="F1530" s="455"/>
      <c r="G1530" s="455"/>
      <c r="H1530" s="319"/>
      <c r="I1530" s="319"/>
      <c r="J1530" s="319"/>
      <c r="K1530" s="319"/>
      <c r="L1530" s="319"/>
      <c r="M1530" s="319"/>
      <c r="N1530" s="319"/>
      <c r="O1530" s="319"/>
      <c r="P1530" s="319"/>
      <c r="Q1530" s="319"/>
      <c r="R1530" s="319"/>
      <c r="S1530" s="319"/>
      <c r="T1530" s="319"/>
      <c r="U1530" s="319"/>
      <c r="V1530" s="319"/>
      <c r="W1530" s="319"/>
      <c r="X1530" s="319"/>
      <c r="Y1530" s="319"/>
      <c r="Z1530" s="319"/>
      <c r="AA1530" s="319"/>
      <c r="AB1530" s="319"/>
      <c r="AC1530" s="319"/>
      <c r="AD1530" s="319"/>
      <c r="AE1530" s="319"/>
      <c r="AF1530" s="319"/>
      <c r="AG1530" s="319"/>
      <c r="AH1530" s="319"/>
      <c r="AI1530" s="319"/>
      <c r="AJ1530" s="319"/>
      <c r="AK1530" s="319"/>
      <c r="AL1530" s="319"/>
      <c r="AM1530" s="319"/>
      <c r="AN1530" s="319"/>
      <c r="AO1530" s="319"/>
      <c r="AP1530" s="319"/>
      <c r="AQ1530" s="319"/>
      <c r="AR1530" s="70"/>
      <c r="AS1530" s="329"/>
      <c r="AT1530" s="9"/>
      <c r="AU1530" s="369"/>
      <c r="AV1530" s="759"/>
      <c r="AW1530" s="369"/>
      <c r="AX1530" s="759"/>
      <c r="AY1530" s="369"/>
      <c r="AZ1530" s="759"/>
      <c r="BC1530" s="319"/>
      <c r="BD1530" s="319"/>
      <c r="BE1530" s="319"/>
      <c r="BM1530"/>
      <c r="BN1530"/>
      <c r="BO1530"/>
      <c r="BP1530"/>
      <c r="BQ1530"/>
      <c r="BR1530"/>
    </row>
    <row r="1531" spans="1:70" s="382" customFormat="1" x14ac:dyDescent="0.2">
      <c r="A1531" s="833"/>
      <c r="B1531" s="143" t="s">
        <v>470</v>
      </c>
      <c r="C1531" s="9"/>
      <c r="D1531" s="455"/>
      <c r="E1531" s="455"/>
      <c r="F1531" s="455"/>
      <c r="G1531" s="455"/>
      <c r="H1531" s="319"/>
      <c r="I1531" s="319"/>
      <c r="J1531" s="319"/>
      <c r="K1531" s="319"/>
      <c r="L1531" s="319"/>
      <c r="M1531" s="319"/>
      <c r="N1531" s="319"/>
      <c r="O1531" s="319"/>
      <c r="P1531" s="319"/>
      <c r="Q1531" s="319"/>
      <c r="R1531" s="319"/>
      <c r="S1531" s="319"/>
      <c r="T1531" s="319"/>
      <c r="U1531" s="319"/>
      <c r="V1531" s="319"/>
      <c r="W1531" s="319"/>
      <c r="X1531" s="319"/>
      <c r="Y1531" s="319"/>
      <c r="Z1531" s="319"/>
      <c r="AA1531" s="319"/>
      <c r="AB1531" s="319"/>
      <c r="AC1531" s="319"/>
      <c r="AD1531" s="319"/>
      <c r="AE1531" s="319"/>
      <c r="AF1531" s="319"/>
      <c r="AG1531" s="319"/>
      <c r="AH1531" s="319"/>
      <c r="AI1531" s="319"/>
      <c r="AJ1531" s="319"/>
      <c r="AK1531" s="319"/>
      <c r="AL1531" s="319"/>
      <c r="AM1531" s="319"/>
      <c r="AN1531" s="319"/>
      <c r="AO1531" s="319"/>
      <c r="AP1531" s="319"/>
      <c r="AQ1531" s="319"/>
      <c r="AR1531" s="70"/>
      <c r="AS1531" s="143" t="s">
        <v>470</v>
      </c>
      <c r="AT1531" s="9"/>
      <c r="AU1531" s="369"/>
      <c r="AV1531" s="759"/>
      <c r="AW1531" s="369"/>
      <c r="AX1531" s="759"/>
      <c r="AY1531" s="369"/>
      <c r="AZ1531" s="759"/>
      <c r="BC1531" s="319"/>
      <c r="BD1531" s="319"/>
      <c r="BE1531" s="319"/>
      <c r="BM1531"/>
      <c r="BN1531"/>
      <c r="BO1531"/>
      <c r="BP1531"/>
      <c r="BQ1531"/>
      <c r="BR1531"/>
    </row>
    <row r="1532" spans="1:70" s="382" customFormat="1" x14ac:dyDescent="0.2">
      <c r="A1532" s="833"/>
      <c r="B1532" s="329"/>
      <c r="C1532" s="362" t="s">
        <v>76</v>
      </c>
      <c r="D1532" s="105">
        <v>791</v>
      </c>
      <c r="E1532" s="105">
        <v>805</v>
      </c>
      <c r="F1532" s="105">
        <v>823</v>
      </c>
      <c r="G1532" s="105">
        <v>817</v>
      </c>
      <c r="H1532" s="105">
        <v>802</v>
      </c>
      <c r="I1532" s="105">
        <v>820</v>
      </c>
      <c r="J1532" s="105">
        <v>823</v>
      </c>
      <c r="K1532" s="105">
        <v>844</v>
      </c>
      <c r="L1532" s="105">
        <v>854</v>
      </c>
      <c r="M1532" s="105">
        <v>845</v>
      </c>
      <c r="N1532" s="105">
        <v>872</v>
      </c>
      <c r="O1532" s="105">
        <v>895</v>
      </c>
      <c r="P1532" s="105">
        <v>885</v>
      </c>
      <c r="Q1532" s="105">
        <v>876</v>
      </c>
      <c r="R1532" s="105">
        <v>882</v>
      </c>
      <c r="S1532" s="105">
        <v>890</v>
      </c>
      <c r="T1532" s="105">
        <v>907</v>
      </c>
      <c r="U1532" s="105">
        <v>926</v>
      </c>
      <c r="V1532" s="105">
        <v>951</v>
      </c>
      <c r="W1532" s="105">
        <v>971</v>
      </c>
      <c r="X1532" s="105">
        <v>963</v>
      </c>
      <c r="Y1532" s="105">
        <v>982</v>
      </c>
      <c r="Z1532" s="105">
        <v>993</v>
      </c>
      <c r="AA1532" s="105">
        <v>1006</v>
      </c>
      <c r="AB1532" s="105">
        <v>971</v>
      </c>
      <c r="AC1532" s="153" t="s">
        <v>226</v>
      </c>
      <c r="AD1532" s="153" t="s">
        <v>226</v>
      </c>
      <c r="AE1532" s="153" t="s">
        <v>226</v>
      </c>
      <c r="AF1532" s="153" t="s">
        <v>226</v>
      </c>
      <c r="AG1532" s="153" t="s">
        <v>226</v>
      </c>
      <c r="AH1532" s="153" t="s">
        <v>226</v>
      </c>
      <c r="AI1532" s="153" t="s">
        <v>226</v>
      </c>
      <c r="AJ1532" s="153"/>
      <c r="AK1532" s="153"/>
      <c r="AL1532" s="153"/>
      <c r="AM1532" s="153"/>
      <c r="AN1532" s="153"/>
      <c r="AO1532" s="153"/>
      <c r="AP1532" s="153"/>
      <c r="AQ1532" s="153"/>
      <c r="AR1532" s="70"/>
      <c r="AS1532" s="329"/>
      <c r="AT1532" s="362" t="s">
        <v>76</v>
      </c>
      <c r="AU1532" s="155">
        <f>AVERAGE(D1532:G1532)</f>
        <v>809</v>
      </c>
      <c r="AV1532" s="155">
        <f>AVERAGE(H1532:K1532)</f>
        <v>822.25</v>
      </c>
      <c r="AW1532" s="155">
        <f>AVERAGE(L1532:O1532)</f>
        <v>866.5</v>
      </c>
      <c r="AX1532" s="155">
        <f>AVERAGE(P1532:S1532)</f>
        <v>883.25</v>
      </c>
      <c r="AY1532" s="155">
        <f>AVERAGE(T1532:W1532)</f>
        <v>938.75</v>
      </c>
      <c r="AZ1532" s="667">
        <f>AA1532</f>
        <v>1006</v>
      </c>
      <c r="BA1532" s="667" t="str">
        <f>AE1532</f>
        <v>NF</v>
      </c>
      <c r="BB1532" s="667" t="str">
        <f>AI1532</f>
        <v>NF</v>
      </c>
      <c r="BC1532" s="153" t="s">
        <v>226</v>
      </c>
      <c r="BD1532" s="153" t="s">
        <v>226</v>
      </c>
      <c r="BE1532" s="153" t="s">
        <v>226</v>
      </c>
      <c r="BM1532"/>
      <c r="BN1532"/>
      <c r="BO1532"/>
      <c r="BP1532"/>
      <c r="BQ1532"/>
      <c r="BR1532"/>
    </row>
    <row r="1533" spans="1:70" s="382" customFormat="1" x14ac:dyDescent="0.2">
      <c r="A1533" s="833"/>
      <c r="B1533" s="329"/>
      <c r="C1533" s="362" t="s">
        <v>471</v>
      </c>
      <c r="D1533" s="105">
        <v>326</v>
      </c>
      <c r="E1533" s="105">
        <v>329</v>
      </c>
      <c r="F1533" s="105">
        <v>312</v>
      </c>
      <c r="G1533" s="105">
        <v>320</v>
      </c>
      <c r="H1533" s="105">
        <v>327</v>
      </c>
      <c r="I1533" s="105">
        <v>340</v>
      </c>
      <c r="J1533" s="105">
        <v>322</v>
      </c>
      <c r="K1533" s="105">
        <v>326</v>
      </c>
      <c r="L1533" s="105">
        <v>336</v>
      </c>
      <c r="M1533" s="105">
        <v>348</v>
      </c>
      <c r="N1533" s="105">
        <v>324</v>
      </c>
      <c r="O1533" s="105">
        <v>329</v>
      </c>
      <c r="P1533" s="105">
        <v>317</v>
      </c>
      <c r="Q1533" s="105">
        <v>331</v>
      </c>
      <c r="R1533" s="105">
        <v>312</v>
      </c>
      <c r="S1533" s="105">
        <v>300</v>
      </c>
      <c r="T1533" s="105">
        <v>301</v>
      </c>
      <c r="U1533" s="105">
        <v>312</v>
      </c>
      <c r="V1533" s="105">
        <v>317</v>
      </c>
      <c r="W1533" s="105">
        <v>308</v>
      </c>
      <c r="X1533" s="105">
        <v>318</v>
      </c>
      <c r="Y1533" s="105">
        <v>335</v>
      </c>
      <c r="Z1533" s="105">
        <v>329</v>
      </c>
      <c r="AA1533" s="105">
        <v>334</v>
      </c>
      <c r="AB1533" s="105">
        <v>363</v>
      </c>
      <c r="AC1533" s="153" t="s">
        <v>226</v>
      </c>
      <c r="AD1533" s="153" t="s">
        <v>226</v>
      </c>
      <c r="AE1533" s="153" t="s">
        <v>226</v>
      </c>
      <c r="AF1533" s="153" t="s">
        <v>226</v>
      </c>
      <c r="AG1533" s="153" t="s">
        <v>226</v>
      </c>
      <c r="AH1533" s="153" t="s">
        <v>226</v>
      </c>
      <c r="AI1533" s="153" t="s">
        <v>226</v>
      </c>
      <c r="AJ1533" s="153"/>
      <c r="AK1533" s="153"/>
      <c r="AL1533" s="153"/>
      <c r="AM1533" s="153"/>
      <c r="AN1533" s="153"/>
      <c r="AO1533" s="153"/>
      <c r="AP1533" s="153"/>
      <c r="AQ1533" s="153"/>
      <c r="AR1533" s="70"/>
      <c r="AS1533" s="329"/>
      <c r="AT1533" s="362" t="s">
        <v>471</v>
      </c>
      <c r="AU1533" s="155">
        <f>AVERAGE(D1533:G1533)</f>
        <v>321.75</v>
      </c>
      <c r="AV1533" s="155">
        <f>AVERAGE(H1533:K1533)</f>
        <v>328.75</v>
      </c>
      <c r="AW1533" s="155">
        <f>AVERAGE(L1533:O1533)</f>
        <v>334.25</v>
      </c>
      <c r="AX1533" s="155">
        <f>AVERAGE(P1533:S1533)</f>
        <v>315</v>
      </c>
      <c r="AY1533" s="155">
        <f>AVERAGE(T1533:W1533)</f>
        <v>309.5</v>
      </c>
      <c r="AZ1533" s="667">
        <f>AA1533</f>
        <v>334</v>
      </c>
      <c r="BA1533" s="667" t="str">
        <f>AE1533</f>
        <v>NF</v>
      </c>
      <c r="BB1533" s="667" t="str">
        <f>AI1533</f>
        <v>NF</v>
      </c>
      <c r="BC1533" s="153" t="s">
        <v>226</v>
      </c>
      <c r="BD1533" s="153" t="s">
        <v>226</v>
      </c>
      <c r="BE1533" s="153" t="s">
        <v>226</v>
      </c>
      <c r="BM1533"/>
      <c r="BN1533"/>
      <c r="BO1533"/>
      <c r="BP1533"/>
      <c r="BQ1533"/>
      <c r="BR1533"/>
    </row>
    <row r="1534" spans="1:70" s="382" customFormat="1" x14ac:dyDescent="0.2">
      <c r="A1534" s="833"/>
      <c r="B1534" s="329"/>
      <c r="C1534" s="362" t="s">
        <v>5</v>
      </c>
      <c r="D1534" s="105">
        <v>149</v>
      </c>
      <c r="E1534" s="105">
        <v>148</v>
      </c>
      <c r="F1534" s="105">
        <v>152</v>
      </c>
      <c r="G1534" s="105">
        <v>158</v>
      </c>
      <c r="H1534" s="105">
        <v>166</v>
      </c>
      <c r="I1534" s="105">
        <v>167</v>
      </c>
      <c r="J1534" s="105">
        <v>161</v>
      </c>
      <c r="K1534" s="105">
        <v>163</v>
      </c>
      <c r="L1534" s="105">
        <v>162</v>
      </c>
      <c r="M1534" s="105">
        <v>162</v>
      </c>
      <c r="N1534" s="105">
        <v>157</v>
      </c>
      <c r="O1534" s="105">
        <v>151</v>
      </c>
      <c r="P1534" s="105">
        <v>146</v>
      </c>
      <c r="Q1534" s="105">
        <v>145</v>
      </c>
      <c r="R1534" s="105">
        <v>138</v>
      </c>
      <c r="S1534" s="105">
        <v>138</v>
      </c>
      <c r="T1534" s="105">
        <v>134</v>
      </c>
      <c r="U1534" s="105">
        <v>134</v>
      </c>
      <c r="V1534" s="105">
        <v>128</v>
      </c>
      <c r="W1534" s="105">
        <v>125</v>
      </c>
      <c r="X1534" s="105">
        <v>125</v>
      </c>
      <c r="Y1534" s="105">
        <v>130</v>
      </c>
      <c r="Z1534" s="105">
        <v>131</v>
      </c>
      <c r="AA1534" s="105">
        <v>128</v>
      </c>
      <c r="AB1534" s="105">
        <v>129</v>
      </c>
      <c r="AC1534" s="153" t="s">
        <v>226</v>
      </c>
      <c r="AD1534" s="153" t="s">
        <v>226</v>
      </c>
      <c r="AE1534" s="153" t="s">
        <v>226</v>
      </c>
      <c r="AF1534" s="153" t="s">
        <v>226</v>
      </c>
      <c r="AG1534" s="153" t="s">
        <v>226</v>
      </c>
      <c r="AH1534" s="153" t="s">
        <v>226</v>
      </c>
      <c r="AI1534" s="153" t="s">
        <v>226</v>
      </c>
      <c r="AJ1534" s="153"/>
      <c r="AK1534" s="153"/>
      <c r="AL1534" s="153"/>
      <c r="AM1534" s="153"/>
      <c r="AN1534" s="153"/>
      <c r="AO1534" s="153"/>
      <c r="AP1534" s="153"/>
      <c r="AQ1534" s="153"/>
      <c r="AR1534" s="70"/>
      <c r="AS1534" s="329"/>
      <c r="AT1534" s="362" t="s">
        <v>5</v>
      </c>
      <c r="AU1534" s="155">
        <f>AVERAGE(D1534:G1534)</f>
        <v>151.75</v>
      </c>
      <c r="AV1534" s="155">
        <f>AVERAGE(H1534:K1534)</f>
        <v>164.25</v>
      </c>
      <c r="AW1534" s="155">
        <f>AVERAGE(L1534:O1534)</f>
        <v>158</v>
      </c>
      <c r="AX1534" s="155">
        <f>AVERAGE(P1534:S1534)</f>
        <v>141.75</v>
      </c>
      <c r="AY1534" s="155">
        <f>AVERAGE(T1534:W1534)</f>
        <v>130.25</v>
      </c>
      <c r="AZ1534" s="667">
        <f>AA1534</f>
        <v>128</v>
      </c>
      <c r="BA1534" s="667" t="str">
        <f>AE1534</f>
        <v>NF</v>
      </c>
      <c r="BB1534" s="667" t="str">
        <f>AI1534</f>
        <v>NF</v>
      </c>
      <c r="BC1534" s="153" t="s">
        <v>226</v>
      </c>
      <c r="BD1534" s="153" t="s">
        <v>226</v>
      </c>
      <c r="BE1534" s="153" t="s">
        <v>226</v>
      </c>
      <c r="BM1534"/>
      <c r="BN1534"/>
      <c r="BO1534"/>
      <c r="BP1534"/>
      <c r="BQ1534"/>
      <c r="BR1534"/>
    </row>
    <row r="1535" spans="1:70" s="382" customFormat="1" x14ac:dyDescent="0.2">
      <c r="A1535" s="833"/>
      <c r="B1535" s="329"/>
      <c r="C1535" s="362" t="s">
        <v>472</v>
      </c>
      <c r="D1535" s="660">
        <v>333</v>
      </c>
      <c r="E1535" s="816">
        <v>339</v>
      </c>
      <c r="F1535" s="816">
        <v>340</v>
      </c>
      <c r="G1535" s="816">
        <v>338</v>
      </c>
      <c r="H1535" s="816">
        <v>337</v>
      </c>
      <c r="I1535" s="816">
        <v>334</v>
      </c>
      <c r="J1535" s="816">
        <v>328</v>
      </c>
      <c r="K1535" s="816">
        <v>331</v>
      </c>
      <c r="L1535" s="816">
        <v>326</v>
      </c>
      <c r="M1535" s="816">
        <v>334</v>
      </c>
      <c r="N1535" s="816">
        <v>326</v>
      </c>
      <c r="O1535" s="816">
        <v>320</v>
      </c>
      <c r="P1535" s="816">
        <v>311</v>
      </c>
      <c r="Q1535" s="816">
        <v>313</v>
      </c>
      <c r="R1535" s="816">
        <v>307</v>
      </c>
      <c r="S1535" s="816">
        <v>308</v>
      </c>
      <c r="T1535" s="816">
        <v>307</v>
      </c>
      <c r="U1535" s="816">
        <v>315</v>
      </c>
      <c r="V1535" s="816">
        <v>323</v>
      </c>
      <c r="W1535" s="816">
        <v>316</v>
      </c>
      <c r="X1535" s="816">
        <v>322</v>
      </c>
      <c r="Y1535" s="816">
        <v>329</v>
      </c>
      <c r="Z1535" s="816">
        <v>337</v>
      </c>
      <c r="AA1535" s="816">
        <v>340</v>
      </c>
      <c r="AB1535" s="816">
        <v>348</v>
      </c>
      <c r="AC1535" s="153" t="s">
        <v>226</v>
      </c>
      <c r="AD1535" s="153" t="s">
        <v>226</v>
      </c>
      <c r="AE1535" s="153" t="s">
        <v>226</v>
      </c>
      <c r="AF1535" s="153" t="s">
        <v>226</v>
      </c>
      <c r="AG1535" s="153" t="s">
        <v>226</v>
      </c>
      <c r="AH1535" s="153" t="s">
        <v>226</v>
      </c>
      <c r="AI1535" s="153" t="s">
        <v>226</v>
      </c>
      <c r="AJ1535" s="153"/>
      <c r="AK1535" s="153"/>
      <c r="AL1535" s="153"/>
      <c r="AM1535" s="153"/>
      <c r="AN1535" s="153"/>
      <c r="AO1535" s="153"/>
      <c r="AP1535" s="153"/>
      <c r="AQ1535" s="153"/>
      <c r="AR1535" s="70"/>
      <c r="AS1535" s="329"/>
      <c r="AT1535" s="362" t="s">
        <v>472</v>
      </c>
      <c r="AU1535" s="155">
        <f>AVERAGE(D1535:G1535)</f>
        <v>337.5</v>
      </c>
      <c r="AV1535" s="155">
        <f>AVERAGE(H1535:K1535)</f>
        <v>332.5</v>
      </c>
      <c r="AW1535" s="155">
        <f>AVERAGE(L1535:O1535)</f>
        <v>326.5</v>
      </c>
      <c r="AX1535" s="155">
        <f>AVERAGE(P1535:S1535)</f>
        <v>309.75</v>
      </c>
      <c r="AY1535" s="155">
        <f>AVERAGE(T1535:W1535)</f>
        <v>315.25</v>
      </c>
      <c r="AZ1535" s="667">
        <f>AA1535</f>
        <v>340</v>
      </c>
      <c r="BA1535" s="667" t="str">
        <f>AE1535</f>
        <v>NF</v>
      </c>
      <c r="BB1535" s="667" t="str">
        <f>AI1535</f>
        <v>NF</v>
      </c>
      <c r="BC1535" s="153" t="s">
        <v>226</v>
      </c>
      <c r="BD1535" s="153" t="s">
        <v>226</v>
      </c>
      <c r="BE1535" s="153" t="s">
        <v>226</v>
      </c>
      <c r="BM1535"/>
      <c r="BN1535"/>
      <c r="BO1535"/>
      <c r="BP1535"/>
      <c r="BQ1535"/>
      <c r="BR1535"/>
    </row>
    <row r="1536" spans="1:70" s="382" customFormat="1" x14ac:dyDescent="0.2">
      <c r="A1536" s="833"/>
      <c r="B1536" s="329"/>
      <c r="C1536" s="383" t="s">
        <v>17</v>
      </c>
      <c r="D1536" s="818">
        <v>313</v>
      </c>
      <c r="E1536" s="819">
        <v>295</v>
      </c>
      <c r="F1536" s="819">
        <v>282</v>
      </c>
      <c r="G1536" s="819">
        <v>272</v>
      </c>
      <c r="H1536" s="819">
        <v>255</v>
      </c>
      <c r="I1536" s="819">
        <v>238</v>
      </c>
      <c r="J1536" s="819">
        <v>223</v>
      </c>
      <c r="K1536" s="819">
        <v>224</v>
      </c>
      <c r="L1536" s="819">
        <v>210</v>
      </c>
      <c r="M1536" s="819">
        <v>214</v>
      </c>
      <c r="N1536" s="819">
        <v>216</v>
      </c>
      <c r="O1536" s="819">
        <v>205</v>
      </c>
      <c r="P1536" s="819">
        <v>194</v>
      </c>
      <c r="Q1536" s="819">
        <v>175</v>
      </c>
      <c r="R1536" s="819">
        <v>179</v>
      </c>
      <c r="S1536" s="819">
        <v>148</v>
      </c>
      <c r="T1536" s="819">
        <v>129</v>
      </c>
      <c r="U1536" s="819">
        <v>120</v>
      </c>
      <c r="V1536" s="819">
        <v>111</v>
      </c>
      <c r="W1536" s="819">
        <v>100</v>
      </c>
      <c r="X1536" s="819">
        <v>102</v>
      </c>
      <c r="Y1536" s="819">
        <v>95</v>
      </c>
      <c r="Z1536" s="819">
        <v>102</v>
      </c>
      <c r="AA1536" s="819">
        <v>102</v>
      </c>
      <c r="AB1536" s="819">
        <v>93</v>
      </c>
      <c r="AC1536" s="198" t="s">
        <v>226</v>
      </c>
      <c r="AD1536" s="198" t="s">
        <v>226</v>
      </c>
      <c r="AE1536" s="198" t="s">
        <v>226</v>
      </c>
      <c r="AF1536" s="198" t="s">
        <v>226</v>
      </c>
      <c r="AG1536" s="198" t="s">
        <v>226</v>
      </c>
      <c r="AH1536" s="198" t="s">
        <v>226</v>
      </c>
      <c r="AI1536" s="198" t="s">
        <v>226</v>
      </c>
      <c r="AJ1536" s="153"/>
      <c r="AK1536" s="153"/>
      <c r="AL1536" s="153"/>
      <c r="AM1536" s="153"/>
      <c r="AN1536" s="153"/>
      <c r="AO1536" s="153"/>
      <c r="AP1536" s="153"/>
      <c r="AQ1536" s="153"/>
      <c r="AR1536" s="70"/>
      <c r="AS1536" s="329"/>
      <c r="AT1536" s="383" t="s">
        <v>17</v>
      </c>
      <c r="AU1536" s="282">
        <f>AVERAGE(D1536:G1536)</f>
        <v>290.5</v>
      </c>
      <c r="AV1536" s="282">
        <f>AVERAGE(H1536:K1536)</f>
        <v>235</v>
      </c>
      <c r="AW1536" s="282">
        <f>AVERAGE(L1536:O1536)</f>
        <v>211.25</v>
      </c>
      <c r="AX1536" s="282">
        <f>AVERAGE(P1536:S1536)</f>
        <v>174</v>
      </c>
      <c r="AY1536" s="282">
        <f>AVERAGE(T1536:W1536)</f>
        <v>115</v>
      </c>
      <c r="AZ1536" s="817">
        <f>AA1536</f>
        <v>102</v>
      </c>
      <c r="BA1536" s="817" t="str">
        <f>AE1536</f>
        <v>NF</v>
      </c>
      <c r="BB1536" s="817" t="str">
        <f>AI1536</f>
        <v>NF</v>
      </c>
      <c r="BC1536" s="198" t="s">
        <v>226</v>
      </c>
      <c r="BD1536" s="198" t="s">
        <v>226</v>
      </c>
      <c r="BE1536" s="198" t="s">
        <v>226</v>
      </c>
      <c r="BM1536"/>
      <c r="BN1536"/>
      <c r="BO1536"/>
      <c r="BP1536"/>
      <c r="BQ1536"/>
      <c r="BR1536"/>
    </row>
    <row r="1537" spans="1:70" s="382" customFormat="1" x14ac:dyDescent="0.2">
      <c r="A1537" s="833"/>
      <c r="B1537" s="319"/>
      <c r="C1537" s="329" t="s">
        <v>21</v>
      </c>
      <c r="D1537" s="144">
        <f>SUM(D1532:D1536)</f>
        <v>1912</v>
      </c>
      <c r="E1537" s="144">
        <f t="shared" ref="E1537:W1537" si="3769">SUM(E1532:E1536)</f>
        <v>1916</v>
      </c>
      <c r="F1537" s="144">
        <f t="shared" si="3769"/>
        <v>1909</v>
      </c>
      <c r="G1537" s="144">
        <f t="shared" si="3769"/>
        <v>1905</v>
      </c>
      <c r="H1537" s="144">
        <f t="shared" si="3769"/>
        <v>1887</v>
      </c>
      <c r="I1537" s="144">
        <f t="shared" si="3769"/>
        <v>1899</v>
      </c>
      <c r="J1537" s="144">
        <f t="shared" si="3769"/>
        <v>1857</v>
      </c>
      <c r="K1537" s="144">
        <f t="shared" si="3769"/>
        <v>1888</v>
      </c>
      <c r="L1537" s="144">
        <f t="shared" si="3769"/>
        <v>1888</v>
      </c>
      <c r="M1537" s="144">
        <f t="shared" si="3769"/>
        <v>1903</v>
      </c>
      <c r="N1537" s="144">
        <f t="shared" si="3769"/>
        <v>1895</v>
      </c>
      <c r="O1537" s="144">
        <f t="shared" si="3769"/>
        <v>1900</v>
      </c>
      <c r="P1537" s="144">
        <f t="shared" si="3769"/>
        <v>1853</v>
      </c>
      <c r="Q1537" s="144">
        <f t="shared" si="3769"/>
        <v>1840</v>
      </c>
      <c r="R1537" s="144">
        <f t="shared" si="3769"/>
        <v>1818</v>
      </c>
      <c r="S1537" s="144">
        <f t="shared" si="3769"/>
        <v>1784</v>
      </c>
      <c r="T1537" s="144">
        <f t="shared" si="3769"/>
        <v>1778</v>
      </c>
      <c r="U1537" s="144">
        <f t="shared" si="3769"/>
        <v>1807</v>
      </c>
      <c r="V1537" s="144">
        <f t="shared" si="3769"/>
        <v>1830</v>
      </c>
      <c r="W1537" s="144">
        <f t="shared" si="3769"/>
        <v>1820</v>
      </c>
      <c r="X1537" s="144">
        <f>SUM(X1532:X1536)</f>
        <v>1830</v>
      </c>
      <c r="Y1537" s="144">
        <f>SUM(Y1532:Y1536)</f>
        <v>1871</v>
      </c>
      <c r="Z1537" s="144">
        <f>SUM(Z1532:Z1536)</f>
        <v>1892</v>
      </c>
      <c r="AA1537" s="144">
        <f>SUM(AA1532:AA1536)</f>
        <v>1910</v>
      </c>
      <c r="AB1537" s="144">
        <f>SUM(AB1532:AB1536)</f>
        <v>1904</v>
      </c>
      <c r="AC1537" s="144">
        <f t="shared" ref="AC1537:AE1537" si="3770">AC896/1000</f>
        <v>1911.9597826231329</v>
      </c>
      <c r="AD1537" s="144">
        <f t="shared" si="3770"/>
        <v>1920.4086290756604</v>
      </c>
      <c r="AE1537" s="144">
        <f t="shared" si="3770"/>
        <v>1931.68778455407</v>
      </c>
      <c r="AF1537" s="144">
        <f t="shared" ref="AF1537:AI1537" si="3771">AF896/1000</f>
        <v>1943.3664343166201</v>
      </c>
      <c r="AG1537" s="144">
        <f t="shared" si="3771"/>
        <v>1958.0364300626115</v>
      </c>
      <c r="AH1537" s="144">
        <f t="shared" si="3771"/>
        <v>1977.6854389973814</v>
      </c>
      <c r="AI1537" s="144">
        <f t="shared" si="3771"/>
        <v>2000.5373651384941</v>
      </c>
      <c r="AJ1537" s="144"/>
      <c r="AK1537" s="144"/>
      <c r="AL1537" s="144"/>
      <c r="AM1537" s="144"/>
      <c r="AN1537" s="144"/>
      <c r="AO1537" s="144"/>
      <c r="AP1537" s="144"/>
      <c r="AQ1537" s="144"/>
      <c r="AR1537" s="70"/>
      <c r="AS1537" s="319"/>
      <c r="AT1537" s="329" t="s">
        <v>21</v>
      </c>
      <c r="AU1537" s="144">
        <f t="shared" ref="AU1537:BD1537" si="3772">AU896/1000</f>
        <v>1910.675</v>
      </c>
      <c r="AV1537" s="144">
        <f t="shared" si="3772"/>
        <v>1882.7</v>
      </c>
      <c r="AW1537" s="144">
        <f t="shared" si="3772"/>
        <v>1896.8</v>
      </c>
      <c r="AX1537" s="144">
        <f t="shared" si="3772"/>
        <v>1823.875</v>
      </c>
      <c r="AY1537" s="144">
        <f t="shared" si="3772"/>
        <v>1808.7249999999999</v>
      </c>
      <c r="AZ1537" s="144">
        <f t="shared" si="3772"/>
        <v>1875.45</v>
      </c>
      <c r="BA1537" s="144">
        <f t="shared" si="3772"/>
        <v>1917.0640490632156</v>
      </c>
      <c r="BB1537" s="144">
        <f t="shared" ref="BB1537" si="3773">BB896/1000</f>
        <v>1969.9064171287769</v>
      </c>
      <c r="BC1537" s="144">
        <f t="shared" si="3772"/>
        <v>2021.4241657135653</v>
      </c>
      <c r="BD1537" s="144">
        <f t="shared" si="3772"/>
        <v>2088.5198111549075</v>
      </c>
      <c r="BE1537" s="144">
        <f t="shared" ref="BE1537" si="3774">BE896/1000</f>
        <v>2154.8107160231198</v>
      </c>
      <c r="BM1537"/>
      <c r="BN1537"/>
      <c r="BO1537"/>
      <c r="BP1537"/>
      <c r="BQ1537"/>
      <c r="BR1537"/>
    </row>
    <row r="1538" spans="1:70" s="382" customFormat="1" x14ac:dyDescent="0.2">
      <c r="A1538" s="833"/>
      <c r="B1538" s="329"/>
      <c r="C1538" s="9"/>
      <c r="D1538" s="60"/>
      <c r="E1538" s="759"/>
      <c r="F1538" s="759"/>
      <c r="G1538" s="759"/>
      <c r="H1538" s="759"/>
      <c r="I1538" s="759"/>
      <c r="J1538" s="759"/>
      <c r="K1538" s="759"/>
      <c r="L1538" s="759"/>
      <c r="M1538" s="759"/>
      <c r="N1538" s="759"/>
      <c r="O1538" s="759"/>
      <c r="P1538" s="759"/>
      <c r="Q1538" s="759"/>
      <c r="R1538" s="759"/>
      <c r="S1538" s="759"/>
      <c r="T1538" s="759"/>
      <c r="U1538" s="759"/>
      <c r="V1538" s="759"/>
      <c r="W1538" s="759"/>
      <c r="X1538" s="759"/>
      <c r="Y1538" s="759"/>
      <c r="Z1538" s="759"/>
      <c r="AA1538" s="759"/>
      <c r="AB1538" s="759"/>
      <c r="AC1538" s="759"/>
      <c r="AD1538" s="369"/>
      <c r="AE1538" s="369"/>
      <c r="AF1538" s="369"/>
      <c r="AG1538" s="369"/>
      <c r="AH1538" s="369"/>
      <c r="AI1538" s="759"/>
      <c r="AJ1538" s="759"/>
      <c r="AK1538" s="759"/>
      <c r="AL1538" s="759"/>
      <c r="AM1538" s="759"/>
      <c r="AN1538" s="759"/>
      <c r="AO1538" s="759"/>
      <c r="AP1538" s="759"/>
      <c r="AQ1538" s="759"/>
      <c r="AR1538" s="70"/>
      <c r="AS1538" s="329"/>
      <c r="AT1538" s="9"/>
      <c r="AU1538" s="369"/>
      <c r="AV1538" s="759"/>
      <c r="AW1538" s="369"/>
      <c r="AX1538" s="759"/>
      <c r="AY1538" s="369"/>
      <c r="AZ1538" s="759"/>
      <c r="BC1538" s="759"/>
      <c r="BD1538" s="759"/>
      <c r="BE1538" s="759"/>
      <c r="BM1538"/>
      <c r="BN1538"/>
      <c r="BO1538"/>
      <c r="BP1538"/>
      <c r="BQ1538"/>
      <c r="BR1538"/>
    </row>
    <row r="1539" spans="1:70" s="382" customFormat="1" x14ac:dyDescent="0.2">
      <c r="A1539" s="833"/>
      <c r="B1539" s="143" t="s">
        <v>473</v>
      </c>
      <c r="C1539" s="9"/>
      <c r="D1539" s="60"/>
      <c r="E1539" s="759"/>
      <c r="F1539" s="759"/>
      <c r="G1539" s="759"/>
      <c r="H1539" s="759"/>
      <c r="I1539" s="759"/>
      <c r="J1539" s="759"/>
      <c r="K1539" s="759"/>
      <c r="L1539" s="759"/>
      <c r="M1539" s="759"/>
      <c r="N1539" s="759"/>
      <c r="O1539" s="759"/>
      <c r="P1539" s="759"/>
      <c r="Q1539" s="759"/>
      <c r="R1539" s="759"/>
      <c r="S1539" s="759"/>
      <c r="T1539" s="759"/>
      <c r="U1539" s="759"/>
      <c r="V1539" s="759"/>
      <c r="W1539" s="759"/>
      <c r="X1539" s="759"/>
      <c r="Y1539" s="759"/>
      <c r="Z1539" s="759"/>
      <c r="AA1539" s="759"/>
      <c r="AB1539" s="759"/>
      <c r="AC1539" s="759"/>
      <c r="AD1539" s="369"/>
      <c r="AE1539" s="369"/>
      <c r="AF1539" s="369"/>
      <c r="AG1539" s="369"/>
      <c r="AH1539" s="369"/>
      <c r="AI1539" s="759"/>
      <c r="AJ1539" s="759"/>
      <c r="AK1539" s="759"/>
      <c r="AL1539" s="759"/>
      <c r="AM1539" s="759"/>
      <c r="AN1539" s="759"/>
      <c r="AO1539" s="759"/>
      <c r="AP1539" s="759"/>
      <c r="AQ1539" s="759"/>
      <c r="AR1539" s="70"/>
      <c r="AS1539" s="143" t="s">
        <v>473</v>
      </c>
      <c r="AT1539" s="9"/>
      <c r="AU1539" s="369"/>
      <c r="AV1539" s="759"/>
      <c r="AW1539" s="369"/>
      <c r="AX1539" s="759"/>
      <c r="AY1539" s="369"/>
      <c r="AZ1539" s="759"/>
      <c r="BC1539" s="759"/>
      <c r="BD1539" s="759"/>
      <c r="BE1539" s="759"/>
      <c r="BM1539"/>
      <c r="BN1539"/>
      <c r="BO1539"/>
      <c r="BP1539"/>
      <c r="BQ1539"/>
      <c r="BR1539"/>
    </row>
    <row r="1540" spans="1:70" s="382" customFormat="1" x14ac:dyDescent="0.2">
      <c r="A1540" s="833"/>
      <c r="B1540" s="9" t="s">
        <v>123</v>
      </c>
      <c r="C1540" s="9"/>
      <c r="D1540" s="319"/>
      <c r="E1540" s="319"/>
      <c r="F1540" s="319"/>
      <c r="G1540" s="319"/>
      <c r="H1540" s="759"/>
      <c r="I1540" s="759"/>
      <c r="J1540" s="759"/>
      <c r="K1540" s="759"/>
      <c r="L1540" s="759"/>
      <c r="M1540" s="759"/>
      <c r="N1540" s="759"/>
      <c r="O1540" s="759"/>
      <c r="P1540" s="759"/>
      <c r="Q1540" s="759"/>
      <c r="R1540" s="759"/>
      <c r="S1540" s="759"/>
      <c r="T1540" s="759"/>
      <c r="U1540" s="759"/>
      <c r="V1540" s="759"/>
      <c r="W1540" s="759"/>
      <c r="X1540" s="759"/>
      <c r="Y1540" s="759"/>
      <c r="Z1540" s="759"/>
      <c r="AA1540" s="759"/>
      <c r="AB1540" s="759"/>
      <c r="AC1540" s="759"/>
      <c r="AD1540" s="369"/>
      <c r="AE1540" s="369"/>
      <c r="AF1540" s="369"/>
      <c r="AG1540" s="369"/>
      <c r="AH1540" s="369"/>
      <c r="AI1540" s="759"/>
      <c r="AJ1540" s="759"/>
      <c r="AK1540" s="759"/>
      <c r="AL1540" s="759"/>
      <c r="AM1540" s="759"/>
      <c r="AN1540" s="759"/>
      <c r="AO1540" s="759"/>
      <c r="AP1540" s="759"/>
      <c r="AQ1540" s="759"/>
      <c r="AR1540" s="70"/>
      <c r="AS1540" s="9" t="s">
        <v>123</v>
      </c>
      <c r="AT1540" s="9"/>
      <c r="AU1540" s="369"/>
      <c r="AV1540" s="759"/>
      <c r="AW1540" s="369"/>
      <c r="AX1540" s="759"/>
      <c r="AY1540" s="369"/>
      <c r="AZ1540" s="759"/>
      <c r="BC1540" s="759"/>
      <c r="BD1540" s="759"/>
      <c r="BE1540" s="759"/>
      <c r="BM1540"/>
      <c r="BN1540"/>
      <c r="BO1540"/>
      <c r="BP1540"/>
      <c r="BQ1540"/>
      <c r="BR1540"/>
    </row>
    <row r="1541" spans="1:70" s="382" customFormat="1" x14ac:dyDescent="0.2">
      <c r="A1541" s="833"/>
      <c r="B1541" s="35"/>
      <c r="C1541" s="9" t="s">
        <v>178</v>
      </c>
      <c r="D1541" s="108">
        <f t="shared" ref="D1541:X1541" si="3775">IFERROR(D162/(D1521*1000)*D$1,"NA")</f>
        <v>2.5700439560439558E-2</v>
      </c>
      <c r="E1541" s="108">
        <f t="shared" si="3775"/>
        <v>2.3011317041167788E-2</v>
      </c>
      <c r="F1541" s="108">
        <f t="shared" si="3775"/>
        <v>2.443510230179028E-2</v>
      </c>
      <c r="G1541" s="108">
        <f t="shared" si="3775"/>
        <v>1.854571611253197E-2</v>
      </c>
      <c r="H1541" s="108">
        <f t="shared" si="3775"/>
        <v>2.1783553355335529E-2</v>
      </c>
      <c r="I1541" s="108">
        <f t="shared" si="3775"/>
        <v>2.1810999945328303E-2</v>
      </c>
      <c r="J1541" s="108">
        <f t="shared" si="3775"/>
        <v>1.7726226172627972E-2</v>
      </c>
      <c r="K1541" s="108">
        <f t="shared" si="3775"/>
        <v>1.6546466103441168E-2</v>
      </c>
      <c r="L1541" s="108">
        <f t="shared" si="3775"/>
        <v>2.0083732057416266E-2</v>
      </c>
      <c r="M1541" s="108">
        <f t="shared" si="3775"/>
        <v>2.0895342752485609E-2</v>
      </c>
      <c r="N1541" s="108">
        <f t="shared" si="3775"/>
        <v>2.2444631557460702E-2</v>
      </c>
      <c r="O1541" s="108">
        <f t="shared" si="3775"/>
        <v>2.1468407151564402E-2</v>
      </c>
      <c r="P1541" s="108">
        <f t="shared" si="3775"/>
        <v>2.1857104700854699E-2</v>
      </c>
      <c r="Q1541" s="108">
        <f t="shared" si="3775"/>
        <v>2.0461856983596115E-2</v>
      </c>
      <c r="R1541" s="108">
        <f t="shared" si="3775"/>
        <v>2.0008622491638792E-2</v>
      </c>
      <c r="S1541" s="108">
        <f t="shared" si="3775"/>
        <v>1.8261389640108174E-2</v>
      </c>
      <c r="T1541" s="108">
        <f t="shared" si="3775"/>
        <v>1.5878235508567262E-2</v>
      </c>
      <c r="U1541" s="108">
        <f t="shared" si="3775"/>
        <v>1.503629398124811E-2</v>
      </c>
      <c r="V1541" s="108">
        <f t="shared" si="3775"/>
        <v>1.3037997807818778E-2</v>
      </c>
      <c r="W1541" s="108">
        <f t="shared" si="3775"/>
        <v>1.3206521739130435E-2</v>
      </c>
      <c r="X1541" s="108">
        <f t="shared" si="3775"/>
        <v>1.0163718820861678E-2</v>
      </c>
      <c r="Y1541" s="108">
        <f t="shared" ref="Y1541:Z1541" si="3776">IFERROR(Y162/(Y1521*1000)*Y$1,"NA")</f>
        <v>1.0800081066474509E-2</v>
      </c>
      <c r="Z1541" s="108">
        <f t="shared" si="3776"/>
        <v>1.0188260869565216E-2</v>
      </c>
      <c r="AA1541" s="108">
        <f t="shared" ref="AA1541:AB1541" si="3777">IFERROR(AA162/(AA1521*1000)*AA$1,"NA")</f>
        <v>1.2027131119479631E-3</v>
      </c>
      <c r="AB1541" s="108">
        <f t="shared" si="3777"/>
        <v>1.3703853046594982E-2</v>
      </c>
      <c r="AC1541" s="153" t="s">
        <v>226</v>
      </c>
      <c r="AD1541" s="153" t="s">
        <v>226</v>
      </c>
      <c r="AE1541" s="153" t="s">
        <v>226</v>
      </c>
      <c r="AF1541" s="153" t="s">
        <v>226</v>
      </c>
      <c r="AG1541" s="153" t="s">
        <v>226</v>
      </c>
      <c r="AH1541" s="153" t="s">
        <v>226</v>
      </c>
      <c r="AI1541" s="153" t="s">
        <v>226</v>
      </c>
      <c r="AJ1541" s="153"/>
      <c r="AK1541" s="153"/>
      <c r="AL1541" s="153"/>
      <c r="AM1541" s="153"/>
      <c r="AN1541" s="153"/>
      <c r="AO1541" s="153"/>
      <c r="AP1541" s="153"/>
      <c r="AQ1541" s="153"/>
      <c r="AR1541" s="70"/>
      <c r="AS1541" s="35"/>
      <c r="AT1541" s="9" t="s">
        <v>178</v>
      </c>
      <c r="AU1541" s="108">
        <f t="shared" ref="AU1541:BA1541" si="3778">IFERROR(AU162/(AU1521*1000)*AU$1,"NA")</f>
        <v>2.2902348578491966E-2</v>
      </c>
      <c r="AV1541" s="108">
        <f t="shared" si="3778"/>
        <v>1.9412484700122398E-2</v>
      </c>
      <c r="AW1541" s="108">
        <f t="shared" si="3778"/>
        <v>2.1238770685579195E-2</v>
      </c>
      <c r="AX1541" s="108">
        <f t="shared" si="3778"/>
        <v>2.0134615384615386E-2</v>
      </c>
      <c r="AY1541" s="108">
        <f t="shared" si="3778"/>
        <v>1.4217343578485182E-2</v>
      </c>
      <c r="AZ1541" s="108">
        <f t="shared" si="3778"/>
        <v>7.8346456692913388E-3</v>
      </c>
      <c r="BA1541" s="108" t="str">
        <f t="shared" si="3778"/>
        <v>NA</v>
      </c>
      <c r="BB1541" s="108" t="str">
        <f t="shared" ref="BB1541" si="3779">IFERROR(BB162/(BB1521*1000)*BB$1,"NA")</f>
        <v>NA</v>
      </c>
      <c r="BC1541" s="153" t="s">
        <v>226</v>
      </c>
      <c r="BD1541" s="153" t="s">
        <v>226</v>
      </c>
      <c r="BE1541" s="153" t="s">
        <v>226</v>
      </c>
      <c r="BM1541"/>
      <c r="BN1541"/>
      <c r="BO1541"/>
      <c r="BP1541"/>
      <c r="BQ1541"/>
      <c r="BR1541"/>
    </row>
    <row r="1542" spans="1:70" s="382" customFormat="1" x14ac:dyDescent="0.2">
      <c r="A1542" s="833"/>
      <c r="B1542" s="35"/>
      <c r="C1542" s="9" t="s">
        <v>179</v>
      </c>
      <c r="D1542" s="108">
        <f t="shared" ref="D1542:X1542" si="3780">IFERROR(D288/(D1522*1000)*D$1,"NA")</f>
        <v>2.0109890109890109E-2</v>
      </c>
      <c r="E1542" s="108">
        <f t="shared" si="3780"/>
        <v>1.9223691562674613E-2</v>
      </c>
      <c r="F1542" s="108">
        <f t="shared" si="3780"/>
        <v>1.9304347826086959E-2</v>
      </c>
      <c r="G1542" s="108">
        <f t="shared" si="3780"/>
        <v>2.4311594202898551E-2</v>
      </c>
      <c r="H1542" s="108">
        <f t="shared" si="3780"/>
        <v>1.9309286898839133E-2</v>
      </c>
      <c r="I1542" s="108">
        <f t="shared" si="3780"/>
        <v>1.6921359890109892E-2</v>
      </c>
      <c r="J1542" s="108">
        <f t="shared" si="3780"/>
        <v>1.3287612146307796E-2</v>
      </c>
      <c r="K1542" s="108">
        <f t="shared" si="3780"/>
        <v>1.9527004076086953E-2</v>
      </c>
      <c r="L1542" s="108">
        <f t="shared" si="3780"/>
        <v>1.4004340277777777E-2</v>
      </c>
      <c r="M1542" s="108">
        <f t="shared" si="3780"/>
        <v>1.3115297401011687E-2</v>
      </c>
      <c r="N1542" s="108">
        <f t="shared" si="3780"/>
        <v>1.8173211781206171E-2</v>
      </c>
      <c r="O1542" s="108">
        <f t="shared" si="3780"/>
        <v>1.6340272660280028E-2</v>
      </c>
      <c r="P1542" s="108">
        <f t="shared" si="3780"/>
        <v>1.4991071428571428E-2</v>
      </c>
      <c r="Q1542" s="108">
        <f t="shared" si="3780"/>
        <v>1.3444240944240944E-2</v>
      </c>
      <c r="R1542" s="108">
        <f t="shared" si="3780"/>
        <v>2.3566304347826084E-2</v>
      </c>
      <c r="S1542" s="108">
        <f t="shared" si="3780"/>
        <v>1.0757734113712373E-2</v>
      </c>
      <c r="T1542" s="108">
        <f t="shared" si="3780"/>
        <v>1.1744175824175824E-2</v>
      </c>
      <c r="U1542" s="108">
        <f t="shared" si="3780"/>
        <v>1.3916043956043955E-2</v>
      </c>
      <c r="V1542" s="108">
        <f t="shared" si="3780"/>
        <v>1.2730434782608695E-2</v>
      </c>
      <c r="W1542" s="108">
        <f t="shared" si="3780"/>
        <v>1.3318525519848771E-2</v>
      </c>
      <c r="X1542" s="108">
        <f t="shared" si="3780"/>
        <v>1.3035714285714284E-2</v>
      </c>
      <c r="Y1542" s="108">
        <f t="shared" ref="Y1542:Z1542" si="3781">IFERROR(Y288/(Y1522*1000)*Y$1,"NA")</f>
        <v>1.2567765567765569E-2</v>
      </c>
      <c r="Z1542" s="108">
        <f t="shared" si="3781"/>
        <v>1.4265726179463459E-2</v>
      </c>
      <c r="AA1542" s="108">
        <f t="shared" ref="AA1542:AB1542" si="3782">IFERROR(AA288/(AA1522*1000)*AA$1,"NA")</f>
        <v>1.4877717391304345E-2</v>
      </c>
      <c r="AB1542" s="108">
        <f t="shared" si="3782"/>
        <v>1.6867424242424243E-2</v>
      </c>
      <c r="AC1542" s="153" t="s">
        <v>226</v>
      </c>
      <c r="AD1542" s="153" t="s">
        <v>226</v>
      </c>
      <c r="AE1542" s="153" t="s">
        <v>226</v>
      </c>
      <c r="AF1542" s="153" t="s">
        <v>226</v>
      </c>
      <c r="AG1542" s="153" t="s">
        <v>226</v>
      </c>
      <c r="AH1542" s="153" t="s">
        <v>226</v>
      </c>
      <c r="AI1542" s="153" t="s">
        <v>226</v>
      </c>
      <c r="AJ1542" s="153"/>
      <c r="AK1542" s="153"/>
      <c r="AL1542" s="153"/>
      <c r="AM1542" s="153"/>
      <c r="AN1542" s="153"/>
      <c r="AO1542" s="153"/>
      <c r="AP1542" s="153"/>
      <c r="AQ1542" s="153"/>
      <c r="AR1542" s="70"/>
      <c r="AS1542" s="35"/>
      <c r="AT1542" s="9" t="s">
        <v>179</v>
      </c>
      <c r="AU1542" s="108">
        <f t="shared" ref="AU1542:BA1542" si="3783">IFERROR(AU288/(AU1522*1000)*AU$1,"NA")</f>
        <v>2.0786885245901641E-2</v>
      </c>
      <c r="AV1542" s="108">
        <f t="shared" si="3783"/>
        <v>1.7286821705426357E-2</v>
      </c>
      <c r="AW1542" s="108">
        <f t="shared" si="3783"/>
        <v>1.5387096774193549E-2</v>
      </c>
      <c r="AX1542" s="108">
        <f t="shared" si="3783"/>
        <v>1.5584905660377358E-2</v>
      </c>
      <c r="AY1542" s="108">
        <f t="shared" si="3783"/>
        <v>1.2918367346938776E-2</v>
      </c>
      <c r="AZ1542" s="108">
        <f t="shared" si="3783"/>
        <v>1.3863636363636364E-2</v>
      </c>
      <c r="BA1542" s="108" t="str">
        <f t="shared" si="3783"/>
        <v>NA</v>
      </c>
      <c r="BB1542" s="108" t="str">
        <f t="shared" ref="BB1542" si="3784">IFERROR(BB288/(BB1522*1000)*BB$1,"NA")</f>
        <v>NA</v>
      </c>
      <c r="BC1542" s="153" t="s">
        <v>226</v>
      </c>
      <c r="BD1542" s="153" t="s">
        <v>226</v>
      </c>
      <c r="BE1542" s="153" t="s">
        <v>226</v>
      </c>
      <c r="BM1542"/>
      <c r="BN1542"/>
      <c r="BO1542"/>
      <c r="BP1542"/>
      <c r="BQ1542"/>
      <c r="BR1542"/>
    </row>
    <row r="1543" spans="1:70" s="382" customFormat="1" x14ac:dyDescent="0.2">
      <c r="A1543" s="833"/>
      <c r="B1543" s="329"/>
      <c r="C1543" s="25" t="s">
        <v>230</v>
      </c>
      <c r="D1543" s="148">
        <f t="shared" ref="D1543:X1543" si="3785">IFERROR(D366/(D1523*1000)*D$1,"NA")</f>
        <v>1.542913982569155E-2</v>
      </c>
      <c r="E1543" s="148">
        <f t="shared" si="3785"/>
        <v>1.5046507064364207E-2</v>
      </c>
      <c r="F1543" s="148">
        <f t="shared" si="3785"/>
        <v>1.4460113421550094E-2</v>
      </c>
      <c r="G1543" s="148">
        <f t="shared" si="3785"/>
        <v>1.0974512743628186E-2</v>
      </c>
      <c r="H1543" s="148">
        <f t="shared" si="3785"/>
        <v>1.2721272554605886E-2</v>
      </c>
      <c r="I1543" s="148">
        <f t="shared" si="3785"/>
        <v>1.3485221674876847E-2</v>
      </c>
      <c r="J1543" s="148">
        <f t="shared" si="3785"/>
        <v>1.1971172022684308E-2</v>
      </c>
      <c r="K1543" s="148">
        <f t="shared" si="3785"/>
        <v>1.0104979561501299E-2</v>
      </c>
      <c r="L1543" s="148">
        <f t="shared" si="3785"/>
        <v>1.2443969610636277E-2</v>
      </c>
      <c r="M1543" s="148">
        <f t="shared" si="3785"/>
        <v>7.0192307692307689E-3</v>
      </c>
      <c r="N1543" s="148">
        <f t="shared" si="3785"/>
        <v>1.2232789855072463E-2</v>
      </c>
      <c r="O1543" s="148">
        <f t="shared" si="3785"/>
        <v>9.4813927781871761E-3</v>
      </c>
      <c r="P1543" s="148">
        <f t="shared" si="3785"/>
        <v>1.1955072463768115E-2</v>
      </c>
      <c r="Q1543" s="148">
        <f t="shared" si="3785"/>
        <v>1.1392557022809124E-2</v>
      </c>
      <c r="R1543" s="148">
        <f t="shared" si="3785"/>
        <v>1.0465704647676162E-2</v>
      </c>
      <c r="S1543" s="148">
        <f t="shared" si="3785"/>
        <v>7.3583240431066513E-3</v>
      </c>
      <c r="T1543" s="148">
        <f t="shared" si="3785"/>
        <v>7.454528230390299E-3</v>
      </c>
      <c r="U1543" s="148">
        <f t="shared" si="3785"/>
        <v>1.0038045987625819E-2</v>
      </c>
      <c r="V1543" s="148">
        <f t="shared" si="3785"/>
        <v>1.0192238591448077E-2</v>
      </c>
      <c r="W1543" s="148">
        <f t="shared" si="3785"/>
        <v>8.6527173913043473E-3</v>
      </c>
      <c r="X1543" s="148">
        <f t="shared" si="3785"/>
        <v>8.2100271002710033E-3</v>
      </c>
      <c r="Y1543" s="148">
        <f t="shared" ref="Y1543:Z1543" si="3786">IFERROR(Y366/(Y1523*1000)*Y$1,"NA")</f>
        <v>1.0589010989010989E-2</v>
      </c>
      <c r="Z1543" s="148">
        <f t="shared" si="3786"/>
        <v>1.1486237727910237E-2</v>
      </c>
      <c r="AA1543" s="148">
        <f t="shared" ref="AA1543:AB1543" si="3787">IFERROR(AA366/(AA1523*1000)*AA$1,"NA")</f>
        <v>1.0791304347826087E-2</v>
      </c>
      <c r="AB1543" s="148">
        <f t="shared" si="3787"/>
        <v>1.1547497879558949E-2</v>
      </c>
      <c r="AC1543" s="198" t="s">
        <v>226</v>
      </c>
      <c r="AD1543" s="198" t="s">
        <v>226</v>
      </c>
      <c r="AE1543" s="198" t="s">
        <v>226</v>
      </c>
      <c r="AF1543" s="198" t="s">
        <v>226</v>
      </c>
      <c r="AG1543" s="198" t="s">
        <v>226</v>
      </c>
      <c r="AH1543" s="198" t="s">
        <v>226</v>
      </c>
      <c r="AI1543" s="198" t="s">
        <v>226</v>
      </c>
      <c r="AJ1543" s="153"/>
      <c r="AK1543" s="153"/>
      <c r="AL1543" s="153"/>
      <c r="AM1543" s="153"/>
      <c r="AN1543" s="153"/>
      <c r="AO1543" s="153"/>
      <c r="AP1543" s="153"/>
      <c r="AQ1543" s="153"/>
      <c r="AR1543" s="70"/>
      <c r="AS1543" s="329"/>
      <c r="AT1543" s="25" t="s">
        <v>230</v>
      </c>
      <c r="AU1543" s="148">
        <f t="shared" ref="AU1543:BA1543" si="3788">IFERROR(AU366/(AU1523*1000)*AU$1,"NA")</f>
        <v>1.396078431372549E-2</v>
      </c>
      <c r="AV1543" s="148">
        <f t="shared" si="3788"/>
        <v>1.2060215053763441E-2</v>
      </c>
      <c r="AW1543" s="148">
        <f t="shared" si="3788"/>
        <v>1.0282105263157894E-2</v>
      </c>
      <c r="AX1543" s="148">
        <f t="shared" si="3788"/>
        <v>1.0278372591006424E-2</v>
      </c>
      <c r="AY1543" s="148">
        <f t="shared" si="3788"/>
        <v>9.1008403361344543E-3</v>
      </c>
      <c r="AZ1543" s="148">
        <f t="shared" si="3788"/>
        <v>1.0224E-2</v>
      </c>
      <c r="BA1543" s="148" t="str">
        <f t="shared" si="3788"/>
        <v>NA</v>
      </c>
      <c r="BB1543" s="148" t="str">
        <f t="shared" ref="BB1543" si="3789">IFERROR(BB366/(BB1523*1000)*BB$1,"NA")</f>
        <v>NA</v>
      </c>
      <c r="BC1543" s="198" t="s">
        <v>226</v>
      </c>
      <c r="BD1543" s="198" t="s">
        <v>226</v>
      </c>
      <c r="BE1543" s="198" t="s">
        <v>226</v>
      </c>
      <c r="BM1543"/>
      <c r="BN1543"/>
      <c r="BO1543"/>
      <c r="BP1543"/>
      <c r="BQ1543"/>
      <c r="BR1543"/>
    </row>
    <row r="1544" spans="1:70" s="382" customFormat="1" x14ac:dyDescent="0.2">
      <c r="A1544" s="833"/>
      <c r="B1544" s="319"/>
      <c r="C1544" s="329" t="s">
        <v>122</v>
      </c>
      <c r="D1544" s="108">
        <f t="shared" ref="D1544:X1544" si="3790">IFERROR(D126/(D1524*1000)*D$1,"NA")</f>
        <v>2.1635467980295569E-2</v>
      </c>
      <c r="E1544" s="108">
        <f t="shared" si="3790"/>
        <v>2.0012584190003544E-2</v>
      </c>
      <c r="F1544" s="108">
        <f t="shared" si="3790"/>
        <v>2.0592734553775742E-2</v>
      </c>
      <c r="G1544" s="108">
        <f t="shared" si="3790"/>
        <v>1.7201044386422976E-2</v>
      </c>
      <c r="H1544" s="108">
        <f t="shared" si="3790"/>
        <v>1.8607225100748418E-2</v>
      </c>
      <c r="I1544" s="108">
        <f t="shared" si="3790"/>
        <v>1.845476046263448E-2</v>
      </c>
      <c r="J1544" s="108">
        <f t="shared" si="3790"/>
        <v>1.5255192285746889E-2</v>
      </c>
      <c r="K1544" s="108">
        <f t="shared" si="3790"/>
        <v>1.5110498003549244E-2</v>
      </c>
      <c r="L1544" s="108">
        <f t="shared" si="3790"/>
        <v>1.6794159544159543E-2</v>
      </c>
      <c r="M1544" s="108">
        <f t="shared" si="3790"/>
        <v>1.5411179151637167E-2</v>
      </c>
      <c r="N1544" s="108">
        <f t="shared" si="3790"/>
        <v>1.8671849201981283E-2</v>
      </c>
      <c r="O1544" s="108">
        <f t="shared" si="3790"/>
        <v>1.7077032136105858E-2</v>
      </c>
      <c r="P1544" s="108">
        <f t="shared" si="3790"/>
        <v>1.7838024039871003E-2</v>
      </c>
      <c r="Q1544" s="108">
        <f t="shared" si="3790"/>
        <v>1.6624493927125509E-2</v>
      </c>
      <c r="R1544" s="108">
        <f t="shared" si="3790"/>
        <v>1.7524412927226226E-2</v>
      </c>
      <c r="S1544" s="108">
        <f t="shared" si="3790"/>
        <v>1.3854382332643201E-2</v>
      </c>
      <c r="T1544" s="108">
        <f t="shared" si="3790"/>
        <v>1.2738041799049757E-2</v>
      </c>
      <c r="U1544" s="108">
        <f t="shared" si="3790"/>
        <v>1.3354629866257772E-2</v>
      </c>
      <c r="V1544" s="108">
        <f t="shared" si="3790"/>
        <v>1.2158498990113746E-2</v>
      </c>
      <c r="W1544" s="108">
        <f t="shared" si="3790"/>
        <v>1.1886267232237539E-2</v>
      </c>
      <c r="X1544" s="108">
        <f t="shared" si="3790"/>
        <v>9.8718157181571821E-3</v>
      </c>
      <c r="Y1544" s="108">
        <f t="shared" ref="Y1544:Z1544" si="3791">IFERROR(Y126/(Y1524*1000)*Y$1,"NA")</f>
        <v>1.0928491798057015E-2</v>
      </c>
      <c r="Z1544" s="108">
        <f t="shared" si="3791"/>
        <v>1.1025766807807496E-2</v>
      </c>
      <c r="AA1544" s="108">
        <f t="shared" ref="AA1544:AB1544" si="3792">IFERROR(AA126/(AA1524*1000)*AA$1,"NA")</f>
        <v>5.4586802343509089E-3</v>
      </c>
      <c r="AB1544" s="108">
        <f t="shared" si="3792"/>
        <v>1.3365116889939585E-2</v>
      </c>
      <c r="AC1544" s="153" t="s">
        <v>226</v>
      </c>
      <c r="AD1544" s="153" t="s">
        <v>226</v>
      </c>
      <c r="AE1544" s="153" t="s">
        <v>226</v>
      </c>
      <c r="AF1544" s="153" t="s">
        <v>226</v>
      </c>
      <c r="AG1544" s="153" t="s">
        <v>226</v>
      </c>
      <c r="AH1544" s="153" t="s">
        <v>226</v>
      </c>
      <c r="AI1544" s="153" t="s">
        <v>226</v>
      </c>
      <c r="AJ1544" s="153"/>
      <c r="AK1544" s="153"/>
      <c r="AL1544" s="153"/>
      <c r="AM1544" s="153"/>
      <c r="AN1544" s="153"/>
      <c r="AO1544" s="153"/>
      <c r="AP1544" s="153"/>
      <c r="AQ1544" s="153"/>
      <c r="AR1544" s="70"/>
      <c r="AS1544" s="319"/>
      <c r="AT1544" s="329" t="s">
        <v>122</v>
      </c>
      <c r="AU1544" s="108">
        <f t="shared" ref="AU1544:BA1544" si="3793">IFERROR(AU126/(AU1524*1000)*AU$1,"NA")</f>
        <v>1.9846560846560845E-2</v>
      </c>
      <c r="AV1544" s="108">
        <f t="shared" si="3793"/>
        <v>1.6836363636363635E-2</v>
      </c>
      <c r="AW1544" s="108">
        <f t="shared" si="3793"/>
        <v>1.6996813256851498E-2</v>
      </c>
      <c r="AX1544" s="108">
        <f t="shared" si="3793"/>
        <v>1.645003309066843E-2</v>
      </c>
      <c r="AY1544" s="108">
        <f t="shared" si="3793"/>
        <v>1.2518003790271636E-2</v>
      </c>
      <c r="AZ1544" s="108">
        <f t="shared" si="3793"/>
        <v>9.1678486997635936E-3</v>
      </c>
      <c r="BA1544" s="108" t="str">
        <f t="shared" si="3793"/>
        <v>NA</v>
      </c>
      <c r="BB1544" s="108" t="str">
        <f t="shared" ref="BB1544" si="3794">IFERROR(BB126/(BB1524*1000)*BB$1,"NA")</f>
        <v>NA</v>
      </c>
      <c r="BC1544" s="153" t="s">
        <v>226</v>
      </c>
      <c r="BD1544" s="153" t="s">
        <v>226</v>
      </c>
      <c r="BE1544" s="153" t="s">
        <v>226</v>
      </c>
      <c r="BM1544"/>
      <c r="BN1544"/>
      <c r="BO1544"/>
      <c r="BP1544"/>
      <c r="BQ1544"/>
      <c r="BR1544"/>
    </row>
    <row r="1545" spans="1:70" s="382" customFormat="1" x14ac:dyDescent="0.2">
      <c r="A1545" s="833"/>
      <c r="B1545" s="329"/>
      <c r="C1545" s="9"/>
      <c r="D1545" s="108"/>
      <c r="E1545" s="108"/>
      <c r="F1545" s="108"/>
      <c r="G1545" s="108"/>
      <c r="H1545" s="108"/>
      <c r="I1545" s="108"/>
      <c r="J1545" s="108"/>
      <c r="K1545" s="108"/>
      <c r="L1545" s="108"/>
      <c r="M1545" s="108"/>
      <c r="N1545" s="108"/>
      <c r="O1545" s="108"/>
      <c r="P1545" s="108"/>
      <c r="Q1545" s="108"/>
      <c r="R1545" s="108"/>
      <c r="S1545" s="108"/>
      <c r="T1545" s="108"/>
      <c r="U1545" s="108"/>
      <c r="V1545" s="108"/>
      <c r="W1545" s="108"/>
      <c r="X1545" s="108"/>
      <c r="Y1545" s="108"/>
      <c r="Z1545" s="108"/>
      <c r="AA1545" s="108"/>
      <c r="AB1545" s="108"/>
      <c r="AC1545" s="759"/>
      <c r="AD1545" s="369"/>
      <c r="AE1545" s="369"/>
      <c r="AF1545" s="369"/>
      <c r="AG1545" s="369"/>
      <c r="AH1545" s="369"/>
      <c r="AI1545" s="759"/>
      <c r="AJ1545" s="759"/>
      <c r="AK1545" s="759"/>
      <c r="AL1545" s="759"/>
      <c r="AM1545" s="759"/>
      <c r="AN1545" s="759"/>
      <c r="AO1545" s="759"/>
      <c r="AP1545" s="759"/>
      <c r="AQ1545" s="759"/>
      <c r="AR1545" s="70"/>
      <c r="AS1545" s="329"/>
      <c r="AT1545" s="9"/>
      <c r="AU1545" s="108"/>
      <c r="AV1545" s="108"/>
      <c r="AW1545" s="108"/>
      <c r="AX1545" s="108"/>
      <c r="AY1545" s="108"/>
      <c r="AZ1545" s="108"/>
      <c r="BA1545" s="108"/>
      <c r="BB1545" s="108"/>
      <c r="BC1545" s="759"/>
      <c r="BD1545" s="759"/>
      <c r="BE1545" s="759"/>
      <c r="BM1545"/>
      <c r="BN1545"/>
      <c r="BO1545"/>
      <c r="BP1545"/>
      <c r="BQ1545"/>
      <c r="BR1545"/>
    </row>
    <row r="1546" spans="1:70" s="382" customFormat="1" x14ac:dyDescent="0.2">
      <c r="A1546" s="833"/>
      <c r="B1546" s="329" t="s">
        <v>477</v>
      </c>
      <c r="C1546" s="9"/>
      <c r="D1546" s="108">
        <f t="shared" ref="D1546:X1546" si="3795">IFERROR(D504/(D1526*1000)*D$1,"NA")</f>
        <v>7.1256811927843024E-3</v>
      </c>
      <c r="E1546" s="108">
        <f t="shared" si="3795"/>
        <v>7.3516219569061845E-3</v>
      </c>
      <c r="F1546" s="108">
        <f t="shared" si="3795"/>
        <v>6.3869111955650081E-3</v>
      </c>
      <c r="G1546" s="108">
        <f t="shared" si="3795"/>
        <v>4.4492869565217396E-3</v>
      </c>
      <c r="H1546" s="108">
        <f t="shared" si="3795"/>
        <v>9.959871589085071E-3</v>
      </c>
      <c r="I1546" s="108">
        <f t="shared" si="3795"/>
        <v>9.9052627060439557E-3</v>
      </c>
      <c r="J1546" s="108">
        <f t="shared" si="3795"/>
        <v>5.6012092716610567E-3</v>
      </c>
      <c r="K1546" s="108">
        <f t="shared" si="3795"/>
        <v>4.616147115121684E-3</v>
      </c>
      <c r="L1546" s="108">
        <f t="shared" si="3795"/>
        <v>9.4650621118012417E-3</v>
      </c>
      <c r="M1546" s="108">
        <f t="shared" si="3795"/>
        <v>8.0374525166191837E-3</v>
      </c>
      <c r="N1546" s="108">
        <f t="shared" si="3795"/>
        <v>7.3600670459162939E-3</v>
      </c>
      <c r="O1546" s="108">
        <f t="shared" si="3795"/>
        <v>5.1843825020005327E-3</v>
      </c>
      <c r="P1546" s="108">
        <f t="shared" si="3795"/>
        <v>9.2042100694444441E-3</v>
      </c>
      <c r="Q1546" s="108">
        <f t="shared" si="3795"/>
        <v>8.5682216616068761E-3</v>
      </c>
      <c r="R1546" s="108">
        <f t="shared" si="3795"/>
        <v>7.2667554562639621E-3</v>
      </c>
      <c r="S1546" s="108">
        <f t="shared" si="3795"/>
        <v>3.6047124490219116E-3</v>
      </c>
      <c r="T1546" s="108">
        <f t="shared" si="3795"/>
        <v>5.9096516690856308E-3</v>
      </c>
      <c r="U1546" s="108">
        <f t="shared" si="3795"/>
        <v>8.0903634826711753E-3</v>
      </c>
      <c r="V1546" s="108">
        <f t="shared" si="3795"/>
        <v>8.0779953534683025E-3</v>
      </c>
      <c r="W1546" s="108">
        <f t="shared" si="3795"/>
        <v>7.2307168934616656E-3</v>
      </c>
      <c r="X1546" s="108">
        <f t="shared" si="3795"/>
        <v>9.2650059011970994E-3</v>
      </c>
      <c r="Y1546" s="108">
        <f t="shared" ref="Y1546:Z1546" si="3796">IFERROR(Y504/(Y1526*1000)*Y$1,"NA")</f>
        <v>8.1989334195216538E-3</v>
      </c>
      <c r="Z1546" s="108">
        <f t="shared" si="3796"/>
        <v>8.8737415441293224E-3</v>
      </c>
      <c r="AA1546" s="108">
        <f t="shared" ref="AA1546:AB1546" si="3797">IFERROR(AA504/(AA1526*1000)*AA$1,"NA")</f>
        <v>6.101475435567414E-4</v>
      </c>
      <c r="AB1546" s="108">
        <f t="shared" si="3797"/>
        <v>9.7269052193403767E-3</v>
      </c>
      <c r="AC1546" s="153" t="s">
        <v>226</v>
      </c>
      <c r="AD1546" s="153" t="s">
        <v>226</v>
      </c>
      <c r="AE1546" s="153" t="s">
        <v>226</v>
      </c>
      <c r="AF1546" s="153" t="s">
        <v>226</v>
      </c>
      <c r="AG1546" s="153" t="s">
        <v>226</v>
      </c>
      <c r="AH1546" s="153" t="s">
        <v>226</v>
      </c>
      <c r="AI1546" s="153" t="s">
        <v>226</v>
      </c>
      <c r="AJ1546" s="153"/>
      <c r="AK1546" s="153"/>
      <c r="AL1546" s="153"/>
      <c r="AM1546" s="153"/>
      <c r="AN1546" s="153"/>
      <c r="AO1546" s="153"/>
      <c r="AP1546" s="153"/>
      <c r="AQ1546" s="153"/>
      <c r="AR1546" s="70"/>
      <c r="AS1546" s="329" t="s">
        <v>477</v>
      </c>
      <c r="AT1546" s="9"/>
      <c r="AU1546" s="108">
        <f t="shared" ref="AU1546:BA1546" si="3798">IFERROR(AU504/(AU1526*1000)*AU$1,"NA")</f>
        <v>6.3188405797101445E-3</v>
      </c>
      <c r="AV1546" s="108">
        <f t="shared" si="3798"/>
        <v>7.4995050485052468E-3</v>
      </c>
      <c r="AW1546" s="108">
        <f t="shared" si="3798"/>
        <v>7.4934261407579271E-3</v>
      </c>
      <c r="AX1546" s="108">
        <f t="shared" si="3798"/>
        <v>7.1619496855345908E-3</v>
      </c>
      <c r="AY1546" s="108">
        <f t="shared" si="3798"/>
        <v>7.3382126348228039E-3</v>
      </c>
      <c r="AZ1546" s="108">
        <f t="shared" si="3798"/>
        <v>6.5458483754512638E-3</v>
      </c>
      <c r="BA1546" s="108" t="str">
        <f t="shared" si="3798"/>
        <v>NA</v>
      </c>
      <c r="BB1546" s="108" t="str">
        <f t="shared" ref="BB1546" si="3799">IFERROR(BB504/(BB1526*1000)*BB$1,"NA")</f>
        <v>NA</v>
      </c>
      <c r="BC1546" s="153" t="s">
        <v>226</v>
      </c>
      <c r="BD1546" s="153" t="s">
        <v>226</v>
      </c>
      <c r="BE1546" s="153" t="s">
        <v>226</v>
      </c>
      <c r="BM1546"/>
      <c r="BN1546"/>
      <c r="BO1546"/>
      <c r="BP1546"/>
      <c r="BQ1546"/>
      <c r="BR1546"/>
    </row>
    <row r="1547" spans="1:70" s="382" customFormat="1" x14ac:dyDescent="0.2">
      <c r="A1547" s="833"/>
      <c r="B1547" s="329" t="s">
        <v>478</v>
      </c>
      <c r="C1547" s="9"/>
      <c r="D1547" s="108">
        <f t="shared" ref="D1547:X1547" si="3800">IFERROR(D506/(D1526*1000)*D$1,"NA")</f>
        <v>9.936457977374507E-3</v>
      </c>
      <c r="E1547" s="108">
        <f t="shared" si="3800"/>
        <v>6.945881980309522E-3</v>
      </c>
      <c r="F1547" s="108">
        <f t="shared" si="3800"/>
        <v>7.978853596457584E-3</v>
      </c>
      <c r="G1547" s="108">
        <f t="shared" si="3800"/>
        <v>5.4549913043478258E-3</v>
      </c>
      <c r="H1547" s="108">
        <f t="shared" si="3800"/>
        <v>1.0584804708400213E-2</v>
      </c>
      <c r="I1547" s="108">
        <f t="shared" si="3800"/>
        <v>9.0153245192307694E-3</v>
      </c>
      <c r="J1547" s="108">
        <f t="shared" si="3800"/>
        <v>6.2534699330302921E-3</v>
      </c>
      <c r="K1547" s="108">
        <f t="shared" si="3800"/>
        <v>4.9280489472245002E-3</v>
      </c>
      <c r="L1547" s="108">
        <f t="shared" si="3800"/>
        <v>9.4776570048309174E-3</v>
      </c>
      <c r="M1547" s="108">
        <f t="shared" si="3800"/>
        <v>8.0993504951838297E-3</v>
      </c>
      <c r="N1547" s="108">
        <f t="shared" si="3800"/>
        <v>7.9595015576323994E-3</v>
      </c>
      <c r="O1547" s="108">
        <f t="shared" si="3800"/>
        <v>5.1630851560416106E-3</v>
      </c>
      <c r="P1547" s="108">
        <f t="shared" si="3800"/>
        <v>9.3436197916666654E-3</v>
      </c>
      <c r="Q1547" s="108">
        <f t="shared" si="3800"/>
        <v>7.9751571385812629E-3</v>
      </c>
      <c r="R1547" s="108">
        <f t="shared" si="3800"/>
        <v>6.8182677435985562E-3</v>
      </c>
      <c r="S1547" s="108">
        <f t="shared" si="3800"/>
        <v>3.97369876270132E-3</v>
      </c>
      <c r="T1547" s="108">
        <f t="shared" si="3800"/>
        <v>5.9096516690856308E-3</v>
      </c>
      <c r="U1547" s="108">
        <f t="shared" si="3800"/>
        <v>8.0903634826711753E-3</v>
      </c>
      <c r="V1547" s="108">
        <f t="shared" si="3800"/>
        <v>8.0779953534683025E-3</v>
      </c>
      <c r="W1547" s="108">
        <f t="shared" si="3800"/>
        <v>7.2307168934616656E-3</v>
      </c>
      <c r="X1547" s="108">
        <f t="shared" si="3800"/>
        <v>9.2650059011970994E-3</v>
      </c>
      <c r="Y1547" s="108">
        <f t="shared" ref="Y1547:Z1547" si="3801">IFERROR(Y506/(Y1526*1000)*Y$1,"NA")</f>
        <v>8.1989334195216538E-3</v>
      </c>
      <c r="Z1547" s="108">
        <f t="shared" si="3801"/>
        <v>8.8737415441293224E-3</v>
      </c>
      <c r="AA1547" s="108">
        <f t="shared" ref="AA1547:AB1547" si="3802">IFERROR(AA506/(AA1526*1000)*AA$1,"NA")</f>
        <v>6.101475435567414E-4</v>
      </c>
      <c r="AB1547" s="108">
        <f t="shared" si="3802"/>
        <v>9.7269052193403767E-3</v>
      </c>
      <c r="AC1547" s="153" t="s">
        <v>226</v>
      </c>
      <c r="AD1547" s="153" t="s">
        <v>226</v>
      </c>
      <c r="AE1547" s="153" t="s">
        <v>226</v>
      </c>
      <c r="AF1547" s="153" t="s">
        <v>226</v>
      </c>
      <c r="AG1547" s="153" t="s">
        <v>226</v>
      </c>
      <c r="AH1547" s="153" t="s">
        <v>226</v>
      </c>
      <c r="AI1547" s="153" t="s">
        <v>226</v>
      </c>
      <c r="AJ1547" s="153"/>
      <c r="AK1547" s="153"/>
      <c r="AL1547" s="153"/>
      <c r="AM1547" s="153"/>
      <c r="AN1547" s="153"/>
      <c r="AO1547" s="153"/>
      <c r="AP1547" s="153"/>
      <c r="AQ1547" s="153"/>
      <c r="AR1547" s="70"/>
      <c r="AS1547" s="329" t="s">
        <v>478</v>
      </c>
      <c r="AT1547" s="9"/>
      <c r="AU1547" s="108">
        <f t="shared" ref="AU1547:BA1547" si="3803">IFERROR(AU506/(AU1526*1000)*AU$1,"NA")</f>
        <v>7.5611916264090176E-3</v>
      </c>
      <c r="AV1547" s="108">
        <f t="shared" si="3803"/>
        <v>7.6689764403088494E-3</v>
      </c>
      <c r="AW1547" s="108">
        <f t="shared" si="3803"/>
        <v>7.6566125290023204E-3</v>
      </c>
      <c r="AX1547" s="108">
        <f t="shared" si="3803"/>
        <v>7.026729559748428E-3</v>
      </c>
      <c r="AY1547" s="108">
        <f t="shared" si="3803"/>
        <v>7.3382126348228039E-3</v>
      </c>
      <c r="AZ1547" s="108">
        <f t="shared" si="3803"/>
        <v>6.5458483754512638E-3</v>
      </c>
      <c r="BA1547" s="108" t="str">
        <f t="shared" si="3803"/>
        <v>NA</v>
      </c>
      <c r="BB1547" s="108" t="str">
        <f t="shared" ref="BB1547" si="3804">IFERROR(BB506/(BB1526*1000)*BB$1,"NA")</f>
        <v>NA</v>
      </c>
      <c r="BC1547" s="153" t="s">
        <v>226</v>
      </c>
      <c r="BD1547" s="153" t="s">
        <v>226</v>
      </c>
      <c r="BE1547" s="153" t="s">
        <v>226</v>
      </c>
      <c r="BM1547"/>
      <c r="BN1547"/>
      <c r="BO1547"/>
      <c r="BP1547"/>
      <c r="BQ1547"/>
      <c r="BR1547"/>
    </row>
    <row r="1548" spans="1:70" s="382" customFormat="1" x14ac:dyDescent="0.2">
      <c r="A1548" s="833"/>
      <c r="B1548" s="329" t="s">
        <v>998</v>
      </c>
      <c r="C1548" s="9"/>
      <c r="D1548" s="108">
        <f t="shared" ref="D1548:X1548" si="3805">IFERROR(D658/(D1527*1000)*D$1,"NA")</f>
        <v>-1.9775796088895133E-2</v>
      </c>
      <c r="E1548" s="108">
        <f t="shared" si="3805"/>
        <v>-1.2624920841869993E-2</v>
      </c>
      <c r="F1548" s="108">
        <f t="shared" si="3805"/>
        <v>-1.6322155411655874E-2</v>
      </c>
      <c r="G1548" s="108">
        <f t="shared" si="3805"/>
        <v>-2.5975703324808183E-2</v>
      </c>
      <c r="H1548" s="108">
        <f t="shared" si="3805"/>
        <v>-1.4774945533769063E-2</v>
      </c>
      <c r="I1548" s="108">
        <f t="shared" si="3805"/>
        <v>-1.2285760458029366E-2</v>
      </c>
      <c r="J1548" s="108">
        <f t="shared" si="3805"/>
        <v>-3.6827354260089685E-3</v>
      </c>
      <c r="K1548" s="108">
        <f t="shared" si="3805"/>
        <v>-1.1477096273291925E-2</v>
      </c>
      <c r="L1548" s="108">
        <f t="shared" si="3805"/>
        <v>-9.0187830687830685E-3</v>
      </c>
      <c r="M1548" s="108">
        <f t="shared" si="3805"/>
        <v>-7.2235288076409568E-2</v>
      </c>
      <c r="N1548" s="108">
        <f t="shared" si="3805"/>
        <v>-2.3712510064412239E-2</v>
      </c>
      <c r="O1548" s="108">
        <f t="shared" si="3805"/>
        <v>-5.8078738069989387E-2</v>
      </c>
      <c r="P1548" s="108">
        <f t="shared" si="3805"/>
        <v>5.184421534936999E-3</v>
      </c>
      <c r="Q1548" s="108">
        <f t="shared" si="3805"/>
        <v>1.2193406593406593E-2</v>
      </c>
      <c r="R1548" s="108">
        <f t="shared" si="3805"/>
        <v>7.823961622540683E-3</v>
      </c>
      <c r="S1548" s="108">
        <f t="shared" si="3805"/>
        <v>2.5171489424206814E-2</v>
      </c>
      <c r="T1548" s="108">
        <f t="shared" si="3805"/>
        <v>1.3874265269614107E-2</v>
      </c>
      <c r="U1548" s="108">
        <f t="shared" si="3805"/>
        <v>4.926923076923077E-3</v>
      </c>
      <c r="V1548" s="108">
        <f t="shared" si="3805"/>
        <v>-8.2432432432432432E-4</v>
      </c>
      <c r="W1548" s="108">
        <f t="shared" si="3805"/>
        <v>-5.9673913043478254E-4</v>
      </c>
      <c r="X1548" s="108">
        <f t="shared" si="3805"/>
        <v>4.2918015102481116E-3</v>
      </c>
      <c r="Y1548" s="108">
        <f t="shared" ref="Y1548:Z1548" si="3806">IFERROR(Y658/(Y1527*1000)*Y$1,"NA")</f>
        <v>-1.0555234239444766E-3</v>
      </c>
      <c r="Z1548" s="108">
        <f t="shared" si="3806"/>
        <v>-3.6951193520886614E-3</v>
      </c>
      <c r="AA1548" s="108">
        <f t="shared" ref="AA1548:AB1548" si="3807">IFERROR(AA658/(AA1527*1000)*AA$1,"NA")</f>
        <v>0.11801044330775788</v>
      </c>
      <c r="AB1548" s="108">
        <f t="shared" si="3807"/>
        <v>-3.2270011947431298E-3</v>
      </c>
      <c r="AC1548" s="153" t="s">
        <v>226</v>
      </c>
      <c r="AD1548" s="153" t="s">
        <v>226</v>
      </c>
      <c r="AE1548" s="153" t="s">
        <v>226</v>
      </c>
      <c r="AF1548" s="153" t="s">
        <v>226</v>
      </c>
      <c r="AG1548" s="153" t="s">
        <v>226</v>
      </c>
      <c r="AH1548" s="153" t="s">
        <v>226</v>
      </c>
      <c r="AI1548" s="153" t="s">
        <v>226</v>
      </c>
      <c r="AJ1548" s="153"/>
      <c r="AK1548" s="153"/>
      <c r="AL1548" s="153"/>
      <c r="AM1548" s="153"/>
      <c r="AN1548" s="153"/>
      <c r="AO1548" s="153"/>
      <c r="AP1548" s="153"/>
      <c r="AQ1548" s="153"/>
      <c r="AR1548" s="70"/>
      <c r="AS1548" s="329" t="s">
        <v>183</v>
      </c>
      <c r="AT1548" s="9"/>
      <c r="AU1548" s="108">
        <f t="shared" ref="AU1548:BA1548" si="3808">IFERROR(AU658/(AU1527*1000)*AU$1,"NA")</f>
        <v>-1.8581755593803786E-2</v>
      </c>
      <c r="AV1548" s="108">
        <f t="shared" si="3808"/>
        <v>-1.0693617021276596E-2</v>
      </c>
      <c r="AW1548" s="108">
        <f t="shared" si="3808"/>
        <v>-4.0771597633136092E-2</v>
      </c>
      <c r="AX1548" s="108">
        <f t="shared" si="3808"/>
        <v>1.1908045977011495E-2</v>
      </c>
      <c r="AY1548" s="108">
        <f t="shared" si="3808"/>
        <v>4.8173913043478263E-3</v>
      </c>
      <c r="AZ1548" s="108">
        <f t="shared" si="3808"/>
        <v>2.9637254901960786E-2</v>
      </c>
      <c r="BA1548" s="108" t="str">
        <f t="shared" si="3808"/>
        <v>NA</v>
      </c>
      <c r="BB1548" s="108" t="str">
        <f t="shared" ref="BB1548" si="3809">IFERROR(BB658/(BB1527*1000)*BB$1,"NA")</f>
        <v>NA</v>
      </c>
      <c r="BC1548" s="153" t="s">
        <v>226</v>
      </c>
      <c r="BD1548" s="153" t="s">
        <v>226</v>
      </c>
      <c r="BE1548" s="153" t="s">
        <v>226</v>
      </c>
      <c r="BM1548"/>
      <c r="BN1548"/>
      <c r="BO1548"/>
      <c r="BP1548"/>
      <c r="BQ1548"/>
      <c r="BR1548"/>
    </row>
    <row r="1549" spans="1:70" s="382" customFormat="1" x14ac:dyDescent="0.2">
      <c r="A1549" s="833"/>
      <c r="B1549" s="329"/>
      <c r="C1549" s="9"/>
      <c r="D1549" s="60"/>
      <c r="E1549" s="759"/>
      <c r="F1549" s="759"/>
      <c r="G1549" s="759"/>
      <c r="H1549" s="759"/>
      <c r="I1549" s="759"/>
      <c r="J1549" s="759"/>
      <c r="K1549" s="759"/>
      <c r="L1549" s="759"/>
      <c r="M1549" s="759"/>
      <c r="N1549" s="759"/>
      <c r="O1549" s="759"/>
      <c r="P1549" s="759"/>
      <c r="Q1549" s="759"/>
      <c r="R1549" s="759"/>
      <c r="S1549" s="759"/>
      <c r="T1549" s="759"/>
      <c r="U1549" s="759"/>
      <c r="V1549" s="759"/>
      <c r="W1549" s="759"/>
      <c r="X1549" s="759"/>
      <c r="Y1549" s="759"/>
      <c r="Z1549" s="759"/>
      <c r="AA1549" s="759"/>
      <c r="AB1549" s="759"/>
      <c r="AC1549" s="759"/>
      <c r="AD1549" s="369"/>
      <c r="AE1549" s="369"/>
      <c r="AF1549" s="369"/>
      <c r="AG1549" s="369"/>
      <c r="AH1549" s="369"/>
      <c r="AI1549" s="759"/>
      <c r="AJ1549" s="759"/>
      <c r="AK1549" s="759"/>
      <c r="AL1549" s="759"/>
      <c r="AM1549" s="759"/>
      <c r="AN1549" s="759"/>
      <c r="AO1549" s="759"/>
      <c r="AP1549" s="759"/>
      <c r="AQ1549" s="759"/>
      <c r="AR1549" s="70"/>
      <c r="AS1549" s="329"/>
      <c r="AT1549" s="9"/>
      <c r="AU1549" s="369"/>
      <c r="AV1549" s="759"/>
      <c r="AW1549" s="369"/>
      <c r="AX1549" s="759"/>
      <c r="AY1549" s="369"/>
      <c r="AZ1549" s="759"/>
      <c r="BC1549" s="759"/>
      <c r="BD1549" s="759"/>
      <c r="BE1549" s="759"/>
      <c r="BM1549"/>
      <c r="BN1549"/>
      <c r="BO1549"/>
      <c r="BP1549"/>
      <c r="BQ1549"/>
      <c r="BR1549"/>
    </row>
    <row r="1550" spans="1:70" s="382" customFormat="1" x14ac:dyDescent="0.2">
      <c r="A1550" s="833"/>
      <c r="B1550" s="143" t="s">
        <v>474</v>
      </c>
      <c r="C1550" s="9"/>
      <c r="D1550" s="60"/>
      <c r="E1550" s="759"/>
      <c r="F1550" s="759"/>
      <c r="G1550" s="759"/>
      <c r="H1550" s="759"/>
      <c r="I1550" s="759"/>
      <c r="J1550" s="759"/>
      <c r="K1550" s="759"/>
      <c r="L1550" s="759"/>
      <c r="M1550" s="759"/>
      <c r="N1550" s="759"/>
      <c r="O1550" s="759"/>
      <c r="P1550" s="759"/>
      <c r="Q1550" s="759"/>
      <c r="R1550" s="759"/>
      <c r="S1550" s="759"/>
      <c r="T1550" s="759"/>
      <c r="U1550" s="759"/>
      <c r="V1550" s="759"/>
      <c r="W1550" s="759"/>
      <c r="X1550" s="759"/>
      <c r="Y1550" s="759"/>
      <c r="Z1550" s="759"/>
      <c r="AA1550" s="759"/>
      <c r="AB1550" s="759"/>
      <c r="AC1550" s="759"/>
      <c r="AD1550" s="369"/>
      <c r="AE1550" s="369"/>
      <c r="AF1550" s="369"/>
      <c r="AG1550" s="369"/>
      <c r="AH1550" s="369"/>
      <c r="AI1550" s="759"/>
      <c r="AJ1550" s="759"/>
      <c r="AK1550" s="759"/>
      <c r="AL1550" s="759"/>
      <c r="AM1550" s="759"/>
      <c r="AN1550" s="759"/>
      <c r="AO1550" s="759"/>
      <c r="AP1550" s="759"/>
      <c r="AQ1550" s="759"/>
      <c r="AR1550" s="70"/>
      <c r="AS1550" s="143" t="s">
        <v>474</v>
      </c>
      <c r="AT1550" s="9"/>
      <c r="AU1550" s="369"/>
      <c r="AV1550" s="759"/>
      <c r="AW1550" s="369"/>
      <c r="AX1550" s="759"/>
      <c r="AY1550" s="369"/>
      <c r="AZ1550" s="759"/>
      <c r="BC1550" s="759"/>
      <c r="BD1550" s="759"/>
      <c r="BE1550" s="759"/>
      <c r="BM1550"/>
      <c r="BN1550"/>
      <c r="BO1550"/>
      <c r="BP1550"/>
      <c r="BQ1550"/>
      <c r="BR1550"/>
    </row>
    <row r="1551" spans="1:70" s="382" customFormat="1" x14ac:dyDescent="0.2">
      <c r="A1551" s="833"/>
      <c r="B1551" s="329"/>
      <c r="C1551" s="362" t="s">
        <v>76</v>
      </c>
      <c r="D1551" s="820">
        <v>9.4999999999999998E-3</v>
      </c>
      <c r="E1551" s="821">
        <v>8.3999999999999995E-3</v>
      </c>
      <c r="F1551" s="821">
        <v>9.1999999999999998E-3</v>
      </c>
      <c r="G1551" s="821">
        <v>7.1000000000000004E-3</v>
      </c>
      <c r="H1551" s="821">
        <v>1.2E-2</v>
      </c>
      <c r="I1551" s="821">
        <v>9.4999999999999998E-3</v>
      </c>
      <c r="J1551" s="821">
        <v>7.1000000000000004E-3</v>
      </c>
      <c r="K1551" s="821">
        <v>6.1999999999999998E-3</v>
      </c>
      <c r="L1551" s="821">
        <v>1.14E-2</v>
      </c>
      <c r="M1551" s="821">
        <v>1.06E-2</v>
      </c>
      <c r="N1551" s="821">
        <v>9.7000000000000003E-3</v>
      </c>
      <c r="O1551" s="821">
        <v>8.0000000000000002E-3</v>
      </c>
      <c r="P1551" s="821">
        <v>9.2999999999999992E-3</v>
      </c>
      <c r="Q1551" s="821">
        <v>9.1000000000000004E-3</v>
      </c>
      <c r="R1551" s="821">
        <v>8.6999999999999994E-3</v>
      </c>
      <c r="S1551" s="821">
        <v>6.4000000000000003E-3</v>
      </c>
      <c r="T1551" s="821">
        <v>6.1000000000000004E-3</v>
      </c>
      <c r="U1551" s="821">
        <v>7.9000000000000008E-3</v>
      </c>
      <c r="V1551" s="821">
        <v>7.7000000000000002E-3</v>
      </c>
      <c r="W1551" s="821">
        <v>7.0000000000000001E-3</v>
      </c>
      <c r="X1551" s="821">
        <v>7.1000000000000004E-3</v>
      </c>
      <c r="Y1551" s="821">
        <v>7.1000000000000004E-3</v>
      </c>
      <c r="Z1551" s="821">
        <v>7.7999999999999996E-3</v>
      </c>
      <c r="AA1551" s="821">
        <v>-4.1000000000000003E-3</v>
      </c>
      <c r="AB1551" s="821">
        <v>7.1000000000000004E-3</v>
      </c>
      <c r="AC1551" s="153" t="s">
        <v>226</v>
      </c>
      <c r="AD1551" s="153" t="s">
        <v>226</v>
      </c>
      <c r="AE1551" s="153" t="s">
        <v>226</v>
      </c>
      <c r="AF1551" s="153" t="s">
        <v>226</v>
      </c>
      <c r="AG1551" s="153" t="s">
        <v>226</v>
      </c>
      <c r="AH1551" s="153" t="s">
        <v>226</v>
      </c>
      <c r="AI1551" s="153" t="s">
        <v>226</v>
      </c>
      <c r="AJ1551" s="153"/>
      <c r="AK1551" s="153"/>
      <c r="AL1551" s="153"/>
      <c r="AM1551" s="153"/>
      <c r="AN1551" s="153"/>
      <c r="AO1551" s="153"/>
      <c r="AP1551" s="153"/>
      <c r="AQ1551" s="153"/>
      <c r="AR1551" s="70"/>
      <c r="AS1551" s="329"/>
      <c r="AT1551" s="362" t="s">
        <v>76</v>
      </c>
      <c r="AU1551" s="822" t="s">
        <v>229</v>
      </c>
      <c r="AV1551" s="822" t="s">
        <v>229</v>
      </c>
      <c r="AW1551" s="822" t="s">
        <v>229</v>
      </c>
      <c r="AX1551" s="822" t="s">
        <v>229</v>
      </c>
      <c r="AY1551" s="822" t="s">
        <v>229</v>
      </c>
      <c r="AZ1551" s="822" t="s">
        <v>229</v>
      </c>
      <c r="BA1551" s="822" t="s">
        <v>229</v>
      </c>
      <c r="BB1551" s="822" t="s">
        <v>229</v>
      </c>
      <c r="BC1551" s="153" t="s">
        <v>226</v>
      </c>
      <c r="BD1551" s="153" t="s">
        <v>226</v>
      </c>
      <c r="BE1551" s="153" t="s">
        <v>226</v>
      </c>
      <c r="BM1551"/>
      <c r="BN1551"/>
      <c r="BO1551"/>
      <c r="BP1551"/>
      <c r="BQ1551"/>
      <c r="BR1551"/>
    </row>
    <row r="1552" spans="1:70" s="382" customFormat="1" x14ac:dyDescent="0.2">
      <c r="A1552" s="833"/>
      <c r="B1552" s="329"/>
      <c r="C1552" s="362" t="s">
        <v>471</v>
      </c>
      <c r="D1552" s="820">
        <v>1.47E-2</v>
      </c>
      <c r="E1552" s="821">
        <v>7.9000000000000008E-3</v>
      </c>
      <c r="F1552" s="821">
        <v>1.03E-2</v>
      </c>
      <c r="G1552" s="821">
        <v>5.5999999999999999E-3</v>
      </c>
      <c r="H1552" s="821">
        <v>9.1999999999999998E-3</v>
      </c>
      <c r="I1552" s="821">
        <v>0.01</v>
      </c>
      <c r="J1552" s="821">
        <v>6.1999999999999998E-3</v>
      </c>
      <c r="K1552" s="821">
        <v>5.0000000000000001E-3</v>
      </c>
      <c r="L1552" s="821">
        <v>8.9999999999999993E-3</v>
      </c>
      <c r="M1552" s="821">
        <v>6.3E-3</v>
      </c>
      <c r="N1552" s="821">
        <v>7.7999999999999996E-3</v>
      </c>
      <c r="O1552" s="821">
        <v>2.7000000000000001E-3</v>
      </c>
      <c r="P1552" s="821">
        <v>1.24E-2</v>
      </c>
      <c r="Q1552" s="821">
        <v>6.8999999999999999E-3</v>
      </c>
      <c r="R1552" s="821">
        <v>4.7000000000000002E-3</v>
      </c>
      <c r="S1552" s="821">
        <v>2.5000000000000001E-3</v>
      </c>
      <c r="T1552" s="821">
        <v>4.8999999999999998E-3</v>
      </c>
      <c r="U1552" s="821">
        <v>8.8000000000000005E-3</v>
      </c>
      <c r="V1552" s="821">
        <v>8.0000000000000002E-3</v>
      </c>
      <c r="W1552" s="821">
        <v>8.2000000000000007E-3</v>
      </c>
      <c r="X1552" s="821">
        <v>1.0800000000000001E-2</v>
      </c>
      <c r="Y1552" s="821">
        <v>9.2999999999999992E-3</v>
      </c>
      <c r="Z1552" s="821">
        <v>8.8999999999999999E-3</v>
      </c>
      <c r="AA1552" s="821">
        <v>5.0000000000000001E-3</v>
      </c>
      <c r="AB1552" s="821">
        <v>1.23E-2</v>
      </c>
      <c r="AC1552" s="153" t="s">
        <v>226</v>
      </c>
      <c r="AD1552" s="153" t="s">
        <v>226</v>
      </c>
      <c r="AE1552" s="153" t="s">
        <v>226</v>
      </c>
      <c r="AF1552" s="153" t="s">
        <v>226</v>
      </c>
      <c r="AG1552" s="153" t="s">
        <v>226</v>
      </c>
      <c r="AH1552" s="153" t="s">
        <v>226</v>
      </c>
      <c r="AI1552" s="153" t="s">
        <v>226</v>
      </c>
      <c r="AJ1552" s="153"/>
      <c r="AK1552" s="153"/>
      <c r="AL1552" s="153"/>
      <c r="AM1552" s="153"/>
      <c r="AN1552" s="153"/>
      <c r="AO1552" s="153"/>
      <c r="AP1552" s="153"/>
      <c r="AQ1552" s="153"/>
      <c r="AR1552" s="70"/>
      <c r="AS1552" s="329"/>
      <c r="AT1552" s="362" t="s">
        <v>471</v>
      </c>
      <c r="AU1552" s="822" t="s">
        <v>229</v>
      </c>
      <c r="AV1552" s="822" t="s">
        <v>229</v>
      </c>
      <c r="AW1552" s="822" t="s">
        <v>229</v>
      </c>
      <c r="AX1552" s="822" t="s">
        <v>229</v>
      </c>
      <c r="AY1552" s="822" t="s">
        <v>229</v>
      </c>
      <c r="AZ1552" s="822" t="s">
        <v>229</v>
      </c>
      <c r="BA1552" s="822" t="s">
        <v>229</v>
      </c>
      <c r="BB1552" s="822" t="s">
        <v>229</v>
      </c>
      <c r="BC1552" s="153" t="s">
        <v>226</v>
      </c>
      <c r="BD1552" s="153" t="s">
        <v>226</v>
      </c>
      <c r="BE1552" s="153" t="s">
        <v>226</v>
      </c>
      <c r="BM1552"/>
      <c r="BN1552"/>
      <c r="BO1552"/>
      <c r="BP1552"/>
      <c r="BQ1552"/>
      <c r="BR1552"/>
    </row>
    <row r="1553" spans="1:70" s="382" customFormat="1" x14ac:dyDescent="0.2">
      <c r="A1553" s="833"/>
      <c r="B1553" s="329"/>
      <c r="C1553" s="362" t="s">
        <v>5</v>
      </c>
      <c r="D1553" s="820">
        <v>2.2100000000000002E-2</v>
      </c>
      <c r="E1553" s="821">
        <v>2.1399999999999999E-2</v>
      </c>
      <c r="F1553" s="821">
        <v>2.1100000000000001E-2</v>
      </c>
      <c r="G1553" s="821">
        <v>1.9199999999999998E-2</v>
      </c>
      <c r="H1553" s="821">
        <v>1.9599999999999999E-2</v>
      </c>
      <c r="I1553" s="821">
        <v>1.9199999999999998E-2</v>
      </c>
      <c r="J1553" s="821">
        <v>1.6500000000000001E-2</v>
      </c>
      <c r="K1553" s="821">
        <v>1.2699999999999999E-2</v>
      </c>
      <c r="L1553" s="821">
        <v>1.55E-2</v>
      </c>
      <c r="M1553" s="821">
        <v>1.6500000000000001E-2</v>
      </c>
      <c r="N1553" s="821">
        <v>1.55E-2</v>
      </c>
      <c r="O1553" s="821">
        <v>1.4E-2</v>
      </c>
      <c r="P1553" s="821">
        <v>1.6299999999999999E-2</v>
      </c>
      <c r="Q1553" s="821">
        <v>1.6299999999999999E-2</v>
      </c>
      <c r="R1553" s="821">
        <v>1.9400000000000001E-2</v>
      </c>
      <c r="S1553" s="821">
        <v>8.9999999999999993E-3</v>
      </c>
      <c r="T1553" s="821">
        <v>1.43E-2</v>
      </c>
      <c r="U1553" s="821">
        <v>1.6899999999999998E-2</v>
      </c>
      <c r="V1553" s="821">
        <v>1.7000000000000001E-2</v>
      </c>
      <c r="W1553" s="821">
        <v>1.5800000000000002E-2</v>
      </c>
      <c r="X1553" s="821">
        <v>0.02</v>
      </c>
      <c r="Y1553" s="821">
        <v>1.49E-2</v>
      </c>
      <c r="Z1553" s="821">
        <v>1.6799999999999999E-2</v>
      </c>
      <c r="AA1553" s="821">
        <v>1.54E-2</v>
      </c>
      <c r="AB1553" s="821">
        <v>2.12E-2</v>
      </c>
      <c r="AC1553" s="153" t="s">
        <v>226</v>
      </c>
      <c r="AD1553" s="153" t="s">
        <v>226</v>
      </c>
      <c r="AE1553" s="153" t="s">
        <v>226</v>
      </c>
      <c r="AF1553" s="153" t="s">
        <v>226</v>
      </c>
      <c r="AG1553" s="153" t="s">
        <v>226</v>
      </c>
      <c r="AH1553" s="153" t="s">
        <v>226</v>
      </c>
      <c r="AI1553" s="153" t="s">
        <v>226</v>
      </c>
      <c r="AJ1553" s="153"/>
      <c r="AK1553" s="153"/>
      <c r="AL1553" s="153"/>
      <c r="AM1553" s="153"/>
      <c r="AN1553" s="153"/>
      <c r="AO1553" s="153"/>
      <c r="AP1553" s="153"/>
      <c r="AQ1553" s="153"/>
      <c r="AR1553" s="70"/>
      <c r="AS1553" s="329"/>
      <c r="AT1553" s="362" t="s">
        <v>5</v>
      </c>
      <c r="AU1553" s="822" t="s">
        <v>229</v>
      </c>
      <c r="AV1553" s="822" t="s">
        <v>229</v>
      </c>
      <c r="AW1553" s="822" t="s">
        <v>229</v>
      </c>
      <c r="AX1553" s="822" t="s">
        <v>229</v>
      </c>
      <c r="AY1553" s="822" t="s">
        <v>229</v>
      </c>
      <c r="AZ1553" s="822" t="s">
        <v>229</v>
      </c>
      <c r="BA1553" s="822" t="s">
        <v>229</v>
      </c>
      <c r="BB1553" s="822" t="s">
        <v>229</v>
      </c>
      <c r="BC1553" s="153" t="s">
        <v>226</v>
      </c>
      <c r="BD1553" s="153" t="s">
        <v>226</v>
      </c>
      <c r="BE1553" s="153" t="s">
        <v>226</v>
      </c>
      <c r="BM1553"/>
      <c r="BN1553"/>
      <c r="BO1553"/>
      <c r="BP1553"/>
      <c r="BQ1553"/>
      <c r="BR1553"/>
    </row>
    <row r="1554" spans="1:70" s="382" customFormat="1" x14ac:dyDescent="0.2">
      <c r="A1554" s="833"/>
      <c r="B1554" s="329"/>
      <c r="C1554" s="362" t="s">
        <v>472</v>
      </c>
      <c r="D1554" s="820">
        <v>1.34E-2</v>
      </c>
      <c r="E1554" s="821">
        <v>1.01E-2</v>
      </c>
      <c r="F1554" s="821">
        <v>1.0800000000000001E-2</v>
      </c>
      <c r="G1554" s="821">
        <v>8.0999999999999996E-3</v>
      </c>
      <c r="H1554" s="821">
        <v>1.2699999999999999E-2</v>
      </c>
      <c r="I1554" s="821">
        <v>1.2E-2</v>
      </c>
      <c r="J1554" s="821">
        <v>9.1999999999999998E-3</v>
      </c>
      <c r="K1554" s="821">
        <v>9.4999999999999998E-3</v>
      </c>
      <c r="L1554" s="821">
        <v>1.04E-2</v>
      </c>
      <c r="M1554" s="821">
        <v>7.7999999999999996E-3</v>
      </c>
      <c r="N1554" s="821">
        <v>1.21E-2</v>
      </c>
      <c r="O1554" s="821">
        <v>9.7999999999999997E-3</v>
      </c>
      <c r="P1554" s="821">
        <v>1.29E-2</v>
      </c>
      <c r="Q1554" s="821">
        <v>1.24E-2</v>
      </c>
      <c r="R1554" s="821">
        <v>1.0800000000000001E-2</v>
      </c>
      <c r="S1554" s="821">
        <v>8.2000000000000007E-3</v>
      </c>
      <c r="T1554" s="821">
        <v>1.09E-2</v>
      </c>
      <c r="U1554" s="821">
        <v>1.04E-2</v>
      </c>
      <c r="V1554" s="821">
        <v>1.06E-2</v>
      </c>
      <c r="W1554" s="821">
        <v>9.7000000000000003E-3</v>
      </c>
      <c r="X1554" s="821">
        <v>1.06E-2</v>
      </c>
      <c r="Y1554" s="821">
        <v>1.09E-2</v>
      </c>
      <c r="Z1554" s="821">
        <v>1.15E-2</v>
      </c>
      <c r="AA1554" s="821">
        <v>1.04E-2</v>
      </c>
      <c r="AB1554" s="821">
        <v>1.44E-2</v>
      </c>
      <c r="AC1554" s="153" t="s">
        <v>226</v>
      </c>
      <c r="AD1554" s="153" t="s">
        <v>226</v>
      </c>
      <c r="AE1554" s="153" t="s">
        <v>226</v>
      </c>
      <c r="AF1554" s="153" t="s">
        <v>226</v>
      </c>
      <c r="AG1554" s="153" t="s">
        <v>226</v>
      </c>
      <c r="AH1554" s="153" t="s">
        <v>226</v>
      </c>
      <c r="AI1554" s="153" t="s">
        <v>226</v>
      </c>
      <c r="AJ1554" s="153"/>
      <c r="AK1554" s="153"/>
      <c r="AL1554" s="153"/>
      <c r="AM1554" s="153"/>
      <c r="AN1554" s="153"/>
      <c r="AO1554" s="153"/>
      <c r="AP1554" s="153"/>
      <c r="AQ1554" s="153"/>
      <c r="AR1554" s="70"/>
      <c r="AS1554" s="329"/>
      <c r="AT1554" s="362" t="s">
        <v>472</v>
      </c>
      <c r="AU1554" s="822" t="s">
        <v>229</v>
      </c>
      <c r="AV1554" s="822" t="s">
        <v>229</v>
      </c>
      <c r="AW1554" s="822" t="s">
        <v>229</v>
      </c>
      <c r="AX1554" s="822" t="s">
        <v>229</v>
      </c>
      <c r="AY1554" s="822" t="s">
        <v>229</v>
      </c>
      <c r="AZ1554" s="822" t="s">
        <v>229</v>
      </c>
      <c r="BA1554" s="822" t="s">
        <v>229</v>
      </c>
      <c r="BB1554" s="822" t="s">
        <v>229</v>
      </c>
      <c r="BC1554" s="153" t="s">
        <v>226</v>
      </c>
      <c r="BD1554" s="153" t="s">
        <v>226</v>
      </c>
      <c r="BE1554" s="153" t="s">
        <v>226</v>
      </c>
      <c r="BM1554"/>
      <c r="BN1554"/>
      <c r="BO1554"/>
      <c r="BP1554"/>
      <c r="BQ1554"/>
      <c r="BR1554"/>
    </row>
    <row r="1555" spans="1:70" s="382" customFormat="1" x14ac:dyDescent="0.2">
      <c r="A1555" s="833"/>
      <c r="B1555" s="329"/>
      <c r="C1555" s="383" t="s">
        <v>17</v>
      </c>
      <c r="D1555" s="823">
        <v>-1.6500000000000001E-2</v>
      </c>
      <c r="E1555" s="824">
        <v>-1.6400000000000001E-2</v>
      </c>
      <c r="F1555" s="824">
        <v>-4.9000000000000002E-2</v>
      </c>
      <c r="G1555" s="824">
        <v>-2.7300000000000001E-2</v>
      </c>
      <c r="H1555" s="824">
        <v>-1.5900000000000001E-2</v>
      </c>
      <c r="I1555" s="824">
        <v>-1.1900000000000001E-2</v>
      </c>
      <c r="J1555" s="824">
        <v>5.9999999999999995E-4</v>
      </c>
      <c r="K1555" s="824">
        <v>-8.8000000000000005E-3</v>
      </c>
      <c r="L1555" s="824">
        <v>-1.26E-2</v>
      </c>
      <c r="M1555" s="824">
        <v>-7.3099999999999998E-2</v>
      </c>
      <c r="N1555" s="824">
        <v>-2.41E-2</v>
      </c>
      <c r="O1555" s="824">
        <v>-5.8200000000000002E-2</v>
      </c>
      <c r="P1555" s="824">
        <v>4.7999999999999996E-3</v>
      </c>
      <c r="Q1555" s="824">
        <v>1.24E-2</v>
      </c>
      <c r="R1555" s="824">
        <v>7.4999999999999997E-3</v>
      </c>
      <c r="S1555" s="824">
        <v>2.35E-2</v>
      </c>
      <c r="T1555" s="824">
        <v>1.4E-2</v>
      </c>
      <c r="U1555" s="824">
        <v>3.8999999999999998E-3</v>
      </c>
      <c r="V1555" s="824">
        <v>-1.6999999999999999E-3</v>
      </c>
      <c r="W1555" s="824">
        <v>-8.0000000000000004E-4</v>
      </c>
      <c r="X1555" s="824">
        <v>3.8E-3</v>
      </c>
      <c r="Y1555" s="824">
        <v>-5.9999999999999995E-4</v>
      </c>
      <c r="Z1555" s="824">
        <v>-3.2000000000000002E-3</v>
      </c>
      <c r="AA1555" s="824">
        <v>-0.76529999999999998</v>
      </c>
      <c r="AB1555" s="824">
        <v>-3.8E-3</v>
      </c>
      <c r="AC1555" s="198" t="s">
        <v>226</v>
      </c>
      <c r="AD1555" s="198" t="s">
        <v>226</v>
      </c>
      <c r="AE1555" s="198" t="s">
        <v>226</v>
      </c>
      <c r="AF1555" s="198" t="s">
        <v>226</v>
      </c>
      <c r="AG1555" s="198" t="s">
        <v>226</v>
      </c>
      <c r="AH1555" s="198" t="s">
        <v>226</v>
      </c>
      <c r="AI1555" s="198" t="s">
        <v>226</v>
      </c>
      <c r="AJ1555" s="153"/>
      <c r="AK1555" s="153"/>
      <c r="AL1555" s="153"/>
      <c r="AM1555" s="153"/>
      <c r="AN1555" s="153"/>
      <c r="AO1555" s="153"/>
      <c r="AP1555" s="153"/>
      <c r="AQ1555" s="153"/>
      <c r="AR1555" s="70"/>
      <c r="AS1555" s="329"/>
      <c r="AT1555" s="383" t="s">
        <v>17</v>
      </c>
      <c r="AU1555" s="825" t="s">
        <v>229</v>
      </c>
      <c r="AV1555" s="825" t="s">
        <v>229</v>
      </c>
      <c r="AW1555" s="825" t="s">
        <v>229</v>
      </c>
      <c r="AX1555" s="825" t="s">
        <v>229</v>
      </c>
      <c r="AY1555" s="825" t="s">
        <v>229</v>
      </c>
      <c r="AZ1555" s="825" t="s">
        <v>229</v>
      </c>
      <c r="BA1555" s="825" t="s">
        <v>229</v>
      </c>
      <c r="BB1555" s="825" t="s">
        <v>229</v>
      </c>
      <c r="BC1555" s="198" t="s">
        <v>226</v>
      </c>
      <c r="BD1555" s="198" t="s">
        <v>226</v>
      </c>
      <c r="BE1555" s="198" t="s">
        <v>226</v>
      </c>
      <c r="BM1555"/>
      <c r="BN1555"/>
      <c r="BO1555"/>
      <c r="BP1555"/>
      <c r="BQ1555"/>
      <c r="BR1555"/>
    </row>
    <row r="1556" spans="1:70" s="382" customFormat="1" x14ac:dyDescent="0.2">
      <c r="A1556" s="833"/>
      <c r="B1556" s="319"/>
      <c r="C1556" s="329" t="s">
        <v>21</v>
      </c>
      <c r="D1556" s="820">
        <v>7.7999999999999996E-3</v>
      </c>
      <c r="E1556" s="821">
        <v>5.7999999999999996E-3</v>
      </c>
      <c r="F1556" s="821">
        <v>2E-3</v>
      </c>
      <c r="G1556" s="821">
        <v>3.0999999999999999E-3</v>
      </c>
      <c r="H1556" s="821">
        <v>8.5000000000000006E-3</v>
      </c>
      <c r="I1556" s="821">
        <v>8.2000000000000007E-3</v>
      </c>
      <c r="J1556" s="821">
        <v>7.4000000000000003E-3</v>
      </c>
      <c r="K1556" s="821">
        <v>5.4000000000000003E-3</v>
      </c>
      <c r="L1556" s="821">
        <v>8.5000000000000006E-3</v>
      </c>
      <c r="M1556" s="821">
        <v>4.0000000000000002E-4</v>
      </c>
      <c r="N1556" s="821">
        <v>6.4000000000000003E-3</v>
      </c>
      <c r="O1556" s="821">
        <v>6.9999999999999999E-4</v>
      </c>
      <c r="P1556" s="821">
        <v>1.0500000000000001E-2</v>
      </c>
      <c r="Q1556" s="821">
        <v>1.01E-2</v>
      </c>
      <c r="R1556" s="821">
        <v>9.1000000000000004E-3</v>
      </c>
      <c r="S1556" s="821">
        <v>7.7000000000000002E-3</v>
      </c>
      <c r="T1556" s="821">
        <v>7.9000000000000008E-3</v>
      </c>
      <c r="U1556" s="821">
        <v>8.8999999999999999E-3</v>
      </c>
      <c r="V1556" s="821">
        <v>8.3000000000000001E-3</v>
      </c>
      <c r="W1556" s="821">
        <v>7.7999999999999996E-3</v>
      </c>
      <c r="X1556" s="821">
        <v>9.1000000000000004E-3</v>
      </c>
      <c r="Y1556" s="821">
        <v>8.3000000000000001E-3</v>
      </c>
      <c r="Z1556" s="821">
        <v>8.6999999999999994E-3</v>
      </c>
      <c r="AA1556" s="821">
        <v>-3.9300000000000002E-2</v>
      </c>
      <c r="AB1556" s="821">
        <v>9.7999999999999997E-3</v>
      </c>
      <c r="AC1556" s="153" t="s">
        <v>226</v>
      </c>
      <c r="AD1556" s="153" t="s">
        <v>226</v>
      </c>
      <c r="AE1556" s="153" t="s">
        <v>226</v>
      </c>
      <c r="AF1556" s="153" t="s">
        <v>226</v>
      </c>
      <c r="AG1556" s="153" t="s">
        <v>226</v>
      </c>
      <c r="AH1556" s="153" t="s">
        <v>226</v>
      </c>
      <c r="AI1556" s="153" t="s">
        <v>226</v>
      </c>
      <c r="AJ1556" s="153"/>
      <c r="AK1556" s="153"/>
      <c r="AL1556" s="153"/>
      <c r="AM1556" s="153"/>
      <c r="AN1556" s="153"/>
      <c r="AO1556" s="153"/>
      <c r="AP1556" s="153"/>
      <c r="AQ1556" s="153"/>
      <c r="AR1556" s="70"/>
      <c r="AS1556" s="319"/>
      <c r="AT1556" s="329" t="s">
        <v>21</v>
      </c>
      <c r="AU1556" s="822" t="s">
        <v>229</v>
      </c>
      <c r="AV1556" s="822" t="s">
        <v>229</v>
      </c>
      <c r="AW1556" s="822" t="s">
        <v>229</v>
      </c>
      <c r="AX1556" s="822" t="s">
        <v>229</v>
      </c>
      <c r="AY1556" s="822" t="s">
        <v>229</v>
      </c>
      <c r="AZ1556" s="822" t="s">
        <v>229</v>
      </c>
      <c r="BA1556" s="822" t="s">
        <v>229</v>
      </c>
      <c r="BB1556" s="822" t="s">
        <v>229</v>
      </c>
      <c r="BC1556" s="153" t="s">
        <v>226</v>
      </c>
      <c r="BD1556" s="153" t="s">
        <v>226</v>
      </c>
      <c r="BE1556" s="153" t="s">
        <v>226</v>
      </c>
      <c r="BM1556"/>
      <c r="BN1556"/>
      <c r="BO1556"/>
      <c r="BP1556"/>
      <c r="BQ1556"/>
      <c r="BR1556"/>
    </row>
    <row r="1557" spans="1:70" s="382" customFormat="1" x14ac:dyDescent="0.2">
      <c r="A1557" s="833"/>
      <c r="B1557" s="329"/>
      <c r="C1557" s="9"/>
      <c r="D1557" s="60"/>
      <c r="E1557" s="759"/>
      <c r="F1557" s="759"/>
      <c r="G1557" s="759"/>
      <c r="H1557" s="759"/>
      <c r="I1557" s="759"/>
      <c r="J1557" s="759"/>
      <c r="K1557" s="759"/>
      <c r="L1557" s="759"/>
      <c r="M1557" s="759"/>
      <c r="N1557" s="759"/>
      <c r="O1557" s="759"/>
      <c r="P1557" s="759"/>
      <c r="Q1557" s="759"/>
      <c r="R1557" s="759"/>
      <c r="S1557" s="759"/>
      <c r="T1557" s="759"/>
      <c r="U1557" s="759"/>
      <c r="V1557" s="759"/>
      <c r="W1557" s="759"/>
      <c r="X1557" s="759"/>
      <c r="Y1557" s="759"/>
      <c r="Z1557" s="759"/>
      <c r="AA1557" s="759"/>
      <c r="AB1557" s="759"/>
      <c r="AC1557" s="759"/>
      <c r="AD1557" s="369"/>
      <c r="AE1557" s="369"/>
      <c r="AF1557" s="369"/>
      <c r="AG1557" s="369"/>
      <c r="AH1557" s="369"/>
      <c r="AI1557" s="759"/>
      <c r="AJ1557" s="759"/>
      <c r="AK1557" s="759"/>
      <c r="AL1557" s="759"/>
      <c r="AM1557" s="759"/>
      <c r="AN1557" s="759"/>
      <c r="AO1557" s="759"/>
      <c r="AP1557" s="759"/>
      <c r="AQ1557" s="759"/>
      <c r="AR1557" s="70"/>
      <c r="AS1557" s="329"/>
      <c r="AT1557" s="9"/>
      <c r="AU1557" s="369"/>
      <c r="AV1557" s="759"/>
      <c r="AW1557" s="369"/>
      <c r="AX1557" s="759"/>
      <c r="AY1557" s="369"/>
      <c r="AZ1557" s="759"/>
      <c r="BC1557" s="759"/>
      <c r="BD1557" s="759"/>
      <c r="BE1557" s="759"/>
      <c r="BM1557"/>
      <c r="BN1557"/>
      <c r="BO1557"/>
      <c r="BP1557"/>
      <c r="BQ1557"/>
      <c r="BR1557"/>
    </row>
    <row r="1558" spans="1:70" s="382" customFormat="1" x14ac:dyDescent="0.2">
      <c r="A1558" s="833"/>
      <c r="B1558" s="329"/>
      <c r="C1558" s="9"/>
      <c r="D1558" s="60"/>
      <c r="E1558" s="759"/>
      <c r="F1558" s="759"/>
      <c r="G1558" s="759"/>
      <c r="H1558" s="759"/>
      <c r="I1558" s="759"/>
      <c r="J1558" s="759"/>
      <c r="K1558" s="759"/>
      <c r="L1558" s="759"/>
      <c r="M1558" s="759"/>
      <c r="N1558" s="759"/>
      <c r="O1558" s="759"/>
      <c r="P1558" s="759"/>
      <c r="Q1558" s="759"/>
      <c r="R1558" s="759"/>
      <c r="S1558" s="759"/>
      <c r="T1558" s="759"/>
      <c r="U1558" s="759"/>
      <c r="V1558" s="759"/>
      <c r="W1558" s="759"/>
      <c r="X1558" s="759"/>
      <c r="Y1558" s="759"/>
      <c r="Z1558" s="448"/>
      <c r="AA1558" s="448"/>
      <c r="AB1558" s="448"/>
      <c r="AC1558" s="759"/>
      <c r="AD1558" s="369"/>
      <c r="AE1558" s="369"/>
      <c r="AF1558" s="369"/>
      <c r="AG1558" s="369"/>
      <c r="AH1558" s="369"/>
      <c r="AI1558" s="759"/>
      <c r="AJ1558" s="759"/>
      <c r="AK1558" s="759"/>
      <c r="AL1558" s="759"/>
      <c r="AM1558" s="759"/>
      <c r="AN1558" s="759"/>
      <c r="AO1558" s="759"/>
      <c r="AP1558" s="759"/>
      <c r="AQ1558" s="759"/>
      <c r="AR1558" s="70"/>
      <c r="AS1558" s="329"/>
      <c r="AT1558" s="9"/>
      <c r="AU1558" s="369"/>
      <c r="AV1558" s="759"/>
      <c r="AW1558" s="369"/>
      <c r="AX1558" s="759"/>
      <c r="AY1558" s="369"/>
      <c r="AZ1558" s="759"/>
      <c r="BC1558" s="759"/>
      <c r="BD1558" s="759"/>
      <c r="BE1558" s="759"/>
      <c r="BM1558"/>
      <c r="BN1558"/>
      <c r="BO1558"/>
      <c r="BP1558"/>
      <c r="BQ1558"/>
      <c r="BR1558"/>
    </row>
    <row r="1559" spans="1:70" x14ac:dyDescent="0.2">
      <c r="A1559" s="411" t="s">
        <v>194</v>
      </c>
      <c r="B1559" s="13" t="s">
        <v>475</v>
      </c>
      <c r="C1559" s="13"/>
      <c r="D1559" s="14"/>
      <c r="E1559" s="14"/>
      <c r="F1559" s="14"/>
      <c r="G1559" s="14"/>
      <c r="H1559" s="14"/>
      <c r="I1559" s="14"/>
      <c r="J1559" s="14"/>
      <c r="K1559" s="14"/>
      <c r="L1559" s="14"/>
      <c r="M1559" s="14"/>
      <c r="N1559" s="14"/>
      <c r="O1559" s="14"/>
      <c r="P1559" s="14"/>
      <c r="Q1559" s="14"/>
      <c r="R1559" s="14"/>
      <c r="S1559" s="14"/>
      <c r="T1559" s="14"/>
      <c r="U1559" s="14"/>
      <c r="V1559" s="14"/>
      <c r="W1559" s="14"/>
      <c r="X1559" s="14"/>
      <c r="Y1559" s="14"/>
      <c r="Z1559" s="14"/>
      <c r="AA1559" s="14"/>
      <c r="AB1559" s="14"/>
      <c r="AC1559" s="14"/>
      <c r="AD1559" s="14"/>
      <c r="AE1559" s="14"/>
      <c r="AF1559" s="14"/>
      <c r="AG1559" s="14"/>
      <c r="AH1559" s="14"/>
      <c r="AI1559" s="14"/>
      <c r="AJ1559" s="14"/>
      <c r="AK1559" s="14"/>
      <c r="AL1559" s="14"/>
      <c r="AM1559" s="14"/>
      <c r="AN1559" s="14"/>
      <c r="AO1559" s="14"/>
      <c r="AP1559" s="14"/>
      <c r="AQ1559" s="14"/>
      <c r="AS1559" s="13" t="s">
        <v>475</v>
      </c>
      <c r="AT1559" s="13"/>
      <c r="AU1559" s="13"/>
      <c r="AV1559" s="13"/>
      <c r="AW1559" s="13"/>
      <c r="AX1559" s="13"/>
      <c r="AY1559" s="13"/>
      <c r="AZ1559" s="13"/>
      <c r="BA1559" s="13"/>
      <c r="BB1559" s="13"/>
      <c r="BC1559" s="14"/>
      <c r="BD1559" s="14"/>
      <c r="BE1559" s="14"/>
    </row>
    <row r="1560" spans="1:70" s="382" customFormat="1" x14ac:dyDescent="0.2">
      <c r="A1560" s="833"/>
      <c r="B1560" s="329"/>
      <c r="C1560" s="9"/>
      <c r="D1560" s="60"/>
      <c r="E1560" s="759"/>
      <c r="F1560" s="759"/>
      <c r="G1560" s="759"/>
      <c r="H1560" s="759"/>
      <c r="I1560" s="759"/>
      <c r="J1560" s="759"/>
      <c r="K1560" s="759"/>
      <c r="L1560" s="759"/>
      <c r="M1560" s="759"/>
      <c r="N1560" s="759"/>
      <c r="O1560" s="759"/>
      <c r="P1560" s="759"/>
      <c r="Q1560" s="759"/>
      <c r="R1560" s="759"/>
      <c r="S1560" s="759"/>
      <c r="T1560" s="759"/>
      <c r="U1560" s="759"/>
      <c r="V1560" s="759"/>
      <c r="W1560" s="759"/>
      <c r="X1560" s="759"/>
      <c r="Y1560" s="815"/>
      <c r="Z1560" s="448"/>
      <c r="AA1560" s="448"/>
      <c r="AB1560" s="448"/>
      <c r="AC1560" s="759"/>
      <c r="AD1560" s="369"/>
      <c r="AE1560" s="369"/>
      <c r="AF1560" s="369"/>
      <c r="AG1560" s="369"/>
      <c r="AH1560" s="369"/>
      <c r="AI1560" s="759"/>
      <c r="AJ1560" s="759"/>
      <c r="AK1560" s="759"/>
      <c r="AL1560" s="759"/>
      <c r="AM1560" s="759"/>
      <c r="AN1560" s="759"/>
      <c r="AO1560" s="759"/>
      <c r="AP1560" s="759"/>
      <c r="AQ1560" s="759"/>
      <c r="AR1560" s="70"/>
      <c r="AS1560" s="329"/>
      <c r="AT1560" s="9"/>
      <c r="AU1560" s="369"/>
      <c r="AV1560" s="759"/>
      <c r="AW1560" s="369"/>
      <c r="AX1560" s="759"/>
      <c r="AY1560" s="369"/>
      <c r="AZ1560" s="759"/>
      <c r="BC1560" s="759"/>
      <c r="BD1560" s="759"/>
      <c r="BE1560" s="759"/>
      <c r="BM1560"/>
      <c r="BN1560"/>
      <c r="BO1560"/>
      <c r="BP1560"/>
      <c r="BQ1560"/>
      <c r="BR1560"/>
    </row>
    <row r="1561" spans="1:70" x14ac:dyDescent="0.2">
      <c r="A1561" s="833"/>
      <c r="B1561" s="334" t="s">
        <v>235</v>
      </c>
      <c r="C1561" s="387"/>
      <c r="D1561" s="442">
        <v>3496</v>
      </c>
      <c r="E1561" s="826">
        <v>3435</v>
      </c>
      <c r="F1561" s="426">
        <v>3429</v>
      </c>
      <c r="G1561" s="426">
        <v>3403</v>
      </c>
      <c r="H1561" s="426">
        <v>3326</v>
      </c>
      <c r="I1561" s="426">
        <v>3324</v>
      </c>
      <c r="J1561" s="426">
        <v>3283</v>
      </c>
      <c r="K1561" s="426">
        <v>3259</v>
      </c>
      <c r="L1561" s="426">
        <v>3150</v>
      </c>
      <c r="M1561" s="426">
        <v>3047</v>
      </c>
      <c r="N1561" s="426">
        <v>3028</v>
      </c>
      <c r="O1561" s="426">
        <v>2888</v>
      </c>
      <c r="P1561" s="426">
        <v>2786</v>
      </c>
      <c r="Q1561" s="426">
        <v>2774</v>
      </c>
      <c r="R1561" s="426">
        <v>2764</v>
      </c>
      <c r="S1561" s="426">
        <v>2754</v>
      </c>
      <c r="T1561" s="426">
        <v>2670</v>
      </c>
      <c r="U1561" s="426">
        <v>2650</v>
      </c>
      <c r="V1561" s="426">
        <v>2648</v>
      </c>
      <c r="W1561" s="426">
        <v>2618</v>
      </c>
      <c r="X1561" s="426">
        <v>2601</v>
      </c>
      <c r="Y1561" s="426">
        <v>2570</v>
      </c>
      <c r="Z1561" s="426">
        <v>2474</v>
      </c>
      <c r="AA1561" s="426">
        <v>2451</v>
      </c>
      <c r="AB1561" s="426">
        <v>2433</v>
      </c>
      <c r="AC1561" s="32" t="s">
        <v>226</v>
      </c>
      <c r="AD1561" s="32" t="s">
        <v>226</v>
      </c>
      <c r="AE1561" s="32" t="s">
        <v>226</v>
      </c>
      <c r="AF1561" s="32" t="s">
        <v>226</v>
      </c>
      <c r="AG1561" s="32" t="s">
        <v>226</v>
      </c>
      <c r="AH1561" s="32" t="s">
        <v>226</v>
      </c>
      <c r="AI1561" s="32" t="s">
        <v>226</v>
      </c>
      <c r="AJ1561" s="32"/>
      <c r="AK1561" s="32"/>
      <c r="AL1561" s="32"/>
      <c r="AM1561" s="32"/>
      <c r="AN1561" s="32"/>
      <c r="AO1561" s="32"/>
      <c r="AP1561" s="32"/>
      <c r="AQ1561" s="32"/>
      <c r="AS1561" s="334" t="s">
        <v>235</v>
      </c>
      <c r="AT1561" s="387"/>
      <c r="AU1561" s="356">
        <f>G1561</f>
        <v>3403</v>
      </c>
      <c r="AV1561" s="356">
        <f>K1561</f>
        <v>3259</v>
      </c>
      <c r="AW1561" s="356">
        <f>O1561</f>
        <v>2888</v>
      </c>
      <c r="AX1561" s="356">
        <f>S1561</f>
        <v>2754</v>
      </c>
      <c r="AY1561" s="356">
        <f>W1561</f>
        <v>2618</v>
      </c>
      <c r="AZ1561" s="356" t="s">
        <v>226</v>
      </c>
      <c r="BA1561" s="356" t="s">
        <v>226</v>
      </c>
      <c r="BB1561" s="356" t="s">
        <v>226</v>
      </c>
      <c r="BC1561" s="32" t="s">
        <v>226</v>
      </c>
      <c r="BD1561" s="32" t="s">
        <v>226</v>
      </c>
      <c r="BE1561" s="32" t="s">
        <v>226</v>
      </c>
    </row>
    <row r="1562" spans="1:70" s="382" customFormat="1" x14ac:dyDescent="0.2">
      <c r="A1562" s="833"/>
      <c r="B1562" s="334" t="s">
        <v>476</v>
      </c>
      <c r="C1562" s="9"/>
      <c r="D1562" s="660">
        <v>263</v>
      </c>
      <c r="E1562" s="816">
        <v>261</v>
      </c>
      <c r="F1562" s="816">
        <v>262</v>
      </c>
      <c r="G1562" s="816">
        <v>259</v>
      </c>
      <c r="H1562" s="816">
        <v>257</v>
      </c>
      <c r="I1562" s="816">
        <v>253</v>
      </c>
      <c r="J1562" s="816">
        <v>252</v>
      </c>
      <c r="K1562" s="816">
        <v>251</v>
      </c>
      <c r="L1562" s="816">
        <v>248</v>
      </c>
      <c r="M1562" s="816">
        <v>244</v>
      </c>
      <c r="N1562" s="816">
        <v>243</v>
      </c>
      <c r="O1562" s="816">
        <v>241</v>
      </c>
      <c r="P1562" s="816">
        <v>239</v>
      </c>
      <c r="Q1562" s="816">
        <v>238</v>
      </c>
      <c r="R1562" s="816">
        <v>239</v>
      </c>
      <c r="S1562" s="816">
        <v>231</v>
      </c>
      <c r="T1562" s="816">
        <v>225</v>
      </c>
      <c r="U1562" s="816">
        <v>220</v>
      </c>
      <c r="V1562" s="816">
        <v>220</v>
      </c>
      <c r="W1562" s="816">
        <v>219</v>
      </c>
      <c r="X1562" s="816">
        <v>215</v>
      </c>
      <c r="Y1562" s="816">
        <v>214</v>
      </c>
      <c r="Z1562" s="816">
        <v>213</v>
      </c>
      <c r="AA1562" s="816">
        <v>209</v>
      </c>
      <c r="AB1562" s="816">
        <v>209</v>
      </c>
      <c r="AC1562" s="32" t="s">
        <v>226</v>
      </c>
      <c r="AD1562" s="32" t="s">
        <v>226</v>
      </c>
      <c r="AE1562" s="32" t="s">
        <v>226</v>
      </c>
      <c r="AF1562" s="32" t="s">
        <v>226</v>
      </c>
      <c r="AG1562" s="32" t="s">
        <v>226</v>
      </c>
      <c r="AH1562" s="32" t="s">
        <v>226</v>
      </c>
      <c r="AI1562" s="32" t="s">
        <v>226</v>
      </c>
      <c r="AJ1562" s="32"/>
      <c r="AK1562" s="32"/>
      <c r="AL1562" s="32"/>
      <c r="AM1562" s="32"/>
      <c r="AN1562" s="32"/>
      <c r="AO1562" s="32"/>
      <c r="AP1562" s="32"/>
      <c r="AQ1562" s="32"/>
      <c r="AR1562" s="70"/>
      <c r="AS1562" s="334" t="s">
        <v>476</v>
      </c>
      <c r="AT1562" s="9"/>
      <c r="AU1562" s="356">
        <f>G1562</f>
        <v>259</v>
      </c>
      <c r="AV1562" s="356">
        <f>K1562</f>
        <v>251</v>
      </c>
      <c r="AW1562" s="356">
        <f>O1562</f>
        <v>241</v>
      </c>
      <c r="AX1562" s="356">
        <f>S1562</f>
        <v>231</v>
      </c>
      <c r="AY1562" s="356">
        <f>W1562</f>
        <v>219</v>
      </c>
      <c r="AZ1562" s="356" t="s">
        <v>226</v>
      </c>
      <c r="BA1562" s="356" t="s">
        <v>226</v>
      </c>
      <c r="BB1562" s="356" t="s">
        <v>226</v>
      </c>
      <c r="BC1562" s="32" t="s">
        <v>226</v>
      </c>
      <c r="BD1562" s="32" t="s">
        <v>226</v>
      </c>
      <c r="BE1562" s="32" t="s">
        <v>226</v>
      </c>
      <c r="BM1562"/>
      <c r="BN1562"/>
      <c r="BO1562"/>
      <c r="BP1562"/>
      <c r="BQ1562"/>
      <c r="BR1562"/>
    </row>
    <row r="1563" spans="1:70" s="382" customFormat="1" x14ac:dyDescent="0.2">
      <c r="A1563" s="833"/>
      <c r="B1563" s="334"/>
      <c r="C1563" s="9"/>
      <c r="D1563" s="660"/>
      <c r="E1563" s="816"/>
      <c r="F1563" s="816"/>
      <c r="G1563" s="816"/>
      <c r="H1563" s="816"/>
      <c r="I1563" s="816"/>
      <c r="J1563" s="816"/>
      <c r="K1563" s="816"/>
      <c r="L1563" s="816"/>
      <c r="M1563" s="816"/>
      <c r="N1563" s="816"/>
      <c r="O1563" s="816"/>
      <c r="P1563" s="816"/>
      <c r="Q1563" s="816"/>
      <c r="R1563" s="816"/>
      <c r="S1563" s="816"/>
      <c r="T1563" s="816"/>
      <c r="U1563" s="816"/>
      <c r="V1563" s="816"/>
      <c r="W1563" s="816"/>
      <c r="X1563" s="759"/>
      <c r="Y1563" s="815"/>
      <c r="Z1563" s="448"/>
      <c r="AA1563" s="448"/>
      <c r="AB1563" s="448"/>
      <c r="AC1563" s="759"/>
      <c r="AD1563" s="369"/>
      <c r="AE1563" s="369"/>
      <c r="AF1563" s="369"/>
      <c r="AG1563" s="369"/>
      <c r="AH1563" s="369"/>
      <c r="AI1563" s="759"/>
      <c r="AJ1563" s="759"/>
      <c r="AK1563" s="759"/>
      <c r="AL1563" s="759"/>
      <c r="AM1563" s="759"/>
      <c r="AN1563" s="759"/>
      <c r="AO1563" s="759"/>
      <c r="AP1563" s="759"/>
      <c r="AQ1563" s="759"/>
      <c r="AR1563" s="70"/>
      <c r="AS1563" s="334"/>
      <c r="AT1563" s="9"/>
      <c r="AU1563" s="369"/>
      <c r="AV1563" s="759"/>
      <c r="AW1563" s="369"/>
      <c r="AX1563" s="759"/>
      <c r="AY1563" s="369"/>
      <c r="AZ1563" s="759"/>
      <c r="BM1563"/>
      <c r="BN1563"/>
      <c r="BO1563"/>
      <c r="BP1563"/>
      <c r="BQ1563"/>
      <c r="BR1563"/>
    </row>
    <row r="1564" spans="1:70" x14ac:dyDescent="0.2">
      <c r="A1564" s="411" t="s">
        <v>194</v>
      </c>
      <c r="B1564" s="13" t="s">
        <v>539</v>
      </c>
      <c r="C1564" s="13"/>
      <c r="D1564" s="14"/>
      <c r="E1564" s="14"/>
      <c r="F1564" s="14"/>
      <c r="G1564" s="14"/>
      <c r="H1564" s="14"/>
      <c r="I1564" s="14"/>
      <c r="J1564" s="14"/>
      <c r="K1564" s="14"/>
      <c r="L1564" s="14"/>
      <c r="M1564" s="14"/>
      <c r="N1564" s="14"/>
      <c r="O1564" s="14"/>
      <c r="P1564" s="14"/>
      <c r="Q1564" s="14"/>
      <c r="R1564" s="14"/>
      <c r="S1564" s="14"/>
      <c r="T1564" s="14"/>
      <c r="U1564" s="14"/>
      <c r="V1564" s="14"/>
      <c r="W1564" s="14"/>
      <c r="X1564" s="14"/>
      <c r="Y1564" s="14"/>
      <c r="Z1564" s="14"/>
      <c r="AA1564" s="14"/>
      <c r="AB1564" s="14"/>
      <c r="AC1564" s="14"/>
      <c r="AD1564" s="14"/>
      <c r="AE1564" s="14"/>
      <c r="AF1564" s="14"/>
      <c r="AG1564" s="14"/>
      <c r="AH1564" s="14"/>
      <c r="AI1564" s="14"/>
      <c r="AJ1564" s="14"/>
      <c r="AK1564" s="14"/>
      <c r="AL1564" s="14"/>
      <c r="AM1564" s="14"/>
      <c r="AN1564" s="14"/>
      <c r="AO1564" s="14"/>
      <c r="AP1564" s="14"/>
      <c r="AQ1564" s="14"/>
      <c r="AS1564" s="13" t="s">
        <v>539</v>
      </c>
      <c r="AT1564" s="13"/>
      <c r="AU1564" s="13"/>
      <c r="AV1564" s="13"/>
      <c r="AW1564" s="13"/>
      <c r="AX1564" s="13"/>
      <c r="AY1564" s="13"/>
      <c r="AZ1564" s="13"/>
      <c r="BA1564" s="13"/>
      <c r="BB1564" s="13"/>
      <c r="BC1564" s="13"/>
      <c r="BD1564" s="13"/>
      <c r="BE1564" s="13"/>
    </row>
    <row r="1565" spans="1:70" x14ac:dyDescent="0.2">
      <c r="AA1565" s="1742"/>
      <c r="AS1565" s="10"/>
      <c r="AT1565" s="9"/>
    </row>
    <row r="1566" spans="1:70" x14ac:dyDescent="0.2">
      <c r="B1566" s="35" t="s">
        <v>540</v>
      </c>
      <c r="AA1566" s="1742"/>
      <c r="AS1566" s="35" t="s">
        <v>540</v>
      </c>
      <c r="AT1566" s="9"/>
    </row>
    <row r="1567" spans="1:70" x14ac:dyDescent="0.2">
      <c r="C1567" s="9" t="s">
        <v>59</v>
      </c>
      <c r="D1567" s="827">
        <v>-1376</v>
      </c>
      <c r="E1567" s="827">
        <v>198</v>
      </c>
      <c r="F1567" s="827">
        <v>-799</v>
      </c>
      <c r="G1567" s="827">
        <v>-510</v>
      </c>
      <c r="H1567" s="827">
        <v>-310</v>
      </c>
      <c r="I1567" s="827">
        <v>462</v>
      </c>
      <c r="J1567" s="827">
        <v>-332</v>
      </c>
      <c r="K1567" s="827">
        <v>-165</v>
      </c>
      <c r="L1567" s="827">
        <v>-7</v>
      </c>
      <c r="M1567" s="827">
        <v>-32</v>
      </c>
      <c r="N1567" s="827">
        <v>-316</v>
      </c>
      <c r="O1567" s="827">
        <v>12</v>
      </c>
      <c r="P1567" s="827">
        <v>-69</v>
      </c>
      <c r="Q1567" s="827">
        <v>303</v>
      </c>
      <c r="R1567" s="827">
        <v>221</v>
      </c>
      <c r="S1567" s="827">
        <v>-186</v>
      </c>
      <c r="T1567" s="827">
        <v>0</v>
      </c>
      <c r="U1567" s="827">
        <v>0</v>
      </c>
      <c r="V1567" s="827">
        <v>0</v>
      </c>
      <c r="W1567" s="827">
        <v>0</v>
      </c>
      <c r="X1567" s="827">
        <v>0</v>
      </c>
      <c r="Y1567" s="827">
        <v>0</v>
      </c>
      <c r="Z1567" s="827">
        <v>0</v>
      </c>
      <c r="AA1567" s="827">
        <v>0</v>
      </c>
      <c r="AB1567" s="827">
        <v>0</v>
      </c>
      <c r="AC1567" s="827">
        <v>0</v>
      </c>
      <c r="AD1567" s="827">
        <v>0</v>
      </c>
      <c r="AE1567" s="827">
        <v>0</v>
      </c>
      <c r="AF1567" s="827">
        <v>0</v>
      </c>
      <c r="AG1567" s="827">
        <v>0</v>
      </c>
      <c r="AH1567" s="827">
        <v>0</v>
      </c>
      <c r="AI1567" s="827">
        <v>0</v>
      </c>
      <c r="AJ1567" s="827"/>
      <c r="AK1567" s="827"/>
      <c r="AL1567" s="827"/>
      <c r="AM1567" s="827"/>
      <c r="AN1567" s="827"/>
      <c r="AO1567" s="827"/>
      <c r="AP1567" s="827"/>
      <c r="AQ1567" s="827"/>
      <c r="AS1567" s="10"/>
      <c r="AT1567" s="9" t="s">
        <v>59</v>
      </c>
      <c r="AU1567" s="232">
        <f>SUM(D1567:G1567)</f>
        <v>-2487</v>
      </c>
      <c r="AV1567" s="232">
        <f>SUM(H1567:K1567)</f>
        <v>-345</v>
      </c>
      <c r="AW1567" s="232">
        <f>SUM(L1567:O1567)</f>
        <v>-343</v>
      </c>
      <c r="AX1567" s="232">
        <f>SUM(P1567:S1567)</f>
        <v>269</v>
      </c>
      <c r="AY1567" s="232">
        <f>SUM(T1567:W1567)</f>
        <v>0</v>
      </c>
      <c r="AZ1567" s="232">
        <f>SUM(X1567:AA1567)</f>
        <v>0</v>
      </c>
      <c r="BA1567" s="232">
        <f>SUM(AB1567:AE1567)</f>
        <v>0</v>
      </c>
      <c r="BB1567" s="232">
        <f>SUM(AF1567:AI1567)</f>
        <v>0</v>
      </c>
      <c r="BC1567" s="232">
        <v>0</v>
      </c>
      <c r="BD1567" s="232">
        <v>0</v>
      </c>
      <c r="BE1567" s="232">
        <v>0</v>
      </c>
    </row>
    <row r="1568" spans="1:70" x14ac:dyDescent="0.2">
      <c r="C1568" s="25" t="s">
        <v>183</v>
      </c>
      <c r="D1568" s="172">
        <f>D1569-D1567</f>
        <v>88</v>
      </c>
      <c r="E1568" s="172">
        <f t="shared" ref="E1568:W1568" si="3810">E1569-E1567</f>
        <v>21</v>
      </c>
      <c r="F1568" s="172">
        <f t="shared" si="3810"/>
        <v>23</v>
      </c>
      <c r="G1568" s="172">
        <f t="shared" si="3810"/>
        <v>25</v>
      </c>
      <c r="H1568" s="172">
        <f t="shared" si="3810"/>
        <v>-9</v>
      </c>
      <c r="I1568" s="172">
        <f t="shared" si="3810"/>
        <v>15</v>
      </c>
      <c r="J1568" s="172">
        <f t="shared" si="3810"/>
        <v>-4</v>
      </c>
      <c r="K1568" s="172">
        <f t="shared" si="3810"/>
        <v>1</v>
      </c>
      <c r="L1568" s="172">
        <f t="shared" si="3810"/>
        <v>14</v>
      </c>
      <c r="M1568" s="172">
        <f t="shared" si="3810"/>
        <v>-1</v>
      </c>
      <c r="N1568" s="172">
        <f t="shared" si="3810"/>
        <v>-55</v>
      </c>
      <c r="O1568" s="172">
        <f t="shared" si="3810"/>
        <v>-5</v>
      </c>
      <c r="P1568" s="172">
        <f t="shared" si="3810"/>
        <v>-4</v>
      </c>
      <c r="Q1568" s="172">
        <f t="shared" si="3810"/>
        <v>9</v>
      </c>
      <c r="R1568" s="172">
        <f t="shared" si="3810"/>
        <v>-25</v>
      </c>
      <c r="S1568" s="172">
        <f t="shared" si="3810"/>
        <v>5</v>
      </c>
      <c r="T1568" s="172">
        <f t="shared" si="3810"/>
        <v>0</v>
      </c>
      <c r="U1568" s="172">
        <f t="shared" si="3810"/>
        <v>0</v>
      </c>
      <c r="V1568" s="172">
        <f t="shared" si="3810"/>
        <v>0</v>
      </c>
      <c r="W1568" s="172">
        <f t="shared" si="3810"/>
        <v>0</v>
      </c>
      <c r="X1568" s="172">
        <f t="shared" ref="X1568:AE1568" si="3811">X1569-X1567</f>
        <v>0</v>
      </c>
      <c r="Y1568" s="172">
        <f t="shared" si="3811"/>
        <v>0</v>
      </c>
      <c r="Z1568" s="172">
        <f t="shared" si="3811"/>
        <v>0</v>
      </c>
      <c r="AA1568" s="172">
        <f t="shared" ref="AA1568" si="3812">AA1569-AA1567</f>
        <v>0</v>
      </c>
      <c r="AB1568" s="172">
        <f t="shared" si="3811"/>
        <v>0</v>
      </c>
      <c r="AC1568" s="172">
        <f t="shared" si="3811"/>
        <v>0</v>
      </c>
      <c r="AD1568" s="172">
        <f t="shared" si="3811"/>
        <v>0</v>
      </c>
      <c r="AE1568" s="172">
        <f t="shared" si="3811"/>
        <v>0</v>
      </c>
      <c r="AF1568" s="172">
        <f t="shared" ref="AF1568:AI1568" si="3813">AF1569-AF1567</f>
        <v>0</v>
      </c>
      <c r="AG1568" s="172">
        <f t="shared" si="3813"/>
        <v>0</v>
      </c>
      <c r="AH1568" s="172">
        <f t="shared" si="3813"/>
        <v>0</v>
      </c>
      <c r="AI1568" s="172">
        <f t="shared" si="3813"/>
        <v>0</v>
      </c>
      <c r="AJ1568" s="1755"/>
      <c r="AK1568" s="1755"/>
      <c r="AL1568" s="1755"/>
      <c r="AM1568" s="1755"/>
      <c r="AN1568" s="1755"/>
      <c r="AO1568" s="1755"/>
      <c r="AP1568" s="1755"/>
      <c r="AQ1568" s="1755"/>
      <c r="AS1568" s="10"/>
      <c r="AT1568" s="25" t="s">
        <v>183</v>
      </c>
      <c r="AU1568" s="41">
        <f>SUM(D1568:G1568)</f>
        <v>157</v>
      </c>
      <c r="AV1568" s="41">
        <f>SUM(H1568:K1568)</f>
        <v>3</v>
      </c>
      <c r="AW1568" s="41">
        <f>SUM(L1568:O1568)</f>
        <v>-47</v>
      </c>
      <c r="AX1568" s="41">
        <f>SUM(P1568:S1568)</f>
        <v>-15</v>
      </c>
      <c r="AY1568" s="41">
        <f>SUM(T1568:W1568)</f>
        <v>0</v>
      </c>
      <c r="AZ1568" s="41">
        <f>SUM(X1568:AA1568)</f>
        <v>0</v>
      </c>
      <c r="BA1568" s="41">
        <f>SUM(AB1568:AE1568)</f>
        <v>0</v>
      </c>
      <c r="BB1568" s="41">
        <f>SUM(AF1568:AI1568)</f>
        <v>0</v>
      </c>
      <c r="BC1568" s="41">
        <v>0</v>
      </c>
      <c r="BD1568" s="41">
        <v>0</v>
      </c>
      <c r="BE1568" s="41">
        <v>0</v>
      </c>
    </row>
    <row r="1569" spans="1:57" x14ac:dyDescent="0.2">
      <c r="C1569" s="9" t="s">
        <v>542</v>
      </c>
      <c r="D1569" s="426">
        <v>-1288</v>
      </c>
      <c r="E1569" s="426">
        <v>219</v>
      </c>
      <c r="F1569" s="426">
        <v>-776</v>
      </c>
      <c r="G1569" s="426">
        <v>-485</v>
      </c>
      <c r="H1569" s="426">
        <v>-319</v>
      </c>
      <c r="I1569" s="426">
        <v>477</v>
      </c>
      <c r="J1569" s="426">
        <v>-336</v>
      </c>
      <c r="K1569" s="426">
        <v>-164</v>
      </c>
      <c r="L1569" s="426">
        <v>7</v>
      </c>
      <c r="M1569" s="426">
        <v>-33</v>
      </c>
      <c r="N1569" s="426">
        <v>-371</v>
      </c>
      <c r="O1569" s="426">
        <v>7</v>
      </c>
      <c r="P1569" s="426">
        <v>-73</v>
      </c>
      <c r="Q1569" s="426">
        <v>312</v>
      </c>
      <c r="R1569" s="426">
        <v>196</v>
      </c>
      <c r="S1569" s="426">
        <v>-181</v>
      </c>
      <c r="T1569" s="426">
        <v>0</v>
      </c>
      <c r="U1569" s="426">
        <v>0</v>
      </c>
      <c r="V1569" s="426">
        <v>0</v>
      </c>
      <c r="W1569" s="426">
        <v>0</v>
      </c>
      <c r="X1569" s="426">
        <v>0</v>
      </c>
      <c r="Y1569" s="426">
        <v>0</v>
      </c>
      <c r="Z1569" s="426">
        <v>0</v>
      </c>
      <c r="AA1569" s="426">
        <v>0</v>
      </c>
      <c r="AB1569" s="426">
        <v>0</v>
      </c>
      <c r="AC1569" s="426">
        <v>0</v>
      </c>
      <c r="AD1569" s="426">
        <v>0</v>
      </c>
      <c r="AE1569" s="426">
        <v>0</v>
      </c>
      <c r="AF1569" s="426">
        <v>0</v>
      </c>
      <c r="AG1569" s="426">
        <v>0</v>
      </c>
      <c r="AH1569" s="426">
        <v>0</v>
      </c>
      <c r="AI1569" s="426">
        <v>0</v>
      </c>
      <c r="AJ1569" s="426"/>
      <c r="AK1569" s="426"/>
      <c r="AL1569" s="426"/>
      <c r="AM1569" s="426"/>
      <c r="AN1569" s="426"/>
      <c r="AO1569" s="426"/>
      <c r="AP1569" s="426"/>
      <c r="AQ1569" s="426"/>
      <c r="AS1569" s="10"/>
      <c r="AT1569" s="9" t="s">
        <v>542</v>
      </c>
      <c r="AU1569" s="232">
        <f>SUM(AU1567:AU1568)</f>
        <v>-2330</v>
      </c>
      <c r="AV1569" s="232">
        <f t="shared" ref="AV1569:BA1569" si="3814">SUM(AV1567:AV1568)</f>
        <v>-342</v>
      </c>
      <c r="AW1569" s="232">
        <f t="shared" si="3814"/>
        <v>-390</v>
      </c>
      <c r="AX1569" s="232">
        <f t="shared" si="3814"/>
        <v>254</v>
      </c>
      <c r="AY1569" s="232">
        <f t="shared" si="3814"/>
        <v>0</v>
      </c>
      <c r="AZ1569" s="232">
        <f t="shared" si="3814"/>
        <v>0</v>
      </c>
      <c r="BA1569" s="232">
        <f t="shared" si="3814"/>
        <v>0</v>
      </c>
      <c r="BB1569" s="232">
        <f t="shared" ref="BB1569" si="3815">SUM(BB1567:BB1568)</f>
        <v>0</v>
      </c>
      <c r="BC1569" s="232">
        <f>SUM(BC1567:BC1568)</f>
        <v>0</v>
      </c>
      <c r="BD1569" s="232">
        <f>SUM(BD1567:BD1568)</f>
        <v>0</v>
      </c>
      <c r="BE1569" s="232">
        <f>SUM(BE1567:BE1568)</f>
        <v>0</v>
      </c>
    </row>
    <row r="1570" spans="1:57" x14ac:dyDescent="0.2">
      <c r="AA1570" s="1742"/>
      <c r="AS1570" s="10"/>
      <c r="AT1570" s="9"/>
    </row>
    <row r="1571" spans="1:57" x14ac:dyDescent="0.2">
      <c r="B1571" s="35" t="s">
        <v>541</v>
      </c>
      <c r="AA1571" s="1742"/>
      <c r="AS1571" s="35" t="s">
        <v>541</v>
      </c>
      <c r="AT1571" s="9"/>
    </row>
    <row r="1572" spans="1:57" x14ac:dyDescent="0.2">
      <c r="C1572" s="9" t="s">
        <v>59</v>
      </c>
      <c r="D1572" s="426">
        <v>-854</v>
      </c>
      <c r="E1572" s="426">
        <v>126</v>
      </c>
      <c r="F1572" s="426">
        <v>-499</v>
      </c>
      <c r="G1572" s="426">
        <v>-316</v>
      </c>
      <c r="H1572" s="426">
        <v>-192</v>
      </c>
      <c r="I1572" s="426">
        <v>284</v>
      </c>
      <c r="J1572" s="426">
        <v>-206</v>
      </c>
      <c r="K1572" s="426">
        <v>-100</v>
      </c>
      <c r="L1572" s="426">
        <v>-4</v>
      </c>
      <c r="M1572" s="426">
        <v>-20</v>
      </c>
      <c r="N1572" s="426">
        <v>-194</v>
      </c>
      <c r="O1572" s="426">
        <v>7</v>
      </c>
      <c r="P1572" s="426">
        <v>-44</v>
      </c>
      <c r="Q1572" s="426">
        <v>190</v>
      </c>
      <c r="R1572" s="426">
        <v>143</v>
      </c>
      <c r="S1572" s="426">
        <v>-117</v>
      </c>
      <c r="T1572" s="426">
        <v>0</v>
      </c>
      <c r="U1572" s="426">
        <v>0</v>
      </c>
      <c r="V1572" s="426">
        <v>0</v>
      </c>
      <c r="W1572" s="426">
        <v>0</v>
      </c>
      <c r="X1572" s="426">
        <v>0</v>
      </c>
      <c r="Y1572" s="426">
        <v>0</v>
      </c>
      <c r="Z1572" s="426">
        <v>0</v>
      </c>
      <c r="AA1572" s="426">
        <v>0</v>
      </c>
      <c r="AB1572" s="426">
        <v>0</v>
      </c>
      <c r="AC1572" s="426">
        <v>0</v>
      </c>
      <c r="AD1572" s="426">
        <v>0</v>
      </c>
      <c r="AE1572" s="426">
        <v>0</v>
      </c>
      <c r="AF1572" s="426">
        <v>0</v>
      </c>
      <c r="AG1572" s="426">
        <v>0</v>
      </c>
      <c r="AH1572" s="426">
        <v>0</v>
      </c>
      <c r="AI1572" s="426">
        <v>0</v>
      </c>
      <c r="AJ1572" s="426"/>
      <c r="AK1572" s="426"/>
      <c r="AL1572" s="426"/>
      <c r="AM1572" s="426"/>
      <c r="AN1572" s="426"/>
      <c r="AO1572" s="426"/>
      <c r="AP1572" s="426"/>
      <c r="AQ1572" s="426"/>
      <c r="AS1572" s="10"/>
      <c r="AT1572" s="9" t="s">
        <v>59</v>
      </c>
      <c r="AU1572" s="232">
        <f>SUM(D1572:G1572)</f>
        <v>-1543</v>
      </c>
      <c r="AV1572" s="232">
        <f>SUM(H1572:K1572)</f>
        <v>-214</v>
      </c>
      <c r="AW1572" s="232">
        <f>SUM(L1572:O1572)</f>
        <v>-211</v>
      </c>
      <c r="AX1572" s="232">
        <f>SUM(P1572:S1572)</f>
        <v>172</v>
      </c>
      <c r="AY1572" s="232">
        <f>SUM(T1572:W1572)</f>
        <v>0</v>
      </c>
      <c r="AZ1572" s="232">
        <f>SUM(X1572:AA1572)</f>
        <v>0</v>
      </c>
      <c r="BA1572" s="232">
        <f>SUM(AB1572:AE1572)</f>
        <v>0</v>
      </c>
      <c r="BB1572" s="232">
        <f>SUM(AF1572:AI1572)</f>
        <v>0</v>
      </c>
      <c r="BC1572" s="232">
        <v>0</v>
      </c>
      <c r="BD1572" s="232">
        <v>0</v>
      </c>
      <c r="BE1572" s="232">
        <v>0</v>
      </c>
    </row>
    <row r="1573" spans="1:57" x14ac:dyDescent="0.2">
      <c r="C1573" s="25" t="s">
        <v>183</v>
      </c>
      <c r="D1573" s="132">
        <f>D1574-D1572</f>
        <v>54</v>
      </c>
      <c r="E1573" s="132">
        <f t="shared" ref="E1573:W1573" si="3816">E1574-E1572</f>
        <v>14</v>
      </c>
      <c r="F1573" s="132">
        <f t="shared" si="3816"/>
        <v>14</v>
      </c>
      <c r="G1573" s="132">
        <f t="shared" si="3816"/>
        <v>15</v>
      </c>
      <c r="H1573" s="132">
        <f t="shared" si="3816"/>
        <v>-6</v>
      </c>
      <c r="I1573" s="132">
        <f t="shared" si="3816"/>
        <v>9</v>
      </c>
      <c r="J1573" s="132">
        <f t="shared" si="3816"/>
        <v>-2</v>
      </c>
      <c r="K1573" s="132">
        <f t="shared" si="3816"/>
        <v>0</v>
      </c>
      <c r="L1573" s="132">
        <f t="shared" si="3816"/>
        <v>8</v>
      </c>
      <c r="M1573" s="132">
        <f t="shared" si="3816"/>
        <v>0</v>
      </c>
      <c r="N1573" s="132">
        <f t="shared" si="3816"/>
        <v>-34</v>
      </c>
      <c r="O1573" s="132">
        <f t="shared" si="3816"/>
        <v>-3</v>
      </c>
      <c r="P1573" s="132">
        <f t="shared" si="3816"/>
        <v>-3</v>
      </c>
      <c r="Q1573" s="132">
        <f t="shared" si="3816"/>
        <v>6</v>
      </c>
      <c r="R1573" s="132">
        <f t="shared" si="3816"/>
        <v>-16</v>
      </c>
      <c r="S1573" s="132">
        <f t="shared" si="3816"/>
        <v>3</v>
      </c>
      <c r="T1573" s="132">
        <f t="shared" si="3816"/>
        <v>0</v>
      </c>
      <c r="U1573" s="132">
        <f t="shared" si="3816"/>
        <v>0</v>
      </c>
      <c r="V1573" s="132">
        <f t="shared" si="3816"/>
        <v>0</v>
      </c>
      <c r="W1573" s="132">
        <f t="shared" si="3816"/>
        <v>0</v>
      </c>
      <c r="X1573" s="132">
        <f t="shared" ref="X1573:AE1573" si="3817">X1574-X1572</f>
        <v>0</v>
      </c>
      <c r="Y1573" s="132">
        <f t="shared" si="3817"/>
        <v>0</v>
      </c>
      <c r="Z1573" s="132">
        <f t="shared" si="3817"/>
        <v>0</v>
      </c>
      <c r="AA1573" s="132">
        <f t="shared" ref="AA1573" si="3818">AA1574-AA1572</f>
        <v>0</v>
      </c>
      <c r="AB1573" s="132">
        <f t="shared" si="3817"/>
        <v>0</v>
      </c>
      <c r="AC1573" s="132">
        <f t="shared" si="3817"/>
        <v>0</v>
      </c>
      <c r="AD1573" s="132">
        <f t="shared" si="3817"/>
        <v>0</v>
      </c>
      <c r="AE1573" s="132">
        <f t="shared" si="3817"/>
        <v>0</v>
      </c>
      <c r="AF1573" s="132">
        <f t="shared" ref="AF1573:AI1573" si="3819">AF1574-AF1572</f>
        <v>0</v>
      </c>
      <c r="AG1573" s="132">
        <f t="shared" si="3819"/>
        <v>0</v>
      </c>
      <c r="AH1573" s="132">
        <f t="shared" si="3819"/>
        <v>0</v>
      </c>
      <c r="AI1573" s="132">
        <f t="shared" si="3819"/>
        <v>0</v>
      </c>
      <c r="AJ1573" s="206"/>
      <c r="AK1573" s="206"/>
      <c r="AL1573" s="206"/>
      <c r="AM1573" s="206"/>
      <c r="AN1573" s="206"/>
      <c r="AO1573" s="206"/>
      <c r="AP1573" s="206"/>
      <c r="AQ1573" s="206"/>
      <c r="AS1573" s="10"/>
      <c r="AT1573" s="25" t="s">
        <v>183</v>
      </c>
      <c r="AU1573" s="41">
        <f>SUM(D1573:G1573)</f>
        <v>97</v>
      </c>
      <c r="AV1573" s="41">
        <f>SUM(H1573:K1573)</f>
        <v>1</v>
      </c>
      <c r="AW1573" s="41">
        <f>SUM(L1573:O1573)</f>
        <v>-29</v>
      </c>
      <c r="AX1573" s="41">
        <f>SUM(P1573:S1573)</f>
        <v>-10</v>
      </c>
      <c r="AY1573" s="41">
        <f>SUM(T1573:W1573)</f>
        <v>0</v>
      </c>
      <c r="AZ1573" s="41">
        <f>SUM(X1573:AA1573)</f>
        <v>0</v>
      </c>
      <c r="BA1573" s="41">
        <f>SUM(AB1573:AE1573)</f>
        <v>0</v>
      </c>
      <c r="BB1573" s="41">
        <f>SUM(AF1573:AI1573)</f>
        <v>0</v>
      </c>
      <c r="BC1573" s="41">
        <v>0</v>
      </c>
      <c r="BD1573" s="41">
        <v>0</v>
      </c>
      <c r="BE1573" s="41">
        <v>0</v>
      </c>
    </row>
    <row r="1574" spans="1:57" x14ac:dyDescent="0.2">
      <c r="C1574" s="9" t="s">
        <v>543</v>
      </c>
      <c r="D1574" s="426">
        <v>-800</v>
      </c>
      <c r="E1574" s="426">
        <v>140</v>
      </c>
      <c r="F1574" s="426">
        <v>-485</v>
      </c>
      <c r="G1574" s="426">
        <v>-301</v>
      </c>
      <c r="H1574" s="426">
        <v>-198</v>
      </c>
      <c r="I1574" s="426">
        <v>293</v>
      </c>
      <c r="J1574" s="426">
        <v>-208</v>
      </c>
      <c r="K1574" s="426">
        <v>-100</v>
      </c>
      <c r="L1574" s="426">
        <v>4</v>
      </c>
      <c r="M1574" s="426">
        <v>-20</v>
      </c>
      <c r="N1574" s="426">
        <v>-228</v>
      </c>
      <c r="O1574" s="426">
        <v>4</v>
      </c>
      <c r="P1574" s="426">
        <v>-47</v>
      </c>
      <c r="Q1574" s="426">
        <v>196</v>
      </c>
      <c r="R1574" s="426">
        <v>127</v>
      </c>
      <c r="S1574" s="426">
        <v>-114</v>
      </c>
      <c r="T1574" s="426">
        <v>0</v>
      </c>
      <c r="U1574" s="426">
        <v>0</v>
      </c>
      <c r="V1574" s="426">
        <v>0</v>
      </c>
      <c r="W1574" s="426">
        <v>0</v>
      </c>
      <c r="X1574" s="426">
        <v>0</v>
      </c>
      <c r="Y1574" s="426">
        <v>0</v>
      </c>
      <c r="Z1574" s="426">
        <v>0</v>
      </c>
      <c r="AA1574" s="426">
        <v>0</v>
      </c>
      <c r="AB1574" s="426">
        <v>0</v>
      </c>
      <c r="AC1574" s="426">
        <v>0</v>
      </c>
      <c r="AD1574" s="426">
        <v>0</v>
      </c>
      <c r="AE1574" s="426">
        <v>0</v>
      </c>
      <c r="AF1574" s="426">
        <v>0</v>
      </c>
      <c r="AG1574" s="426">
        <v>0</v>
      </c>
      <c r="AH1574" s="426">
        <v>0</v>
      </c>
      <c r="AI1574" s="426">
        <v>0</v>
      </c>
      <c r="AJ1574" s="426"/>
      <c r="AK1574" s="426"/>
      <c r="AL1574" s="426"/>
      <c r="AM1574" s="426"/>
      <c r="AN1574" s="426"/>
      <c r="AO1574" s="426"/>
      <c r="AP1574" s="426"/>
      <c r="AQ1574" s="426"/>
      <c r="AS1574" s="10"/>
      <c r="AT1574" s="9" t="s">
        <v>543</v>
      </c>
      <c r="AU1574" s="232">
        <f t="shared" ref="AU1574:BD1574" si="3820">SUM(AU1572:AU1573)</f>
        <v>-1446</v>
      </c>
      <c r="AV1574" s="232">
        <f t="shared" si="3820"/>
        <v>-213</v>
      </c>
      <c r="AW1574" s="232">
        <f t="shared" si="3820"/>
        <v>-240</v>
      </c>
      <c r="AX1574" s="232">
        <f t="shared" si="3820"/>
        <v>162</v>
      </c>
      <c r="AY1574" s="232">
        <f t="shared" si="3820"/>
        <v>0</v>
      </c>
      <c r="AZ1574" s="232">
        <f t="shared" si="3820"/>
        <v>0</v>
      </c>
      <c r="BA1574" s="232">
        <f t="shared" si="3820"/>
        <v>0</v>
      </c>
      <c r="BB1574" s="232">
        <f t="shared" ref="BB1574" si="3821">SUM(BB1572:BB1573)</f>
        <v>0</v>
      </c>
      <c r="BC1574" s="232">
        <f t="shared" si="3820"/>
        <v>0</v>
      </c>
      <c r="BD1574" s="232">
        <f t="shared" si="3820"/>
        <v>0</v>
      </c>
      <c r="BE1574" s="232">
        <f t="shared" ref="BE1574" si="3822">SUM(BE1572:BE1573)</f>
        <v>0</v>
      </c>
    </row>
    <row r="1575" spans="1:57" x14ac:dyDescent="0.2">
      <c r="AA1575" s="1742"/>
      <c r="AS1575" s="10"/>
      <c r="AT1575" s="9"/>
    </row>
    <row r="1576" spans="1:57" x14ac:dyDescent="0.2">
      <c r="AS1576" s="10"/>
      <c r="AT1576" s="9"/>
    </row>
    <row r="1577" spans="1:57" x14ac:dyDescent="0.2">
      <c r="A1577" s="411" t="s">
        <v>194</v>
      </c>
      <c r="B1577" s="13" t="s">
        <v>687</v>
      </c>
      <c r="C1577" s="13"/>
      <c r="D1577" s="14"/>
      <c r="E1577" s="14"/>
      <c r="F1577" s="14"/>
      <c r="G1577" s="14"/>
      <c r="H1577" s="14"/>
      <c r="I1577" s="14"/>
      <c r="J1577" s="14"/>
      <c r="K1577" s="14"/>
      <c r="L1577" s="14"/>
      <c r="M1577" s="14"/>
      <c r="N1577" s="14"/>
      <c r="O1577" s="14"/>
      <c r="P1577" s="14"/>
      <c r="Q1577" s="14"/>
      <c r="R1577" s="14"/>
      <c r="S1577" s="14"/>
      <c r="T1577" s="14"/>
      <c r="U1577" s="14"/>
      <c r="V1577" s="14"/>
      <c r="W1577" s="14"/>
      <c r="X1577" s="14"/>
      <c r="Y1577" s="14"/>
      <c r="Z1577" s="14"/>
      <c r="AA1577" s="14"/>
      <c r="AB1577" s="14"/>
      <c r="AC1577" s="14"/>
      <c r="AD1577" s="14"/>
      <c r="AE1577" s="14"/>
      <c r="AF1577" s="14"/>
      <c r="AG1577" s="14"/>
      <c r="AH1577" s="14"/>
      <c r="AI1577" s="14"/>
      <c r="AJ1577" s="14"/>
      <c r="AK1577" s="14"/>
      <c r="AL1577" s="14"/>
      <c r="AM1577" s="14"/>
      <c r="AN1577" s="14"/>
      <c r="AO1577" s="14"/>
      <c r="AP1577" s="14"/>
      <c r="AQ1577" s="14"/>
      <c r="AS1577" s="13" t="s">
        <v>468</v>
      </c>
      <c r="AT1577" s="13"/>
      <c r="AU1577" s="13"/>
      <c r="AV1577" s="13"/>
      <c r="AW1577" s="13"/>
      <c r="AX1577" s="13"/>
      <c r="AY1577" s="13"/>
      <c r="AZ1577" s="13"/>
      <c r="BA1577" s="13"/>
      <c r="BB1577" s="13"/>
      <c r="BC1577" s="13"/>
      <c r="BD1577" s="13"/>
      <c r="BE1577" s="13"/>
    </row>
    <row r="1578" spans="1:57" x14ac:dyDescent="0.2">
      <c r="Y1578" s="1215"/>
      <c r="AA1578" s="1742"/>
      <c r="AB1578" s="1785"/>
      <c r="AS1578" s="10"/>
      <c r="AT1578" s="9"/>
    </row>
    <row r="1579" spans="1:57" x14ac:dyDescent="0.2">
      <c r="B1579" s="35" t="s">
        <v>842</v>
      </c>
      <c r="D1579" s="96">
        <f t="shared" ref="D1579:AE1579" si="3823">D780</f>
        <v>12215</v>
      </c>
      <c r="E1579" s="96">
        <f t="shared" si="3823"/>
        <v>11993</v>
      </c>
      <c r="F1579" s="96">
        <f t="shared" si="3823"/>
        <v>12095</v>
      </c>
      <c r="G1579" s="96">
        <f t="shared" si="3823"/>
        <v>13733</v>
      </c>
      <c r="H1579" s="96">
        <f t="shared" si="3823"/>
        <v>12288</v>
      </c>
      <c r="I1579" s="96">
        <f t="shared" si="3823"/>
        <v>12149</v>
      </c>
      <c r="J1579" s="96">
        <f t="shared" si="3823"/>
        <v>11679</v>
      </c>
      <c r="K1579" s="96">
        <f t="shared" si="3823"/>
        <v>12292</v>
      </c>
      <c r="L1579" s="96">
        <f t="shared" si="3823"/>
        <v>12149</v>
      </c>
      <c r="M1579" s="96">
        <f t="shared" si="3823"/>
        <v>15521</v>
      </c>
      <c r="N1579" s="96">
        <f t="shared" si="3823"/>
        <v>12955</v>
      </c>
      <c r="O1579" s="96">
        <f t="shared" si="3823"/>
        <v>14426</v>
      </c>
      <c r="P1579" s="96">
        <f t="shared" si="3823"/>
        <v>10884</v>
      </c>
      <c r="Q1579" s="96">
        <f t="shared" si="3823"/>
        <v>10928</v>
      </c>
      <c r="R1579" s="96">
        <f t="shared" si="3823"/>
        <v>10669</v>
      </c>
      <c r="S1579" s="96">
        <f t="shared" si="3823"/>
        <v>11134</v>
      </c>
      <c r="T1579" s="96">
        <f t="shared" si="3823"/>
        <v>10523</v>
      </c>
      <c r="U1579" s="96">
        <f t="shared" si="3823"/>
        <v>10369</v>
      </c>
      <c r="V1579" s="96">
        <f t="shared" si="3823"/>
        <v>10404</v>
      </c>
      <c r="W1579" s="96">
        <f t="shared" si="3823"/>
        <v>10120</v>
      </c>
      <c r="X1579" s="96">
        <f t="shared" si="3823"/>
        <v>10723</v>
      </c>
      <c r="Y1579" s="96">
        <f t="shared" ref="Y1579:Z1579" si="3824">Y780</f>
        <v>10760</v>
      </c>
      <c r="Z1579" s="96">
        <f t="shared" si="3824"/>
        <v>10417</v>
      </c>
      <c r="AA1579" s="96">
        <f t="shared" ref="AA1579:AB1579" si="3825">AA780</f>
        <v>10332</v>
      </c>
      <c r="AB1579" s="96">
        <f t="shared" si="3825"/>
        <v>10925</v>
      </c>
      <c r="AC1579" s="96">
        <f t="shared" si="3823"/>
        <v>10913.303917359419</v>
      </c>
      <c r="AD1579" s="96">
        <f t="shared" si="3823"/>
        <v>10790.647419418166</v>
      </c>
      <c r="AE1579" s="96">
        <f t="shared" si="3823"/>
        <v>10414.00486034228</v>
      </c>
      <c r="AF1579" s="96">
        <f t="shared" ref="AF1579:AI1579" si="3826">AF780</f>
        <v>11148.808772994969</v>
      </c>
      <c r="AG1579" s="96">
        <f t="shared" si="3826"/>
        <v>11062.063471053511</v>
      </c>
      <c r="AH1579" s="96">
        <f t="shared" si="3826"/>
        <v>10984.492873533498</v>
      </c>
      <c r="AI1579" s="96">
        <f t="shared" si="3826"/>
        <v>10609.928618046279</v>
      </c>
      <c r="AJ1579" s="96"/>
      <c r="AK1579" s="96"/>
      <c r="AL1579" s="96"/>
      <c r="AM1579" s="96"/>
      <c r="AN1579" s="96"/>
      <c r="AO1579" s="96"/>
      <c r="AP1579" s="96"/>
      <c r="AQ1579" s="96"/>
      <c r="AS1579" s="35" t="s">
        <v>842</v>
      </c>
      <c r="AU1579" s="96">
        <f t="shared" ref="AU1579:BD1579" si="3827">AU780</f>
        <v>50036</v>
      </c>
      <c r="AV1579" s="96">
        <f t="shared" si="3827"/>
        <v>48408</v>
      </c>
      <c r="AW1579" s="96">
        <f t="shared" si="3827"/>
        <v>55051</v>
      </c>
      <c r="AX1579" s="96">
        <f t="shared" si="3827"/>
        <v>43615</v>
      </c>
      <c r="AY1579" s="96">
        <f t="shared" si="3827"/>
        <v>41416</v>
      </c>
      <c r="AZ1579" s="96">
        <f t="shared" si="3827"/>
        <v>42232</v>
      </c>
      <c r="BA1579" s="96">
        <f t="shared" si="3827"/>
        <v>43042.956197119871</v>
      </c>
      <c r="BB1579" s="96">
        <f t="shared" ref="BB1579" si="3828">BB780</f>
        <v>43805.293735628256</v>
      </c>
      <c r="BC1579" s="96">
        <f t="shared" si="3827"/>
        <v>44792.393688997246</v>
      </c>
      <c r="BD1579" s="96">
        <f t="shared" si="3827"/>
        <v>46210.09998873213</v>
      </c>
      <c r="BE1579" s="96">
        <f t="shared" ref="BE1579" si="3829">BE780</f>
        <v>48026.605231929374</v>
      </c>
    </row>
    <row r="1580" spans="1:57" x14ac:dyDescent="0.2">
      <c r="B1580" s="65"/>
      <c r="D1580" s="96"/>
      <c r="E1580" s="96"/>
      <c r="F1580" s="96"/>
      <c r="G1580" s="96"/>
      <c r="H1580" s="96"/>
      <c r="I1580" s="96"/>
      <c r="J1580" s="96"/>
      <c r="K1580" s="96"/>
      <c r="L1580" s="96"/>
      <c r="M1580" s="96"/>
      <c r="N1580" s="96"/>
      <c r="O1580" s="96"/>
      <c r="P1580" s="96"/>
      <c r="Q1580" s="96"/>
      <c r="R1580" s="96"/>
      <c r="S1580" s="96"/>
      <c r="T1580" s="96"/>
      <c r="U1580" s="96"/>
      <c r="V1580" s="96"/>
      <c r="W1580" s="96"/>
      <c r="X1580" s="96"/>
      <c r="Y1580" s="96"/>
      <c r="Z1580" s="96"/>
      <c r="AA1580" s="96"/>
      <c r="AB1580" s="96"/>
      <c r="AC1580" s="96"/>
      <c r="AD1580" s="96"/>
      <c r="AE1580" s="96"/>
      <c r="AF1580" s="96"/>
      <c r="AG1580" s="96"/>
      <c r="AH1580" s="96"/>
      <c r="AI1580" s="96"/>
      <c r="AJ1580" s="96"/>
      <c r="AK1580" s="96"/>
      <c r="AL1580" s="96"/>
      <c r="AM1580" s="96"/>
      <c r="AN1580" s="96"/>
      <c r="AO1580" s="96"/>
      <c r="AP1580" s="96"/>
      <c r="AQ1580" s="96"/>
      <c r="AS1580" s="65"/>
      <c r="AU1580" s="96"/>
      <c r="AV1580" s="96"/>
      <c r="AW1580" s="96"/>
      <c r="AX1580" s="96"/>
      <c r="AY1580" s="96"/>
      <c r="AZ1580" s="96"/>
      <c r="BA1580" s="96"/>
      <c r="BB1580" s="96"/>
      <c r="BC1580" s="96"/>
      <c r="BD1580" s="96"/>
      <c r="BE1580" s="96"/>
    </row>
    <row r="1581" spans="1:57" x14ac:dyDescent="0.2">
      <c r="B1581" s="35" t="s">
        <v>688</v>
      </c>
      <c r="D1581" s="118">
        <v>545</v>
      </c>
      <c r="E1581" s="118">
        <v>480</v>
      </c>
      <c r="F1581" s="118">
        <v>529</v>
      </c>
      <c r="G1581" s="118">
        <v>1286</v>
      </c>
      <c r="H1581" s="118">
        <v>710</v>
      </c>
      <c r="I1581" s="118">
        <v>832</v>
      </c>
      <c r="J1581" s="118">
        <v>677</v>
      </c>
      <c r="K1581" s="118">
        <v>809</v>
      </c>
      <c r="L1581" s="118">
        <v>945</v>
      </c>
      <c r="M1581" s="118">
        <v>4151</v>
      </c>
      <c r="N1581" s="118">
        <v>1551</v>
      </c>
      <c r="O1581" s="118">
        <v>2851</v>
      </c>
      <c r="P1581" s="118">
        <v>388</v>
      </c>
      <c r="Q1581" s="118">
        <v>360</v>
      </c>
      <c r="R1581" s="118">
        <v>376</v>
      </c>
      <c r="S1581" s="118">
        <v>411</v>
      </c>
      <c r="T1581" s="118">
        <v>166</v>
      </c>
      <c r="U1581" s="118">
        <v>325</v>
      </c>
      <c r="V1581" s="118">
        <v>306</v>
      </c>
      <c r="W1581" s="118">
        <v>280</v>
      </c>
      <c r="X1581" s="848">
        <v>250</v>
      </c>
      <c r="Y1581" s="848">
        <v>250</v>
      </c>
      <c r="Z1581" s="848">
        <v>250</v>
      </c>
      <c r="AA1581" s="848">
        <v>250</v>
      </c>
      <c r="AB1581" s="848">
        <v>250</v>
      </c>
      <c r="AC1581" s="348">
        <f>Drivers!AC296</f>
        <v>250</v>
      </c>
      <c r="AD1581" s="348">
        <f>Drivers!AD296</f>
        <v>250</v>
      </c>
      <c r="AE1581" s="348">
        <f>Drivers!AE296</f>
        <v>250</v>
      </c>
      <c r="AF1581" s="348">
        <f>Drivers!AF296</f>
        <v>250</v>
      </c>
      <c r="AG1581" s="348">
        <f>Drivers!AG296</f>
        <v>250</v>
      </c>
      <c r="AH1581" s="348">
        <f>Drivers!AH296</f>
        <v>250</v>
      </c>
      <c r="AI1581" s="348">
        <f>Drivers!AI296</f>
        <v>250</v>
      </c>
      <c r="AJ1581" s="348"/>
      <c r="AK1581" s="348"/>
      <c r="AL1581" s="348"/>
      <c r="AM1581" s="348"/>
      <c r="AN1581" s="348"/>
      <c r="AO1581" s="348"/>
      <c r="AP1581" s="348"/>
      <c r="AQ1581" s="348"/>
      <c r="AS1581" s="35" t="s">
        <v>688</v>
      </c>
      <c r="AT1581" s="9"/>
      <c r="AU1581" s="232">
        <f>SUM(D1581:G1581)</f>
        <v>2840</v>
      </c>
      <c r="AV1581" s="232">
        <f>SUM(H1581:K1581)</f>
        <v>3028</v>
      </c>
      <c r="AW1581" s="232">
        <f>SUM(L1581:O1581)</f>
        <v>9498</v>
      </c>
      <c r="AX1581" s="232">
        <f>SUM(P1581:S1581)</f>
        <v>1535</v>
      </c>
      <c r="AY1581" s="232">
        <f>SUM(T1581:W1581)</f>
        <v>1077</v>
      </c>
      <c r="AZ1581" s="232">
        <f>SUM(X1581:AA1581)</f>
        <v>1000</v>
      </c>
      <c r="BA1581" s="232">
        <f>SUM(AB1581:AE1581)</f>
        <v>1000</v>
      </c>
      <c r="BB1581" s="232">
        <f>SUM(AF1581:AI1581)</f>
        <v>1000</v>
      </c>
      <c r="BC1581" s="348">
        <f>Drivers!BC296</f>
        <v>1000</v>
      </c>
      <c r="BD1581" s="348">
        <f>Drivers!BD296</f>
        <v>1000</v>
      </c>
      <c r="BE1581" s="348">
        <f>Drivers!BE296</f>
        <v>1000</v>
      </c>
    </row>
    <row r="1582" spans="1:57" x14ac:dyDescent="0.2">
      <c r="C1582" s="9" t="s">
        <v>689</v>
      </c>
      <c r="D1582" s="26">
        <f t="shared" ref="D1582:AE1582" si="3830">D1581/D755</f>
        <v>4.5991561181434597E-2</v>
      </c>
      <c r="E1582" s="26">
        <f t="shared" si="3830"/>
        <v>4.152608357124319E-2</v>
      </c>
      <c r="F1582" s="26">
        <f t="shared" si="3830"/>
        <v>4.4528619528619529E-2</v>
      </c>
      <c r="G1582" s="26">
        <f t="shared" si="3830"/>
        <v>0.10673084903311478</v>
      </c>
      <c r="H1582" s="26">
        <f t="shared" si="3830"/>
        <v>6.0389555158628899E-2</v>
      </c>
      <c r="I1582" s="26">
        <f t="shared" si="3830"/>
        <v>7.0365358592692828E-2</v>
      </c>
      <c r="J1582" s="26">
        <f t="shared" si="3830"/>
        <v>5.8181505672052249E-2</v>
      </c>
      <c r="K1582" s="26">
        <f t="shared" si="3830"/>
        <v>6.687608497974705E-2</v>
      </c>
      <c r="L1582" s="26">
        <f t="shared" si="3830"/>
        <v>7.949861192899807E-2</v>
      </c>
      <c r="M1582" s="26">
        <f t="shared" si="3830"/>
        <v>0.34399602220933123</v>
      </c>
      <c r="N1582" s="26">
        <f t="shared" si="3830"/>
        <v>0.12598489156039314</v>
      </c>
      <c r="O1582" s="26">
        <f t="shared" si="3830"/>
        <v>0.23321063394683025</v>
      </c>
      <c r="P1582" s="26">
        <f t="shared" si="3830"/>
        <v>3.3176571184266777E-2</v>
      </c>
      <c r="Q1582" s="26">
        <f t="shared" si="3830"/>
        <v>3.0128044187798141E-2</v>
      </c>
      <c r="R1582" s="26">
        <f t="shared" si="3830"/>
        <v>3.1625872655395744E-2</v>
      </c>
      <c r="S1582" s="26">
        <f t="shared" si="3830"/>
        <v>3.545854542317315E-2</v>
      </c>
      <c r="T1582" s="26">
        <f t="shared" si="3830"/>
        <v>1.463070685704213E-2</v>
      </c>
      <c r="U1582" s="26">
        <f t="shared" si="3830"/>
        <v>2.8631838604528236E-2</v>
      </c>
      <c r="V1582" s="26">
        <f t="shared" si="3830"/>
        <v>2.6395238505994997E-2</v>
      </c>
      <c r="W1582" s="26">
        <f t="shared" si="3830"/>
        <v>2.483370288248337E-2</v>
      </c>
      <c r="X1582" s="26">
        <f t="shared" si="3830"/>
        <v>2.2567250406210507E-2</v>
      </c>
      <c r="Y1582" s="26">
        <f t="shared" ref="Y1582:Z1582" si="3831">Y1581/Y755</f>
        <v>2.1968365553602813E-2</v>
      </c>
      <c r="Z1582" s="26">
        <f t="shared" si="3831"/>
        <v>2.1444501629782124E-2</v>
      </c>
      <c r="AA1582" s="26">
        <f t="shared" ref="AA1582:AB1582" si="3832">AA1581/AA755</f>
        <v>2.1851236780001747E-2</v>
      </c>
      <c r="AB1582" s="26">
        <f t="shared" si="3832"/>
        <v>2.2249911000355997E-2</v>
      </c>
      <c r="AC1582" s="26">
        <f t="shared" si="3830"/>
        <v>2.1802469851940478E-2</v>
      </c>
      <c r="AD1582" s="26">
        <f t="shared" si="3830"/>
        <v>2.1091637873173814E-2</v>
      </c>
      <c r="AE1582" s="26">
        <f t="shared" si="3830"/>
        <v>2.0562252926375715E-2</v>
      </c>
      <c r="AF1582" s="26">
        <f t="shared" ref="AF1582:AI1582" si="3833">AF1581/AF755</f>
        <v>2.080738559590813E-2</v>
      </c>
      <c r="AG1582" s="26">
        <f t="shared" si="3833"/>
        <v>2.0227037941300832E-2</v>
      </c>
      <c r="AH1582" s="26">
        <f t="shared" si="3833"/>
        <v>1.9461490113973204E-2</v>
      </c>
      <c r="AI1582" s="26">
        <f t="shared" si="3833"/>
        <v>1.8923813097891696E-2</v>
      </c>
      <c r="AJ1582" s="26"/>
      <c r="AK1582" s="26"/>
      <c r="AL1582" s="26"/>
      <c r="AM1582" s="26"/>
      <c r="AN1582" s="26"/>
      <c r="AO1582" s="26"/>
      <c r="AP1582" s="26"/>
      <c r="AQ1582" s="26"/>
      <c r="AS1582" s="10"/>
      <c r="AT1582" s="9" t="s">
        <v>689</v>
      </c>
      <c r="AU1582" s="26">
        <f t="shared" ref="AU1582:BD1582" si="3834">AU1581/AU755</f>
        <v>5.9994085090202376E-2</v>
      </c>
      <c r="AV1582" s="26">
        <f t="shared" si="3834"/>
        <v>6.3997971002240348E-2</v>
      </c>
      <c r="AW1582" s="26">
        <f t="shared" si="3834"/>
        <v>0.19587543823468756</v>
      </c>
      <c r="AX1582" s="26">
        <f t="shared" si="3834"/>
        <v>3.2573635514811988E-2</v>
      </c>
      <c r="AY1582" s="26">
        <f t="shared" si="3834"/>
        <v>2.3636563151541754E-2</v>
      </c>
      <c r="AZ1582" s="26">
        <f t="shared" si="3834"/>
        <v>2.1950523519985953E-2</v>
      </c>
      <c r="BA1582" s="26">
        <f t="shared" si="3834"/>
        <v>2.1406936526727174E-2</v>
      </c>
      <c r="BB1582" s="26">
        <f t="shared" ref="BB1582" si="3835">BB1581/BB755</f>
        <v>1.9828912793408565E-2</v>
      </c>
      <c r="BC1582" s="26">
        <f t="shared" si="3834"/>
        <v>1.8632980221362727E-2</v>
      </c>
      <c r="BD1582" s="26">
        <f t="shared" si="3834"/>
        <v>1.7603550138000475E-2</v>
      </c>
      <c r="BE1582" s="26">
        <f t="shared" ref="BE1582" si="3836">BE1581/BE755</f>
        <v>1.6720699068459809E-2</v>
      </c>
    </row>
    <row r="1583" spans="1:57" x14ac:dyDescent="0.2">
      <c r="Y1583" s="1215"/>
      <c r="Z1583" s="1688"/>
      <c r="AA1583" s="1742"/>
      <c r="AB1583" s="1785"/>
      <c r="AS1583" s="10"/>
      <c r="AT1583" s="9"/>
      <c r="BC1583" s="9"/>
      <c r="BD1583" s="1704"/>
      <c r="BE1583" s="1702"/>
    </row>
    <row r="1584" spans="1:57" x14ac:dyDescent="0.2">
      <c r="B1584" s="35" t="s">
        <v>844</v>
      </c>
      <c r="C1584" s="70"/>
      <c r="D1584" s="426">
        <v>66</v>
      </c>
      <c r="E1584" s="426">
        <v>187</v>
      </c>
      <c r="F1584" s="426">
        <v>94</v>
      </c>
      <c r="G1584" s="426">
        <v>1028</v>
      </c>
      <c r="H1584" s="426">
        <v>148</v>
      </c>
      <c r="I1584" s="426">
        <v>75</v>
      </c>
      <c r="J1584" s="426">
        <v>133</v>
      </c>
      <c r="K1584" s="426">
        <v>234</v>
      </c>
      <c r="L1584" s="426">
        <v>211</v>
      </c>
      <c r="M1584" s="426">
        <v>397</v>
      </c>
      <c r="N1584" s="426">
        <v>382</v>
      </c>
      <c r="O1584" s="426">
        <v>655</v>
      </c>
      <c r="P1584" s="426">
        <v>16</v>
      </c>
      <c r="Q1584" s="426">
        <v>61</v>
      </c>
      <c r="R1584" s="426">
        <v>82</v>
      </c>
      <c r="S1584" s="426">
        <v>313</v>
      </c>
      <c r="T1584" s="426">
        <v>491</v>
      </c>
      <c r="U1584" s="426">
        <v>126</v>
      </c>
      <c r="V1584" s="426">
        <v>96</v>
      </c>
      <c r="W1584" s="426">
        <v>102</v>
      </c>
      <c r="X1584" s="848">
        <v>0</v>
      </c>
      <c r="Y1584" s="848">
        <v>0</v>
      </c>
      <c r="Z1584" s="848">
        <v>0</v>
      </c>
      <c r="AA1584" s="848">
        <v>0</v>
      </c>
      <c r="AB1584" s="848">
        <v>0</v>
      </c>
      <c r="AC1584" s="37">
        <f t="shared" ref="AC1584:AE1584" si="3837">AC1588*AC755</f>
        <v>0</v>
      </c>
      <c r="AD1584" s="37">
        <f t="shared" si="3837"/>
        <v>0</v>
      </c>
      <c r="AE1584" s="37">
        <f t="shared" si="3837"/>
        <v>0</v>
      </c>
      <c r="AF1584" s="37">
        <f t="shared" ref="AF1584:AI1584" si="3838">AF1588*AF755</f>
        <v>0</v>
      </c>
      <c r="AG1584" s="37">
        <f t="shared" si="3838"/>
        <v>0</v>
      </c>
      <c r="AH1584" s="37">
        <f t="shared" si="3838"/>
        <v>0</v>
      </c>
      <c r="AI1584" s="37">
        <f t="shared" si="3838"/>
        <v>0</v>
      </c>
      <c r="AJ1584" s="37"/>
      <c r="AK1584" s="37"/>
      <c r="AL1584" s="37"/>
      <c r="AM1584" s="37"/>
      <c r="AN1584" s="37"/>
      <c r="AO1584" s="37"/>
      <c r="AP1584" s="37"/>
      <c r="AQ1584" s="37"/>
      <c r="AS1584" s="9" t="s">
        <v>81</v>
      </c>
      <c r="AU1584" s="232">
        <f>SUM(D1584:G1584)</f>
        <v>1375</v>
      </c>
      <c r="AV1584" s="232">
        <f>SUM(H1584:K1584)</f>
        <v>590</v>
      </c>
      <c r="AW1584" s="232">
        <f>SUM(L1584:O1584)</f>
        <v>1645</v>
      </c>
      <c r="AX1584" s="232">
        <f>SUM(P1584:S1584)</f>
        <v>472</v>
      </c>
      <c r="AY1584" s="232">
        <f>SUM(T1584:W1584)</f>
        <v>815</v>
      </c>
      <c r="AZ1584" s="232">
        <f>SUM(X1584:AA1584)</f>
        <v>0</v>
      </c>
      <c r="BA1584" s="232">
        <f>SUM(AB1584:AE1584)</f>
        <v>0</v>
      </c>
      <c r="BB1584" s="232">
        <f>SUM(AF1584:AI1584)</f>
        <v>0</v>
      </c>
      <c r="BC1584" s="348">
        <f>BC1588*BC755</f>
        <v>0</v>
      </c>
      <c r="BD1584" s="348">
        <f>BD1588*BD755</f>
        <v>0</v>
      </c>
      <c r="BE1584" s="348">
        <f>BE1588*BE755</f>
        <v>0</v>
      </c>
    </row>
    <row r="1585" spans="1:70" x14ac:dyDescent="0.2">
      <c r="C1585" s="9" t="s">
        <v>839</v>
      </c>
      <c r="D1585" s="33">
        <f>D1584-D1586</f>
        <v>63</v>
      </c>
      <c r="E1585" s="33">
        <f t="shared" ref="E1585:W1585" si="3839">E1584-E1586</f>
        <v>185</v>
      </c>
      <c r="F1585" s="33">
        <f t="shared" si="3839"/>
        <v>81</v>
      </c>
      <c r="G1585" s="33">
        <f t="shared" si="3839"/>
        <v>951</v>
      </c>
      <c r="H1585" s="33">
        <f t="shared" si="3839"/>
        <v>140</v>
      </c>
      <c r="I1585" s="33">
        <f t="shared" si="3839"/>
        <v>72</v>
      </c>
      <c r="J1585" s="33">
        <f t="shared" si="3839"/>
        <v>130</v>
      </c>
      <c r="K1585" s="33">
        <f t="shared" si="3839"/>
        <v>204</v>
      </c>
      <c r="L1585" s="33">
        <f t="shared" si="3839"/>
        <v>191</v>
      </c>
      <c r="M1585" s="33">
        <f t="shared" si="3839"/>
        <v>376</v>
      </c>
      <c r="N1585" s="33">
        <f t="shared" si="3839"/>
        <v>373</v>
      </c>
      <c r="O1585" s="33">
        <f t="shared" si="3839"/>
        <v>554</v>
      </c>
      <c r="P1585" s="33">
        <f t="shared" si="3839"/>
        <v>1</v>
      </c>
      <c r="Q1585" s="33">
        <f t="shared" si="3839"/>
        <v>34</v>
      </c>
      <c r="R1585" s="33">
        <f t="shared" si="3839"/>
        <v>41</v>
      </c>
      <c r="S1585" s="33">
        <f t="shared" si="3839"/>
        <v>202</v>
      </c>
      <c r="T1585" s="33">
        <f t="shared" si="3839"/>
        <v>394</v>
      </c>
      <c r="U1585" s="33">
        <f t="shared" si="3839"/>
        <v>102</v>
      </c>
      <c r="V1585" s="33">
        <f t="shared" si="3839"/>
        <v>77</v>
      </c>
      <c r="W1585" s="33">
        <f t="shared" si="3839"/>
        <v>109</v>
      </c>
      <c r="X1585" s="33">
        <f>X1584-X1586</f>
        <v>0</v>
      </c>
      <c r="Y1585" s="33">
        <f>Y1584-Y1586</f>
        <v>0</v>
      </c>
      <c r="Z1585" s="33">
        <f>Z1584-Z1586</f>
        <v>0</v>
      </c>
      <c r="AA1585" s="33">
        <f>AA1584-AA1586</f>
        <v>0</v>
      </c>
      <c r="AB1585" s="33">
        <f>AB1584-AB1586</f>
        <v>0</v>
      </c>
      <c r="AC1585" s="144" t="s">
        <v>229</v>
      </c>
      <c r="AD1585" s="144" t="s">
        <v>229</v>
      </c>
      <c r="AE1585" s="144" t="s">
        <v>229</v>
      </c>
      <c r="AF1585" s="144" t="s">
        <v>229</v>
      </c>
      <c r="AG1585" s="144" t="s">
        <v>229</v>
      </c>
      <c r="AH1585" s="144" t="s">
        <v>229</v>
      </c>
      <c r="AI1585" s="144" t="s">
        <v>229</v>
      </c>
      <c r="AJ1585" s="144"/>
      <c r="AK1585" s="144"/>
      <c r="AL1585" s="144"/>
      <c r="AM1585" s="144"/>
      <c r="AN1585" s="144"/>
      <c r="AO1585" s="144"/>
      <c r="AP1585" s="144"/>
      <c r="AQ1585" s="144"/>
      <c r="AS1585" s="10"/>
      <c r="AT1585" s="9" t="s">
        <v>839</v>
      </c>
      <c r="AU1585" s="232">
        <f>SUM(D1585:G1585)</f>
        <v>1280</v>
      </c>
      <c r="AV1585" s="232">
        <f>SUM(H1585:K1585)</f>
        <v>546</v>
      </c>
      <c r="AW1585" s="232">
        <f>SUM(L1585:O1585)</f>
        <v>1494</v>
      </c>
      <c r="AX1585" s="232">
        <f>SUM(P1585:S1585)</f>
        <v>278</v>
      </c>
      <c r="AY1585" s="232">
        <f>SUM(T1585:W1585)</f>
        <v>682</v>
      </c>
      <c r="AZ1585" s="252" t="s">
        <v>229</v>
      </c>
      <c r="BA1585" s="252" t="s">
        <v>229</v>
      </c>
      <c r="BB1585" s="252" t="s">
        <v>229</v>
      </c>
      <c r="BC1585" s="252" t="s">
        <v>229</v>
      </c>
      <c r="BD1585" s="252" t="s">
        <v>229</v>
      </c>
      <c r="BE1585" s="252" t="s">
        <v>229</v>
      </c>
    </row>
    <row r="1586" spans="1:70" x14ac:dyDescent="0.2">
      <c r="C1586" s="9" t="s">
        <v>840</v>
      </c>
      <c r="D1586" s="426">
        <v>3</v>
      </c>
      <c r="E1586" s="426">
        <v>2</v>
      </c>
      <c r="F1586" s="426">
        <v>13</v>
      </c>
      <c r="G1586" s="426">
        <v>77</v>
      </c>
      <c r="H1586" s="426">
        <v>8</v>
      </c>
      <c r="I1586" s="426">
        <v>3</v>
      </c>
      <c r="J1586" s="426">
        <v>3</v>
      </c>
      <c r="K1586" s="426">
        <v>30</v>
      </c>
      <c r="L1586" s="426">
        <v>20</v>
      </c>
      <c r="M1586" s="426">
        <v>21</v>
      </c>
      <c r="N1586" s="426">
        <v>9</v>
      </c>
      <c r="O1586" s="426">
        <v>101</v>
      </c>
      <c r="P1586" s="426">
        <v>15</v>
      </c>
      <c r="Q1586" s="426">
        <v>27</v>
      </c>
      <c r="R1586" s="426">
        <v>41</v>
      </c>
      <c r="S1586" s="426">
        <v>111</v>
      </c>
      <c r="T1586" s="426">
        <v>97</v>
      </c>
      <c r="U1586" s="426">
        <v>24</v>
      </c>
      <c r="V1586" s="426">
        <v>19</v>
      </c>
      <c r="W1586" s="426">
        <v>-7</v>
      </c>
      <c r="X1586" s="848">
        <v>0</v>
      </c>
      <c r="Y1586" s="848">
        <v>0</v>
      </c>
      <c r="Z1586" s="848">
        <v>0</v>
      </c>
      <c r="AA1586" s="848">
        <v>0</v>
      </c>
      <c r="AB1586" s="848">
        <v>0</v>
      </c>
      <c r="AC1586" s="144" t="s">
        <v>229</v>
      </c>
      <c r="AD1586" s="144" t="s">
        <v>229</v>
      </c>
      <c r="AE1586" s="144" t="s">
        <v>229</v>
      </c>
      <c r="AF1586" s="144" t="s">
        <v>229</v>
      </c>
      <c r="AG1586" s="144" t="s">
        <v>229</v>
      </c>
      <c r="AH1586" s="144" t="s">
        <v>229</v>
      </c>
      <c r="AI1586" s="144" t="s">
        <v>229</v>
      </c>
      <c r="AJ1586" s="144"/>
      <c r="AK1586" s="144"/>
      <c r="AL1586" s="144"/>
      <c r="AM1586" s="144"/>
      <c r="AN1586" s="144"/>
      <c r="AO1586" s="144"/>
      <c r="AP1586" s="144"/>
      <c r="AQ1586" s="144"/>
      <c r="AS1586" s="10"/>
      <c r="AT1586" s="9" t="s">
        <v>840</v>
      </c>
      <c r="AU1586" s="232">
        <f>SUM(D1586:G1586)</f>
        <v>95</v>
      </c>
      <c r="AV1586" s="232">
        <f>SUM(H1586:K1586)</f>
        <v>44</v>
      </c>
      <c r="AW1586" s="232">
        <f>SUM(L1586:O1586)</f>
        <v>151</v>
      </c>
      <c r="AX1586" s="232">
        <f>SUM(P1586:S1586)</f>
        <v>194</v>
      </c>
      <c r="AY1586" s="232">
        <f>SUM(T1586:W1586)</f>
        <v>133</v>
      </c>
      <c r="AZ1586" s="252" t="s">
        <v>229</v>
      </c>
      <c r="BA1586" s="252" t="s">
        <v>229</v>
      </c>
      <c r="BB1586" s="252" t="s">
        <v>229</v>
      </c>
      <c r="BC1586" s="252" t="s">
        <v>229</v>
      </c>
      <c r="BD1586" s="252" t="s">
        <v>229</v>
      </c>
      <c r="BE1586" s="252" t="s">
        <v>229</v>
      </c>
    </row>
    <row r="1587" spans="1:70" x14ac:dyDescent="0.2">
      <c r="D1587" s="426"/>
      <c r="E1587" s="426"/>
      <c r="F1587" s="426"/>
      <c r="G1587" s="426"/>
      <c r="H1587" s="426"/>
      <c r="I1587" s="426"/>
      <c r="J1587" s="426"/>
      <c r="K1587" s="426"/>
      <c r="L1587" s="426"/>
      <c r="M1587" s="426"/>
      <c r="N1587" s="426"/>
      <c r="O1587" s="426"/>
      <c r="P1587" s="426"/>
      <c r="Q1587" s="426"/>
      <c r="R1587" s="426"/>
      <c r="S1587" s="426"/>
      <c r="T1587" s="426"/>
      <c r="U1587" s="426"/>
      <c r="V1587" s="426"/>
      <c r="W1587" s="426"/>
      <c r="X1587" s="426"/>
      <c r="Y1587" s="426"/>
      <c r="Z1587" s="426"/>
      <c r="AA1587" s="426"/>
      <c r="AB1587" s="426"/>
      <c r="AC1587" s="144"/>
      <c r="AD1587" s="144"/>
      <c r="AE1587" s="144"/>
      <c r="AF1587" s="144"/>
      <c r="AG1587" s="144"/>
      <c r="AH1587" s="144"/>
      <c r="AI1587" s="144"/>
      <c r="AJ1587" s="144"/>
      <c r="AK1587" s="144"/>
      <c r="AL1587" s="144"/>
      <c r="AM1587" s="144"/>
      <c r="AN1587" s="144"/>
      <c r="AO1587" s="144"/>
      <c r="AP1587" s="144"/>
      <c r="AQ1587" s="144"/>
      <c r="AS1587" s="10"/>
      <c r="AT1587" s="9"/>
      <c r="AU1587" s="232"/>
      <c r="AV1587" s="232"/>
      <c r="AW1587" s="232"/>
      <c r="AX1587" s="232"/>
      <c r="AY1587" s="232"/>
      <c r="AZ1587" s="252"/>
      <c r="BA1587" s="252"/>
      <c r="BB1587" s="252"/>
      <c r="BC1587" s="252"/>
      <c r="BD1587" s="252"/>
      <c r="BE1587" s="252"/>
    </row>
    <row r="1588" spans="1:70" x14ac:dyDescent="0.2">
      <c r="C1588" s="9" t="s">
        <v>841</v>
      </c>
      <c r="D1588" s="26">
        <f t="shared" ref="D1588:X1588" si="3840">D1584/D$755</f>
        <v>5.569620253164557E-3</v>
      </c>
      <c r="E1588" s="26">
        <f t="shared" si="3840"/>
        <v>1.6177870057963492E-2</v>
      </c>
      <c r="F1588" s="26">
        <f t="shared" si="3840"/>
        <v>7.9124579124579125E-3</v>
      </c>
      <c r="G1588" s="26">
        <f t="shared" si="3840"/>
        <v>8.5318283674993778E-2</v>
      </c>
      <c r="H1588" s="26">
        <f t="shared" si="3840"/>
        <v>1.258824530067194E-2</v>
      </c>
      <c r="I1588" s="26">
        <f t="shared" si="3840"/>
        <v>6.3430311231393779E-3</v>
      </c>
      <c r="J1588" s="26">
        <f t="shared" si="3840"/>
        <v>1.1430044688896529E-2</v>
      </c>
      <c r="K1588" s="26">
        <f t="shared" si="3840"/>
        <v>1.9343638918740184E-2</v>
      </c>
      <c r="L1588" s="26">
        <f t="shared" si="3840"/>
        <v>1.7750483721712795E-2</v>
      </c>
      <c r="M1588" s="26">
        <f t="shared" si="3840"/>
        <v>3.2899643656252586E-2</v>
      </c>
      <c r="N1588" s="26">
        <f t="shared" si="3840"/>
        <v>3.102916091300463E-2</v>
      </c>
      <c r="O1588" s="26">
        <f t="shared" si="3840"/>
        <v>5.3578732106339469E-2</v>
      </c>
      <c r="P1588" s="26">
        <f t="shared" si="3840"/>
        <v>1.3681060282171868E-3</v>
      </c>
      <c r="Q1588" s="26">
        <f t="shared" si="3840"/>
        <v>5.10502970959913E-3</v>
      </c>
      <c r="R1588" s="26">
        <f t="shared" si="3840"/>
        <v>6.8971318025065186E-3</v>
      </c>
      <c r="S1588" s="26">
        <f t="shared" si="3840"/>
        <v>2.7003709774825295E-2</v>
      </c>
      <c r="T1588" s="26">
        <f t="shared" si="3840"/>
        <v>4.3275163053058348E-2</v>
      </c>
      <c r="U1588" s="26">
        <f t="shared" si="3840"/>
        <v>1.1100343582063254E-2</v>
      </c>
      <c r="V1588" s="26">
        <f t="shared" si="3840"/>
        <v>8.2808591391356854E-3</v>
      </c>
      <c r="W1588" s="26">
        <f t="shared" si="3840"/>
        <v>9.0465631929046563E-3</v>
      </c>
      <c r="X1588" s="26">
        <f t="shared" si="3840"/>
        <v>0</v>
      </c>
      <c r="Y1588" s="26">
        <f t="shared" ref="Y1588:Z1588" si="3841">Y1584/Y$755</f>
        <v>0</v>
      </c>
      <c r="Z1588" s="26">
        <f t="shared" si="3841"/>
        <v>0</v>
      </c>
      <c r="AA1588" s="26">
        <f t="shared" ref="AA1588:AB1588" si="3842">AA1584/AA$755</f>
        <v>0</v>
      </c>
      <c r="AB1588" s="26">
        <f t="shared" si="3842"/>
        <v>0</v>
      </c>
      <c r="AC1588" s="349">
        <f>Drivers!AC298</f>
        <v>0</v>
      </c>
      <c r="AD1588" s="349">
        <f>Drivers!AD298</f>
        <v>0</v>
      </c>
      <c r="AE1588" s="349">
        <f>Drivers!AE298</f>
        <v>0</v>
      </c>
      <c r="AF1588" s="349">
        <f>Drivers!AF298</f>
        <v>0</v>
      </c>
      <c r="AG1588" s="349">
        <f>Drivers!AG298</f>
        <v>0</v>
      </c>
      <c r="AH1588" s="349">
        <f>Drivers!AH298</f>
        <v>0</v>
      </c>
      <c r="AI1588" s="349">
        <f>Drivers!AI298</f>
        <v>0</v>
      </c>
      <c r="AJ1588" s="349"/>
      <c r="AK1588" s="349"/>
      <c r="AL1588" s="349"/>
      <c r="AM1588" s="349"/>
      <c r="AN1588" s="349"/>
      <c r="AO1588" s="349"/>
      <c r="AP1588" s="349"/>
      <c r="AQ1588" s="349"/>
      <c r="AS1588" s="10"/>
      <c r="AT1588" s="9" t="s">
        <v>841</v>
      </c>
      <c r="AU1588" s="26">
        <f t="shared" ref="AU1588:BA1588" si="3843">AU1584/AU$755</f>
        <v>2.904643204191136E-2</v>
      </c>
      <c r="AV1588" s="26">
        <f t="shared" si="3843"/>
        <v>1.246988206450522E-2</v>
      </c>
      <c r="AW1588" s="26">
        <f t="shared" si="3843"/>
        <v>3.392452051969478E-2</v>
      </c>
      <c r="AX1588" s="26">
        <f t="shared" si="3843"/>
        <v>1.0016127663186486E-2</v>
      </c>
      <c r="AY1588" s="26">
        <f t="shared" si="3843"/>
        <v>1.7886535718204762E-2</v>
      </c>
      <c r="AZ1588" s="26">
        <f t="shared" si="3843"/>
        <v>0</v>
      </c>
      <c r="BA1588" s="26">
        <f t="shared" si="3843"/>
        <v>0</v>
      </c>
      <c r="BB1588" s="26">
        <f t="shared" ref="BB1588" si="3844">BB1584/BB$755</f>
        <v>0</v>
      </c>
      <c r="BC1588" s="349">
        <f>Drivers!BC298</f>
        <v>0</v>
      </c>
      <c r="BD1588" s="349">
        <f>Drivers!BD298</f>
        <v>0</v>
      </c>
      <c r="BE1588" s="349">
        <f>Drivers!BE298</f>
        <v>0</v>
      </c>
    </row>
    <row r="1589" spans="1:70" x14ac:dyDescent="0.2">
      <c r="D1589" s="26"/>
      <c r="E1589" s="26"/>
      <c r="F1589" s="26"/>
      <c r="G1589" s="26"/>
      <c r="H1589" s="26"/>
      <c r="I1589" s="26"/>
      <c r="J1589" s="26"/>
      <c r="K1589" s="26"/>
      <c r="L1589" s="26"/>
      <c r="M1589" s="26"/>
      <c r="N1589" s="26"/>
      <c r="O1589" s="26"/>
      <c r="P1589" s="26"/>
      <c r="Q1589" s="26"/>
      <c r="R1589" s="26"/>
      <c r="S1589" s="26"/>
      <c r="T1589" s="26"/>
      <c r="U1589" s="26"/>
      <c r="V1589" s="26"/>
      <c r="W1589" s="26"/>
      <c r="X1589" s="26"/>
      <c r="Y1589" s="26"/>
      <c r="Z1589" s="26"/>
      <c r="AA1589" s="26"/>
      <c r="AB1589" s="26"/>
      <c r="AC1589" s="26"/>
      <c r="AD1589" s="26"/>
      <c r="AE1589" s="26"/>
      <c r="AF1589" s="26"/>
      <c r="AG1589" s="26"/>
      <c r="AH1589" s="26"/>
      <c r="AI1589" s="26"/>
      <c r="AJ1589" s="26"/>
      <c r="AK1589" s="26"/>
      <c r="AL1589" s="26"/>
      <c r="AM1589" s="26"/>
      <c r="AN1589" s="26"/>
      <c r="AO1589" s="26"/>
      <c r="AP1589" s="26"/>
      <c r="AQ1589" s="26"/>
      <c r="AS1589" s="10"/>
      <c r="AT1589" s="9"/>
    </row>
    <row r="1590" spans="1:70" s="160" customFormat="1" x14ac:dyDescent="0.2">
      <c r="A1590" s="829"/>
      <c r="B1590" s="59" t="s">
        <v>843</v>
      </c>
      <c r="D1590" s="99">
        <f t="shared" ref="D1590:AE1590" si="3845">D1579-D1581-D1584</f>
        <v>11604</v>
      </c>
      <c r="E1590" s="99">
        <f t="shared" si="3845"/>
        <v>11326</v>
      </c>
      <c r="F1590" s="99">
        <f t="shared" si="3845"/>
        <v>11472</v>
      </c>
      <c r="G1590" s="99">
        <f t="shared" si="3845"/>
        <v>11419</v>
      </c>
      <c r="H1590" s="99">
        <f t="shared" si="3845"/>
        <v>11430</v>
      </c>
      <c r="I1590" s="99">
        <f t="shared" si="3845"/>
        <v>11242</v>
      </c>
      <c r="J1590" s="99">
        <f t="shared" si="3845"/>
        <v>10869</v>
      </c>
      <c r="K1590" s="99">
        <f t="shared" si="3845"/>
        <v>11249</v>
      </c>
      <c r="L1590" s="99">
        <f t="shared" si="3845"/>
        <v>10993</v>
      </c>
      <c r="M1590" s="99">
        <f t="shared" si="3845"/>
        <v>10973</v>
      </c>
      <c r="N1590" s="99">
        <f t="shared" si="3845"/>
        <v>11022</v>
      </c>
      <c r="O1590" s="99">
        <f t="shared" si="3845"/>
        <v>10920</v>
      </c>
      <c r="P1590" s="99">
        <f t="shared" si="3845"/>
        <v>10480</v>
      </c>
      <c r="Q1590" s="99">
        <f t="shared" si="3845"/>
        <v>10507</v>
      </c>
      <c r="R1590" s="99">
        <f t="shared" si="3845"/>
        <v>10211</v>
      </c>
      <c r="S1590" s="99">
        <f t="shared" si="3845"/>
        <v>10410</v>
      </c>
      <c r="T1590" s="99">
        <f t="shared" si="3845"/>
        <v>9866</v>
      </c>
      <c r="U1590" s="99">
        <f t="shared" si="3845"/>
        <v>9918</v>
      </c>
      <c r="V1590" s="99">
        <f t="shared" si="3845"/>
        <v>10002</v>
      </c>
      <c r="W1590" s="99">
        <f t="shared" si="3845"/>
        <v>9738</v>
      </c>
      <c r="X1590" s="99">
        <f>X1579-X1581-X1584</f>
        <v>10473</v>
      </c>
      <c r="Y1590" s="99">
        <f>Y1579-Y1581-Y1584</f>
        <v>10510</v>
      </c>
      <c r="Z1590" s="99">
        <f>Z1579-Z1581-Z1584</f>
        <v>10167</v>
      </c>
      <c r="AA1590" s="99">
        <f>AA1579-AA1581-AA1584</f>
        <v>10082</v>
      </c>
      <c r="AB1590" s="99">
        <f>AB1579-AB1581-AB1584</f>
        <v>10675</v>
      </c>
      <c r="AC1590" s="99">
        <f t="shared" si="3845"/>
        <v>10663.303917359419</v>
      </c>
      <c r="AD1590" s="99">
        <f t="shared" si="3845"/>
        <v>10540.647419418166</v>
      </c>
      <c r="AE1590" s="99">
        <f t="shared" si="3845"/>
        <v>10164.00486034228</v>
      </c>
      <c r="AF1590" s="99">
        <f t="shared" ref="AF1590:AI1590" si="3846">AF1579-AF1581-AF1584</f>
        <v>10898.808772994969</v>
      </c>
      <c r="AG1590" s="99">
        <f t="shared" si="3846"/>
        <v>10812.063471053511</v>
      </c>
      <c r="AH1590" s="99">
        <f t="shared" si="3846"/>
        <v>10734.492873533498</v>
      </c>
      <c r="AI1590" s="99">
        <f t="shared" si="3846"/>
        <v>10359.928618046279</v>
      </c>
      <c r="AJ1590" s="99"/>
      <c r="AK1590" s="99"/>
      <c r="AL1590" s="99"/>
      <c r="AM1590" s="99"/>
      <c r="AN1590" s="99"/>
      <c r="AO1590" s="99"/>
      <c r="AP1590" s="99"/>
      <c r="AQ1590" s="99"/>
      <c r="AR1590" s="70"/>
      <c r="AS1590" s="59" t="s">
        <v>843</v>
      </c>
      <c r="AU1590" s="99">
        <f t="shared" ref="AU1590:BD1590" si="3847">AU1579-AU1581-AU1584</f>
        <v>45821</v>
      </c>
      <c r="AV1590" s="99">
        <f t="shared" si="3847"/>
        <v>44790</v>
      </c>
      <c r="AW1590" s="99">
        <f t="shared" si="3847"/>
        <v>43908</v>
      </c>
      <c r="AX1590" s="99">
        <f t="shared" si="3847"/>
        <v>41608</v>
      </c>
      <c r="AY1590" s="99">
        <f t="shared" si="3847"/>
        <v>39524</v>
      </c>
      <c r="AZ1590" s="99">
        <f t="shared" si="3847"/>
        <v>41232</v>
      </c>
      <c r="BA1590" s="99">
        <f t="shared" si="3847"/>
        <v>42042.956197119871</v>
      </c>
      <c r="BB1590" s="99">
        <f t="shared" ref="BB1590" si="3848">BB1579-BB1581-BB1584</f>
        <v>42805.293735628256</v>
      </c>
      <c r="BC1590" s="99">
        <f t="shared" si="3847"/>
        <v>43792.393688997246</v>
      </c>
      <c r="BD1590" s="99">
        <f t="shared" si="3847"/>
        <v>45210.09998873213</v>
      </c>
      <c r="BE1590" s="99">
        <f t="shared" ref="BE1590" si="3849">BE1579-BE1581-BE1584</f>
        <v>47026.605231929374</v>
      </c>
      <c r="BM1590"/>
      <c r="BN1590"/>
      <c r="BO1590"/>
      <c r="BP1590"/>
      <c r="BQ1590"/>
      <c r="BR1590"/>
    </row>
    <row r="1591" spans="1:70" s="160" customFormat="1" x14ac:dyDescent="0.2">
      <c r="A1591" s="829"/>
      <c r="B1591" s="59"/>
      <c r="D1591" s="99"/>
      <c r="E1591" s="99"/>
      <c r="F1591" s="99"/>
      <c r="G1591" s="99"/>
      <c r="H1591" s="99"/>
      <c r="I1591" s="99"/>
      <c r="J1591" s="99"/>
      <c r="K1591" s="99"/>
      <c r="L1591" s="99"/>
      <c r="M1591" s="99"/>
      <c r="N1591" s="99"/>
      <c r="O1591" s="99"/>
      <c r="P1591" s="99"/>
      <c r="Q1591" s="99"/>
      <c r="R1591" s="99"/>
      <c r="S1591" s="99"/>
      <c r="T1591" s="99"/>
      <c r="U1591" s="99"/>
      <c r="V1591" s="99"/>
      <c r="W1591" s="99"/>
      <c r="X1591" s="99"/>
      <c r="Y1591" s="99"/>
      <c r="Z1591" s="99"/>
      <c r="AA1591" s="99"/>
      <c r="AB1591" s="99"/>
      <c r="AC1591" s="99"/>
      <c r="AD1591" s="99"/>
      <c r="AE1591" s="99"/>
      <c r="AF1591" s="99"/>
      <c r="AG1591" s="99"/>
      <c r="AH1591" s="99"/>
      <c r="AI1591" s="99"/>
      <c r="AJ1591" s="99"/>
      <c r="AK1591" s="99"/>
      <c r="AL1591" s="99"/>
      <c r="AM1591" s="99"/>
      <c r="AN1591" s="99"/>
      <c r="AO1591" s="99"/>
      <c r="AP1591" s="99"/>
      <c r="AQ1591" s="99"/>
      <c r="AR1591" s="70"/>
      <c r="AS1591" s="59"/>
      <c r="AU1591" s="99"/>
      <c r="AV1591" s="99"/>
      <c r="AW1591" s="99"/>
      <c r="AX1591" s="99"/>
      <c r="AY1591" s="99"/>
      <c r="AZ1591" s="99"/>
      <c r="BA1591" s="99"/>
      <c r="BB1591" s="99"/>
      <c r="BC1591" s="99"/>
      <c r="BD1591" s="99"/>
      <c r="BE1591" s="99"/>
      <c r="BM1591"/>
      <c r="BN1591"/>
      <c r="BO1591"/>
      <c r="BP1591"/>
      <c r="BQ1591"/>
      <c r="BR1591"/>
    </row>
    <row r="1592" spans="1:70" x14ac:dyDescent="0.2">
      <c r="AB1592" s="1785"/>
    </row>
    <row r="1593" spans="1:70" x14ac:dyDescent="0.2">
      <c r="A1593" s="411" t="s">
        <v>194</v>
      </c>
      <c r="B1593" s="13" t="s">
        <v>1133</v>
      </c>
      <c r="C1593" s="13"/>
      <c r="D1593" s="14"/>
      <c r="E1593" s="14"/>
      <c r="F1593" s="14"/>
      <c r="G1593" s="14"/>
      <c r="H1593" s="14"/>
      <c r="I1593" s="14"/>
      <c r="J1593" s="14"/>
      <c r="K1593" s="14"/>
      <c r="L1593" s="14"/>
      <c r="M1593" s="14"/>
      <c r="N1593" s="14"/>
      <c r="O1593" s="14"/>
      <c r="P1593" s="14"/>
      <c r="Q1593" s="14"/>
      <c r="R1593" s="14"/>
      <c r="S1593" s="14"/>
      <c r="T1593" s="14"/>
      <c r="U1593" s="14"/>
      <c r="V1593" s="14"/>
      <c r="W1593" s="14"/>
      <c r="X1593" s="14"/>
      <c r="Y1593" s="14"/>
      <c r="Z1593" s="14"/>
      <c r="AA1593" s="14"/>
      <c r="AB1593" s="14"/>
      <c r="AC1593" s="14"/>
      <c r="AD1593" s="14"/>
      <c r="AE1593" s="14"/>
      <c r="AF1593" s="14"/>
      <c r="AG1593" s="14"/>
      <c r="AH1593" s="14"/>
      <c r="AI1593" s="14"/>
      <c r="AJ1593" s="14"/>
      <c r="AK1593" s="14"/>
      <c r="AL1593" s="14"/>
      <c r="AM1593" s="14"/>
      <c r="AN1593" s="14"/>
      <c r="AO1593" s="14"/>
      <c r="AP1593" s="14"/>
      <c r="AQ1593" s="14"/>
      <c r="AS1593" s="13" t="s">
        <v>1133</v>
      </c>
      <c r="AT1593" s="13"/>
      <c r="AU1593" s="13"/>
      <c r="AV1593" s="13"/>
      <c r="AW1593" s="13"/>
      <c r="AX1593" s="13"/>
      <c r="AY1593" s="13"/>
      <c r="AZ1593" s="13"/>
      <c r="BA1593" s="13"/>
      <c r="BB1593" s="13"/>
      <c r="BC1593" s="13"/>
      <c r="BD1593" s="13"/>
      <c r="BE1593" s="13"/>
    </row>
    <row r="1594" spans="1:70" x14ac:dyDescent="0.2">
      <c r="B1594" s="16"/>
      <c r="C1594" s="16"/>
      <c r="D1594" s="15"/>
      <c r="E1594" s="15"/>
      <c r="F1594" s="15"/>
      <c r="G1594" s="15"/>
      <c r="H1594" s="15"/>
      <c r="I1594" s="15"/>
      <c r="J1594" s="15"/>
      <c r="K1594" s="15"/>
      <c r="L1594" s="15"/>
      <c r="M1594" s="15"/>
      <c r="N1594" s="15"/>
      <c r="O1594" s="15"/>
      <c r="P1594" s="15"/>
      <c r="Q1594" s="15"/>
      <c r="R1594" s="15"/>
      <c r="S1594" s="15"/>
      <c r="T1594" s="15"/>
      <c r="U1594" s="15"/>
      <c r="V1594" s="15"/>
      <c r="W1594" s="15"/>
      <c r="X1594" s="15"/>
      <c r="Y1594" s="15"/>
      <c r="Z1594" s="15"/>
      <c r="AA1594" s="15"/>
      <c r="AB1594" s="15"/>
      <c r="AC1594" s="15"/>
      <c r="AD1594" s="15"/>
      <c r="AE1594" s="15"/>
      <c r="AF1594" s="15"/>
      <c r="AG1594" s="15"/>
      <c r="AH1594" s="15"/>
      <c r="AI1594" s="15"/>
      <c r="AJ1594" s="15"/>
      <c r="AK1594" s="15"/>
      <c r="AL1594" s="15"/>
      <c r="AM1594" s="15"/>
      <c r="AN1594" s="15"/>
      <c r="AO1594" s="15"/>
      <c r="AP1594" s="15"/>
      <c r="AQ1594" s="15"/>
      <c r="AS1594" s="16"/>
      <c r="AT1594" s="16"/>
      <c r="AU1594" s="16"/>
      <c r="AV1594" s="16"/>
      <c r="AW1594" s="16"/>
      <c r="AX1594" s="16"/>
      <c r="AY1594" s="16"/>
      <c r="AZ1594" s="16"/>
      <c r="BA1594" s="16"/>
      <c r="BB1594" s="16"/>
      <c r="BC1594" s="16"/>
      <c r="BD1594" s="16"/>
      <c r="BE1594" s="16"/>
    </row>
    <row r="1595" spans="1:70" x14ac:dyDescent="0.2">
      <c r="B1595" s="35" t="s">
        <v>1135</v>
      </c>
      <c r="D1595" s="1080">
        <v>0</v>
      </c>
      <c r="E1595" s="1080">
        <v>0</v>
      </c>
      <c r="F1595" s="1080">
        <v>0</v>
      </c>
      <c r="G1595" s="1080">
        <v>0</v>
      </c>
      <c r="H1595" s="1080">
        <v>0</v>
      </c>
      <c r="I1595" s="1080">
        <v>0</v>
      </c>
      <c r="J1595" s="1080">
        <v>0</v>
      </c>
      <c r="K1595" s="1080">
        <v>0</v>
      </c>
      <c r="L1595" s="1080">
        <v>0</v>
      </c>
      <c r="M1595" s="1080">
        <v>0</v>
      </c>
      <c r="N1595" s="1080">
        <v>0</v>
      </c>
      <c r="O1595" s="1080">
        <v>0</v>
      </c>
      <c r="P1595" s="1080">
        <v>0</v>
      </c>
      <c r="Q1595" s="1080">
        <v>0</v>
      </c>
      <c r="R1595" s="1080">
        <v>0</v>
      </c>
      <c r="S1595" s="1080">
        <v>0</v>
      </c>
      <c r="T1595" s="1080">
        <v>0</v>
      </c>
      <c r="U1595" s="1080">
        <v>0</v>
      </c>
      <c r="V1595" s="1080">
        <v>0</v>
      </c>
      <c r="W1595" s="1080">
        <v>0</v>
      </c>
      <c r="X1595" s="1080">
        <v>0</v>
      </c>
      <c r="Y1595" s="1080">
        <v>0</v>
      </c>
      <c r="Z1595" s="1080">
        <v>0</v>
      </c>
      <c r="AA1595" s="1080">
        <v>0</v>
      </c>
      <c r="AB1595" s="1080">
        <v>0</v>
      </c>
      <c r="AC1595" s="1080">
        <v>0</v>
      </c>
      <c r="AD1595" s="1080">
        <v>0</v>
      </c>
      <c r="AE1595" s="1080">
        <v>0</v>
      </c>
      <c r="AF1595" s="1080">
        <v>0</v>
      </c>
      <c r="AG1595" s="1080">
        <v>0</v>
      </c>
      <c r="AH1595" s="1080">
        <v>0</v>
      </c>
      <c r="AI1595" s="1080">
        <v>0</v>
      </c>
      <c r="AJ1595" s="1080"/>
      <c r="AK1595" s="1080"/>
      <c r="AL1595" s="1080"/>
      <c r="AM1595" s="1080"/>
      <c r="AN1595" s="1080"/>
      <c r="AO1595" s="1080"/>
      <c r="AP1595" s="1080"/>
      <c r="AQ1595" s="1080"/>
      <c r="AS1595" s="35" t="s">
        <v>1135</v>
      </c>
      <c r="AU1595" s="1080">
        <v>0</v>
      </c>
      <c r="AV1595" s="1080">
        <v>0</v>
      </c>
      <c r="AW1595" s="1080">
        <v>0</v>
      </c>
      <c r="AX1595" s="1080">
        <v>0</v>
      </c>
      <c r="AY1595" s="1080">
        <v>0</v>
      </c>
      <c r="AZ1595" s="1080">
        <v>0</v>
      </c>
      <c r="BA1595" s="1080">
        <v>0</v>
      </c>
      <c r="BB1595" s="1080">
        <v>0</v>
      </c>
      <c r="BC1595" s="1080">
        <v>0</v>
      </c>
      <c r="BD1595" s="1080">
        <v>0</v>
      </c>
      <c r="BE1595" s="1080">
        <v>0</v>
      </c>
    </row>
    <row r="1596" spans="1:70" x14ac:dyDescent="0.2">
      <c r="B1596" s="391" t="s">
        <v>1136</v>
      </c>
      <c r="C1596" s="1070"/>
      <c r="D1596" s="96">
        <f>D1384</f>
        <v>0</v>
      </c>
      <c r="E1596" s="96">
        <f t="shared" ref="E1596:AE1596" si="3850">E1384</f>
        <v>0</v>
      </c>
      <c r="F1596" s="96">
        <f t="shared" si="3850"/>
        <v>0</v>
      </c>
      <c r="G1596" s="96">
        <f t="shared" si="3850"/>
        <v>0</v>
      </c>
      <c r="H1596" s="96">
        <f t="shared" si="3850"/>
        <v>0</v>
      </c>
      <c r="I1596" s="96">
        <f t="shared" si="3850"/>
        <v>122429</v>
      </c>
      <c r="J1596" s="96">
        <f t="shared" si="3850"/>
        <v>127683</v>
      </c>
      <c r="K1596" s="96">
        <f t="shared" si="3850"/>
        <v>133164</v>
      </c>
      <c r="L1596" s="96">
        <f t="shared" si="3850"/>
        <v>139964</v>
      </c>
      <c r="M1596" s="96">
        <f t="shared" si="3850"/>
        <v>145350</v>
      </c>
      <c r="N1596" s="96">
        <f t="shared" si="3850"/>
        <v>148557</v>
      </c>
      <c r="O1596" s="96">
        <f t="shared" si="3850"/>
        <v>148066</v>
      </c>
      <c r="P1596" s="96">
        <f t="shared" si="3850"/>
        <v>154905</v>
      </c>
      <c r="Q1596" s="96">
        <f t="shared" si="3850"/>
        <v>160391</v>
      </c>
      <c r="R1596" s="96">
        <f t="shared" si="3850"/>
        <v>161999</v>
      </c>
      <c r="S1596" s="96">
        <f t="shared" si="3850"/>
        <v>164036</v>
      </c>
      <c r="T1596" s="96">
        <f t="shared" si="3850"/>
        <v>171142</v>
      </c>
      <c r="U1596" s="96">
        <f t="shared" si="3850"/>
        <v>174027</v>
      </c>
      <c r="V1596" s="96">
        <f t="shared" si="3850"/>
        <v>174760</v>
      </c>
      <c r="W1596" s="96">
        <f t="shared" si="3850"/>
        <v>169390</v>
      </c>
      <c r="X1596" s="96">
        <f t="shared" si="3850"/>
        <v>172455</v>
      </c>
      <c r="Y1596" s="96">
        <f t="shared" si="3850"/>
        <v>175129</v>
      </c>
      <c r="Z1596" s="96">
        <f t="shared" ref="Z1596:AA1596" si="3851">Z1384</f>
        <v>172849</v>
      </c>
      <c r="AA1596" s="96">
        <f t="shared" si="3851"/>
        <v>162377</v>
      </c>
      <c r="AB1596" s="96">
        <f t="shared" ref="AB1596" si="3852">AB1384</f>
        <v>163477</v>
      </c>
      <c r="AC1596" s="96">
        <f t="shared" si="3850"/>
        <v>164745.4111395824</v>
      </c>
      <c r="AD1596" s="96">
        <f t="shared" si="3850"/>
        <v>162885.93029183263</v>
      </c>
      <c r="AE1596" s="96">
        <f t="shared" si="3850"/>
        <v>160666.21326334373</v>
      </c>
      <c r="AF1596" s="96">
        <f t="shared" ref="AF1596:AI1596" si="3853">AF1384</f>
        <v>161895.31931548167</v>
      </c>
      <c r="AG1596" s="96">
        <f t="shared" si="3853"/>
        <v>160510.51151874123</v>
      </c>
      <c r="AH1596" s="96">
        <f t="shared" si="3853"/>
        <v>159457.3607517429</v>
      </c>
      <c r="AI1596" s="96">
        <f t="shared" si="3853"/>
        <v>158143.48505221974</v>
      </c>
      <c r="AJ1596" s="96"/>
      <c r="AK1596" s="96"/>
      <c r="AL1596" s="96"/>
      <c r="AM1596" s="96"/>
      <c r="AN1596" s="96"/>
      <c r="AO1596" s="96"/>
      <c r="AP1596" s="96"/>
      <c r="AQ1596" s="96"/>
      <c r="AS1596" s="391" t="s">
        <v>1136</v>
      </c>
      <c r="AU1596" s="96">
        <f t="shared" ref="AU1596:BD1596" si="3854">AU1384</f>
        <v>0</v>
      </c>
      <c r="AV1596" s="96">
        <f t="shared" si="3854"/>
        <v>133164</v>
      </c>
      <c r="AW1596" s="96">
        <f t="shared" si="3854"/>
        <v>148066</v>
      </c>
      <c r="AX1596" s="96">
        <f t="shared" si="3854"/>
        <v>164036</v>
      </c>
      <c r="AY1596" s="96">
        <f t="shared" si="3854"/>
        <v>169390</v>
      </c>
      <c r="AZ1596" s="96">
        <f t="shared" si="3854"/>
        <v>162377</v>
      </c>
      <c r="BA1596" s="96">
        <f t="shared" si="3854"/>
        <v>160666.21326334373</v>
      </c>
      <c r="BB1596" s="96">
        <f t="shared" ref="BB1596" si="3855">BB1384</f>
        <v>158143.48505221974</v>
      </c>
      <c r="BC1596" s="96">
        <f t="shared" si="3854"/>
        <v>160661.94879254635</v>
      </c>
      <c r="BD1596" s="96">
        <f t="shared" si="3854"/>
        <v>166190.36730990361</v>
      </c>
      <c r="BE1596" s="96">
        <f t="shared" ref="BE1596" si="3856">BE1384</f>
        <v>171942.50887217862</v>
      </c>
    </row>
    <row r="1597" spans="1:70" x14ac:dyDescent="0.2">
      <c r="B1597" s="391" t="s">
        <v>1056</v>
      </c>
      <c r="D1597" s="96">
        <f>D1388</f>
        <v>0</v>
      </c>
      <c r="E1597" s="96">
        <f t="shared" ref="E1597:AE1597" si="3857">E1388</f>
        <v>0</v>
      </c>
      <c r="F1597" s="96">
        <f t="shared" si="3857"/>
        <v>0</v>
      </c>
      <c r="G1597" s="96">
        <f t="shared" si="3857"/>
        <v>1205820</v>
      </c>
      <c r="H1597" s="96">
        <f t="shared" si="3857"/>
        <v>1191233</v>
      </c>
      <c r="I1597" s="96">
        <f t="shared" si="3857"/>
        <v>1167399</v>
      </c>
      <c r="J1597" s="96">
        <f t="shared" si="3857"/>
        <v>1158722</v>
      </c>
      <c r="K1597" s="96">
        <f t="shared" si="3857"/>
        <v>1185443</v>
      </c>
      <c r="L1597" s="96">
        <f t="shared" si="3857"/>
        <v>1260133</v>
      </c>
      <c r="M1597" s="96">
        <f t="shared" si="3857"/>
        <v>1280845</v>
      </c>
      <c r="N1597" s="96">
        <f t="shared" si="3857"/>
        <v>1301660</v>
      </c>
      <c r="O1597" s="96">
        <f t="shared" si="3857"/>
        <v>1292605</v>
      </c>
      <c r="P1597" s="96">
        <f t="shared" si="3857"/>
        <v>1283758</v>
      </c>
      <c r="Q1597" s="96">
        <f t="shared" si="3857"/>
        <v>1278593</v>
      </c>
      <c r="R1597" s="96">
        <f t="shared" si="3857"/>
        <v>1254473</v>
      </c>
      <c r="S1597" s="96">
        <f t="shared" si="3857"/>
        <v>1216277</v>
      </c>
      <c r="T1597" s="96">
        <f t="shared" si="3857"/>
        <v>1239575</v>
      </c>
      <c r="U1597" s="96">
        <f t="shared" si="3857"/>
        <v>1232856</v>
      </c>
      <c r="V1597" s="96">
        <f t="shared" si="3857"/>
        <v>1228283</v>
      </c>
      <c r="W1597" s="96">
        <f t="shared" si="3857"/>
        <v>1189680</v>
      </c>
      <c r="X1597" s="96">
        <f t="shared" si="3857"/>
        <v>1191397</v>
      </c>
      <c r="Y1597" s="96">
        <f t="shared" si="3857"/>
        <v>1188167</v>
      </c>
      <c r="Z1597" s="96">
        <f t="shared" ref="Z1597:AA1597" si="3858">Z1388</f>
        <v>1182918</v>
      </c>
      <c r="AA1597" s="96">
        <f t="shared" si="3858"/>
        <v>1134864</v>
      </c>
      <c r="AB1597" s="96">
        <f t="shared" ref="AB1597" si="3859">AB1388</f>
        <v>1179000</v>
      </c>
      <c r="AC1597" s="96">
        <f t="shared" si="3857"/>
        <v>1177261.4132295048</v>
      </c>
      <c r="AD1597" s="96">
        <f t="shared" si="3857"/>
        <v>1182463.667484673</v>
      </c>
      <c r="AE1597" s="96">
        <f t="shared" si="3857"/>
        <v>1189408.6433357499</v>
      </c>
      <c r="AF1597" s="96">
        <f t="shared" ref="AF1597:AI1597" si="3860">AF1388</f>
        <v>1186791.4085199854</v>
      </c>
      <c r="AG1597" s="96">
        <f t="shared" si="3860"/>
        <v>1195750.2052795319</v>
      </c>
      <c r="AH1597" s="96">
        <f t="shared" si="3860"/>
        <v>1207749.6278165984</v>
      </c>
      <c r="AI1597" s="96">
        <f t="shared" si="3860"/>
        <v>1221705.0348533278</v>
      </c>
      <c r="AJ1597" s="96"/>
      <c r="AK1597" s="96"/>
      <c r="AL1597" s="96"/>
      <c r="AM1597" s="96"/>
      <c r="AN1597" s="96"/>
      <c r="AO1597" s="96"/>
      <c r="AP1597" s="96"/>
      <c r="AQ1597" s="96"/>
      <c r="AS1597" s="391" t="s">
        <v>1056</v>
      </c>
      <c r="AU1597" s="96">
        <f t="shared" ref="AU1597:BD1597" si="3861">AU1388</f>
        <v>1205820</v>
      </c>
      <c r="AV1597" s="96">
        <f t="shared" si="3861"/>
        <v>1185443</v>
      </c>
      <c r="AW1597" s="96">
        <f t="shared" si="3861"/>
        <v>1292605</v>
      </c>
      <c r="AX1597" s="96">
        <f t="shared" si="3861"/>
        <v>1216277</v>
      </c>
      <c r="AY1597" s="96">
        <f t="shared" si="3861"/>
        <v>1189680</v>
      </c>
      <c r="AZ1597" s="96">
        <f t="shared" si="3861"/>
        <v>1134864</v>
      </c>
      <c r="BA1597" s="96">
        <f t="shared" si="3861"/>
        <v>1189408.6433357499</v>
      </c>
      <c r="BB1597" s="96">
        <f t="shared" ref="BB1597" si="3862">BB1388</f>
        <v>1221705.0348533278</v>
      </c>
      <c r="BC1597" s="96">
        <f t="shared" si="3861"/>
        <v>1253655.5337618398</v>
      </c>
      <c r="BD1597" s="96">
        <f t="shared" si="3861"/>
        <v>1295267.1997474239</v>
      </c>
      <c r="BE1597" s="96">
        <f t="shared" ref="BE1597" si="3863">BE1388</f>
        <v>1336379.7782629663</v>
      </c>
    </row>
    <row r="1598" spans="1:70" x14ac:dyDescent="0.2">
      <c r="AA1598" s="1742"/>
      <c r="AB1598" s="1785"/>
    </row>
    <row r="1599" spans="1:70" x14ac:dyDescent="0.2">
      <c r="AA1599" s="1742"/>
    </row>
    <row r="1600" spans="1:70" x14ac:dyDescent="0.2">
      <c r="A1600" s="411" t="s">
        <v>194</v>
      </c>
      <c r="B1600" s="1162" t="s">
        <v>1187</v>
      </c>
      <c r="C1600" s="1162"/>
      <c r="D1600" s="1172" t="str">
        <f>D$2</f>
        <v>1Q12</v>
      </c>
      <c r="E1600" s="1172" t="str">
        <f t="shared" ref="E1600:AI1600" si="3864">E$2</f>
        <v>2Q12</v>
      </c>
      <c r="F1600" s="1172" t="str">
        <f t="shared" si="3864"/>
        <v>3Q12</v>
      </c>
      <c r="G1600" s="1172" t="str">
        <f t="shared" si="3864"/>
        <v>4Q12</v>
      </c>
      <c r="H1600" s="1172" t="str">
        <f t="shared" si="3864"/>
        <v>1Q13</v>
      </c>
      <c r="I1600" s="1172" t="str">
        <f t="shared" si="3864"/>
        <v>2Q13</v>
      </c>
      <c r="J1600" s="1172" t="str">
        <f t="shared" si="3864"/>
        <v>3Q13</v>
      </c>
      <c r="K1600" s="1172" t="str">
        <f t="shared" si="3864"/>
        <v>4Q13</v>
      </c>
      <c r="L1600" s="1172" t="str">
        <f t="shared" si="3864"/>
        <v>1Q14</v>
      </c>
      <c r="M1600" s="1172" t="str">
        <f t="shared" si="3864"/>
        <v>2Q14</v>
      </c>
      <c r="N1600" s="1172" t="str">
        <f t="shared" si="3864"/>
        <v>3Q14</v>
      </c>
      <c r="O1600" s="1172" t="str">
        <f t="shared" si="3864"/>
        <v>4Q14</v>
      </c>
      <c r="P1600" s="1172" t="str">
        <f t="shared" si="3864"/>
        <v>1Q15</v>
      </c>
      <c r="Q1600" s="1172" t="str">
        <f t="shared" si="3864"/>
        <v>2Q15</v>
      </c>
      <c r="R1600" s="1172" t="str">
        <f t="shared" si="3864"/>
        <v>3Q15</v>
      </c>
      <c r="S1600" s="1172" t="str">
        <f t="shared" si="3864"/>
        <v>4Q15</v>
      </c>
      <c r="T1600" s="1172" t="str">
        <f t="shared" si="3864"/>
        <v>1Q16</v>
      </c>
      <c r="U1600" s="1172" t="str">
        <f t="shared" si="3864"/>
        <v>2Q16</v>
      </c>
      <c r="V1600" s="1172" t="str">
        <f t="shared" si="3864"/>
        <v>3Q16</v>
      </c>
      <c r="W1600" s="1172" t="str">
        <f t="shared" si="3864"/>
        <v>4Q16</v>
      </c>
      <c r="X1600" s="1172" t="str">
        <f t="shared" si="3864"/>
        <v>1Q17</v>
      </c>
      <c r="Y1600" s="1172" t="str">
        <f t="shared" si="3864"/>
        <v>2Q17</v>
      </c>
      <c r="Z1600" s="1172" t="str">
        <f t="shared" si="3864"/>
        <v>3Q17</v>
      </c>
      <c r="AA1600" s="1172" t="str">
        <f t="shared" si="3864"/>
        <v>4Q17</v>
      </c>
      <c r="AB1600" s="1172" t="str">
        <f t="shared" si="3864"/>
        <v>1Q18</v>
      </c>
      <c r="AC1600" s="1172" t="str">
        <f t="shared" si="3864"/>
        <v>2Q18E</v>
      </c>
      <c r="AD1600" s="1172" t="str">
        <f t="shared" si="3864"/>
        <v>3Q18E</v>
      </c>
      <c r="AE1600" s="1172" t="str">
        <f t="shared" si="3864"/>
        <v>4Q18E</v>
      </c>
      <c r="AF1600" s="1172" t="str">
        <f t="shared" si="3864"/>
        <v>1Q19E</v>
      </c>
      <c r="AG1600" s="1172" t="str">
        <f t="shared" si="3864"/>
        <v>2Q19E</v>
      </c>
      <c r="AH1600" s="1172" t="str">
        <f t="shared" si="3864"/>
        <v>3Q19E</v>
      </c>
      <c r="AI1600" s="1172" t="str">
        <f t="shared" si="3864"/>
        <v>4Q19E</v>
      </c>
      <c r="AJ1600" s="1172"/>
      <c r="AK1600" s="1172"/>
      <c r="AL1600" s="1172"/>
      <c r="AM1600" s="1172"/>
      <c r="AN1600" s="1172"/>
      <c r="AO1600" s="1172"/>
      <c r="AP1600" s="1172"/>
      <c r="AQ1600" s="1172"/>
      <c r="AS1600" s="1162" t="s">
        <v>1187</v>
      </c>
      <c r="AT1600" s="1162"/>
      <c r="AU1600" s="1172">
        <f t="shared" ref="AU1600:BE1600" si="3865">AU$2</f>
        <v>2012</v>
      </c>
      <c r="AV1600" s="1172">
        <f t="shared" si="3865"/>
        <v>2013</v>
      </c>
      <c r="AW1600" s="1172">
        <f t="shared" si="3865"/>
        <v>2014</v>
      </c>
      <c r="AX1600" s="1172">
        <f t="shared" si="3865"/>
        <v>2015</v>
      </c>
      <c r="AY1600" s="1172">
        <f t="shared" si="3865"/>
        <v>2016</v>
      </c>
      <c r="AZ1600" s="1172">
        <f t="shared" si="3865"/>
        <v>2017</v>
      </c>
      <c r="BA1600" s="1172" t="str">
        <f t="shared" si="3865"/>
        <v>2018E</v>
      </c>
      <c r="BB1600" s="1172" t="str">
        <f t="shared" si="3865"/>
        <v>2019E</v>
      </c>
      <c r="BC1600" s="1172" t="str">
        <f t="shared" si="3865"/>
        <v>2020E</v>
      </c>
      <c r="BD1600" s="1172" t="str">
        <f t="shared" si="3865"/>
        <v>2021E</v>
      </c>
      <c r="BE1600" s="1172" t="str">
        <f t="shared" si="3865"/>
        <v>2022E</v>
      </c>
    </row>
    <row r="1601" spans="3:70" s="70" customFormat="1" x14ac:dyDescent="0.2">
      <c r="C1601" s="1163"/>
      <c r="D1601" s="876"/>
      <c r="E1601" s="876"/>
      <c r="F1601" s="876"/>
      <c r="G1601" s="876"/>
      <c r="H1601" s="876"/>
      <c r="I1601" s="876"/>
      <c r="J1601" s="876"/>
      <c r="K1601" s="876"/>
      <c r="L1601" s="876"/>
      <c r="M1601" s="876"/>
      <c r="N1601" s="876"/>
      <c r="O1601" s="876"/>
      <c r="P1601" s="876"/>
      <c r="Q1601" s="876"/>
      <c r="R1601" s="876"/>
      <c r="S1601" s="876"/>
      <c r="T1601" s="876"/>
      <c r="U1601" s="876"/>
      <c r="V1601" s="876"/>
      <c r="W1601" s="876"/>
      <c r="X1601" s="876"/>
      <c r="Y1601" s="876"/>
      <c r="Z1601" s="876"/>
      <c r="AA1601" s="876"/>
      <c r="AB1601" s="876"/>
      <c r="AC1601" s="876"/>
      <c r="AD1601" s="876"/>
      <c r="AE1601" s="876"/>
      <c r="AF1601" s="876"/>
      <c r="AG1601" s="876"/>
      <c r="AH1601" s="876"/>
      <c r="AI1601" s="876"/>
      <c r="AJ1601" s="876"/>
      <c r="AK1601" s="876"/>
      <c r="AL1601" s="876"/>
      <c r="AM1601" s="876"/>
      <c r="AN1601" s="876"/>
      <c r="AO1601" s="876"/>
      <c r="AP1601" s="876"/>
      <c r="AQ1601" s="876"/>
      <c r="AT1601" s="1163"/>
      <c r="AU1601" s="876"/>
      <c r="AV1601" s="876"/>
      <c r="AW1601" s="876"/>
      <c r="AX1601" s="876"/>
      <c r="AY1601" s="876"/>
      <c r="AZ1601" s="876"/>
      <c r="BA1601" s="876"/>
      <c r="BB1601" s="876"/>
      <c r="BC1601" s="876"/>
      <c r="BD1601" s="876"/>
      <c r="BE1601" s="876"/>
      <c r="BM1601"/>
      <c r="BN1601"/>
      <c r="BO1601"/>
      <c r="BP1601"/>
      <c r="BQ1601"/>
      <c r="BR1601"/>
    </row>
    <row r="1602" spans="3:70" s="70" customFormat="1" x14ac:dyDescent="0.2">
      <c r="C1602" s="1164" t="s">
        <v>1188</v>
      </c>
      <c r="D1602" s="1161"/>
      <c r="E1602" s="1161"/>
      <c r="F1602" s="1161"/>
      <c r="G1602" s="1161"/>
      <c r="H1602" s="1161"/>
      <c r="I1602" s="1161"/>
      <c r="J1602" s="1161"/>
      <c r="K1602" s="1161"/>
      <c r="L1602" s="1161"/>
      <c r="M1602" s="1161"/>
      <c r="N1602" s="1161"/>
      <c r="O1602" s="1161"/>
      <c r="P1602" s="1161"/>
      <c r="Q1602" s="1161"/>
      <c r="R1602" s="1161"/>
      <c r="S1602" s="1161"/>
      <c r="T1602" s="1161"/>
      <c r="U1602" s="1161"/>
      <c r="V1602" s="1161"/>
      <c r="W1602" s="1161"/>
      <c r="X1602" s="1161"/>
      <c r="Y1602" s="1161"/>
      <c r="Z1602" s="1161"/>
      <c r="AA1602" s="1161"/>
      <c r="AB1602" s="1161"/>
      <c r="AC1602" s="1161"/>
      <c r="AD1602" s="1161"/>
      <c r="AE1602" s="1161"/>
      <c r="AF1602" s="1161"/>
      <c r="AG1602" s="1161"/>
      <c r="AH1602" s="1161"/>
      <c r="AI1602" s="1161"/>
      <c r="AJ1602" s="1161"/>
      <c r="AK1602" s="1161"/>
      <c r="AL1602" s="1161"/>
      <c r="AM1602" s="1161"/>
      <c r="AN1602" s="1161"/>
      <c r="AO1602" s="1161"/>
      <c r="AP1602" s="1161"/>
      <c r="AQ1602" s="1161"/>
      <c r="AT1602" s="1164" t="s">
        <v>1188</v>
      </c>
      <c r="AU1602" s="1161"/>
      <c r="AV1602" s="1161"/>
      <c r="AW1602" s="1161"/>
      <c r="AX1602" s="1161"/>
      <c r="AY1602" s="1161"/>
      <c r="AZ1602" s="1161"/>
      <c r="BA1602" s="1161"/>
      <c r="BB1602" s="1161"/>
      <c r="BC1602" s="1161"/>
      <c r="BD1602" s="1161"/>
      <c r="BE1602" s="1161"/>
      <c r="BM1602"/>
      <c r="BN1602"/>
      <c r="BO1602"/>
      <c r="BP1602"/>
      <c r="BQ1602"/>
      <c r="BR1602"/>
    </row>
    <row r="1603" spans="3:70" s="70" customFormat="1" x14ac:dyDescent="0.2">
      <c r="C1603" s="1165" t="s">
        <v>277</v>
      </c>
      <c r="D1603" s="1190">
        <v>614</v>
      </c>
      <c r="E1603" s="1190">
        <v>582</v>
      </c>
      <c r="F1603" s="1190">
        <v>382</v>
      </c>
      <c r="G1603" s="1190">
        <v>361</v>
      </c>
      <c r="H1603" s="1190">
        <v>789</v>
      </c>
      <c r="I1603" s="1190">
        <v>933</v>
      </c>
      <c r="J1603" s="1190">
        <v>653</v>
      </c>
      <c r="K1603" s="1190">
        <v>492</v>
      </c>
      <c r="L1603" s="1190">
        <v>900</v>
      </c>
      <c r="M1603" s="1190">
        <v>614</v>
      </c>
      <c r="N1603" s="1190">
        <v>751</v>
      </c>
      <c r="O1603" s="1190">
        <v>480</v>
      </c>
      <c r="P1603" s="1190">
        <v>870</v>
      </c>
      <c r="Q1603" s="1190">
        <v>670</v>
      </c>
      <c r="R1603" s="1190">
        <v>1039</v>
      </c>
      <c r="S1603" s="1190">
        <v>565.79999999999995</v>
      </c>
      <c r="T1603" s="1173">
        <f>T1610</f>
        <v>697</v>
      </c>
      <c r="U1603" s="1173">
        <f t="shared" ref="U1603:AE1603" si="3866">U1610</f>
        <v>776</v>
      </c>
      <c r="V1603" s="1173">
        <f t="shared" si="3866"/>
        <v>654</v>
      </c>
      <c r="W1603" s="1173">
        <f t="shared" si="3866"/>
        <v>685</v>
      </c>
      <c r="X1603" s="1173">
        <f t="shared" si="3866"/>
        <v>802</v>
      </c>
      <c r="Y1603" s="1173">
        <f t="shared" si="3866"/>
        <v>725</v>
      </c>
      <c r="Z1603" s="1173">
        <f t="shared" si="3866"/>
        <v>785</v>
      </c>
      <c r="AA1603" s="1173">
        <f t="shared" ref="AA1603:AB1603" si="3867">AA1610</f>
        <v>567</v>
      </c>
      <c r="AB1603" s="1173">
        <f t="shared" si="3867"/>
        <v>1103</v>
      </c>
      <c r="AC1603" s="1173">
        <f t="shared" si="3866"/>
        <v>775.75</v>
      </c>
      <c r="AD1603" s="1173">
        <f t="shared" si="3866"/>
        <v>816.4</v>
      </c>
      <c r="AE1603" s="1173">
        <f t="shared" si="3866"/>
        <v>680.4</v>
      </c>
      <c r="AF1603" s="1173">
        <f t="shared" ref="AF1603:AI1603" si="3868">AF1610</f>
        <v>937.55</v>
      </c>
      <c r="AG1603" s="1173">
        <f t="shared" si="3868"/>
        <v>814.53750000000002</v>
      </c>
      <c r="AH1603" s="1173">
        <f t="shared" si="3868"/>
        <v>857.22</v>
      </c>
      <c r="AI1603" s="1173">
        <f t="shared" si="3868"/>
        <v>714.42</v>
      </c>
      <c r="AJ1603" s="1173"/>
      <c r="AK1603" s="1173"/>
      <c r="AL1603" s="1173"/>
      <c r="AM1603" s="1173"/>
      <c r="AN1603" s="1173"/>
      <c r="AO1603" s="1173"/>
      <c r="AP1603" s="1173"/>
      <c r="AQ1603" s="1173"/>
      <c r="AT1603" s="1165" t="s">
        <v>277</v>
      </c>
      <c r="AU1603" s="232">
        <f>SUM(D1603:G1603)</f>
        <v>1939</v>
      </c>
      <c r="AV1603" s="232">
        <f>SUM(H1603:K1603)</f>
        <v>2867</v>
      </c>
      <c r="AW1603" s="232">
        <f>SUM(L1603:O1603)</f>
        <v>2745</v>
      </c>
      <c r="AX1603" s="232">
        <f>SUM(P1603:S1603)</f>
        <v>3144.8</v>
      </c>
      <c r="AY1603" s="232">
        <f>SUM(T1603:W1603)</f>
        <v>2812</v>
      </c>
      <c r="AZ1603" s="232">
        <f>SUM(X1603:AA1603)</f>
        <v>2879</v>
      </c>
      <c r="BA1603" s="232">
        <f>SUM(AB1603:AE1603)</f>
        <v>3375.55</v>
      </c>
      <c r="BB1603" s="232">
        <f>SUM(AF1603:AI1603)</f>
        <v>3323.7275</v>
      </c>
      <c r="BC1603" s="1173">
        <f t="shared" ref="BC1603:BD1603" si="3869">BC1610</f>
        <v>3556.3884250000001</v>
      </c>
      <c r="BD1603" s="1173">
        <f t="shared" si="3869"/>
        <v>3805.3356147500003</v>
      </c>
      <c r="BE1603" s="1173">
        <f t="shared" ref="BE1603" si="3870">BE1610</f>
        <v>4071.7091077825007</v>
      </c>
      <c r="BG1603" s="1195"/>
      <c r="BH1603" s="1195"/>
      <c r="BI1603" s="1195"/>
      <c r="BJ1603" s="1195"/>
      <c r="BK1603" s="1195"/>
      <c r="BL1603" s="1195"/>
      <c r="BM1603"/>
      <c r="BN1603"/>
      <c r="BO1603"/>
      <c r="BP1603"/>
      <c r="BQ1603"/>
      <c r="BR1603"/>
    </row>
    <row r="1604" spans="3:70" s="70" customFormat="1" x14ac:dyDescent="0.2">
      <c r="C1604" s="1165" t="s">
        <v>276</v>
      </c>
      <c r="D1604" s="1190">
        <v>3858</v>
      </c>
      <c r="E1604" s="1190">
        <v>3144</v>
      </c>
      <c r="F1604" s="1190">
        <v>3136</v>
      </c>
      <c r="G1604" s="1190">
        <v>2445</v>
      </c>
      <c r="H1604" s="1190">
        <v>4440</v>
      </c>
      <c r="I1604" s="1190">
        <v>3938</v>
      </c>
      <c r="J1604" s="1190">
        <v>2567</v>
      </c>
      <c r="K1604" s="1190">
        <v>2295</v>
      </c>
      <c r="L1604" s="1190">
        <v>3892</v>
      </c>
      <c r="M1604" s="1190">
        <v>3084</v>
      </c>
      <c r="N1604" s="1190">
        <v>2758</v>
      </c>
      <c r="O1604" s="1190">
        <v>2078</v>
      </c>
      <c r="P1604" s="1190">
        <v>3412</v>
      </c>
      <c r="Q1604" s="1190">
        <v>3330</v>
      </c>
      <c r="R1604" s="1190">
        <v>2753</v>
      </c>
      <c r="S1604" s="1190">
        <v>2072.1999999999998</v>
      </c>
      <c r="T1604" s="1173">
        <f>T1611</f>
        <v>3051</v>
      </c>
      <c r="U1604" s="1173">
        <f t="shared" ref="U1604:AE1604" si="3871">U1611</f>
        <v>3432</v>
      </c>
      <c r="V1604" s="1173">
        <f t="shared" si="3871"/>
        <v>3413</v>
      </c>
      <c r="W1604" s="1173">
        <f t="shared" si="3871"/>
        <v>2957</v>
      </c>
      <c r="X1604" s="1173">
        <f t="shared" si="3871"/>
        <v>3678</v>
      </c>
      <c r="Y1604" s="1173">
        <f t="shared" si="3871"/>
        <v>3274</v>
      </c>
      <c r="Z1604" s="1173">
        <f t="shared" si="3871"/>
        <v>2936</v>
      </c>
      <c r="AA1604" s="1173">
        <f t="shared" ref="AA1604:AB1604" si="3872">AA1611</f>
        <v>2463</v>
      </c>
      <c r="AB1604" s="1173">
        <f t="shared" si="3872"/>
        <v>3418</v>
      </c>
      <c r="AC1604" s="1173">
        <f t="shared" si="3871"/>
        <v>3535.92</v>
      </c>
      <c r="AD1604" s="1173">
        <f t="shared" si="3871"/>
        <v>3170.88</v>
      </c>
      <c r="AE1604" s="1173">
        <f t="shared" si="3871"/>
        <v>2660.04</v>
      </c>
      <c r="AF1604" s="1173">
        <f t="shared" ref="AF1604:AI1604" si="3873">AF1611</f>
        <v>3828.1600000000003</v>
      </c>
      <c r="AG1604" s="1173">
        <f t="shared" si="3873"/>
        <v>3889.5120000000002</v>
      </c>
      <c r="AH1604" s="1173">
        <f t="shared" si="3873"/>
        <v>3487.9680000000003</v>
      </c>
      <c r="AI1604" s="1173">
        <f t="shared" si="3873"/>
        <v>2926.0440000000003</v>
      </c>
      <c r="AJ1604" s="1173"/>
      <c r="AK1604" s="1173"/>
      <c r="AL1604" s="1173"/>
      <c r="AM1604" s="1173"/>
      <c r="AN1604" s="1173"/>
      <c r="AO1604" s="1173"/>
      <c r="AP1604" s="1173"/>
      <c r="AQ1604" s="1173"/>
      <c r="AT1604" s="1165" t="s">
        <v>276</v>
      </c>
      <c r="AU1604" s="232">
        <f>SUM(D1604:G1604)</f>
        <v>12583</v>
      </c>
      <c r="AV1604" s="232">
        <f>SUM(H1604:K1604)</f>
        <v>13240</v>
      </c>
      <c r="AW1604" s="232">
        <f>SUM(L1604:O1604)</f>
        <v>11812</v>
      </c>
      <c r="AX1604" s="232">
        <f>SUM(P1604:S1604)</f>
        <v>11567.2</v>
      </c>
      <c r="AY1604" s="232">
        <f>SUM(T1604:W1604)</f>
        <v>12853</v>
      </c>
      <c r="AZ1604" s="232">
        <f>SUM(X1604:AA1604)</f>
        <v>12351</v>
      </c>
      <c r="BA1604" s="232">
        <f>SUM(AB1604:AE1604)</f>
        <v>12784.84</v>
      </c>
      <c r="BB1604" s="232">
        <f>SUM(AF1604:AI1604)</f>
        <v>14131.684000000001</v>
      </c>
      <c r="BC1604" s="1173">
        <f t="shared" ref="BC1604:BD1604" si="3874">BC1611</f>
        <v>15262.218720000003</v>
      </c>
      <c r="BD1604" s="1173">
        <f t="shared" si="3874"/>
        <v>16330.574030400003</v>
      </c>
      <c r="BE1604" s="1173">
        <f t="shared" ref="BE1604" si="3875">BE1611</f>
        <v>17473.714212528004</v>
      </c>
      <c r="BG1604" s="1195"/>
      <c r="BH1604" s="1195"/>
      <c r="BI1604" s="1195"/>
      <c r="BJ1604" s="1195"/>
      <c r="BK1604" s="1195"/>
      <c r="BL1604" s="1195"/>
      <c r="BM1604"/>
      <c r="BN1604"/>
      <c r="BO1604"/>
      <c r="BP1604"/>
      <c r="BQ1604"/>
      <c r="BR1604"/>
    </row>
    <row r="1605" spans="3:70" s="70" customFormat="1" x14ac:dyDescent="0.2">
      <c r="C1605" s="1165" t="s">
        <v>1189</v>
      </c>
      <c r="D1605" s="50">
        <f>D1612</f>
        <v>961</v>
      </c>
      <c r="E1605" s="50">
        <f t="shared" ref="E1605:AE1605" si="3876">E1612</f>
        <v>984</v>
      </c>
      <c r="F1605" s="50">
        <f t="shared" si="3876"/>
        <v>1049</v>
      </c>
      <c r="G1605" s="50">
        <f t="shared" si="3876"/>
        <v>1109</v>
      </c>
      <c r="H1605" s="50">
        <f t="shared" si="3876"/>
        <v>1170</v>
      </c>
      <c r="I1605" s="50">
        <f t="shared" si="3876"/>
        <v>1158</v>
      </c>
      <c r="J1605" s="50">
        <f t="shared" si="3876"/>
        <v>945</v>
      </c>
      <c r="K1605" s="50">
        <f t="shared" si="3876"/>
        <v>1148</v>
      </c>
      <c r="L1605" s="50">
        <f t="shared" si="3876"/>
        <v>1060</v>
      </c>
      <c r="M1605" s="50">
        <f t="shared" si="3876"/>
        <v>1345</v>
      </c>
      <c r="N1605" s="50">
        <f t="shared" si="3876"/>
        <v>1255</v>
      </c>
      <c r="O1605" s="50">
        <f t="shared" si="3876"/>
        <v>1070</v>
      </c>
      <c r="P1605" s="50">
        <f t="shared" si="3876"/>
        <v>1200</v>
      </c>
      <c r="Q1605" s="50">
        <f t="shared" si="3876"/>
        <v>1288</v>
      </c>
      <c r="R1605" s="50">
        <f t="shared" si="3876"/>
        <v>940</v>
      </c>
      <c r="S1605" s="50">
        <f t="shared" si="3876"/>
        <v>1129</v>
      </c>
      <c r="T1605" s="50">
        <f t="shared" si="3876"/>
        <v>873</v>
      </c>
      <c r="U1605" s="50">
        <f t="shared" si="3876"/>
        <v>1215</v>
      </c>
      <c r="V1605" s="50">
        <f t="shared" si="3876"/>
        <v>1083</v>
      </c>
      <c r="W1605" s="50">
        <f t="shared" si="3876"/>
        <v>1131</v>
      </c>
      <c r="X1605" s="50">
        <f t="shared" si="3876"/>
        <v>1262</v>
      </c>
      <c r="Y1605" s="50">
        <f t="shared" si="3876"/>
        <v>1535</v>
      </c>
      <c r="Z1605" s="50">
        <f t="shared" si="3876"/>
        <v>1280</v>
      </c>
      <c r="AA1605" s="50">
        <f t="shared" ref="AA1605:AB1605" si="3877">AA1612</f>
        <v>1293</v>
      </c>
      <c r="AB1605" s="50">
        <f t="shared" si="3877"/>
        <v>1130</v>
      </c>
      <c r="AC1605" s="50">
        <f t="shared" si="3876"/>
        <v>1300.9922558277276</v>
      </c>
      <c r="AD1605" s="50">
        <f t="shared" si="3876"/>
        <v>1287.9469892301413</v>
      </c>
      <c r="AE1605" s="50">
        <f t="shared" si="3876"/>
        <v>1289.9647924525143</v>
      </c>
      <c r="AF1605" s="50">
        <f t="shared" ref="AF1605:AI1605" si="3878">AF1612</f>
        <v>1378.0267938131515</v>
      </c>
      <c r="AG1605" s="50">
        <f t="shared" si="3878"/>
        <v>1404.0812617534825</v>
      </c>
      <c r="AH1605" s="50">
        <f t="shared" si="3878"/>
        <v>1364.4056583411866</v>
      </c>
      <c r="AI1605" s="50">
        <f t="shared" si="3878"/>
        <v>1374.4669986372473</v>
      </c>
      <c r="AJ1605" s="50"/>
      <c r="AK1605" s="50"/>
      <c r="AL1605" s="50"/>
      <c r="AM1605" s="50"/>
      <c r="AN1605" s="50"/>
      <c r="AO1605" s="50"/>
      <c r="AP1605" s="50"/>
      <c r="AQ1605" s="50"/>
      <c r="AT1605" s="1165" t="s">
        <v>1189</v>
      </c>
      <c r="AU1605" s="50">
        <f>SUM(D1605:G1605)</f>
        <v>4103</v>
      </c>
      <c r="AV1605" s="50">
        <f>SUM(H1605:K1605)</f>
        <v>4421</v>
      </c>
      <c r="AW1605" s="50">
        <f>SUM(L1605:O1605)</f>
        <v>4730</v>
      </c>
      <c r="AX1605" s="50">
        <f>SUM(P1605:S1605)</f>
        <v>4557</v>
      </c>
      <c r="AY1605" s="50">
        <f>SUM(T1605:W1605)</f>
        <v>4302</v>
      </c>
      <c r="AZ1605" s="50">
        <f>SUM(X1605:AA1605)</f>
        <v>5370</v>
      </c>
      <c r="BA1605" s="50">
        <f>SUM(AB1605:AE1605)</f>
        <v>5008.9040375103832</v>
      </c>
      <c r="BB1605" s="50">
        <f>SUM(AF1605:AI1605)</f>
        <v>5520.9807125450679</v>
      </c>
      <c r="BC1605" s="50">
        <f t="shared" ref="BC1605:BD1605" si="3879">BC1612</f>
        <v>5897.076209285884</v>
      </c>
      <c r="BD1605" s="50">
        <f t="shared" si="3879"/>
        <v>6261.6098212084353</v>
      </c>
      <c r="BE1605" s="50">
        <f t="shared" ref="BE1605" si="3880">BE1612</f>
        <v>6547.9213080960944</v>
      </c>
      <c r="BG1605" s="1195"/>
      <c r="BH1605" s="1195"/>
      <c r="BI1605" s="1195"/>
      <c r="BJ1605" s="1195"/>
      <c r="BK1605" s="1195"/>
      <c r="BL1605" s="1195"/>
      <c r="BM1605"/>
      <c r="BN1605"/>
      <c r="BO1605"/>
      <c r="BP1605"/>
      <c r="BQ1605"/>
      <c r="BR1605"/>
    </row>
    <row r="1606" spans="3:70" s="70" customFormat="1" x14ac:dyDescent="0.2">
      <c r="C1606" s="1166" t="s">
        <v>16</v>
      </c>
      <c r="D1606" s="1174">
        <f>D1607-SUM(D1603:D1605)</f>
        <v>2695</v>
      </c>
      <c r="E1606" s="1174">
        <f t="shared" ref="E1606:AE1606" si="3881">E1607-SUM(E1603:E1605)</f>
        <v>3557</v>
      </c>
      <c r="F1606" s="1174">
        <f t="shared" si="3881"/>
        <v>2890</v>
      </c>
      <c r="G1606" s="1174">
        <f t="shared" si="3881"/>
        <v>3104</v>
      </c>
      <c r="H1606" s="1174">
        <f t="shared" si="3881"/>
        <v>3192</v>
      </c>
      <c r="I1606" s="1174">
        <f t="shared" si="3881"/>
        <v>3565</v>
      </c>
      <c r="J1606" s="1174">
        <f t="shared" si="3881"/>
        <v>3164</v>
      </c>
      <c r="K1606" s="1174">
        <f t="shared" si="3881"/>
        <v>3131</v>
      </c>
      <c r="L1606" s="1174">
        <f t="shared" si="3881"/>
        <v>3414</v>
      </c>
      <c r="M1606" s="1174">
        <f t="shared" si="3881"/>
        <v>3428</v>
      </c>
      <c r="N1606" s="1174">
        <f t="shared" si="3881"/>
        <v>3638</v>
      </c>
      <c r="O1606" s="1174">
        <f t="shared" si="3881"/>
        <v>3595</v>
      </c>
      <c r="P1606" s="1174">
        <f t="shared" si="3881"/>
        <v>3480</v>
      </c>
      <c r="Q1606" s="1174">
        <f t="shared" si="3881"/>
        <v>3481</v>
      </c>
      <c r="R1606" s="1174">
        <f t="shared" si="3881"/>
        <v>3749</v>
      </c>
      <c r="S1606" s="1174">
        <f t="shared" si="3881"/>
        <v>3353</v>
      </c>
      <c r="T1606" s="1174">
        <f t="shared" si="3881"/>
        <v>3274</v>
      </c>
      <c r="U1606" s="1174">
        <f t="shared" si="3881"/>
        <v>3266</v>
      </c>
      <c r="V1606" s="1174">
        <f t="shared" si="3881"/>
        <v>3309</v>
      </c>
      <c r="W1606" s="1174">
        <f t="shared" si="3881"/>
        <v>3411</v>
      </c>
      <c r="X1606" s="1174">
        <f t="shared" si="3881"/>
        <v>3577</v>
      </c>
      <c r="Y1606" s="1174">
        <f t="shared" si="3881"/>
        <v>3887</v>
      </c>
      <c r="Z1606" s="1174">
        <f t="shared" si="3881"/>
        <v>4429</v>
      </c>
      <c r="AA1606" s="1174">
        <f t="shared" ref="AA1606:AB1606" si="3882">AA1607-SUM(AA1603:AA1605)</f>
        <v>3981</v>
      </c>
      <c r="AB1606" s="1174">
        <f t="shared" si="3882"/>
        <v>4197</v>
      </c>
      <c r="AC1606" s="1174">
        <f t="shared" si="3881"/>
        <v>4549.9834657534257</v>
      </c>
      <c r="AD1606" s="1174">
        <f t="shared" si="3881"/>
        <v>4663.628874082191</v>
      </c>
      <c r="AE1606" s="1174">
        <f t="shared" si="3881"/>
        <v>4734.2229105019178</v>
      </c>
      <c r="AF1606" s="1174">
        <f t="shared" ref="AF1606:AI1606" si="3883">AF1607-SUM(AF1603:AF1605)</f>
        <v>4816.9797626556592</v>
      </c>
      <c r="AG1606" s="1174">
        <f t="shared" si="3883"/>
        <v>4874.6568284477598</v>
      </c>
      <c r="AH1606" s="1174">
        <f t="shared" si="3883"/>
        <v>4970.303188910214</v>
      </c>
      <c r="AI1606" s="1174">
        <f t="shared" si="3883"/>
        <v>5008.3687490434077</v>
      </c>
      <c r="AJ1606" s="1775"/>
      <c r="AK1606" s="1775"/>
      <c r="AL1606" s="1775"/>
      <c r="AM1606" s="1775"/>
      <c r="AN1606" s="1775"/>
      <c r="AO1606" s="1775"/>
      <c r="AP1606" s="1775"/>
      <c r="AQ1606" s="1775"/>
      <c r="AT1606" s="1166" t="s">
        <v>16</v>
      </c>
      <c r="AU1606" s="1174">
        <f>SUM(D1606:G1606)</f>
        <v>12246</v>
      </c>
      <c r="AV1606" s="1174">
        <f>SUM(H1606:K1606)</f>
        <v>13052</v>
      </c>
      <c r="AW1606" s="1174">
        <f>SUM(L1606:O1606)</f>
        <v>14075</v>
      </c>
      <c r="AX1606" s="1174">
        <f>SUM(P1606:S1606)</f>
        <v>14063</v>
      </c>
      <c r="AY1606" s="1174">
        <f>SUM(T1606:W1606)</f>
        <v>13260</v>
      </c>
      <c r="AZ1606" s="1174">
        <f>SUM(X1606:AA1606)</f>
        <v>15874</v>
      </c>
      <c r="BA1606" s="1174">
        <f>SUM(AB1606:AE1606)</f>
        <v>18144.835250337535</v>
      </c>
      <c r="BB1606" s="1174">
        <f>SUM(AF1606:AI1606)</f>
        <v>19670.308529057038</v>
      </c>
      <c r="BC1606" s="1174">
        <f t="shared" ref="BC1606" si="3884">BC1607-SUM(BC1603:BC1605)</f>
        <v>20840.623297379221</v>
      </c>
      <c r="BD1606" s="1174">
        <f t="shared" ref="BD1606:BE1606" si="3885">BD1607-SUM(BD1603:BD1605)</f>
        <v>21964.167310223405</v>
      </c>
      <c r="BE1606" s="1174">
        <f t="shared" si="3885"/>
        <v>23124.593276768919</v>
      </c>
      <c r="BG1606" s="1195"/>
      <c r="BH1606" s="1195"/>
      <c r="BI1606" s="1195"/>
      <c r="BJ1606" s="1195"/>
      <c r="BK1606" s="1195"/>
      <c r="BL1606" s="1195"/>
      <c r="BM1606"/>
      <c r="BN1606"/>
      <c r="BO1606"/>
      <c r="BP1606"/>
      <c r="BQ1606"/>
      <c r="BR1606"/>
    </row>
    <row r="1607" spans="3:70" s="70" customFormat="1" x14ac:dyDescent="0.2">
      <c r="C1607" s="1167" t="s">
        <v>1190</v>
      </c>
      <c r="D1607" s="1175">
        <f t="shared" ref="D1607:AE1607" si="3886">D489</f>
        <v>8128</v>
      </c>
      <c r="E1607" s="1175">
        <f t="shared" si="3886"/>
        <v>8267</v>
      </c>
      <c r="F1607" s="1175">
        <f t="shared" si="3886"/>
        <v>7457</v>
      </c>
      <c r="G1607" s="1175">
        <f t="shared" si="3886"/>
        <v>7019</v>
      </c>
      <c r="H1607" s="1175">
        <f t="shared" si="3886"/>
        <v>9591</v>
      </c>
      <c r="I1607" s="1175">
        <f t="shared" si="3886"/>
        <v>9594</v>
      </c>
      <c r="J1607" s="1175">
        <f t="shared" si="3886"/>
        <v>7329</v>
      </c>
      <c r="K1607" s="1175">
        <f t="shared" si="3886"/>
        <v>7066</v>
      </c>
      <c r="L1607" s="1175">
        <f t="shared" si="3886"/>
        <v>9266</v>
      </c>
      <c r="M1607" s="1175">
        <f t="shared" si="3886"/>
        <v>8471</v>
      </c>
      <c r="N1607" s="1175">
        <f t="shared" si="3886"/>
        <v>8402</v>
      </c>
      <c r="O1607" s="1175">
        <f t="shared" si="3886"/>
        <v>7223</v>
      </c>
      <c r="P1607" s="1175">
        <f t="shared" si="3886"/>
        <v>8962</v>
      </c>
      <c r="Q1607" s="1175">
        <f t="shared" si="3886"/>
        <v>8769</v>
      </c>
      <c r="R1607" s="1175">
        <f t="shared" si="3886"/>
        <v>8481</v>
      </c>
      <c r="S1607" s="1175">
        <f t="shared" si="3886"/>
        <v>7120</v>
      </c>
      <c r="T1607" s="1175">
        <f t="shared" si="3886"/>
        <v>7895</v>
      </c>
      <c r="U1607" s="1175">
        <f t="shared" si="3886"/>
        <v>8689</v>
      </c>
      <c r="V1607" s="1175">
        <f t="shared" si="3886"/>
        <v>8459</v>
      </c>
      <c r="W1607" s="1175">
        <f t="shared" si="3886"/>
        <v>8184</v>
      </c>
      <c r="X1607" s="1175">
        <f t="shared" si="3886"/>
        <v>9319</v>
      </c>
      <c r="Y1607" s="1175">
        <f t="shared" si="3886"/>
        <v>9421</v>
      </c>
      <c r="Z1607" s="1175">
        <f t="shared" si="3886"/>
        <v>9430</v>
      </c>
      <c r="AA1607" s="1175">
        <f t="shared" ref="AA1607:AB1607" si="3887">AA489</f>
        <v>8304</v>
      </c>
      <c r="AB1607" s="1175">
        <f t="shared" si="3887"/>
        <v>9848</v>
      </c>
      <c r="AC1607" s="1175">
        <f t="shared" si="3886"/>
        <v>10162.645721581153</v>
      </c>
      <c r="AD1607" s="1175">
        <f t="shared" si="3886"/>
        <v>9938.8558633123321</v>
      </c>
      <c r="AE1607" s="1175">
        <f t="shared" si="3886"/>
        <v>9364.6277029544326</v>
      </c>
      <c r="AF1607" s="1175">
        <f t="shared" ref="AF1607:AI1607" si="3888">AF489</f>
        <v>10960.716556468811</v>
      </c>
      <c r="AG1607" s="1175">
        <f t="shared" si="3888"/>
        <v>10982.787590201242</v>
      </c>
      <c r="AH1607" s="1175">
        <f t="shared" si="3888"/>
        <v>10679.896847251401</v>
      </c>
      <c r="AI1607" s="1175">
        <f t="shared" si="3888"/>
        <v>10023.299747680656</v>
      </c>
      <c r="AJ1607" s="1175"/>
      <c r="AK1607" s="1175"/>
      <c r="AL1607" s="1175"/>
      <c r="AM1607" s="1175"/>
      <c r="AN1607" s="1175"/>
      <c r="AO1607" s="1175"/>
      <c r="AP1607" s="1175"/>
      <c r="AQ1607" s="1175"/>
      <c r="AT1607" s="1167" t="s">
        <v>1190</v>
      </c>
      <c r="AU1607" s="1175">
        <f t="shared" ref="AU1607:BD1607" si="3889">AU489</f>
        <v>30871</v>
      </c>
      <c r="AV1607" s="1175">
        <f t="shared" si="3889"/>
        <v>33580</v>
      </c>
      <c r="AW1607" s="1175">
        <f t="shared" si="3889"/>
        <v>33362</v>
      </c>
      <c r="AX1607" s="1175">
        <f t="shared" si="3889"/>
        <v>33332</v>
      </c>
      <c r="AY1607" s="1175">
        <f t="shared" si="3889"/>
        <v>33227</v>
      </c>
      <c r="AZ1607" s="1175">
        <f t="shared" si="3889"/>
        <v>36474</v>
      </c>
      <c r="BA1607" s="1175">
        <f t="shared" si="3889"/>
        <v>39314.129287847914</v>
      </c>
      <c r="BB1607" s="1175">
        <f t="shared" ref="BB1607" si="3890">BB489</f>
        <v>42646.700741602115</v>
      </c>
      <c r="BC1607" s="1175">
        <f t="shared" si="3889"/>
        <v>45556.306651665109</v>
      </c>
      <c r="BD1607" s="1175">
        <f t="shared" si="3889"/>
        <v>48361.686776581846</v>
      </c>
      <c r="BE1607" s="1175">
        <f t="shared" ref="BE1607" si="3891">BE489</f>
        <v>51217.937905175517</v>
      </c>
      <c r="BG1607" s="1195"/>
      <c r="BH1607" s="1195"/>
      <c r="BI1607" s="1195"/>
      <c r="BJ1607" s="1195"/>
      <c r="BK1607" s="1195"/>
      <c r="BL1607" s="1195"/>
      <c r="BM1607"/>
      <c r="BN1607"/>
      <c r="BO1607"/>
      <c r="BP1607"/>
      <c r="BQ1607"/>
      <c r="BR1607"/>
    </row>
    <row r="1608" spans="3:70" s="70" customFormat="1" x14ac:dyDescent="0.2">
      <c r="C1608" s="1168"/>
      <c r="D1608" s="1191"/>
      <c r="E1608" s="1191"/>
      <c r="F1608" s="1191"/>
      <c r="G1608" s="1191"/>
      <c r="H1608" s="1191"/>
      <c r="I1608" s="1191"/>
      <c r="J1608" s="1191"/>
      <c r="K1608" s="1191"/>
      <c r="L1608" s="1191"/>
      <c r="M1608" s="1191"/>
      <c r="N1608" s="1191"/>
      <c r="O1608" s="1191"/>
      <c r="P1608" s="1191"/>
      <c r="Q1608" s="1191"/>
      <c r="R1608" s="1191"/>
      <c r="S1608" s="1191"/>
      <c r="T1608" s="1191"/>
      <c r="U1608" s="1191"/>
      <c r="V1608" s="1191"/>
      <c r="W1608" s="1191"/>
      <c r="X1608" s="1191"/>
      <c r="Y1608" s="1191"/>
      <c r="Z1608" s="1191"/>
      <c r="AA1608" s="1191"/>
      <c r="AB1608" s="1191"/>
      <c r="AC1608" s="1191"/>
      <c r="AD1608" s="1191"/>
      <c r="AE1608" s="1191"/>
      <c r="AF1608" s="1191"/>
      <c r="AG1608" s="1191"/>
      <c r="AH1608" s="1191"/>
      <c r="AI1608" s="1191"/>
      <c r="AJ1608" s="1191"/>
      <c r="AK1608" s="1191"/>
      <c r="AL1608" s="1191"/>
      <c r="AM1608" s="1191"/>
      <c r="AN1608" s="1191"/>
      <c r="AO1608" s="1191"/>
      <c r="AP1608" s="1191"/>
      <c r="AQ1608" s="1191"/>
      <c r="AT1608" s="1168"/>
      <c r="AU1608" s="1191"/>
      <c r="AV1608" s="1191"/>
      <c r="AW1608" s="1191"/>
      <c r="AX1608" s="1191"/>
      <c r="AY1608" s="1191"/>
      <c r="AZ1608" s="1191"/>
      <c r="BA1608" s="1191"/>
      <c r="BB1608" s="1191"/>
      <c r="BC1608" s="1191"/>
      <c r="BD1608" s="1191"/>
      <c r="BE1608" s="1191"/>
      <c r="BG1608" s="1195"/>
      <c r="BH1608" s="1195"/>
      <c r="BI1608" s="1195"/>
      <c r="BJ1608" s="1195"/>
      <c r="BK1608" s="1195"/>
      <c r="BL1608" s="1195"/>
      <c r="BM1608"/>
      <c r="BN1608"/>
      <c r="BO1608"/>
      <c r="BP1608"/>
      <c r="BQ1608"/>
      <c r="BR1608"/>
    </row>
    <row r="1609" spans="3:70" s="70" customFormat="1" x14ac:dyDescent="0.2">
      <c r="C1609" s="1164" t="s">
        <v>1191</v>
      </c>
      <c r="D1609" s="1161"/>
      <c r="E1609" s="1161"/>
      <c r="F1609" s="1161"/>
      <c r="G1609" s="1161"/>
      <c r="H1609" s="1161"/>
      <c r="I1609" s="1161"/>
      <c r="J1609" s="1161"/>
      <c r="K1609" s="1161"/>
      <c r="L1609" s="1161"/>
      <c r="M1609" s="1161"/>
      <c r="N1609" s="1161"/>
      <c r="O1609" s="1161"/>
      <c r="P1609" s="1161"/>
      <c r="Q1609" s="1161"/>
      <c r="R1609" s="1161"/>
      <c r="S1609" s="1161"/>
      <c r="T1609" s="1161"/>
      <c r="U1609" s="1161"/>
      <c r="V1609" s="1161"/>
      <c r="W1609" s="1161"/>
      <c r="X1609" s="1161"/>
      <c r="Y1609" s="1161"/>
      <c r="Z1609" s="1161"/>
      <c r="AA1609" s="1161"/>
      <c r="AB1609" s="1161"/>
      <c r="AC1609" s="1161"/>
      <c r="AD1609" s="1161"/>
      <c r="AE1609" s="1161"/>
      <c r="AF1609" s="1161"/>
      <c r="AG1609" s="1161"/>
      <c r="AH1609" s="1161"/>
      <c r="AI1609" s="1161"/>
      <c r="AJ1609" s="1161"/>
      <c r="AK1609" s="1161"/>
      <c r="AL1609" s="1161"/>
      <c r="AM1609" s="1161"/>
      <c r="AN1609" s="1161"/>
      <c r="AO1609" s="1161"/>
      <c r="AP1609" s="1161"/>
      <c r="AQ1609" s="1161"/>
      <c r="AT1609" s="1164" t="s">
        <v>1191</v>
      </c>
      <c r="AU1609" s="1161"/>
      <c r="AV1609" s="1161"/>
      <c r="AW1609" s="1161"/>
      <c r="AX1609" s="1161"/>
      <c r="AY1609" s="1161"/>
      <c r="AZ1609" s="1161"/>
      <c r="BA1609" s="1161"/>
      <c r="BB1609" s="1161"/>
      <c r="BC1609" s="1161"/>
      <c r="BD1609" s="1161"/>
      <c r="BE1609" s="1161"/>
      <c r="BG1609" s="1195"/>
      <c r="BH1609" s="1195"/>
      <c r="BI1609" s="1195"/>
      <c r="BJ1609" s="1195"/>
      <c r="BK1609" s="1195"/>
      <c r="BL1609" s="1195"/>
      <c r="BM1609"/>
      <c r="BN1609"/>
      <c r="BO1609"/>
      <c r="BP1609"/>
      <c r="BQ1609"/>
      <c r="BR1609"/>
    </row>
    <row r="1610" spans="3:70" s="70" customFormat="1" x14ac:dyDescent="0.2">
      <c r="C1610" s="1165" t="s">
        <v>277</v>
      </c>
      <c r="D1610" s="1173">
        <f t="shared" ref="D1610:AE1610" si="3892">D482</f>
        <v>897</v>
      </c>
      <c r="E1610" s="1173">
        <f t="shared" si="3892"/>
        <v>533</v>
      </c>
      <c r="F1610" s="1173">
        <f t="shared" si="3892"/>
        <v>499</v>
      </c>
      <c r="G1610" s="1173">
        <f t="shared" si="3892"/>
        <v>435</v>
      </c>
      <c r="H1610" s="1173">
        <f t="shared" si="3892"/>
        <v>805</v>
      </c>
      <c r="I1610" s="1173">
        <f t="shared" si="3892"/>
        <v>904</v>
      </c>
      <c r="J1610" s="1173">
        <f t="shared" si="3892"/>
        <v>692</v>
      </c>
      <c r="K1610" s="1173">
        <f t="shared" si="3892"/>
        <v>504</v>
      </c>
      <c r="L1610" s="1173">
        <f t="shared" si="3892"/>
        <v>883</v>
      </c>
      <c r="M1610" s="1173">
        <f t="shared" si="3892"/>
        <v>610</v>
      </c>
      <c r="N1610" s="1173">
        <f t="shared" si="3892"/>
        <v>755</v>
      </c>
      <c r="O1610" s="1173">
        <f t="shared" si="3892"/>
        <v>473</v>
      </c>
      <c r="P1610" s="1173">
        <f t="shared" si="3892"/>
        <v>862</v>
      </c>
      <c r="Q1610" s="1173">
        <f t="shared" si="3892"/>
        <v>644</v>
      </c>
      <c r="R1610" s="1173">
        <f t="shared" si="3892"/>
        <v>997</v>
      </c>
      <c r="S1610" s="1173">
        <f t="shared" si="3892"/>
        <v>598</v>
      </c>
      <c r="T1610" s="1173">
        <f t="shared" si="3892"/>
        <v>697</v>
      </c>
      <c r="U1610" s="1173">
        <f t="shared" si="3892"/>
        <v>776</v>
      </c>
      <c r="V1610" s="1173">
        <f t="shared" si="3892"/>
        <v>654</v>
      </c>
      <c r="W1610" s="1173">
        <f t="shared" si="3892"/>
        <v>685</v>
      </c>
      <c r="X1610" s="1173">
        <f t="shared" si="3892"/>
        <v>802</v>
      </c>
      <c r="Y1610" s="1173">
        <f t="shared" si="3892"/>
        <v>725</v>
      </c>
      <c r="Z1610" s="1173">
        <f t="shared" si="3892"/>
        <v>785</v>
      </c>
      <c r="AA1610" s="1173">
        <f t="shared" ref="AA1610:AB1610" si="3893">AA482</f>
        <v>567</v>
      </c>
      <c r="AB1610" s="1173">
        <f t="shared" si="3893"/>
        <v>1103</v>
      </c>
      <c r="AC1610" s="1173">
        <f t="shared" si="3892"/>
        <v>775.75</v>
      </c>
      <c r="AD1610" s="1173">
        <f t="shared" si="3892"/>
        <v>816.4</v>
      </c>
      <c r="AE1610" s="1173">
        <f t="shared" si="3892"/>
        <v>680.4</v>
      </c>
      <c r="AF1610" s="1173">
        <f t="shared" ref="AF1610:AI1610" si="3894">AF482</f>
        <v>937.55</v>
      </c>
      <c r="AG1610" s="1173">
        <f t="shared" si="3894"/>
        <v>814.53750000000002</v>
      </c>
      <c r="AH1610" s="1173">
        <f t="shared" si="3894"/>
        <v>857.22</v>
      </c>
      <c r="AI1610" s="1173">
        <f t="shared" si="3894"/>
        <v>714.42</v>
      </c>
      <c r="AJ1610" s="1173"/>
      <c r="AK1610" s="1173"/>
      <c r="AL1610" s="1173"/>
      <c r="AM1610" s="1173"/>
      <c r="AN1610" s="1173"/>
      <c r="AO1610" s="1173"/>
      <c r="AP1610" s="1173"/>
      <c r="AQ1610" s="1173"/>
      <c r="AT1610" s="1165" t="s">
        <v>277</v>
      </c>
      <c r="AU1610" s="1173">
        <f t="shared" ref="AU1610:BD1610" si="3895">AU482</f>
        <v>2364</v>
      </c>
      <c r="AV1610" s="1173">
        <f t="shared" si="3895"/>
        <v>2905</v>
      </c>
      <c r="AW1610" s="1173">
        <f t="shared" si="3895"/>
        <v>2721</v>
      </c>
      <c r="AX1610" s="1173">
        <f t="shared" si="3895"/>
        <v>3101</v>
      </c>
      <c r="AY1610" s="1173">
        <f t="shared" si="3895"/>
        <v>2812</v>
      </c>
      <c r="AZ1610" s="1173">
        <f t="shared" si="3895"/>
        <v>2879</v>
      </c>
      <c r="BA1610" s="1173">
        <f t="shared" si="3895"/>
        <v>3375.55</v>
      </c>
      <c r="BB1610" s="1173">
        <f t="shared" ref="BB1610" si="3896">BB482</f>
        <v>3323.7275</v>
      </c>
      <c r="BC1610" s="1173">
        <f t="shared" si="3895"/>
        <v>3556.3884250000001</v>
      </c>
      <c r="BD1610" s="1173">
        <f t="shared" si="3895"/>
        <v>3805.3356147500003</v>
      </c>
      <c r="BE1610" s="1173">
        <f t="shared" ref="BE1610" si="3897">BE482</f>
        <v>4071.7091077825007</v>
      </c>
      <c r="BG1610" s="1195"/>
      <c r="BH1610" s="1195"/>
      <c r="BI1610" s="1195"/>
      <c r="BJ1610" s="1195"/>
      <c r="BK1610" s="1195"/>
      <c r="BL1610" s="1195"/>
      <c r="BM1610"/>
      <c r="BN1610"/>
      <c r="BO1610"/>
      <c r="BP1610"/>
      <c r="BQ1610"/>
      <c r="BR1610"/>
    </row>
    <row r="1611" spans="3:70" s="70" customFormat="1" x14ac:dyDescent="0.2">
      <c r="C1611" s="1165" t="s">
        <v>276</v>
      </c>
      <c r="D1611" s="1173">
        <f t="shared" ref="D1611:AE1611" si="3898">D481</f>
        <v>4952</v>
      </c>
      <c r="E1611" s="1173">
        <f t="shared" si="3898"/>
        <v>3002</v>
      </c>
      <c r="F1611" s="1173">
        <f t="shared" si="3898"/>
        <v>3805</v>
      </c>
      <c r="G1611" s="1173">
        <f t="shared" si="3898"/>
        <v>2879</v>
      </c>
      <c r="H1611" s="1173">
        <f t="shared" si="3898"/>
        <v>4731</v>
      </c>
      <c r="I1611" s="1173">
        <f t="shared" si="3898"/>
        <v>3505</v>
      </c>
      <c r="J1611" s="1173">
        <f t="shared" si="3898"/>
        <v>2854</v>
      </c>
      <c r="K1611" s="1173">
        <f t="shared" si="3898"/>
        <v>2448</v>
      </c>
      <c r="L1611" s="1173">
        <f t="shared" si="3898"/>
        <v>3919</v>
      </c>
      <c r="M1611" s="1173">
        <f t="shared" si="3898"/>
        <v>3121</v>
      </c>
      <c r="N1611" s="1173">
        <f t="shared" si="3898"/>
        <v>3064</v>
      </c>
      <c r="O1611" s="1173">
        <f t="shared" si="3898"/>
        <v>2070</v>
      </c>
      <c r="P1611" s="1173">
        <f t="shared" si="3898"/>
        <v>3485</v>
      </c>
      <c r="Q1611" s="1173">
        <f t="shared" si="3898"/>
        <v>3032</v>
      </c>
      <c r="R1611" s="1173">
        <f t="shared" si="3898"/>
        <v>2553</v>
      </c>
      <c r="S1611" s="1173">
        <f t="shared" si="3898"/>
        <v>2207</v>
      </c>
      <c r="T1611" s="1173">
        <f t="shared" si="3898"/>
        <v>3051</v>
      </c>
      <c r="U1611" s="1173">
        <f t="shared" si="3898"/>
        <v>3432</v>
      </c>
      <c r="V1611" s="1173">
        <f t="shared" si="3898"/>
        <v>3413</v>
      </c>
      <c r="W1611" s="1173">
        <f t="shared" si="3898"/>
        <v>2957</v>
      </c>
      <c r="X1611" s="1173">
        <f t="shared" si="3898"/>
        <v>3678</v>
      </c>
      <c r="Y1611" s="1173">
        <f t="shared" si="3898"/>
        <v>3274</v>
      </c>
      <c r="Z1611" s="1173">
        <f t="shared" si="3898"/>
        <v>2936</v>
      </c>
      <c r="AA1611" s="1173">
        <f t="shared" ref="AA1611:AB1611" si="3899">AA481</f>
        <v>2463</v>
      </c>
      <c r="AB1611" s="1173">
        <f t="shared" si="3899"/>
        <v>3418</v>
      </c>
      <c r="AC1611" s="1173">
        <f t="shared" si="3898"/>
        <v>3535.92</v>
      </c>
      <c r="AD1611" s="1173">
        <f t="shared" si="3898"/>
        <v>3170.88</v>
      </c>
      <c r="AE1611" s="1173">
        <f t="shared" si="3898"/>
        <v>2660.04</v>
      </c>
      <c r="AF1611" s="1173">
        <f t="shared" ref="AF1611:AI1611" si="3900">AF481</f>
        <v>3828.1600000000003</v>
      </c>
      <c r="AG1611" s="1173">
        <f t="shared" si="3900"/>
        <v>3889.5120000000002</v>
      </c>
      <c r="AH1611" s="1173">
        <f t="shared" si="3900"/>
        <v>3487.9680000000003</v>
      </c>
      <c r="AI1611" s="1173">
        <f t="shared" si="3900"/>
        <v>2926.0440000000003</v>
      </c>
      <c r="AJ1611" s="1173"/>
      <c r="AK1611" s="1173"/>
      <c r="AL1611" s="1173"/>
      <c r="AM1611" s="1173"/>
      <c r="AN1611" s="1173"/>
      <c r="AO1611" s="1173"/>
      <c r="AP1611" s="1173"/>
      <c r="AQ1611" s="1173"/>
      <c r="AT1611" s="1165" t="s">
        <v>276</v>
      </c>
      <c r="AU1611" s="1173">
        <f t="shared" ref="AU1611:BD1611" si="3901">AU481</f>
        <v>14638</v>
      </c>
      <c r="AV1611" s="1173">
        <f t="shared" si="3901"/>
        <v>13538</v>
      </c>
      <c r="AW1611" s="1173">
        <f t="shared" si="3901"/>
        <v>12174</v>
      </c>
      <c r="AX1611" s="1173">
        <f t="shared" si="3901"/>
        <v>11277</v>
      </c>
      <c r="AY1611" s="1173">
        <f t="shared" si="3901"/>
        <v>12853</v>
      </c>
      <c r="AZ1611" s="1173">
        <f t="shared" si="3901"/>
        <v>12351</v>
      </c>
      <c r="BA1611" s="1173">
        <f t="shared" si="3901"/>
        <v>12784.84</v>
      </c>
      <c r="BB1611" s="1173">
        <f t="shared" ref="BB1611" si="3902">BB481</f>
        <v>14131.684000000001</v>
      </c>
      <c r="BC1611" s="1173">
        <f t="shared" si="3901"/>
        <v>15262.218720000003</v>
      </c>
      <c r="BD1611" s="1173">
        <f t="shared" si="3901"/>
        <v>16330.574030400003</v>
      </c>
      <c r="BE1611" s="1173">
        <f t="shared" ref="BE1611" si="3903">BE481</f>
        <v>17473.714212528004</v>
      </c>
      <c r="BG1611" s="1195"/>
      <c r="BH1611" s="1195"/>
      <c r="BI1611" s="1195"/>
      <c r="BJ1611" s="1195"/>
      <c r="BK1611" s="1195"/>
      <c r="BL1611" s="1195"/>
      <c r="BM1611"/>
      <c r="BN1611"/>
      <c r="BO1611"/>
      <c r="BP1611"/>
      <c r="BQ1611"/>
      <c r="BR1611"/>
    </row>
    <row r="1612" spans="3:70" s="70" customFormat="1" x14ac:dyDescent="0.2">
      <c r="C1612" s="1165" t="s">
        <v>1189</v>
      </c>
      <c r="D1612" s="1173">
        <f t="shared" ref="D1612:AE1612" si="3904">D472</f>
        <v>961</v>
      </c>
      <c r="E1612" s="1173">
        <f t="shared" si="3904"/>
        <v>984</v>
      </c>
      <c r="F1612" s="1173">
        <f t="shared" si="3904"/>
        <v>1049</v>
      </c>
      <c r="G1612" s="1173">
        <f t="shared" si="3904"/>
        <v>1109</v>
      </c>
      <c r="H1612" s="1173">
        <f t="shared" si="3904"/>
        <v>1170</v>
      </c>
      <c r="I1612" s="1173">
        <f t="shared" si="3904"/>
        <v>1158</v>
      </c>
      <c r="J1612" s="1173">
        <f t="shared" si="3904"/>
        <v>945</v>
      </c>
      <c r="K1612" s="1173">
        <f t="shared" si="3904"/>
        <v>1148</v>
      </c>
      <c r="L1612" s="1173">
        <f t="shared" si="3904"/>
        <v>1060</v>
      </c>
      <c r="M1612" s="1173">
        <f t="shared" si="3904"/>
        <v>1345</v>
      </c>
      <c r="N1612" s="1173">
        <f t="shared" si="3904"/>
        <v>1255</v>
      </c>
      <c r="O1612" s="1173">
        <f t="shared" si="3904"/>
        <v>1070</v>
      </c>
      <c r="P1612" s="1173">
        <f t="shared" si="3904"/>
        <v>1200</v>
      </c>
      <c r="Q1612" s="1173">
        <f t="shared" si="3904"/>
        <v>1288</v>
      </c>
      <c r="R1612" s="1173">
        <f t="shared" si="3904"/>
        <v>940</v>
      </c>
      <c r="S1612" s="1173">
        <f t="shared" si="3904"/>
        <v>1129</v>
      </c>
      <c r="T1612" s="1173">
        <f t="shared" si="3904"/>
        <v>873</v>
      </c>
      <c r="U1612" s="1173">
        <f t="shared" si="3904"/>
        <v>1215</v>
      </c>
      <c r="V1612" s="1173">
        <f t="shared" si="3904"/>
        <v>1083</v>
      </c>
      <c r="W1612" s="1173">
        <f t="shared" si="3904"/>
        <v>1131</v>
      </c>
      <c r="X1612" s="1173">
        <f t="shared" si="3904"/>
        <v>1262</v>
      </c>
      <c r="Y1612" s="1173">
        <f t="shared" si="3904"/>
        <v>1535</v>
      </c>
      <c r="Z1612" s="1173">
        <f t="shared" si="3904"/>
        <v>1280</v>
      </c>
      <c r="AA1612" s="1173">
        <f t="shared" ref="AA1612:AB1612" si="3905">AA472</f>
        <v>1293</v>
      </c>
      <c r="AB1612" s="1173">
        <f t="shared" si="3905"/>
        <v>1130</v>
      </c>
      <c r="AC1612" s="1173">
        <f t="shared" si="3904"/>
        <v>1300.9922558277276</v>
      </c>
      <c r="AD1612" s="1173">
        <f t="shared" si="3904"/>
        <v>1287.9469892301413</v>
      </c>
      <c r="AE1612" s="1173">
        <f t="shared" si="3904"/>
        <v>1289.9647924525143</v>
      </c>
      <c r="AF1612" s="1173">
        <f t="shared" ref="AF1612:AI1612" si="3906">AF472</f>
        <v>1378.0267938131515</v>
      </c>
      <c r="AG1612" s="1173">
        <f t="shared" si="3906"/>
        <v>1404.0812617534825</v>
      </c>
      <c r="AH1612" s="1173">
        <f t="shared" si="3906"/>
        <v>1364.4056583411866</v>
      </c>
      <c r="AI1612" s="1173">
        <f t="shared" si="3906"/>
        <v>1374.4669986372473</v>
      </c>
      <c r="AJ1612" s="1173"/>
      <c r="AK1612" s="1173"/>
      <c r="AL1612" s="1173"/>
      <c r="AM1612" s="1173"/>
      <c r="AN1612" s="1173"/>
      <c r="AO1612" s="1173"/>
      <c r="AP1612" s="1173"/>
      <c r="AQ1612" s="1173"/>
      <c r="AT1612" s="1165" t="s">
        <v>1189</v>
      </c>
      <c r="AU1612" s="1173">
        <f t="shared" ref="AU1612:BD1612" si="3907">AU472</f>
        <v>4103</v>
      </c>
      <c r="AV1612" s="1173">
        <f t="shared" si="3907"/>
        <v>4421</v>
      </c>
      <c r="AW1612" s="1173">
        <f t="shared" si="3907"/>
        <v>4730</v>
      </c>
      <c r="AX1612" s="1173">
        <f t="shared" si="3907"/>
        <v>4557</v>
      </c>
      <c r="AY1612" s="1173">
        <f t="shared" si="3907"/>
        <v>4302</v>
      </c>
      <c r="AZ1612" s="1173">
        <f t="shared" si="3907"/>
        <v>5370</v>
      </c>
      <c r="BA1612" s="1173">
        <f t="shared" si="3907"/>
        <v>5008.9040375103832</v>
      </c>
      <c r="BB1612" s="1173">
        <f t="shared" ref="BB1612" si="3908">BB472</f>
        <v>5520.9807125450689</v>
      </c>
      <c r="BC1612" s="1173">
        <f t="shared" si="3907"/>
        <v>5897.076209285884</v>
      </c>
      <c r="BD1612" s="1173">
        <f t="shared" si="3907"/>
        <v>6261.6098212084353</v>
      </c>
      <c r="BE1612" s="1173">
        <f t="shared" ref="BE1612" si="3909">BE472</f>
        <v>6547.9213080960944</v>
      </c>
      <c r="BG1612" s="1195"/>
      <c r="BH1612" s="1195"/>
      <c r="BI1612" s="1195"/>
      <c r="BJ1612" s="1195"/>
      <c r="BK1612" s="1195"/>
      <c r="BL1612" s="1195"/>
      <c r="BM1612"/>
      <c r="BN1612"/>
      <c r="BO1612"/>
      <c r="BP1612"/>
      <c r="BQ1612"/>
      <c r="BR1612"/>
    </row>
    <row r="1613" spans="3:70" s="70" customFormat="1" x14ac:dyDescent="0.2">
      <c r="C1613" s="1166" t="s">
        <v>16</v>
      </c>
      <c r="D1613" s="1174">
        <f>D1614-SUM(D1610:D1612)</f>
        <v>2694</v>
      </c>
      <c r="E1613" s="1174">
        <f t="shared" ref="E1613:AE1613" si="3910">E1614-SUM(E1610:E1612)</f>
        <v>3550</v>
      </c>
      <c r="F1613" s="1174">
        <f t="shared" si="3910"/>
        <v>2903</v>
      </c>
      <c r="G1613" s="1174">
        <f t="shared" si="3910"/>
        <v>3106</v>
      </c>
      <c r="H1613" s="1174">
        <f t="shared" si="3910"/>
        <v>3195</v>
      </c>
      <c r="I1613" s="1174">
        <f t="shared" si="3910"/>
        <v>3565</v>
      </c>
      <c r="J1613" s="1174">
        <f t="shared" si="3910"/>
        <v>3170</v>
      </c>
      <c r="K1613" s="1174">
        <f t="shared" si="3910"/>
        <v>3131</v>
      </c>
      <c r="L1613" s="1174">
        <f t="shared" si="3910"/>
        <v>3411</v>
      </c>
      <c r="M1613" s="1174">
        <f t="shared" si="3910"/>
        <v>3427</v>
      </c>
      <c r="N1613" s="1174">
        <f t="shared" si="3910"/>
        <v>3644</v>
      </c>
      <c r="O1613" s="1174">
        <f t="shared" si="3910"/>
        <v>3598</v>
      </c>
      <c r="P1613" s="1174">
        <f t="shared" si="3910"/>
        <v>3484</v>
      </c>
      <c r="Q1613" s="1174">
        <f t="shared" si="3910"/>
        <v>3502</v>
      </c>
      <c r="R1613" s="1174">
        <f t="shared" si="3910"/>
        <v>3770</v>
      </c>
      <c r="S1613" s="1174">
        <f t="shared" si="3910"/>
        <v>3372</v>
      </c>
      <c r="T1613" s="1174">
        <f t="shared" si="3910"/>
        <v>3274</v>
      </c>
      <c r="U1613" s="1174">
        <f t="shared" si="3910"/>
        <v>3266</v>
      </c>
      <c r="V1613" s="1174">
        <f t="shared" si="3910"/>
        <v>3309</v>
      </c>
      <c r="W1613" s="1174">
        <f t="shared" si="3910"/>
        <v>3411</v>
      </c>
      <c r="X1613" s="1174">
        <f t="shared" si="3910"/>
        <v>3577</v>
      </c>
      <c r="Y1613" s="1174">
        <f t="shared" si="3910"/>
        <v>3887</v>
      </c>
      <c r="Z1613" s="1174">
        <f t="shared" si="3910"/>
        <v>4429</v>
      </c>
      <c r="AA1613" s="1174">
        <f t="shared" ref="AA1613:AB1613" si="3911">AA1614-SUM(AA1610:AA1612)</f>
        <v>3981</v>
      </c>
      <c r="AB1613" s="1174">
        <f t="shared" si="3911"/>
        <v>4197</v>
      </c>
      <c r="AC1613" s="1174">
        <f t="shared" si="3910"/>
        <v>4549.9834657534257</v>
      </c>
      <c r="AD1613" s="1174">
        <f t="shared" si="3910"/>
        <v>4663.628874082191</v>
      </c>
      <c r="AE1613" s="1174">
        <f t="shared" si="3910"/>
        <v>4734.2229105019178</v>
      </c>
      <c r="AF1613" s="1174">
        <f t="shared" ref="AF1613:AI1613" si="3912">AF1614-SUM(AF1610:AF1612)</f>
        <v>4816.9797626556592</v>
      </c>
      <c r="AG1613" s="1174">
        <f t="shared" si="3912"/>
        <v>4874.6568284477598</v>
      </c>
      <c r="AH1613" s="1174">
        <f t="shared" si="3912"/>
        <v>4970.303188910214</v>
      </c>
      <c r="AI1613" s="1174">
        <f t="shared" si="3912"/>
        <v>5008.3687490434077</v>
      </c>
      <c r="AJ1613" s="1775"/>
      <c r="AK1613" s="1775"/>
      <c r="AL1613" s="1775"/>
      <c r="AM1613" s="1775"/>
      <c r="AN1613" s="1775"/>
      <c r="AO1613" s="1775"/>
      <c r="AP1613" s="1775"/>
      <c r="AQ1613" s="1775"/>
      <c r="AT1613" s="1166" t="s">
        <v>16</v>
      </c>
      <c r="AU1613" s="1174">
        <f t="shared" ref="AU1613:AY1613" si="3913">AU1614-SUM(AU1610:AU1612)</f>
        <v>12253</v>
      </c>
      <c r="AV1613" s="1174">
        <f t="shared" si="3913"/>
        <v>13061</v>
      </c>
      <c r="AW1613" s="1174">
        <f t="shared" si="3913"/>
        <v>14080</v>
      </c>
      <c r="AX1613" s="1174">
        <f t="shared" si="3913"/>
        <v>14128</v>
      </c>
      <c r="AY1613" s="1174">
        <f t="shared" si="3913"/>
        <v>13260</v>
      </c>
      <c r="AZ1613" s="1174">
        <f t="shared" ref="AZ1613" si="3914">AZ1614-SUM(AZ1610:AZ1612)</f>
        <v>15874</v>
      </c>
      <c r="BA1613" s="1174">
        <f t="shared" ref="BA1613:BB1613" si="3915">BA1614-SUM(BA1610:BA1612)</f>
        <v>18144.835250337532</v>
      </c>
      <c r="BB1613" s="1174">
        <f t="shared" si="3915"/>
        <v>19670.308529057045</v>
      </c>
      <c r="BC1613" s="1174">
        <f t="shared" ref="BC1613" si="3916">BC1614-SUM(BC1610:BC1612)</f>
        <v>20840.623297379221</v>
      </c>
      <c r="BD1613" s="1174">
        <f t="shared" ref="BD1613:BE1613" si="3917">BD1614-SUM(BD1610:BD1612)</f>
        <v>21964.167310223405</v>
      </c>
      <c r="BE1613" s="1174">
        <f t="shared" si="3917"/>
        <v>23124.593276768919</v>
      </c>
      <c r="BG1613" s="1195"/>
      <c r="BH1613" s="1195"/>
      <c r="BI1613" s="1195"/>
      <c r="BJ1613" s="1195"/>
      <c r="BK1613" s="1195"/>
      <c r="BL1613" s="1195"/>
      <c r="BM1613"/>
      <c r="BN1613"/>
      <c r="BO1613"/>
      <c r="BP1613"/>
      <c r="BQ1613"/>
      <c r="BR1613"/>
    </row>
    <row r="1614" spans="3:70" s="70" customFormat="1" x14ac:dyDescent="0.2">
      <c r="C1614" s="1167" t="s">
        <v>1190</v>
      </c>
      <c r="D1614" s="1176">
        <f t="shared" ref="D1614:AE1614" si="3918">D487</f>
        <v>9504</v>
      </c>
      <c r="E1614" s="1176">
        <f t="shared" si="3918"/>
        <v>8069</v>
      </c>
      <c r="F1614" s="1176">
        <f t="shared" si="3918"/>
        <v>8256</v>
      </c>
      <c r="G1614" s="1176">
        <f t="shared" si="3918"/>
        <v>7529</v>
      </c>
      <c r="H1614" s="1176">
        <f t="shared" si="3918"/>
        <v>9901</v>
      </c>
      <c r="I1614" s="1176">
        <f t="shared" si="3918"/>
        <v>9132</v>
      </c>
      <c r="J1614" s="1176">
        <f t="shared" si="3918"/>
        <v>7661</v>
      </c>
      <c r="K1614" s="1176">
        <f t="shared" si="3918"/>
        <v>7231</v>
      </c>
      <c r="L1614" s="1176">
        <f t="shared" si="3918"/>
        <v>9273</v>
      </c>
      <c r="M1614" s="1176">
        <f t="shared" si="3918"/>
        <v>8503</v>
      </c>
      <c r="N1614" s="1176">
        <f t="shared" si="3918"/>
        <v>8718</v>
      </c>
      <c r="O1614" s="1176">
        <f t="shared" si="3918"/>
        <v>7211</v>
      </c>
      <c r="P1614" s="1176">
        <f t="shared" si="3918"/>
        <v>9031</v>
      </c>
      <c r="Q1614" s="1176">
        <f t="shared" si="3918"/>
        <v>8466</v>
      </c>
      <c r="R1614" s="1176">
        <f t="shared" si="3918"/>
        <v>8260</v>
      </c>
      <c r="S1614" s="1176">
        <f t="shared" si="3918"/>
        <v>7306</v>
      </c>
      <c r="T1614" s="1176">
        <f t="shared" si="3918"/>
        <v>7895</v>
      </c>
      <c r="U1614" s="1176">
        <f t="shared" si="3918"/>
        <v>8689</v>
      </c>
      <c r="V1614" s="1176">
        <f t="shared" si="3918"/>
        <v>8459</v>
      </c>
      <c r="W1614" s="1176">
        <f t="shared" si="3918"/>
        <v>8184</v>
      </c>
      <c r="X1614" s="1176">
        <f t="shared" si="3918"/>
        <v>9319</v>
      </c>
      <c r="Y1614" s="1176">
        <f t="shared" si="3918"/>
        <v>9421</v>
      </c>
      <c r="Z1614" s="1176">
        <f t="shared" si="3918"/>
        <v>9430</v>
      </c>
      <c r="AA1614" s="1176">
        <f t="shared" ref="AA1614:AB1614" si="3919">AA487</f>
        <v>8304</v>
      </c>
      <c r="AB1614" s="1176">
        <f t="shared" si="3919"/>
        <v>9848</v>
      </c>
      <c r="AC1614" s="1176">
        <f t="shared" si="3918"/>
        <v>10162.645721581153</v>
      </c>
      <c r="AD1614" s="1176">
        <f t="shared" si="3918"/>
        <v>9938.8558633123321</v>
      </c>
      <c r="AE1614" s="1176">
        <f t="shared" si="3918"/>
        <v>9364.6277029544326</v>
      </c>
      <c r="AF1614" s="1176">
        <f t="shared" ref="AF1614:AI1614" si="3920">AF487</f>
        <v>10960.716556468811</v>
      </c>
      <c r="AG1614" s="1176">
        <f t="shared" si="3920"/>
        <v>10982.787590201242</v>
      </c>
      <c r="AH1614" s="1176">
        <f t="shared" si="3920"/>
        <v>10679.896847251401</v>
      </c>
      <c r="AI1614" s="1176">
        <f t="shared" si="3920"/>
        <v>10023.299747680656</v>
      </c>
      <c r="AJ1614" s="1176"/>
      <c r="AK1614" s="1176"/>
      <c r="AL1614" s="1176"/>
      <c r="AM1614" s="1176"/>
      <c r="AN1614" s="1176"/>
      <c r="AO1614" s="1176"/>
      <c r="AP1614" s="1176"/>
      <c r="AQ1614" s="1176"/>
      <c r="AT1614" s="1167" t="s">
        <v>1190</v>
      </c>
      <c r="AU1614" s="1176">
        <f t="shared" ref="AU1614:BD1614" si="3921">AU487</f>
        <v>33358</v>
      </c>
      <c r="AV1614" s="1176">
        <f t="shared" si="3921"/>
        <v>33925</v>
      </c>
      <c r="AW1614" s="1176">
        <f t="shared" si="3921"/>
        <v>33705</v>
      </c>
      <c r="AX1614" s="1176">
        <f t="shared" si="3921"/>
        <v>33063</v>
      </c>
      <c r="AY1614" s="1176">
        <f t="shared" si="3921"/>
        <v>33227</v>
      </c>
      <c r="AZ1614" s="1176">
        <f t="shared" si="3921"/>
        <v>36474</v>
      </c>
      <c r="BA1614" s="1176">
        <f t="shared" si="3921"/>
        <v>39314.129287847914</v>
      </c>
      <c r="BB1614" s="1176">
        <f t="shared" ref="BB1614" si="3922">BB487</f>
        <v>42646.700741602115</v>
      </c>
      <c r="BC1614" s="1176">
        <f t="shared" si="3921"/>
        <v>45556.306651665109</v>
      </c>
      <c r="BD1614" s="1176">
        <f t="shared" si="3921"/>
        <v>48361.686776581846</v>
      </c>
      <c r="BE1614" s="1176">
        <f t="shared" ref="BE1614" si="3923">BE487</f>
        <v>51217.937905175517</v>
      </c>
      <c r="BG1614" s="1195"/>
      <c r="BH1614" s="1195"/>
      <c r="BI1614" s="1195"/>
      <c r="BJ1614" s="1195"/>
      <c r="BK1614" s="1195"/>
      <c r="BL1614" s="1195"/>
      <c r="BM1614"/>
      <c r="BN1614"/>
      <c r="BO1614"/>
      <c r="BP1614"/>
      <c r="BQ1614"/>
      <c r="BR1614"/>
    </row>
    <row r="1615" spans="3:70" s="70" customFormat="1" x14ac:dyDescent="0.2">
      <c r="C1615" s="1168"/>
      <c r="D1615" s="1158"/>
      <c r="E1615" s="1158"/>
      <c r="F1615" s="1158"/>
      <c r="G1615" s="1158"/>
      <c r="H1615" s="1158"/>
      <c r="I1615" s="1158"/>
      <c r="J1615" s="1158"/>
      <c r="K1615" s="1158"/>
      <c r="L1615" s="1158"/>
      <c r="M1615" s="1158"/>
      <c r="N1615" s="1158"/>
      <c r="O1615" s="1158"/>
      <c r="P1615" s="1158"/>
      <c r="Q1615" s="1158"/>
      <c r="R1615" s="1158"/>
      <c r="S1615" s="1158"/>
      <c r="T1615" s="1158"/>
      <c r="U1615" s="1158"/>
      <c r="V1615" s="1158"/>
      <c r="W1615" s="1158"/>
      <c r="X1615" s="1158"/>
      <c r="Y1615" s="1158"/>
      <c r="Z1615" s="1158"/>
      <c r="AA1615" s="1742"/>
      <c r="AB1615" s="1785"/>
      <c r="AC1615" s="1158"/>
      <c r="AD1615" s="1158"/>
      <c r="AE1615" s="1740"/>
      <c r="AF1615" s="1740"/>
      <c r="AG1615" s="1740"/>
      <c r="AH1615" s="1740"/>
      <c r="AI1615" s="1707"/>
      <c r="AJ1615" s="1740"/>
      <c r="AK1615" s="1740"/>
      <c r="AL1615" s="1740"/>
      <c r="AM1615" s="1740"/>
      <c r="AN1615" s="1740"/>
      <c r="AO1615" s="1740"/>
      <c r="AP1615" s="1740"/>
      <c r="AQ1615" s="1740"/>
      <c r="AT1615" s="1168"/>
      <c r="AU1615" s="1158"/>
      <c r="AV1615" s="1158"/>
      <c r="AW1615" s="1158"/>
      <c r="AX1615" s="1158"/>
      <c r="AY1615" s="1158"/>
      <c r="AZ1615" s="1158"/>
      <c r="BA1615" s="1158"/>
      <c r="BB1615" s="1707"/>
      <c r="BC1615" s="1158"/>
      <c r="BD1615" s="1704"/>
      <c r="BE1615" s="1702"/>
      <c r="BG1615" s="1195"/>
      <c r="BH1615" s="1195"/>
      <c r="BI1615" s="1195"/>
      <c r="BJ1615" s="1195"/>
      <c r="BK1615" s="1195"/>
      <c r="BL1615" s="1195"/>
      <c r="BM1615"/>
      <c r="BN1615"/>
      <c r="BO1615"/>
      <c r="BP1615"/>
      <c r="BQ1615"/>
      <c r="BR1615"/>
    </row>
    <row r="1616" spans="3:70" s="70" customFormat="1" x14ac:dyDescent="0.2">
      <c r="C1616" s="1169" t="s">
        <v>1192</v>
      </c>
      <c r="D1616" s="50">
        <f t="shared" ref="D1616:AD1616" si="3924">D1614</f>
        <v>9504</v>
      </c>
      <c r="E1616" s="50">
        <f t="shared" si="3924"/>
        <v>8069</v>
      </c>
      <c r="F1616" s="50">
        <f t="shared" si="3924"/>
        <v>8256</v>
      </c>
      <c r="G1616" s="50">
        <f t="shared" si="3924"/>
        <v>7529</v>
      </c>
      <c r="H1616" s="50">
        <f t="shared" si="3924"/>
        <v>9901</v>
      </c>
      <c r="I1616" s="50">
        <f t="shared" si="3924"/>
        <v>9132</v>
      </c>
      <c r="J1616" s="50">
        <f t="shared" si="3924"/>
        <v>7661</v>
      </c>
      <c r="K1616" s="50">
        <f t="shared" si="3924"/>
        <v>7231</v>
      </c>
      <c r="L1616" s="50">
        <f t="shared" si="3924"/>
        <v>9273</v>
      </c>
      <c r="M1616" s="50">
        <f t="shared" si="3924"/>
        <v>8503</v>
      </c>
      <c r="N1616" s="50">
        <f t="shared" si="3924"/>
        <v>8718</v>
      </c>
      <c r="O1616" s="50">
        <f t="shared" si="3924"/>
        <v>7211</v>
      </c>
      <c r="P1616" s="50">
        <f t="shared" si="3924"/>
        <v>9031</v>
      </c>
      <c r="Q1616" s="50">
        <f t="shared" si="3924"/>
        <v>8466</v>
      </c>
      <c r="R1616" s="50">
        <f t="shared" si="3924"/>
        <v>8260</v>
      </c>
      <c r="S1616" s="50">
        <f t="shared" si="3924"/>
        <v>7306</v>
      </c>
      <c r="T1616" s="50">
        <f t="shared" si="3924"/>
        <v>7895</v>
      </c>
      <c r="U1616" s="50">
        <f t="shared" si="3924"/>
        <v>8689</v>
      </c>
      <c r="V1616" s="50">
        <f t="shared" si="3924"/>
        <v>8459</v>
      </c>
      <c r="W1616" s="50">
        <f t="shared" si="3924"/>
        <v>8184</v>
      </c>
      <c r="X1616" s="50">
        <f t="shared" si="3924"/>
        <v>9319</v>
      </c>
      <c r="Y1616" s="50">
        <f t="shared" si="3924"/>
        <v>9421</v>
      </c>
      <c r="Z1616" s="50">
        <f t="shared" si="3924"/>
        <v>9430</v>
      </c>
      <c r="AA1616" s="50">
        <f t="shared" ref="AA1616:AB1616" si="3925">AA1614</f>
        <v>8304</v>
      </c>
      <c r="AB1616" s="50">
        <f t="shared" si="3925"/>
        <v>9848</v>
      </c>
      <c r="AC1616" s="50">
        <f t="shared" si="3924"/>
        <v>10162.645721581153</v>
      </c>
      <c r="AD1616" s="50">
        <f t="shared" si="3924"/>
        <v>9938.8558633123321</v>
      </c>
      <c r="AE1616" s="50">
        <f>AE1614</f>
        <v>9364.6277029544326</v>
      </c>
      <c r="AF1616" s="50">
        <f t="shared" ref="AF1616:AI1616" si="3926">AF1614</f>
        <v>10960.716556468811</v>
      </c>
      <c r="AG1616" s="50">
        <f t="shared" si="3926"/>
        <v>10982.787590201242</v>
      </c>
      <c r="AH1616" s="50">
        <f t="shared" si="3926"/>
        <v>10679.896847251401</v>
      </c>
      <c r="AI1616" s="50">
        <f t="shared" si="3926"/>
        <v>10023.299747680656</v>
      </c>
      <c r="AJ1616" s="50"/>
      <c r="AK1616" s="50"/>
      <c r="AL1616" s="50"/>
      <c r="AM1616" s="50"/>
      <c r="AN1616" s="50"/>
      <c r="AO1616" s="50"/>
      <c r="AP1616" s="50"/>
      <c r="AQ1616" s="50"/>
      <c r="AT1616" s="1169" t="s">
        <v>1192</v>
      </c>
      <c r="AU1616" s="50">
        <f t="shared" ref="AU1616:BD1616" si="3927">AU1614</f>
        <v>33358</v>
      </c>
      <c r="AV1616" s="50">
        <f t="shared" si="3927"/>
        <v>33925</v>
      </c>
      <c r="AW1616" s="50">
        <f t="shared" si="3927"/>
        <v>33705</v>
      </c>
      <c r="AX1616" s="50">
        <f t="shared" si="3927"/>
        <v>33063</v>
      </c>
      <c r="AY1616" s="50">
        <f t="shared" si="3927"/>
        <v>33227</v>
      </c>
      <c r="AZ1616" s="50">
        <f t="shared" si="3927"/>
        <v>36474</v>
      </c>
      <c r="BA1616" s="50">
        <f t="shared" si="3927"/>
        <v>39314.129287847914</v>
      </c>
      <c r="BB1616" s="50">
        <f t="shared" ref="BB1616" si="3928">BB1614</f>
        <v>42646.700741602115</v>
      </c>
      <c r="BC1616" s="50">
        <f t="shared" si="3927"/>
        <v>45556.306651665109</v>
      </c>
      <c r="BD1616" s="50">
        <f t="shared" si="3927"/>
        <v>48361.686776581846</v>
      </c>
      <c r="BE1616" s="50">
        <f t="shared" ref="BE1616" si="3929">BE1614</f>
        <v>51217.937905175517</v>
      </c>
      <c r="BG1616" s="1195"/>
      <c r="BH1616" s="1195"/>
      <c r="BI1616" s="1195"/>
      <c r="BJ1616" s="1195"/>
      <c r="BK1616" s="1195"/>
      <c r="BL1616" s="1195"/>
      <c r="BM1616"/>
      <c r="BN1616"/>
      <c r="BO1616"/>
      <c r="BP1616"/>
      <c r="BQ1616"/>
      <c r="BR1616"/>
    </row>
    <row r="1617" spans="3:70" s="70" customFormat="1" x14ac:dyDescent="0.2">
      <c r="C1617" s="1165" t="s">
        <v>1193</v>
      </c>
      <c r="D1617" s="50">
        <f t="shared" ref="D1617:AE1617" si="3930">D494*-1</f>
        <v>-5135</v>
      </c>
      <c r="E1617" s="50">
        <f t="shared" si="3930"/>
        <v>-5000</v>
      </c>
      <c r="F1617" s="50">
        <f t="shared" si="3930"/>
        <v>-4881</v>
      </c>
      <c r="G1617" s="50">
        <f t="shared" si="3930"/>
        <v>-5258</v>
      </c>
      <c r="H1617" s="50">
        <f t="shared" si="3930"/>
        <v>-4975</v>
      </c>
      <c r="I1617" s="50">
        <f t="shared" si="3930"/>
        <v>-4912</v>
      </c>
      <c r="J1617" s="50">
        <f t="shared" si="3930"/>
        <v>-4786</v>
      </c>
      <c r="K1617" s="50">
        <f t="shared" si="3930"/>
        <v>-5153</v>
      </c>
      <c r="L1617" s="50">
        <f t="shared" si="3930"/>
        <v>-4887</v>
      </c>
      <c r="M1617" s="50">
        <f t="shared" si="3930"/>
        <v>-4769</v>
      </c>
      <c r="N1617" s="50">
        <f t="shared" si="3930"/>
        <v>-4938</v>
      </c>
      <c r="O1617" s="50">
        <f t="shared" si="3930"/>
        <v>-4906</v>
      </c>
      <c r="P1617" s="50">
        <f t="shared" si="3930"/>
        <v>-4654</v>
      </c>
      <c r="Q1617" s="50">
        <f t="shared" si="3930"/>
        <v>-4847</v>
      </c>
      <c r="R1617" s="50">
        <f t="shared" si="3930"/>
        <v>-4718</v>
      </c>
      <c r="S1617" s="50">
        <f t="shared" si="3930"/>
        <v>-4868</v>
      </c>
      <c r="T1617" s="50">
        <f t="shared" si="3930"/>
        <v>-4872</v>
      </c>
      <c r="U1617" s="50">
        <f t="shared" si="3930"/>
        <v>-4763</v>
      </c>
      <c r="V1617" s="50">
        <f t="shared" si="3930"/>
        <v>-4687</v>
      </c>
      <c r="W1617" s="50">
        <f t="shared" si="3930"/>
        <v>-4634</v>
      </c>
      <c r="X1617" s="50">
        <f t="shared" si="3930"/>
        <v>-5138</v>
      </c>
      <c r="Y1617" s="50">
        <f t="shared" si="3930"/>
        <v>-5227</v>
      </c>
      <c r="Z1617" s="50">
        <f t="shared" si="3930"/>
        <v>-5138</v>
      </c>
      <c r="AA1617" s="50">
        <f t="shared" ref="AA1617:AB1617" si="3931">AA494*-1</f>
        <v>-4912</v>
      </c>
      <c r="AB1617" s="50">
        <f t="shared" si="3931"/>
        <v>-5503</v>
      </c>
      <c r="AC1617" s="50">
        <f t="shared" si="3930"/>
        <v>-5691.0816040854461</v>
      </c>
      <c r="AD1617" s="50">
        <f t="shared" si="3930"/>
        <v>-5466.3707248217834</v>
      </c>
      <c r="AE1617" s="50">
        <f t="shared" si="3930"/>
        <v>-5056.8989595953935</v>
      </c>
      <c r="AF1617" s="50">
        <f t="shared" ref="AF1617:AI1617" si="3932">AF494*-1</f>
        <v>-5973.5905232755022</v>
      </c>
      <c r="AG1617" s="50">
        <f t="shared" si="3932"/>
        <v>-5875.7913607576647</v>
      </c>
      <c r="AH1617" s="50">
        <f t="shared" si="3932"/>
        <v>-5713.7448132794998</v>
      </c>
      <c r="AI1617" s="50">
        <f t="shared" si="3932"/>
        <v>-5312.3488662707477</v>
      </c>
      <c r="AJ1617" s="50"/>
      <c r="AK1617" s="50"/>
      <c r="AL1617" s="50"/>
      <c r="AM1617" s="50"/>
      <c r="AN1617" s="50"/>
      <c r="AO1617" s="50"/>
      <c r="AP1617" s="50"/>
      <c r="AQ1617" s="50"/>
      <c r="AT1617" s="1165" t="s">
        <v>1193</v>
      </c>
      <c r="AU1617" s="50">
        <f t="shared" ref="AU1617:BD1617" si="3933">AU494*-1</f>
        <v>-20274</v>
      </c>
      <c r="AV1617" s="50">
        <f t="shared" si="3933"/>
        <v>-19826</v>
      </c>
      <c r="AW1617" s="50">
        <f t="shared" si="3933"/>
        <v>-19500</v>
      </c>
      <c r="AX1617" s="50">
        <f t="shared" si="3933"/>
        <v>-19087</v>
      </c>
      <c r="AY1617" s="50">
        <f t="shared" si="3933"/>
        <v>-18956</v>
      </c>
      <c r="AZ1617" s="50">
        <f t="shared" si="3933"/>
        <v>-20415</v>
      </c>
      <c r="BA1617" s="50">
        <f t="shared" si="3933"/>
        <v>-21717.351288502625</v>
      </c>
      <c r="BB1617" s="50">
        <f t="shared" ref="BB1617" si="3934">BB494*-1</f>
        <v>-22875.475563583415</v>
      </c>
      <c r="BC1617" s="50">
        <f t="shared" si="3933"/>
        <v>-23917.060992124185</v>
      </c>
      <c r="BD1617" s="50">
        <f t="shared" si="3933"/>
        <v>-25148.077123822561</v>
      </c>
      <c r="BE1617" s="50">
        <f t="shared" ref="BE1617" si="3935">BE494*-1</f>
        <v>-26377.238021165391</v>
      </c>
      <c r="BG1617" s="1195"/>
      <c r="BH1617" s="1195"/>
      <c r="BI1617" s="1195"/>
      <c r="BJ1617" s="1195"/>
      <c r="BK1617" s="1195"/>
      <c r="BL1617" s="1195"/>
      <c r="BM1617"/>
      <c r="BN1617"/>
      <c r="BO1617"/>
      <c r="BP1617"/>
      <c r="BQ1617"/>
      <c r="BR1617"/>
    </row>
    <row r="1618" spans="3:70" s="70" customFormat="1" x14ac:dyDescent="0.2">
      <c r="C1618" s="1166" t="s">
        <v>1194</v>
      </c>
      <c r="D1618" s="172">
        <f t="shared" ref="D1618:AE1618" si="3936">-D496</f>
        <v>-103</v>
      </c>
      <c r="E1618" s="172">
        <f t="shared" si="3936"/>
        <v>-135</v>
      </c>
      <c r="F1618" s="172">
        <f t="shared" si="3936"/>
        <v>27</v>
      </c>
      <c r="G1618" s="172">
        <f t="shared" si="3936"/>
        <v>-97</v>
      </c>
      <c r="H1618" s="172">
        <f t="shared" si="3936"/>
        <v>-65</v>
      </c>
      <c r="I1618" s="172">
        <f t="shared" si="3936"/>
        <v>30</v>
      </c>
      <c r="J1618" s="172">
        <f t="shared" si="3936"/>
        <v>-144</v>
      </c>
      <c r="K1618" s="172">
        <f t="shared" si="3936"/>
        <v>93</v>
      </c>
      <c r="L1618" s="172">
        <f t="shared" si="3936"/>
        <v>-26</v>
      </c>
      <c r="M1618" s="172">
        <f t="shared" si="3936"/>
        <v>110</v>
      </c>
      <c r="N1618" s="172">
        <f t="shared" si="3936"/>
        <v>32</v>
      </c>
      <c r="O1618" s="172">
        <f t="shared" si="3936"/>
        <v>-163</v>
      </c>
      <c r="P1618" s="172">
        <f t="shared" si="3936"/>
        <v>-86</v>
      </c>
      <c r="Q1618" s="172">
        <f t="shared" si="3936"/>
        <v>87</v>
      </c>
      <c r="R1618" s="172">
        <f t="shared" si="3936"/>
        <v>-313</v>
      </c>
      <c r="S1618" s="172">
        <f t="shared" si="3936"/>
        <v>-650</v>
      </c>
      <c r="T1618" s="172">
        <f t="shared" si="3936"/>
        <v>-390</v>
      </c>
      <c r="U1618" s="172">
        <f t="shared" si="3936"/>
        <v>-82</v>
      </c>
      <c r="V1618" s="172">
        <f t="shared" si="3936"/>
        <v>90</v>
      </c>
      <c r="W1618" s="172">
        <f t="shared" si="3936"/>
        <v>-104</v>
      </c>
      <c r="X1618" s="172">
        <f t="shared" si="3936"/>
        <v>205</v>
      </c>
      <c r="Y1618" s="172">
        <f t="shared" si="3936"/>
        <v>-87</v>
      </c>
      <c r="Z1618" s="172">
        <f t="shared" si="3936"/>
        <v>164</v>
      </c>
      <c r="AA1618" s="172">
        <f t="shared" ref="AA1618:AB1618" si="3937">-AA496</f>
        <v>-267</v>
      </c>
      <c r="AB1618" s="172">
        <f t="shared" si="3937"/>
        <v>41</v>
      </c>
      <c r="AC1618" s="172">
        <f t="shared" si="3936"/>
        <v>-172.41632876712333</v>
      </c>
      <c r="AD1618" s="172">
        <f t="shared" si="3936"/>
        <v>-194.61824679452059</v>
      </c>
      <c r="AE1618" s="172">
        <f t="shared" si="3936"/>
        <v>-224.47445510958903</v>
      </c>
      <c r="AF1618" s="172">
        <f t="shared" ref="AF1618:AI1618" si="3938">-AF496</f>
        <v>-241.90538453679451</v>
      </c>
      <c r="AG1618" s="172">
        <f t="shared" si="3938"/>
        <v>-267.96546336973358</v>
      </c>
      <c r="AH1618" s="172">
        <f t="shared" si="3938"/>
        <v>-296.83343655503688</v>
      </c>
      <c r="AI1618" s="172">
        <f t="shared" si="3938"/>
        <v>-323.8835803701329</v>
      </c>
      <c r="AJ1618" s="1755"/>
      <c r="AK1618" s="1755"/>
      <c r="AL1618" s="1755"/>
      <c r="AM1618" s="1755"/>
      <c r="AN1618" s="1755"/>
      <c r="AO1618" s="1755"/>
      <c r="AP1618" s="1755"/>
      <c r="AQ1618" s="1755"/>
      <c r="AT1618" s="1166" t="s">
        <v>1194</v>
      </c>
      <c r="AU1618" s="172">
        <f t="shared" ref="AU1618:BD1618" si="3939">-AU496</f>
        <v>-308</v>
      </c>
      <c r="AV1618" s="172">
        <f t="shared" si="3939"/>
        <v>-86</v>
      </c>
      <c r="AW1618" s="172">
        <f t="shared" si="3939"/>
        <v>-47</v>
      </c>
      <c r="AX1618" s="172">
        <f t="shared" si="3939"/>
        <v>-962</v>
      </c>
      <c r="AY1618" s="172">
        <f t="shared" si="3939"/>
        <v>-486</v>
      </c>
      <c r="AZ1618" s="172">
        <f t="shared" si="3939"/>
        <v>15</v>
      </c>
      <c r="BA1618" s="172">
        <f t="shared" si="3939"/>
        <v>-550.50903067123295</v>
      </c>
      <c r="BB1618" s="172">
        <f t="shared" ref="BB1618" si="3940">-BB496</f>
        <v>-1130.587864831698</v>
      </c>
      <c r="BC1618" s="172">
        <f t="shared" si="3939"/>
        <v>-1407.4206282004766</v>
      </c>
      <c r="BD1618" s="172">
        <f t="shared" si="3939"/>
        <v>-1721.07436819944</v>
      </c>
      <c r="BE1618" s="172">
        <f t="shared" ref="BE1618" si="3941">-BE496</f>
        <v>-2280.4235378642579</v>
      </c>
      <c r="BG1618" s="1195"/>
      <c r="BH1618" s="1195"/>
      <c r="BI1618" s="1195"/>
      <c r="BJ1618" s="1195"/>
      <c r="BK1618" s="1195"/>
      <c r="BL1618" s="1195"/>
      <c r="BM1618"/>
      <c r="BN1618"/>
      <c r="BO1618"/>
      <c r="BP1618"/>
      <c r="BQ1618"/>
      <c r="BR1618"/>
    </row>
    <row r="1619" spans="3:70" s="70" customFormat="1" x14ac:dyDescent="0.2">
      <c r="C1619" s="1165" t="s">
        <v>1195</v>
      </c>
      <c r="D1619" s="50">
        <f t="shared" ref="D1619:AD1619" si="3942">SUM(D1616:D1618)</f>
        <v>4266</v>
      </c>
      <c r="E1619" s="50">
        <f t="shared" si="3942"/>
        <v>2934</v>
      </c>
      <c r="F1619" s="50">
        <f t="shared" si="3942"/>
        <v>3402</v>
      </c>
      <c r="G1619" s="50">
        <f t="shared" si="3942"/>
        <v>2174</v>
      </c>
      <c r="H1619" s="50">
        <f t="shared" si="3942"/>
        <v>4861</v>
      </c>
      <c r="I1619" s="50">
        <f t="shared" si="3942"/>
        <v>4250</v>
      </c>
      <c r="J1619" s="50">
        <f t="shared" si="3942"/>
        <v>2731</v>
      </c>
      <c r="K1619" s="50">
        <f t="shared" si="3942"/>
        <v>2171</v>
      </c>
      <c r="L1619" s="50">
        <f t="shared" si="3942"/>
        <v>4360</v>
      </c>
      <c r="M1619" s="50">
        <f t="shared" si="3942"/>
        <v>3844</v>
      </c>
      <c r="N1619" s="50">
        <f t="shared" si="3942"/>
        <v>3812</v>
      </c>
      <c r="O1619" s="50">
        <f t="shared" si="3942"/>
        <v>2142</v>
      </c>
      <c r="P1619" s="50">
        <f t="shared" si="3942"/>
        <v>4291</v>
      </c>
      <c r="Q1619" s="50">
        <f t="shared" si="3942"/>
        <v>3706</v>
      </c>
      <c r="R1619" s="50">
        <f t="shared" si="3942"/>
        <v>3229</v>
      </c>
      <c r="S1619" s="50">
        <f t="shared" si="3942"/>
        <v>1788</v>
      </c>
      <c r="T1619" s="50">
        <f t="shared" si="3942"/>
        <v>2633</v>
      </c>
      <c r="U1619" s="50">
        <f t="shared" si="3942"/>
        <v>3844</v>
      </c>
      <c r="V1619" s="50">
        <f t="shared" si="3942"/>
        <v>3862</v>
      </c>
      <c r="W1619" s="50">
        <f t="shared" si="3942"/>
        <v>3446</v>
      </c>
      <c r="X1619" s="50">
        <f t="shared" si="3942"/>
        <v>4386</v>
      </c>
      <c r="Y1619" s="50">
        <f t="shared" si="3942"/>
        <v>4107</v>
      </c>
      <c r="Z1619" s="50">
        <f t="shared" si="3942"/>
        <v>4456</v>
      </c>
      <c r="AA1619" s="50">
        <f t="shared" ref="AA1619:AB1619" si="3943">SUM(AA1616:AA1618)</f>
        <v>3125</v>
      </c>
      <c r="AB1619" s="50">
        <f t="shared" si="3943"/>
        <v>4386</v>
      </c>
      <c r="AC1619" s="50">
        <f t="shared" si="3942"/>
        <v>4299.1477887285837</v>
      </c>
      <c r="AD1619" s="50">
        <f t="shared" si="3942"/>
        <v>4277.8668916960278</v>
      </c>
      <c r="AE1619" s="50">
        <f>SUM(AE1616:AE1618)</f>
        <v>4083.2542882494499</v>
      </c>
      <c r="AF1619" s="50">
        <f t="shared" ref="AF1619:AI1619" si="3944">SUM(AF1616:AF1618)</f>
        <v>4745.2206486565146</v>
      </c>
      <c r="AG1619" s="50">
        <f t="shared" si="3944"/>
        <v>4839.0307660738436</v>
      </c>
      <c r="AH1619" s="50">
        <f t="shared" si="3944"/>
        <v>4669.3185974168637</v>
      </c>
      <c r="AI1619" s="50">
        <f t="shared" si="3944"/>
        <v>4387.067301039775</v>
      </c>
      <c r="AJ1619" s="50"/>
      <c r="AK1619" s="50"/>
      <c r="AL1619" s="50"/>
      <c r="AM1619" s="50"/>
      <c r="AN1619" s="50"/>
      <c r="AO1619" s="50"/>
      <c r="AP1619" s="50"/>
      <c r="AQ1619" s="50"/>
      <c r="AT1619" s="1165" t="s">
        <v>1195</v>
      </c>
      <c r="AU1619" s="50">
        <f>SUM(AU1616:AU1618)</f>
        <v>12776</v>
      </c>
      <c r="AV1619" s="50">
        <f t="shared" ref="AV1619:BD1619" si="3945">SUM(AV1616:AV1618)</f>
        <v>14013</v>
      </c>
      <c r="AW1619" s="50">
        <f t="shared" si="3945"/>
        <v>14158</v>
      </c>
      <c r="AX1619" s="50">
        <f t="shared" si="3945"/>
        <v>13014</v>
      </c>
      <c r="AY1619" s="50">
        <f t="shared" si="3945"/>
        <v>13785</v>
      </c>
      <c r="AZ1619" s="50">
        <f t="shared" si="3945"/>
        <v>16074</v>
      </c>
      <c r="BA1619" s="50">
        <f t="shared" si="3945"/>
        <v>17046.268968674056</v>
      </c>
      <c r="BB1619" s="50">
        <f t="shared" ref="BB1619" si="3946">SUM(BB1616:BB1618)</f>
        <v>18640.637313187002</v>
      </c>
      <c r="BC1619" s="50">
        <f t="shared" si="3945"/>
        <v>20231.825031340446</v>
      </c>
      <c r="BD1619" s="50">
        <f t="shared" si="3945"/>
        <v>21492.535284559846</v>
      </c>
      <c r="BE1619" s="50">
        <f t="shared" ref="BE1619" si="3947">SUM(BE1616:BE1618)</f>
        <v>22560.276346145867</v>
      </c>
      <c r="BG1619" s="1195"/>
      <c r="BH1619" s="1195"/>
      <c r="BI1619" s="1195"/>
      <c r="BJ1619" s="1195"/>
      <c r="BK1619" s="1195"/>
      <c r="BL1619" s="1195"/>
      <c r="BM1619"/>
      <c r="BN1619"/>
      <c r="BO1619"/>
      <c r="BP1619"/>
      <c r="BQ1619"/>
      <c r="BR1619"/>
    </row>
    <row r="1620" spans="3:70" s="70" customFormat="1" x14ac:dyDescent="0.2">
      <c r="C1620" s="1166" t="s">
        <v>1196</v>
      </c>
      <c r="D1620" s="172">
        <f t="shared" ref="D1620:AE1620" si="3948">-D501</f>
        <v>-1247</v>
      </c>
      <c r="E1620" s="172">
        <f t="shared" si="3948"/>
        <v>-777</v>
      </c>
      <c r="F1620" s="172">
        <f t="shared" si="3948"/>
        <v>-901</v>
      </c>
      <c r="G1620" s="172">
        <f t="shared" si="3948"/>
        <v>-460</v>
      </c>
      <c r="H1620" s="172">
        <f t="shared" si="3948"/>
        <v>-1609</v>
      </c>
      <c r="I1620" s="172">
        <f t="shared" si="3948"/>
        <v>-1373</v>
      </c>
      <c r="J1620" s="172">
        <f t="shared" si="3948"/>
        <v>-756</v>
      </c>
      <c r="K1620" s="172">
        <f t="shared" si="3948"/>
        <v>-591</v>
      </c>
      <c r="L1620" s="172">
        <f t="shared" si="3948"/>
        <v>-1350</v>
      </c>
      <c r="M1620" s="172">
        <f t="shared" si="3948"/>
        <v>-1227</v>
      </c>
      <c r="N1620" s="172">
        <f t="shared" si="3948"/>
        <v>-1236</v>
      </c>
      <c r="O1620" s="172">
        <f t="shared" si="3948"/>
        <v>-445</v>
      </c>
      <c r="P1620" s="172">
        <f t="shared" si="3948"/>
        <v>-1342</v>
      </c>
      <c r="Q1620" s="172">
        <f t="shared" si="3948"/>
        <v>-1151</v>
      </c>
      <c r="R1620" s="172">
        <f t="shared" si="3948"/>
        <v>-1055</v>
      </c>
      <c r="S1620" s="172">
        <f t="shared" si="3948"/>
        <v>-528</v>
      </c>
      <c r="T1620" s="172">
        <f t="shared" si="3948"/>
        <v>-764</v>
      </c>
      <c r="U1620" s="172">
        <f t="shared" si="3948"/>
        <v>-1229</v>
      </c>
      <c r="V1620" s="172">
        <f t="shared" si="3948"/>
        <v>-1202</v>
      </c>
      <c r="W1620" s="172">
        <f t="shared" si="3948"/>
        <v>-1065</v>
      </c>
      <c r="X1620" s="172">
        <f t="shared" si="3948"/>
        <v>-1375</v>
      </c>
      <c r="Y1620" s="172">
        <f t="shared" si="3948"/>
        <v>-1327</v>
      </c>
      <c r="Z1620" s="172">
        <f t="shared" si="3948"/>
        <v>-1394</v>
      </c>
      <c r="AA1620" s="172">
        <f t="shared" ref="AA1620:AB1620" si="3949">-AA501</f>
        <v>-2912</v>
      </c>
      <c r="AB1620" s="172">
        <f t="shared" si="3949"/>
        <v>-1057</v>
      </c>
      <c r="AC1620" s="172">
        <f t="shared" si="3948"/>
        <v>-1074.7869471821459</v>
      </c>
      <c r="AD1620" s="172">
        <f t="shared" si="3948"/>
        <v>-1069.4667229240069</v>
      </c>
      <c r="AE1620" s="172">
        <f t="shared" si="3948"/>
        <v>-1020.8135720623625</v>
      </c>
      <c r="AF1620" s="172">
        <f t="shared" ref="AF1620:AI1620" si="3950">-AF501</f>
        <v>-1138.8529556775634</v>
      </c>
      <c r="AG1620" s="172">
        <f t="shared" si="3950"/>
        <v>-1161.3673838577224</v>
      </c>
      <c r="AH1620" s="172">
        <f t="shared" si="3950"/>
        <v>-1120.6364633800472</v>
      </c>
      <c r="AI1620" s="172">
        <f t="shared" si="3950"/>
        <v>-1052.896152249546</v>
      </c>
      <c r="AJ1620" s="1755"/>
      <c r="AK1620" s="1755"/>
      <c r="AL1620" s="1755"/>
      <c r="AM1620" s="1755"/>
      <c r="AN1620" s="1755"/>
      <c r="AO1620" s="1755"/>
      <c r="AP1620" s="1755"/>
      <c r="AQ1620" s="1755"/>
      <c r="AT1620" s="1166" t="s">
        <v>1196</v>
      </c>
      <c r="AU1620" s="172">
        <f t="shared" ref="AU1620:BD1620" si="3951">-AU501</f>
        <v>-3385</v>
      </c>
      <c r="AV1620" s="172">
        <f t="shared" si="3951"/>
        <v>-4329</v>
      </c>
      <c r="AW1620" s="172">
        <f t="shared" si="3951"/>
        <v>-4258</v>
      </c>
      <c r="AX1620" s="172">
        <f t="shared" si="3951"/>
        <v>-4076</v>
      </c>
      <c r="AY1620" s="172">
        <f t="shared" si="3951"/>
        <v>-4260</v>
      </c>
      <c r="AZ1620" s="172">
        <f t="shared" si="3951"/>
        <v>-7008</v>
      </c>
      <c r="BA1620" s="172">
        <f t="shared" si="3951"/>
        <v>-4222.0672421685122</v>
      </c>
      <c r="BB1620" s="172">
        <f t="shared" ref="BB1620" si="3952">-BB501</f>
        <v>-4473.7529551648804</v>
      </c>
      <c r="BC1620" s="172">
        <f t="shared" si="3951"/>
        <v>-4855.6380075217066</v>
      </c>
      <c r="BD1620" s="172">
        <f t="shared" si="3951"/>
        <v>-5158.2084682943632</v>
      </c>
      <c r="BE1620" s="172">
        <f t="shared" ref="BE1620" si="3953">-BE501</f>
        <v>-5414.4663230750075</v>
      </c>
      <c r="BG1620" s="1195"/>
      <c r="BH1620" s="1195"/>
      <c r="BI1620" s="1195"/>
      <c r="BJ1620" s="1195"/>
      <c r="BK1620" s="1195"/>
      <c r="BL1620" s="1195"/>
      <c r="BM1620"/>
      <c r="BN1620"/>
      <c r="BO1620"/>
      <c r="BP1620"/>
      <c r="BQ1620"/>
      <c r="BR1620"/>
    </row>
    <row r="1621" spans="3:70" s="70" customFormat="1" x14ac:dyDescent="0.2">
      <c r="C1621" s="1167" t="s">
        <v>1197</v>
      </c>
      <c r="D1621" s="1177">
        <f t="shared" ref="D1621:AD1621" si="3954">SUM(D1619:D1620)</f>
        <v>3019</v>
      </c>
      <c r="E1621" s="1177">
        <f t="shared" si="3954"/>
        <v>2157</v>
      </c>
      <c r="F1621" s="1177">
        <f t="shared" si="3954"/>
        <v>2501</v>
      </c>
      <c r="G1621" s="1177">
        <f t="shared" si="3954"/>
        <v>1714</v>
      </c>
      <c r="H1621" s="1177">
        <f t="shared" si="3954"/>
        <v>3252</v>
      </c>
      <c r="I1621" s="1177">
        <f t="shared" si="3954"/>
        <v>2877</v>
      </c>
      <c r="J1621" s="1177">
        <f t="shared" si="3954"/>
        <v>1975</v>
      </c>
      <c r="K1621" s="1177">
        <f t="shared" si="3954"/>
        <v>1580</v>
      </c>
      <c r="L1621" s="1177">
        <f t="shared" si="3954"/>
        <v>3010</v>
      </c>
      <c r="M1621" s="1177">
        <f t="shared" si="3954"/>
        <v>2617</v>
      </c>
      <c r="N1621" s="1177">
        <f t="shared" si="3954"/>
        <v>2576</v>
      </c>
      <c r="O1621" s="1177">
        <f t="shared" si="3954"/>
        <v>1697</v>
      </c>
      <c r="P1621" s="1177">
        <f t="shared" si="3954"/>
        <v>2949</v>
      </c>
      <c r="Q1621" s="1177">
        <f t="shared" si="3954"/>
        <v>2555</v>
      </c>
      <c r="R1621" s="1177">
        <f t="shared" si="3954"/>
        <v>2174</v>
      </c>
      <c r="S1621" s="1177">
        <f t="shared" si="3954"/>
        <v>1260</v>
      </c>
      <c r="T1621" s="1177">
        <f t="shared" si="3954"/>
        <v>1869</v>
      </c>
      <c r="U1621" s="1177">
        <f t="shared" si="3954"/>
        <v>2615</v>
      </c>
      <c r="V1621" s="1177">
        <f t="shared" si="3954"/>
        <v>2660</v>
      </c>
      <c r="W1621" s="1177">
        <f t="shared" si="3954"/>
        <v>2381</v>
      </c>
      <c r="X1621" s="1177">
        <f t="shared" si="3954"/>
        <v>3011</v>
      </c>
      <c r="Y1621" s="1177">
        <f t="shared" si="3954"/>
        <v>2780</v>
      </c>
      <c r="Z1621" s="1177">
        <f t="shared" si="3954"/>
        <v>3062</v>
      </c>
      <c r="AA1621" s="1177">
        <f t="shared" ref="AA1621:AB1621" si="3955">SUM(AA1619:AA1620)</f>
        <v>213</v>
      </c>
      <c r="AB1621" s="1177">
        <f t="shared" si="3955"/>
        <v>3329</v>
      </c>
      <c r="AC1621" s="1177">
        <f t="shared" si="3954"/>
        <v>3224.3608415464378</v>
      </c>
      <c r="AD1621" s="1177">
        <f t="shared" si="3954"/>
        <v>3208.4001687720211</v>
      </c>
      <c r="AE1621" s="1177">
        <f>SUM(AE1619:AE1620)</f>
        <v>3062.4407161870877</v>
      </c>
      <c r="AF1621" s="1177">
        <f t="shared" ref="AF1621:AI1621" si="3956">SUM(AF1619:AF1620)</f>
        <v>3606.3676929789513</v>
      </c>
      <c r="AG1621" s="1177">
        <f t="shared" si="3956"/>
        <v>3677.6633822161211</v>
      </c>
      <c r="AH1621" s="1177">
        <f t="shared" si="3956"/>
        <v>3548.6821340368165</v>
      </c>
      <c r="AI1621" s="1177">
        <f t="shared" si="3956"/>
        <v>3334.1711487902289</v>
      </c>
      <c r="AJ1621" s="1177"/>
      <c r="AK1621" s="1177"/>
      <c r="AL1621" s="1177"/>
      <c r="AM1621" s="1177"/>
      <c r="AN1621" s="1177"/>
      <c r="AO1621" s="1177"/>
      <c r="AP1621" s="1177"/>
      <c r="AQ1621" s="1177"/>
      <c r="AT1621" s="1167" t="s">
        <v>1197</v>
      </c>
      <c r="AU1621" s="1177">
        <f>SUM(AU1619:AU1620)</f>
        <v>9391</v>
      </c>
      <c r="AV1621" s="1177">
        <f t="shared" ref="AV1621:BD1621" si="3957">SUM(AV1619:AV1620)</f>
        <v>9684</v>
      </c>
      <c r="AW1621" s="1177">
        <f t="shared" si="3957"/>
        <v>9900</v>
      </c>
      <c r="AX1621" s="1177">
        <f t="shared" si="3957"/>
        <v>8938</v>
      </c>
      <c r="AY1621" s="1177">
        <f t="shared" si="3957"/>
        <v>9525</v>
      </c>
      <c r="AZ1621" s="1177">
        <f t="shared" si="3957"/>
        <v>9066</v>
      </c>
      <c r="BA1621" s="1177">
        <f t="shared" si="3957"/>
        <v>12824.201726505544</v>
      </c>
      <c r="BB1621" s="1177">
        <f t="shared" ref="BB1621" si="3958">SUM(BB1619:BB1620)</f>
        <v>14166.884358022122</v>
      </c>
      <c r="BC1621" s="1177">
        <f t="shared" si="3957"/>
        <v>15376.18702381874</v>
      </c>
      <c r="BD1621" s="1177">
        <f t="shared" si="3957"/>
        <v>16334.326816265482</v>
      </c>
      <c r="BE1621" s="1177">
        <f t="shared" ref="BE1621" si="3959">SUM(BE1619:BE1620)</f>
        <v>17145.810023070859</v>
      </c>
      <c r="BG1621" s="1195"/>
      <c r="BH1621" s="1195"/>
      <c r="BI1621" s="1195"/>
      <c r="BJ1621" s="1195"/>
      <c r="BK1621" s="1195"/>
      <c r="BL1621" s="1195"/>
      <c r="BM1621"/>
      <c r="BN1621"/>
      <c r="BO1621"/>
      <c r="BP1621"/>
      <c r="BQ1621"/>
      <c r="BR1621"/>
    </row>
    <row r="1622" spans="3:70" s="70" customFormat="1" x14ac:dyDescent="0.2">
      <c r="C1622" s="1168"/>
      <c r="D1622" s="1158"/>
      <c r="E1622" s="1158"/>
      <c r="F1622" s="1158"/>
      <c r="G1622" s="1158"/>
      <c r="H1622" s="1158"/>
      <c r="I1622" s="1158"/>
      <c r="J1622" s="1158"/>
      <c r="K1622" s="1158"/>
      <c r="L1622" s="1158"/>
      <c r="M1622" s="1158"/>
      <c r="N1622" s="1158"/>
      <c r="O1622" s="1158"/>
      <c r="P1622" s="1158"/>
      <c r="Q1622" s="1158"/>
      <c r="R1622" s="1158"/>
      <c r="S1622" s="1158"/>
      <c r="T1622" s="1158"/>
      <c r="U1622" s="1158"/>
      <c r="V1622" s="1158"/>
      <c r="W1622" s="1158"/>
      <c r="X1622" s="1158"/>
      <c r="Y1622" s="1158"/>
      <c r="Z1622" s="1158"/>
      <c r="AA1622" s="1742"/>
      <c r="AB1622" s="1785"/>
      <c r="AC1622" s="1158"/>
      <c r="AD1622" s="1158"/>
      <c r="AE1622" s="1740"/>
      <c r="AF1622" s="1740"/>
      <c r="AG1622" s="1740"/>
      <c r="AH1622" s="1740"/>
      <c r="AI1622" s="1707"/>
      <c r="AJ1622" s="1740"/>
      <c r="AK1622" s="1740"/>
      <c r="AL1622" s="1740"/>
      <c r="AM1622" s="1740"/>
      <c r="AN1622" s="1740"/>
      <c r="AO1622" s="1740"/>
      <c r="AP1622" s="1740"/>
      <c r="AQ1622" s="1740"/>
      <c r="AT1622" s="1168"/>
      <c r="AU1622" s="50"/>
      <c r="AV1622" s="50"/>
      <c r="AW1622" s="50"/>
      <c r="AX1622" s="50"/>
      <c r="AY1622" s="50"/>
      <c r="AZ1622" s="50"/>
      <c r="BA1622" s="50"/>
      <c r="BB1622" s="50"/>
      <c r="BC1622" s="50"/>
      <c r="BD1622" s="50"/>
      <c r="BE1622" s="50"/>
      <c r="BG1622" s="1195"/>
      <c r="BH1622" s="1195"/>
      <c r="BI1622" s="1195"/>
      <c r="BJ1622" s="1195"/>
      <c r="BK1622" s="1195"/>
      <c r="BL1622" s="1195"/>
      <c r="BM1622"/>
      <c r="BN1622"/>
      <c r="BO1622"/>
      <c r="BP1622"/>
      <c r="BQ1622"/>
      <c r="BR1622"/>
    </row>
    <row r="1623" spans="3:70" s="70" customFormat="1" x14ac:dyDescent="0.2">
      <c r="C1623" s="1165" t="s">
        <v>254</v>
      </c>
      <c r="D1623" s="1178">
        <f t="shared" ref="D1623:AE1623" si="3960">D1620/D1619*-1</f>
        <v>0.29231129864041255</v>
      </c>
      <c r="E1623" s="1178">
        <f t="shared" si="3960"/>
        <v>0.26482617586912066</v>
      </c>
      <c r="F1623" s="1178">
        <f t="shared" si="3960"/>
        <v>0.26484420928865371</v>
      </c>
      <c r="G1623" s="1178">
        <f t="shared" si="3960"/>
        <v>0.21159153633854647</v>
      </c>
      <c r="H1623" s="1178">
        <f t="shared" si="3960"/>
        <v>0.33100185147089078</v>
      </c>
      <c r="I1623" s="1178">
        <f t="shared" si="3960"/>
        <v>0.32305882352941179</v>
      </c>
      <c r="J1623" s="1178">
        <f t="shared" si="3960"/>
        <v>0.27682167704137678</v>
      </c>
      <c r="K1623" s="1178">
        <f t="shared" si="3960"/>
        <v>0.27222478120681715</v>
      </c>
      <c r="L1623" s="1178">
        <f t="shared" si="3960"/>
        <v>0.30963302752293576</v>
      </c>
      <c r="M1623" s="1178">
        <f t="shared" si="3960"/>
        <v>0.31919875130072839</v>
      </c>
      <c r="N1623" s="1178">
        <f t="shared" si="3960"/>
        <v>0.32423924449108082</v>
      </c>
      <c r="O1623" s="1178">
        <f t="shared" si="3960"/>
        <v>0.207749766573296</v>
      </c>
      <c r="P1623" s="1178">
        <f t="shared" si="3960"/>
        <v>0.31274761127942202</v>
      </c>
      <c r="Q1623" s="1178">
        <f t="shared" si="3960"/>
        <v>0.31057744198596871</v>
      </c>
      <c r="R1623" s="1178">
        <f t="shared" si="3960"/>
        <v>0.32672654072468255</v>
      </c>
      <c r="S1623" s="1178">
        <f t="shared" si="3960"/>
        <v>0.29530201342281881</v>
      </c>
      <c r="T1623" s="1178">
        <f t="shared" si="3960"/>
        <v>0.29016331181162175</v>
      </c>
      <c r="U1623" s="1178">
        <f t="shared" si="3960"/>
        <v>0.31971904266389178</v>
      </c>
      <c r="V1623" s="1178">
        <f t="shared" si="3960"/>
        <v>0.31123770067322631</v>
      </c>
      <c r="W1623" s="1178">
        <f t="shared" si="3960"/>
        <v>0.30905397562391179</v>
      </c>
      <c r="X1623" s="1178">
        <f t="shared" si="3960"/>
        <v>0.31349749202006383</v>
      </c>
      <c r="Y1623" s="1178">
        <f t="shared" si="3960"/>
        <v>0.32310689067445825</v>
      </c>
      <c r="Z1623" s="1178">
        <f t="shared" si="3960"/>
        <v>0.31283662477558349</v>
      </c>
      <c r="AA1623" s="1178">
        <f t="shared" ref="AA1623:AB1623" si="3961">AA1620/AA1619*-1</f>
        <v>0.93184</v>
      </c>
      <c r="AB1623" s="1178">
        <f t="shared" si="3961"/>
        <v>0.24099407204742362</v>
      </c>
      <c r="AC1623" s="1178">
        <f t="shared" si="3960"/>
        <v>0.25</v>
      </c>
      <c r="AD1623" s="1178">
        <f t="shared" si="3960"/>
        <v>0.25</v>
      </c>
      <c r="AE1623" s="1178">
        <f t="shared" si="3960"/>
        <v>0.25</v>
      </c>
      <c r="AF1623" s="1178">
        <f t="shared" ref="AF1623:AI1623" si="3962">AF1620/AF1619*-1</f>
        <v>0.23999999999999996</v>
      </c>
      <c r="AG1623" s="1178">
        <f t="shared" si="3962"/>
        <v>0.24</v>
      </c>
      <c r="AH1623" s="1178">
        <f t="shared" si="3962"/>
        <v>0.24</v>
      </c>
      <c r="AI1623" s="1178">
        <f t="shared" si="3962"/>
        <v>0.24000000000000002</v>
      </c>
      <c r="AJ1623" s="1178"/>
      <c r="AK1623" s="1178"/>
      <c r="AL1623" s="1178"/>
      <c r="AM1623" s="1178"/>
      <c r="AN1623" s="1178"/>
      <c r="AO1623" s="1178"/>
      <c r="AP1623" s="1178"/>
      <c r="AQ1623" s="1178"/>
      <c r="AT1623" s="1165" t="s">
        <v>254</v>
      </c>
      <c r="AU1623" s="1178">
        <f t="shared" ref="AU1623:BD1623" si="3963">AU1620/AU1619*-1</f>
        <v>0.26494990607388852</v>
      </c>
      <c r="AV1623" s="1178">
        <f t="shared" si="3963"/>
        <v>0.30892742453436095</v>
      </c>
      <c r="AW1623" s="1178">
        <f t="shared" si="3963"/>
        <v>0.30074869331826531</v>
      </c>
      <c r="AX1623" s="1178">
        <f t="shared" si="3963"/>
        <v>0.31320116797295222</v>
      </c>
      <c r="AY1623" s="1178">
        <f t="shared" si="3963"/>
        <v>0.30903155603917304</v>
      </c>
      <c r="AZ1623" s="1178">
        <f t="shared" si="3963"/>
        <v>0.43598357596117954</v>
      </c>
      <c r="BA1623" s="1178">
        <f t="shared" si="3963"/>
        <v>0.2476827773823943</v>
      </c>
      <c r="BB1623" s="1178">
        <f t="shared" ref="BB1623" si="3964">BB1620/BB1619*-1</f>
        <v>0.24</v>
      </c>
      <c r="BC1623" s="1178">
        <f t="shared" si="3963"/>
        <v>0.24</v>
      </c>
      <c r="BD1623" s="1178">
        <f t="shared" si="3963"/>
        <v>0.24000000000000002</v>
      </c>
      <c r="BE1623" s="1178">
        <f t="shared" ref="BE1623" si="3965">BE1620/BE1619*-1</f>
        <v>0.23999999999999996</v>
      </c>
      <c r="BG1623" s="1196"/>
      <c r="BH1623" s="1196"/>
      <c r="BI1623" s="1196"/>
      <c r="BJ1623" s="1196"/>
      <c r="BK1623" s="1196"/>
      <c r="BL1623" s="1196"/>
      <c r="BM1623"/>
      <c r="BN1623"/>
      <c r="BO1623"/>
      <c r="BP1623"/>
      <c r="BQ1623"/>
      <c r="BR1623"/>
    </row>
    <row r="1624" spans="3:70" s="70" customFormat="1" x14ac:dyDescent="0.2">
      <c r="C1624" s="35"/>
      <c r="D1624" s="1158"/>
      <c r="E1624" s="1158"/>
      <c r="F1624" s="1158"/>
      <c r="G1624" s="1158"/>
      <c r="H1624" s="1158"/>
      <c r="I1624" s="1158"/>
      <c r="J1624" s="1158"/>
      <c r="K1624" s="1158"/>
      <c r="L1624" s="1158"/>
      <c r="M1624" s="1158"/>
      <c r="N1624" s="1158"/>
      <c r="O1624" s="1158"/>
      <c r="P1624" s="1158"/>
      <c r="Q1624" s="1158"/>
      <c r="R1624" s="1158"/>
      <c r="S1624" s="1158"/>
      <c r="T1624" s="1158"/>
      <c r="U1624" s="1158"/>
      <c r="V1624" s="1158"/>
      <c r="W1624" s="1158"/>
      <c r="X1624" s="1158"/>
      <c r="Y1624" s="1158"/>
      <c r="Z1624" s="1158"/>
      <c r="AA1624" s="1742"/>
      <c r="AB1624" s="1785"/>
      <c r="AC1624" s="1158"/>
      <c r="AD1624" s="1158"/>
      <c r="AE1624" s="1740"/>
      <c r="AF1624" s="1740"/>
      <c r="AG1624" s="1740"/>
      <c r="AH1624" s="1740"/>
      <c r="AI1624" s="1707"/>
      <c r="AJ1624" s="1740"/>
      <c r="AK1624" s="1740"/>
      <c r="AL1624" s="1740"/>
      <c r="AM1624" s="1740"/>
      <c r="AN1624" s="1740"/>
      <c r="AO1624" s="1740"/>
      <c r="AP1624" s="1740"/>
      <c r="AQ1624" s="1740"/>
      <c r="AT1624" s="35"/>
      <c r="AU1624" s="1158"/>
      <c r="AV1624" s="1158"/>
      <c r="AW1624" s="1158"/>
      <c r="AX1624" s="1158"/>
      <c r="AY1624" s="1158"/>
      <c r="AZ1624" s="1158"/>
      <c r="BA1624" s="1158"/>
      <c r="BB1624" s="1707"/>
      <c r="BC1624" s="1158"/>
      <c r="BD1624" s="1704"/>
      <c r="BE1624" s="1702"/>
      <c r="BG1624" s="1195"/>
      <c r="BH1624" s="1195"/>
      <c r="BI1624" s="1195"/>
      <c r="BJ1624" s="1195"/>
      <c r="BK1624" s="1195"/>
      <c r="BL1624" s="1195"/>
      <c r="BM1624"/>
      <c r="BN1624"/>
      <c r="BO1624"/>
      <c r="BP1624"/>
      <c r="BQ1624"/>
      <c r="BR1624"/>
    </row>
    <row r="1625" spans="3:70" s="70" customFormat="1" x14ac:dyDescent="0.2">
      <c r="C1625" s="1165" t="s">
        <v>1198</v>
      </c>
      <c r="D1625" s="1173"/>
      <c r="E1625" s="1173"/>
      <c r="F1625" s="1173"/>
      <c r="G1625" s="1173"/>
      <c r="H1625" s="1173"/>
      <c r="I1625" s="1173"/>
      <c r="J1625" s="1173"/>
      <c r="K1625" s="1173"/>
      <c r="L1625" s="50">
        <f>L632</f>
        <v>67000</v>
      </c>
      <c r="M1625" s="50">
        <f t="shared" ref="M1625:AE1625" si="3966">M632</f>
        <v>67000</v>
      </c>
      <c r="N1625" s="50">
        <f t="shared" si="3966"/>
        <v>67000</v>
      </c>
      <c r="O1625" s="50">
        <f t="shared" si="3966"/>
        <v>67000</v>
      </c>
      <c r="P1625" s="50">
        <f t="shared" si="3966"/>
        <v>76000</v>
      </c>
      <c r="Q1625" s="50">
        <f t="shared" si="3966"/>
        <v>76000</v>
      </c>
      <c r="R1625" s="50">
        <f t="shared" si="3966"/>
        <v>76000</v>
      </c>
      <c r="S1625" s="50">
        <f t="shared" si="3966"/>
        <v>76000</v>
      </c>
      <c r="T1625" s="50">
        <f t="shared" si="3966"/>
        <v>80000</v>
      </c>
      <c r="U1625" s="50">
        <f t="shared" si="3966"/>
        <v>80000</v>
      </c>
      <c r="V1625" s="50">
        <f t="shared" si="3966"/>
        <v>80000</v>
      </c>
      <c r="W1625" s="50">
        <f t="shared" si="3966"/>
        <v>80000</v>
      </c>
      <c r="X1625" s="50">
        <f t="shared" si="3966"/>
        <v>82000</v>
      </c>
      <c r="Y1625" s="50">
        <f t="shared" si="3966"/>
        <v>82000</v>
      </c>
      <c r="Z1625" s="50">
        <f t="shared" si="3966"/>
        <v>82000</v>
      </c>
      <c r="AA1625" s="50">
        <f t="shared" ref="AA1625:AB1625" si="3967">AA632</f>
        <v>82000</v>
      </c>
      <c r="AB1625" s="50">
        <f t="shared" si="3967"/>
        <v>82000</v>
      </c>
      <c r="AC1625" s="50">
        <f t="shared" si="3966"/>
        <v>82000</v>
      </c>
      <c r="AD1625" s="50">
        <f t="shared" si="3966"/>
        <v>82000</v>
      </c>
      <c r="AE1625" s="50">
        <f t="shared" si="3966"/>
        <v>82000</v>
      </c>
      <c r="AF1625" s="50">
        <f t="shared" ref="AF1625:AI1625" si="3968">AF632</f>
        <v>87000</v>
      </c>
      <c r="AG1625" s="50">
        <f t="shared" si="3968"/>
        <v>87000</v>
      </c>
      <c r="AH1625" s="50">
        <f t="shared" si="3968"/>
        <v>87000</v>
      </c>
      <c r="AI1625" s="50">
        <f t="shared" si="3968"/>
        <v>87000</v>
      </c>
      <c r="AJ1625" s="50"/>
      <c r="AK1625" s="50"/>
      <c r="AL1625" s="50"/>
      <c r="AM1625" s="50"/>
      <c r="AN1625" s="50"/>
      <c r="AO1625" s="50"/>
      <c r="AP1625" s="50"/>
      <c r="AQ1625" s="50"/>
      <c r="AT1625" s="1165" t="s">
        <v>1198</v>
      </c>
      <c r="AU1625" s="1173"/>
      <c r="AV1625" s="1173"/>
      <c r="AW1625" s="50">
        <f t="shared" ref="AW1625:BD1625" si="3969">AW632</f>
        <v>67000</v>
      </c>
      <c r="AX1625" s="50">
        <f t="shared" si="3969"/>
        <v>76000</v>
      </c>
      <c r="AY1625" s="50">
        <f t="shared" si="3969"/>
        <v>80000</v>
      </c>
      <c r="AZ1625" s="50">
        <f t="shared" si="3969"/>
        <v>82000</v>
      </c>
      <c r="BA1625" s="50">
        <f t="shared" si="3969"/>
        <v>82000</v>
      </c>
      <c r="BB1625" s="50">
        <f t="shared" ref="BB1625" si="3970">BB632</f>
        <v>87000</v>
      </c>
      <c r="BC1625" s="50">
        <f t="shared" si="3969"/>
        <v>92000</v>
      </c>
      <c r="BD1625" s="50">
        <f t="shared" si="3969"/>
        <v>97000</v>
      </c>
      <c r="BE1625" s="50">
        <f t="shared" ref="BE1625" si="3971">BE632</f>
        <v>103000</v>
      </c>
      <c r="BG1625" s="1195"/>
      <c r="BH1625" s="1195"/>
      <c r="BI1625" s="1195"/>
      <c r="BJ1625" s="1195"/>
      <c r="BK1625" s="1195"/>
      <c r="BL1625" s="1195"/>
      <c r="BM1625"/>
      <c r="BN1625"/>
      <c r="BO1625"/>
      <c r="BP1625"/>
      <c r="BQ1625"/>
      <c r="BR1625"/>
    </row>
    <row r="1626" spans="3:70" s="70" customFormat="1" x14ac:dyDescent="0.2">
      <c r="C1626" s="35"/>
      <c r="D1626" s="1158"/>
      <c r="E1626" s="1158"/>
      <c r="F1626" s="1158"/>
      <c r="G1626" s="1158"/>
      <c r="H1626" s="1158"/>
      <c r="I1626" s="1158"/>
      <c r="J1626" s="1158"/>
      <c r="K1626" s="1158"/>
      <c r="L1626" s="1158"/>
      <c r="M1626" s="1158"/>
      <c r="N1626" s="1158"/>
      <c r="O1626" s="1158"/>
      <c r="P1626" s="1158"/>
      <c r="Q1626" s="1158"/>
      <c r="R1626" s="1158"/>
      <c r="S1626" s="1158"/>
      <c r="T1626" s="1158"/>
      <c r="U1626" s="1158"/>
      <c r="V1626" s="1158"/>
      <c r="W1626" s="1158"/>
      <c r="X1626" s="1158"/>
      <c r="Y1626" s="1158"/>
      <c r="Z1626" s="1158"/>
      <c r="AA1626" s="1742"/>
      <c r="AB1626" s="1785"/>
      <c r="AC1626" s="1158"/>
      <c r="AD1626" s="1158"/>
      <c r="AE1626" s="1740"/>
      <c r="AF1626" s="1740"/>
      <c r="AG1626" s="1740"/>
      <c r="AH1626" s="1740"/>
      <c r="AI1626" s="1707"/>
      <c r="AJ1626" s="1740"/>
      <c r="AK1626" s="1740"/>
      <c r="AL1626" s="1740"/>
      <c r="AM1626" s="1740"/>
      <c r="AN1626" s="1740"/>
      <c r="AO1626" s="1740"/>
      <c r="AP1626" s="1740"/>
      <c r="AQ1626" s="1740"/>
      <c r="AT1626" s="35"/>
      <c r="AU1626" s="1158"/>
      <c r="AV1626" s="1158"/>
      <c r="AW1626" s="1158"/>
      <c r="AX1626" s="1158"/>
      <c r="AY1626" s="1158"/>
      <c r="AZ1626" s="1158"/>
      <c r="BA1626" s="1158"/>
      <c r="BB1626" s="1707"/>
      <c r="BC1626" s="1158"/>
      <c r="BD1626" s="1704"/>
      <c r="BE1626" s="1702"/>
      <c r="BG1626" s="1195"/>
      <c r="BH1626" s="1195"/>
      <c r="BI1626" s="1195"/>
      <c r="BJ1626" s="1195"/>
      <c r="BK1626" s="1195"/>
      <c r="BL1626" s="1195"/>
      <c r="BM1626"/>
      <c r="BN1626"/>
      <c r="BO1626"/>
      <c r="BP1626"/>
      <c r="BQ1626"/>
      <c r="BR1626"/>
    </row>
    <row r="1627" spans="3:70" s="70" customFormat="1" x14ac:dyDescent="0.2">
      <c r="C1627" s="35" t="s">
        <v>1199</v>
      </c>
      <c r="D1627" s="1178"/>
      <c r="E1627" s="1178"/>
      <c r="F1627" s="1178"/>
      <c r="G1627" s="1178"/>
      <c r="H1627" s="1178"/>
      <c r="I1627" s="1178"/>
      <c r="J1627" s="1178"/>
      <c r="K1627" s="1178"/>
      <c r="L1627" s="1178">
        <f t="shared" ref="L1627:AE1627" si="3972">L1621/L1625*L$1</f>
        <v>0.18219734660033166</v>
      </c>
      <c r="M1627" s="1178">
        <f t="shared" si="3972"/>
        <v>0.15666803345907823</v>
      </c>
      <c r="N1627" s="1178">
        <f t="shared" si="3972"/>
        <v>0.1525373134328358</v>
      </c>
      <c r="O1627" s="1178">
        <f t="shared" si="3972"/>
        <v>0.10048750811161582</v>
      </c>
      <c r="P1627" s="1178">
        <f t="shared" si="3972"/>
        <v>0.15736622807017542</v>
      </c>
      <c r="Q1627" s="1178">
        <f t="shared" si="3972"/>
        <v>0.13484311740890689</v>
      </c>
      <c r="R1627" s="1178">
        <f t="shared" si="3972"/>
        <v>0.11348827231121281</v>
      </c>
      <c r="S1627" s="1178">
        <f t="shared" si="3972"/>
        <v>6.5775171624713955E-2</v>
      </c>
      <c r="T1627" s="1178">
        <f t="shared" si="3972"/>
        <v>9.3963461538461537E-2</v>
      </c>
      <c r="U1627" s="1178">
        <f t="shared" si="3972"/>
        <v>0.13146840659340658</v>
      </c>
      <c r="V1627" s="1178">
        <f t="shared" si="3972"/>
        <v>0.13227717391304347</v>
      </c>
      <c r="W1627" s="1178">
        <f t="shared" si="3972"/>
        <v>0.11840298913043479</v>
      </c>
      <c r="X1627" s="1178">
        <f t="shared" si="3972"/>
        <v>0.14891802168021678</v>
      </c>
      <c r="Y1627" s="1178">
        <f t="shared" si="3972"/>
        <v>0.13598231037255429</v>
      </c>
      <c r="Z1627" s="1178">
        <f t="shared" si="3972"/>
        <v>0.14814819724284198</v>
      </c>
      <c r="AA1627" s="1178">
        <f t="shared" ref="AA1627:AB1627" si="3973">AA1621/AA1625*AA$1</f>
        <v>1.0305540827147401E-2</v>
      </c>
      <c r="AB1627" s="1178">
        <f t="shared" si="3973"/>
        <v>0.16464566395663957</v>
      </c>
      <c r="AC1627" s="1178">
        <f t="shared" si="3972"/>
        <v>0.15771799881592732</v>
      </c>
      <c r="AD1627" s="1178">
        <f t="shared" si="3972"/>
        <v>0.15523145037139283</v>
      </c>
      <c r="AE1627" s="1178">
        <f t="shared" si="3972"/>
        <v>0.14816952033513878</v>
      </c>
      <c r="AF1627" s="1178">
        <f t="shared" ref="AF1627:AI1627" si="3974">AF1621/AF1625*AF$1</f>
        <v>0.16811292566249261</v>
      </c>
      <c r="AG1627" s="1178">
        <f t="shared" si="3974"/>
        <v>0.1695524989906384</v>
      </c>
      <c r="AH1627" s="1178">
        <f t="shared" si="3974"/>
        <v>0.16182770851117415</v>
      </c>
      <c r="AI1627" s="1178">
        <f t="shared" si="3974"/>
        <v>0.15204553589560638</v>
      </c>
      <c r="AJ1627" s="1178"/>
      <c r="AK1627" s="1178"/>
      <c r="AL1627" s="1178"/>
      <c r="AM1627" s="1178"/>
      <c r="AN1627" s="1178"/>
      <c r="AO1627" s="1178"/>
      <c r="AP1627" s="1178"/>
      <c r="AQ1627" s="1178"/>
      <c r="AT1627" s="35" t="s">
        <v>1199</v>
      </c>
      <c r="AU1627" s="1178"/>
      <c r="AV1627" s="1178"/>
      <c r="AW1627" s="1178">
        <f>AW1621/AW1625*AW$1</f>
        <v>0.14776119402985075</v>
      </c>
      <c r="AX1627" s="1178">
        <f t="shared" ref="AX1627:BD1627" si="3975">AX1621/AX1625*AX$1</f>
        <v>0.11760526315789474</v>
      </c>
      <c r="AY1627" s="1178">
        <f t="shared" si="3975"/>
        <v>0.1190625</v>
      </c>
      <c r="AZ1627" s="1178">
        <f t="shared" si="3975"/>
        <v>0.1105609756097561</v>
      </c>
      <c r="BA1627" s="1178">
        <f t="shared" si="3975"/>
        <v>0.15639270398177493</v>
      </c>
      <c r="BB1627" s="1178">
        <f t="shared" ref="BB1627" si="3976">BB1621/BB1625*BB$1</f>
        <v>0.16283775124163358</v>
      </c>
      <c r="BC1627" s="1178">
        <f t="shared" si="3975"/>
        <v>0.1671324676502037</v>
      </c>
      <c r="BD1627" s="1178">
        <f t="shared" si="3975"/>
        <v>0.16839512181716992</v>
      </c>
      <c r="BE1627" s="1178">
        <f t="shared" ref="BE1627" si="3977">BE1621/BE1625*BE$1</f>
        <v>0.16646417498127047</v>
      </c>
      <c r="BG1627" s="1196"/>
      <c r="BH1627" s="1196"/>
      <c r="BI1627" s="1196"/>
      <c r="BJ1627" s="1196"/>
      <c r="BK1627" s="1196"/>
      <c r="BL1627" s="1196"/>
      <c r="BM1627"/>
      <c r="BN1627"/>
      <c r="BO1627"/>
      <c r="BP1627"/>
      <c r="BQ1627"/>
      <c r="BR1627"/>
    </row>
    <row r="1628" spans="3:70" s="70" customFormat="1" x14ac:dyDescent="0.2">
      <c r="C1628" s="35"/>
      <c r="D1628" s="1158"/>
      <c r="E1628" s="1158"/>
      <c r="F1628" s="1158"/>
      <c r="G1628" s="1158"/>
      <c r="H1628" s="1158"/>
      <c r="I1628" s="1158"/>
      <c r="J1628" s="1158"/>
      <c r="K1628" s="1158"/>
      <c r="L1628" s="1158"/>
      <c r="M1628" s="1158"/>
      <c r="N1628" s="1158"/>
      <c r="O1628" s="1158"/>
      <c r="P1628" s="1158"/>
      <c r="Q1628" s="1158"/>
      <c r="R1628" s="1158"/>
      <c r="S1628" s="1158"/>
      <c r="T1628" s="1158"/>
      <c r="U1628" s="1158"/>
      <c r="V1628" s="1158"/>
      <c r="W1628" s="1158"/>
      <c r="X1628" s="1158"/>
      <c r="Y1628" s="1158"/>
      <c r="Z1628" s="1158"/>
      <c r="AA1628" s="1742"/>
      <c r="AB1628" s="1785"/>
      <c r="AC1628" s="1158"/>
      <c r="AD1628" s="1158"/>
      <c r="AE1628" s="1740"/>
      <c r="AF1628" s="1740"/>
      <c r="AG1628" s="1740"/>
      <c r="AH1628" s="1740"/>
      <c r="AI1628" s="1707"/>
      <c r="AJ1628" s="1740"/>
      <c r="AK1628" s="1740"/>
      <c r="AL1628" s="1740"/>
      <c r="AM1628" s="1740"/>
      <c r="AN1628" s="1740"/>
      <c r="AO1628" s="1740"/>
      <c r="AP1628" s="1740"/>
      <c r="AQ1628" s="1740"/>
      <c r="AT1628" s="35"/>
      <c r="AU1628" s="1158"/>
      <c r="AV1628" s="1158"/>
      <c r="AW1628" s="1158"/>
      <c r="AX1628" s="1158"/>
      <c r="AY1628" s="1158"/>
      <c r="AZ1628" s="1158"/>
      <c r="BA1628" s="1158"/>
      <c r="BB1628" s="1707"/>
      <c r="BC1628" s="1158"/>
      <c r="BD1628" s="1704"/>
      <c r="BE1628" s="1702"/>
      <c r="BG1628" s="1195"/>
      <c r="BH1628" s="1195"/>
      <c r="BI1628" s="1195"/>
      <c r="BJ1628" s="1195"/>
      <c r="BK1628" s="1195"/>
      <c r="BL1628" s="1195"/>
      <c r="BM1628"/>
      <c r="BN1628"/>
      <c r="BO1628"/>
      <c r="BP1628"/>
      <c r="BQ1628"/>
      <c r="BR1628"/>
    </row>
    <row r="1629" spans="3:70" s="70" customFormat="1" x14ac:dyDescent="0.2">
      <c r="C1629" s="35" t="s">
        <v>1200</v>
      </c>
      <c r="D1629" s="1179">
        <f t="shared" ref="D1629:AE1629" si="3978">D628*1000</f>
        <v>1222000</v>
      </c>
      <c r="E1629" s="1179">
        <f t="shared" si="3978"/>
        <v>1249000</v>
      </c>
      <c r="F1629" s="1179">
        <f t="shared" si="3978"/>
        <v>1247000</v>
      </c>
      <c r="G1629" s="1179">
        <f t="shared" si="3978"/>
        <v>1250000</v>
      </c>
      <c r="H1629" s="1179">
        <f t="shared" si="3978"/>
        <v>1246000</v>
      </c>
      <c r="I1629" s="1179">
        <f t="shared" si="3978"/>
        <v>1280000</v>
      </c>
      <c r="J1629" s="1179">
        <f t="shared" si="3978"/>
        <v>1253000</v>
      </c>
      <c r="K1629" s="1179">
        <f t="shared" si="3978"/>
        <v>1272000</v>
      </c>
      <c r="L1629" s="1179">
        <f t="shared" si="3978"/>
        <v>1288000</v>
      </c>
      <c r="M1629" s="1179">
        <f t="shared" si="3978"/>
        <v>1296000</v>
      </c>
      <c r="N1629" s="1179">
        <f t="shared" si="3978"/>
        <v>1284000</v>
      </c>
      <c r="O1629" s="1179">
        <f t="shared" si="3978"/>
        <v>1304000</v>
      </c>
      <c r="P1629" s="1179">
        <f t="shared" si="3978"/>
        <v>1280000</v>
      </c>
      <c r="Q1629" s="1179">
        <f t="shared" si="3978"/>
        <v>1285000</v>
      </c>
      <c r="R1629" s="1179">
        <f t="shared" si="3978"/>
        <v>1265000</v>
      </c>
      <c r="S1629" s="1179">
        <f t="shared" si="3978"/>
        <v>1258000</v>
      </c>
      <c r="T1629" s="1179">
        <f t="shared" si="3978"/>
        <v>1272000</v>
      </c>
      <c r="U1629" s="1179">
        <f t="shared" si="3978"/>
        <v>1300000</v>
      </c>
      <c r="V1629" s="1179">
        <f t="shared" si="3978"/>
        <v>1310000</v>
      </c>
      <c r="W1629" s="1179">
        <f t="shared" si="3978"/>
        <v>1310000</v>
      </c>
      <c r="X1629" s="1179">
        <f t="shared" si="3978"/>
        <v>1318000</v>
      </c>
      <c r="Y1629" s="1179">
        <f t="shared" si="3978"/>
        <v>1360000</v>
      </c>
      <c r="Z1629" s="1179">
        <f t="shared" si="3978"/>
        <v>1369000</v>
      </c>
      <c r="AA1629" s="1179">
        <f t="shared" ref="AA1629:AB1629" si="3979">AA628*1000</f>
        <v>1385000</v>
      </c>
      <c r="AB1629" s="1179">
        <f t="shared" si="3979"/>
        <v>1388000</v>
      </c>
      <c r="AC1629" s="1179">
        <f t="shared" si="3978"/>
        <v>1401880</v>
      </c>
      <c r="AD1629" s="1179">
        <f t="shared" si="3978"/>
        <v>1415898.8000000003</v>
      </c>
      <c r="AE1629" s="1179">
        <f t="shared" si="3978"/>
        <v>1430057.7880000002</v>
      </c>
      <c r="AF1629" s="1179">
        <f t="shared" ref="AF1629:AI1629" si="3980">AF628*1000</f>
        <v>1451508.6548200001</v>
      </c>
      <c r="AG1629" s="1179">
        <f t="shared" si="3980"/>
        <v>1473281.2846422999</v>
      </c>
      <c r="AH1629" s="1179">
        <f t="shared" si="3980"/>
        <v>1499800.3477658613</v>
      </c>
      <c r="AI1629" s="1179">
        <f t="shared" si="3980"/>
        <v>1529796.3547211785</v>
      </c>
      <c r="AJ1629" s="1179"/>
      <c r="AK1629" s="1179"/>
      <c r="AL1629" s="1179"/>
      <c r="AM1629" s="1179"/>
      <c r="AN1629" s="1179"/>
      <c r="AO1629" s="1179"/>
      <c r="AP1629" s="1179"/>
      <c r="AQ1629" s="1179"/>
      <c r="AT1629" s="35" t="s">
        <v>1200</v>
      </c>
      <c r="AU1629" s="1179">
        <f>AU628*1000</f>
        <v>1242000</v>
      </c>
      <c r="AV1629" s="1179">
        <f>AV628*1000</f>
        <v>1262750</v>
      </c>
      <c r="AW1629" s="1179">
        <f>AW628*1000</f>
        <v>1293000</v>
      </c>
      <c r="AX1629" s="1179">
        <f t="shared" ref="AX1629:BD1629" si="3981">AX628*1000</f>
        <v>1272000</v>
      </c>
      <c r="AY1629" s="1179">
        <f t="shared" si="3981"/>
        <v>1298000</v>
      </c>
      <c r="AZ1629" s="1179">
        <f t="shared" si="3981"/>
        <v>1358000</v>
      </c>
      <c r="BA1629" s="1179">
        <f t="shared" si="3981"/>
        <v>1408959.1470000001</v>
      </c>
      <c r="BB1629" s="1179">
        <f t="shared" ref="BB1629" si="3982">BB628*1000</f>
        <v>1488596.6604873349</v>
      </c>
      <c r="BC1629" s="1179">
        <f t="shared" si="3981"/>
        <v>1577912.4601165752</v>
      </c>
      <c r="BD1629" s="1179">
        <f t="shared" si="3981"/>
        <v>1672587.2077235696</v>
      </c>
      <c r="BE1629" s="1179">
        <f t="shared" ref="BE1629" si="3983">BE628*1000</f>
        <v>1772942.4401869839</v>
      </c>
      <c r="BG1629" s="1195"/>
      <c r="BH1629" s="1195"/>
      <c r="BI1629" s="1195"/>
      <c r="BJ1629" s="1195"/>
      <c r="BK1629" s="1195"/>
      <c r="BL1629" s="1195"/>
      <c r="BM1629"/>
      <c r="BN1629"/>
      <c r="BO1629"/>
      <c r="BP1629"/>
      <c r="BQ1629"/>
      <c r="BR1629"/>
    </row>
    <row r="1630" spans="3:70" s="70" customFormat="1" x14ac:dyDescent="0.2">
      <c r="C1630" s="35" t="s">
        <v>1201</v>
      </c>
      <c r="D1630" s="1178"/>
      <c r="E1630" s="1178"/>
      <c r="F1630" s="1178"/>
      <c r="G1630" s="1178"/>
      <c r="H1630" s="1178"/>
      <c r="I1630" s="1178"/>
      <c r="J1630" s="1178"/>
      <c r="K1630" s="1178"/>
      <c r="L1630" s="1178">
        <f t="shared" ref="L1630:AE1630" si="3984">L1625/L1629</f>
        <v>5.2018633540372672E-2</v>
      </c>
      <c r="M1630" s="1178">
        <f t="shared" si="3984"/>
        <v>5.1697530864197531E-2</v>
      </c>
      <c r="N1630" s="1178">
        <f t="shared" si="3984"/>
        <v>5.2180685358255451E-2</v>
      </c>
      <c r="O1630" s="1178">
        <f t="shared" si="3984"/>
        <v>5.1380368098159511E-2</v>
      </c>
      <c r="P1630" s="1178">
        <f t="shared" si="3984"/>
        <v>5.9374999999999997E-2</v>
      </c>
      <c r="Q1630" s="1178">
        <f t="shared" si="3984"/>
        <v>5.9143968871595329E-2</v>
      </c>
      <c r="R1630" s="1178">
        <f t="shared" si="3984"/>
        <v>6.007905138339921E-2</v>
      </c>
      <c r="S1630" s="1178">
        <f t="shared" si="3984"/>
        <v>6.0413354531001592E-2</v>
      </c>
      <c r="T1630" s="1178">
        <f t="shared" si="3984"/>
        <v>6.2893081761006289E-2</v>
      </c>
      <c r="U1630" s="1178">
        <f t="shared" si="3984"/>
        <v>6.1538461538461542E-2</v>
      </c>
      <c r="V1630" s="1178">
        <f t="shared" si="3984"/>
        <v>6.1068702290076333E-2</v>
      </c>
      <c r="W1630" s="1178">
        <f t="shared" si="3984"/>
        <v>6.1068702290076333E-2</v>
      </c>
      <c r="X1630" s="1178">
        <f t="shared" si="3984"/>
        <v>6.2215477996965099E-2</v>
      </c>
      <c r="Y1630" s="1178">
        <f t="shared" si="3984"/>
        <v>6.0294117647058824E-2</v>
      </c>
      <c r="Z1630" s="1178">
        <f t="shared" si="3984"/>
        <v>5.989773557341125E-2</v>
      </c>
      <c r="AA1630" s="1178">
        <f t="shared" ref="AA1630:AB1630" si="3985">AA1625/AA1629</f>
        <v>5.92057761732852E-2</v>
      </c>
      <c r="AB1630" s="1178">
        <f t="shared" si="3985"/>
        <v>5.9077809798270896E-2</v>
      </c>
      <c r="AC1630" s="1178">
        <f t="shared" si="3984"/>
        <v>5.8492880988387022E-2</v>
      </c>
      <c r="AD1630" s="1178">
        <f t="shared" si="3984"/>
        <v>5.7913743552858429E-2</v>
      </c>
      <c r="AE1630" s="1178">
        <f t="shared" si="3984"/>
        <v>5.7340340151344982E-2</v>
      </c>
      <c r="AF1630" s="1178">
        <f t="shared" ref="AF1630:AI1630" si="3986">AF1625/AF1629</f>
        <v>5.9937637788862352E-2</v>
      </c>
      <c r="AG1630" s="1178">
        <f t="shared" si="3986"/>
        <v>5.9051859890504793E-2</v>
      </c>
      <c r="AH1630" s="1178">
        <f t="shared" si="3986"/>
        <v>5.8007720914051854E-2</v>
      </c>
      <c r="AI1630" s="1178">
        <f t="shared" si="3986"/>
        <v>5.6870314621619469E-2</v>
      </c>
      <c r="AJ1630" s="1178"/>
      <c r="AK1630" s="1178"/>
      <c r="AL1630" s="1178"/>
      <c r="AM1630" s="1178"/>
      <c r="AN1630" s="1178"/>
      <c r="AO1630" s="1178"/>
      <c r="AP1630" s="1178"/>
      <c r="AQ1630" s="1178"/>
      <c r="AT1630" s="35" t="s">
        <v>1201</v>
      </c>
      <c r="AU1630" s="1178"/>
      <c r="AV1630" s="1178"/>
      <c r="AW1630" s="1178">
        <f t="shared" ref="AW1630:BD1630" si="3987">AW1625/AW1629</f>
        <v>5.1817478731631866E-2</v>
      </c>
      <c r="AX1630" s="1178">
        <f t="shared" si="3987"/>
        <v>5.9748427672955975E-2</v>
      </c>
      <c r="AY1630" s="1178">
        <f t="shared" si="3987"/>
        <v>6.1633281972265024E-2</v>
      </c>
      <c r="AZ1630" s="1178">
        <f t="shared" si="3987"/>
        <v>6.0382916053019146E-2</v>
      </c>
      <c r="BA1630" s="1178">
        <f t="shared" si="3987"/>
        <v>5.8198990492092664E-2</v>
      </c>
      <c r="BB1630" s="1178">
        <f t="shared" ref="BB1630" si="3988">BB1625/BB1629</f>
        <v>5.8444306849054765E-2</v>
      </c>
      <c r="BC1630" s="1178">
        <f t="shared" si="3987"/>
        <v>5.8304882130915614E-2</v>
      </c>
      <c r="BD1630" s="1178">
        <f t="shared" si="3987"/>
        <v>5.7993986533006713E-2</v>
      </c>
      <c r="BE1630" s="1178">
        <f t="shared" ref="BE1630" si="3989">BE1625/BE1629</f>
        <v>5.8095512671656205E-2</v>
      </c>
      <c r="BG1630" s="1196"/>
      <c r="BH1630" s="1196"/>
      <c r="BI1630" s="1196"/>
      <c r="BJ1630" s="1196"/>
      <c r="BK1630" s="1196"/>
      <c r="BL1630" s="1196"/>
      <c r="BM1630"/>
      <c r="BN1630"/>
      <c r="BO1630"/>
      <c r="BP1630"/>
      <c r="BQ1630"/>
      <c r="BR1630"/>
    </row>
    <row r="1631" spans="3:70" s="70" customFormat="1" x14ac:dyDescent="0.2">
      <c r="C1631" s="35"/>
      <c r="D1631" s="1159"/>
      <c r="E1631" s="1159"/>
      <c r="F1631" s="1159"/>
      <c r="G1631" s="1159"/>
      <c r="H1631" s="1159"/>
      <c r="I1631" s="1159"/>
      <c r="J1631" s="1159"/>
      <c r="K1631" s="1159"/>
      <c r="L1631" s="1159"/>
      <c r="M1631" s="1159"/>
      <c r="N1631" s="1159"/>
      <c r="O1631" s="1159"/>
      <c r="P1631" s="1158"/>
      <c r="Q1631" s="1158"/>
      <c r="R1631" s="1158"/>
      <c r="S1631" s="1158"/>
      <c r="T1631" s="1158"/>
      <c r="U1631" s="1158"/>
      <c r="V1631" s="1158"/>
      <c r="W1631" s="1158"/>
      <c r="X1631" s="1158"/>
      <c r="Y1631" s="1158"/>
      <c r="Z1631" s="1158"/>
      <c r="AA1631" s="1742"/>
      <c r="AB1631" s="1785"/>
      <c r="AC1631" s="1158"/>
      <c r="AD1631" s="1158"/>
      <c r="AE1631" s="1740"/>
      <c r="AF1631" s="1740"/>
      <c r="AG1631" s="1740"/>
      <c r="AH1631" s="1740"/>
      <c r="AI1631" s="1707"/>
      <c r="AJ1631" s="1740"/>
      <c r="AK1631" s="1740"/>
      <c r="AL1631" s="1740"/>
      <c r="AM1631" s="1740"/>
      <c r="AN1631" s="1740"/>
      <c r="AO1631" s="1740"/>
      <c r="AP1631" s="1740"/>
      <c r="AQ1631" s="1740"/>
      <c r="AT1631" s="35"/>
      <c r="AU1631" s="1158"/>
      <c r="AV1631" s="1158"/>
      <c r="AW1631" s="1158"/>
      <c r="AX1631" s="1158"/>
      <c r="AY1631" s="1158"/>
      <c r="AZ1631" s="1158"/>
      <c r="BA1631" s="1158"/>
      <c r="BB1631" s="1707"/>
      <c r="BC1631" s="1158"/>
      <c r="BD1631" s="1704"/>
      <c r="BE1631" s="1702"/>
      <c r="BG1631" s="1195"/>
      <c r="BH1631" s="1195"/>
      <c r="BI1631" s="1195"/>
      <c r="BJ1631" s="1195"/>
      <c r="BK1631" s="1195"/>
      <c r="BL1631" s="1195"/>
      <c r="BM1631"/>
      <c r="BN1631"/>
      <c r="BO1631"/>
      <c r="BP1631"/>
      <c r="BQ1631"/>
      <c r="BR1631"/>
    </row>
    <row r="1632" spans="3:70" s="70" customFormat="1" x14ac:dyDescent="0.2">
      <c r="C1632" s="35" t="s">
        <v>48</v>
      </c>
      <c r="D1632" s="1180">
        <f t="shared" ref="D1632:AE1632" si="3990">-D1617</f>
        <v>5135</v>
      </c>
      <c r="E1632" s="1180">
        <f t="shared" si="3990"/>
        <v>5000</v>
      </c>
      <c r="F1632" s="1180">
        <f t="shared" si="3990"/>
        <v>4881</v>
      </c>
      <c r="G1632" s="1180">
        <f t="shared" si="3990"/>
        <v>5258</v>
      </c>
      <c r="H1632" s="1180">
        <f t="shared" si="3990"/>
        <v>4975</v>
      </c>
      <c r="I1632" s="1180">
        <f t="shared" si="3990"/>
        <v>4912</v>
      </c>
      <c r="J1632" s="1180">
        <f t="shared" si="3990"/>
        <v>4786</v>
      </c>
      <c r="K1632" s="1180">
        <f t="shared" si="3990"/>
        <v>5153</v>
      </c>
      <c r="L1632" s="1180">
        <f t="shared" si="3990"/>
        <v>4887</v>
      </c>
      <c r="M1632" s="1180">
        <f t="shared" si="3990"/>
        <v>4769</v>
      </c>
      <c r="N1632" s="1180">
        <f t="shared" si="3990"/>
        <v>4938</v>
      </c>
      <c r="O1632" s="1180">
        <f t="shared" si="3990"/>
        <v>4906</v>
      </c>
      <c r="P1632" s="1180">
        <f t="shared" si="3990"/>
        <v>4654</v>
      </c>
      <c r="Q1632" s="1180">
        <f t="shared" si="3990"/>
        <v>4847</v>
      </c>
      <c r="R1632" s="1180">
        <f t="shared" si="3990"/>
        <v>4718</v>
      </c>
      <c r="S1632" s="1180">
        <f t="shared" si="3990"/>
        <v>4868</v>
      </c>
      <c r="T1632" s="1180">
        <f t="shared" si="3990"/>
        <v>4872</v>
      </c>
      <c r="U1632" s="1180">
        <f t="shared" si="3990"/>
        <v>4763</v>
      </c>
      <c r="V1632" s="1180">
        <f t="shared" si="3990"/>
        <v>4687</v>
      </c>
      <c r="W1632" s="1180">
        <f t="shared" si="3990"/>
        <v>4634</v>
      </c>
      <c r="X1632" s="1180">
        <f t="shared" si="3990"/>
        <v>5138</v>
      </c>
      <c r="Y1632" s="1180">
        <f t="shared" si="3990"/>
        <v>5227</v>
      </c>
      <c r="Z1632" s="1180">
        <f t="shared" si="3990"/>
        <v>5138</v>
      </c>
      <c r="AA1632" s="1180">
        <f t="shared" ref="AA1632:AB1632" si="3991">-AA1617</f>
        <v>4912</v>
      </c>
      <c r="AB1632" s="1180">
        <f t="shared" si="3991"/>
        <v>5503</v>
      </c>
      <c r="AC1632" s="1180">
        <f t="shared" si="3990"/>
        <v>5691.0816040854461</v>
      </c>
      <c r="AD1632" s="1180">
        <f t="shared" si="3990"/>
        <v>5466.3707248217834</v>
      </c>
      <c r="AE1632" s="1180">
        <f t="shared" si="3990"/>
        <v>5056.8989595953935</v>
      </c>
      <c r="AF1632" s="1180">
        <f t="shared" ref="AF1632:AI1632" si="3992">-AF1617</f>
        <v>5973.5905232755022</v>
      </c>
      <c r="AG1632" s="1180">
        <f t="shared" si="3992"/>
        <v>5875.7913607576647</v>
      </c>
      <c r="AH1632" s="1180">
        <f t="shared" si="3992"/>
        <v>5713.7448132794998</v>
      </c>
      <c r="AI1632" s="1180">
        <f t="shared" si="3992"/>
        <v>5312.3488662707477</v>
      </c>
      <c r="AJ1632" s="1180"/>
      <c r="AK1632" s="1180"/>
      <c r="AL1632" s="1180"/>
      <c r="AM1632" s="1180"/>
      <c r="AN1632" s="1180"/>
      <c r="AO1632" s="1180"/>
      <c r="AP1632" s="1180"/>
      <c r="AQ1632" s="1180"/>
      <c r="AT1632" s="35" t="s">
        <v>48</v>
      </c>
      <c r="AU1632" s="1180">
        <f t="shared" ref="AU1632:BD1632" si="3993">-AU1617</f>
        <v>20274</v>
      </c>
      <c r="AV1632" s="1180">
        <f t="shared" si="3993"/>
        <v>19826</v>
      </c>
      <c r="AW1632" s="1180">
        <f t="shared" si="3993"/>
        <v>19500</v>
      </c>
      <c r="AX1632" s="1180">
        <f t="shared" si="3993"/>
        <v>19087</v>
      </c>
      <c r="AY1632" s="1180">
        <f t="shared" si="3993"/>
        <v>18956</v>
      </c>
      <c r="AZ1632" s="1180">
        <f t="shared" si="3993"/>
        <v>20415</v>
      </c>
      <c r="BA1632" s="1180">
        <f t="shared" si="3993"/>
        <v>21717.351288502625</v>
      </c>
      <c r="BB1632" s="1180">
        <f t="shared" ref="BB1632" si="3994">-BB1617</f>
        <v>22875.475563583415</v>
      </c>
      <c r="BC1632" s="1180">
        <f t="shared" si="3993"/>
        <v>23917.060992124185</v>
      </c>
      <c r="BD1632" s="1180">
        <f t="shared" si="3993"/>
        <v>25148.077123822561</v>
      </c>
      <c r="BE1632" s="1180">
        <f t="shared" ref="BE1632" si="3995">-BE1617</f>
        <v>26377.238021165391</v>
      </c>
      <c r="BG1632" s="1195"/>
      <c r="BH1632" s="1195"/>
      <c r="BI1632" s="1195"/>
      <c r="BJ1632" s="1195"/>
      <c r="BK1632" s="1195"/>
      <c r="BL1632" s="1195"/>
      <c r="BM1632"/>
      <c r="BN1632"/>
      <c r="BO1632"/>
      <c r="BP1632"/>
      <c r="BQ1632"/>
      <c r="BR1632"/>
    </row>
    <row r="1633" spans="3:70" s="70" customFormat="1" x14ac:dyDescent="0.2">
      <c r="C1633" s="1170" t="s">
        <v>1202</v>
      </c>
      <c r="D1633" s="1178">
        <f t="shared" ref="D1633:AE1633" si="3996">D1617/D1616*-1</f>
        <v>0.54029882154882158</v>
      </c>
      <c r="E1633" s="1178">
        <f t="shared" si="3996"/>
        <v>0.61965547155781386</v>
      </c>
      <c r="F1633" s="1178">
        <f t="shared" si="3996"/>
        <v>0.59120639534883723</v>
      </c>
      <c r="G1633" s="1178">
        <f t="shared" si="3996"/>
        <v>0.69836631690795592</v>
      </c>
      <c r="H1633" s="1178">
        <f t="shared" si="3996"/>
        <v>0.50247449752550244</v>
      </c>
      <c r="I1633" s="1178">
        <f t="shared" si="3996"/>
        <v>0.53788874288217259</v>
      </c>
      <c r="J1633" s="1178">
        <f t="shared" si="3996"/>
        <v>0.62472262106774568</v>
      </c>
      <c r="K1633" s="1178">
        <f t="shared" si="3996"/>
        <v>0.71262619278108141</v>
      </c>
      <c r="L1633" s="1178">
        <f t="shared" si="3996"/>
        <v>0.52701391135554831</v>
      </c>
      <c r="M1633" s="1178">
        <f t="shared" si="3996"/>
        <v>0.56086087263318829</v>
      </c>
      <c r="N1633" s="1178">
        <f t="shared" si="3996"/>
        <v>0.56641431520991048</v>
      </c>
      <c r="O1633" s="1178">
        <f t="shared" si="3996"/>
        <v>0.68034946609346836</v>
      </c>
      <c r="P1633" s="1178">
        <f t="shared" si="3996"/>
        <v>0.5153360646661499</v>
      </c>
      <c r="Q1633" s="1178">
        <f t="shared" si="3996"/>
        <v>0.5725253957004488</v>
      </c>
      <c r="R1633" s="1178">
        <f t="shared" si="3996"/>
        <v>0.57118644067796609</v>
      </c>
      <c r="S1633" s="1178">
        <f t="shared" si="3996"/>
        <v>0.66630166986038875</v>
      </c>
      <c r="T1633" s="1178">
        <f t="shared" si="3996"/>
        <v>0.61709943001899936</v>
      </c>
      <c r="U1633" s="1178">
        <f t="shared" si="3996"/>
        <v>0.54816434572447925</v>
      </c>
      <c r="V1633" s="1178">
        <f t="shared" si="3996"/>
        <v>0.55408440714032392</v>
      </c>
      <c r="W1633" s="1178">
        <f t="shared" si="3996"/>
        <v>0.5662267839687195</v>
      </c>
      <c r="X1633" s="1178">
        <f t="shared" si="3996"/>
        <v>0.55134671102049582</v>
      </c>
      <c r="Y1633" s="1178">
        <f t="shared" si="3996"/>
        <v>0.55482432862753428</v>
      </c>
      <c r="Z1633" s="1178">
        <f t="shared" si="3996"/>
        <v>0.54485683987274658</v>
      </c>
      <c r="AA1633" s="1178">
        <f t="shared" ref="AA1633:AB1633" si="3997">AA1617/AA1616*-1</f>
        <v>0.59152215799614638</v>
      </c>
      <c r="AB1633" s="1178">
        <f t="shared" si="3997"/>
        <v>0.5587936636880585</v>
      </c>
      <c r="AC1633" s="1178">
        <f t="shared" si="3996"/>
        <v>0.56000000000000005</v>
      </c>
      <c r="AD1633" s="1178">
        <f t="shared" si="3996"/>
        <v>0.55000000000000004</v>
      </c>
      <c r="AE1633" s="1178">
        <f t="shared" si="3996"/>
        <v>0.54</v>
      </c>
      <c r="AF1633" s="1178">
        <f t="shared" ref="AF1633:AI1633" si="3998">AF1617/AF1616*-1</f>
        <v>0.54500000000000004</v>
      </c>
      <c r="AG1633" s="1178">
        <f t="shared" si="3998"/>
        <v>0.53500000000000003</v>
      </c>
      <c r="AH1633" s="1178">
        <f t="shared" si="3998"/>
        <v>0.53500000000000003</v>
      </c>
      <c r="AI1633" s="1178">
        <f t="shared" si="3998"/>
        <v>0.53</v>
      </c>
      <c r="AJ1633" s="1178"/>
      <c r="AK1633" s="1178"/>
      <c r="AL1633" s="1178"/>
      <c r="AM1633" s="1178"/>
      <c r="AN1633" s="1178"/>
      <c r="AO1633" s="1178"/>
      <c r="AP1633" s="1178"/>
      <c r="AQ1633" s="1178"/>
      <c r="AT1633" s="1170" t="s">
        <v>1202</v>
      </c>
      <c r="AU1633" s="1178">
        <f t="shared" ref="AU1633:BD1633" si="3999">AU1617/AU1616*-1</f>
        <v>0.60777025001498886</v>
      </c>
      <c r="AV1633" s="1178">
        <f t="shared" si="3999"/>
        <v>0.58440677966101695</v>
      </c>
      <c r="AW1633" s="1178">
        <f t="shared" si="3999"/>
        <v>0.57854917668001782</v>
      </c>
      <c r="AX1633" s="1178">
        <f t="shared" si="3999"/>
        <v>0.57729183679641893</v>
      </c>
      <c r="AY1633" s="1178">
        <f t="shared" si="3999"/>
        <v>0.5704998946639781</v>
      </c>
      <c r="AZ1633" s="1178">
        <f t="shared" si="3999"/>
        <v>0.55971376871195921</v>
      </c>
      <c r="BA1633" s="1178">
        <f t="shared" si="3999"/>
        <v>0.55240575543448467</v>
      </c>
      <c r="BB1633" s="1178">
        <f t="shared" ref="BB1633" si="4000">BB1617/BB1616*-1</f>
        <v>0.53639496527965291</v>
      </c>
      <c r="BC1633" s="1178">
        <f t="shared" si="3999"/>
        <v>0.52500000000000002</v>
      </c>
      <c r="BD1633" s="1178">
        <f t="shared" si="3999"/>
        <v>0.52</v>
      </c>
      <c r="BE1633" s="1178">
        <f t="shared" ref="BE1633" si="4001">BE1617/BE1616*-1</f>
        <v>0.51500000000000001</v>
      </c>
      <c r="BG1633" s="1196"/>
      <c r="BH1633" s="1196"/>
      <c r="BI1633" s="1196"/>
      <c r="BJ1633" s="1196"/>
      <c r="BK1633" s="1196"/>
      <c r="BL1633" s="1196"/>
      <c r="BM1633"/>
      <c r="BN1633"/>
      <c r="BO1633"/>
      <c r="BP1633"/>
      <c r="BQ1633"/>
      <c r="BR1633"/>
    </row>
    <row r="1634" spans="3:70" s="70" customFormat="1" x14ac:dyDescent="0.2">
      <c r="C1634" s="1168"/>
      <c r="D1634" s="1159"/>
      <c r="E1634" s="1159"/>
      <c r="F1634" s="1159"/>
      <c r="G1634" s="1159"/>
      <c r="H1634" s="1159"/>
      <c r="I1634" s="1159"/>
      <c r="J1634" s="1159"/>
      <c r="K1634" s="1159"/>
      <c r="L1634" s="1159"/>
      <c r="M1634" s="1159"/>
      <c r="N1634" s="1159"/>
      <c r="O1634" s="1159"/>
      <c r="P1634" s="1158"/>
      <c r="Q1634" s="1158"/>
      <c r="R1634" s="1158"/>
      <c r="S1634" s="1158"/>
      <c r="T1634" s="1158"/>
      <c r="U1634" s="1158"/>
      <c r="V1634" s="1158"/>
      <c r="W1634" s="1158"/>
      <c r="X1634" s="1158"/>
      <c r="Y1634" s="1158"/>
      <c r="Z1634" s="1158"/>
      <c r="AA1634" s="1742"/>
      <c r="AB1634" s="1158"/>
      <c r="AC1634" s="1158"/>
      <c r="AD1634" s="1158"/>
      <c r="AE1634" s="1740"/>
      <c r="AF1634" s="1740"/>
      <c r="AG1634" s="1740"/>
      <c r="AH1634" s="1740"/>
      <c r="AI1634" s="1707"/>
      <c r="AJ1634" s="1740"/>
      <c r="AK1634" s="1740"/>
      <c r="AL1634" s="1740"/>
      <c r="AM1634" s="1740"/>
      <c r="AN1634" s="1740"/>
      <c r="AO1634" s="1740"/>
      <c r="AP1634" s="1740"/>
      <c r="AQ1634" s="1740"/>
      <c r="AT1634" s="1168"/>
      <c r="AU1634" s="1158"/>
      <c r="AV1634" s="1158"/>
      <c r="AW1634" s="1181"/>
      <c r="AX1634" s="1182"/>
      <c r="AY1634" s="1182"/>
      <c r="AZ1634" s="1158"/>
      <c r="BA1634" s="1158"/>
      <c r="BB1634" s="1707"/>
      <c r="BC1634" s="1158"/>
      <c r="BD1634" s="1704"/>
      <c r="BE1634" s="1702"/>
      <c r="BG1634" s="1195"/>
      <c r="BH1634" s="1195"/>
      <c r="BI1634" s="1195"/>
      <c r="BJ1634" s="1195"/>
      <c r="BK1634" s="1195"/>
      <c r="BL1634" s="1195"/>
      <c r="BM1634"/>
      <c r="BN1634"/>
      <c r="BO1634"/>
      <c r="BP1634"/>
      <c r="BQ1634"/>
      <c r="BR1634"/>
    </row>
    <row r="1635" spans="3:70" s="70" customFormat="1" x14ac:dyDescent="0.2">
      <c r="C1635" s="1164" t="s">
        <v>1203</v>
      </c>
      <c r="D1635" s="1161"/>
      <c r="E1635" s="1161"/>
      <c r="F1635" s="1161"/>
      <c r="G1635" s="1161"/>
      <c r="H1635" s="1161"/>
      <c r="I1635" s="1161"/>
      <c r="J1635" s="1161"/>
      <c r="K1635" s="1161"/>
      <c r="L1635" s="1161"/>
      <c r="M1635" s="1161"/>
      <c r="N1635" s="1161"/>
      <c r="O1635" s="1161"/>
      <c r="P1635" s="1161"/>
      <c r="Q1635" s="1161"/>
      <c r="R1635" s="1161"/>
      <c r="S1635" s="1161"/>
      <c r="T1635" s="1161"/>
      <c r="U1635" s="1161"/>
      <c r="V1635" s="1161"/>
      <c r="W1635" s="1161"/>
      <c r="X1635" s="1161"/>
      <c r="Y1635" s="1161"/>
      <c r="Z1635" s="1161"/>
      <c r="AA1635" s="1161"/>
      <c r="AB1635" s="1161"/>
      <c r="AC1635" s="1161"/>
      <c r="AD1635" s="1161"/>
      <c r="AE1635" s="1161"/>
      <c r="AF1635" s="1161"/>
      <c r="AG1635" s="1161"/>
      <c r="AH1635" s="1161"/>
      <c r="AI1635" s="1161"/>
      <c r="AJ1635" s="1161"/>
      <c r="AK1635" s="1161"/>
      <c r="AL1635" s="1161"/>
      <c r="AM1635" s="1161"/>
      <c r="AN1635" s="1161"/>
      <c r="AO1635" s="1161"/>
      <c r="AP1635" s="1161"/>
      <c r="AQ1635" s="1161"/>
      <c r="AT1635" s="1164" t="s">
        <v>1203</v>
      </c>
      <c r="AU1635" s="1161"/>
      <c r="AV1635" s="1161"/>
      <c r="AW1635" s="1161"/>
      <c r="AX1635" s="1161"/>
      <c r="AY1635" s="1161"/>
      <c r="AZ1635" s="1161"/>
      <c r="BA1635" s="1161"/>
      <c r="BB1635" s="1161"/>
      <c r="BC1635" s="1161"/>
      <c r="BD1635" s="1161"/>
      <c r="BE1635" s="1161"/>
      <c r="BG1635" s="1195"/>
      <c r="BH1635" s="1195"/>
      <c r="BI1635" s="1195"/>
      <c r="BJ1635" s="1195"/>
      <c r="BK1635" s="1195"/>
      <c r="BL1635" s="1195"/>
      <c r="BM1635"/>
      <c r="BN1635"/>
      <c r="BO1635"/>
      <c r="BP1635"/>
      <c r="BQ1635"/>
      <c r="BR1635"/>
    </row>
    <row r="1636" spans="3:70" s="70" customFormat="1" x14ac:dyDescent="0.2">
      <c r="C1636" s="1170" t="s">
        <v>1204</v>
      </c>
      <c r="D1636" s="1159"/>
      <c r="E1636" s="1159"/>
      <c r="F1636" s="1159"/>
      <c r="G1636" s="1159"/>
      <c r="H1636" s="1159"/>
      <c r="I1636" s="1159"/>
      <c r="J1636" s="1159"/>
      <c r="K1636" s="1159"/>
      <c r="L1636" s="1159"/>
      <c r="M1636" s="1159"/>
      <c r="N1636" s="1159"/>
      <c r="O1636" s="1159"/>
      <c r="P1636" s="1158"/>
      <c r="Q1636" s="1158"/>
      <c r="R1636" s="1158"/>
      <c r="S1636" s="1158"/>
      <c r="T1636" s="1158"/>
      <c r="U1636" s="1158"/>
      <c r="V1636" s="1158"/>
      <c r="W1636" s="1158"/>
      <c r="X1636" s="1158"/>
      <c r="Y1636" s="1158"/>
      <c r="Z1636" s="1158"/>
      <c r="AA1636" s="1158"/>
      <c r="AB1636" s="1158"/>
      <c r="AC1636" s="1158"/>
      <c r="AD1636" s="1158"/>
      <c r="AE1636" s="1740"/>
      <c r="AF1636" s="1740"/>
      <c r="AG1636" s="1740"/>
      <c r="AH1636" s="1740"/>
      <c r="AI1636" s="1707"/>
      <c r="AJ1636" s="1740"/>
      <c r="AK1636" s="1740"/>
      <c r="AL1636" s="1740"/>
      <c r="AM1636" s="1740"/>
      <c r="AN1636" s="1740"/>
      <c r="AO1636" s="1740"/>
      <c r="AP1636" s="1740"/>
      <c r="AQ1636" s="1740"/>
      <c r="AT1636" s="1170" t="s">
        <v>1204</v>
      </c>
      <c r="AU1636" s="1158"/>
      <c r="AV1636" s="1158"/>
      <c r="AW1636" s="1179">
        <f>AW1471</f>
        <v>650455</v>
      </c>
      <c r="AX1636" s="1179">
        <f t="shared" ref="AX1636:BD1636" si="4002">AX1471</f>
        <v>586639</v>
      </c>
      <c r="AY1636" s="1179">
        <f t="shared" si="4002"/>
        <v>553314</v>
      </c>
      <c r="AZ1636" s="1179">
        <f t="shared" si="4002"/>
        <v>589432</v>
      </c>
      <c r="BA1636" s="1179">
        <f t="shared" si="4002"/>
        <v>523199.08708901377</v>
      </c>
      <c r="BB1636" s="1179">
        <f t="shared" ref="BB1636" si="4003">BB1471</f>
        <v>541847.0476943804</v>
      </c>
      <c r="BC1636" s="1179">
        <f t="shared" si="4002"/>
        <v>556017.63962291251</v>
      </c>
      <c r="BD1636" s="1179">
        <f t="shared" si="4002"/>
        <v>574473.12414716231</v>
      </c>
      <c r="BE1636" s="1179">
        <f t="shared" ref="BE1636" si="4004">BE1471</f>
        <v>592707.25485484535</v>
      </c>
      <c r="BF1636" s="1195"/>
      <c r="BG1636" s="1195"/>
      <c r="BH1636" s="1195"/>
      <c r="BI1636" s="1195"/>
      <c r="BJ1636" s="1195"/>
      <c r="BK1636" s="1195"/>
      <c r="BL1636" s="1195"/>
      <c r="BM1636"/>
      <c r="BN1636"/>
      <c r="BO1636"/>
      <c r="BP1636"/>
      <c r="BQ1636"/>
      <c r="BR1636"/>
    </row>
    <row r="1637" spans="3:70" s="70" customFormat="1" x14ac:dyDescent="0.2">
      <c r="C1637" s="1170" t="s">
        <v>1205</v>
      </c>
      <c r="D1637" s="1159"/>
      <c r="E1637" s="1159"/>
      <c r="F1637" s="1159"/>
      <c r="G1637" s="1159"/>
      <c r="H1637" s="1159"/>
      <c r="I1637" s="1159"/>
      <c r="J1637" s="1159"/>
      <c r="K1637" s="1159"/>
      <c r="L1637" s="1159"/>
      <c r="M1637" s="1159"/>
      <c r="N1637" s="1159"/>
      <c r="O1637" s="1159"/>
      <c r="P1637" s="1158"/>
      <c r="Q1637" s="1158"/>
      <c r="R1637" s="1158"/>
      <c r="S1637" s="1158"/>
      <c r="T1637" s="1158"/>
      <c r="U1637" s="1158"/>
      <c r="V1637" s="1158"/>
      <c r="W1637" s="1158"/>
      <c r="X1637" s="1158"/>
      <c r="Y1637" s="1158"/>
      <c r="Z1637" s="1158"/>
      <c r="AA1637" s="1158"/>
      <c r="AB1637" s="1158"/>
      <c r="AC1637" s="1158"/>
      <c r="AD1637" s="1158"/>
      <c r="AE1637" s="1740"/>
      <c r="AF1637" s="1740"/>
      <c r="AG1637" s="1740"/>
      <c r="AH1637" s="1740"/>
      <c r="AI1637" s="1707"/>
      <c r="AJ1637" s="1740"/>
      <c r="AK1637" s="1740"/>
      <c r="AL1637" s="1740"/>
      <c r="AM1637" s="1740"/>
      <c r="AN1637" s="1740"/>
      <c r="AO1637" s="1740"/>
      <c r="AP1637" s="1740"/>
      <c r="AQ1637" s="1740"/>
      <c r="AT1637" s="1170" t="s">
        <v>1205</v>
      </c>
      <c r="AU1637" s="1158"/>
      <c r="AV1637" s="1158"/>
      <c r="AW1637" s="1183">
        <v>61673</v>
      </c>
      <c r="AX1637" s="1183">
        <v>58699</v>
      </c>
      <c r="AY1637" s="1183">
        <v>66663</v>
      </c>
      <c r="AZ1637" s="1183">
        <v>67644</v>
      </c>
      <c r="BA1637" s="1179">
        <f t="shared" ref="BA1637:BE1637" si="4005">BA1638/AZ1638*AZ1637</f>
        <v>70829.049079852906</v>
      </c>
      <c r="BB1637" s="1179">
        <f t="shared" si="4005"/>
        <v>73234.874646203112</v>
      </c>
      <c r="BC1637" s="1179">
        <f t="shared" si="4005"/>
        <v>76282.217256466232</v>
      </c>
      <c r="BD1637" s="1179">
        <f t="shared" si="4005"/>
        <v>79457.350952360619</v>
      </c>
      <c r="BE1637" s="1179">
        <f t="shared" si="4005"/>
        <v>82765.682246372555</v>
      </c>
      <c r="BG1637" s="1195"/>
      <c r="BH1637" s="1195"/>
      <c r="BI1637" s="1195"/>
      <c r="BJ1637" s="1195"/>
      <c r="BK1637" s="1195"/>
      <c r="BL1637" s="1195"/>
      <c r="BM1637"/>
      <c r="BN1637"/>
      <c r="BO1637"/>
      <c r="BP1637"/>
      <c r="BQ1637"/>
      <c r="BR1637"/>
    </row>
    <row r="1638" spans="3:70" s="70" customFormat="1" x14ac:dyDescent="0.2">
      <c r="C1638" s="1170" t="s">
        <v>1206</v>
      </c>
      <c r="D1638" s="1159"/>
      <c r="E1638" s="1159"/>
      <c r="F1638" s="1159"/>
      <c r="G1638" s="1159"/>
      <c r="H1638" s="1159"/>
      <c r="I1638" s="1159"/>
      <c r="J1638" s="1159"/>
      <c r="K1638" s="1159"/>
      <c r="L1638" s="1159"/>
      <c r="M1638" s="1159"/>
      <c r="N1638" s="1159"/>
      <c r="O1638" s="1159"/>
      <c r="P1638" s="1158"/>
      <c r="Q1638" s="1158"/>
      <c r="R1638" s="1158"/>
      <c r="S1638" s="1158"/>
      <c r="T1638" s="1158"/>
      <c r="U1638" s="1158"/>
      <c r="V1638" s="1158"/>
      <c r="W1638" s="1158"/>
      <c r="X1638" s="1158"/>
      <c r="Y1638" s="1158"/>
      <c r="Z1638" s="1158"/>
      <c r="AA1638" s="1158"/>
      <c r="AB1638" s="1158"/>
      <c r="AC1638" s="1158"/>
      <c r="AD1638" s="1158"/>
      <c r="AE1638" s="1740"/>
      <c r="AF1638" s="1740"/>
      <c r="AG1638" s="1740"/>
      <c r="AH1638" s="1740"/>
      <c r="AI1638" s="1707"/>
      <c r="AJ1638" s="1740"/>
      <c r="AK1638" s="1740"/>
      <c r="AL1638" s="1740"/>
      <c r="AM1638" s="1740"/>
      <c r="AN1638" s="1740"/>
      <c r="AO1638" s="1740"/>
      <c r="AP1638" s="1740"/>
      <c r="AQ1638" s="1740"/>
      <c r="AT1638" s="1170" t="s">
        <v>1206</v>
      </c>
      <c r="AU1638" s="1158"/>
      <c r="AV1638" s="1158"/>
      <c r="AW1638" s="1194">
        <f>AW1031</f>
        <v>135.85</v>
      </c>
      <c r="AX1638" s="1194">
        <f>AX1031</f>
        <v>130.875</v>
      </c>
      <c r="AY1638" s="1194">
        <f t="shared" ref="AY1638:BD1638" si="4006">AY1031</f>
        <v>139.5</v>
      </c>
      <c r="AZ1638" s="1194">
        <f t="shared" si="4006"/>
        <v>153.97499999999999</v>
      </c>
      <c r="BA1638" s="1194">
        <f t="shared" si="4006"/>
        <v>161.2249842125</v>
      </c>
      <c r="BB1638" s="1194">
        <f t="shared" ref="BB1638" si="4007">BB1031</f>
        <v>166.70125692816987</v>
      </c>
      <c r="BC1638" s="1194">
        <f t="shared" si="4006"/>
        <v>173.63778608693138</v>
      </c>
      <c r="BD1638" s="1194">
        <f t="shared" si="4006"/>
        <v>180.86520035612506</v>
      </c>
      <c r="BE1638" s="1194">
        <f t="shared" ref="BE1638" si="4008">BE1031</f>
        <v>188.39580633737231</v>
      </c>
      <c r="BG1638" s="1195"/>
      <c r="BH1638" s="1195"/>
      <c r="BI1638" s="1195"/>
      <c r="BJ1638" s="1195"/>
      <c r="BK1638" s="1195"/>
      <c r="BL1638" s="1195"/>
      <c r="BM1638"/>
      <c r="BN1638"/>
      <c r="BO1638"/>
      <c r="BP1638"/>
      <c r="BQ1638"/>
      <c r="BR1638"/>
    </row>
    <row r="1639" spans="3:70" s="70" customFormat="1" x14ac:dyDescent="0.2">
      <c r="C1639" s="1171"/>
      <c r="D1639" s="1159"/>
      <c r="E1639" s="1159"/>
      <c r="F1639" s="1159"/>
      <c r="G1639" s="1159"/>
      <c r="H1639" s="1159"/>
      <c r="I1639" s="1159"/>
      <c r="J1639" s="1159"/>
      <c r="K1639" s="1159"/>
      <c r="L1639" s="1159"/>
      <c r="M1639" s="1159"/>
      <c r="N1639" s="1159"/>
      <c r="O1639" s="1159"/>
      <c r="P1639" s="1158"/>
      <c r="Q1639" s="1158"/>
      <c r="R1639" s="1158"/>
      <c r="S1639" s="1158"/>
      <c r="T1639" s="1158"/>
      <c r="U1639" s="1158"/>
      <c r="V1639" s="1158"/>
      <c r="W1639" s="1158"/>
      <c r="X1639" s="1158"/>
      <c r="Y1639" s="1158"/>
      <c r="Z1639" s="1158"/>
      <c r="AA1639" s="1158"/>
      <c r="AB1639" s="1158"/>
      <c r="AC1639" s="1158"/>
      <c r="AD1639" s="1158"/>
      <c r="AE1639" s="1740"/>
      <c r="AF1639" s="1740"/>
      <c r="AG1639" s="1740"/>
      <c r="AH1639" s="1740"/>
      <c r="AI1639" s="1707"/>
      <c r="AJ1639" s="1740"/>
      <c r="AK1639" s="1740"/>
      <c r="AL1639" s="1740"/>
      <c r="AM1639" s="1740"/>
      <c r="AN1639" s="1740"/>
      <c r="AO1639" s="1740"/>
      <c r="AP1639" s="1740"/>
      <c r="AQ1639" s="1740"/>
      <c r="AT1639" s="1171"/>
      <c r="AU1639" s="1158"/>
      <c r="AV1639" s="1158"/>
      <c r="AW1639" s="1158"/>
      <c r="AX1639" s="1158"/>
      <c r="AY1639" s="1158"/>
      <c r="AZ1639" s="1158"/>
      <c r="BA1639" s="1158"/>
      <c r="BB1639" s="1707"/>
      <c r="BC1639" s="1158"/>
      <c r="BD1639" s="1704"/>
      <c r="BE1639" s="1702"/>
      <c r="BG1639" s="1195"/>
      <c r="BH1639" s="1195"/>
      <c r="BI1639" s="1195"/>
      <c r="BJ1639" s="1195"/>
      <c r="BK1639" s="1195"/>
      <c r="BL1639" s="1195"/>
      <c r="BM1639"/>
      <c r="BN1639"/>
      <c r="BO1639"/>
      <c r="BP1639"/>
      <c r="BQ1639"/>
      <c r="BR1639"/>
    </row>
    <row r="1640" spans="3:70" s="70" customFormat="1" x14ac:dyDescent="0.2">
      <c r="C1640" s="1164" t="s">
        <v>1207</v>
      </c>
      <c r="D1640" s="1161"/>
      <c r="E1640" s="1161"/>
      <c r="F1640" s="1161"/>
      <c r="G1640" s="1161"/>
      <c r="H1640" s="1161"/>
      <c r="I1640" s="1161"/>
      <c r="J1640" s="1161"/>
      <c r="K1640" s="1161"/>
      <c r="L1640" s="1161"/>
      <c r="M1640" s="1161"/>
      <c r="N1640" s="1161"/>
      <c r="O1640" s="1161"/>
      <c r="P1640" s="1161"/>
      <c r="Q1640" s="1161"/>
      <c r="R1640" s="1161"/>
      <c r="S1640" s="1161"/>
      <c r="T1640" s="1161"/>
      <c r="U1640" s="1161"/>
      <c r="V1640" s="1161"/>
      <c r="W1640" s="1161"/>
      <c r="X1640" s="1161"/>
      <c r="Y1640" s="1161"/>
      <c r="Z1640" s="1161"/>
      <c r="AA1640" s="1161"/>
      <c r="AB1640" s="1161"/>
      <c r="AC1640" s="1161"/>
      <c r="AD1640" s="1161"/>
      <c r="AE1640" s="1161"/>
      <c r="AF1640" s="1161"/>
      <c r="AG1640" s="1161"/>
      <c r="AH1640" s="1161"/>
      <c r="AI1640" s="1161"/>
      <c r="AJ1640" s="1161"/>
      <c r="AK1640" s="1161"/>
      <c r="AL1640" s="1161"/>
      <c r="AM1640" s="1161"/>
      <c r="AN1640" s="1161"/>
      <c r="AO1640" s="1161"/>
      <c r="AP1640" s="1161"/>
      <c r="AQ1640" s="1161"/>
      <c r="AT1640" s="1164" t="s">
        <v>1207</v>
      </c>
      <c r="AU1640" s="1161"/>
      <c r="AV1640" s="1161"/>
      <c r="AW1640" s="1161"/>
      <c r="AX1640" s="1161"/>
      <c r="AY1640" s="1161"/>
      <c r="AZ1640" s="1161"/>
      <c r="BA1640" s="1161"/>
      <c r="BB1640" s="1161"/>
      <c r="BC1640" s="1161"/>
      <c r="BD1640" s="1161"/>
      <c r="BE1640" s="1161"/>
      <c r="BG1640" s="1195"/>
      <c r="BH1640" s="1195"/>
      <c r="BI1640" s="1195"/>
      <c r="BJ1640" s="1195"/>
      <c r="BK1640" s="1195"/>
      <c r="BL1640" s="1195"/>
      <c r="BM1640"/>
      <c r="BN1640"/>
      <c r="BO1640"/>
      <c r="BP1640"/>
      <c r="BQ1640"/>
      <c r="BR1640"/>
    </row>
    <row r="1641" spans="3:70" s="70" customFormat="1" x14ac:dyDescent="0.2">
      <c r="C1641" s="1170" t="s">
        <v>1208</v>
      </c>
      <c r="D1641" s="1159"/>
      <c r="E1641" s="1159"/>
      <c r="F1641" s="1159"/>
      <c r="G1641" s="1159"/>
      <c r="H1641" s="1159"/>
      <c r="I1641" s="1159"/>
      <c r="J1641" s="1159"/>
      <c r="K1641" s="1159"/>
      <c r="L1641" s="1159"/>
      <c r="M1641" s="1159"/>
      <c r="N1641" s="1159"/>
      <c r="O1641" s="1159"/>
      <c r="P1641" s="1158"/>
      <c r="Q1641" s="1158"/>
      <c r="R1641" s="1158"/>
      <c r="S1641" s="1158"/>
      <c r="T1641" s="1158"/>
      <c r="U1641" s="1158"/>
      <c r="V1641" s="1158"/>
      <c r="W1641" s="1158"/>
      <c r="X1641" s="1158"/>
      <c r="Y1641" s="1158"/>
      <c r="Z1641" s="1158"/>
      <c r="AA1641" s="1158"/>
      <c r="AB1641" s="1158"/>
      <c r="AC1641" s="1158"/>
      <c r="AD1641" s="1158"/>
      <c r="AE1641" s="1740"/>
      <c r="AF1641" s="1740"/>
      <c r="AG1641" s="1740"/>
      <c r="AH1641" s="1740"/>
      <c r="AI1641" s="1707"/>
      <c r="AJ1641" s="1740"/>
      <c r="AK1641" s="1740"/>
      <c r="AL1641" s="1740"/>
      <c r="AM1641" s="1740"/>
      <c r="AN1641" s="1740"/>
      <c r="AO1641" s="1740"/>
      <c r="AP1641" s="1740"/>
      <c r="AQ1641" s="1740"/>
      <c r="AT1641" s="1170" t="s">
        <v>1208</v>
      </c>
      <c r="AU1641" s="1158"/>
      <c r="AV1641" s="1158"/>
      <c r="AW1641" s="1179">
        <f t="shared" ref="AW1641:BD1641" si="4009">AW1650/AW1645</f>
        <v>670000</v>
      </c>
      <c r="AX1641" s="1179">
        <f t="shared" si="4009"/>
        <v>690909.09090909094</v>
      </c>
      <c r="AY1641" s="1179">
        <f t="shared" si="4009"/>
        <v>695652.17391304346</v>
      </c>
      <c r="AZ1641" s="1179">
        <f t="shared" si="4009"/>
        <v>713043.47826086951</v>
      </c>
      <c r="BA1641" s="1179">
        <f t="shared" si="4009"/>
        <v>728888.88888888888</v>
      </c>
      <c r="BB1641" s="1179">
        <f t="shared" ref="BB1641" si="4010">BB1650/BB1645</f>
        <v>790909.09090909094</v>
      </c>
      <c r="BC1641" s="1179">
        <f t="shared" si="4009"/>
        <v>836363.63636363635</v>
      </c>
      <c r="BD1641" s="1179">
        <f t="shared" si="4009"/>
        <v>881818.18181818177</v>
      </c>
      <c r="BE1641" s="1179">
        <f t="shared" ref="BE1641" si="4011">BE1650/BE1645</f>
        <v>936363.63636363635</v>
      </c>
      <c r="BG1641" s="1195"/>
      <c r="BH1641" s="1195"/>
      <c r="BI1641" s="1195"/>
      <c r="BJ1641" s="1195"/>
      <c r="BK1641" s="1195"/>
      <c r="BL1641" s="1195"/>
      <c r="BM1641"/>
      <c r="BN1641"/>
      <c r="BO1641"/>
      <c r="BP1641"/>
      <c r="BQ1641"/>
      <c r="BR1641"/>
    </row>
    <row r="1642" spans="3:70" s="70" customFormat="1" x14ac:dyDescent="0.2">
      <c r="C1642" s="1170" t="s">
        <v>1209</v>
      </c>
      <c r="D1642" s="1159"/>
      <c r="E1642" s="1159"/>
      <c r="F1642" s="1159"/>
      <c r="G1642" s="1159"/>
      <c r="H1642" s="1159"/>
      <c r="I1642" s="1159"/>
      <c r="J1642" s="1159"/>
      <c r="K1642" s="1159"/>
      <c r="L1642" s="1159"/>
      <c r="M1642" s="1159"/>
      <c r="N1642" s="1159"/>
      <c r="O1642" s="1159"/>
      <c r="P1642" s="1158"/>
      <c r="Q1642" s="1158"/>
      <c r="R1642" s="1158"/>
      <c r="S1642" s="1158"/>
      <c r="T1642" s="1158"/>
      <c r="U1642" s="1158"/>
      <c r="V1642" s="1158"/>
      <c r="W1642" s="1158"/>
      <c r="X1642" s="1158"/>
      <c r="Y1642" s="1158"/>
      <c r="Z1642" s="1158"/>
      <c r="AA1642" s="1158"/>
      <c r="AB1642" s="1158"/>
      <c r="AC1642" s="1158"/>
      <c r="AD1642" s="1158"/>
      <c r="AE1642" s="1740"/>
      <c r="AF1642" s="1740"/>
      <c r="AG1642" s="1740"/>
      <c r="AH1642" s="1740"/>
      <c r="AI1642" s="1707"/>
      <c r="AJ1642" s="1740"/>
      <c r="AK1642" s="1740"/>
      <c r="AL1642" s="1740"/>
      <c r="AM1642" s="1740"/>
      <c r="AN1642" s="1740"/>
      <c r="AO1642" s="1740"/>
      <c r="AP1642" s="1740"/>
      <c r="AQ1642" s="1740"/>
      <c r="AT1642" s="1170" t="s">
        <v>1209</v>
      </c>
      <c r="AU1642" s="1158"/>
      <c r="AV1642" s="1158"/>
      <c r="AW1642" s="846">
        <f t="shared" ref="AW1642:BD1642" si="4012">AW1643+AW1644</f>
        <v>1646782</v>
      </c>
      <c r="AX1642" s="846">
        <f t="shared" si="4012"/>
        <v>1568756.7053364269</v>
      </c>
      <c r="AY1642" s="846">
        <f t="shared" si="4012"/>
        <v>1548742.2606341839</v>
      </c>
      <c r="AZ1642" s="846">
        <f t="shared" si="4012"/>
        <v>1632974.3882443926</v>
      </c>
      <c r="BA1642" s="846">
        <f t="shared" si="4012"/>
        <v>1605253.8566680932</v>
      </c>
      <c r="BB1642" s="846">
        <f t="shared" ref="BB1642" si="4013">BB1643+BB1644</f>
        <v>1686659.5564941168</v>
      </c>
      <c r="BC1642" s="846">
        <f t="shared" si="4012"/>
        <v>1770865.6488191423</v>
      </c>
      <c r="BD1642" s="846">
        <f t="shared" si="4012"/>
        <v>1863613.8132346591</v>
      </c>
      <c r="BE1642" s="846">
        <f t="shared" ref="BE1642" si="4014">BE1643+BE1644</f>
        <v>1960655.4950507216</v>
      </c>
      <c r="BG1642" s="1195"/>
      <c r="BH1642" s="1195"/>
      <c r="BI1642" s="1195"/>
      <c r="BJ1642" s="1195"/>
      <c r="BK1642" s="1195"/>
      <c r="BL1642" s="1195"/>
      <c r="BM1642"/>
      <c r="BN1642"/>
      <c r="BO1642"/>
      <c r="BP1642"/>
      <c r="BQ1642"/>
      <c r="BR1642"/>
    </row>
    <row r="1643" spans="3:70" s="70" customFormat="1" x14ac:dyDescent="0.2">
      <c r="C1643" s="1170" t="s">
        <v>1210</v>
      </c>
      <c r="D1643" s="1159"/>
      <c r="E1643" s="1159"/>
      <c r="F1643" s="1159"/>
      <c r="G1643" s="1159"/>
      <c r="H1643" s="1159"/>
      <c r="I1643" s="1159"/>
      <c r="J1643" s="1159"/>
      <c r="K1643" s="1159"/>
      <c r="L1643" s="1159"/>
      <c r="M1643" s="1159"/>
      <c r="N1643" s="1159"/>
      <c r="O1643" s="1159"/>
      <c r="P1643" s="1158"/>
      <c r="Q1643" s="1158"/>
      <c r="R1643" s="1158"/>
      <c r="S1643" s="1158"/>
      <c r="T1643" s="1158"/>
      <c r="U1643" s="1158"/>
      <c r="V1643" s="1158"/>
      <c r="W1643" s="1158"/>
      <c r="X1643" s="1158"/>
      <c r="Y1643" s="1158"/>
      <c r="Z1643" s="1158"/>
      <c r="AA1643" s="1158"/>
      <c r="AB1643" s="1158"/>
      <c r="AC1643" s="1158"/>
      <c r="AD1643" s="1158"/>
      <c r="AE1643" s="1740"/>
      <c r="AF1643" s="1740"/>
      <c r="AG1643" s="1740"/>
      <c r="AH1643" s="1740"/>
      <c r="AI1643" s="1707"/>
      <c r="AJ1643" s="1740"/>
      <c r="AK1643" s="1740"/>
      <c r="AL1643" s="1740"/>
      <c r="AM1643" s="1740"/>
      <c r="AN1643" s="1740"/>
      <c r="AO1643" s="1740"/>
      <c r="AP1643" s="1740"/>
      <c r="AQ1643" s="1740"/>
      <c r="AT1643" s="1170" t="s">
        <v>1210</v>
      </c>
      <c r="AU1643" s="1158"/>
      <c r="AV1643" s="1158"/>
      <c r="AW1643" s="1184">
        <v>1058000</v>
      </c>
      <c r="AX1643" s="1179">
        <f t="shared" ref="AX1643:BE1643" si="4015">AX1646/AW1646*AW1643</f>
        <v>1040816.7053364269</v>
      </c>
      <c r="AY1643" s="1179">
        <f t="shared" si="4015"/>
        <v>1062091.2606341839</v>
      </c>
      <c r="AZ1643" s="1179">
        <f t="shared" si="4015"/>
        <v>1111186.3882443926</v>
      </c>
      <c r="BA1643" s="1179">
        <f t="shared" si="4015"/>
        <v>1152883.8186589323</v>
      </c>
      <c r="BB1643" s="1179">
        <f t="shared" si="4015"/>
        <v>1218047.3834459395</v>
      </c>
      <c r="BC1643" s="1179">
        <f t="shared" si="4015"/>
        <v>1291130.2264526959</v>
      </c>
      <c r="BD1643" s="1179">
        <f t="shared" si="4015"/>
        <v>1368598.0400398574</v>
      </c>
      <c r="BE1643" s="1179">
        <f t="shared" si="4015"/>
        <v>1450713.9224422488</v>
      </c>
      <c r="BG1643" s="1195"/>
      <c r="BH1643" s="1195"/>
      <c r="BI1643" s="1195"/>
      <c r="BJ1643" s="1195"/>
      <c r="BK1643" s="1195"/>
      <c r="BL1643" s="1195"/>
      <c r="BM1643"/>
      <c r="BN1643"/>
      <c r="BO1643"/>
      <c r="BP1643"/>
      <c r="BQ1643"/>
      <c r="BR1643"/>
    </row>
    <row r="1644" spans="3:70" s="70" customFormat="1" x14ac:dyDescent="0.2">
      <c r="C1644" s="1170" t="s">
        <v>1211</v>
      </c>
      <c r="D1644" s="1159"/>
      <c r="E1644" s="1159"/>
      <c r="F1644" s="1159"/>
      <c r="G1644" s="1159"/>
      <c r="H1644" s="1159"/>
      <c r="I1644" s="1159"/>
      <c r="J1644" s="1159"/>
      <c r="K1644" s="1159"/>
      <c r="L1644" s="1159"/>
      <c r="M1644" s="1159"/>
      <c r="N1644" s="1159"/>
      <c r="O1644" s="1159"/>
      <c r="P1644" s="1158"/>
      <c r="Q1644" s="1158"/>
      <c r="R1644" s="1158"/>
      <c r="S1644" s="1158"/>
      <c r="T1644" s="1158"/>
      <c r="U1644" s="1158"/>
      <c r="V1644" s="1158"/>
      <c r="W1644" s="1158"/>
      <c r="X1644" s="1158"/>
      <c r="Y1644" s="1158"/>
      <c r="Z1644" s="1158"/>
      <c r="AA1644" s="1158"/>
      <c r="AB1644" s="1158"/>
      <c r="AC1644" s="1158"/>
      <c r="AD1644" s="1158"/>
      <c r="AE1644" s="1740"/>
      <c r="AF1644" s="1740"/>
      <c r="AG1644" s="1740"/>
      <c r="AH1644" s="1740"/>
      <c r="AI1644" s="1707"/>
      <c r="AJ1644" s="1740"/>
      <c r="AK1644" s="1740"/>
      <c r="AL1644" s="1740"/>
      <c r="AM1644" s="1740"/>
      <c r="AN1644" s="1740"/>
      <c r="AO1644" s="1740"/>
      <c r="AP1644" s="1740"/>
      <c r="AQ1644" s="1740"/>
      <c r="AT1644" s="1170" t="s">
        <v>1211</v>
      </c>
      <c r="AU1644" s="1158"/>
      <c r="AV1644" s="1158"/>
      <c r="AW1644" s="846">
        <f t="shared" ref="AW1644:BD1644" si="4016">AW1636-AW1637</f>
        <v>588782</v>
      </c>
      <c r="AX1644" s="846">
        <f t="shared" si="4016"/>
        <v>527940</v>
      </c>
      <c r="AY1644" s="846">
        <f t="shared" si="4016"/>
        <v>486651</v>
      </c>
      <c r="AZ1644" s="846">
        <f t="shared" si="4016"/>
        <v>521788</v>
      </c>
      <c r="BA1644" s="846">
        <f t="shared" si="4016"/>
        <v>452370.0380091609</v>
      </c>
      <c r="BB1644" s="846">
        <f t="shared" ref="BB1644" si="4017">BB1636-BB1637</f>
        <v>468612.17304817727</v>
      </c>
      <c r="BC1644" s="846">
        <f t="shared" si="4016"/>
        <v>479735.42236644629</v>
      </c>
      <c r="BD1644" s="846">
        <f t="shared" si="4016"/>
        <v>495015.7731948017</v>
      </c>
      <c r="BE1644" s="846">
        <f t="shared" ref="BE1644" si="4018">BE1636-BE1637</f>
        <v>509941.57260847278</v>
      </c>
      <c r="BG1644" s="1195"/>
      <c r="BH1644" s="1195"/>
      <c r="BI1644" s="1195"/>
      <c r="BJ1644" s="1195"/>
      <c r="BK1644" s="1195"/>
      <c r="BL1644" s="1195"/>
      <c r="BM1644"/>
      <c r="BN1644"/>
      <c r="BO1644"/>
      <c r="BP1644"/>
      <c r="BQ1644"/>
      <c r="BR1644"/>
    </row>
    <row r="1645" spans="3:70" s="70" customFormat="1" x14ac:dyDescent="0.2">
      <c r="C1645" s="1170" t="s">
        <v>1212</v>
      </c>
      <c r="D1645" s="1159"/>
      <c r="E1645" s="1159"/>
      <c r="F1645" s="1159"/>
      <c r="G1645" s="1159"/>
      <c r="H1645" s="1159"/>
      <c r="I1645" s="1159"/>
      <c r="J1645" s="1159"/>
      <c r="K1645" s="1159"/>
      <c r="L1645" s="1159"/>
      <c r="M1645" s="1159"/>
      <c r="N1645" s="1159"/>
      <c r="O1645" s="1159"/>
      <c r="P1645" s="1158"/>
      <c r="Q1645" s="1158"/>
      <c r="R1645" s="1158"/>
      <c r="S1645" s="1158"/>
      <c r="T1645" s="1158"/>
      <c r="U1645" s="1158"/>
      <c r="V1645" s="1158"/>
      <c r="W1645" s="1158"/>
      <c r="X1645" s="1158"/>
      <c r="Y1645" s="1158"/>
      <c r="Z1645" s="1158"/>
      <c r="AA1645" s="1158"/>
      <c r="AB1645" s="1158"/>
      <c r="AC1645" s="1158"/>
      <c r="AD1645" s="1158"/>
      <c r="AE1645" s="1740"/>
      <c r="AF1645" s="1740"/>
      <c r="AG1645" s="1740"/>
      <c r="AH1645" s="1740"/>
      <c r="AI1645" s="1707"/>
      <c r="AJ1645" s="1740"/>
      <c r="AK1645" s="1740"/>
      <c r="AL1645" s="1740"/>
      <c r="AM1645" s="1740"/>
      <c r="AN1645" s="1740"/>
      <c r="AO1645" s="1740"/>
      <c r="AP1645" s="1740"/>
      <c r="AQ1645" s="1740"/>
      <c r="AT1645" s="1170" t="s">
        <v>1212</v>
      </c>
      <c r="AU1645" s="1158"/>
      <c r="AV1645" s="1158"/>
      <c r="AW1645" s="1185">
        <v>0.1</v>
      </c>
      <c r="AX1645" s="1185">
        <v>0.11</v>
      </c>
      <c r="AY1645" s="1185">
        <v>0.115</v>
      </c>
      <c r="AZ1645" s="1185">
        <v>0.115</v>
      </c>
      <c r="BA1645" s="1186">
        <v>0.1125</v>
      </c>
      <c r="BB1645" s="1186">
        <v>0.11</v>
      </c>
      <c r="BC1645" s="1186">
        <v>0.11</v>
      </c>
      <c r="BD1645" s="1186">
        <v>0.11</v>
      </c>
      <c r="BE1645" s="1186">
        <v>0.11</v>
      </c>
      <c r="BG1645" s="1195"/>
      <c r="BH1645" s="1195"/>
      <c r="BI1645" s="1195"/>
      <c r="BJ1645" s="1195"/>
      <c r="BK1645" s="1195"/>
      <c r="BL1645" s="1195"/>
      <c r="BM1645"/>
      <c r="BN1645"/>
      <c r="BO1645"/>
      <c r="BP1645"/>
      <c r="BQ1645"/>
      <c r="BR1645"/>
    </row>
    <row r="1646" spans="3:70" s="70" customFormat="1" x14ac:dyDescent="0.2">
      <c r="C1646" s="1170" t="s">
        <v>1213</v>
      </c>
      <c r="D1646" s="1159"/>
      <c r="E1646" s="1159"/>
      <c r="F1646" s="1159"/>
      <c r="G1646" s="1159"/>
      <c r="H1646" s="1159"/>
      <c r="I1646" s="1159"/>
      <c r="J1646" s="1159"/>
      <c r="K1646" s="1159"/>
      <c r="L1646" s="1159"/>
      <c r="M1646" s="1159"/>
      <c r="N1646" s="1159"/>
      <c r="O1646" s="1159"/>
      <c r="P1646" s="1158"/>
      <c r="Q1646" s="1158"/>
      <c r="R1646" s="1158"/>
      <c r="S1646" s="1158"/>
      <c r="T1646" s="1158"/>
      <c r="U1646" s="1158"/>
      <c r="V1646" s="1158"/>
      <c r="W1646" s="1158"/>
      <c r="X1646" s="1158"/>
      <c r="Y1646" s="1158"/>
      <c r="Z1646" s="1158"/>
      <c r="AA1646" s="1158"/>
      <c r="AB1646" s="1158"/>
      <c r="AC1646" s="1158"/>
      <c r="AD1646" s="1158"/>
      <c r="AE1646" s="1740"/>
      <c r="AF1646" s="1740"/>
      <c r="AG1646" s="1740"/>
      <c r="AH1646" s="1740"/>
      <c r="AI1646" s="1707"/>
      <c r="AJ1646" s="1740"/>
      <c r="AK1646" s="1740"/>
      <c r="AL1646" s="1740"/>
      <c r="AM1646" s="1740"/>
      <c r="AN1646" s="1740"/>
      <c r="AO1646" s="1740"/>
      <c r="AP1646" s="1740"/>
      <c r="AQ1646" s="1740"/>
      <c r="AT1646" s="1170" t="s">
        <v>1213</v>
      </c>
      <c r="AU1646" s="1158"/>
      <c r="AV1646" s="1158"/>
      <c r="AW1646" s="50">
        <f t="shared" ref="AW1646:BD1646" si="4019">AW1629</f>
        <v>1293000</v>
      </c>
      <c r="AX1646" s="50">
        <f t="shared" si="4019"/>
        <v>1272000</v>
      </c>
      <c r="AY1646" s="50">
        <f t="shared" si="4019"/>
        <v>1298000</v>
      </c>
      <c r="AZ1646" s="50">
        <f t="shared" si="4019"/>
        <v>1358000</v>
      </c>
      <c r="BA1646" s="50">
        <f t="shared" si="4019"/>
        <v>1408959.1470000001</v>
      </c>
      <c r="BB1646" s="50">
        <f t="shared" ref="BB1646" si="4020">BB1629</f>
        <v>1488596.6604873349</v>
      </c>
      <c r="BC1646" s="50">
        <f t="shared" si="4019"/>
        <v>1577912.4601165752</v>
      </c>
      <c r="BD1646" s="50">
        <f t="shared" si="4019"/>
        <v>1672587.2077235696</v>
      </c>
      <c r="BE1646" s="50">
        <f t="shared" ref="BE1646" si="4021">BE1629</f>
        <v>1772942.4401869839</v>
      </c>
      <c r="BG1646" s="1195"/>
      <c r="BH1646" s="1195"/>
      <c r="BI1646" s="1195"/>
      <c r="BJ1646" s="1195"/>
      <c r="BK1646" s="1195"/>
      <c r="BL1646" s="1195"/>
      <c r="BM1646"/>
      <c r="BN1646"/>
      <c r="BO1646"/>
      <c r="BP1646"/>
      <c r="BQ1646"/>
      <c r="BR1646"/>
    </row>
    <row r="1647" spans="3:70" s="70" customFormat="1" x14ac:dyDescent="0.2">
      <c r="C1647" s="1170"/>
      <c r="D1647" s="1159"/>
      <c r="E1647" s="1159"/>
      <c r="F1647" s="1159"/>
      <c r="G1647" s="1159"/>
      <c r="H1647" s="1159"/>
      <c r="I1647" s="1159"/>
      <c r="J1647" s="1159"/>
      <c r="K1647" s="1159"/>
      <c r="L1647" s="1159"/>
      <c r="M1647" s="1159"/>
      <c r="N1647" s="1159"/>
      <c r="O1647" s="1159"/>
      <c r="P1647" s="1158"/>
      <c r="Q1647" s="1158"/>
      <c r="R1647" s="1158"/>
      <c r="S1647" s="1158"/>
      <c r="T1647" s="1158"/>
      <c r="U1647" s="1158"/>
      <c r="V1647" s="1158"/>
      <c r="W1647" s="1158"/>
      <c r="X1647" s="1158"/>
      <c r="Y1647" s="1158"/>
      <c r="Z1647" s="1158"/>
      <c r="AA1647" s="1158"/>
      <c r="AB1647" s="1158"/>
      <c r="AC1647" s="1158"/>
      <c r="AD1647" s="1158"/>
      <c r="AE1647" s="1740"/>
      <c r="AF1647" s="1740"/>
      <c r="AG1647" s="1740"/>
      <c r="AH1647" s="1740"/>
      <c r="AI1647" s="1707"/>
      <c r="AJ1647" s="1740"/>
      <c r="AK1647" s="1740"/>
      <c r="AL1647" s="1740"/>
      <c r="AM1647" s="1740"/>
      <c r="AN1647" s="1740"/>
      <c r="AO1647" s="1740"/>
      <c r="AP1647" s="1740"/>
      <c r="AQ1647" s="1740"/>
      <c r="AT1647" s="1170"/>
      <c r="AU1647" s="1158"/>
      <c r="AV1647" s="1158"/>
      <c r="AW1647" s="1085"/>
      <c r="AX1647" s="1085"/>
      <c r="AY1647" s="1085"/>
      <c r="AZ1647" s="1085"/>
      <c r="BA1647" s="1085"/>
      <c r="BB1647" s="1085"/>
      <c r="BC1647" s="1085"/>
      <c r="BD1647" s="1085"/>
      <c r="BE1647" s="1085"/>
      <c r="BG1647" s="1195"/>
      <c r="BH1647" s="1195"/>
      <c r="BI1647" s="1195"/>
      <c r="BJ1647" s="1195"/>
      <c r="BK1647" s="1195"/>
      <c r="BL1647" s="1195"/>
      <c r="BM1647"/>
      <c r="BN1647"/>
      <c r="BO1647"/>
      <c r="BP1647"/>
      <c r="BQ1647"/>
      <c r="BR1647"/>
    </row>
    <row r="1648" spans="3:70" s="70" customFormat="1" x14ac:dyDescent="0.2">
      <c r="C1648" s="1170" t="s">
        <v>1214</v>
      </c>
      <c r="D1648" s="1159"/>
      <c r="E1648" s="1159"/>
      <c r="F1648" s="1159"/>
      <c r="G1648" s="1159"/>
      <c r="H1648" s="1159"/>
      <c r="I1648" s="1159"/>
      <c r="J1648" s="1159"/>
      <c r="K1648" s="1159"/>
      <c r="L1648" s="1159"/>
      <c r="M1648" s="1159"/>
      <c r="N1648" s="1159"/>
      <c r="O1648" s="1159"/>
      <c r="P1648" s="1158"/>
      <c r="Q1648" s="1158"/>
      <c r="R1648" s="1158"/>
      <c r="S1648" s="1158"/>
      <c r="T1648" s="1158"/>
      <c r="U1648" s="1158"/>
      <c r="V1648" s="1158"/>
      <c r="W1648" s="1158"/>
      <c r="X1648" s="1158"/>
      <c r="Y1648" s="1158"/>
      <c r="Z1648" s="1158"/>
      <c r="AA1648" s="1158"/>
      <c r="AB1648" s="1158"/>
      <c r="AC1648" s="1158"/>
      <c r="AD1648" s="1158"/>
      <c r="AE1648" s="1740"/>
      <c r="AF1648" s="1740"/>
      <c r="AG1648" s="1740"/>
      <c r="AH1648" s="1740"/>
      <c r="AI1648" s="1707"/>
      <c r="AJ1648" s="1740"/>
      <c r="AK1648" s="1740"/>
      <c r="AL1648" s="1740"/>
      <c r="AM1648" s="1740"/>
      <c r="AN1648" s="1740"/>
      <c r="AO1648" s="1740"/>
      <c r="AP1648" s="1740"/>
      <c r="AQ1648" s="1740"/>
      <c r="AT1648" s="1170" t="s">
        <v>1214</v>
      </c>
      <c r="AU1648" s="1158"/>
      <c r="AV1648" s="1158"/>
      <c r="AW1648" s="1173">
        <f t="shared" ref="AW1648:BD1648" si="4022">AW1625</f>
        <v>67000</v>
      </c>
      <c r="AX1648" s="1173">
        <f t="shared" si="4022"/>
        <v>76000</v>
      </c>
      <c r="AY1648" s="1173">
        <f t="shared" si="4022"/>
        <v>80000</v>
      </c>
      <c r="AZ1648" s="1173">
        <f t="shared" si="4022"/>
        <v>82000</v>
      </c>
      <c r="BA1648" s="1173">
        <f t="shared" si="4022"/>
        <v>82000</v>
      </c>
      <c r="BB1648" s="1173">
        <f t="shared" ref="BB1648" si="4023">BB1625</f>
        <v>87000</v>
      </c>
      <c r="BC1648" s="1173">
        <f t="shared" si="4022"/>
        <v>92000</v>
      </c>
      <c r="BD1648" s="1173">
        <f t="shared" si="4022"/>
        <v>97000</v>
      </c>
      <c r="BE1648" s="1173">
        <f t="shared" ref="BE1648" si="4024">BE1625</f>
        <v>103000</v>
      </c>
      <c r="BG1648" s="1195"/>
      <c r="BH1648" s="1195"/>
      <c r="BI1648" s="1195"/>
      <c r="BJ1648" s="1195"/>
      <c r="BK1648" s="1195"/>
      <c r="BL1648" s="1195"/>
      <c r="BM1648"/>
      <c r="BN1648"/>
      <c r="BO1648"/>
      <c r="BP1648"/>
      <c r="BQ1648"/>
      <c r="BR1648"/>
    </row>
    <row r="1649" spans="3:70" s="70" customFormat="1" x14ac:dyDescent="0.2">
      <c r="C1649" s="1170" t="s">
        <v>1215</v>
      </c>
      <c r="D1649" s="1159"/>
      <c r="E1649" s="1159"/>
      <c r="F1649" s="1159"/>
      <c r="G1649" s="1159"/>
      <c r="H1649" s="1159"/>
      <c r="I1649" s="1159"/>
      <c r="J1649" s="1159"/>
      <c r="K1649" s="1159"/>
      <c r="L1649" s="1159"/>
      <c r="M1649" s="1159"/>
      <c r="N1649" s="1159"/>
      <c r="O1649" s="1159"/>
      <c r="P1649" s="1158"/>
      <c r="Q1649" s="1158"/>
      <c r="R1649" s="1158"/>
      <c r="S1649" s="1158"/>
      <c r="T1649" s="1158"/>
      <c r="U1649" s="1158"/>
      <c r="V1649" s="1158"/>
      <c r="W1649" s="1158"/>
      <c r="X1649" s="1158"/>
      <c r="Y1649" s="1158"/>
      <c r="Z1649" s="1158"/>
      <c r="AA1649" s="1158"/>
      <c r="AB1649" s="1158"/>
      <c r="AC1649" s="1158"/>
      <c r="AD1649" s="1158"/>
      <c r="AE1649" s="1740"/>
      <c r="AF1649" s="1740"/>
      <c r="AG1649" s="1740"/>
      <c r="AH1649" s="1740"/>
      <c r="AI1649" s="1707"/>
      <c r="AJ1649" s="1740"/>
      <c r="AK1649" s="1740"/>
      <c r="AL1649" s="1740"/>
      <c r="AM1649" s="1740"/>
      <c r="AN1649" s="1740"/>
      <c r="AO1649" s="1740"/>
      <c r="AP1649" s="1740"/>
      <c r="AQ1649" s="1740"/>
      <c r="AT1649" s="1170" t="s">
        <v>1215</v>
      </c>
      <c r="AU1649" s="1158"/>
      <c r="AV1649" s="1158"/>
      <c r="AW1649" s="1178">
        <f t="shared" ref="AW1649:BD1649" si="4025">AW1648/AW1643</f>
        <v>6.3327032136105854E-2</v>
      </c>
      <c r="AX1649" s="1178">
        <f t="shared" si="4025"/>
        <v>7.3019581267610656E-2</v>
      </c>
      <c r="AY1649" s="1178">
        <f t="shared" si="4025"/>
        <v>7.5323094130565871E-2</v>
      </c>
      <c r="AZ1649" s="1178">
        <f t="shared" si="4025"/>
        <v>7.3795000431525315E-2</v>
      </c>
      <c r="BA1649" s="1178">
        <f t="shared" si="4025"/>
        <v>7.1125987435043336E-2</v>
      </c>
      <c r="BB1649" s="1178">
        <f t="shared" ref="BB1649" si="4026">BB1648/BB1643</f>
        <v>7.1425792774884533E-2</v>
      </c>
      <c r="BC1649" s="1178">
        <f t="shared" si="4025"/>
        <v>7.1255399428425251E-2</v>
      </c>
      <c r="BD1649" s="1178">
        <f t="shared" si="4025"/>
        <v>7.0875448570111271E-2</v>
      </c>
      <c r="BE1649" s="1178">
        <f t="shared" ref="BE1649" si="4027">BE1648/BE1643</f>
        <v>7.0999525410634715E-2</v>
      </c>
      <c r="BG1649" s="1196"/>
      <c r="BH1649" s="1196"/>
      <c r="BI1649" s="1196"/>
      <c r="BJ1649" s="1196"/>
      <c r="BK1649" s="1196"/>
      <c r="BL1649" s="1196"/>
      <c r="BM1649"/>
      <c r="BN1649"/>
      <c r="BO1649"/>
      <c r="BP1649"/>
      <c r="BQ1649"/>
      <c r="BR1649"/>
    </row>
    <row r="1650" spans="3:70" s="70" customFormat="1" x14ac:dyDescent="0.2">
      <c r="C1650" s="1170" t="s">
        <v>1216</v>
      </c>
      <c r="D1650" s="1159"/>
      <c r="E1650" s="1159"/>
      <c r="F1650" s="1159"/>
      <c r="G1650" s="1159"/>
      <c r="H1650" s="1159"/>
      <c r="I1650" s="1159"/>
      <c r="J1650" s="1159"/>
      <c r="K1650" s="1159"/>
      <c r="L1650" s="1159"/>
      <c r="M1650" s="1159"/>
      <c r="N1650" s="1159"/>
      <c r="O1650" s="1159"/>
      <c r="P1650" s="1158"/>
      <c r="Q1650" s="1158"/>
      <c r="R1650" s="1158"/>
      <c r="S1650" s="1158"/>
      <c r="T1650" s="1158"/>
      <c r="U1650" s="1158"/>
      <c r="V1650" s="1158"/>
      <c r="W1650" s="1158"/>
      <c r="X1650" s="1158"/>
      <c r="Y1650" s="1158"/>
      <c r="Z1650" s="1158"/>
      <c r="AA1650" s="1158"/>
      <c r="AB1650" s="1158"/>
      <c r="AC1650" s="1158"/>
      <c r="AD1650" s="1158"/>
      <c r="AE1650" s="1740"/>
      <c r="AF1650" s="1740"/>
      <c r="AG1650" s="1740"/>
      <c r="AH1650" s="1740"/>
      <c r="AI1650" s="1707"/>
      <c r="AJ1650" s="1740"/>
      <c r="AK1650" s="1740"/>
      <c r="AL1650" s="1740"/>
      <c r="AM1650" s="1740"/>
      <c r="AN1650" s="1740"/>
      <c r="AO1650" s="1740"/>
      <c r="AP1650" s="1740"/>
      <c r="AQ1650" s="1740"/>
      <c r="AT1650" s="1170" t="s">
        <v>1216</v>
      </c>
      <c r="AU1650" s="1158"/>
      <c r="AV1650" s="1158"/>
      <c r="AW1650" s="846">
        <f t="shared" ref="AW1650:BD1650" si="4028">AW1648</f>
        <v>67000</v>
      </c>
      <c r="AX1650" s="846">
        <f t="shared" si="4028"/>
        <v>76000</v>
      </c>
      <c r="AY1650" s="846">
        <f t="shared" si="4028"/>
        <v>80000</v>
      </c>
      <c r="AZ1650" s="846">
        <f t="shared" si="4028"/>
        <v>82000</v>
      </c>
      <c r="BA1650" s="846">
        <f t="shared" si="4028"/>
        <v>82000</v>
      </c>
      <c r="BB1650" s="846">
        <f t="shared" ref="BB1650" si="4029">BB1648</f>
        <v>87000</v>
      </c>
      <c r="BC1650" s="846">
        <f t="shared" si="4028"/>
        <v>92000</v>
      </c>
      <c r="BD1650" s="846">
        <f t="shared" si="4028"/>
        <v>97000</v>
      </c>
      <c r="BE1650" s="846">
        <f t="shared" ref="BE1650" si="4030">BE1648</f>
        <v>103000</v>
      </c>
      <c r="BG1650" s="1195"/>
      <c r="BH1650" s="1195"/>
      <c r="BI1650" s="1195"/>
      <c r="BJ1650" s="1195"/>
      <c r="BK1650" s="1195"/>
      <c r="BL1650" s="1195"/>
      <c r="BM1650"/>
      <c r="BN1650"/>
      <c r="BO1650"/>
      <c r="BP1650"/>
      <c r="BQ1650"/>
      <c r="BR1650"/>
    </row>
    <row r="1651" spans="3:70" s="70" customFormat="1" x14ac:dyDescent="0.2">
      <c r="C1651" s="1170" t="s">
        <v>1217</v>
      </c>
      <c r="D1651" s="1159"/>
      <c r="E1651" s="1159"/>
      <c r="F1651" s="1159"/>
      <c r="G1651" s="1159"/>
      <c r="H1651" s="1159"/>
      <c r="I1651" s="1159"/>
      <c r="J1651" s="1159"/>
      <c r="K1651" s="1159"/>
      <c r="L1651" s="1159"/>
      <c r="M1651" s="1159"/>
      <c r="N1651" s="1159"/>
      <c r="O1651" s="1159"/>
      <c r="P1651" s="1158"/>
      <c r="Q1651" s="1158"/>
      <c r="R1651" s="1158"/>
      <c r="S1651" s="1158"/>
      <c r="T1651" s="1158"/>
      <c r="U1651" s="1158"/>
      <c r="V1651" s="1158"/>
      <c r="W1651" s="1158"/>
      <c r="X1651" s="1158"/>
      <c r="Y1651" s="1158"/>
      <c r="Z1651" s="1158"/>
      <c r="AA1651" s="1158"/>
      <c r="AB1651" s="1158"/>
      <c r="AC1651" s="1158"/>
      <c r="AD1651" s="1158"/>
      <c r="AE1651" s="1740"/>
      <c r="AF1651" s="1740"/>
      <c r="AG1651" s="1740"/>
      <c r="AH1651" s="1740"/>
      <c r="AI1651" s="1707"/>
      <c r="AJ1651" s="1740"/>
      <c r="AK1651" s="1740"/>
      <c r="AL1651" s="1740"/>
      <c r="AM1651" s="1740"/>
      <c r="AN1651" s="1740"/>
      <c r="AO1651" s="1740"/>
      <c r="AP1651" s="1740"/>
      <c r="AQ1651" s="1740"/>
      <c r="AT1651" s="1170" t="s">
        <v>1217</v>
      </c>
      <c r="AU1651" s="1158"/>
      <c r="AV1651" s="1158"/>
      <c r="AW1651" s="1178">
        <f t="shared" ref="AW1651:BD1651" si="4031">AW1641/AW1643</f>
        <v>0.63327032136105865</v>
      </c>
      <c r="AX1651" s="1178">
        <f t="shared" si="4031"/>
        <v>0.663814375160097</v>
      </c>
      <c r="AY1651" s="1178">
        <f t="shared" si="4031"/>
        <v>0.65498342722231184</v>
      </c>
      <c r="AZ1651" s="1178">
        <f t="shared" si="4031"/>
        <v>0.64169565592630695</v>
      </c>
      <c r="BA1651" s="1178">
        <f t="shared" si="4031"/>
        <v>0.63223099942260741</v>
      </c>
      <c r="BB1651" s="1178">
        <f t="shared" ref="BB1651" si="4032">BB1641/BB1643</f>
        <v>0.64932538886258673</v>
      </c>
      <c r="BC1651" s="1178">
        <f t="shared" si="4031"/>
        <v>0.64777635844022963</v>
      </c>
      <c r="BD1651" s="1178">
        <f t="shared" si="4031"/>
        <v>0.64432225972828427</v>
      </c>
      <c r="BE1651" s="1178">
        <f t="shared" ref="BE1651" si="4033">BE1641/BE1643</f>
        <v>0.64545023100577015</v>
      </c>
      <c r="BG1651" s="1196"/>
      <c r="BH1651" s="1196"/>
      <c r="BI1651" s="1196"/>
      <c r="BJ1651" s="1196"/>
      <c r="BK1651" s="1196"/>
      <c r="BL1651" s="1196"/>
      <c r="BM1651"/>
      <c r="BN1651"/>
      <c r="BO1651"/>
      <c r="BP1651"/>
      <c r="BQ1651"/>
      <c r="BR1651"/>
    </row>
    <row r="1652" spans="3:70" s="70" customFormat="1" x14ac:dyDescent="0.2">
      <c r="C1652" s="1170" t="s">
        <v>1218</v>
      </c>
      <c r="D1652" s="1159"/>
      <c r="E1652" s="1159"/>
      <c r="F1652" s="1159"/>
      <c r="G1652" s="1159"/>
      <c r="H1652" s="1159"/>
      <c r="I1652" s="1159"/>
      <c r="J1652" s="1159"/>
      <c r="K1652" s="1159"/>
      <c r="L1652" s="1159"/>
      <c r="M1652" s="1159"/>
      <c r="N1652" s="1159"/>
      <c r="O1652" s="1159"/>
      <c r="P1652" s="1158"/>
      <c r="Q1652" s="1158"/>
      <c r="R1652" s="1158"/>
      <c r="S1652" s="1158"/>
      <c r="T1652" s="1158"/>
      <c r="U1652" s="1158"/>
      <c r="V1652" s="1158"/>
      <c r="W1652" s="1158"/>
      <c r="X1652" s="1158"/>
      <c r="Y1652" s="1158"/>
      <c r="Z1652" s="1158"/>
      <c r="AA1652" s="1158"/>
      <c r="AB1652" s="1158"/>
      <c r="AC1652" s="1158"/>
      <c r="AD1652" s="1158"/>
      <c r="AE1652" s="1740"/>
      <c r="AF1652" s="1740"/>
      <c r="AG1652" s="1740"/>
      <c r="AH1652" s="1740"/>
      <c r="AI1652" s="1707"/>
      <c r="AJ1652" s="1740"/>
      <c r="AK1652" s="1740"/>
      <c r="AL1652" s="1740"/>
      <c r="AM1652" s="1740"/>
      <c r="AN1652" s="1740"/>
      <c r="AO1652" s="1740"/>
      <c r="AP1652" s="1740"/>
      <c r="AQ1652" s="1740"/>
      <c r="AT1652" s="1170" t="s">
        <v>1218</v>
      </c>
      <c r="AU1652" s="1158"/>
      <c r="AV1652" s="1158"/>
      <c r="AW1652" s="1187">
        <f t="shared" ref="AW1652:BD1652" si="4034">AW1642/AW1643</f>
        <v>1.5565047258979205</v>
      </c>
      <c r="AX1652" s="1187">
        <f t="shared" si="4034"/>
        <v>1.5072362859792416</v>
      </c>
      <c r="AY1652" s="1187">
        <f t="shared" si="4034"/>
        <v>1.4582007385216751</v>
      </c>
      <c r="AZ1652" s="1187">
        <f t="shared" si="4034"/>
        <v>1.4695773864044479</v>
      </c>
      <c r="BA1652" s="1187">
        <f t="shared" si="4034"/>
        <v>1.3923812882857274</v>
      </c>
      <c r="BB1652" s="1187">
        <f t="shared" ref="BB1652" si="4035">BB1642/BB1643</f>
        <v>1.3847240915393959</v>
      </c>
      <c r="BC1652" s="1187">
        <f t="shared" si="4034"/>
        <v>1.3715623819639722</v>
      </c>
      <c r="BD1652" s="1187">
        <f t="shared" si="4034"/>
        <v>1.3616955152006396</v>
      </c>
      <c r="BE1652" s="1187">
        <f t="shared" ref="BE1652" si="4036">BE1642/BE1643</f>
        <v>1.3515107732267406</v>
      </c>
      <c r="BG1652" s="1196"/>
      <c r="BH1652" s="1196"/>
      <c r="BI1652" s="1196"/>
      <c r="BJ1652" s="1196"/>
      <c r="BK1652" s="1196"/>
      <c r="BL1652" s="1196"/>
      <c r="BM1652"/>
      <c r="BN1652"/>
      <c r="BO1652"/>
      <c r="BP1652"/>
      <c r="BQ1652"/>
      <c r="BR1652"/>
    </row>
    <row r="1653" spans="3:70" s="70" customFormat="1" x14ac:dyDescent="0.2">
      <c r="C1653" s="1170" t="s">
        <v>1219</v>
      </c>
      <c r="D1653" s="1159"/>
      <c r="E1653" s="1159"/>
      <c r="F1653" s="1159"/>
      <c r="G1653" s="1159"/>
      <c r="H1653" s="1159"/>
      <c r="I1653" s="1159"/>
      <c r="J1653" s="1159"/>
      <c r="K1653" s="1159"/>
      <c r="L1653" s="1159"/>
      <c r="M1653" s="1159"/>
      <c r="N1653" s="1159"/>
      <c r="O1653" s="1159"/>
      <c r="P1653" s="1158"/>
      <c r="Q1653" s="1158"/>
      <c r="R1653" s="1158"/>
      <c r="S1653" s="1158"/>
      <c r="T1653" s="1158"/>
      <c r="U1653" s="1158"/>
      <c r="V1653" s="1158"/>
      <c r="W1653" s="1158"/>
      <c r="X1653" s="1158"/>
      <c r="Y1653" s="1158"/>
      <c r="Z1653" s="1158"/>
      <c r="AA1653" s="1158"/>
      <c r="AB1653" s="1158"/>
      <c r="AC1653" s="1158"/>
      <c r="AD1653" s="1158"/>
      <c r="AE1653" s="1740"/>
      <c r="AF1653" s="1740"/>
      <c r="AG1653" s="1740"/>
      <c r="AH1653" s="1740"/>
      <c r="AI1653" s="1707"/>
      <c r="AJ1653" s="1740"/>
      <c r="AK1653" s="1740"/>
      <c r="AL1653" s="1740"/>
      <c r="AM1653" s="1740"/>
      <c r="AN1653" s="1740"/>
      <c r="AO1653" s="1740"/>
      <c r="AP1653" s="1740"/>
      <c r="AQ1653" s="1740"/>
      <c r="AT1653" s="1170" t="s">
        <v>1219</v>
      </c>
      <c r="AU1653" s="1158"/>
      <c r="AV1653" s="1158"/>
      <c r="AW1653" s="1187">
        <f t="shared" ref="AW1653:BD1653" si="4037">AW1644/AW1636</f>
        <v>0.90518483215595236</v>
      </c>
      <c r="AX1653" s="1187">
        <f t="shared" si="4037"/>
        <v>0.89994016763290541</v>
      </c>
      <c r="AY1653" s="1187">
        <f t="shared" si="4037"/>
        <v>0.87952048927010706</v>
      </c>
      <c r="AZ1653" s="1187">
        <f t="shared" si="4037"/>
        <v>0.88523867044883886</v>
      </c>
      <c r="BA1653" s="1187">
        <f t="shared" si="4037"/>
        <v>0.86462314092722703</v>
      </c>
      <c r="BB1653" s="1187">
        <f t="shared" ref="BB1653" si="4038">BB1644/BB1636</f>
        <v>0.864842163562899</v>
      </c>
      <c r="BC1653" s="1187">
        <f t="shared" si="4037"/>
        <v>0.86280612012920976</v>
      </c>
      <c r="BD1653" s="1187">
        <f t="shared" si="4037"/>
        <v>0.86168656528480858</v>
      </c>
      <c r="BE1653" s="1187">
        <f t="shared" ref="BE1653" si="4039">BE1644/BE1636</f>
        <v>0.86035993052482207</v>
      </c>
      <c r="BG1653" s="1196"/>
      <c r="BH1653" s="1196"/>
      <c r="BI1653" s="1196"/>
      <c r="BJ1653" s="1196"/>
      <c r="BK1653" s="1196"/>
      <c r="BL1653" s="1196"/>
      <c r="BM1653"/>
      <c r="BN1653"/>
      <c r="BO1653"/>
      <c r="BP1653"/>
      <c r="BQ1653"/>
      <c r="BR1653"/>
    </row>
    <row r="1654" spans="3:70" s="70" customFormat="1" x14ac:dyDescent="0.2">
      <c r="C1654" s="1171"/>
      <c r="D1654" s="1159"/>
      <c r="E1654" s="1159"/>
      <c r="F1654" s="1159"/>
      <c r="G1654" s="1159"/>
      <c r="H1654" s="1159"/>
      <c r="I1654" s="1159"/>
      <c r="J1654" s="1159"/>
      <c r="K1654" s="1159"/>
      <c r="L1654" s="1159"/>
      <c r="M1654" s="1159"/>
      <c r="N1654" s="1159"/>
      <c r="O1654" s="1159"/>
      <c r="P1654" s="1158"/>
      <c r="Q1654" s="1158"/>
      <c r="R1654" s="1158"/>
      <c r="S1654" s="1158"/>
      <c r="T1654" s="1158"/>
      <c r="U1654" s="1158"/>
      <c r="V1654" s="1158"/>
      <c r="W1654" s="1158"/>
      <c r="X1654" s="1158"/>
      <c r="Y1654" s="1158"/>
      <c r="Z1654" s="1158"/>
      <c r="AA1654" s="1158"/>
      <c r="AB1654" s="1158"/>
      <c r="AC1654" s="1158"/>
      <c r="AD1654" s="1158"/>
      <c r="AE1654" s="1740"/>
      <c r="AF1654" s="1740"/>
      <c r="AG1654" s="1740"/>
      <c r="AH1654" s="1740"/>
      <c r="AI1654" s="1707"/>
      <c r="AJ1654" s="1740"/>
      <c r="AK1654" s="1740"/>
      <c r="AL1654" s="1740"/>
      <c r="AM1654" s="1740"/>
      <c r="AN1654" s="1740"/>
      <c r="AO1654" s="1740"/>
      <c r="AP1654" s="1740"/>
      <c r="AQ1654" s="1740"/>
      <c r="AT1654" s="1171"/>
      <c r="AU1654" s="1158"/>
      <c r="AV1654" s="1158"/>
      <c r="AW1654" s="1158"/>
      <c r="AX1654" s="1158"/>
      <c r="AY1654" s="1158"/>
      <c r="AZ1654" s="1158"/>
      <c r="BA1654" s="1158"/>
      <c r="BB1654" s="1707"/>
      <c r="BC1654" s="1158"/>
      <c r="BD1654" s="1704"/>
      <c r="BE1654" s="1702"/>
      <c r="BM1654"/>
      <c r="BN1654"/>
      <c r="BO1654"/>
      <c r="BP1654"/>
      <c r="BQ1654"/>
      <c r="BR1654"/>
    </row>
    <row r="1655" spans="3:70" s="70" customFormat="1" x14ac:dyDescent="0.2">
      <c r="C1655" s="1164" t="s">
        <v>1220</v>
      </c>
      <c r="D1655" s="1161"/>
      <c r="E1655" s="1161"/>
      <c r="F1655" s="1161"/>
      <c r="G1655" s="1161"/>
      <c r="H1655" s="1161"/>
      <c r="I1655" s="1161"/>
      <c r="J1655" s="1161"/>
      <c r="K1655" s="1161"/>
      <c r="L1655" s="1161"/>
      <c r="M1655" s="1161"/>
      <c r="N1655" s="1161"/>
      <c r="O1655" s="1161"/>
      <c r="P1655" s="1161"/>
      <c r="Q1655" s="1161"/>
      <c r="R1655" s="1161"/>
      <c r="S1655" s="1161"/>
      <c r="T1655" s="1161"/>
      <c r="U1655" s="1161"/>
      <c r="V1655" s="1161"/>
      <c r="W1655" s="1161"/>
      <c r="X1655" s="1161"/>
      <c r="Y1655" s="1161"/>
      <c r="Z1655" s="1161"/>
      <c r="AA1655" s="1161"/>
      <c r="AB1655" s="1161"/>
      <c r="AC1655" s="1161"/>
      <c r="AD1655" s="1161"/>
      <c r="AE1655" s="1161"/>
      <c r="AF1655" s="1161"/>
      <c r="AG1655" s="1161"/>
      <c r="AH1655" s="1161"/>
      <c r="AI1655" s="1161"/>
      <c r="AJ1655" s="1161"/>
      <c r="AK1655" s="1161"/>
      <c r="AL1655" s="1161"/>
      <c r="AM1655" s="1161"/>
      <c r="AN1655" s="1161"/>
      <c r="AO1655" s="1161"/>
      <c r="AP1655" s="1161"/>
      <c r="AQ1655" s="1161"/>
      <c r="AT1655" s="1164" t="s">
        <v>1220</v>
      </c>
      <c r="AU1655" s="1161"/>
      <c r="AV1655" s="1161"/>
      <c r="AW1655" s="1161"/>
      <c r="AX1655" s="1161"/>
      <c r="AY1655" s="1161"/>
      <c r="AZ1655" s="1161"/>
      <c r="BA1655" s="1161"/>
      <c r="BB1655" s="1161"/>
      <c r="BC1655" s="1161"/>
      <c r="BD1655" s="1161"/>
      <c r="BE1655" s="1161"/>
      <c r="BM1655"/>
      <c r="BN1655"/>
      <c r="BO1655"/>
      <c r="BP1655"/>
      <c r="BQ1655"/>
      <c r="BR1655"/>
    </row>
    <row r="1656" spans="3:70" s="70" customFormat="1" x14ac:dyDescent="0.2">
      <c r="C1656" s="1170" t="s">
        <v>1221</v>
      </c>
      <c r="D1656" s="1159"/>
      <c r="E1656" s="1159"/>
      <c r="F1656" s="1159"/>
      <c r="G1656" s="1159"/>
      <c r="H1656" s="1159"/>
      <c r="I1656" s="1159"/>
      <c r="J1656" s="1159"/>
      <c r="K1656" s="1159"/>
      <c r="L1656" s="1159"/>
      <c r="M1656" s="1159"/>
      <c r="N1656" s="1159"/>
      <c r="O1656" s="1159"/>
      <c r="P1656" s="1158"/>
      <c r="Q1656" s="1158"/>
      <c r="R1656" s="1158"/>
      <c r="S1656" s="1158"/>
      <c r="T1656" s="1158"/>
      <c r="U1656" s="1158"/>
      <c r="V1656" s="1158"/>
      <c r="W1656" s="1158"/>
      <c r="X1656" s="1158"/>
      <c r="Y1656" s="1158"/>
      <c r="Z1656" s="1158"/>
      <c r="AA1656" s="1158"/>
      <c r="AB1656" s="1158"/>
      <c r="AC1656" s="1158"/>
      <c r="AD1656" s="1158"/>
      <c r="AE1656" s="1740"/>
      <c r="AF1656" s="1740"/>
      <c r="AG1656" s="1740"/>
      <c r="AH1656" s="1740"/>
      <c r="AI1656" s="1707"/>
      <c r="AJ1656" s="1740"/>
      <c r="AK1656" s="1740"/>
      <c r="AL1656" s="1740"/>
      <c r="AM1656" s="1740"/>
      <c r="AN1656" s="1740"/>
      <c r="AO1656" s="1740"/>
      <c r="AP1656" s="1740"/>
      <c r="AQ1656" s="1740"/>
      <c r="AT1656" s="1170" t="s">
        <v>1221</v>
      </c>
      <c r="AU1656" s="1158"/>
      <c r="AV1656" s="1158"/>
      <c r="AW1656" s="1188">
        <f t="shared" ref="AW1656:BD1661" si="4040">AW1616/AW$1641</f>
        <v>5.0305970149253733E-2</v>
      </c>
      <c r="AX1656" s="1188">
        <f t="shared" si="4040"/>
        <v>4.7854342105263153E-2</v>
      </c>
      <c r="AY1656" s="1188">
        <f t="shared" si="4040"/>
        <v>4.7763812500000002E-2</v>
      </c>
      <c r="AZ1656" s="1188">
        <f t="shared" si="4040"/>
        <v>5.1152560975609759E-2</v>
      </c>
      <c r="BA1656" s="1188">
        <f t="shared" si="4040"/>
        <v>5.3937067620523055E-2</v>
      </c>
      <c r="BB1656" s="1188">
        <f t="shared" ref="BB1656" si="4041">BB1616/BB$1641</f>
        <v>5.3921115880186582E-2</v>
      </c>
      <c r="BC1656" s="1188">
        <f t="shared" si="4040"/>
        <v>5.4469497083512633E-2</v>
      </c>
      <c r="BD1656" s="1188">
        <f t="shared" si="4040"/>
        <v>5.4843149952824778E-2</v>
      </c>
      <c r="BE1656" s="1188">
        <f t="shared" ref="BE1656" si="4042">BE1616/BE$1641</f>
        <v>5.4698768636595216E-2</v>
      </c>
      <c r="BG1656" s="1092"/>
      <c r="BH1656" s="1092"/>
      <c r="BI1656" s="1092"/>
      <c r="BJ1656" s="1092"/>
      <c r="BK1656" s="1092"/>
      <c r="BL1656" s="1092"/>
      <c r="BM1656"/>
      <c r="BN1656"/>
      <c r="BO1656"/>
      <c r="BP1656"/>
      <c r="BQ1656"/>
      <c r="BR1656"/>
    </row>
    <row r="1657" spans="3:70" s="70" customFormat="1" x14ac:dyDescent="0.2">
      <c r="C1657" s="1170" t="s">
        <v>1222</v>
      </c>
      <c r="D1657" s="1159"/>
      <c r="E1657" s="1159"/>
      <c r="F1657" s="1159"/>
      <c r="G1657" s="1159"/>
      <c r="H1657" s="1159"/>
      <c r="I1657" s="1159"/>
      <c r="J1657" s="1159"/>
      <c r="K1657" s="1159"/>
      <c r="L1657" s="1159"/>
      <c r="M1657" s="1159"/>
      <c r="N1657" s="1159"/>
      <c r="O1657" s="1159"/>
      <c r="P1657" s="1158"/>
      <c r="Q1657" s="1158"/>
      <c r="R1657" s="1158"/>
      <c r="S1657" s="1158"/>
      <c r="T1657" s="1158"/>
      <c r="U1657" s="1158"/>
      <c r="V1657" s="1158"/>
      <c r="W1657" s="1158"/>
      <c r="X1657" s="1158"/>
      <c r="Y1657" s="1158"/>
      <c r="Z1657" s="1158"/>
      <c r="AA1657" s="1158"/>
      <c r="AB1657" s="1158"/>
      <c r="AC1657" s="1158"/>
      <c r="AD1657" s="1158"/>
      <c r="AE1657" s="1740"/>
      <c r="AF1657" s="1740"/>
      <c r="AG1657" s="1740"/>
      <c r="AH1657" s="1740"/>
      <c r="AI1657" s="1707"/>
      <c r="AJ1657" s="1740"/>
      <c r="AK1657" s="1740"/>
      <c r="AL1657" s="1740"/>
      <c r="AM1657" s="1740"/>
      <c r="AN1657" s="1740"/>
      <c r="AO1657" s="1740"/>
      <c r="AP1657" s="1740"/>
      <c r="AQ1657" s="1740"/>
      <c r="AT1657" s="1170" t="s">
        <v>1222</v>
      </c>
      <c r="AU1657" s="1158"/>
      <c r="AV1657" s="1158"/>
      <c r="AW1657" s="1188">
        <f t="shared" si="4040"/>
        <v>-2.9104477611940297E-2</v>
      </c>
      <c r="AX1657" s="1188">
        <f t="shared" si="4040"/>
        <v>-2.7625921052631577E-2</v>
      </c>
      <c r="AY1657" s="1188">
        <f t="shared" si="4040"/>
        <v>-2.7249249999999999E-2</v>
      </c>
      <c r="AZ1657" s="1188">
        <f t="shared" si="4040"/>
        <v>-2.8630792682926832E-2</v>
      </c>
      <c r="BA1657" s="1188">
        <f t="shared" si="4040"/>
        <v>-2.9795146584835917E-2</v>
      </c>
      <c r="BB1657" s="1188">
        <f t="shared" ref="BB1657" si="4043">BB1617/BB$1641</f>
        <v>-2.8923015080392824E-2</v>
      </c>
      <c r="BC1657" s="1188">
        <f t="shared" si="4040"/>
        <v>-2.8596485968844135E-2</v>
      </c>
      <c r="BD1657" s="1188">
        <f t="shared" si="4040"/>
        <v>-2.8518437975468883E-2</v>
      </c>
      <c r="BE1657" s="1188">
        <f t="shared" ref="BE1657" si="4044">BE1617/BE$1641</f>
        <v>-2.8169865847846535E-2</v>
      </c>
      <c r="BG1657" s="1092"/>
      <c r="BH1657" s="1092"/>
      <c r="BI1657" s="1092"/>
      <c r="BJ1657" s="1092"/>
      <c r="BK1657" s="1092"/>
      <c r="BL1657" s="1092"/>
      <c r="BM1657"/>
      <c r="BN1657"/>
      <c r="BO1657"/>
      <c r="BP1657"/>
      <c r="BQ1657"/>
      <c r="BR1657"/>
    </row>
    <row r="1658" spans="3:70" s="70" customFormat="1" x14ac:dyDescent="0.2">
      <c r="C1658" s="1170" t="s">
        <v>1223</v>
      </c>
      <c r="D1658" s="1159"/>
      <c r="E1658" s="1159"/>
      <c r="F1658" s="1159"/>
      <c r="G1658" s="1159"/>
      <c r="H1658" s="1159"/>
      <c r="I1658" s="1159"/>
      <c r="J1658" s="1159"/>
      <c r="K1658" s="1159"/>
      <c r="L1658" s="1159"/>
      <c r="M1658" s="1159"/>
      <c r="N1658" s="1159"/>
      <c r="O1658" s="1159"/>
      <c r="P1658" s="1158"/>
      <c r="Q1658" s="1158"/>
      <c r="R1658" s="1158"/>
      <c r="S1658" s="1158"/>
      <c r="T1658" s="1158"/>
      <c r="U1658" s="1158"/>
      <c r="V1658" s="1158"/>
      <c r="W1658" s="1158"/>
      <c r="X1658" s="1158"/>
      <c r="Y1658" s="1158"/>
      <c r="Z1658" s="1158"/>
      <c r="AA1658" s="1158"/>
      <c r="AB1658" s="1158"/>
      <c r="AC1658" s="1158"/>
      <c r="AD1658" s="1158"/>
      <c r="AE1658" s="1740"/>
      <c r="AF1658" s="1740"/>
      <c r="AG1658" s="1740"/>
      <c r="AH1658" s="1740"/>
      <c r="AI1658" s="1707"/>
      <c r="AJ1658" s="1740"/>
      <c r="AK1658" s="1740"/>
      <c r="AL1658" s="1740"/>
      <c r="AM1658" s="1740"/>
      <c r="AN1658" s="1740"/>
      <c r="AO1658" s="1740"/>
      <c r="AP1658" s="1740"/>
      <c r="AQ1658" s="1740"/>
      <c r="AT1658" s="1170" t="s">
        <v>1223</v>
      </c>
      <c r="AU1658" s="1158"/>
      <c r="AV1658" s="1158"/>
      <c r="AW1658" s="1188">
        <f t="shared" si="4040"/>
        <v>-7.0149253731343277E-5</v>
      </c>
      <c r="AX1658" s="1188">
        <f t="shared" si="4040"/>
        <v>-1.3923684210526315E-3</v>
      </c>
      <c r="AY1658" s="1188">
        <f t="shared" si="4040"/>
        <v>-6.9862500000000003E-4</v>
      </c>
      <c r="AZ1658" s="1188">
        <f t="shared" si="4040"/>
        <v>2.1036585365853659E-5</v>
      </c>
      <c r="BA1658" s="1188">
        <f t="shared" si="4040"/>
        <v>-7.5527153598187451E-4</v>
      </c>
      <c r="BB1658" s="1188">
        <f t="shared" ref="BB1658" si="4045">BB1618/BB$1641</f>
        <v>-1.4294789095573193E-3</v>
      </c>
      <c r="BC1658" s="1188">
        <f t="shared" si="4040"/>
        <v>-1.6827855337179611E-3</v>
      </c>
      <c r="BD1658" s="1188">
        <f t="shared" si="4040"/>
        <v>-1.9517338196076124E-3</v>
      </c>
      <c r="BE1658" s="1188">
        <f t="shared" ref="BE1658" si="4046">BE1618/BE$1641</f>
        <v>-2.4354037783016346E-3</v>
      </c>
      <c r="BG1658" s="1092"/>
      <c r="BH1658" s="1092"/>
      <c r="BI1658" s="1092"/>
      <c r="BJ1658" s="1092"/>
      <c r="BK1658" s="1092"/>
      <c r="BL1658" s="1092"/>
      <c r="BM1658"/>
      <c r="BN1658"/>
      <c r="BO1658"/>
      <c r="BP1658"/>
      <c r="BQ1658"/>
      <c r="BR1658"/>
    </row>
    <row r="1659" spans="3:70" s="70" customFormat="1" x14ac:dyDescent="0.2">
      <c r="C1659" s="1170" t="s">
        <v>1224</v>
      </c>
      <c r="D1659" s="1159"/>
      <c r="E1659" s="1159"/>
      <c r="F1659" s="1159"/>
      <c r="G1659" s="1159"/>
      <c r="H1659" s="1159"/>
      <c r="I1659" s="1159"/>
      <c r="J1659" s="1159"/>
      <c r="K1659" s="1159"/>
      <c r="L1659" s="1159"/>
      <c r="M1659" s="1159"/>
      <c r="N1659" s="1159"/>
      <c r="O1659" s="1159"/>
      <c r="P1659" s="1158"/>
      <c r="Q1659" s="1158"/>
      <c r="R1659" s="1158"/>
      <c r="S1659" s="1158"/>
      <c r="T1659" s="1158"/>
      <c r="U1659" s="1158"/>
      <c r="V1659" s="1158"/>
      <c r="W1659" s="1158"/>
      <c r="X1659" s="1158"/>
      <c r="Y1659" s="1158"/>
      <c r="Z1659" s="1158"/>
      <c r="AA1659" s="1158"/>
      <c r="AB1659" s="1158"/>
      <c r="AC1659" s="1158"/>
      <c r="AD1659" s="1158"/>
      <c r="AE1659" s="1740"/>
      <c r="AF1659" s="1740"/>
      <c r="AG1659" s="1740"/>
      <c r="AH1659" s="1740"/>
      <c r="AI1659" s="1707"/>
      <c r="AJ1659" s="1740"/>
      <c r="AK1659" s="1740"/>
      <c r="AL1659" s="1740"/>
      <c r="AM1659" s="1740"/>
      <c r="AN1659" s="1740"/>
      <c r="AO1659" s="1740"/>
      <c r="AP1659" s="1740"/>
      <c r="AQ1659" s="1740"/>
      <c r="AT1659" s="1170" t="s">
        <v>1224</v>
      </c>
      <c r="AU1659" s="1158"/>
      <c r="AV1659" s="1158"/>
      <c r="AW1659" s="1188">
        <f t="shared" si="4040"/>
        <v>2.1131343283582089E-2</v>
      </c>
      <c r="AX1659" s="1188">
        <f t="shared" si="4040"/>
        <v>1.8836052631578948E-2</v>
      </c>
      <c r="AY1659" s="1188">
        <f t="shared" si="4040"/>
        <v>1.9815937500000002E-2</v>
      </c>
      <c r="AZ1659" s="1188">
        <f t="shared" si="4040"/>
        <v>2.2542804878048783E-2</v>
      </c>
      <c r="BA1659" s="1188">
        <f t="shared" si="4040"/>
        <v>2.3386649499705259E-2</v>
      </c>
      <c r="BB1659" s="1188">
        <f t="shared" ref="BB1659" si="4047">BB1619/BB$1641</f>
        <v>2.3568621890236438E-2</v>
      </c>
      <c r="BC1659" s="1188">
        <f t="shared" si="4040"/>
        <v>2.4190225580950533E-2</v>
      </c>
      <c r="BD1659" s="1188">
        <f t="shared" si="4040"/>
        <v>2.437297815774828E-2</v>
      </c>
      <c r="BE1659" s="1188">
        <f t="shared" ref="BE1659" si="4048">BE1619/BE$1641</f>
        <v>2.4093499010447043E-2</v>
      </c>
      <c r="BG1659" s="1092"/>
      <c r="BH1659" s="1092"/>
      <c r="BI1659" s="1092"/>
      <c r="BJ1659" s="1092"/>
      <c r="BK1659" s="1092"/>
      <c r="BL1659" s="1092"/>
      <c r="BM1659"/>
      <c r="BN1659"/>
      <c r="BO1659"/>
      <c r="BP1659"/>
      <c r="BQ1659"/>
      <c r="BR1659"/>
    </row>
    <row r="1660" spans="3:70" s="70" customFormat="1" x14ac:dyDescent="0.2">
      <c r="C1660" s="1170" t="s">
        <v>1225</v>
      </c>
      <c r="D1660" s="1159"/>
      <c r="E1660" s="1159"/>
      <c r="F1660" s="1159"/>
      <c r="G1660" s="1159"/>
      <c r="H1660" s="1159"/>
      <c r="I1660" s="1159"/>
      <c r="J1660" s="1159"/>
      <c r="K1660" s="1159"/>
      <c r="L1660" s="1159"/>
      <c r="M1660" s="1159"/>
      <c r="N1660" s="1159"/>
      <c r="O1660" s="1159"/>
      <c r="P1660" s="1158"/>
      <c r="Q1660" s="1158"/>
      <c r="R1660" s="1158"/>
      <c r="S1660" s="1158"/>
      <c r="T1660" s="1158"/>
      <c r="U1660" s="1158"/>
      <c r="V1660" s="1158"/>
      <c r="W1660" s="1158"/>
      <c r="X1660" s="1158"/>
      <c r="Y1660" s="1158"/>
      <c r="Z1660" s="1158"/>
      <c r="AA1660" s="1158"/>
      <c r="AB1660" s="1158"/>
      <c r="AC1660" s="1158"/>
      <c r="AD1660" s="1158"/>
      <c r="AE1660" s="1740"/>
      <c r="AF1660" s="1740"/>
      <c r="AG1660" s="1740"/>
      <c r="AH1660" s="1740"/>
      <c r="AI1660" s="1707"/>
      <c r="AJ1660" s="1740"/>
      <c r="AK1660" s="1740"/>
      <c r="AL1660" s="1740"/>
      <c r="AM1660" s="1740"/>
      <c r="AN1660" s="1740"/>
      <c r="AO1660" s="1740"/>
      <c r="AP1660" s="1740"/>
      <c r="AQ1660" s="1740"/>
      <c r="AT1660" s="1170" t="s">
        <v>1225</v>
      </c>
      <c r="AU1660" s="1158"/>
      <c r="AV1660" s="1158"/>
      <c r="AW1660" s="1188">
        <f t="shared" si="4040"/>
        <v>-6.3552238805970147E-3</v>
      </c>
      <c r="AX1660" s="1188">
        <f t="shared" si="4040"/>
        <v>-5.8994736842105265E-3</v>
      </c>
      <c r="AY1660" s="1188">
        <f t="shared" si="4040"/>
        <v>-6.1237499999999999E-3</v>
      </c>
      <c r="AZ1660" s="1188">
        <f t="shared" si="4040"/>
        <v>-9.8282926829268303E-3</v>
      </c>
      <c r="BA1660" s="1188">
        <f t="shared" si="4040"/>
        <v>-5.7924703017555807E-3</v>
      </c>
      <c r="BB1660" s="1188">
        <f t="shared" ref="BB1660" si="4049">BB1620/BB$1641</f>
        <v>-5.6564692536567448E-3</v>
      </c>
      <c r="BC1660" s="1188">
        <f t="shared" si="4040"/>
        <v>-5.8056541394281274E-3</v>
      </c>
      <c r="BD1660" s="1188">
        <f t="shared" si="4040"/>
        <v>-5.8495147578595877E-3</v>
      </c>
      <c r="BE1660" s="1188">
        <f t="shared" ref="BE1660" si="4050">BE1620/BE$1641</f>
        <v>-5.7824397625072894E-3</v>
      </c>
      <c r="BG1660" s="1092"/>
      <c r="BH1660" s="1092"/>
      <c r="BI1660" s="1092"/>
      <c r="BJ1660" s="1092"/>
      <c r="BK1660" s="1092"/>
      <c r="BL1660" s="1092"/>
      <c r="BM1660"/>
      <c r="BN1660"/>
      <c r="BO1660"/>
      <c r="BP1660"/>
      <c r="BQ1660"/>
      <c r="BR1660"/>
    </row>
    <row r="1661" spans="3:70" s="70" customFormat="1" x14ac:dyDescent="0.2">
      <c r="C1661" s="1170" t="s">
        <v>1226</v>
      </c>
      <c r="D1661" s="1159"/>
      <c r="E1661" s="1159"/>
      <c r="F1661" s="1159"/>
      <c r="G1661" s="1159"/>
      <c r="H1661" s="1159"/>
      <c r="I1661" s="1159"/>
      <c r="J1661" s="1159"/>
      <c r="K1661" s="1159"/>
      <c r="L1661" s="1159"/>
      <c r="M1661" s="1159"/>
      <c r="N1661" s="1159"/>
      <c r="O1661" s="1159"/>
      <c r="P1661" s="1158"/>
      <c r="Q1661" s="1158"/>
      <c r="R1661" s="1158"/>
      <c r="S1661" s="1158"/>
      <c r="T1661" s="1158"/>
      <c r="U1661" s="1158"/>
      <c r="V1661" s="1158"/>
      <c r="W1661" s="1158"/>
      <c r="X1661" s="1158"/>
      <c r="Y1661" s="1158"/>
      <c r="Z1661" s="1158"/>
      <c r="AA1661" s="1158"/>
      <c r="AB1661" s="1158"/>
      <c r="AC1661" s="1158"/>
      <c r="AD1661" s="1158"/>
      <c r="AE1661" s="1740"/>
      <c r="AF1661" s="1740"/>
      <c r="AG1661" s="1740"/>
      <c r="AH1661" s="1740"/>
      <c r="AI1661" s="1707"/>
      <c r="AJ1661" s="1740"/>
      <c r="AK1661" s="1740"/>
      <c r="AL1661" s="1740"/>
      <c r="AM1661" s="1740"/>
      <c r="AN1661" s="1740"/>
      <c r="AO1661" s="1740"/>
      <c r="AP1661" s="1740"/>
      <c r="AQ1661" s="1740"/>
      <c r="AT1661" s="1170" t="s">
        <v>1226</v>
      </c>
      <c r="AU1661" s="1158"/>
      <c r="AV1661" s="1158"/>
      <c r="AW1661" s="1188">
        <f t="shared" si="4040"/>
        <v>1.4776119402985075E-2</v>
      </c>
      <c r="AX1661" s="1188">
        <f t="shared" si="4040"/>
        <v>1.293657894736842E-2</v>
      </c>
      <c r="AY1661" s="1188">
        <f t="shared" si="4040"/>
        <v>1.3692187500000001E-2</v>
      </c>
      <c r="AZ1661" s="1188">
        <f t="shared" si="4040"/>
        <v>1.2714512195121952E-2</v>
      </c>
      <c r="BA1661" s="1188">
        <f t="shared" si="4040"/>
        <v>1.7594179197949679E-2</v>
      </c>
      <c r="BB1661" s="1188">
        <f t="shared" ref="BB1661" si="4051">BB1621/BB$1641</f>
        <v>1.7912152636579692E-2</v>
      </c>
      <c r="BC1661" s="1188">
        <f t="shared" si="4040"/>
        <v>1.8384571441522408E-2</v>
      </c>
      <c r="BD1661" s="1188">
        <f t="shared" si="4040"/>
        <v>1.8523463399888692E-2</v>
      </c>
      <c r="BE1661" s="1188">
        <f t="shared" ref="BE1661" si="4052">BE1621/BE$1641</f>
        <v>1.8311059247939753E-2</v>
      </c>
      <c r="BG1661" s="1196"/>
      <c r="BH1661" s="1196"/>
      <c r="BI1661" s="1196"/>
      <c r="BJ1661" s="1196"/>
      <c r="BK1661" s="1196"/>
      <c r="BL1661" s="1196"/>
      <c r="BM1661"/>
      <c r="BN1661"/>
      <c r="BO1661"/>
      <c r="BP1661"/>
      <c r="BQ1661"/>
      <c r="BR1661"/>
    </row>
    <row r="1662" spans="3:70" s="70" customFormat="1" x14ac:dyDescent="0.2">
      <c r="C1662" s="1171"/>
      <c r="D1662" s="1159"/>
      <c r="E1662" s="1159"/>
      <c r="F1662" s="1159"/>
      <c r="G1662" s="1159"/>
      <c r="H1662" s="1159"/>
      <c r="I1662" s="1159"/>
      <c r="J1662" s="1159"/>
      <c r="K1662" s="1159"/>
      <c r="L1662" s="1159"/>
      <c r="M1662" s="1159"/>
      <c r="N1662" s="1159"/>
      <c r="O1662" s="1159"/>
      <c r="P1662" s="1158"/>
      <c r="Q1662" s="1158"/>
      <c r="R1662" s="1158"/>
      <c r="S1662" s="1158"/>
      <c r="T1662" s="1158"/>
      <c r="U1662" s="1158"/>
      <c r="V1662" s="1158"/>
      <c r="W1662" s="1158"/>
      <c r="X1662" s="1158"/>
      <c r="Y1662" s="1158"/>
      <c r="Z1662" s="1158"/>
      <c r="AA1662" s="1158"/>
      <c r="AB1662" s="1158"/>
      <c r="AC1662" s="1158"/>
      <c r="AD1662" s="1158"/>
      <c r="AE1662" s="1740"/>
      <c r="AF1662" s="1740"/>
      <c r="AG1662" s="1740"/>
      <c r="AH1662" s="1740"/>
      <c r="AI1662" s="1707"/>
      <c r="AJ1662" s="1740"/>
      <c r="AK1662" s="1740"/>
      <c r="AL1662" s="1740"/>
      <c r="AM1662" s="1740"/>
      <c r="AN1662" s="1740"/>
      <c r="AO1662" s="1740"/>
      <c r="AP1662" s="1740"/>
      <c r="AQ1662" s="1740"/>
      <c r="AT1662" s="1171"/>
      <c r="AU1662" s="1158"/>
      <c r="AV1662" s="1158"/>
      <c r="AW1662" s="314"/>
      <c r="AX1662" s="314"/>
      <c r="AY1662" s="314"/>
      <c r="AZ1662" s="314"/>
      <c r="BA1662" s="314"/>
      <c r="BB1662" s="314"/>
      <c r="BC1662" s="314"/>
      <c r="BD1662" s="314"/>
      <c r="BE1662" s="314"/>
      <c r="BM1662"/>
      <c r="BN1662"/>
      <c r="BO1662"/>
      <c r="BP1662"/>
      <c r="BQ1662"/>
      <c r="BR1662"/>
    </row>
    <row r="1663" spans="3:70" s="70" customFormat="1" x14ac:dyDescent="0.2">
      <c r="C1663" s="1164" t="s">
        <v>1227</v>
      </c>
      <c r="D1663" s="1161"/>
      <c r="E1663" s="1161"/>
      <c r="F1663" s="1161"/>
      <c r="G1663" s="1161"/>
      <c r="H1663" s="1161"/>
      <c r="I1663" s="1161"/>
      <c r="J1663" s="1161"/>
      <c r="K1663" s="1161"/>
      <c r="L1663" s="1161"/>
      <c r="M1663" s="1161"/>
      <c r="N1663" s="1161"/>
      <c r="O1663" s="1161"/>
      <c r="P1663" s="1161"/>
      <c r="Q1663" s="1161"/>
      <c r="R1663" s="1161"/>
      <c r="S1663" s="1161"/>
      <c r="T1663" s="1161"/>
      <c r="U1663" s="1161"/>
      <c r="V1663" s="1161"/>
      <c r="W1663" s="1161"/>
      <c r="X1663" s="1161"/>
      <c r="Y1663" s="1161"/>
      <c r="Z1663" s="1161"/>
      <c r="AA1663" s="1161"/>
      <c r="AB1663" s="1161"/>
      <c r="AC1663" s="1161"/>
      <c r="AD1663" s="1161"/>
      <c r="AE1663" s="1161"/>
      <c r="AF1663" s="1161"/>
      <c r="AG1663" s="1161"/>
      <c r="AH1663" s="1161"/>
      <c r="AI1663" s="1161"/>
      <c r="AJ1663" s="1161"/>
      <c r="AK1663" s="1161"/>
      <c r="AL1663" s="1161"/>
      <c r="AM1663" s="1161"/>
      <c r="AN1663" s="1161"/>
      <c r="AO1663" s="1161"/>
      <c r="AP1663" s="1161"/>
      <c r="AQ1663" s="1161"/>
      <c r="AT1663" s="1164" t="s">
        <v>1227</v>
      </c>
      <c r="AU1663" s="1161"/>
      <c r="AV1663" s="1161"/>
      <c r="AW1663" s="1189"/>
      <c r="AX1663" s="1189"/>
      <c r="AY1663" s="1189"/>
      <c r="AZ1663" s="1189"/>
      <c r="BA1663" s="1189"/>
      <c r="BB1663" s="1189"/>
      <c r="BC1663" s="1189"/>
      <c r="BD1663" s="1189"/>
      <c r="BE1663" s="1189"/>
      <c r="BM1663"/>
      <c r="BN1663"/>
      <c r="BO1663"/>
      <c r="BP1663"/>
      <c r="BQ1663"/>
      <c r="BR1663"/>
    </row>
    <row r="1664" spans="3:70" s="70" customFormat="1" x14ac:dyDescent="0.2">
      <c r="C1664" s="1170" t="s">
        <v>1228</v>
      </c>
      <c r="D1664" s="1159"/>
      <c r="E1664" s="1159"/>
      <c r="F1664" s="1159"/>
      <c r="G1664" s="1159"/>
      <c r="H1664" s="1159"/>
      <c r="I1664" s="1159"/>
      <c r="J1664" s="1159"/>
      <c r="K1664" s="1159"/>
      <c r="L1664" s="1159"/>
      <c r="M1664" s="1159"/>
      <c r="N1664" s="1159"/>
      <c r="O1664" s="1159"/>
      <c r="P1664" s="1158"/>
      <c r="Q1664" s="1158"/>
      <c r="R1664" s="1158"/>
      <c r="S1664" s="1158"/>
      <c r="T1664" s="1158"/>
      <c r="U1664" s="1158"/>
      <c r="V1664" s="1158"/>
      <c r="W1664" s="1158"/>
      <c r="X1664" s="1158"/>
      <c r="Y1664" s="1158"/>
      <c r="Z1664" s="1158"/>
      <c r="AA1664" s="1158"/>
      <c r="AB1664" s="1158"/>
      <c r="AC1664" s="1158"/>
      <c r="AD1664" s="1158"/>
      <c r="AE1664" s="1740"/>
      <c r="AF1664" s="1740"/>
      <c r="AG1664" s="1740"/>
      <c r="AH1664" s="1740"/>
      <c r="AI1664" s="1707"/>
      <c r="AJ1664" s="1740"/>
      <c r="AK1664" s="1740"/>
      <c r="AL1664" s="1740"/>
      <c r="AM1664" s="1740"/>
      <c r="AN1664" s="1740"/>
      <c r="AO1664" s="1740"/>
      <c r="AP1664" s="1740"/>
      <c r="AQ1664" s="1740"/>
      <c r="AT1664" s="1170" t="s">
        <v>1228</v>
      </c>
      <c r="AU1664" s="1158"/>
      <c r="AV1664" s="1158"/>
      <c r="AW1664" s="1188">
        <f t="shared" ref="AW1664:BD1669" si="4053">AW1616/AW$1642</f>
        <v>2.0467189949853713E-2</v>
      </c>
      <c r="AX1664" s="1188">
        <f t="shared" si="4053"/>
        <v>2.1075925851044883E-2</v>
      </c>
      <c r="AY1664" s="1188">
        <f t="shared" si="4053"/>
        <v>2.1454183077818323E-2</v>
      </c>
      <c r="AZ1664" s="1188">
        <f t="shared" si="4053"/>
        <v>2.2335929003279176E-2</v>
      </c>
      <c r="BA1664" s="1188">
        <f t="shared" si="4053"/>
        <v>2.4490910969962934E-2</v>
      </c>
      <c r="BB1664" s="1188">
        <f t="shared" ref="BB1664" si="4054">BB1616/BB$1642</f>
        <v>2.5284711770908505E-2</v>
      </c>
      <c r="BC1664" s="1188">
        <f t="shared" si="4053"/>
        <v>2.5725444887387816E-2</v>
      </c>
      <c r="BD1664" s="1188">
        <f t="shared" si="4053"/>
        <v>2.5950487398803332E-2</v>
      </c>
      <c r="BE1664" s="1188">
        <f t="shared" ref="BE1664" si="4055">BE1616/BE$1642</f>
        <v>2.6122864539162974E-2</v>
      </c>
      <c r="BG1664" s="1092"/>
      <c r="BH1664" s="1092"/>
      <c r="BI1664" s="1092"/>
      <c r="BJ1664" s="1092"/>
      <c r="BK1664" s="1092"/>
      <c r="BL1664" s="1092"/>
      <c r="BM1664"/>
      <c r="BN1664"/>
      <c r="BO1664"/>
      <c r="BP1664"/>
      <c r="BQ1664"/>
      <c r="BR1664"/>
    </row>
    <row r="1665" spans="2:70" s="70" customFormat="1" x14ac:dyDescent="0.2">
      <c r="C1665" s="1170" t="s">
        <v>1229</v>
      </c>
      <c r="D1665" s="1159"/>
      <c r="E1665" s="1159"/>
      <c r="F1665" s="1159"/>
      <c r="G1665" s="1159"/>
      <c r="H1665" s="1159"/>
      <c r="I1665" s="1159"/>
      <c r="J1665" s="1159"/>
      <c r="K1665" s="1159"/>
      <c r="L1665" s="1159"/>
      <c r="M1665" s="1159"/>
      <c r="N1665" s="1159"/>
      <c r="O1665" s="1159"/>
      <c r="P1665" s="1158"/>
      <c r="Q1665" s="1158"/>
      <c r="R1665" s="1158"/>
      <c r="S1665" s="1158"/>
      <c r="T1665" s="1158"/>
      <c r="U1665" s="1158"/>
      <c r="V1665" s="1158"/>
      <c r="W1665" s="1158"/>
      <c r="X1665" s="1158"/>
      <c r="Y1665" s="1158"/>
      <c r="Z1665" s="1158"/>
      <c r="AA1665" s="1158"/>
      <c r="AB1665" s="1158"/>
      <c r="AC1665" s="1158"/>
      <c r="AD1665" s="1158"/>
      <c r="AE1665" s="1740"/>
      <c r="AF1665" s="1740"/>
      <c r="AG1665" s="1740"/>
      <c r="AH1665" s="1740"/>
      <c r="AI1665" s="1707"/>
      <c r="AJ1665" s="1740"/>
      <c r="AK1665" s="1740"/>
      <c r="AL1665" s="1740"/>
      <c r="AM1665" s="1740"/>
      <c r="AN1665" s="1740"/>
      <c r="AO1665" s="1740"/>
      <c r="AP1665" s="1740"/>
      <c r="AQ1665" s="1740"/>
      <c r="AT1665" s="1170" t="s">
        <v>1229</v>
      </c>
      <c r="AU1665" s="1158"/>
      <c r="AV1665" s="1158"/>
      <c r="AW1665" s="1188">
        <f t="shared" si="4053"/>
        <v>-1.1841275894441401E-2</v>
      </c>
      <c r="AX1665" s="1188">
        <f t="shared" si="4053"/>
        <v>-1.2166959946734831E-2</v>
      </c>
      <c r="AY1665" s="1188">
        <f t="shared" si="4053"/>
        <v>-1.2239609185997053E-2</v>
      </c>
      <c r="AZ1665" s="1188">
        <f t="shared" si="4053"/>
        <v>-1.2501727000108143E-2</v>
      </c>
      <c r="BA1665" s="1188">
        <f t="shared" si="4053"/>
        <v>-1.3528920175641083E-2</v>
      </c>
      <c r="BB1665" s="1188">
        <f t="shared" ref="BB1665" si="4056">BB1617/BB$1642</f>
        <v>-1.35625920924625E-2</v>
      </c>
      <c r="BC1665" s="1188">
        <f t="shared" si="4053"/>
        <v>-1.3505858565878605E-2</v>
      </c>
      <c r="BD1665" s="1188">
        <f t="shared" si="4053"/>
        <v>-1.3494253447377732E-2</v>
      </c>
      <c r="BE1665" s="1188">
        <f t="shared" ref="BE1665" si="4057">BE1617/BE$1642</f>
        <v>-1.345327523766893E-2</v>
      </c>
      <c r="BG1665" s="1092"/>
      <c r="BH1665" s="1092"/>
      <c r="BI1665" s="1092"/>
      <c r="BJ1665" s="1092"/>
      <c r="BK1665" s="1092"/>
      <c r="BL1665" s="1092"/>
      <c r="BM1665"/>
      <c r="BN1665"/>
      <c r="BO1665"/>
      <c r="BP1665"/>
      <c r="BQ1665"/>
      <c r="BR1665"/>
    </row>
    <row r="1666" spans="2:70" s="70" customFormat="1" x14ac:dyDescent="0.2">
      <c r="C1666" s="1170" t="s">
        <v>1230</v>
      </c>
      <c r="D1666" s="1159"/>
      <c r="E1666" s="1159"/>
      <c r="F1666" s="1159"/>
      <c r="G1666" s="1159"/>
      <c r="H1666" s="1159"/>
      <c r="I1666" s="1159"/>
      <c r="J1666" s="1159"/>
      <c r="K1666" s="1159"/>
      <c r="L1666" s="1159"/>
      <c r="M1666" s="1159"/>
      <c r="N1666" s="1159"/>
      <c r="O1666" s="1159"/>
      <c r="P1666" s="1158"/>
      <c r="Q1666" s="1158"/>
      <c r="R1666" s="1158"/>
      <c r="S1666" s="1158"/>
      <c r="T1666" s="1158"/>
      <c r="U1666" s="1158"/>
      <c r="V1666" s="1158"/>
      <c r="W1666" s="1158"/>
      <c r="X1666" s="1158"/>
      <c r="Y1666" s="1158"/>
      <c r="Z1666" s="1158"/>
      <c r="AA1666" s="1158"/>
      <c r="AB1666" s="1158"/>
      <c r="AC1666" s="1158"/>
      <c r="AD1666" s="1158"/>
      <c r="AE1666" s="1740"/>
      <c r="AF1666" s="1740"/>
      <c r="AG1666" s="1740"/>
      <c r="AH1666" s="1740"/>
      <c r="AI1666" s="1707"/>
      <c r="AJ1666" s="1740"/>
      <c r="AK1666" s="1740"/>
      <c r="AL1666" s="1740"/>
      <c r="AM1666" s="1740"/>
      <c r="AN1666" s="1740"/>
      <c r="AO1666" s="1740"/>
      <c r="AP1666" s="1740"/>
      <c r="AQ1666" s="1740"/>
      <c r="AT1666" s="1170" t="s">
        <v>1230</v>
      </c>
      <c r="AU1666" s="1158"/>
      <c r="AV1666" s="1158"/>
      <c r="AW1666" s="1188">
        <f t="shared" si="4053"/>
        <v>-2.8540511130192097E-5</v>
      </c>
      <c r="AX1666" s="1188">
        <f t="shared" si="4053"/>
        <v>-6.132244705170486E-4</v>
      </c>
      <c r="AY1666" s="1188">
        <f t="shared" si="4053"/>
        <v>-3.1380302091129817E-4</v>
      </c>
      <c r="AZ1666" s="1188">
        <f t="shared" si="4053"/>
        <v>9.1856921382131839E-6</v>
      </c>
      <c r="BA1666" s="1188">
        <f t="shared" si="4053"/>
        <v>-3.4294203897063601E-4</v>
      </c>
      <c r="BB1666" s="1188">
        <f t="shared" ref="BB1666" si="4058">BB1618/BB$1642</f>
        <v>-6.7031183648093924E-4</v>
      </c>
      <c r="BC1666" s="1188">
        <f t="shared" si="4053"/>
        <v>-7.9476420424044031E-4</v>
      </c>
      <c r="BD1666" s="1188">
        <f t="shared" si="4053"/>
        <v>-9.2351449424609344E-4</v>
      </c>
      <c r="BE1666" s="1188">
        <f t="shared" ref="BE1666" si="4059">BE1618/BE$1642</f>
        <v>-1.163092416602879E-3</v>
      </c>
      <c r="BG1666" s="1092"/>
      <c r="BH1666" s="1092"/>
      <c r="BI1666" s="1092"/>
      <c r="BJ1666" s="1092"/>
      <c r="BK1666" s="1092"/>
      <c r="BL1666" s="1092"/>
      <c r="BM1666"/>
      <c r="BN1666"/>
      <c r="BO1666"/>
      <c r="BP1666"/>
      <c r="BQ1666"/>
      <c r="BR1666"/>
    </row>
    <row r="1667" spans="2:70" s="70" customFormat="1" x14ac:dyDescent="0.2">
      <c r="C1667" s="1170" t="s">
        <v>1231</v>
      </c>
      <c r="D1667" s="1159"/>
      <c r="E1667" s="1159"/>
      <c r="F1667" s="1159"/>
      <c r="G1667" s="1159"/>
      <c r="H1667" s="1159"/>
      <c r="I1667" s="1159"/>
      <c r="J1667" s="1159"/>
      <c r="K1667" s="1159"/>
      <c r="L1667" s="1159"/>
      <c r="M1667" s="1159"/>
      <c r="N1667" s="1159"/>
      <c r="O1667" s="1159"/>
      <c r="P1667" s="1158"/>
      <c r="Q1667" s="1158"/>
      <c r="R1667" s="1158"/>
      <c r="S1667" s="1158"/>
      <c r="T1667" s="1158"/>
      <c r="U1667" s="1158"/>
      <c r="V1667" s="1158"/>
      <c r="W1667" s="1158"/>
      <c r="X1667" s="1158"/>
      <c r="Y1667" s="1158"/>
      <c r="Z1667" s="1158"/>
      <c r="AA1667" s="1158"/>
      <c r="AB1667" s="1158"/>
      <c r="AC1667" s="1158"/>
      <c r="AD1667" s="1158"/>
      <c r="AE1667" s="1740"/>
      <c r="AF1667" s="1740"/>
      <c r="AG1667" s="1740"/>
      <c r="AH1667" s="1740"/>
      <c r="AI1667" s="1707"/>
      <c r="AJ1667" s="1740"/>
      <c r="AK1667" s="1740"/>
      <c r="AL1667" s="1740"/>
      <c r="AM1667" s="1740"/>
      <c r="AN1667" s="1740"/>
      <c r="AO1667" s="1740"/>
      <c r="AP1667" s="1740"/>
      <c r="AQ1667" s="1740"/>
      <c r="AT1667" s="1170" t="s">
        <v>1231</v>
      </c>
      <c r="AU1667" s="1158"/>
      <c r="AV1667" s="1158"/>
      <c r="AW1667" s="1188">
        <f t="shared" si="4053"/>
        <v>8.5973735442821213E-3</v>
      </c>
      <c r="AX1667" s="1188">
        <f t="shared" si="4053"/>
        <v>8.2957414337930056E-3</v>
      </c>
      <c r="AY1667" s="1188">
        <f t="shared" si="4053"/>
        <v>8.9007708709099697E-3</v>
      </c>
      <c r="AZ1667" s="1188">
        <f t="shared" si="4053"/>
        <v>9.843387695309248E-3</v>
      </c>
      <c r="BA1667" s="1188">
        <f t="shared" si="4053"/>
        <v>1.0619048755351216E-2</v>
      </c>
      <c r="BB1667" s="1188">
        <f t="shared" ref="BB1667" si="4060">BB1619/BB$1642</f>
        <v>1.1051807841965067E-2</v>
      </c>
      <c r="BC1667" s="1188">
        <f t="shared" si="4053"/>
        <v>1.1424822117268769E-2</v>
      </c>
      <c r="BD1667" s="1188">
        <f t="shared" si="4053"/>
        <v>1.1532719457179505E-2</v>
      </c>
      <c r="BE1667" s="1188">
        <f t="shared" ref="BE1667" si="4061">BE1619/BE$1642</f>
        <v>1.1506496884891162E-2</v>
      </c>
      <c r="BG1667" s="1092"/>
      <c r="BH1667" s="1092"/>
      <c r="BI1667" s="1092"/>
      <c r="BJ1667" s="1092"/>
      <c r="BK1667" s="1092"/>
      <c r="BL1667" s="1092"/>
      <c r="BM1667"/>
      <c r="BN1667"/>
      <c r="BO1667"/>
      <c r="BP1667"/>
      <c r="BQ1667"/>
      <c r="BR1667"/>
    </row>
    <row r="1668" spans="2:70" s="70" customFormat="1" x14ac:dyDescent="0.2">
      <c r="C1668" s="1170" t="s">
        <v>1232</v>
      </c>
      <c r="D1668" s="1159"/>
      <c r="E1668" s="1159"/>
      <c r="F1668" s="1159"/>
      <c r="G1668" s="1159"/>
      <c r="H1668" s="1159"/>
      <c r="I1668" s="1159"/>
      <c r="J1668" s="1159"/>
      <c r="K1668" s="1159"/>
      <c r="L1668" s="1159"/>
      <c r="M1668" s="1159"/>
      <c r="N1668" s="1159"/>
      <c r="O1668" s="1159"/>
      <c r="P1668" s="1158"/>
      <c r="Q1668" s="1158"/>
      <c r="R1668" s="1158"/>
      <c r="S1668" s="1158"/>
      <c r="T1668" s="1158"/>
      <c r="U1668" s="1158"/>
      <c r="V1668" s="1158"/>
      <c r="W1668" s="1158"/>
      <c r="X1668" s="1158"/>
      <c r="Y1668" s="1158"/>
      <c r="Z1668" s="1158"/>
      <c r="AA1668" s="1158"/>
      <c r="AB1668" s="1158"/>
      <c r="AC1668" s="1158"/>
      <c r="AD1668" s="1158"/>
      <c r="AE1668" s="1740"/>
      <c r="AF1668" s="1740"/>
      <c r="AG1668" s="1740"/>
      <c r="AH1668" s="1740"/>
      <c r="AI1668" s="1707"/>
      <c r="AJ1668" s="1740"/>
      <c r="AK1668" s="1740"/>
      <c r="AL1668" s="1740"/>
      <c r="AM1668" s="1740"/>
      <c r="AN1668" s="1740"/>
      <c r="AO1668" s="1740"/>
      <c r="AP1668" s="1740"/>
      <c r="AQ1668" s="1740"/>
      <c r="AT1668" s="1170" t="s">
        <v>1232</v>
      </c>
      <c r="AU1668" s="1158"/>
      <c r="AV1668" s="1158"/>
      <c r="AW1668" s="1188">
        <f t="shared" si="4053"/>
        <v>-2.5856488594118709E-3</v>
      </c>
      <c r="AX1668" s="1188">
        <f t="shared" si="4053"/>
        <v>-2.5982359062655821E-3</v>
      </c>
      <c r="AY1668" s="1188">
        <f t="shared" si="4053"/>
        <v>-2.7506190721854531E-3</v>
      </c>
      <c r="AZ1668" s="1188">
        <f t="shared" si="4053"/>
        <v>-4.2915553669731991E-3</v>
      </c>
      <c r="BA1668" s="1188">
        <f t="shared" si="4053"/>
        <v>-2.6301554888844467E-3</v>
      </c>
      <c r="BB1668" s="1188">
        <f t="shared" ref="BB1668" si="4062">BB1620/BB$1642</f>
        <v>-2.6524338820716159E-3</v>
      </c>
      <c r="BC1668" s="1188">
        <f t="shared" si="4053"/>
        <v>-2.7419573081445044E-3</v>
      </c>
      <c r="BD1668" s="1188">
        <f t="shared" si="4053"/>
        <v>-2.7678526697230811E-3</v>
      </c>
      <c r="BE1668" s="1188">
        <f t="shared" ref="BE1668" si="4063">BE1620/BE$1642</f>
        <v>-2.7615592523738785E-3</v>
      </c>
      <c r="BG1668" s="1092"/>
      <c r="BH1668" s="1092"/>
      <c r="BI1668" s="1092"/>
      <c r="BJ1668" s="1092"/>
      <c r="BK1668" s="1092"/>
      <c r="BL1668" s="1092"/>
      <c r="BM1668"/>
      <c r="BN1668"/>
      <c r="BO1668"/>
      <c r="BP1668"/>
      <c r="BQ1668"/>
      <c r="BR1668"/>
    </row>
    <row r="1669" spans="2:70" s="70" customFormat="1" x14ac:dyDescent="0.2">
      <c r="C1669" s="1170" t="s">
        <v>1233</v>
      </c>
      <c r="D1669" s="1159"/>
      <c r="E1669" s="1159"/>
      <c r="F1669" s="1159"/>
      <c r="G1669" s="1159"/>
      <c r="H1669" s="1159"/>
      <c r="I1669" s="1159"/>
      <c r="J1669" s="1159"/>
      <c r="K1669" s="1159"/>
      <c r="L1669" s="1159"/>
      <c r="M1669" s="1159"/>
      <c r="N1669" s="1159"/>
      <c r="O1669" s="1159"/>
      <c r="P1669" s="1158"/>
      <c r="Q1669" s="1158"/>
      <c r="R1669" s="1158"/>
      <c r="S1669" s="1158"/>
      <c r="T1669" s="1158"/>
      <c r="U1669" s="1158"/>
      <c r="V1669" s="1158"/>
      <c r="W1669" s="1158"/>
      <c r="X1669" s="1158"/>
      <c r="Y1669" s="1158"/>
      <c r="Z1669" s="1158"/>
      <c r="AA1669" s="1158"/>
      <c r="AB1669" s="1158"/>
      <c r="AC1669" s="1158"/>
      <c r="AD1669" s="1158"/>
      <c r="AE1669" s="1740"/>
      <c r="AF1669" s="1740"/>
      <c r="AG1669" s="1740"/>
      <c r="AH1669" s="1740"/>
      <c r="AI1669" s="1707"/>
      <c r="AJ1669" s="1740"/>
      <c r="AK1669" s="1740"/>
      <c r="AL1669" s="1740"/>
      <c r="AM1669" s="1740"/>
      <c r="AN1669" s="1740"/>
      <c r="AO1669" s="1740"/>
      <c r="AP1669" s="1740"/>
      <c r="AQ1669" s="1740"/>
      <c r="AT1669" s="1170" t="s">
        <v>1233</v>
      </c>
      <c r="AU1669" s="1158"/>
      <c r="AV1669" s="1158"/>
      <c r="AW1669" s="1188">
        <f t="shared" si="4053"/>
        <v>6.0117246848702503E-3</v>
      </c>
      <c r="AX1669" s="1188">
        <f t="shared" si="4053"/>
        <v>5.6975055275274222E-3</v>
      </c>
      <c r="AY1669" s="1188">
        <f t="shared" si="4053"/>
        <v>6.1501517987245166E-3</v>
      </c>
      <c r="AZ1669" s="1188">
        <f t="shared" si="4053"/>
        <v>5.5518323283360481E-3</v>
      </c>
      <c r="BA1669" s="1188">
        <f t="shared" si="4053"/>
        <v>7.9888932664667709E-3</v>
      </c>
      <c r="BB1669" s="1188">
        <f t="shared" ref="BB1669" si="4064">BB1621/BB$1642</f>
        <v>8.3993739598934511E-3</v>
      </c>
      <c r="BC1669" s="1188">
        <f t="shared" si="4053"/>
        <v>8.6828648091242661E-3</v>
      </c>
      <c r="BD1669" s="1188">
        <f t="shared" si="4053"/>
        <v>8.7648667874564243E-3</v>
      </c>
      <c r="BE1669" s="1188">
        <f t="shared" ref="BE1669" si="4065">BE1621/BE$1642</f>
        <v>8.7449376325172828E-3</v>
      </c>
      <c r="BG1669" s="1196"/>
      <c r="BH1669" s="1196"/>
      <c r="BI1669" s="1196"/>
      <c r="BJ1669" s="1196"/>
      <c r="BK1669" s="1196"/>
      <c r="BL1669" s="1196"/>
      <c r="BM1669"/>
      <c r="BN1669"/>
      <c r="BO1669"/>
      <c r="BP1669"/>
      <c r="BQ1669"/>
      <c r="BR1669"/>
    </row>
    <row r="1670" spans="2:70" s="70" customFormat="1" x14ac:dyDescent="0.2">
      <c r="C1670" s="1171"/>
      <c r="D1670" s="1159"/>
      <c r="E1670" s="1159"/>
      <c r="F1670" s="1159"/>
      <c r="G1670" s="1159"/>
      <c r="H1670" s="1159"/>
      <c r="I1670" s="1159"/>
      <c r="J1670" s="1159"/>
      <c r="K1670" s="1159"/>
      <c r="L1670" s="1159"/>
      <c r="M1670" s="1159"/>
      <c r="N1670" s="1159"/>
      <c r="O1670" s="1159"/>
      <c r="P1670" s="1158"/>
      <c r="Q1670" s="1158"/>
      <c r="R1670" s="1158"/>
      <c r="S1670" s="1158"/>
      <c r="T1670" s="1158"/>
      <c r="U1670" s="1158"/>
      <c r="V1670" s="1158"/>
      <c r="W1670" s="1158"/>
      <c r="X1670" s="1158"/>
      <c r="Y1670" s="1158"/>
      <c r="Z1670" s="1158"/>
      <c r="AA1670" s="1158"/>
      <c r="AB1670" s="1158"/>
      <c r="AC1670" s="1158"/>
      <c r="AD1670" s="1158"/>
      <c r="AE1670" s="1740"/>
      <c r="AF1670" s="1740"/>
      <c r="AG1670" s="1740"/>
      <c r="AH1670" s="1740"/>
      <c r="AI1670" s="1707"/>
      <c r="AJ1670" s="1740"/>
      <c r="AK1670" s="1740"/>
      <c r="AL1670" s="1740"/>
      <c r="AM1670" s="1740"/>
      <c r="AN1670" s="1740"/>
      <c r="AO1670" s="1740"/>
      <c r="AP1670" s="1740"/>
      <c r="AQ1670" s="1740"/>
      <c r="AT1670" s="1171"/>
      <c r="AU1670" s="1158"/>
      <c r="AV1670" s="1158"/>
      <c r="AW1670" s="314"/>
      <c r="AX1670" s="314"/>
      <c r="AY1670" s="314"/>
      <c r="AZ1670" s="314"/>
      <c r="BA1670" s="314"/>
      <c r="BB1670" s="314"/>
      <c r="BC1670" s="314"/>
      <c r="BD1670" s="314"/>
      <c r="BE1670" s="314"/>
      <c r="BM1670"/>
      <c r="BN1670"/>
      <c r="BO1670"/>
      <c r="BP1670"/>
      <c r="BQ1670"/>
      <c r="BR1670"/>
    </row>
    <row r="1671" spans="2:70" s="70" customFormat="1" x14ac:dyDescent="0.2">
      <c r="C1671" s="1164" t="s">
        <v>1234</v>
      </c>
      <c r="D1671" s="1161"/>
      <c r="E1671" s="1161"/>
      <c r="F1671" s="1161"/>
      <c r="G1671" s="1161"/>
      <c r="H1671" s="1161"/>
      <c r="I1671" s="1161"/>
      <c r="J1671" s="1161"/>
      <c r="K1671" s="1161"/>
      <c r="L1671" s="1161"/>
      <c r="M1671" s="1161"/>
      <c r="N1671" s="1161"/>
      <c r="O1671" s="1161"/>
      <c r="P1671" s="1161"/>
      <c r="Q1671" s="1161"/>
      <c r="R1671" s="1161"/>
      <c r="S1671" s="1161"/>
      <c r="T1671" s="1161"/>
      <c r="U1671" s="1161"/>
      <c r="V1671" s="1161"/>
      <c r="W1671" s="1161"/>
      <c r="X1671" s="1161"/>
      <c r="Y1671" s="1161"/>
      <c r="Z1671" s="1161"/>
      <c r="AA1671" s="1161"/>
      <c r="AB1671" s="1161"/>
      <c r="AC1671" s="1161"/>
      <c r="AD1671" s="1161"/>
      <c r="AE1671" s="1161"/>
      <c r="AF1671" s="1161"/>
      <c r="AG1671" s="1161"/>
      <c r="AH1671" s="1161"/>
      <c r="AI1671" s="1161"/>
      <c r="AJ1671" s="1161"/>
      <c r="AK1671" s="1161"/>
      <c r="AL1671" s="1161"/>
      <c r="AM1671" s="1161"/>
      <c r="AN1671" s="1161"/>
      <c r="AO1671" s="1161"/>
      <c r="AP1671" s="1161"/>
      <c r="AQ1671" s="1161"/>
      <c r="AT1671" s="1164" t="s">
        <v>1234</v>
      </c>
      <c r="AU1671" s="1161"/>
      <c r="AV1671" s="1161"/>
      <c r="AW1671" s="1189"/>
      <c r="AX1671" s="1189"/>
      <c r="AY1671" s="1189"/>
      <c r="AZ1671" s="1189"/>
      <c r="BA1671" s="1189"/>
      <c r="BB1671" s="1189"/>
      <c r="BC1671" s="1189"/>
      <c r="BD1671" s="1189"/>
      <c r="BE1671" s="1189"/>
      <c r="BM1671"/>
      <c r="BN1671"/>
      <c r="BO1671"/>
      <c r="BP1671"/>
      <c r="BQ1671"/>
      <c r="BR1671"/>
    </row>
    <row r="1672" spans="2:70" s="70" customFormat="1" x14ac:dyDescent="0.2">
      <c r="C1672" s="1170" t="s">
        <v>1235</v>
      </c>
      <c r="D1672" s="1159"/>
      <c r="E1672" s="1159"/>
      <c r="F1672" s="1159"/>
      <c r="G1672" s="1159"/>
      <c r="H1672" s="1159"/>
      <c r="I1672" s="1159"/>
      <c r="J1672" s="1159"/>
      <c r="K1672" s="1159"/>
      <c r="L1672" s="1159"/>
      <c r="M1672" s="1159"/>
      <c r="N1672" s="1159"/>
      <c r="O1672" s="1159"/>
      <c r="P1672" s="1158"/>
      <c r="Q1672" s="1158"/>
      <c r="R1672" s="1158"/>
      <c r="S1672" s="1158"/>
      <c r="T1672" s="1158"/>
      <c r="U1672" s="1158"/>
      <c r="V1672" s="1158"/>
      <c r="W1672" s="1158"/>
      <c r="X1672" s="1158"/>
      <c r="Y1672" s="1158"/>
      <c r="Z1672" s="1158"/>
      <c r="AA1672" s="1158"/>
      <c r="AB1672" s="1158"/>
      <c r="AC1672" s="1158"/>
      <c r="AD1672" s="1158"/>
      <c r="AE1672" s="1740"/>
      <c r="AF1672" s="1740"/>
      <c r="AG1672" s="1740"/>
      <c r="AH1672" s="1740"/>
      <c r="AI1672" s="1707"/>
      <c r="AJ1672" s="1740"/>
      <c r="AK1672" s="1740"/>
      <c r="AL1672" s="1740"/>
      <c r="AM1672" s="1740"/>
      <c r="AN1672" s="1740"/>
      <c r="AO1672" s="1740"/>
      <c r="AP1672" s="1740"/>
      <c r="AQ1672" s="1740"/>
      <c r="AT1672" s="1170" t="s">
        <v>1235</v>
      </c>
      <c r="AU1672" s="1158"/>
      <c r="AV1672" s="1158"/>
      <c r="AW1672" s="1188">
        <f t="shared" ref="AW1672:BD1675" si="4066">AW1610/AW$1642</f>
        <v>1.6523134209628233E-3</v>
      </c>
      <c r="AX1672" s="1188">
        <f t="shared" si="4066"/>
        <v>1.9767246185793843E-3</v>
      </c>
      <c r="AY1672" s="1188">
        <f t="shared" si="4066"/>
        <v>1.815666861733684E-3</v>
      </c>
      <c r="AZ1672" s="1188">
        <f t="shared" si="4066"/>
        <v>1.7630405110610505E-3</v>
      </c>
      <c r="BA1672" s="1188">
        <f t="shared" si="4066"/>
        <v>2.1028138234823368E-3</v>
      </c>
      <c r="BB1672" s="1188">
        <f t="shared" ref="BB1672" si="4067">BB1610/BB$1642</f>
        <v>1.9705977339663527E-3</v>
      </c>
      <c r="BC1672" s="1188">
        <f t="shared" si="4066"/>
        <v>2.0082768149980714E-3</v>
      </c>
      <c r="BD1672" s="1188">
        <f t="shared" si="4066"/>
        <v>2.0419121106132554E-3</v>
      </c>
      <c r="BE1672" s="1188">
        <f t="shared" ref="BE1672" si="4068">BE1610/BE$1642</f>
        <v>2.0767080795482465E-3</v>
      </c>
      <c r="BG1672" s="1092"/>
      <c r="BH1672" s="1092"/>
      <c r="BI1672" s="1092"/>
      <c r="BJ1672" s="1092"/>
      <c r="BK1672" s="1092"/>
      <c r="BL1672" s="1092"/>
      <c r="BM1672"/>
      <c r="BN1672"/>
      <c r="BO1672"/>
      <c r="BP1672"/>
      <c r="BQ1672"/>
      <c r="BR1672"/>
    </row>
    <row r="1673" spans="2:70" s="70" customFormat="1" x14ac:dyDescent="0.2">
      <c r="C1673" s="1170" t="s">
        <v>1236</v>
      </c>
      <c r="D1673" s="1159"/>
      <c r="E1673" s="1159"/>
      <c r="F1673" s="1159"/>
      <c r="G1673" s="1159"/>
      <c r="H1673" s="1159"/>
      <c r="I1673" s="1159"/>
      <c r="J1673" s="1159"/>
      <c r="K1673" s="1159"/>
      <c r="L1673" s="1159"/>
      <c r="M1673" s="1159"/>
      <c r="N1673" s="1159"/>
      <c r="O1673" s="1159"/>
      <c r="P1673" s="1158"/>
      <c r="Q1673" s="1158"/>
      <c r="R1673" s="1158"/>
      <c r="S1673" s="1158"/>
      <c r="T1673" s="1158"/>
      <c r="U1673" s="1158"/>
      <c r="V1673" s="1158"/>
      <c r="W1673" s="1158"/>
      <c r="X1673" s="1158"/>
      <c r="Y1673" s="1158"/>
      <c r="Z1673" s="1158"/>
      <c r="AA1673" s="1158"/>
      <c r="AB1673" s="1158"/>
      <c r="AC1673" s="1158"/>
      <c r="AD1673" s="1158"/>
      <c r="AE1673" s="1740"/>
      <c r="AF1673" s="1740"/>
      <c r="AG1673" s="1740"/>
      <c r="AH1673" s="1740"/>
      <c r="AI1673" s="1707"/>
      <c r="AJ1673" s="1740"/>
      <c r="AK1673" s="1740"/>
      <c r="AL1673" s="1740"/>
      <c r="AM1673" s="1740"/>
      <c r="AN1673" s="1740"/>
      <c r="AO1673" s="1740"/>
      <c r="AP1673" s="1740"/>
      <c r="AQ1673" s="1740"/>
      <c r="AT1673" s="1170" t="s">
        <v>1236</v>
      </c>
      <c r="AU1673" s="1158"/>
      <c r="AV1673" s="1158"/>
      <c r="AW1673" s="1188">
        <f t="shared" si="4066"/>
        <v>7.3925996276374166E-3</v>
      </c>
      <c r="AX1673" s="1188">
        <f t="shared" si="4066"/>
        <v>7.1884951704997476E-3</v>
      </c>
      <c r="AY1673" s="1188">
        <f t="shared" si="4066"/>
        <v>8.2989922382158757E-3</v>
      </c>
      <c r="AZ1673" s="1188">
        <f t="shared" si="4066"/>
        <v>7.5634989066047358E-3</v>
      </c>
      <c r="BA1673" s="1188">
        <f t="shared" si="4066"/>
        <v>7.9643727045992253E-3</v>
      </c>
      <c r="BB1673" s="1188">
        <f t="shared" ref="BB1673" si="4069">BB1611/BB$1642</f>
        <v>8.3785040944327014E-3</v>
      </c>
      <c r="BC1673" s="1188">
        <f t="shared" si="4066"/>
        <v>8.6185074119977615E-3</v>
      </c>
      <c r="BD1673" s="1188">
        <f t="shared" si="4066"/>
        <v>8.7628530731134469E-3</v>
      </c>
      <c r="BE1673" s="1188">
        <f t="shared" ref="BE1673" si="4070">BE1611/BE$1642</f>
        <v>8.9121797565339059E-3</v>
      </c>
      <c r="BG1673" s="1092"/>
      <c r="BH1673" s="1092"/>
      <c r="BI1673" s="1092"/>
      <c r="BJ1673" s="1092"/>
      <c r="BK1673" s="1092"/>
      <c r="BL1673" s="1092"/>
      <c r="BM1673"/>
      <c r="BN1673"/>
      <c r="BO1673"/>
      <c r="BP1673"/>
      <c r="BQ1673"/>
      <c r="BR1673"/>
    </row>
    <row r="1674" spans="2:70" s="70" customFormat="1" x14ac:dyDescent="0.2">
      <c r="C1674" s="1170" t="s">
        <v>1237</v>
      </c>
      <c r="D1674" s="1159"/>
      <c r="E1674" s="1159"/>
      <c r="F1674" s="1159"/>
      <c r="G1674" s="1159"/>
      <c r="H1674" s="1159"/>
      <c r="I1674" s="1159"/>
      <c r="J1674" s="1159"/>
      <c r="K1674" s="1159"/>
      <c r="L1674" s="1159"/>
      <c r="M1674" s="1159"/>
      <c r="N1674" s="1159"/>
      <c r="O1674" s="1159"/>
      <c r="P1674" s="1158"/>
      <c r="Q1674" s="1158"/>
      <c r="R1674" s="1158"/>
      <c r="S1674" s="1158"/>
      <c r="T1674" s="1158"/>
      <c r="U1674" s="1158"/>
      <c r="V1674" s="1158"/>
      <c r="W1674" s="1158"/>
      <c r="X1674" s="1158"/>
      <c r="Y1674" s="1158"/>
      <c r="Z1674" s="1158"/>
      <c r="AA1674" s="1158"/>
      <c r="AB1674" s="1158"/>
      <c r="AC1674" s="1158"/>
      <c r="AD1674" s="1158"/>
      <c r="AE1674" s="1740"/>
      <c r="AF1674" s="1740"/>
      <c r="AG1674" s="1740"/>
      <c r="AH1674" s="1740"/>
      <c r="AI1674" s="1707"/>
      <c r="AJ1674" s="1740"/>
      <c r="AK1674" s="1740"/>
      <c r="AL1674" s="1740"/>
      <c r="AM1674" s="1740"/>
      <c r="AN1674" s="1740"/>
      <c r="AO1674" s="1740"/>
      <c r="AP1674" s="1740"/>
      <c r="AQ1674" s="1740"/>
      <c r="AT1674" s="1170" t="s">
        <v>1237</v>
      </c>
      <c r="AU1674" s="1158"/>
      <c r="AV1674" s="1158"/>
      <c r="AW1674" s="1188">
        <f t="shared" si="4066"/>
        <v>2.8722684605491195E-3</v>
      </c>
      <c r="AX1674" s="1188">
        <f t="shared" si="4066"/>
        <v>2.9048481415241065E-3</v>
      </c>
      <c r="AY1674" s="1188">
        <f t="shared" si="4066"/>
        <v>2.7777378517703801E-3</v>
      </c>
      <c r="AZ1674" s="1188">
        <f t="shared" si="4066"/>
        <v>3.2884777854803198E-3</v>
      </c>
      <c r="BA1674" s="1188">
        <f t="shared" si="4066"/>
        <v>3.1203189555993314E-3</v>
      </c>
      <c r="BB1674" s="1188">
        <f t="shared" ref="BB1674" si="4071">BB1612/BB$1642</f>
        <v>3.2733225216005982E-3</v>
      </c>
      <c r="BC1674" s="1188">
        <f t="shared" si="4066"/>
        <v>3.3300528547821812E-3</v>
      </c>
      <c r="BD1674" s="1188">
        <f t="shared" si="4066"/>
        <v>3.3599288526093346E-3</v>
      </c>
      <c r="BE1674" s="1188">
        <f t="shared" ref="BE1674" si="4072">BE1612/BE$1642</f>
        <v>3.3396592744747858E-3</v>
      </c>
      <c r="BG1674" s="1092"/>
      <c r="BH1674" s="1092"/>
      <c r="BI1674" s="1092"/>
      <c r="BJ1674" s="1092"/>
      <c r="BK1674" s="1092"/>
      <c r="BL1674" s="1092"/>
      <c r="BM1674"/>
      <c r="BN1674"/>
      <c r="BO1674"/>
      <c r="BP1674"/>
      <c r="BQ1674"/>
      <c r="BR1674"/>
    </row>
    <row r="1675" spans="2:70" s="70" customFormat="1" x14ac:dyDescent="0.2">
      <c r="C1675" s="1170" t="s">
        <v>1238</v>
      </c>
      <c r="D1675" s="1159"/>
      <c r="E1675" s="1159"/>
      <c r="F1675" s="1159"/>
      <c r="G1675" s="1159"/>
      <c r="H1675" s="1159"/>
      <c r="I1675" s="1159"/>
      <c r="J1675" s="1159"/>
      <c r="K1675" s="1159"/>
      <c r="L1675" s="1159"/>
      <c r="M1675" s="1159"/>
      <c r="N1675" s="1159"/>
      <c r="O1675" s="1159"/>
      <c r="P1675" s="1158"/>
      <c r="Q1675" s="1158"/>
      <c r="R1675" s="1158"/>
      <c r="S1675" s="1158"/>
      <c r="T1675" s="1158"/>
      <c r="U1675" s="1158"/>
      <c r="V1675" s="1158"/>
      <c r="W1675" s="1158"/>
      <c r="X1675" s="1158"/>
      <c r="Y1675" s="1158"/>
      <c r="Z1675" s="1158"/>
      <c r="AA1675" s="1158"/>
      <c r="AB1675" s="1158"/>
      <c r="AC1675" s="1158"/>
      <c r="AD1675" s="1158"/>
      <c r="AE1675" s="1740"/>
      <c r="AF1675" s="1740"/>
      <c r="AG1675" s="1740"/>
      <c r="AH1675" s="1740"/>
      <c r="AI1675" s="1707"/>
      <c r="AJ1675" s="1740"/>
      <c r="AK1675" s="1740"/>
      <c r="AL1675" s="1740"/>
      <c r="AM1675" s="1740"/>
      <c r="AN1675" s="1740"/>
      <c r="AO1675" s="1740"/>
      <c r="AP1675" s="1740"/>
      <c r="AQ1675" s="1740"/>
      <c r="AT1675" s="1170" t="s">
        <v>1238</v>
      </c>
      <c r="AU1675" s="1158"/>
      <c r="AV1675" s="1158"/>
      <c r="AW1675" s="1188">
        <f t="shared" si="4066"/>
        <v>8.5500084407043563E-3</v>
      </c>
      <c r="AX1675" s="1188">
        <f t="shared" si="4066"/>
        <v>9.0058579204416456E-3</v>
      </c>
      <c r="AY1675" s="1188">
        <f t="shared" si="4066"/>
        <v>8.5617861260983818E-3</v>
      </c>
      <c r="AZ1675" s="1188">
        <f t="shared" si="4066"/>
        <v>9.7209118001330714E-3</v>
      </c>
      <c r="BA1675" s="1188">
        <f t="shared" si="4066"/>
        <v>1.1303405486282041E-2</v>
      </c>
      <c r="BB1675" s="1188">
        <f t="shared" ref="BB1675" si="4073">BB1613/BB$1642</f>
        <v>1.1662287420908855E-2</v>
      </c>
      <c r="BC1675" s="1188">
        <f t="shared" si="4066"/>
        <v>1.17686078056098E-2</v>
      </c>
      <c r="BD1675" s="1188">
        <f t="shared" si="4066"/>
        <v>1.1785793362467292E-2</v>
      </c>
      <c r="BE1675" s="1188">
        <f t="shared" ref="BE1675" si="4074">BE1613/BE$1642</f>
        <v>1.1794317428606035E-2</v>
      </c>
      <c r="BG1675" s="1092"/>
      <c r="BH1675" s="1092"/>
      <c r="BI1675" s="1092"/>
      <c r="BJ1675" s="1092"/>
      <c r="BK1675" s="1092"/>
      <c r="BL1675" s="1092"/>
      <c r="BM1675"/>
      <c r="BN1675"/>
      <c r="BO1675"/>
      <c r="BP1675"/>
      <c r="BQ1675"/>
      <c r="BR1675"/>
    </row>
    <row r="1676" spans="2:70" s="70" customFormat="1" x14ac:dyDescent="0.2">
      <c r="B1676" s="10"/>
      <c r="C1676" s="1158"/>
      <c r="D1676" s="1158"/>
      <c r="E1676" s="1158"/>
      <c r="F1676" s="1158"/>
      <c r="G1676" s="1158"/>
      <c r="H1676" s="1158"/>
      <c r="I1676" s="1158"/>
      <c r="J1676" s="1158"/>
      <c r="K1676" s="1158"/>
      <c r="L1676" s="1158"/>
      <c r="M1676" s="1158"/>
      <c r="N1676" s="1158"/>
      <c r="O1676" s="1158"/>
      <c r="P1676" s="1158"/>
      <c r="Q1676" s="1158"/>
      <c r="R1676" s="1158"/>
      <c r="S1676" s="1158"/>
      <c r="T1676" s="1158"/>
      <c r="U1676" s="1158"/>
      <c r="V1676" s="1158"/>
      <c r="W1676" s="1158"/>
      <c r="X1676" s="1158"/>
      <c r="Y1676" s="1158"/>
      <c r="Z1676" s="1158"/>
      <c r="AA1676" s="1158"/>
      <c r="AB1676" s="1158"/>
      <c r="AC1676" s="1158"/>
      <c r="AD1676" s="1158"/>
      <c r="AE1676" s="1740"/>
      <c r="AF1676" s="1740"/>
      <c r="AG1676" s="1740"/>
      <c r="AH1676" s="1740"/>
      <c r="AI1676" s="1707"/>
      <c r="AJ1676" s="1740"/>
      <c r="AK1676" s="1740"/>
      <c r="AL1676" s="1740"/>
      <c r="AM1676" s="1740"/>
      <c r="AN1676" s="1740"/>
      <c r="AO1676" s="1740"/>
      <c r="AP1676" s="1740"/>
      <c r="AQ1676" s="1740"/>
      <c r="BM1676"/>
      <c r="BN1676"/>
      <c r="BO1676"/>
      <c r="BP1676"/>
      <c r="BQ1676"/>
      <c r="BR1676"/>
    </row>
    <row r="1677" spans="2:70" s="70" customFormat="1" x14ac:dyDescent="0.2">
      <c r="B1677" s="10"/>
      <c r="C1677" s="1158"/>
      <c r="D1677" s="1158"/>
      <c r="E1677" s="1158"/>
      <c r="F1677" s="1158"/>
      <c r="G1677" s="1158"/>
      <c r="H1677" s="1158"/>
      <c r="I1677" s="1158"/>
      <c r="J1677" s="1158"/>
      <c r="K1677" s="1158"/>
      <c r="L1677" s="1158"/>
      <c r="M1677" s="1158"/>
      <c r="N1677" s="1158"/>
      <c r="O1677" s="1158"/>
      <c r="P1677" s="1158"/>
      <c r="Q1677" s="1158"/>
      <c r="R1677" s="1158"/>
      <c r="S1677" s="1158"/>
      <c r="T1677" s="1158"/>
      <c r="U1677" s="1158"/>
      <c r="V1677" s="1158"/>
      <c r="W1677" s="1158"/>
      <c r="X1677" s="1158"/>
      <c r="Y1677" s="1158"/>
      <c r="Z1677" s="1158"/>
      <c r="AA1677" s="1158"/>
      <c r="AB1677" s="1158"/>
      <c r="AC1677" s="1158"/>
      <c r="AD1677" s="1158"/>
      <c r="AE1677" s="1740"/>
      <c r="AF1677" s="1740"/>
      <c r="AG1677" s="1740"/>
      <c r="AH1677" s="1740"/>
      <c r="AI1677" s="1707"/>
      <c r="AJ1677" s="1740"/>
      <c r="AK1677" s="1740"/>
      <c r="AL1677" s="1740"/>
      <c r="AM1677" s="1740"/>
      <c r="AN1677" s="1740"/>
      <c r="AO1677" s="1740"/>
      <c r="AP1677" s="1740"/>
      <c r="AQ1677" s="1740"/>
      <c r="BM1677"/>
      <c r="BN1677"/>
      <c r="BO1677"/>
      <c r="BP1677"/>
      <c r="BQ1677"/>
      <c r="BR1677"/>
    </row>
    <row r="1678" spans="2:70" s="70" customFormat="1" x14ac:dyDescent="0.2">
      <c r="B1678" s="10"/>
      <c r="C1678" s="1158"/>
      <c r="D1678" s="1158"/>
      <c r="E1678" s="1158"/>
      <c r="F1678" s="1158"/>
      <c r="G1678" s="1158"/>
      <c r="H1678" s="1158"/>
      <c r="I1678" s="1158"/>
      <c r="J1678" s="1158"/>
      <c r="K1678" s="1158"/>
      <c r="L1678" s="1158"/>
      <c r="M1678" s="1158"/>
      <c r="N1678" s="1158"/>
      <c r="O1678" s="1158"/>
      <c r="P1678" s="1158"/>
      <c r="Q1678" s="1158"/>
      <c r="R1678" s="1158"/>
      <c r="S1678" s="1158"/>
      <c r="T1678" s="1158"/>
      <c r="U1678" s="1158"/>
      <c r="V1678" s="1158"/>
      <c r="W1678" s="1158"/>
      <c r="X1678" s="1158"/>
      <c r="Y1678" s="1158"/>
      <c r="Z1678" s="1158"/>
      <c r="AA1678" s="1158"/>
      <c r="AB1678" s="1158"/>
      <c r="AC1678" s="1158"/>
      <c r="AD1678" s="1158"/>
      <c r="AE1678" s="1740"/>
      <c r="AF1678" s="1740"/>
      <c r="AG1678" s="1740"/>
      <c r="AH1678" s="1740"/>
      <c r="AI1678" s="1707"/>
      <c r="AJ1678" s="1740"/>
      <c r="AK1678" s="1740"/>
      <c r="AL1678" s="1740"/>
      <c r="AM1678" s="1740"/>
      <c r="AN1678" s="1740"/>
      <c r="AO1678" s="1740"/>
      <c r="AP1678" s="1740"/>
      <c r="AQ1678" s="1740"/>
      <c r="BM1678"/>
      <c r="BN1678"/>
      <c r="BO1678"/>
      <c r="BP1678"/>
      <c r="BQ1678"/>
      <c r="BR1678"/>
    </row>
    <row r="1679" spans="2:70" customFormat="1" x14ac:dyDescent="0.2"/>
    <row r="1680" spans="2:70" s="70" customFormat="1" x14ac:dyDescent="0.2">
      <c r="B1680" s="10"/>
      <c r="C1680" s="9"/>
      <c r="D1680" s="9"/>
      <c r="E1680" s="9"/>
      <c r="F1680" s="9"/>
      <c r="G1680" s="9"/>
      <c r="H1680" s="9"/>
      <c r="I1680" s="9"/>
      <c r="J1680" s="9"/>
      <c r="K1680" s="9"/>
      <c r="L1680" s="9"/>
      <c r="M1680" s="9"/>
      <c r="N1680" s="9"/>
      <c r="O1680" s="9"/>
      <c r="P1680" s="9"/>
      <c r="Q1680" s="9"/>
      <c r="R1680" s="9"/>
      <c r="S1680" s="9"/>
      <c r="T1680" s="9"/>
      <c r="U1680" s="9"/>
      <c r="V1680" s="9"/>
      <c r="W1680" s="9"/>
      <c r="X1680" s="9"/>
      <c r="Y1680" s="9"/>
      <c r="Z1680" s="9"/>
      <c r="AA1680" s="9"/>
      <c r="AB1680" s="9"/>
      <c r="AC1680" s="9"/>
      <c r="AD1680" s="9"/>
      <c r="AE1680" s="1740"/>
      <c r="AF1680" s="1740"/>
      <c r="AG1680" s="1740"/>
      <c r="AH1680" s="1740"/>
      <c r="AI1680" s="1707"/>
      <c r="AJ1680" s="1740"/>
      <c r="AK1680" s="1740"/>
      <c r="AL1680" s="1740"/>
      <c r="AM1680" s="1740"/>
      <c r="AN1680" s="1740"/>
      <c r="AO1680" s="1740"/>
      <c r="AP1680" s="1740"/>
      <c r="AQ1680" s="1740"/>
      <c r="BM1680"/>
      <c r="BN1680"/>
      <c r="BO1680"/>
      <c r="BP1680"/>
      <c r="BQ1680"/>
      <c r="BR1680"/>
    </row>
    <row r="1681" spans="2:70" s="70" customFormat="1" x14ac:dyDescent="0.2">
      <c r="B1681" s="10"/>
      <c r="C1681" s="9"/>
      <c r="D1681" s="9"/>
      <c r="E1681" s="9"/>
      <c r="F1681" s="9"/>
      <c r="G1681" s="9"/>
      <c r="H1681" s="9"/>
      <c r="I1681" s="9"/>
      <c r="J1681" s="9"/>
      <c r="K1681" s="9"/>
      <c r="L1681" s="9"/>
      <c r="M1681" s="9"/>
      <c r="N1681" s="9"/>
      <c r="O1681" s="9"/>
      <c r="P1681" s="9"/>
      <c r="Q1681" s="9"/>
      <c r="R1681" s="9"/>
      <c r="S1681" s="9"/>
      <c r="T1681" s="9"/>
      <c r="U1681" s="9"/>
      <c r="V1681" s="9"/>
      <c r="W1681" s="9"/>
      <c r="X1681" s="9"/>
      <c r="Y1681" s="9"/>
      <c r="Z1681" s="9"/>
      <c r="AA1681" s="1742"/>
      <c r="AB1681" s="9"/>
      <c r="AC1681" s="9"/>
      <c r="AD1681" s="9"/>
      <c r="AE1681" s="1740"/>
      <c r="AF1681" s="1740"/>
      <c r="AG1681" s="1740"/>
      <c r="AH1681" s="1740"/>
      <c r="AI1681" s="1707"/>
      <c r="AJ1681" s="1740"/>
      <c r="AK1681" s="1740"/>
      <c r="AL1681" s="1740"/>
      <c r="AM1681" s="1740"/>
      <c r="AN1681" s="1740"/>
      <c r="AO1681" s="1740"/>
      <c r="AP1681" s="1740"/>
      <c r="AQ1681" s="1740"/>
      <c r="BM1681"/>
      <c r="BN1681"/>
      <c r="BO1681"/>
      <c r="BP1681"/>
      <c r="BQ1681"/>
      <c r="BR1681"/>
    </row>
    <row r="1682" spans="2:70" s="70" customFormat="1" x14ac:dyDescent="0.2">
      <c r="C1682" s="1164" t="s">
        <v>1116</v>
      </c>
      <c r="D1682" s="1161"/>
      <c r="E1682" s="1161"/>
      <c r="F1682" s="1161"/>
      <c r="G1682" s="1161"/>
      <c r="H1682" s="1161"/>
      <c r="I1682" s="1161"/>
      <c r="J1682" s="1161"/>
      <c r="K1682" s="1161"/>
      <c r="L1682" s="1161"/>
      <c r="M1682" s="1161"/>
      <c r="N1682" s="1161"/>
      <c r="O1682" s="1161"/>
      <c r="P1682" s="1161"/>
      <c r="Q1682" s="1161"/>
      <c r="R1682" s="1161"/>
      <c r="S1682" s="1161"/>
      <c r="T1682" s="1161"/>
      <c r="U1682" s="1161"/>
      <c r="V1682" s="1161"/>
      <c r="W1682" s="1161"/>
      <c r="X1682" s="1161"/>
      <c r="Y1682" s="1161"/>
      <c r="Z1682" s="1161"/>
      <c r="AA1682" s="1161"/>
      <c r="AB1682" s="1161"/>
      <c r="AC1682" s="1161"/>
      <c r="AD1682" s="1161"/>
      <c r="AE1682" s="1161"/>
      <c r="AF1682" s="1161"/>
      <c r="AG1682" s="1161"/>
      <c r="AH1682" s="1161"/>
      <c r="AI1682" s="1161"/>
      <c r="AJ1682" s="1161"/>
      <c r="AK1682" s="1161"/>
      <c r="AL1682" s="1161"/>
      <c r="AM1682" s="1161"/>
      <c r="AN1682" s="1161"/>
      <c r="AO1682" s="1161"/>
      <c r="AP1682" s="1161"/>
      <c r="AQ1682" s="1161"/>
      <c r="AT1682" s="1164" t="s">
        <v>1116</v>
      </c>
      <c r="AU1682" s="1161"/>
      <c r="AV1682" s="1161"/>
      <c r="AW1682" s="1189"/>
      <c r="AX1682" s="1189"/>
      <c r="AY1682" s="1189"/>
      <c r="AZ1682" s="1189"/>
      <c r="BA1682" s="1189"/>
      <c r="BB1682" s="1189"/>
      <c r="BC1682" s="1189"/>
      <c r="BD1682" s="1189"/>
      <c r="BE1682" s="1189"/>
      <c r="BM1682"/>
      <c r="BN1682"/>
      <c r="BO1682"/>
      <c r="BP1682"/>
      <c r="BQ1682"/>
      <c r="BR1682"/>
    </row>
    <row r="1683" spans="2:70" s="70" customFormat="1" x14ac:dyDescent="0.2">
      <c r="B1683" s="10"/>
      <c r="C1683" s="9" t="s">
        <v>1244</v>
      </c>
      <c r="D1683" s="314">
        <f>D1248</f>
        <v>4.9358152052029605E-2</v>
      </c>
      <c r="E1683" s="314">
        <f t="shared" ref="E1683:AE1683" si="4075">E1248</f>
        <v>4.7119407788863858E-2</v>
      </c>
      <c r="F1683" s="314">
        <f t="shared" si="4075"/>
        <v>4.1451809060504712E-2</v>
      </c>
      <c r="G1683" s="314">
        <f t="shared" si="4075"/>
        <v>3.9167125298110443E-2</v>
      </c>
      <c r="H1683" s="314">
        <f t="shared" si="4075"/>
        <v>4.0264626175673515E-2</v>
      </c>
      <c r="I1683" s="314">
        <f t="shared" si="4075"/>
        <v>3.8995726495726496E-2</v>
      </c>
      <c r="J1683" s="314">
        <f t="shared" si="4075"/>
        <v>3.5381706076786167E-2</v>
      </c>
      <c r="K1683" s="314">
        <f t="shared" si="4075"/>
        <v>3.420566109906923E-2</v>
      </c>
      <c r="L1683" s="314">
        <f t="shared" si="4075"/>
        <v>3.5268312757201645E-2</v>
      </c>
      <c r="M1683" s="314">
        <f t="shared" si="4075"/>
        <v>3.4431682775056267E-2</v>
      </c>
      <c r="N1683" s="314">
        <f t="shared" si="4075"/>
        <v>3.1571071499046234E-2</v>
      </c>
      <c r="O1683" s="314">
        <f t="shared" si="4075"/>
        <v>3.1038647342995163E-2</v>
      </c>
      <c r="P1683" s="314">
        <f t="shared" si="4075"/>
        <v>3.1128445137805515E-2</v>
      </c>
      <c r="Q1683" s="314">
        <f t="shared" si="4075"/>
        <v>3.1922903046320769E-2</v>
      </c>
      <c r="R1683" s="314">
        <f t="shared" si="4075"/>
        <v>2.7504762876777573E-2</v>
      </c>
      <c r="S1683" s="314">
        <f t="shared" si="4075"/>
        <v>2.7882285637367075E-2</v>
      </c>
      <c r="T1683" s="314">
        <f t="shared" si="4075"/>
        <v>2.828438948995363E-2</v>
      </c>
      <c r="U1683" s="314">
        <f t="shared" si="4075"/>
        <v>2.8159876105903092E-2</v>
      </c>
      <c r="V1683" s="314">
        <f t="shared" si="4075"/>
        <v>2.2503293807641635E-2</v>
      </c>
      <c r="W1683" s="314">
        <f t="shared" si="4075"/>
        <v>2.6117936768521949E-2</v>
      </c>
      <c r="X1683" s="314">
        <f t="shared" si="4075"/>
        <v>3.1079499596448745E-2</v>
      </c>
      <c r="Y1683" s="314">
        <f t="shared" si="4075"/>
        <v>2.9420339564397185E-2</v>
      </c>
      <c r="Z1683" s="314">
        <f t="shared" si="4075"/>
        <v>2.8384965889420626E-2</v>
      </c>
      <c r="AA1683" s="314">
        <f t="shared" ref="AA1683" si="4076">AA1248</f>
        <v>2.7058705670206368E-2</v>
      </c>
      <c r="AB1683" s="314">
        <f t="shared" si="4075"/>
        <v>3.0381664748753354E-2</v>
      </c>
      <c r="AC1683" s="314">
        <f t="shared" si="4075"/>
        <v>3.1293000000000001E-2</v>
      </c>
      <c r="AD1683" s="314">
        <f t="shared" si="4075"/>
        <v>3.2319000000000001E-2</v>
      </c>
      <c r="AE1683" s="314">
        <f t="shared" si="4075"/>
        <v>3.3345E-2</v>
      </c>
      <c r="AF1683" s="314">
        <f t="shared" ref="AF1683:AI1683" si="4077">AF1248</f>
        <v>3.3500000000000002E-2</v>
      </c>
      <c r="AG1683" s="314">
        <f t="shared" si="4077"/>
        <v>3.3500000000000002E-2</v>
      </c>
      <c r="AH1683" s="314">
        <f t="shared" si="4077"/>
        <v>3.5000000000000003E-2</v>
      </c>
      <c r="AI1683" s="314">
        <f t="shared" si="4077"/>
        <v>3.5499999999999997E-2</v>
      </c>
      <c r="AJ1683" s="314"/>
      <c r="AK1683" s="314"/>
      <c r="AL1683" s="314"/>
      <c r="AM1683" s="314"/>
      <c r="AN1683" s="314"/>
      <c r="AO1683" s="314"/>
      <c r="AP1683" s="314"/>
      <c r="AQ1683" s="314"/>
      <c r="AT1683" s="1200" t="s">
        <v>1244</v>
      </c>
      <c r="AU1683" s="314">
        <f t="shared" ref="AU1683:BD1683" si="4078">AU1248</f>
        <v>4.4294649061848518E-2</v>
      </c>
      <c r="AV1683" s="314">
        <f t="shared" si="4078"/>
        <v>3.7204222788496534E-2</v>
      </c>
      <c r="AW1683" s="314">
        <f t="shared" si="4078"/>
        <v>3.3074896499811816E-2</v>
      </c>
      <c r="AX1683" s="314">
        <f t="shared" si="4078"/>
        <v>2.9585613760750591E-2</v>
      </c>
      <c r="AY1683" s="314">
        <f t="shared" si="4078"/>
        <v>2.6088144858216599E-2</v>
      </c>
      <c r="AZ1683" s="314">
        <f t="shared" si="4078"/>
        <v>2.895001478852411E-2</v>
      </c>
      <c r="BA1683" s="314">
        <f t="shared" si="4078"/>
        <v>3.1859212328123734E-2</v>
      </c>
      <c r="BB1683" s="314">
        <f t="shared" ref="BB1683" si="4079">BB1248</f>
        <v>3.4404162692854678E-2</v>
      </c>
      <c r="BC1683" s="314">
        <f t="shared" si="4078"/>
        <v>3.7961999999999996E-2</v>
      </c>
      <c r="BD1683" s="314">
        <f t="shared" si="4078"/>
        <v>4.104E-2</v>
      </c>
      <c r="BE1683" s="314">
        <f t="shared" ref="BE1683" si="4080">BE1248</f>
        <v>4.3999999999999997E-2</v>
      </c>
      <c r="BM1683"/>
      <c r="BN1683"/>
      <c r="BO1683"/>
      <c r="BP1683"/>
      <c r="BQ1683"/>
      <c r="BR1683"/>
    </row>
    <row r="1684" spans="2:70" s="70" customFormat="1" x14ac:dyDescent="0.2">
      <c r="B1684" s="10"/>
      <c r="C1684" s="9" t="s">
        <v>1245</v>
      </c>
      <c r="D1684" s="314">
        <f>D1249</f>
        <v>7.1133387888707045E-2</v>
      </c>
      <c r="E1684" s="314">
        <f t="shared" ref="E1684:AE1684" si="4081">E1249</f>
        <v>6.7106427818756587E-2</v>
      </c>
      <c r="F1684" s="314">
        <f t="shared" si="4081"/>
        <v>5.820250148898154E-2</v>
      </c>
      <c r="G1684" s="314">
        <f t="shared" si="4081"/>
        <v>5.5265569917743833E-2</v>
      </c>
      <c r="H1684" s="314">
        <f t="shared" si="4081"/>
        <v>5.6136845292158642E-2</v>
      </c>
      <c r="I1684" s="314">
        <f t="shared" si="4081"/>
        <v>5.3890662410215485E-2</v>
      </c>
      <c r="J1684" s="314">
        <f t="shared" si="4081"/>
        <v>4.5656487232574185E-2</v>
      </c>
      <c r="K1684" s="314">
        <f t="shared" si="4081"/>
        <v>4.2858745512564814E-2</v>
      </c>
      <c r="L1684" s="314">
        <f t="shared" si="4081"/>
        <v>4.4741335372069313E-2</v>
      </c>
      <c r="M1684" s="314">
        <f t="shared" si="4081"/>
        <v>4.3988440804478536E-2</v>
      </c>
      <c r="N1684" s="314">
        <f t="shared" si="4081"/>
        <v>4.2263352589439543E-2</v>
      </c>
      <c r="O1684" s="314">
        <f t="shared" si="4081"/>
        <v>4.1842874121026045E-2</v>
      </c>
      <c r="P1684" s="314">
        <f t="shared" si="4081"/>
        <v>4.0001265502404453E-2</v>
      </c>
      <c r="Q1684" s="314">
        <f t="shared" si="4081"/>
        <v>4.3028684930093375E-2</v>
      </c>
      <c r="R1684" s="314">
        <f t="shared" si="4081"/>
        <v>3.6912387773630588E-2</v>
      </c>
      <c r="S1684" s="314">
        <f t="shared" si="4081"/>
        <v>3.7604752045745829E-2</v>
      </c>
      <c r="T1684" s="314">
        <f t="shared" si="4081"/>
        <v>4.1408091908091908E-2</v>
      </c>
      <c r="U1684" s="314">
        <f t="shared" si="4081"/>
        <v>4.1632653061224489E-2</v>
      </c>
      <c r="V1684" s="314">
        <f t="shared" si="4081"/>
        <v>3.8961408057439167E-2</v>
      </c>
      <c r="W1684" s="314">
        <f t="shared" si="4081"/>
        <v>4.2795100222717146E-2</v>
      </c>
      <c r="X1684" s="314">
        <f t="shared" si="4081"/>
        <v>4.6553838606818734E-2</v>
      </c>
      <c r="Y1684" s="314">
        <f t="shared" si="4081"/>
        <v>4.7861464378318314E-2</v>
      </c>
      <c r="Z1684" s="314">
        <f t="shared" si="4081"/>
        <v>4.6982265446224254E-2</v>
      </c>
      <c r="AA1684" s="314">
        <f t="shared" ref="AA1684" si="4082">AA1249</f>
        <v>4.7710206730323529E-2</v>
      </c>
      <c r="AB1684" s="314">
        <f t="shared" si="4081"/>
        <v>5.1835338523236608E-2</v>
      </c>
      <c r="AC1684" s="314">
        <f t="shared" si="4081"/>
        <v>5.1999999999999998E-2</v>
      </c>
      <c r="AD1684" s="314">
        <f t="shared" si="4081"/>
        <v>5.1813000000000005E-2</v>
      </c>
      <c r="AE1684" s="314">
        <f t="shared" si="4081"/>
        <v>5.1300000000000005E-2</v>
      </c>
      <c r="AF1684" s="314">
        <f t="shared" ref="AF1684:AI1684" si="4083">AF1249</f>
        <v>5.1999999999999998E-2</v>
      </c>
      <c r="AG1684" s="314">
        <f t="shared" si="4083"/>
        <v>5.2499999999999998E-2</v>
      </c>
      <c r="AH1684" s="314">
        <f t="shared" si="4083"/>
        <v>5.3999999999999999E-2</v>
      </c>
      <c r="AI1684" s="314">
        <f t="shared" si="4083"/>
        <v>5.5E-2</v>
      </c>
      <c r="AJ1684" s="314"/>
      <c r="AK1684" s="314"/>
      <c r="AL1684" s="314"/>
      <c r="AM1684" s="314"/>
      <c r="AN1684" s="314"/>
      <c r="AO1684" s="314"/>
      <c r="AP1684" s="314"/>
      <c r="AQ1684" s="314"/>
      <c r="AT1684" s="1200" t="s">
        <v>1245</v>
      </c>
      <c r="AU1684" s="314">
        <f t="shared" ref="AU1684:BD1684" si="4084">AU1249</f>
        <v>6.2926829268292683E-2</v>
      </c>
      <c r="AV1684" s="314">
        <f t="shared" si="4084"/>
        <v>4.9252761533463287E-2</v>
      </c>
      <c r="AW1684" s="314">
        <f t="shared" si="4084"/>
        <v>4.3194444444444445E-2</v>
      </c>
      <c r="AX1684" s="314">
        <f t="shared" si="4084"/>
        <v>3.9355210132412208E-2</v>
      </c>
      <c r="AY1684" s="314">
        <f t="shared" si="4084"/>
        <v>4.1210045662100452E-2</v>
      </c>
      <c r="AZ1684" s="314">
        <f t="shared" si="4084"/>
        <v>4.7284695556774545E-2</v>
      </c>
      <c r="BA1684" s="314">
        <f t="shared" si="4084"/>
        <v>5.17383183208701E-2</v>
      </c>
      <c r="BB1684" s="314">
        <f t="shared" ref="BB1684" si="4085">BB1249</f>
        <v>5.3412553346394526E-2</v>
      </c>
      <c r="BC1684" s="314">
        <f t="shared" si="4084"/>
        <v>5.5E-2</v>
      </c>
      <c r="BD1684" s="314">
        <f t="shared" si="4084"/>
        <v>5.6500000000000002E-2</v>
      </c>
      <c r="BE1684" s="314">
        <f t="shared" ref="BE1684" si="4086">BE1249</f>
        <v>5.8500000000000003E-2</v>
      </c>
      <c r="BM1684"/>
      <c r="BN1684"/>
      <c r="BO1684"/>
      <c r="BP1684"/>
      <c r="BQ1684"/>
      <c r="BR1684"/>
    </row>
    <row r="1685" spans="2:70" s="70" customFormat="1" x14ac:dyDescent="0.2">
      <c r="B1685" s="10"/>
      <c r="C1685" s="9" t="s">
        <v>1246</v>
      </c>
      <c r="D1685" s="314">
        <f>(D1192+D1196)/D1016/1000*D$1</f>
        <v>5.6727628806836732E-2</v>
      </c>
      <c r="E1685" s="314">
        <f t="shared" ref="E1685:AE1685" si="4087">(E1192+E1196)/E1016/1000*E$1</f>
        <v>5.3861794397838759E-2</v>
      </c>
      <c r="F1685" s="314">
        <f t="shared" si="4087"/>
        <v>4.711292270531401E-2</v>
      </c>
      <c r="G1685" s="314">
        <f t="shared" si="4087"/>
        <v>4.4677231227124643E-2</v>
      </c>
      <c r="H1685" s="314">
        <f t="shared" si="4087"/>
        <v>4.5739348370927316E-2</v>
      </c>
      <c r="I1685" s="314">
        <f t="shared" si="4087"/>
        <v>4.4113180485541324E-2</v>
      </c>
      <c r="J1685" s="314">
        <f t="shared" si="4087"/>
        <v>3.9038831572914101E-2</v>
      </c>
      <c r="K1685" s="314">
        <f t="shared" si="4087"/>
        <v>3.7580209224546933E-2</v>
      </c>
      <c r="L1685" s="314">
        <f t="shared" si="4087"/>
        <v>3.8985898589858986E-2</v>
      </c>
      <c r="M1685" s="314">
        <f t="shared" si="4087"/>
        <v>3.8156007595345827E-2</v>
      </c>
      <c r="N1685" s="314">
        <f t="shared" si="4087"/>
        <v>3.5779317909852414E-2</v>
      </c>
      <c r="O1685" s="314">
        <f t="shared" si="4087"/>
        <v>3.5366252776896222E-2</v>
      </c>
      <c r="P1685" s="314">
        <f t="shared" si="4087"/>
        <v>3.4735082304526751E-2</v>
      </c>
      <c r="Q1685" s="314">
        <f t="shared" si="4087"/>
        <v>3.6394607283076086E-2</v>
      </c>
      <c r="R1685" s="314">
        <f t="shared" si="4087"/>
        <v>3.129418935392117E-2</v>
      </c>
      <c r="S1685" s="314">
        <f t="shared" si="4087"/>
        <v>3.1826726930922762E-2</v>
      </c>
      <c r="T1685" s="314">
        <f t="shared" si="4087"/>
        <v>3.3596651738326072E-2</v>
      </c>
      <c r="U1685" s="314">
        <f t="shared" si="4087"/>
        <v>3.3418446270365824E-2</v>
      </c>
      <c r="V1685" s="314">
        <f t="shared" si="4087"/>
        <v>2.8346728508709812E-2</v>
      </c>
      <c r="W1685" s="314">
        <f t="shared" si="4087"/>
        <v>3.2014036288942137E-2</v>
      </c>
      <c r="X1685" s="314">
        <f t="shared" si="4087"/>
        <v>3.656024672052819E-2</v>
      </c>
      <c r="Y1685" s="314">
        <f t="shared" si="4087"/>
        <v>3.5841544996474572E-2</v>
      </c>
      <c r="Z1685" s="314">
        <f t="shared" si="4087"/>
        <v>3.4858529704613339E-2</v>
      </c>
      <c r="AA1685" s="314">
        <f t="shared" ref="AA1685" si="4088">(AA1192+AA1196)/AA1016/1000*AA$1</f>
        <v>3.4302949497577319E-2</v>
      </c>
      <c r="AB1685" s="314">
        <f t="shared" si="4087"/>
        <v>3.792247097844112E-2</v>
      </c>
      <c r="AC1685" s="314">
        <f t="shared" si="4087"/>
        <v>3.859491490701044E-2</v>
      </c>
      <c r="AD1685" s="314">
        <f t="shared" si="4087"/>
        <v>3.9215166362425162E-2</v>
      </c>
      <c r="AE1685" s="314">
        <f t="shared" si="4087"/>
        <v>3.9696732175917918E-2</v>
      </c>
      <c r="AF1685" s="314">
        <f t="shared" ref="AF1685:AI1685" si="4089">(AF1192+AF1196)/AF1016/1000*AF$1</f>
        <v>4.0065852754062908E-2</v>
      </c>
      <c r="AG1685" s="314">
        <f t="shared" si="4089"/>
        <v>4.0269352977935033E-2</v>
      </c>
      <c r="AH1685" s="314">
        <f t="shared" si="4089"/>
        <v>4.1747955037518984E-2</v>
      </c>
      <c r="AI1685" s="314">
        <f t="shared" si="4089"/>
        <v>4.2403816276009185E-2</v>
      </c>
      <c r="AJ1685" s="314"/>
      <c r="AK1685" s="314"/>
      <c r="AL1685" s="314"/>
      <c r="AM1685" s="314"/>
      <c r="AN1685" s="314"/>
      <c r="AO1685" s="314"/>
      <c r="AP1685" s="314"/>
      <c r="AQ1685" s="314"/>
      <c r="AT1685" s="1200" t="s">
        <v>1246</v>
      </c>
      <c r="AU1685" s="314">
        <f t="shared" ref="AU1685:BD1685" si="4090">(AU1192+AU1196)/AU1016/1000*AU$1</f>
        <v>5.0610932475884246E-2</v>
      </c>
      <c r="AV1685" s="314">
        <f t="shared" si="4090"/>
        <v>4.1530564629024734E-2</v>
      </c>
      <c r="AW1685" s="314">
        <f t="shared" si="4090"/>
        <v>3.7062713797035352E-2</v>
      </c>
      <c r="AX1685" s="314">
        <f t="shared" si="4090"/>
        <v>3.3536670547147852E-2</v>
      </c>
      <c r="AY1685" s="314">
        <f t="shared" si="4090"/>
        <v>3.1750374011540926E-2</v>
      </c>
      <c r="AZ1685" s="314">
        <f t="shared" si="4090"/>
        <v>3.53727901614143E-2</v>
      </c>
      <c r="BA1685" s="314">
        <f>(BA1192+BA1196)/BA1016/1000*BA$1</f>
        <v>3.8874940555706637E-2</v>
      </c>
      <c r="BB1685" s="314">
        <f>(BB1192+BB1196)/BB1016/1000*BB$1</f>
        <v>4.1153769981514945E-2</v>
      </c>
      <c r="BC1685" s="314">
        <f t="shared" si="4090"/>
        <v>4.4011949786926192E-2</v>
      </c>
      <c r="BD1685" s="314">
        <f t="shared" si="4090"/>
        <v>4.6529624586564095E-2</v>
      </c>
      <c r="BE1685" s="314">
        <f t="shared" ref="BE1685" si="4091">(BE1192+BE1196)/BE1016/1000*BE$1</f>
        <v>4.9148742335393229E-2</v>
      </c>
      <c r="BM1685"/>
      <c r="BN1685"/>
      <c r="BO1685"/>
      <c r="BP1685"/>
      <c r="BQ1685"/>
      <c r="BR1685"/>
    </row>
    <row r="1686" spans="2:70" s="70" customFormat="1" x14ac:dyDescent="0.2">
      <c r="B1686" s="10"/>
      <c r="C1686" s="9" t="s">
        <v>1247</v>
      </c>
      <c r="D1686" s="314">
        <f>D1265</f>
        <v>5.3323454970685288E-2</v>
      </c>
      <c r="E1686" s="314">
        <f t="shared" ref="E1686:AE1686" si="4092">E1265</f>
        <v>5.0764291887887392E-2</v>
      </c>
      <c r="F1686" s="314">
        <f t="shared" si="4092"/>
        <v>4.5898442569759897E-2</v>
      </c>
      <c r="G1686" s="314">
        <f t="shared" si="4092"/>
        <v>4.4002870597342272E-2</v>
      </c>
      <c r="H1686" s="314">
        <f t="shared" si="4092"/>
        <v>4.5473220226214237E-2</v>
      </c>
      <c r="I1686" s="314">
        <f t="shared" si="4092"/>
        <v>4.344982748344093E-2</v>
      </c>
      <c r="J1686" s="314">
        <f t="shared" si="4092"/>
        <v>3.9794410881119797E-2</v>
      </c>
      <c r="K1686" s="314">
        <f t="shared" si="4092"/>
        <v>3.8583023972818216E-2</v>
      </c>
      <c r="L1686" s="314">
        <f t="shared" si="4092"/>
        <v>4.0585114998380301E-2</v>
      </c>
      <c r="M1686" s="314">
        <f t="shared" si="4092"/>
        <v>4.0583862223448633E-2</v>
      </c>
      <c r="N1686" s="314">
        <f t="shared" si="4092"/>
        <v>3.8649125621690997E-2</v>
      </c>
      <c r="O1686" s="314">
        <f t="shared" si="4092"/>
        <v>3.7914537742215364E-2</v>
      </c>
      <c r="P1686" s="314">
        <f t="shared" si="4092"/>
        <v>3.7798757972473986E-2</v>
      </c>
      <c r="Q1686" s="314">
        <f t="shared" si="4092"/>
        <v>3.8380749350726252E-2</v>
      </c>
      <c r="R1686" s="314">
        <f t="shared" si="4092"/>
        <v>3.3862005966947141E-2</v>
      </c>
      <c r="S1686" s="314">
        <f t="shared" si="4092"/>
        <v>3.3489006447346661E-2</v>
      </c>
      <c r="T1686" s="314">
        <f t="shared" si="4092"/>
        <v>3.5226768661650608E-2</v>
      </c>
      <c r="U1686" s="314">
        <f t="shared" si="4092"/>
        <v>3.4487165601646268E-2</v>
      </c>
      <c r="V1686" s="314">
        <f t="shared" si="4092"/>
        <v>2.9857463021066784E-2</v>
      </c>
      <c r="W1686" s="314">
        <f t="shared" si="4092"/>
        <v>3.2774687672908351E-2</v>
      </c>
      <c r="X1686" s="314">
        <f t="shared" si="4092"/>
        <v>3.676355732390215E-2</v>
      </c>
      <c r="Y1686" s="314">
        <f t="shared" si="4092"/>
        <v>3.6297464911326294E-2</v>
      </c>
      <c r="Z1686" s="314">
        <f t="shared" si="4092"/>
        <v>3.5844384757428231E-2</v>
      </c>
      <c r="AA1686" s="314">
        <f t="shared" ref="AA1686" si="4093">AA1265</f>
        <v>3.5034422580113224E-2</v>
      </c>
      <c r="AB1686" s="314">
        <f t="shared" si="4092"/>
        <v>3.8313791178112781E-2</v>
      </c>
      <c r="AC1686" s="314">
        <f t="shared" si="4092"/>
        <v>3.8820079676779327E-2</v>
      </c>
      <c r="AD1686" s="314">
        <f t="shared" si="4092"/>
        <v>3.9375315697635416E-2</v>
      </c>
      <c r="AE1686" s="314">
        <f t="shared" si="4092"/>
        <v>3.9813861469457319E-2</v>
      </c>
      <c r="AF1686" s="314">
        <f t="shared" ref="AF1686:AI1686" si="4094">AF1265</f>
        <v>4.0090778013759834E-2</v>
      </c>
      <c r="AG1686" s="314">
        <f t="shared" si="4094"/>
        <v>4.0342770269298764E-2</v>
      </c>
      <c r="AH1686" s="314">
        <f t="shared" si="4094"/>
        <v>4.1795645316335422E-2</v>
      </c>
      <c r="AI1686" s="314">
        <f t="shared" si="4094"/>
        <v>4.2518512126118235E-2</v>
      </c>
      <c r="AJ1686" s="314"/>
      <c r="AK1686" s="314"/>
      <c r="AL1686" s="314"/>
      <c r="AM1686" s="314"/>
      <c r="AN1686" s="314"/>
      <c r="AO1686" s="314"/>
      <c r="AP1686" s="314"/>
      <c r="AQ1686" s="314"/>
      <c r="AT1686" s="1200" t="s">
        <v>1247</v>
      </c>
      <c r="AU1686" s="314">
        <f t="shared" ref="AU1686:BD1686" si="4095">AU1265</f>
        <v>4.8496756255792403E-2</v>
      </c>
      <c r="AV1686" s="314">
        <f t="shared" si="4095"/>
        <v>4.1773952095808385E-2</v>
      </c>
      <c r="AW1686" s="314">
        <f t="shared" si="4095"/>
        <v>3.9425837320574156E-2</v>
      </c>
      <c r="AX1686" s="314">
        <f t="shared" si="4095"/>
        <v>3.5866284622731615E-2</v>
      </c>
      <c r="AY1686" s="314">
        <f t="shared" si="4095"/>
        <v>3.2996415770609321E-2</v>
      </c>
      <c r="AZ1686" s="314">
        <f t="shared" si="4095"/>
        <v>3.5973372300698157E-2</v>
      </c>
      <c r="BA1686" s="314">
        <f t="shared" si="4095"/>
        <v>3.9096696245328522E-2</v>
      </c>
      <c r="BB1686" s="314">
        <f t="shared" ref="BB1686" si="4096">BB1265</f>
        <v>4.1220082279489416E-2</v>
      </c>
      <c r="BC1686" s="314">
        <f t="shared" si="4095"/>
        <v>4.3824282284529878E-2</v>
      </c>
      <c r="BD1686" s="314">
        <f t="shared" si="4095"/>
        <v>4.6092070300339322E-2</v>
      </c>
      <c r="BE1686" s="314">
        <f t="shared" ref="BE1686" si="4097">BE1265</f>
        <v>4.8440567894413034E-2</v>
      </c>
      <c r="BM1686"/>
      <c r="BN1686"/>
      <c r="BO1686"/>
      <c r="BP1686"/>
      <c r="BQ1686"/>
      <c r="BR1686"/>
    </row>
    <row r="1687" spans="2:70" x14ac:dyDescent="0.2">
      <c r="AA1687" s="1742"/>
    </row>
  </sheetData>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F2"/>
  <sheetViews>
    <sheetView workbookViewId="0"/>
  </sheetViews>
  <sheetFormatPr defaultRowHeight="12.75" x14ac:dyDescent="0.2"/>
  <sheetData>
    <row r="1" spans="1:6" x14ac:dyDescent="0.2">
      <c r="A1" t="s">
        <v>1143</v>
      </c>
    </row>
    <row r="2" spans="1:6" x14ac:dyDescent="0.2">
      <c r="A2" s="1081" t="s">
        <v>1142</v>
      </c>
      <c r="B2" s="1081" t="s">
        <v>1439</v>
      </c>
      <c r="C2" s="1081" t="s">
        <v>1140</v>
      </c>
      <c r="D2" s="1081" t="s">
        <v>1144</v>
      </c>
      <c r="E2" s="1081" t="s">
        <v>1141</v>
      </c>
      <c r="F2" s="1081" t="s">
        <v>940</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theme="3" tint="0.79998168889431442"/>
  </sheetPr>
  <dimension ref="A1:JI409"/>
  <sheetViews>
    <sheetView zoomScaleNormal="100" workbookViewId="0">
      <pane xSplit="3" ySplit="2" topLeftCell="X3" activePane="bottomRight" state="frozen"/>
      <selection pane="topRight" activeCell="D1" sqref="D1"/>
      <selection pane="bottomLeft" activeCell="A3" sqref="A3"/>
      <selection pane="bottomRight" activeCell="X3" sqref="X3"/>
    </sheetView>
  </sheetViews>
  <sheetFormatPr defaultRowHeight="11.25" outlineLevelCol="1" x14ac:dyDescent="0.2"/>
  <cols>
    <col min="1" max="1" width="2.83203125" style="411" customWidth="1"/>
    <col min="2" max="2" width="2.83203125" style="9" customWidth="1"/>
    <col min="3" max="3" width="48" style="9" customWidth="1"/>
    <col min="4" max="19" width="12.83203125" style="9" hidden="1" customWidth="1" outlineLevel="1"/>
    <col min="20" max="20" width="12.83203125" style="9" hidden="1" customWidth="1" outlineLevel="1" collapsed="1"/>
    <col min="21" max="23" width="12.83203125" style="9" hidden="1" customWidth="1" outlineLevel="1"/>
    <col min="24" max="24" width="12.83203125" style="9" customWidth="1" collapsed="1"/>
    <col min="25" max="31" width="12.83203125" style="9" customWidth="1"/>
    <col min="32" max="35" width="12.83203125" style="1707" customWidth="1"/>
    <col min="36" max="43" width="12.83203125" style="1740" hidden="1" customWidth="1"/>
    <col min="44" max="44" width="9.33203125" style="15"/>
    <col min="45" max="45" width="2.83203125" style="9" customWidth="1"/>
    <col min="46" max="46" width="35.83203125" style="9" customWidth="1"/>
    <col min="47" max="49" width="12.83203125" style="9" hidden="1" customWidth="1" outlineLevel="1"/>
    <col min="50" max="50" width="12.83203125" style="9" customWidth="1" collapsed="1"/>
    <col min="51" max="56" width="12.83203125" style="9" customWidth="1"/>
    <col min="57" max="57" width="12.83203125" style="1702" customWidth="1"/>
    <col min="58" max="58" width="6.5" style="9" customWidth="1"/>
    <col min="59" max="59" width="12.83203125" style="15" customWidth="1"/>
    <col min="60" max="60" width="10.83203125" style="15" customWidth="1"/>
    <col min="61" max="16384" width="9.33203125" style="9"/>
  </cols>
  <sheetData>
    <row r="1" spans="1:60" s="70" customFormat="1" ht="15.75" x14ac:dyDescent="0.25">
      <c r="A1" s="411"/>
      <c r="B1" s="400" t="s">
        <v>852</v>
      </c>
      <c r="C1" s="9"/>
      <c r="D1" s="170">
        <v>4.0219780219780219</v>
      </c>
      <c r="E1" s="170">
        <v>4.0219780219780219</v>
      </c>
      <c r="F1" s="170">
        <v>3.9782608695652173</v>
      </c>
      <c r="G1" s="170">
        <v>3.9782608695652173</v>
      </c>
      <c r="H1" s="170">
        <v>4.0555555555555554</v>
      </c>
      <c r="I1" s="170">
        <v>4.0109890109890109</v>
      </c>
      <c r="J1" s="170">
        <v>3.9673913043478257</v>
      </c>
      <c r="K1" s="170">
        <v>3.9673913043478257</v>
      </c>
      <c r="L1" s="170">
        <v>4.0555555555555554</v>
      </c>
      <c r="M1" s="170">
        <v>4.0109890109890109</v>
      </c>
      <c r="N1" s="170">
        <v>3.9673913043478257</v>
      </c>
      <c r="O1" s="170">
        <v>3.9673913043478257</v>
      </c>
      <c r="P1" s="170">
        <v>4.0555555555555554</v>
      </c>
      <c r="Q1" s="170">
        <v>4.0109890109890109</v>
      </c>
      <c r="R1" s="170">
        <v>3.9673913043478257</v>
      </c>
      <c r="S1" s="170">
        <v>3.9673913043478257</v>
      </c>
      <c r="T1" s="170">
        <v>4.0219780219780219</v>
      </c>
      <c r="U1" s="170">
        <v>4.0219780219780219</v>
      </c>
      <c r="V1" s="170">
        <v>3.9782608695652173</v>
      </c>
      <c r="W1" s="170">
        <v>3.9782608695652173</v>
      </c>
      <c r="X1" s="170">
        <v>4.0555555555555554</v>
      </c>
      <c r="Y1" s="170">
        <v>4.0109890109890109</v>
      </c>
      <c r="Z1" s="170">
        <v>3.9673913043478257</v>
      </c>
      <c r="AA1" s="170">
        <v>3.9673913043478257</v>
      </c>
      <c r="AB1" s="170">
        <v>4.0555555555555554</v>
      </c>
      <c r="AC1" s="170">
        <v>4.0109890109890109</v>
      </c>
      <c r="AD1" s="170">
        <v>3.9673913043478257</v>
      </c>
      <c r="AE1" s="170">
        <v>3.9673913043478257</v>
      </c>
      <c r="AF1" s="170">
        <v>4.0555555555555554</v>
      </c>
      <c r="AG1" s="170">
        <v>4.0109890109890109</v>
      </c>
      <c r="AH1" s="170">
        <v>3.9673913043478257</v>
      </c>
      <c r="AI1" s="170">
        <v>3.9673913043478257</v>
      </c>
      <c r="AJ1" s="170"/>
      <c r="AK1" s="170"/>
      <c r="AL1" s="170"/>
      <c r="AM1" s="170"/>
      <c r="AN1" s="170"/>
      <c r="AO1" s="170"/>
      <c r="AP1" s="170"/>
      <c r="AQ1" s="170"/>
      <c r="AU1" s="170">
        <v>1</v>
      </c>
      <c r="AV1" s="170">
        <v>1</v>
      </c>
      <c r="AW1" s="170">
        <v>1</v>
      </c>
      <c r="AX1" s="170">
        <v>1</v>
      </c>
      <c r="AY1" s="170">
        <v>1</v>
      </c>
      <c r="AZ1" s="170">
        <v>1</v>
      </c>
      <c r="BA1" s="170">
        <v>1</v>
      </c>
      <c r="BB1" s="170">
        <v>1</v>
      </c>
      <c r="BC1" s="170">
        <v>1</v>
      </c>
      <c r="BD1" s="170">
        <v>1</v>
      </c>
      <c r="BE1" s="170">
        <v>1</v>
      </c>
      <c r="BG1" s="1709"/>
      <c r="BH1" s="1709"/>
    </row>
    <row r="2" spans="1:60" s="70" customFormat="1" x14ac:dyDescent="0.2">
      <c r="A2" s="411"/>
      <c r="B2" s="171"/>
      <c r="C2" s="168"/>
      <c r="D2" s="169" t="str">
        <f>Model!D2</f>
        <v>1Q12</v>
      </c>
      <c r="E2" s="169" t="str">
        <f>Model!E2</f>
        <v>2Q12</v>
      </c>
      <c r="F2" s="169" t="str">
        <f>Model!F2</f>
        <v>3Q12</v>
      </c>
      <c r="G2" s="169" t="str">
        <f>Model!G2</f>
        <v>4Q12</v>
      </c>
      <c r="H2" s="169" t="str">
        <f>Model!H2</f>
        <v>1Q13</v>
      </c>
      <c r="I2" s="169" t="str">
        <f>Model!I2</f>
        <v>2Q13</v>
      </c>
      <c r="J2" s="169" t="str">
        <f>Model!J2</f>
        <v>3Q13</v>
      </c>
      <c r="K2" s="169" t="str">
        <f>Model!K2</f>
        <v>4Q13</v>
      </c>
      <c r="L2" s="169" t="str">
        <f>Model!L2</f>
        <v>1Q14</v>
      </c>
      <c r="M2" s="169" t="str">
        <f>Model!M2</f>
        <v>2Q14</v>
      </c>
      <c r="N2" s="169" t="str">
        <f>Model!N2</f>
        <v>3Q14</v>
      </c>
      <c r="O2" s="169" t="str">
        <f>Model!O2</f>
        <v>4Q14</v>
      </c>
      <c r="P2" s="169" t="str">
        <f>Model!P2</f>
        <v>1Q15</v>
      </c>
      <c r="Q2" s="169" t="str">
        <f>Model!Q2</f>
        <v>2Q15</v>
      </c>
      <c r="R2" s="169" t="str">
        <f>Model!R2</f>
        <v>3Q15</v>
      </c>
      <c r="S2" s="169" t="str">
        <f>Model!S2</f>
        <v>4Q15</v>
      </c>
      <c r="T2" s="169" t="str">
        <f>Model!T2</f>
        <v>1Q16</v>
      </c>
      <c r="U2" s="169" t="str">
        <f>Model!U2</f>
        <v>2Q16</v>
      </c>
      <c r="V2" s="169" t="str">
        <f>Model!V2</f>
        <v>3Q16</v>
      </c>
      <c r="W2" s="169" t="str">
        <f>Model!W2</f>
        <v>4Q16</v>
      </c>
      <c r="X2" s="169" t="str">
        <f>Model!X2</f>
        <v>1Q17</v>
      </c>
      <c r="Y2" s="169" t="str">
        <f>Model!Y2</f>
        <v>2Q17</v>
      </c>
      <c r="Z2" s="169" t="str">
        <f>Model!Z2</f>
        <v>3Q17</v>
      </c>
      <c r="AA2" s="169" t="str">
        <f>Model!AA2</f>
        <v>4Q17</v>
      </c>
      <c r="AB2" s="169" t="str">
        <f>Model!AB2</f>
        <v>1Q18</v>
      </c>
      <c r="AC2" s="169" t="str">
        <f>Model!AC2</f>
        <v>2Q18E</v>
      </c>
      <c r="AD2" s="169" t="str">
        <f>Model!AD2</f>
        <v>3Q18E</v>
      </c>
      <c r="AE2" s="169" t="str">
        <f>Model!AE2</f>
        <v>4Q18E</v>
      </c>
      <c r="AF2" s="169" t="str">
        <f>Model!AF2</f>
        <v>1Q19E</v>
      </c>
      <c r="AG2" s="169" t="str">
        <f>Model!AG2</f>
        <v>2Q19E</v>
      </c>
      <c r="AH2" s="169" t="str">
        <f>Model!AH2</f>
        <v>3Q19E</v>
      </c>
      <c r="AI2" s="169" t="str">
        <f>Model!AI2</f>
        <v>4Q19E</v>
      </c>
      <c r="AJ2" s="169"/>
      <c r="AK2" s="169"/>
      <c r="AL2" s="169"/>
      <c r="AM2" s="169"/>
      <c r="AN2" s="169"/>
      <c r="AO2" s="169"/>
      <c r="AP2" s="169"/>
      <c r="AQ2" s="169"/>
      <c r="AS2" s="171" t="s">
        <v>148</v>
      </c>
      <c r="AT2" s="169"/>
      <c r="AU2" s="169">
        <f>Model!AU2</f>
        <v>2012</v>
      </c>
      <c r="AV2" s="169">
        <f>Model!AV2</f>
        <v>2013</v>
      </c>
      <c r="AW2" s="169">
        <f>Model!AW2</f>
        <v>2014</v>
      </c>
      <c r="AX2" s="169">
        <f>Model!AX2</f>
        <v>2015</v>
      </c>
      <c r="AY2" s="169">
        <f>Model!AY2</f>
        <v>2016</v>
      </c>
      <c r="AZ2" s="169">
        <f>Model!AZ2</f>
        <v>2017</v>
      </c>
      <c r="BA2" s="169" t="str">
        <f>Model!BA2</f>
        <v>2018E</v>
      </c>
      <c r="BB2" s="169" t="str">
        <f>Model!BB2</f>
        <v>2019E</v>
      </c>
      <c r="BC2" s="169" t="str">
        <f>Model!BC2</f>
        <v>2020E</v>
      </c>
      <c r="BD2" s="169" t="str">
        <f>Model!BD2</f>
        <v>2021E</v>
      </c>
      <c r="BE2" s="169" t="str">
        <f>Model!BE2</f>
        <v>2022E</v>
      </c>
      <c r="BF2" s="231"/>
      <c r="BG2" s="231"/>
      <c r="BH2" s="231"/>
    </row>
    <row r="3" spans="1:60" s="70" customFormat="1" ht="5.0999999999999996" customHeight="1" x14ac:dyDescent="0.2">
      <c r="A3" s="411"/>
      <c r="B3" s="16"/>
      <c r="C3" s="16"/>
      <c r="D3" s="15"/>
      <c r="E3" s="15"/>
      <c r="F3" s="15"/>
      <c r="G3" s="15"/>
      <c r="H3" s="15"/>
      <c r="I3" s="15"/>
      <c r="J3" s="15"/>
      <c r="K3" s="15"/>
      <c r="L3" s="15"/>
      <c r="M3" s="15"/>
      <c r="N3" s="15"/>
      <c r="O3" s="15"/>
      <c r="P3" s="15"/>
      <c r="Q3" s="15"/>
      <c r="R3" s="15"/>
      <c r="S3" s="15"/>
      <c r="T3" s="169">
        <f>Model!T3</f>
        <v>0</v>
      </c>
      <c r="U3" s="15"/>
      <c r="V3" s="15"/>
      <c r="W3" s="15"/>
      <c r="X3" s="15"/>
      <c r="Y3" s="15"/>
      <c r="Z3" s="15"/>
      <c r="AA3" s="15"/>
      <c r="AB3" s="15"/>
      <c r="AC3" s="15"/>
      <c r="AD3" s="15"/>
      <c r="AE3" s="15"/>
      <c r="AF3" s="15"/>
      <c r="AG3" s="15"/>
      <c r="AH3" s="15"/>
      <c r="AI3" s="15"/>
      <c r="AJ3" s="15"/>
      <c r="AK3" s="15"/>
      <c r="AL3" s="15"/>
      <c r="AM3" s="15"/>
      <c r="AN3" s="15"/>
      <c r="AO3" s="15"/>
      <c r="AP3" s="15"/>
      <c r="AQ3" s="15"/>
      <c r="AS3" s="16"/>
      <c r="AT3" s="16"/>
      <c r="AU3" s="16"/>
      <c r="AV3" s="16"/>
      <c r="AW3" s="16"/>
      <c r="AX3" s="16"/>
      <c r="AY3" s="16"/>
      <c r="AZ3" s="16"/>
      <c r="BA3" s="16"/>
      <c r="BB3" s="16"/>
      <c r="BC3" s="16"/>
      <c r="BD3" s="16"/>
      <c r="BE3" s="16"/>
      <c r="BG3" s="16"/>
      <c r="BH3" s="16"/>
    </row>
    <row r="4" spans="1:60" s="70" customFormat="1" x14ac:dyDescent="0.2">
      <c r="A4" s="411" t="s">
        <v>194</v>
      </c>
      <c r="B4" s="13" t="s">
        <v>101</v>
      </c>
      <c r="C4" s="13"/>
      <c r="D4" s="14"/>
      <c r="E4" s="14"/>
      <c r="F4" s="14"/>
      <c r="G4" s="14"/>
      <c r="H4" s="14"/>
      <c r="I4" s="14"/>
      <c r="J4" s="14"/>
      <c r="K4" s="14"/>
      <c r="L4" s="14"/>
      <c r="M4" s="14"/>
      <c r="N4" s="14"/>
      <c r="O4" s="14"/>
      <c r="P4" s="14"/>
      <c r="Q4" s="14"/>
      <c r="R4" s="14"/>
      <c r="S4" s="14"/>
      <c r="T4" s="14"/>
      <c r="U4" s="14"/>
      <c r="V4" s="14"/>
      <c r="W4" s="14"/>
      <c r="X4" s="14"/>
      <c r="Y4" s="14"/>
      <c r="Z4" s="14"/>
      <c r="AA4" s="14"/>
      <c r="AB4" s="14"/>
      <c r="AC4" s="14"/>
      <c r="AD4" s="14"/>
      <c r="AE4" s="14"/>
      <c r="AF4" s="14"/>
      <c r="AG4" s="14"/>
      <c r="AH4" s="14"/>
      <c r="AI4" s="14"/>
      <c r="AJ4" s="14"/>
      <c r="AK4" s="14"/>
      <c r="AL4" s="14"/>
      <c r="AM4" s="14"/>
      <c r="AN4" s="14"/>
      <c r="AO4" s="14"/>
      <c r="AP4" s="14"/>
      <c r="AQ4" s="14"/>
      <c r="AS4" s="13" t="s">
        <v>101</v>
      </c>
      <c r="AT4" s="13"/>
      <c r="AU4" s="13"/>
      <c r="AV4" s="13"/>
      <c r="AW4" s="13"/>
      <c r="AX4" s="13"/>
      <c r="AY4" s="13"/>
      <c r="AZ4" s="13"/>
      <c r="BA4" s="13"/>
      <c r="BB4" s="13"/>
      <c r="BC4" s="13"/>
      <c r="BD4" s="13"/>
      <c r="BE4" s="13"/>
      <c r="BG4" s="16"/>
      <c r="BH4" s="16"/>
    </row>
    <row r="5" spans="1:60" s="70" customFormat="1" x14ac:dyDescent="0.2">
      <c r="A5" s="411"/>
      <c r="B5" s="16"/>
      <c r="C5" s="16"/>
      <c r="D5" s="15"/>
      <c r="E5" s="15"/>
      <c r="F5" s="15"/>
      <c r="G5" s="15"/>
      <c r="H5" s="15"/>
      <c r="I5" s="15"/>
      <c r="J5" s="15"/>
      <c r="K5" s="15"/>
      <c r="L5" s="15"/>
      <c r="M5" s="15"/>
      <c r="N5" s="15"/>
      <c r="O5" s="15"/>
      <c r="P5" s="15"/>
      <c r="Q5" s="15"/>
      <c r="R5" s="15"/>
      <c r="S5" s="15"/>
      <c r="T5" s="15"/>
      <c r="U5" s="15"/>
      <c r="V5" s="15"/>
      <c r="W5" s="15"/>
      <c r="X5" s="15"/>
      <c r="Y5" s="15"/>
      <c r="Z5" s="15"/>
      <c r="AA5" s="1084"/>
      <c r="AB5" s="15"/>
      <c r="AC5" s="15"/>
      <c r="AD5" s="15"/>
      <c r="AE5" s="15"/>
      <c r="AF5" s="15"/>
      <c r="AG5" s="15"/>
      <c r="AH5" s="15"/>
      <c r="AI5" s="15"/>
      <c r="AJ5" s="15"/>
      <c r="AK5" s="15"/>
      <c r="AL5" s="15"/>
      <c r="AM5" s="15"/>
      <c r="AN5" s="15"/>
      <c r="AO5" s="15"/>
      <c r="AP5" s="15"/>
      <c r="AQ5" s="15"/>
      <c r="AS5" s="16"/>
      <c r="AT5" s="16"/>
      <c r="AU5" s="16"/>
      <c r="AV5" s="16"/>
      <c r="AW5" s="16"/>
      <c r="AX5" s="16"/>
      <c r="AY5" s="16"/>
      <c r="AZ5" s="16"/>
      <c r="BA5" s="16"/>
      <c r="BB5" s="16"/>
      <c r="BC5" s="16"/>
      <c r="BD5" s="16"/>
      <c r="BE5" s="16"/>
      <c r="BG5" s="16"/>
      <c r="BH5" s="16"/>
    </row>
    <row r="6" spans="1:60" s="369" customFormat="1" x14ac:dyDescent="0.2">
      <c r="A6" s="411"/>
      <c r="B6" s="337" t="s">
        <v>302</v>
      </c>
      <c r="C6" s="366"/>
      <c r="D6" s="367"/>
      <c r="E6" s="367"/>
      <c r="F6" s="367"/>
      <c r="G6" s="367"/>
      <c r="H6" s="367"/>
      <c r="I6" s="367"/>
      <c r="J6" s="367"/>
      <c r="K6" s="367"/>
      <c r="L6" s="367"/>
      <c r="M6" s="367"/>
      <c r="N6" s="367"/>
      <c r="O6" s="367"/>
      <c r="P6" s="367"/>
      <c r="Q6" s="367"/>
      <c r="R6" s="367"/>
      <c r="S6" s="367"/>
      <c r="T6" s="367"/>
      <c r="U6" s="367"/>
      <c r="V6" s="367"/>
      <c r="W6" s="367"/>
      <c r="X6" s="367"/>
      <c r="Y6" s="367"/>
      <c r="Z6" s="367"/>
      <c r="AA6" s="367"/>
      <c r="AB6" s="367"/>
      <c r="AC6" s="367"/>
      <c r="AD6" s="367"/>
      <c r="AE6" s="367"/>
      <c r="AF6" s="367"/>
      <c r="AG6" s="367"/>
      <c r="AH6" s="367"/>
      <c r="AI6" s="367"/>
      <c r="AJ6" s="367"/>
      <c r="AK6" s="367"/>
      <c r="AL6" s="367"/>
      <c r="AM6" s="367"/>
      <c r="AN6" s="367"/>
      <c r="AO6" s="367"/>
      <c r="AP6" s="367"/>
      <c r="AQ6" s="367"/>
      <c r="AR6" s="70"/>
      <c r="AS6" s="337" t="s">
        <v>302</v>
      </c>
      <c r="AT6" s="366"/>
      <c r="AU6" s="12"/>
      <c r="AV6" s="12"/>
      <c r="AW6" s="12"/>
      <c r="AX6" s="12"/>
      <c r="AY6" s="12"/>
      <c r="AZ6" s="12"/>
      <c r="BA6" s="12"/>
      <c r="BB6" s="12"/>
      <c r="BC6" s="12"/>
      <c r="BD6" s="12"/>
      <c r="BE6" s="12"/>
      <c r="BF6" s="70"/>
      <c r="BG6" s="15"/>
      <c r="BH6" s="15"/>
    </row>
    <row r="7" spans="1:60" s="160" customFormat="1" x14ac:dyDescent="0.2">
      <c r="A7" s="411"/>
      <c r="B7" s="175" t="s">
        <v>178</v>
      </c>
      <c r="C7" s="16"/>
      <c r="D7" s="19"/>
      <c r="E7" s="19"/>
      <c r="F7" s="19"/>
      <c r="G7" s="19"/>
      <c r="H7" s="19"/>
      <c r="I7" s="19"/>
      <c r="J7" s="19"/>
      <c r="K7" s="19"/>
      <c r="L7" s="19"/>
      <c r="M7" s="19"/>
      <c r="N7" s="19"/>
      <c r="O7" s="19"/>
      <c r="P7" s="19"/>
      <c r="Q7" s="19"/>
      <c r="R7" s="19"/>
      <c r="S7" s="19"/>
      <c r="T7" s="19"/>
      <c r="U7" s="19"/>
      <c r="V7" s="19"/>
      <c r="W7" s="19"/>
      <c r="X7" s="19"/>
      <c r="Y7" s="19"/>
      <c r="Z7" s="19"/>
      <c r="AA7" s="19"/>
      <c r="AB7" s="19"/>
      <c r="AC7" s="19"/>
      <c r="AD7" s="19"/>
      <c r="AE7" s="19"/>
      <c r="AF7" s="19"/>
      <c r="AG7" s="19"/>
      <c r="AH7" s="19"/>
      <c r="AI7" s="19"/>
      <c r="AJ7" s="19"/>
      <c r="AK7" s="19"/>
      <c r="AL7" s="19"/>
      <c r="AM7" s="19"/>
      <c r="AN7" s="19"/>
      <c r="AO7" s="19"/>
      <c r="AP7" s="19"/>
      <c r="AQ7" s="19"/>
      <c r="AR7" s="70"/>
      <c r="AS7" s="175" t="s">
        <v>178</v>
      </c>
      <c r="AT7" s="16"/>
    </row>
    <row r="8" spans="1:60" s="160" customFormat="1" x14ac:dyDescent="0.2">
      <c r="A8" s="411"/>
      <c r="B8" s="16"/>
      <c r="C8" s="17" t="s">
        <v>74</v>
      </c>
      <c r="D8" s="370">
        <f>Model!D256</f>
        <v>1.0800000000000001E-2</v>
      </c>
      <c r="E8" s="370">
        <f>Model!E256</f>
        <v>1.2699999999999999E-2</v>
      </c>
      <c r="F8" s="370">
        <f>Model!F256</f>
        <v>1.46E-2</v>
      </c>
      <c r="G8" s="370">
        <f>Model!G256</f>
        <v>1.5100000000000001E-2</v>
      </c>
      <c r="H8" s="370">
        <f>Model!H256</f>
        <v>1.46E-2</v>
      </c>
      <c r="I8" s="370">
        <f>Model!I256</f>
        <v>1.5800000000000002E-2</v>
      </c>
      <c r="J8" s="370">
        <f>Model!J256</f>
        <v>1.55E-2</v>
      </c>
      <c r="K8" s="370">
        <f>Model!K256</f>
        <v>1.67E-2</v>
      </c>
      <c r="L8" s="370">
        <f>Model!L256</f>
        <v>1.9699999999999999E-2</v>
      </c>
      <c r="M8" s="370">
        <f>Model!M256</f>
        <v>2.1700000000000001E-2</v>
      </c>
      <c r="N8" s="370">
        <f>Model!N256</f>
        <v>2.1600000000000001E-2</v>
      </c>
      <c r="O8" s="370">
        <f>Model!O256</f>
        <v>2.24E-2</v>
      </c>
      <c r="P8" s="370">
        <f>Model!P256</f>
        <v>2.1399999999999999E-2</v>
      </c>
      <c r="Q8" s="370">
        <f>Model!Q256</f>
        <v>2.1899999999999999E-2</v>
      </c>
      <c r="R8" s="370">
        <f>Model!R256</f>
        <v>2.0899999999999998E-2</v>
      </c>
      <c r="S8" s="370">
        <f>Model!S256</f>
        <v>2.1000000000000001E-2</v>
      </c>
      <c r="T8" s="370">
        <f>Model!T256</f>
        <v>2.1100000000000001E-2</v>
      </c>
      <c r="U8" s="370">
        <f>Model!U256</f>
        <v>1.9900000000000001E-2</v>
      </c>
      <c r="V8" s="370">
        <f>Model!V256</f>
        <v>1.9300000000000001E-2</v>
      </c>
      <c r="W8" s="370">
        <f>Model!W256</f>
        <v>1.8499999999999999E-2</v>
      </c>
      <c r="X8" s="370">
        <f>Model!X256</f>
        <v>1.84E-2</v>
      </c>
      <c r="Y8" s="370">
        <f>Model!Y256</f>
        <v>1.7999999999999999E-2</v>
      </c>
      <c r="Z8" s="370">
        <f>Model!Z256</f>
        <v>1.7999999999999999E-2</v>
      </c>
      <c r="AA8" s="370">
        <f>Model!AA256</f>
        <v>1.66E-2</v>
      </c>
      <c r="AB8" s="370">
        <f>Model!AB256</f>
        <v>1.6899999999999998E-2</v>
      </c>
      <c r="AC8" s="261">
        <v>1.7500000000000002E-2</v>
      </c>
      <c r="AD8" s="261">
        <v>1.78E-2</v>
      </c>
      <c r="AE8" s="261">
        <v>1.8200000000000001E-2</v>
      </c>
      <c r="AF8" s="261">
        <v>1.8499999999999999E-2</v>
      </c>
      <c r="AG8" s="261">
        <v>1.8800000000000001E-2</v>
      </c>
      <c r="AH8" s="261">
        <v>1.9099999999999999E-2</v>
      </c>
      <c r="AI8" s="261">
        <v>1.95E-2</v>
      </c>
      <c r="AJ8" s="261"/>
      <c r="AK8" s="261"/>
      <c r="AL8" s="261"/>
      <c r="AM8" s="261"/>
      <c r="AN8" s="261"/>
      <c r="AO8" s="261"/>
      <c r="AP8" s="261"/>
      <c r="AQ8" s="261"/>
      <c r="AR8" s="70"/>
      <c r="AS8" s="16"/>
      <c r="AT8" s="17" t="s">
        <v>74</v>
      </c>
      <c r="AU8" s="370">
        <f>Model!AU256</f>
        <v>1.3349485160508783E-2</v>
      </c>
      <c r="AV8" s="370">
        <f>Model!AV256</f>
        <v>1.5659276546091016E-2</v>
      </c>
      <c r="AW8" s="370">
        <f>Model!AW256</f>
        <v>2.1371918542336547E-2</v>
      </c>
      <c r="AX8" s="370">
        <f>Model!AX256</f>
        <v>2.1285140562248995E-2</v>
      </c>
      <c r="AY8" s="370">
        <f>Model!AY256</f>
        <v>1.9309710078232858E-2</v>
      </c>
      <c r="AZ8" s="370">
        <f>Model!AZ256</f>
        <v>1.7727885047148631E-2</v>
      </c>
      <c r="BA8" s="370">
        <f>Model!BA256</f>
        <v>1.7610924303705745E-2</v>
      </c>
      <c r="BB8" s="370">
        <f>Model!BB256</f>
        <v>1.8987467501944032E-2</v>
      </c>
      <c r="BC8" s="261">
        <v>2.0500000000000001E-2</v>
      </c>
      <c r="BD8" s="261">
        <v>2.1000000000000001E-2</v>
      </c>
      <c r="BE8" s="261">
        <v>2.1499999999999998E-2</v>
      </c>
      <c r="BG8" s="1710"/>
      <c r="BH8" s="1710"/>
    </row>
    <row r="9" spans="1:60" s="160" customFormat="1" x14ac:dyDescent="0.2">
      <c r="A9" s="411"/>
      <c r="B9" s="16"/>
      <c r="C9" s="334" t="s">
        <v>195</v>
      </c>
      <c r="D9" s="370">
        <f>Model!D257</f>
        <v>9.1399999999999995E-2</v>
      </c>
      <c r="E9" s="370">
        <f>Model!E257</f>
        <v>9.0300000000000005E-2</v>
      </c>
      <c r="F9" s="370">
        <f>Model!F257</f>
        <v>9.2600000000000002E-2</v>
      </c>
      <c r="G9" s="370">
        <f>Model!G257</f>
        <v>9.4399999999999998E-2</v>
      </c>
      <c r="H9" s="370">
        <f>Model!H257</f>
        <v>9.5899999999999999E-2</v>
      </c>
      <c r="I9" s="370">
        <f>Model!I257</f>
        <v>9.6500000000000002E-2</v>
      </c>
      <c r="J9" s="370">
        <f>Model!J257</f>
        <v>9.8000000000000004E-2</v>
      </c>
      <c r="K9" s="370">
        <f>Model!K257</f>
        <v>9.9400000000000002E-2</v>
      </c>
      <c r="L9" s="370">
        <f>Model!L257</f>
        <v>9.9099999999999994E-2</v>
      </c>
      <c r="M9" s="370">
        <f>Model!M257</f>
        <v>9.8799999999999999E-2</v>
      </c>
      <c r="N9" s="370">
        <f>Model!N257</f>
        <v>0.1009</v>
      </c>
      <c r="O9" s="370">
        <f>Model!O257</f>
        <v>0.1014</v>
      </c>
      <c r="P9" s="370">
        <f>Model!P257</f>
        <v>0.1012</v>
      </c>
      <c r="Q9" s="370">
        <f>Model!Q257</f>
        <v>0.1</v>
      </c>
      <c r="R9" s="370">
        <f>Model!R257</f>
        <v>0.1</v>
      </c>
      <c r="S9" s="370">
        <f>Model!S257</f>
        <v>9.9900000000000003E-2</v>
      </c>
      <c r="T9" s="370">
        <f>Model!T257</f>
        <v>9.9000000000000005E-2</v>
      </c>
      <c r="U9" s="370">
        <f>Model!U257</f>
        <v>9.5899999999999999E-2</v>
      </c>
      <c r="V9" s="370">
        <f>Model!V257</f>
        <v>9.3600000000000003E-2</v>
      </c>
      <c r="W9" s="370">
        <f>Model!W257</f>
        <v>9.0499999999999997E-2</v>
      </c>
      <c r="X9" s="370">
        <f>Model!X257</f>
        <v>8.7599999999999997E-2</v>
      </c>
      <c r="Y9" s="370">
        <f>Model!Y257</f>
        <v>8.6099999999999996E-2</v>
      </c>
      <c r="Z9" s="370">
        <f>Model!Z257</f>
        <v>8.5900000000000004E-2</v>
      </c>
      <c r="AA9" s="370">
        <f>Model!AA257</f>
        <v>8.4699999999999998E-2</v>
      </c>
      <c r="AB9" s="370">
        <f>Model!AB257</f>
        <v>8.4000000000000005E-2</v>
      </c>
      <c r="AC9" s="261">
        <v>8.2500000000000004E-2</v>
      </c>
      <c r="AD9" s="261">
        <v>8.4500000000000006E-2</v>
      </c>
      <c r="AE9" s="261">
        <v>8.4500000000000006E-2</v>
      </c>
      <c r="AF9" s="261">
        <v>8.4699999999999998E-2</v>
      </c>
      <c r="AG9" s="261">
        <v>8.4900000000000003E-2</v>
      </c>
      <c r="AH9" s="261">
        <v>8.5199999999999998E-2</v>
      </c>
      <c r="AI9" s="261">
        <v>8.5500000000000007E-2</v>
      </c>
      <c r="AJ9" s="261"/>
      <c r="AK9" s="261"/>
      <c r="AL9" s="261"/>
      <c r="AM9" s="261"/>
      <c r="AN9" s="261"/>
      <c r="AO9" s="261"/>
      <c r="AP9" s="261"/>
      <c r="AQ9" s="261"/>
      <c r="AR9" s="70"/>
      <c r="AS9" s="16"/>
      <c r="AT9" s="334" t="s">
        <v>195</v>
      </c>
      <c r="AU9" s="370">
        <f>Model!AU257</f>
        <v>9.2147324530924266E-2</v>
      </c>
      <c r="AV9" s="370">
        <f>Model!AV257</f>
        <v>9.7444484892610095E-2</v>
      </c>
      <c r="AW9" s="370">
        <f>Model!AW257</f>
        <v>0.10002258185923975</v>
      </c>
      <c r="AX9" s="370">
        <f>Model!AX257</f>
        <v>0.10026583268178266</v>
      </c>
      <c r="AY9" s="370">
        <f>Model!AY257</f>
        <v>9.4472155790912171E-2</v>
      </c>
      <c r="AZ9" s="370">
        <f>Model!AZ257</f>
        <v>8.6081041112097023E-2</v>
      </c>
      <c r="BA9" s="370">
        <f>Model!BA257</f>
        <v>8.3892304447901425E-2</v>
      </c>
      <c r="BB9" s="370">
        <f>Model!BB257</f>
        <v>8.5095563576841352E-2</v>
      </c>
      <c r="BC9" s="261">
        <v>8.5999999999999993E-2</v>
      </c>
      <c r="BD9" s="261">
        <v>8.6499999999999994E-2</v>
      </c>
      <c r="BE9" s="261">
        <v>8.6999999999999994E-2</v>
      </c>
      <c r="BG9" s="1710"/>
      <c r="BH9" s="1710"/>
    </row>
    <row r="10" spans="1:60" s="160" customFormat="1" x14ac:dyDescent="0.2">
      <c r="A10" s="411"/>
      <c r="B10" s="16"/>
      <c r="C10" s="334" t="s">
        <v>486</v>
      </c>
      <c r="D10" s="370">
        <f>Model!D258</f>
        <v>0.16750000000000001</v>
      </c>
      <c r="E10" s="370">
        <f>Model!E258</f>
        <v>0.17</v>
      </c>
      <c r="F10" s="370">
        <f>Model!F258</f>
        <v>0.17810000000000001</v>
      </c>
      <c r="G10" s="370">
        <f>Model!G258</f>
        <v>0.17849999999999999</v>
      </c>
      <c r="H10" s="370">
        <f>Model!H258</f>
        <v>0.18260000000000001</v>
      </c>
      <c r="I10" s="370">
        <f>Model!I258</f>
        <v>0.17780000000000001</v>
      </c>
      <c r="J10" s="370">
        <f>Model!J258</f>
        <v>0.17649999999999999</v>
      </c>
      <c r="K10" s="370">
        <f>Model!K258</f>
        <v>0.16930000000000001</v>
      </c>
      <c r="L10" s="370">
        <f>Model!L258</f>
        <v>0.16919999999999999</v>
      </c>
      <c r="M10" s="370">
        <f>Model!M258</f>
        <v>0.17119999999999999</v>
      </c>
      <c r="N10" s="370">
        <f>Model!N258</f>
        <v>0.17419999999999999</v>
      </c>
      <c r="O10" s="370">
        <f>Model!O258</f>
        <v>0.17380000000000001</v>
      </c>
      <c r="P10" s="370">
        <f>Model!P258</f>
        <v>0.17399999999999999</v>
      </c>
      <c r="Q10" s="370">
        <f>Model!Q258</f>
        <v>0.1734</v>
      </c>
      <c r="R10" s="370">
        <f>Model!R258</f>
        <v>0.1769</v>
      </c>
      <c r="S10" s="370">
        <f>Model!S258</f>
        <v>0.17430000000000001</v>
      </c>
      <c r="T10" s="370">
        <f>Model!T258</f>
        <v>0.1729</v>
      </c>
      <c r="U10" s="370">
        <f>Model!U258</f>
        <v>0.17269999999999999</v>
      </c>
      <c r="V10" s="370">
        <f>Model!V258</f>
        <v>0.17549999999999999</v>
      </c>
      <c r="W10" s="370">
        <f>Model!W258</f>
        <v>0.17249999999999999</v>
      </c>
      <c r="X10" s="370">
        <f>Model!X258</f>
        <v>0.17080000000000001</v>
      </c>
      <c r="Y10" s="370">
        <f>Model!Y258</f>
        <v>0.17100000000000001</v>
      </c>
      <c r="Z10" s="370">
        <f>Model!Z258</f>
        <v>0.17280000000000001</v>
      </c>
      <c r="AA10" s="370">
        <f>Model!AA258</f>
        <v>0.1653</v>
      </c>
      <c r="AB10" s="370">
        <f>Model!AB258</f>
        <v>0.1699</v>
      </c>
      <c r="AC10" s="261">
        <v>0.17249999999999999</v>
      </c>
      <c r="AD10" s="261">
        <v>0.17449999999999999</v>
      </c>
      <c r="AE10" s="261">
        <v>0.17249999999999999</v>
      </c>
      <c r="AF10" s="261">
        <v>0.17200000000000001</v>
      </c>
      <c r="AG10" s="261">
        <v>0.17400000000000002</v>
      </c>
      <c r="AH10" s="261">
        <v>0.17599999999999999</v>
      </c>
      <c r="AI10" s="261">
        <v>0.17300000000000001</v>
      </c>
      <c r="AJ10" s="261"/>
      <c r="AK10" s="261"/>
      <c r="AL10" s="261"/>
      <c r="AM10" s="261"/>
      <c r="AN10" s="261"/>
      <c r="AO10" s="261"/>
      <c r="AP10" s="261"/>
      <c r="AQ10" s="261"/>
      <c r="AR10" s="70"/>
      <c r="AS10" s="16"/>
      <c r="AT10" s="334" t="s">
        <v>486</v>
      </c>
      <c r="AU10" s="370">
        <f>Model!AU258</f>
        <v>0.17352303523035231</v>
      </c>
      <c r="AV10" s="370">
        <f>Model!AV258</f>
        <v>0.17624431448992853</v>
      </c>
      <c r="AW10" s="370">
        <f>Model!AW258</f>
        <v>0.17212962962962963</v>
      </c>
      <c r="AX10" s="370">
        <f>Model!AX258</f>
        <v>0.17464594127806563</v>
      </c>
      <c r="AY10" s="370">
        <f>Model!AY258</f>
        <v>0.17340182648401822</v>
      </c>
      <c r="AZ10" s="370">
        <f>Model!AZ258</f>
        <v>0.16993965990126167</v>
      </c>
      <c r="BA10" s="370">
        <f>Model!BA258</f>
        <v>0.17239221778825553</v>
      </c>
      <c r="BB10" s="370">
        <f>Model!BB258</f>
        <v>0.17378523569318863</v>
      </c>
      <c r="BC10" s="261">
        <v>0.17499999999999999</v>
      </c>
      <c r="BD10" s="261">
        <v>0.17499999999999999</v>
      </c>
      <c r="BE10" s="261">
        <v>0.17499999999999999</v>
      </c>
      <c r="BG10" s="1710"/>
      <c r="BH10" s="1710"/>
    </row>
    <row r="11" spans="1:60" s="160" customFormat="1" x14ac:dyDescent="0.2">
      <c r="A11" s="411"/>
      <c r="B11" s="16"/>
      <c r="C11" s="334"/>
      <c r="D11" s="370"/>
      <c r="E11" s="370"/>
      <c r="F11" s="370"/>
      <c r="G11" s="370"/>
      <c r="H11" s="370"/>
      <c r="I11" s="370"/>
      <c r="J11" s="370"/>
      <c r="K11" s="370"/>
      <c r="L11" s="370"/>
      <c r="M11" s="370"/>
      <c r="N11" s="370"/>
      <c r="O11" s="370"/>
      <c r="P11" s="370"/>
      <c r="Q11" s="370"/>
      <c r="R11" s="370"/>
      <c r="S11" s="370"/>
      <c r="T11" s="370"/>
      <c r="U11" s="370">
        <f t="shared" ref="U11:Z11" si="0">U10-Q10</f>
        <v>-7.0000000000000617E-4</v>
      </c>
      <c r="V11" s="370">
        <f t="shared" si="0"/>
        <v>-1.4000000000000123E-3</v>
      </c>
      <c r="W11" s="370">
        <f t="shared" si="0"/>
        <v>-1.8000000000000238E-3</v>
      </c>
      <c r="X11" s="370">
        <f t="shared" si="0"/>
        <v>-2.0999999999999908E-3</v>
      </c>
      <c r="Y11" s="370">
        <f t="shared" si="0"/>
        <v>-1.6999999999999793E-3</v>
      </c>
      <c r="Z11" s="370">
        <f t="shared" si="0"/>
        <v>-2.6999999999999802E-3</v>
      </c>
      <c r="AA11" s="370">
        <f>AA10-W10</f>
        <v>-7.1999999999999842E-3</v>
      </c>
      <c r="AB11" s="370">
        <f>AB10-X10</f>
        <v>-9.000000000000119E-4</v>
      </c>
      <c r="AC11" s="370">
        <f t="shared" ref="AC11:AI11" si="1">AC10-Y10</f>
        <v>1.4999999999999736E-3</v>
      </c>
      <c r="AD11" s="370">
        <f t="shared" si="1"/>
        <v>1.6999999999999793E-3</v>
      </c>
      <c r="AE11" s="370">
        <f t="shared" si="1"/>
        <v>7.1999999999999842E-3</v>
      </c>
      <c r="AF11" s="370">
        <f t="shared" si="1"/>
        <v>2.1000000000000185E-3</v>
      </c>
      <c r="AG11" s="370">
        <f t="shared" si="1"/>
        <v>1.5000000000000291E-3</v>
      </c>
      <c r="AH11" s="370">
        <f t="shared" si="1"/>
        <v>1.5000000000000013E-3</v>
      </c>
      <c r="AI11" s="370">
        <f t="shared" si="1"/>
        <v>5.000000000000282E-4</v>
      </c>
      <c r="AJ11" s="19"/>
      <c r="AK11" s="19"/>
      <c r="AL11" s="19"/>
      <c r="AM11" s="19"/>
      <c r="AN11" s="19"/>
      <c r="AO11" s="19"/>
      <c r="AP11" s="19"/>
      <c r="AQ11" s="19"/>
      <c r="AR11" s="70"/>
      <c r="AS11" s="16"/>
      <c r="AT11" s="334"/>
      <c r="BC11" s="263"/>
      <c r="BD11" s="263"/>
      <c r="BE11" s="263"/>
      <c r="BG11" s="263"/>
      <c r="BH11" s="263"/>
    </row>
    <row r="12" spans="1:60" s="160" customFormat="1" x14ac:dyDescent="0.2">
      <c r="A12" s="411"/>
      <c r="B12" s="175" t="s">
        <v>179</v>
      </c>
      <c r="C12" s="334"/>
      <c r="D12" s="370"/>
      <c r="E12" s="370"/>
      <c r="F12" s="370"/>
      <c r="G12" s="370"/>
      <c r="H12" s="370"/>
      <c r="I12" s="370"/>
      <c r="J12" s="370"/>
      <c r="K12" s="370"/>
      <c r="L12" s="370"/>
      <c r="M12" s="370"/>
      <c r="N12" s="370"/>
      <c r="O12" s="370"/>
      <c r="P12" s="370"/>
      <c r="Q12" s="370"/>
      <c r="R12" s="370"/>
      <c r="S12" s="370"/>
      <c r="T12" s="370"/>
      <c r="U12" s="370"/>
      <c r="V12" s="370"/>
      <c r="W12" s="370"/>
      <c r="X12" s="370"/>
      <c r="Y12" s="370"/>
      <c r="Z12" s="370"/>
      <c r="AA12" s="370"/>
      <c r="AB12" s="370"/>
      <c r="AC12" s="1780"/>
      <c r="AD12" s="1780"/>
      <c r="AE12" s="1780"/>
      <c r="AF12" s="1780"/>
      <c r="AG12" s="1780"/>
      <c r="AH12" s="1780"/>
      <c r="AI12" s="1780"/>
      <c r="AJ12" s="19"/>
      <c r="AK12" s="19"/>
      <c r="AL12" s="19"/>
      <c r="AM12" s="19"/>
      <c r="AN12" s="19"/>
      <c r="AO12" s="19"/>
      <c r="AP12" s="19"/>
      <c r="AQ12" s="19"/>
      <c r="AR12" s="70"/>
      <c r="AS12" s="175" t="s">
        <v>179</v>
      </c>
      <c r="AT12" s="334"/>
      <c r="BC12" s="263"/>
      <c r="BD12" s="263"/>
      <c r="BE12" s="263"/>
      <c r="BG12" s="263"/>
      <c r="BH12" s="263"/>
    </row>
    <row r="13" spans="1:60" s="160" customFormat="1" x14ac:dyDescent="0.2">
      <c r="A13" s="411"/>
      <c r="B13" s="16"/>
      <c r="C13" s="17" t="s">
        <v>74</v>
      </c>
      <c r="D13" s="370">
        <f>Model!D311</f>
        <v>0.03</v>
      </c>
      <c r="E13" s="370">
        <f>Model!E311</f>
        <v>0.14269999999999999</v>
      </c>
      <c r="F13" s="370">
        <f>Model!F311</f>
        <v>0.13739999999999999</v>
      </c>
      <c r="G13" s="370">
        <f>Model!G311</f>
        <v>0.13619999999999999</v>
      </c>
      <c r="H13" s="370">
        <f>Model!H311</f>
        <v>0.1308</v>
      </c>
      <c r="I13" s="370">
        <f>Model!I311</f>
        <v>0.12559999999999999</v>
      </c>
      <c r="J13" s="370">
        <f>Model!J311</f>
        <v>0.12690000000000001</v>
      </c>
      <c r="K13" s="370">
        <f>Model!K311</f>
        <v>0.12520000000000001</v>
      </c>
      <c r="L13" s="370">
        <f>Model!L311</f>
        <v>0.1234</v>
      </c>
      <c r="M13" s="370">
        <f>Model!M311</f>
        <v>0.12239999999999999</v>
      </c>
      <c r="N13" s="370">
        <f>Model!N311</f>
        <v>0.1268</v>
      </c>
      <c r="O13" s="370">
        <f>Model!O311</f>
        <v>0.12759999999999999</v>
      </c>
      <c r="P13" s="370">
        <f>Model!P311</f>
        <v>0.125</v>
      </c>
      <c r="Q13" s="370">
        <f>Model!Q311</f>
        <v>0.1232</v>
      </c>
      <c r="R13" s="370">
        <f>Model!R311</f>
        <v>0.1242</v>
      </c>
      <c r="S13" s="370">
        <f>Model!S311</f>
        <v>0.1242</v>
      </c>
      <c r="T13" s="370">
        <f>Model!T311</f>
        <v>0.123</v>
      </c>
      <c r="U13" s="370">
        <f>Model!U311</f>
        <v>0.1225</v>
      </c>
      <c r="V13" s="370">
        <f>Model!V311</f>
        <v>0.1275</v>
      </c>
      <c r="W13" s="370">
        <f>Model!W311</f>
        <v>0.1275</v>
      </c>
      <c r="X13" s="370">
        <f>Model!X311</f>
        <v>0.13009999999999999</v>
      </c>
      <c r="Y13" s="370">
        <f>Model!Y311</f>
        <v>0.1328</v>
      </c>
      <c r="Z13" s="370">
        <f>Model!Z311</f>
        <v>0.13159999999999999</v>
      </c>
      <c r="AA13" s="370">
        <f>Model!AA311</f>
        <v>0.1313</v>
      </c>
      <c r="AB13" s="370">
        <f>Model!AB311</f>
        <v>0.13320000000000001</v>
      </c>
      <c r="AC13" s="261">
        <v>0.13450000000000001</v>
      </c>
      <c r="AD13" s="261">
        <v>0.13550000000000001</v>
      </c>
      <c r="AE13" s="261">
        <v>0.13600000000000001</v>
      </c>
      <c r="AF13" s="261">
        <v>0.13550000000000001</v>
      </c>
      <c r="AG13" s="261">
        <v>0.13570000000000002</v>
      </c>
      <c r="AH13" s="261">
        <v>0.13600000000000001</v>
      </c>
      <c r="AI13" s="261">
        <v>0.1363</v>
      </c>
      <c r="AJ13" s="261"/>
      <c r="AK13" s="261"/>
      <c r="AL13" s="261"/>
      <c r="AM13" s="261"/>
      <c r="AN13" s="261"/>
      <c r="AO13" s="261"/>
      <c r="AP13" s="261"/>
      <c r="AQ13" s="261"/>
      <c r="AR13" s="70"/>
      <c r="AS13" s="16"/>
      <c r="AT13" s="17" t="s">
        <v>74</v>
      </c>
      <c r="AU13" s="370">
        <f>Model!AU311</f>
        <v>0.13935</v>
      </c>
      <c r="AV13" s="370">
        <f>Model!AV311</f>
        <v>0.12709748083242056</v>
      </c>
      <c r="AW13" s="370">
        <f>Model!AW311</f>
        <v>0.12503282275711158</v>
      </c>
      <c r="AX13" s="370">
        <f>Model!AX311</f>
        <v>0.12412776412776413</v>
      </c>
      <c r="AY13" s="370">
        <f>Model!AY311</f>
        <v>0.12510526315789475</v>
      </c>
      <c r="AZ13" s="370">
        <f>Model!AZ311</f>
        <v>0.13155</v>
      </c>
      <c r="BA13" s="370">
        <f>Model!BA311</f>
        <v>0.13485114786719093</v>
      </c>
      <c r="BB13" s="370">
        <f>Model!BB311</f>
        <v>0.13590109099176459</v>
      </c>
      <c r="BC13" s="261">
        <v>0.13500000000000001</v>
      </c>
      <c r="BD13" s="261">
        <v>0.13500000000000001</v>
      </c>
      <c r="BE13" s="261">
        <v>0.13550000000000001</v>
      </c>
      <c r="BG13" s="1710"/>
      <c r="BH13" s="1710"/>
    </row>
    <row r="14" spans="1:60" s="160" customFormat="1" x14ac:dyDescent="0.2">
      <c r="A14" s="411"/>
      <c r="B14" s="16"/>
      <c r="C14" s="334" t="s">
        <v>195</v>
      </c>
      <c r="D14" s="24">
        <f>Model!D316</f>
        <v>0.2031</v>
      </c>
      <c r="E14" s="24">
        <f>Model!E316</f>
        <v>0.218</v>
      </c>
      <c r="F14" s="24">
        <f>Model!F316</f>
        <v>0.2087</v>
      </c>
      <c r="G14" s="24">
        <f>Model!G316</f>
        <v>0.2107</v>
      </c>
      <c r="H14" s="24">
        <f>Model!H316</f>
        <v>0.19500000000000001</v>
      </c>
      <c r="I14" s="24">
        <f>Model!I316</f>
        <v>0.21199999999999999</v>
      </c>
      <c r="J14" s="24">
        <f>Model!J316</f>
        <v>0.21929999999999999</v>
      </c>
      <c r="K14" s="24">
        <f>Model!K316</f>
        <v>0.21659999999999999</v>
      </c>
      <c r="L14" s="24">
        <f>Model!L316</f>
        <v>0.2135</v>
      </c>
      <c r="M14" s="24">
        <f>Model!M316</f>
        <v>0.22170000000000001</v>
      </c>
      <c r="N14" s="24">
        <f>Model!N316</f>
        <v>0.23860000000000001</v>
      </c>
      <c r="O14" s="24">
        <f>Model!O316</f>
        <v>0.23300000000000001</v>
      </c>
      <c r="P14" s="24">
        <f>Model!P316</f>
        <v>0.2155</v>
      </c>
      <c r="Q14" s="24">
        <f>Model!Q316</f>
        <v>0.22550000000000001</v>
      </c>
      <c r="R14" s="24">
        <f>Model!R316</f>
        <v>0.23380000000000001</v>
      </c>
      <c r="S14" s="24">
        <f>Model!S316</f>
        <v>0.22359999999999999</v>
      </c>
      <c r="T14" s="24">
        <f>Model!T316</f>
        <v>0.20569999999999999</v>
      </c>
      <c r="U14" s="24">
        <f>Model!U316</f>
        <v>0.2177</v>
      </c>
      <c r="V14" s="24">
        <f>Model!V316</f>
        <v>0.20669999999999999</v>
      </c>
      <c r="W14" s="24">
        <f>Model!W316</f>
        <v>0.19650000000000001</v>
      </c>
      <c r="X14" s="24">
        <f>Model!X316</f>
        <v>0.2205</v>
      </c>
      <c r="Y14" s="24">
        <f>Model!Y316</f>
        <v>0.22550000000000001</v>
      </c>
      <c r="Z14" s="24">
        <f>Model!Z316</f>
        <v>0.23730000000000001</v>
      </c>
      <c r="AA14" s="24">
        <f>Model!AA316</f>
        <v>0.2344</v>
      </c>
      <c r="AB14" s="24">
        <f>Model!AB316</f>
        <v>0.2296</v>
      </c>
      <c r="AC14" s="261">
        <v>0.23</v>
      </c>
      <c r="AD14" s="261">
        <v>0.23100000000000001</v>
      </c>
      <c r="AE14" s="261">
        <v>0.23200000000000001</v>
      </c>
      <c r="AF14" s="261">
        <v>0.23200000000000001</v>
      </c>
      <c r="AG14" s="261">
        <v>0.23200000000000001</v>
      </c>
      <c r="AH14" s="261">
        <v>0.23200000000000001</v>
      </c>
      <c r="AI14" s="261">
        <v>0.23200000000000001</v>
      </c>
      <c r="AJ14" s="261"/>
      <c r="AK14" s="261"/>
      <c r="AL14" s="261"/>
      <c r="AM14" s="261"/>
      <c r="AN14" s="261"/>
      <c r="AO14" s="261"/>
      <c r="AP14" s="261"/>
      <c r="AQ14" s="261"/>
      <c r="AR14" s="70"/>
      <c r="AS14" s="16"/>
      <c r="AT14" s="334" t="s">
        <v>195</v>
      </c>
      <c r="AU14" s="24">
        <f>Model!AU316</f>
        <v>0.21012448132780082</v>
      </c>
      <c r="AV14" s="24">
        <f>Model!AV316</f>
        <v>0.21106382978723401</v>
      </c>
      <c r="AW14" s="24">
        <f>Model!AW316</f>
        <v>0.22675862068965516</v>
      </c>
      <c r="AX14" s="24">
        <f>Model!AX316</f>
        <v>0.22423728813559321</v>
      </c>
      <c r="AY14" s="24">
        <f>Model!AY316</f>
        <v>0.20666666666666667</v>
      </c>
      <c r="AZ14" s="24">
        <f>Model!AZ316</f>
        <v>0.22995260663507108</v>
      </c>
      <c r="BA14" s="24">
        <f>Model!BA316</f>
        <v>0.23069194517023248</v>
      </c>
      <c r="BB14" s="24">
        <f>Model!BB316</f>
        <v>0.23204628410103406</v>
      </c>
      <c r="BC14" s="261">
        <v>0.23250000000000001</v>
      </c>
      <c r="BD14" s="261">
        <v>0.23300000000000001</v>
      </c>
      <c r="BE14" s="261">
        <v>0.20300000000000001</v>
      </c>
      <c r="BG14" s="1710"/>
      <c r="BH14" s="1710"/>
    </row>
    <row r="15" spans="1:60" s="160" customFormat="1" x14ac:dyDescent="0.2">
      <c r="A15" s="411"/>
      <c r="B15" s="16"/>
      <c r="C15" s="334"/>
      <c r="D15" s="24"/>
      <c r="E15" s="24"/>
      <c r="F15" s="24"/>
      <c r="G15" s="24"/>
      <c r="H15" s="24"/>
      <c r="I15" s="24"/>
      <c r="J15" s="24"/>
      <c r="K15" s="24"/>
      <c r="L15" s="24"/>
      <c r="M15" s="24"/>
      <c r="N15" s="24"/>
      <c r="O15" s="24"/>
      <c r="P15" s="24"/>
      <c r="Q15" s="24"/>
      <c r="R15" s="24"/>
      <c r="S15" s="24"/>
      <c r="T15" s="24"/>
      <c r="U15" s="24"/>
      <c r="V15" s="24"/>
      <c r="W15" s="24"/>
      <c r="X15" s="24"/>
      <c r="Y15" s="24"/>
      <c r="Z15" s="24"/>
      <c r="AA15" s="24"/>
      <c r="AB15" s="24"/>
      <c r="AC15" s="19"/>
      <c r="AD15" s="19"/>
      <c r="AE15" s="19"/>
      <c r="AF15" s="19"/>
      <c r="AG15" s="19"/>
      <c r="AH15" s="19"/>
      <c r="AI15" s="19"/>
      <c r="AJ15" s="19"/>
      <c r="AK15" s="19"/>
      <c r="AL15" s="19"/>
      <c r="AM15" s="19"/>
      <c r="AN15" s="19"/>
      <c r="AO15" s="19"/>
      <c r="AP15" s="19"/>
      <c r="AQ15" s="19"/>
      <c r="AR15" s="70"/>
      <c r="AS15" s="16"/>
      <c r="AT15" s="334"/>
      <c r="AU15" s="24"/>
      <c r="AV15" s="24"/>
      <c r="AW15" s="24"/>
      <c r="AX15" s="24"/>
      <c r="AY15" s="24"/>
      <c r="AZ15" s="24"/>
      <c r="BA15" s="24"/>
      <c r="BB15" s="24"/>
    </row>
    <row r="16" spans="1:60" s="160" customFormat="1" x14ac:dyDescent="0.2">
      <c r="A16" s="411"/>
      <c r="B16" s="175" t="s">
        <v>549</v>
      </c>
      <c r="C16" s="334"/>
      <c r="D16" s="24"/>
      <c r="E16" s="24"/>
      <c r="F16" s="24"/>
      <c r="G16" s="24"/>
      <c r="H16" s="24"/>
      <c r="I16" s="24"/>
      <c r="J16" s="24"/>
      <c r="K16" s="24"/>
      <c r="L16" s="24"/>
      <c r="M16" s="24"/>
      <c r="N16" s="24"/>
      <c r="O16" s="24"/>
      <c r="P16" s="24"/>
      <c r="Q16" s="24"/>
      <c r="R16" s="24"/>
      <c r="S16" s="24"/>
      <c r="T16" s="24"/>
      <c r="U16" s="24"/>
      <c r="V16" s="24"/>
      <c r="W16" s="24"/>
      <c r="X16" s="24"/>
      <c r="Y16" s="24"/>
      <c r="Z16" s="24"/>
      <c r="AA16" s="24"/>
      <c r="AB16" s="24"/>
      <c r="AC16" s="19"/>
      <c r="AD16" s="19"/>
      <c r="AE16" s="19"/>
      <c r="AF16" s="19"/>
      <c r="AG16" s="19"/>
      <c r="AH16" s="19"/>
      <c r="AI16" s="19"/>
      <c r="AJ16" s="19"/>
      <c r="AK16" s="19"/>
      <c r="AL16" s="19"/>
      <c r="AM16" s="19"/>
      <c r="AN16" s="19"/>
      <c r="AO16" s="19"/>
      <c r="AP16" s="19"/>
      <c r="AQ16" s="19"/>
      <c r="AR16" s="70"/>
      <c r="AS16" s="175" t="s">
        <v>549</v>
      </c>
      <c r="AT16" s="334"/>
      <c r="AU16" s="24"/>
      <c r="AV16" s="24"/>
      <c r="AW16" s="24"/>
      <c r="AX16" s="24"/>
      <c r="AY16" s="24"/>
      <c r="AZ16" s="24"/>
      <c r="BA16" s="24"/>
      <c r="BB16" s="24"/>
    </row>
    <row r="17" spans="1:60" s="160" customFormat="1" x14ac:dyDescent="0.2">
      <c r="A17" s="411"/>
      <c r="B17" s="16"/>
      <c r="C17" s="17" t="s">
        <v>74</v>
      </c>
      <c r="D17" s="24">
        <f>Model!D389</f>
        <v>4.7800000000000002E-2</v>
      </c>
      <c r="E17" s="24">
        <f>Model!E389</f>
        <v>4.6899999999999997E-2</v>
      </c>
      <c r="F17" s="24">
        <f>Model!F389</f>
        <v>4.4999999999999998E-2</v>
      </c>
      <c r="G17" s="24">
        <f>Model!G389</f>
        <v>4.3799999999999999E-2</v>
      </c>
      <c r="H17" s="24">
        <f>Model!H389</f>
        <v>4.3299999999999998E-2</v>
      </c>
      <c r="I17" s="24">
        <f>Model!I389</f>
        <v>4.2099999999999999E-2</v>
      </c>
      <c r="J17" s="24">
        <f>Model!J389</f>
        <v>4.0500000000000001E-2</v>
      </c>
      <c r="K17" s="24">
        <f>Model!K389</f>
        <v>4.02E-2</v>
      </c>
      <c r="L17" s="24">
        <f>Model!L389</f>
        <v>3.95E-2</v>
      </c>
      <c r="M17" s="24">
        <f>Model!M389</f>
        <v>3.9E-2</v>
      </c>
      <c r="N17" s="24">
        <f>Model!N389</f>
        <v>3.8399999999999997E-2</v>
      </c>
      <c r="O17" s="24">
        <f>Model!O389</f>
        <v>3.7699999999999997E-2</v>
      </c>
      <c r="P17" s="24">
        <f>Model!P389</f>
        <v>3.7400000000000003E-2</v>
      </c>
      <c r="Q17" s="24">
        <f>Model!Q389</f>
        <v>3.7699999999999997E-2</v>
      </c>
      <c r="R17" s="24">
        <f>Model!R389</f>
        <v>3.7499999999999999E-2</v>
      </c>
      <c r="S17" s="24">
        <f>Model!S389</f>
        <v>3.7100000000000001E-2</v>
      </c>
      <c r="T17" s="24">
        <f>Model!T389</f>
        <v>3.95E-2</v>
      </c>
      <c r="U17" s="24">
        <f>Model!U389</f>
        <v>3.9600000000000003E-2</v>
      </c>
      <c r="V17" s="24">
        <f>Model!V389</f>
        <v>3.9199999999999999E-2</v>
      </c>
      <c r="W17" s="24">
        <f>Model!W389</f>
        <v>3.9699999999999999E-2</v>
      </c>
      <c r="X17" s="24">
        <f>Model!X389</f>
        <v>3.9899999999999998E-2</v>
      </c>
      <c r="Y17" s="24">
        <f>Model!Y389</f>
        <v>4.0399999999999998E-2</v>
      </c>
      <c r="Z17" s="24">
        <f>Model!Z389</f>
        <v>4.0599999999999997E-2</v>
      </c>
      <c r="AA17" s="24">
        <f>Model!AA389</f>
        <v>4.0099999999999997E-2</v>
      </c>
      <c r="AB17" s="24">
        <f>Model!AB389</f>
        <v>4.0599999999999997E-2</v>
      </c>
      <c r="AC17" s="261">
        <v>4.1200000000000001E-2</v>
      </c>
      <c r="AD17" s="261">
        <v>4.1500000000000002E-2</v>
      </c>
      <c r="AE17" s="261">
        <v>4.1500000000000002E-2</v>
      </c>
      <c r="AF17" s="261">
        <v>4.1799999999999997E-2</v>
      </c>
      <c r="AG17" s="261">
        <v>4.2299999999999997E-2</v>
      </c>
      <c r="AH17" s="261">
        <v>4.2599999999999999E-2</v>
      </c>
      <c r="AI17" s="261">
        <v>4.2900000000000001E-2</v>
      </c>
      <c r="AJ17" s="261"/>
      <c r="AK17" s="261"/>
      <c r="AL17" s="261"/>
      <c r="AM17" s="261"/>
      <c r="AN17" s="261"/>
      <c r="AO17" s="261"/>
      <c r="AP17" s="261"/>
      <c r="AQ17" s="261"/>
      <c r="AR17" s="70"/>
      <c r="AS17" s="16"/>
      <c r="AT17" s="17" t="s">
        <v>74</v>
      </c>
      <c r="AU17" s="24">
        <f>Model!AU389</f>
        <v>4.5860431128973325E-2</v>
      </c>
      <c r="AV17" s="24">
        <f>Model!AV389</f>
        <v>4.1523673905304377E-2</v>
      </c>
      <c r="AW17" s="24">
        <f>Model!AW389</f>
        <v>3.8647925033467201E-2</v>
      </c>
      <c r="AX17" s="24">
        <f>Model!AX389</f>
        <v>3.7431192660550457E-2</v>
      </c>
      <c r="AY17" s="24">
        <f>Model!AY389</f>
        <v>3.9476635514018692E-2</v>
      </c>
      <c r="AZ17" s="24">
        <f>Model!AZ389</f>
        <v>4.0253920836445106E-2</v>
      </c>
      <c r="BA17" s="24">
        <f>Model!BA389</f>
        <v>4.1217191444913821E-2</v>
      </c>
      <c r="BB17" s="24">
        <f>Model!BB389</f>
        <v>4.2409537462572117E-2</v>
      </c>
      <c r="BC17" s="261">
        <v>4.2999999999999997E-2</v>
      </c>
      <c r="BD17" s="261">
        <v>4.3499999999999997E-2</v>
      </c>
      <c r="BE17" s="261">
        <v>4.3999999999999997E-2</v>
      </c>
      <c r="BG17" s="1710"/>
      <c r="BH17" s="1710"/>
    </row>
    <row r="18" spans="1:60" s="160" customFormat="1" x14ac:dyDescent="0.2">
      <c r="A18" s="411"/>
      <c r="B18" s="16"/>
      <c r="C18" s="334" t="s">
        <v>195</v>
      </c>
      <c r="D18" s="24">
        <f>Model!D394</f>
        <v>0.1137</v>
      </c>
      <c r="E18" s="24">
        <f>Model!E394</f>
        <v>0.1147</v>
      </c>
      <c r="F18" s="24">
        <f>Model!F394</f>
        <v>0.1118</v>
      </c>
      <c r="G18" s="24">
        <f>Model!G394</f>
        <v>0.11310000000000001</v>
      </c>
      <c r="H18" s="24">
        <f>Model!H394</f>
        <v>0.11169999999999999</v>
      </c>
      <c r="I18" s="24">
        <f>Model!I394</f>
        <v>0.1108</v>
      </c>
      <c r="J18" s="24">
        <f>Model!J394</f>
        <v>0.1132</v>
      </c>
      <c r="K18" s="24">
        <f>Model!K394</f>
        <v>0.113</v>
      </c>
      <c r="L18" s="24">
        <f>Model!L394</f>
        <v>0.1118</v>
      </c>
      <c r="M18" s="24">
        <f>Model!M394</f>
        <v>0.1116</v>
      </c>
      <c r="N18" s="24">
        <f>Model!N394</f>
        <v>0.10929999999999999</v>
      </c>
      <c r="O18" s="24">
        <f>Model!O394</f>
        <v>0.1062</v>
      </c>
      <c r="P18" s="24">
        <f>Model!P394</f>
        <v>0.1052</v>
      </c>
      <c r="Q18" s="24">
        <f>Model!Q394</f>
        <v>0.10580000000000001</v>
      </c>
      <c r="R18" s="24">
        <f>Model!R394</f>
        <v>0.10349999999999999</v>
      </c>
      <c r="S18" s="24">
        <f>Model!S394</f>
        <v>0.1032</v>
      </c>
      <c r="T18" s="24">
        <f>Model!T394</f>
        <v>0.1012</v>
      </c>
      <c r="U18" s="24">
        <f>Model!U394</f>
        <v>0.1047</v>
      </c>
      <c r="V18" s="24">
        <f>Model!V394</f>
        <v>0.1056</v>
      </c>
      <c r="W18" s="24">
        <f>Model!W394</f>
        <v>0.1072</v>
      </c>
      <c r="X18" s="24">
        <f>Model!X394</f>
        <v>0.106</v>
      </c>
      <c r="Y18" s="24">
        <f>Model!Y394</f>
        <v>0.10730000000000001</v>
      </c>
      <c r="Z18" s="24">
        <f>Model!Z394</f>
        <v>0.10929999999999999</v>
      </c>
      <c r="AA18" s="24">
        <f>Model!AA394</f>
        <v>0.10879999999999999</v>
      </c>
      <c r="AB18" s="24">
        <f>Model!AB394</f>
        <v>0.1086</v>
      </c>
      <c r="AC18" s="261">
        <v>0.109</v>
      </c>
      <c r="AD18" s="261">
        <v>0.1095</v>
      </c>
      <c r="AE18" s="261">
        <v>0.1095</v>
      </c>
      <c r="AF18" s="261">
        <v>0.11</v>
      </c>
      <c r="AG18" s="261">
        <v>0.1103</v>
      </c>
      <c r="AH18" s="261">
        <v>0.11070000000000001</v>
      </c>
      <c r="AI18" s="261">
        <v>0.111</v>
      </c>
      <c r="AJ18" s="261"/>
      <c r="AK18" s="261"/>
      <c r="AL18" s="261"/>
      <c r="AM18" s="261"/>
      <c r="AN18" s="261"/>
      <c r="AO18" s="261"/>
      <c r="AP18" s="261"/>
      <c r="AQ18" s="261"/>
      <c r="AR18" s="70"/>
      <c r="AS18" s="16"/>
      <c r="AT18" s="334" t="s">
        <v>195</v>
      </c>
      <c r="AU18" s="24">
        <f>Model!AU394</f>
        <v>0.1133</v>
      </c>
      <c r="AV18" s="24">
        <f>Model!AV394</f>
        <v>0.11211340206185567</v>
      </c>
      <c r="AW18" s="24">
        <f>Model!AW394</f>
        <v>0.10972332015810277</v>
      </c>
      <c r="AX18" s="24">
        <f>Model!AX394</f>
        <v>0.10443181818181818</v>
      </c>
      <c r="AY18" s="24">
        <f>Model!AY394</f>
        <v>0.10467718794835007</v>
      </c>
      <c r="AZ18" s="24">
        <f>Model!AZ394</f>
        <v>0.10790322580645162</v>
      </c>
      <c r="BA18" s="24">
        <f>Model!BA394</f>
        <v>0.10917837251210043</v>
      </c>
      <c r="BB18" s="24">
        <f>Model!BB394</f>
        <v>0.11052623981251462</v>
      </c>
      <c r="BC18" s="261">
        <v>0.111</v>
      </c>
      <c r="BD18" s="261">
        <v>0.1115</v>
      </c>
      <c r="BE18" s="261">
        <v>0.112</v>
      </c>
      <c r="BG18" s="1710"/>
      <c r="BH18" s="1710"/>
    </row>
    <row r="19" spans="1:60" s="70" customFormat="1" x14ac:dyDescent="0.2">
      <c r="A19" s="411"/>
      <c r="B19" s="10"/>
      <c r="C19" s="9"/>
      <c r="D19" s="9"/>
      <c r="E19" s="9"/>
      <c r="F19" s="9"/>
      <c r="G19" s="9"/>
      <c r="H19" s="9"/>
      <c r="I19" s="9"/>
      <c r="J19" s="9"/>
      <c r="K19" s="9"/>
      <c r="L19" s="9"/>
      <c r="M19" s="9"/>
      <c r="N19" s="9"/>
      <c r="O19" s="9"/>
      <c r="P19" s="9"/>
      <c r="Q19" s="9"/>
      <c r="R19" s="9"/>
      <c r="S19" s="9"/>
      <c r="T19" s="9"/>
      <c r="U19" s="9"/>
      <c r="V19" s="9"/>
      <c r="W19" s="9"/>
      <c r="X19" s="9"/>
      <c r="Y19" s="1215"/>
      <c r="Z19" s="1688"/>
      <c r="AA19" s="1742"/>
      <c r="AB19" s="1785"/>
      <c r="AC19" s="9"/>
      <c r="AD19" s="9"/>
      <c r="AE19" s="9"/>
      <c r="AF19" s="1707"/>
      <c r="AG19" s="1707"/>
      <c r="AH19" s="1707"/>
      <c r="AI19" s="1707"/>
      <c r="AJ19" s="1740"/>
      <c r="AK19" s="1740"/>
      <c r="AL19" s="1740"/>
      <c r="AM19" s="1740"/>
      <c r="AN19" s="1740"/>
      <c r="AO19" s="1740"/>
      <c r="AP19" s="1740"/>
      <c r="AQ19" s="1740"/>
      <c r="AS19" s="10"/>
      <c r="AT19" s="9"/>
      <c r="BC19" s="371"/>
      <c r="BD19" s="371"/>
      <c r="BE19" s="371"/>
      <c r="BG19" s="371"/>
      <c r="BH19" s="371"/>
    </row>
    <row r="20" spans="1:60" s="369" customFormat="1" x14ac:dyDescent="0.2">
      <c r="A20" s="411"/>
      <c r="B20" s="337" t="s">
        <v>487</v>
      </c>
      <c r="C20" s="366"/>
      <c r="D20" s="367"/>
      <c r="E20" s="367"/>
      <c r="F20" s="367"/>
      <c r="G20" s="367"/>
      <c r="H20" s="367"/>
      <c r="I20" s="367"/>
      <c r="J20" s="367"/>
      <c r="K20" s="367"/>
      <c r="L20" s="367"/>
      <c r="M20" s="367"/>
      <c r="N20" s="367"/>
      <c r="O20" s="367"/>
      <c r="P20" s="367"/>
      <c r="Q20" s="367"/>
      <c r="R20" s="367"/>
      <c r="S20" s="367"/>
      <c r="T20" s="367"/>
      <c r="U20" s="367"/>
      <c r="V20" s="367"/>
      <c r="W20" s="367"/>
      <c r="X20" s="367"/>
      <c r="Y20" s="367"/>
      <c r="Z20" s="367"/>
      <c r="AA20" s="367"/>
      <c r="AB20" s="367"/>
      <c r="AC20" s="367"/>
      <c r="AD20" s="367"/>
      <c r="AE20" s="367"/>
      <c r="AF20" s="367"/>
      <c r="AG20" s="367"/>
      <c r="AH20" s="367"/>
      <c r="AI20" s="367"/>
      <c r="AJ20" s="367"/>
      <c r="AK20" s="367"/>
      <c r="AL20" s="367"/>
      <c r="AM20" s="367"/>
      <c r="AN20" s="367"/>
      <c r="AO20" s="367"/>
      <c r="AP20" s="367"/>
      <c r="AQ20" s="367"/>
      <c r="AR20" s="70"/>
      <c r="AS20" s="337" t="s">
        <v>487</v>
      </c>
      <c r="AT20" s="366"/>
      <c r="AU20" s="12"/>
      <c r="AV20" s="12"/>
      <c r="AW20" s="12"/>
      <c r="AX20" s="12"/>
      <c r="AY20" s="12"/>
      <c r="AZ20" s="12"/>
      <c r="BA20" s="12"/>
      <c r="BB20" s="12"/>
      <c r="BC20" s="372"/>
      <c r="BD20" s="372"/>
      <c r="BE20" s="372"/>
      <c r="BG20" s="1711"/>
      <c r="BH20" s="1711"/>
    </row>
    <row r="21" spans="1:60" s="70" customFormat="1" x14ac:dyDescent="0.2">
      <c r="A21" s="411"/>
      <c r="B21" s="175" t="s">
        <v>178</v>
      </c>
      <c r="C21" s="16"/>
      <c r="D21" s="9"/>
      <c r="E21" s="9"/>
      <c r="F21" s="9"/>
      <c r="G21" s="9"/>
      <c r="H21" s="9"/>
      <c r="I21" s="9"/>
      <c r="J21" s="9"/>
      <c r="K21" s="9"/>
      <c r="L21" s="9"/>
      <c r="M21" s="9"/>
      <c r="N21" s="9"/>
      <c r="O21" s="9"/>
      <c r="P21" s="9"/>
      <c r="Q21" s="9"/>
      <c r="R21" s="9"/>
      <c r="S21" s="9"/>
      <c r="T21" s="9"/>
      <c r="U21" s="9"/>
      <c r="V21" s="9"/>
      <c r="W21" s="9"/>
      <c r="X21" s="9"/>
      <c r="Y21" s="1215"/>
      <c r="Z21" s="1688"/>
      <c r="AA21" s="1742"/>
      <c r="AB21" s="1785"/>
      <c r="AC21" s="9"/>
      <c r="AD21" s="9"/>
      <c r="AE21" s="9"/>
      <c r="AF21" s="1707"/>
      <c r="AG21" s="1707"/>
      <c r="AH21" s="1707"/>
      <c r="AI21" s="1707"/>
      <c r="AJ21" s="1740"/>
      <c r="AK21" s="1740"/>
      <c r="AL21" s="1740"/>
      <c r="AM21" s="1740"/>
      <c r="AN21" s="1740"/>
      <c r="AO21" s="1740"/>
      <c r="AP21" s="1740"/>
      <c r="AQ21" s="1740"/>
      <c r="AS21" s="175" t="s">
        <v>178</v>
      </c>
      <c r="AT21" s="16"/>
      <c r="BD21" s="371"/>
      <c r="BE21" s="371"/>
    </row>
    <row r="22" spans="1:60" s="70" customFormat="1" x14ac:dyDescent="0.2">
      <c r="A22" s="411"/>
      <c r="B22" s="9"/>
      <c r="C22" s="334" t="s">
        <v>550</v>
      </c>
      <c r="D22" s="31">
        <f>Model!D261</f>
        <v>2.0519251740625785E-2</v>
      </c>
      <c r="E22" s="31">
        <f>Model!E261</f>
        <v>2.0966702470461868E-2</v>
      </c>
      <c r="F22" s="31">
        <f>Model!F261</f>
        <v>2.2669966555183947E-2</v>
      </c>
      <c r="G22" s="31">
        <f>Model!G261</f>
        <v>1.9997801515660968E-2</v>
      </c>
      <c r="H22" s="31">
        <f>Model!H261</f>
        <v>1.7922635178732736E-2</v>
      </c>
      <c r="I22" s="31">
        <f>Model!I261</f>
        <v>1.839331554521428E-2</v>
      </c>
      <c r="J22" s="31">
        <f>Model!J261</f>
        <v>8.944746376811594E-3</v>
      </c>
      <c r="K22" s="31">
        <f>Model!K261</f>
        <v>8.5654502230282821E-3</v>
      </c>
      <c r="L22" s="31">
        <f>Model!L261</f>
        <v>1.0427278924211438E-2</v>
      </c>
      <c r="M22" s="31">
        <f>Model!M261</f>
        <v>1.0033046442162618E-2</v>
      </c>
      <c r="N22" s="31">
        <f>Model!N261</f>
        <v>1.0532505637867066E-2</v>
      </c>
      <c r="O22" s="31">
        <f>Model!O261</f>
        <v>1.2384276089380059E-2</v>
      </c>
      <c r="P22" s="31">
        <f>Model!P261</f>
        <v>1.2791635870904164E-2</v>
      </c>
      <c r="Q22" s="31">
        <f>Model!Q261</f>
        <v>1.0969464110097795E-2</v>
      </c>
      <c r="R22" s="31">
        <f>Model!R261</f>
        <v>9.4919946311298586E-3</v>
      </c>
      <c r="S22" s="31">
        <f>Model!S261</f>
        <v>8.8456185814377586E-3</v>
      </c>
      <c r="T22" s="314">
        <f>Model!T261</f>
        <v>8.3512832682267907E-3</v>
      </c>
      <c r="U22" s="314">
        <f>Model!U261</f>
        <v>8.9892644423122184E-3</v>
      </c>
      <c r="V22" s="314">
        <f>Model!V261</f>
        <v>9.6482020001418534E-3</v>
      </c>
      <c r="W22" s="314">
        <f>Model!W261</f>
        <v>7.9351332398316966E-3</v>
      </c>
      <c r="X22" s="314">
        <f>Model!X261</f>
        <v>7.2803234501347706E-3</v>
      </c>
      <c r="Y22" s="314">
        <f>Model!Y261</f>
        <v>7.4975807552792968E-3</v>
      </c>
      <c r="Z22" s="314">
        <f>Model!Z261</f>
        <v>8.1028741468483559E-3</v>
      </c>
      <c r="AA22" s="314">
        <f>Model!AA261</f>
        <v>7.6437971490445249E-3</v>
      </c>
      <c r="AB22" s="314">
        <f>Model!AB261</f>
        <v>7.3981942141146118E-3</v>
      </c>
      <c r="AC22" s="313">
        <v>8.3000000000000001E-3</v>
      </c>
      <c r="AD22" s="313">
        <v>8.5000000000000006E-3</v>
      </c>
      <c r="AE22" s="313">
        <v>8.5000000000000006E-3</v>
      </c>
      <c r="AF22" s="313">
        <v>8.2000000000000007E-3</v>
      </c>
      <c r="AG22" s="313">
        <v>8.3999999999999995E-3</v>
      </c>
      <c r="AH22" s="313">
        <v>8.5000000000000006E-3</v>
      </c>
      <c r="AI22" s="313">
        <v>8.5000000000000006E-3</v>
      </c>
      <c r="AJ22" s="313"/>
      <c r="AK22" s="313"/>
      <c r="AL22" s="313"/>
      <c r="AM22" s="313"/>
      <c r="AN22" s="313"/>
      <c r="AO22" s="313"/>
      <c r="AP22" s="313"/>
      <c r="AQ22" s="313"/>
      <c r="AS22" s="9"/>
      <c r="AT22" s="334" t="s">
        <v>550</v>
      </c>
      <c r="AU22" s="314">
        <f>Model!AU261</f>
        <v>2.1037998146431883E-2</v>
      </c>
      <c r="AV22" s="314">
        <f>Model!AV261</f>
        <v>1.3375322072716862E-2</v>
      </c>
      <c r="AW22" s="314">
        <f>Model!AW261</f>
        <v>1.0848307563727538E-2</v>
      </c>
      <c r="AX22" s="314">
        <f>Model!AX261</f>
        <v>1.0507677410430211E-2</v>
      </c>
      <c r="AY22" s="314">
        <f>Model!AY261</f>
        <v>8.7305487305487303E-3</v>
      </c>
      <c r="AZ22" s="314">
        <f>Model!AZ261</f>
        <v>7.6322213181448323E-3</v>
      </c>
      <c r="BA22" s="314">
        <f>Model!BA261</f>
        <v>8.1799235573986606E-3</v>
      </c>
      <c r="BB22" s="314">
        <f>Model!BB261</f>
        <v>8.4021170878545871E-3</v>
      </c>
      <c r="BC22" s="313">
        <v>8.6999999999999994E-3</v>
      </c>
      <c r="BD22" s="313">
        <v>8.9999999999999993E-3</v>
      </c>
      <c r="BE22" s="313">
        <v>8.9999999999999993E-3</v>
      </c>
      <c r="BG22" s="1712"/>
      <c r="BH22" s="1710"/>
    </row>
    <row r="23" spans="1:60" s="70" customFormat="1" x14ac:dyDescent="0.2">
      <c r="A23" s="411"/>
      <c r="B23" s="9"/>
      <c r="C23" s="334" t="s">
        <v>675</v>
      </c>
      <c r="D23" s="31">
        <f>Model!D262</f>
        <v>9.8952879581151836E-3</v>
      </c>
      <c r="E23" s="31">
        <f>Model!E262</f>
        <v>9.3382352941176472E-3</v>
      </c>
      <c r="F23" s="31">
        <f>Model!F262</f>
        <v>1.054590570719603E-2</v>
      </c>
      <c r="G23" s="31">
        <f>Model!G262</f>
        <v>1.0288461538461538E-2</v>
      </c>
      <c r="H23" s="31">
        <f>Model!H262</f>
        <v>9.9214659685863873E-3</v>
      </c>
      <c r="I23" s="31">
        <f>Model!I262</f>
        <v>7.995226730310263E-3</v>
      </c>
      <c r="J23" s="31">
        <f>Model!J262</f>
        <v>9.5683453237410069E-3</v>
      </c>
      <c r="K23" s="31">
        <f>Model!K262</f>
        <v>9.5622119815668202E-3</v>
      </c>
      <c r="L23" s="31">
        <f>Model!L262</f>
        <v>9.3939393939393937E-3</v>
      </c>
      <c r="M23" s="31">
        <f>Model!M262</f>
        <v>8.9749430523918001E-3</v>
      </c>
      <c r="N23" s="31">
        <f>Model!N262</f>
        <v>1.0092378752886835E-2</v>
      </c>
      <c r="O23" s="31">
        <f>Model!O262</f>
        <v>9.8226164079822618E-3</v>
      </c>
      <c r="P23" s="31">
        <f>Model!P262</f>
        <v>9.8288508557457209E-3</v>
      </c>
      <c r="Q23" s="31">
        <f>Model!Q262</f>
        <v>7.6138828633405637E-3</v>
      </c>
      <c r="R23" s="31">
        <f>Model!R262</f>
        <v>6.6952789699570815E-3</v>
      </c>
      <c r="S23" s="31">
        <f>Model!S262</f>
        <v>6.2040816326530612E-3</v>
      </c>
      <c r="T23" s="314">
        <f>Model!T262</f>
        <v>5.8387799564270154E-3</v>
      </c>
      <c r="U23" s="314">
        <f>Model!U262</f>
        <v>5.5555555555555558E-3</v>
      </c>
      <c r="V23" s="314">
        <f>Model!V262</f>
        <v>4.4870041039671684E-3</v>
      </c>
      <c r="W23" s="314">
        <f>Model!W262</f>
        <v>4.4076433121019104E-3</v>
      </c>
      <c r="X23" s="314">
        <f>Model!X262</f>
        <v>4.2896551724137932E-3</v>
      </c>
      <c r="Y23" s="314">
        <f>Model!Y262</f>
        <v>3.6149068322981369E-3</v>
      </c>
      <c r="Z23" s="314">
        <f>Model!Z262</f>
        <v>4.0920398009950251E-3</v>
      </c>
      <c r="AA23" s="314">
        <f>Model!AA262</f>
        <v>4.2989571263035925E-3</v>
      </c>
      <c r="AB23" s="314">
        <f>Model!AB262</f>
        <v>5.4961832061068703E-3</v>
      </c>
      <c r="AC23" s="313">
        <v>3.0000000000000001E-3</v>
      </c>
      <c r="AD23" s="313">
        <v>3.0000000000000001E-3</v>
      </c>
      <c r="AE23" s="313">
        <v>3.0000000000000001E-3</v>
      </c>
      <c r="AF23" s="313">
        <v>3.3E-3</v>
      </c>
      <c r="AG23" s="313">
        <v>3.3E-3</v>
      </c>
      <c r="AH23" s="313">
        <v>3.3E-3</v>
      </c>
      <c r="AI23" s="313">
        <v>3.3E-3</v>
      </c>
      <c r="AJ23" s="313"/>
      <c r="AK23" s="313"/>
      <c r="AL23" s="313"/>
      <c r="AM23" s="313"/>
      <c r="AN23" s="313"/>
      <c r="AO23" s="313"/>
      <c r="AP23" s="313"/>
      <c r="AQ23" s="313"/>
      <c r="AT23" s="334" t="s">
        <v>675</v>
      </c>
      <c r="AU23" s="314">
        <f>Model!AU262</f>
        <v>1.0018645121193288E-2</v>
      </c>
      <c r="AV23" s="314">
        <f>Model!AV262</f>
        <v>9.2493946731234868E-3</v>
      </c>
      <c r="AW23" s="314">
        <f>Model!AW262</f>
        <v>9.5753344968004649E-3</v>
      </c>
      <c r="AX23" s="314">
        <f>Model!AX262</f>
        <v>7.4972617743702084E-3</v>
      </c>
      <c r="AY23" s="314">
        <f>Model!AY262</f>
        <v>4.9361532322426179E-3</v>
      </c>
      <c r="AZ23" s="314">
        <f>Model!AZ262</f>
        <v>4.0725680325304978E-3</v>
      </c>
      <c r="BA23" s="314">
        <f>Model!BA262</f>
        <v>3.5677477602611297E-3</v>
      </c>
      <c r="BB23" s="314">
        <f>Model!BB262</f>
        <v>3.3E-3</v>
      </c>
      <c r="BC23" s="313">
        <v>3.5000000000000001E-3</v>
      </c>
      <c r="BD23" s="313">
        <v>3.5000000000000001E-3</v>
      </c>
      <c r="BE23" s="313">
        <v>3.5000000000000001E-3</v>
      </c>
      <c r="BG23" s="1712"/>
      <c r="BH23" s="1710"/>
    </row>
    <row r="24" spans="1:60" s="230" customFormat="1" x14ac:dyDescent="0.2">
      <c r="A24" s="411"/>
      <c r="B24" s="66"/>
      <c r="C24" s="373" t="s">
        <v>551</v>
      </c>
      <c r="D24" s="66">
        <f>Model!D263</f>
        <v>-4.8387096774193551E-3</v>
      </c>
      <c r="E24" s="66">
        <f>Model!E263</f>
        <v>-4.3646408839779008E-3</v>
      </c>
      <c r="F24" s="66">
        <f>Model!F263</f>
        <v>-5.3142857142857141E-3</v>
      </c>
      <c r="G24" s="66">
        <f>Model!G263</f>
        <v>-6.2254901960784315E-3</v>
      </c>
      <c r="H24" s="66">
        <f>Model!H263</f>
        <v>-9.2156862745098045E-3</v>
      </c>
      <c r="I24" s="66">
        <f>Model!I263</f>
        <v>-5.6830601092896175E-3</v>
      </c>
      <c r="J24" s="66">
        <f>Model!J263</f>
        <v>-8.5082872928176796E-3</v>
      </c>
      <c r="K24" s="66">
        <f>Model!K263</f>
        <v>-8.2832618025751072E-3</v>
      </c>
      <c r="L24" s="66">
        <f>Model!L263</f>
        <v>-1.1616766467065867E-2</v>
      </c>
      <c r="M24" s="66">
        <f>Model!M263</f>
        <v>-1.1225490196078431E-2</v>
      </c>
      <c r="N24" s="66">
        <f>Model!N263</f>
        <v>-1.2081218274111676E-2</v>
      </c>
      <c r="O24" s="66">
        <f>Model!O263</f>
        <v>-1.3319148936170212E-2</v>
      </c>
      <c r="P24" s="66">
        <f>Model!P263</f>
        <v>-1.5030303030303031E-2</v>
      </c>
      <c r="Q24" s="66">
        <f>Model!Q263</f>
        <v>-1.292079207920792E-2</v>
      </c>
      <c r="R24" s="66">
        <f>Model!R263</f>
        <v>-1.5606060606060606E-2</v>
      </c>
      <c r="S24" s="66">
        <f>Model!S263</f>
        <v>-1.4638297872340425E-2</v>
      </c>
      <c r="T24" s="312">
        <f>Model!T263</f>
        <v>-1.2485207100591715E-2</v>
      </c>
      <c r="U24" s="312">
        <f>Model!U263</f>
        <v>-1.6119402985074627E-2</v>
      </c>
      <c r="V24" s="312">
        <f>Model!V263</f>
        <v>-1.5685279187817258E-2</v>
      </c>
      <c r="W24" s="312">
        <f>Model!W263</f>
        <v>-1.5689655172413792E-2</v>
      </c>
      <c r="X24" s="312">
        <f>Model!X263</f>
        <v>-1.8698224852071007E-2</v>
      </c>
      <c r="Y24" s="312">
        <f>Model!Y263</f>
        <v>-1.5679611650485436E-2</v>
      </c>
      <c r="Z24" s="312">
        <f>Model!Z263</f>
        <v>-1.6650000000000002E-2</v>
      </c>
      <c r="AA24" s="312">
        <f>Model!AA263</f>
        <v>-1.4661016949152542E-2</v>
      </c>
      <c r="AB24" s="312">
        <f>Model!AB263</f>
        <v>-2.0402298850574714E-2</v>
      </c>
      <c r="AC24" s="311">
        <v>-1.9E-2</v>
      </c>
      <c r="AD24" s="311">
        <v>-1.8499999999999999E-2</v>
      </c>
      <c r="AE24" s="311">
        <v>-1.8499999999999999E-2</v>
      </c>
      <c r="AF24" s="311">
        <v>-1.8499999999999999E-2</v>
      </c>
      <c r="AG24" s="311">
        <v>-1.9E-2</v>
      </c>
      <c r="AH24" s="311">
        <v>-1.95E-2</v>
      </c>
      <c r="AI24" s="311">
        <v>-2.0500000000000001E-2</v>
      </c>
      <c r="AJ24" s="311"/>
      <c r="AK24" s="311"/>
      <c r="AL24" s="311"/>
      <c r="AM24" s="311"/>
      <c r="AN24" s="311"/>
      <c r="AO24" s="311"/>
      <c r="AP24" s="311"/>
      <c r="AQ24" s="311"/>
      <c r="AR24" s="70"/>
      <c r="AS24" s="66"/>
      <c r="AT24" s="373" t="s">
        <v>551</v>
      </c>
      <c r="AU24" s="312">
        <f>Model!AU263</f>
        <v>-5.2307692307692307E-3</v>
      </c>
      <c r="AV24" s="312">
        <f>Model!AV263</f>
        <v>-7.8933333333333338E-3</v>
      </c>
      <c r="AW24" s="312">
        <f>Model!AW263</f>
        <v>-1.2129514321295142E-2</v>
      </c>
      <c r="AX24" s="312">
        <f>Model!AX263</f>
        <v>-1.4525E-2</v>
      </c>
      <c r="AY24" s="312">
        <f>Model!AY263</f>
        <v>-1.5118898623279099E-2</v>
      </c>
      <c r="AZ24" s="312">
        <f>Model!AZ263</f>
        <v>-1.6251541307028359E-2</v>
      </c>
      <c r="BA24" s="312">
        <f>Model!BA263</f>
        <v>-1.9023326900255325E-2</v>
      </c>
      <c r="BB24" s="312">
        <f>Model!BB263</f>
        <v>-1.9456253071694858E-2</v>
      </c>
      <c r="BC24" s="311">
        <v>-2.1000000000000001E-2</v>
      </c>
      <c r="BD24" s="311">
        <v>-2.1000000000000001E-2</v>
      </c>
      <c r="BE24" s="311">
        <v>-2.1000000000000001E-2</v>
      </c>
      <c r="BG24" s="1713"/>
      <c r="BH24" s="1710"/>
    </row>
    <row r="25" spans="1:60" s="70" customFormat="1" x14ac:dyDescent="0.2">
      <c r="A25" s="411"/>
      <c r="B25" s="10"/>
      <c r="C25" s="9"/>
      <c r="D25" s="9"/>
      <c r="E25" s="9"/>
      <c r="F25" s="9"/>
      <c r="G25" s="9"/>
      <c r="H25" s="9"/>
      <c r="I25" s="9"/>
      <c r="J25" s="9"/>
      <c r="K25" s="9"/>
      <c r="L25" s="9"/>
      <c r="M25" s="9"/>
      <c r="N25" s="9"/>
      <c r="O25" s="9"/>
      <c r="P25" s="9"/>
      <c r="Q25" s="9"/>
      <c r="R25" s="9"/>
      <c r="S25" s="9"/>
      <c r="T25" s="9"/>
      <c r="U25" s="9"/>
      <c r="V25" s="9"/>
      <c r="W25" s="9"/>
      <c r="X25" s="9"/>
      <c r="Y25" s="1215"/>
      <c r="Z25" s="1688"/>
      <c r="AA25" s="1742"/>
      <c r="AB25" s="1785"/>
      <c r="AC25" s="9"/>
      <c r="AD25" s="9"/>
      <c r="AE25" s="9"/>
      <c r="AF25" s="1707"/>
      <c r="AG25" s="1707"/>
      <c r="AH25" s="1707"/>
      <c r="AI25" s="1707"/>
      <c r="AJ25" s="1740"/>
      <c r="AK25" s="1740"/>
      <c r="AL25" s="1740"/>
      <c r="AM25" s="1740"/>
      <c r="AN25" s="1740"/>
      <c r="AO25" s="1740"/>
      <c r="AP25" s="1740"/>
      <c r="AQ25" s="1740"/>
      <c r="AS25" s="10"/>
      <c r="AT25" s="9"/>
      <c r="BC25" s="371"/>
      <c r="BD25" s="371"/>
      <c r="BE25" s="371"/>
      <c r="BG25" s="371"/>
      <c r="BH25" s="371"/>
    </row>
    <row r="26" spans="1:60" s="70" customFormat="1" x14ac:dyDescent="0.2">
      <c r="A26" s="411"/>
      <c r="B26" s="175" t="s">
        <v>179</v>
      </c>
      <c r="C26" s="9"/>
      <c r="D26" s="9"/>
      <c r="E26" s="9"/>
      <c r="F26" s="9"/>
      <c r="G26" s="9"/>
      <c r="H26" s="9"/>
      <c r="I26" s="9"/>
      <c r="J26" s="9"/>
      <c r="K26" s="9"/>
      <c r="L26" s="9"/>
      <c r="M26" s="9"/>
      <c r="N26" s="9"/>
      <c r="O26" s="9"/>
      <c r="P26" s="9"/>
      <c r="Q26" s="9"/>
      <c r="R26" s="9"/>
      <c r="S26" s="9"/>
      <c r="T26" s="9"/>
      <c r="U26" s="9"/>
      <c r="V26" s="9"/>
      <c r="W26" s="9"/>
      <c r="X26" s="9"/>
      <c r="Y26" s="1215"/>
      <c r="Z26" s="1688"/>
      <c r="AA26" s="1742"/>
      <c r="AB26" s="1785"/>
      <c r="AC26" s="9"/>
      <c r="AD26" s="9"/>
      <c r="AE26" s="9"/>
      <c r="AF26" s="1707"/>
      <c r="AG26" s="1707"/>
      <c r="AH26" s="1707"/>
      <c r="AI26" s="1707"/>
      <c r="AJ26" s="1740"/>
      <c r="AK26" s="1740"/>
      <c r="AL26" s="1740"/>
      <c r="AM26" s="1740"/>
      <c r="AN26" s="1740"/>
      <c r="AO26" s="1740"/>
      <c r="AP26" s="1740"/>
      <c r="AQ26" s="1740"/>
      <c r="AS26" s="175" t="s">
        <v>179</v>
      </c>
      <c r="AT26" s="9"/>
      <c r="BC26" s="371"/>
      <c r="BD26" s="371"/>
      <c r="BE26" s="371"/>
      <c r="BG26" s="371"/>
      <c r="BH26" s="371"/>
    </row>
    <row r="27" spans="1:60" s="70" customFormat="1" x14ac:dyDescent="0.2">
      <c r="A27" s="411"/>
      <c r="B27" s="10"/>
      <c r="C27" s="334" t="s">
        <v>504</v>
      </c>
      <c r="D27" s="370">
        <f>Model!D319</f>
        <v>4.7391838930300474E-2</v>
      </c>
      <c r="E27" s="370">
        <f>Model!E319</f>
        <v>4.5004289390906491E-2</v>
      </c>
      <c r="F27" s="370">
        <f>Model!F319</f>
        <v>4.7881211180124221E-2</v>
      </c>
      <c r="G27" s="370">
        <f>Model!G319</f>
        <v>4.6940725139160526E-2</v>
      </c>
      <c r="H27" s="370">
        <f>Model!H319</f>
        <v>5.1866969009826153E-2</v>
      </c>
      <c r="I27" s="370">
        <f>Model!I319</f>
        <v>5.3945705862082166E-2</v>
      </c>
      <c r="J27" s="370">
        <f>Model!J319</f>
        <v>4.8026315789473681E-2</v>
      </c>
      <c r="K27" s="370">
        <f>Model!K319</f>
        <v>5.311606121281464E-2</v>
      </c>
      <c r="L27" s="370">
        <f>Model!L319</f>
        <v>5.0032455135547917E-2</v>
      </c>
      <c r="M27" s="370">
        <f>Model!M319</f>
        <v>4.9736263736263733E-2</v>
      </c>
      <c r="N27" s="370">
        <f>Model!N319</f>
        <v>5.0385869565217387E-2</v>
      </c>
      <c r="O27" s="370">
        <f>Model!O319</f>
        <v>4.8445356403430929E-2</v>
      </c>
      <c r="P27" s="370">
        <f>Model!P319</f>
        <v>4.6204365079365074E-2</v>
      </c>
      <c r="Q27" s="370">
        <f>Model!Q319</f>
        <v>4.760294650404541E-2</v>
      </c>
      <c r="R27" s="370">
        <f>Model!R319</f>
        <v>7.2246658771781408E-2</v>
      </c>
      <c r="S27" s="370">
        <f>Model!S319</f>
        <v>4.5341614906832292E-2</v>
      </c>
      <c r="T27" s="370">
        <f>Model!T319</f>
        <v>4.1452570418087656E-2</v>
      </c>
      <c r="U27" s="370">
        <f>Model!U319</f>
        <v>4.1617378760235905E-2</v>
      </c>
      <c r="V27" s="370">
        <f>Model!V319</f>
        <v>4.1640162409067837E-2</v>
      </c>
      <c r="W27" s="370">
        <f>Model!W319</f>
        <v>4.1677018633540369E-2</v>
      </c>
      <c r="X27" s="370">
        <f>Model!X319</f>
        <v>4.215854194115063E-2</v>
      </c>
      <c r="Y27" s="370">
        <f>Model!Y319</f>
        <v>3.895564866787888E-2</v>
      </c>
      <c r="Z27" s="370">
        <f>Model!Z319</f>
        <v>3.9811669685990335E-2</v>
      </c>
      <c r="AA27" s="370">
        <f>Model!AA319</f>
        <v>4.2670863309352512E-2</v>
      </c>
      <c r="AB27" s="370">
        <f>Model!AB319</f>
        <v>4.0134563629373315E-2</v>
      </c>
      <c r="AC27" s="261">
        <v>4.2000000000000003E-2</v>
      </c>
      <c r="AD27" s="261">
        <v>4.2000000000000003E-2</v>
      </c>
      <c r="AE27" s="261">
        <v>4.2000000000000003E-2</v>
      </c>
      <c r="AF27" s="261">
        <v>4.2500000000000003E-2</v>
      </c>
      <c r="AG27" s="261">
        <v>4.2500000000000003E-2</v>
      </c>
      <c r="AH27" s="261">
        <v>4.2500000000000003E-2</v>
      </c>
      <c r="AI27" s="261">
        <v>4.2500000000000003E-2</v>
      </c>
      <c r="AJ27" s="261"/>
      <c r="AK27" s="261"/>
      <c r="AL27" s="261"/>
      <c r="AM27" s="261"/>
      <c r="AN27" s="261"/>
      <c r="AO27" s="261"/>
      <c r="AP27" s="261"/>
      <c r="AQ27" s="261"/>
      <c r="AS27" s="10"/>
      <c r="AT27" s="334" t="s">
        <v>504</v>
      </c>
      <c r="AU27" s="370">
        <f>Model!AU319</f>
        <v>4.6832740213523134E-2</v>
      </c>
      <c r="AV27" s="370">
        <f>Model!AV319</f>
        <v>5.1760683760683761E-2</v>
      </c>
      <c r="AW27" s="370">
        <f>Model!AW319</f>
        <v>4.9654008438818564E-2</v>
      </c>
      <c r="AX27" s="370">
        <f>Model!AX319</f>
        <v>5.2647333956969133E-2</v>
      </c>
      <c r="AY27" s="370">
        <f>Model!AY319</f>
        <v>4.1593780369290574E-2</v>
      </c>
      <c r="AZ27" s="370">
        <f>Model!AZ319</f>
        <v>4.0875113947128533E-2</v>
      </c>
      <c r="BA27" s="370">
        <f>Model!BA319</f>
        <v>4.1550873317363721E-2</v>
      </c>
      <c r="BB27" s="370">
        <f>Model!BB319</f>
        <v>4.2504049217110706E-2</v>
      </c>
      <c r="BC27" s="261">
        <v>4.2500000000000003E-2</v>
      </c>
      <c r="BD27" s="261">
        <v>4.2999999999999997E-2</v>
      </c>
      <c r="BE27" s="261">
        <v>4.3999999999999997E-2</v>
      </c>
      <c r="BG27" s="1710"/>
      <c r="BH27" s="1710"/>
    </row>
    <row r="28" spans="1:60" s="70" customFormat="1" x14ac:dyDescent="0.2">
      <c r="A28" s="411"/>
      <c r="B28" s="10"/>
      <c r="C28" s="334" t="s">
        <v>675</v>
      </c>
      <c r="D28" s="370">
        <f>Model!D320</f>
        <v>3.4102564102564105E-2</v>
      </c>
      <c r="E28" s="370">
        <f>Model!E320</f>
        <v>2.8461538461538462E-2</v>
      </c>
      <c r="F28" s="370">
        <f>Model!F320</f>
        <v>2.8372093023255815E-2</v>
      </c>
      <c r="G28" s="370">
        <f>Model!G320</f>
        <v>3.0800000000000001E-2</v>
      </c>
      <c r="H28" s="370">
        <f>Model!H320</f>
        <v>3.4888888888888886E-2</v>
      </c>
      <c r="I28" s="370">
        <f>Model!I320</f>
        <v>2.8775510204081634E-2</v>
      </c>
      <c r="J28" s="370">
        <f>Model!J320</f>
        <v>2.6200000000000001E-2</v>
      </c>
      <c r="K28" s="370">
        <f>Model!K320</f>
        <v>2.7090909090909093E-2</v>
      </c>
      <c r="L28" s="370">
        <f>Model!L320</f>
        <v>2.8666666666666667E-2</v>
      </c>
      <c r="M28" s="370">
        <f>Model!M320</f>
        <v>2.6734693877551022E-2</v>
      </c>
      <c r="N28" s="370">
        <f>Model!N320</f>
        <v>2.6938775510204082E-2</v>
      </c>
      <c r="O28" s="370">
        <f>Model!O320</f>
        <v>2.9000000000000001E-2</v>
      </c>
      <c r="P28" s="370">
        <f>Model!P320</f>
        <v>2.9268292682926831E-2</v>
      </c>
      <c r="Q28" s="370">
        <f>Model!Q320</f>
        <v>2.7142857142857142E-2</v>
      </c>
      <c r="R28" s="370">
        <f>Model!R320</f>
        <v>2.8750000000000001E-2</v>
      </c>
      <c r="S28" s="370">
        <f>Model!S320</f>
        <v>2.6590909090909092E-2</v>
      </c>
      <c r="T28" s="370">
        <f>Model!T320</f>
        <v>2.8918918918918918E-2</v>
      </c>
      <c r="U28" s="370">
        <f>Model!U320</f>
        <v>2.8157894736842104E-2</v>
      </c>
      <c r="V28" s="370">
        <f>Model!V320</f>
        <v>2.6052631578947369E-2</v>
      </c>
      <c r="W28" s="370">
        <f>Model!W320</f>
        <v>2.7E-2</v>
      </c>
      <c r="X28" s="370">
        <f>Model!X320</f>
        <v>1.5555555555555555E-2</v>
      </c>
      <c r="Y28" s="370">
        <f>Model!Y320</f>
        <v>1.7317073170731709E-2</v>
      </c>
      <c r="Z28" s="370">
        <f>Model!Z320</f>
        <v>1.4523809523809524E-2</v>
      </c>
      <c r="AA28" s="370">
        <f>Model!AA320</f>
        <v>1.5333333333333332E-2</v>
      </c>
      <c r="AB28" s="370">
        <f>Model!AB320</f>
        <v>1.5238095238095238E-2</v>
      </c>
      <c r="AC28" s="261">
        <v>1.4999999999999999E-2</v>
      </c>
      <c r="AD28" s="261">
        <v>1.52E-2</v>
      </c>
      <c r="AE28" s="261">
        <v>1.54E-2</v>
      </c>
      <c r="AF28" s="261">
        <v>1.55E-2</v>
      </c>
      <c r="AG28" s="261">
        <v>1.55E-2</v>
      </c>
      <c r="AH28" s="261">
        <v>1.55E-2</v>
      </c>
      <c r="AI28" s="261">
        <v>1.55E-2</v>
      </c>
      <c r="AJ28" s="261"/>
      <c r="AK28" s="261"/>
      <c r="AL28" s="261"/>
      <c r="AM28" s="261"/>
      <c r="AN28" s="261"/>
      <c r="AO28" s="261"/>
      <c r="AP28" s="261"/>
      <c r="AQ28" s="261"/>
      <c r="AS28" s="10"/>
      <c r="AT28" s="334" t="s">
        <v>675</v>
      </c>
      <c r="AU28" s="370">
        <f>Model!AU320</f>
        <v>3.0409356725146199E-2</v>
      </c>
      <c r="AV28" s="370">
        <f>Model!AV320</f>
        <v>2.9045226130653266E-2</v>
      </c>
      <c r="AW28" s="370">
        <f>Model!AW320</f>
        <v>2.7823834196891193E-2</v>
      </c>
      <c r="AX28" s="370">
        <f>Model!AX320</f>
        <v>2.7904191616766463E-2</v>
      </c>
      <c r="AY28" s="370">
        <f>Model!AY320</f>
        <v>2.7516339869281047E-2</v>
      </c>
      <c r="AZ28" s="370">
        <f>Model!AZ320</f>
        <v>1.5670731707317073E-2</v>
      </c>
      <c r="BA28" s="370">
        <f>Model!BA320</f>
        <v>1.5212152645083804E-2</v>
      </c>
      <c r="BB28" s="370">
        <f>Model!BB320</f>
        <v>1.55E-2</v>
      </c>
      <c r="BC28" s="261">
        <v>1.5800000000000002E-2</v>
      </c>
      <c r="BD28" s="261">
        <v>1.6E-2</v>
      </c>
      <c r="BE28" s="261">
        <v>1.6199999999999999E-2</v>
      </c>
      <c r="BG28" s="1710"/>
      <c r="BH28" s="1710"/>
    </row>
    <row r="29" spans="1:60" s="70" customFormat="1" x14ac:dyDescent="0.2">
      <c r="A29" s="411"/>
      <c r="B29" s="10"/>
      <c r="C29" s="9"/>
      <c r="D29" s="9"/>
      <c r="E29" s="9"/>
      <c r="F29" s="9"/>
      <c r="G29" s="9"/>
      <c r="H29" s="9"/>
      <c r="I29" s="9"/>
      <c r="J29" s="9"/>
      <c r="K29" s="9"/>
      <c r="L29" s="9"/>
      <c r="M29" s="9"/>
      <c r="N29" s="9"/>
      <c r="O29" s="9"/>
      <c r="P29" s="9"/>
      <c r="Q29" s="9"/>
      <c r="R29" s="9"/>
      <c r="S29" s="9"/>
      <c r="T29" s="9"/>
      <c r="U29" s="9"/>
      <c r="V29" s="9"/>
      <c r="W29" s="9"/>
      <c r="X29" s="9"/>
      <c r="Y29" s="1215"/>
      <c r="Z29" s="1688"/>
      <c r="AA29" s="1742"/>
      <c r="AB29" s="1785"/>
      <c r="AC29" s="9"/>
      <c r="AD29" s="9"/>
      <c r="AE29" s="9"/>
      <c r="AF29" s="1707"/>
      <c r="AG29" s="1707"/>
      <c r="AH29" s="1707"/>
      <c r="AI29" s="1707"/>
      <c r="AJ29" s="1740"/>
      <c r="AK29" s="1740"/>
      <c r="AL29" s="1740"/>
      <c r="AM29" s="1740"/>
      <c r="AN29" s="1740"/>
      <c r="AO29" s="1740"/>
      <c r="AP29" s="1740"/>
      <c r="AQ29" s="1740"/>
      <c r="AS29" s="10"/>
      <c r="AT29" s="9"/>
      <c r="AU29" s="9"/>
      <c r="AV29" s="9"/>
      <c r="AW29" s="9"/>
      <c r="AX29" s="9"/>
      <c r="AY29" s="9"/>
      <c r="AZ29" s="9"/>
      <c r="BA29" s="9"/>
      <c r="BB29" s="1707"/>
      <c r="BC29" s="371"/>
      <c r="BD29" s="371"/>
      <c r="BE29" s="371"/>
      <c r="BG29" s="1711"/>
      <c r="BH29" s="1711"/>
    </row>
    <row r="30" spans="1:60" s="70" customFormat="1" x14ac:dyDescent="0.2">
      <c r="A30" s="411"/>
      <c r="B30" s="175" t="s">
        <v>549</v>
      </c>
      <c r="C30" s="9"/>
      <c r="D30" s="9"/>
      <c r="E30" s="9"/>
      <c r="F30" s="9"/>
      <c r="G30" s="9"/>
      <c r="H30" s="9"/>
      <c r="I30" s="9"/>
      <c r="J30" s="9"/>
      <c r="K30" s="9"/>
      <c r="L30" s="9"/>
      <c r="M30" s="9"/>
      <c r="N30" s="9"/>
      <c r="O30" s="9"/>
      <c r="P30" s="9"/>
      <c r="Q30" s="9"/>
      <c r="R30" s="9"/>
      <c r="S30" s="9"/>
      <c r="T30" s="9"/>
      <c r="U30" s="9"/>
      <c r="V30" s="9"/>
      <c r="W30" s="9"/>
      <c r="X30" s="9"/>
      <c r="Y30" s="1215"/>
      <c r="Z30" s="1688"/>
      <c r="AA30" s="1742"/>
      <c r="AB30" s="1785"/>
      <c r="AC30" s="9"/>
      <c r="AD30" s="9"/>
      <c r="AE30" s="9"/>
      <c r="AF30" s="1707"/>
      <c r="AG30" s="1707"/>
      <c r="AH30" s="1707"/>
      <c r="AI30" s="1707"/>
      <c r="AJ30" s="1740"/>
      <c r="AK30" s="1740"/>
      <c r="AL30" s="1740"/>
      <c r="AM30" s="1740"/>
      <c r="AN30" s="1740"/>
      <c r="AO30" s="1740"/>
      <c r="AP30" s="1740"/>
      <c r="AQ30" s="1740"/>
      <c r="AS30" s="175" t="s">
        <v>549</v>
      </c>
      <c r="AT30" s="9"/>
      <c r="AU30" s="9"/>
      <c r="AV30" s="9"/>
      <c r="AW30" s="9"/>
      <c r="AX30" s="9"/>
      <c r="AY30" s="9"/>
      <c r="AZ30" s="9"/>
      <c r="BA30" s="9"/>
      <c r="BB30" s="1707"/>
      <c r="BC30" s="371"/>
      <c r="BD30" s="371"/>
      <c r="BE30" s="371"/>
      <c r="BG30" s="1711"/>
      <c r="BH30" s="1711"/>
    </row>
    <row r="31" spans="1:60" s="70" customFormat="1" x14ac:dyDescent="0.2">
      <c r="A31" s="411"/>
      <c r="B31" s="10"/>
      <c r="C31" s="334" t="s">
        <v>504</v>
      </c>
      <c r="D31" s="31">
        <f>Model!D397</f>
        <v>1.7984108914341473E-2</v>
      </c>
      <c r="E31" s="31">
        <f>Model!E397</f>
        <v>1.6700702730745649E-2</v>
      </c>
      <c r="F31" s="31">
        <f>Model!F397</f>
        <v>1.8207714324655854E-2</v>
      </c>
      <c r="G31" s="31">
        <f>Model!G397</f>
        <v>1.818633540372671E-2</v>
      </c>
      <c r="H31" s="31">
        <f>Model!H397</f>
        <v>2.0583034647550773E-2</v>
      </c>
      <c r="I31" s="31">
        <f>Model!I397</f>
        <v>2.1649459163456924E-2</v>
      </c>
      <c r="J31" s="31">
        <f>Model!J397</f>
        <v>1.9605756562278299E-2</v>
      </c>
      <c r="K31" s="31">
        <f>Model!K397</f>
        <v>1.7312252964426875E-2</v>
      </c>
      <c r="L31" s="31">
        <f>Model!L397</f>
        <v>2.2602471938453775E-2</v>
      </c>
      <c r="M31" s="31">
        <f>Model!M397</f>
        <v>2.1001556072906238E-2</v>
      </c>
      <c r="N31" s="31">
        <f>Model!N397</f>
        <v>2.1473669106041038E-2</v>
      </c>
      <c r="O31" s="31">
        <f>Model!O397</f>
        <v>1.8980360671936754E-2</v>
      </c>
      <c r="P31" s="31">
        <f>Model!P397</f>
        <v>2.2300957420005037E-2</v>
      </c>
      <c r="Q31" s="31">
        <f>Model!Q397</f>
        <v>2.2457945190308012E-2</v>
      </c>
      <c r="R31" s="31">
        <f>Model!R397</f>
        <v>1.878082226247987E-2</v>
      </c>
      <c r="S31" s="31">
        <f>Model!S397</f>
        <v>1.6610877087407851E-2</v>
      </c>
      <c r="T31" s="31">
        <f>Model!T397</f>
        <v>1.7434721242060691E-2</v>
      </c>
      <c r="U31" s="31">
        <f>Model!U397</f>
        <v>1.8535290213142562E-2</v>
      </c>
      <c r="V31" s="31">
        <f>Model!V397</f>
        <v>1.8414657300170875E-2</v>
      </c>
      <c r="W31" s="31">
        <f>Model!W397</f>
        <v>1.7391062533249502E-2</v>
      </c>
      <c r="X31" s="31">
        <f>Model!X397</f>
        <v>1.868093012105957E-2</v>
      </c>
      <c r="Y31" s="31">
        <f>Model!Y397</f>
        <v>1.8162166571498491E-2</v>
      </c>
      <c r="Z31" s="31">
        <f>Model!Z397</f>
        <v>1.9711933686518086E-2</v>
      </c>
      <c r="AA31" s="31">
        <f>Model!AA397</f>
        <v>1.8307857789855071E-2</v>
      </c>
      <c r="AB31" s="31">
        <f>Model!AB397</f>
        <v>2.0052696490637963E-2</v>
      </c>
      <c r="AC31" s="261">
        <v>0.02</v>
      </c>
      <c r="AD31" s="261">
        <v>0.02</v>
      </c>
      <c r="AE31" s="261">
        <v>1.95E-2</v>
      </c>
      <c r="AF31" s="261">
        <v>1.8800000000000001E-2</v>
      </c>
      <c r="AG31" s="261">
        <v>1.9E-2</v>
      </c>
      <c r="AH31" s="261">
        <v>2.0500000000000001E-2</v>
      </c>
      <c r="AI31" s="261">
        <v>0.02</v>
      </c>
      <c r="AJ31" s="261"/>
      <c r="AK31" s="261"/>
      <c r="AL31" s="261"/>
      <c r="AM31" s="261"/>
      <c r="AN31" s="261"/>
      <c r="AO31" s="261"/>
      <c r="AP31" s="261"/>
      <c r="AQ31" s="261"/>
      <c r="AS31" s="10"/>
      <c r="AT31" s="334" t="s">
        <v>504</v>
      </c>
      <c r="AU31" s="31">
        <f>Model!AU397</f>
        <v>1.7777777777777778E-2</v>
      </c>
      <c r="AV31" s="31">
        <f>Model!AV397</f>
        <v>1.9792193204156136E-2</v>
      </c>
      <c r="AW31" s="31">
        <f>Model!AW397</f>
        <v>2.1010890812622172E-2</v>
      </c>
      <c r="AX31" s="31">
        <f>Model!AX397</f>
        <v>2.0045636052481462E-2</v>
      </c>
      <c r="AY31" s="31">
        <f>Model!AY397</f>
        <v>1.7950293214185981E-2</v>
      </c>
      <c r="AZ31" s="31">
        <f>Model!AZ397</f>
        <v>1.872025383395029E-2</v>
      </c>
      <c r="BA31" s="31">
        <f>Model!BA397</f>
        <v>1.9886791269603549E-2</v>
      </c>
      <c r="BB31" s="31">
        <f>Model!BB397</f>
        <v>1.9588713119487882E-2</v>
      </c>
      <c r="BC31" s="261">
        <v>0.02</v>
      </c>
      <c r="BD31" s="261">
        <v>0.02</v>
      </c>
      <c r="BE31" s="261">
        <v>0.02</v>
      </c>
      <c r="BG31" s="1710"/>
      <c r="BH31" s="1710"/>
    </row>
    <row r="32" spans="1:60" s="70" customFormat="1" x14ac:dyDescent="0.2">
      <c r="A32" s="411"/>
      <c r="B32" s="10"/>
      <c r="C32" s="334" t="s">
        <v>675</v>
      </c>
      <c r="D32" s="31">
        <f>Model!D398</f>
        <v>1.1290322580645161E-2</v>
      </c>
      <c r="E32" s="31">
        <f>Model!E398</f>
        <v>1.2594594594594595E-2</v>
      </c>
      <c r="F32" s="31">
        <f>Model!F398</f>
        <v>1.2500000000000001E-2</v>
      </c>
      <c r="G32" s="31">
        <f>Model!G398</f>
        <v>1.2038834951456311E-2</v>
      </c>
      <c r="H32" s="31">
        <f>Model!H398</f>
        <v>1.1743589743589744E-2</v>
      </c>
      <c r="I32" s="31">
        <f>Model!I398</f>
        <v>1.3115577889447236E-2</v>
      </c>
      <c r="J32" s="31">
        <f>Model!J398</f>
        <v>1.3105263157894736E-2</v>
      </c>
      <c r="K32" s="31">
        <f>Model!K398</f>
        <v>1.2107843137254902E-2</v>
      </c>
      <c r="L32" s="31">
        <f>Model!L398</f>
        <v>1.1968085106382979E-2</v>
      </c>
      <c r="M32" s="31">
        <f>Model!M398</f>
        <v>1.2500000000000001E-2</v>
      </c>
      <c r="N32" s="31">
        <f>Model!N398</f>
        <v>1.2475247524752476E-2</v>
      </c>
      <c r="O32" s="31">
        <f>Model!O398</f>
        <v>1.0490196078431373E-2</v>
      </c>
      <c r="P32" s="31">
        <f>Model!P398</f>
        <v>1.0268817204301076E-2</v>
      </c>
      <c r="Q32" s="31">
        <f>Model!Q398</f>
        <v>1.0677083333333334E-2</v>
      </c>
      <c r="R32" s="31">
        <f>Model!R398</f>
        <v>1.0109890109890111E-2</v>
      </c>
      <c r="S32" s="31">
        <f>Model!S398</f>
        <v>9.6891191709844553E-3</v>
      </c>
      <c r="T32" s="31">
        <f>Model!T398</f>
        <v>9.7237569060773486E-3</v>
      </c>
      <c r="U32" s="31">
        <f>Model!U398</f>
        <v>1.06951871657754E-2</v>
      </c>
      <c r="V32" s="31">
        <f>Model!V398</f>
        <v>1.0588235294117647E-2</v>
      </c>
      <c r="W32" s="31">
        <f>Model!W398</f>
        <v>9.9484536082474224E-3</v>
      </c>
      <c r="X32" s="31">
        <f>Model!X398</f>
        <v>1.0052083333333333E-2</v>
      </c>
      <c r="Y32" s="31">
        <f>Model!Y398</f>
        <v>1.1492537313432836E-2</v>
      </c>
      <c r="Z32" s="31">
        <f>Model!Z398</f>
        <v>1.0049261083743842E-2</v>
      </c>
      <c r="AA32" s="31">
        <f>Model!AA398</f>
        <v>1.1232876712328766E-2</v>
      </c>
      <c r="AB32" s="31">
        <f>Model!AB398</f>
        <v>9.5813953488372086E-3</v>
      </c>
      <c r="AC32" s="261">
        <v>9.9999999999999985E-3</v>
      </c>
      <c r="AD32" s="261">
        <v>1.0200000000000001E-2</v>
      </c>
      <c r="AE32" s="261">
        <v>1.0200000000000001E-2</v>
      </c>
      <c r="AF32" s="261">
        <v>1.04E-2</v>
      </c>
      <c r="AG32" s="261">
        <v>1.0499999999999999E-2</v>
      </c>
      <c r="AH32" s="261">
        <v>1.0499999999999999E-2</v>
      </c>
      <c r="AI32" s="261">
        <v>1.0499999999999999E-2</v>
      </c>
      <c r="AJ32" s="261"/>
      <c r="AK32" s="261"/>
      <c r="AL32" s="261"/>
      <c r="AM32" s="261"/>
      <c r="AN32" s="261"/>
      <c r="AO32" s="261"/>
      <c r="AP32" s="261"/>
      <c r="AQ32" s="261"/>
      <c r="AS32" s="10"/>
      <c r="AT32" s="334" t="s">
        <v>675</v>
      </c>
      <c r="AU32" s="31">
        <f>Model!AU398</f>
        <v>1.2104575163398693E-2</v>
      </c>
      <c r="AV32" s="31">
        <f>Model!AV398</f>
        <v>1.2512690355329949E-2</v>
      </c>
      <c r="AW32" s="31">
        <f>Model!AW398</f>
        <v>1.1851385390428211E-2</v>
      </c>
      <c r="AX32" s="31">
        <f>Model!AX398</f>
        <v>1.0185922974767597E-2</v>
      </c>
      <c r="AY32" s="31">
        <f>Model!AY398</f>
        <v>1.0240320427236315E-2</v>
      </c>
      <c r="AZ32" s="31">
        <f>Model!AZ398</f>
        <v>1.0723926380368098E-2</v>
      </c>
      <c r="BA32" s="31">
        <f>Model!BA398</f>
        <v>1.0001742943762656E-2</v>
      </c>
      <c r="BB32" s="31">
        <f>Model!BB398</f>
        <v>1.0475775882529719E-2</v>
      </c>
      <c r="BC32" s="261">
        <v>1.0500000000000001E-2</v>
      </c>
      <c r="BD32" s="261">
        <v>1.0500000000000001E-2</v>
      </c>
      <c r="BE32" s="261">
        <v>1.0500000000000001E-2</v>
      </c>
      <c r="BG32" s="1710"/>
      <c r="BH32" s="1710"/>
    </row>
    <row r="33" spans="1:269" s="70" customFormat="1" x14ac:dyDescent="0.2">
      <c r="A33" s="411"/>
      <c r="B33" s="10"/>
      <c r="C33" s="9"/>
      <c r="D33" s="9"/>
      <c r="E33" s="9"/>
      <c r="F33" s="9"/>
      <c r="G33" s="9"/>
      <c r="H33" s="9"/>
      <c r="I33" s="9"/>
      <c r="J33" s="9"/>
      <c r="K33" s="9"/>
      <c r="L33" s="9"/>
      <c r="M33" s="9"/>
      <c r="N33" s="9"/>
      <c r="O33" s="9"/>
      <c r="P33" s="9"/>
      <c r="Q33" s="9"/>
      <c r="R33" s="9"/>
      <c r="S33" s="9"/>
      <c r="T33" s="9"/>
      <c r="U33" s="9"/>
      <c r="V33" s="9"/>
      <c r="W33" s="9"/>
      <c r="X33" s="9"/>
      <c r="Y33" s="1215"/>
      <c r="Z33" s="1688"/>
      <c r="AA33" s="1742"/>
      <c r="AB33" s="1785"/>
      <c r="AC33" s="9"/>
      <c r="AD33" s="1786"/>
      <c r="AE33" s="1786"/>
      <c r="AF33" s="1786"/>
      <c r="AG33" s="1786"/>
      <c r="AH33" s="1786"/>
      <c r="AI33" s="1786"/>
      <c r="AJ33" s="1740"/>
      <c r="AK33" s="1740"/>
      <c r="AL33" s="1740"/>
      <c r="AM33" s="1740"/>
      <c r="AN33" s="1740"/>
      <c r="AO33" s="1740"/>
      <c r="AP33" s="1740"/>
      <c r="AQ33" s="1740"/>
      <c r="AS33" s="10"/>
      <c r="AT33" s="9"/>
    </row>
    <row r="34" spans="1:269" s="369" customFormat="1" x14ac:dyDescent="0.2">
      <c r="A34" s="411"/>
      <c r="B34" s="337" t="s">
        <v>552</v>
      </c>
      <c r="C34" s="366"/>
      <c r="D34" s="367"/>
      <c r="E34" s="367"/>
      <c r="F34" s="367"/>
      <c r="G34" s="367"/>
      <c r="H34" s="367"/>
      <c r="I34" s="367"/>
      <c r="J34" s="367"/>
      <c r="K34" s="367"/>
      <c r="L34" s="367"/>
      <c r="M34" s="367"/>
      <c r="N34" s="367"/>
      <c r="O34" s="367"/>
      <c r="P34" s="367"/>
      <c r="Q34" s="367"/>
      <c r="R34" s="367"/>
      <c r="S34" s="367"/>
      <c r="T34" s="367"/>
      <c r="U34" s="367"/>
      <c r="V34" s="367"/>
      <c r="W34" s="367"/>
      <c r="X34" s="367"/>
      <c r="Y34" s="367"/>
      <c r="Z34" s="367"/>
      <c r="AA34" s="367"/>
      <c r="AB34" s="367"/>
      <c r="AC34" s="367"/>
      <c r="AD34" s="367"/>
      <c r="AE34" s="367"/>
      <c r="AF34" s="367"/>
      <c r="AG34" s="367"/>
      <c r="AH34" s="367"/>
      <c r="AI34" s="367"/>
      <c r="AJ34" s="367"/>
      <c r="AK34" s="367"/>
      <c r="AL34" s="367"/>
      <c r="AM34" s="367"/>
      <c r="AN34" s="367"/>
      <c r="AO34" s="367"/>
      <c r="AP34" s="367"/>
      <c r="AQ34" s="367"/>
      <c r="AR34" s="70"/>
      <c r="AS34" s="337" t="s">
        <v>552</v>
      </c>
      <c r="AT34" s="366"/>
      <c r="AU34" s="12"/>
      <c r="AV34" s="12"/>
      <c r="AW34" s="12"/>
      <c r="AX34" s="12"/>
      <c r="AY34" s="12"/>
      <c r="AZ34" s="12"/>
      <c r="BA34" s="12"/>
      <c r="BB34" s="12"/>
      <c r="BC34" s="12"/>
      <c r="BD34" s="12"/>
      <c r="BE34" s="12"/>
      <c r="BG34" s="15"/>
      <c r="BH34" s="15"/>
    </row>
    <row r="35" spans="1:269" s="70" customFormat="1" x14ac:dyDescent="0.2">
      <c r="A35" s="411"/>
      <c r="B35" s="175" t="s">
        <v>178</v>
      </c>
      <c r="C35" s="9"/>
      <c r="D35" s="9"/>
      <c r="E35" s="9"/>
      <c r="F35" s="9"/>
      <c r="G35" s="9"/>
      <c r="H35" s="9"/>
      <c r="I35" s="9"/>
      <c r="J35" s="9"/>
      <c r="K35" s="9"/>
      <c r="L35" s="9"/>
      <c r="M35" s="9"/>
      <c r="N35" s="9"/>
      <c r="O35" s="9"/>
      <c r="P35" s="9"/>
      <c r="Q35" s="9"/>
      <c r="R35" s="9"/>
      <c r="S35" s="9"/>
      <c r="T35" s="9"/>
      <c r="U35" s="9"/>
      <c r="V35" s="9"/>
      <c r="W35" s="9"/>
      <c r="X35" s="9"/>
      <c r="Y35" s="1215"/>
      <c r="Z35" s="1688"/>
      <c r="AA35" s="1742"/>
      <c r="AB35" s="1785"/>
      <c r="AC35" s="9"/>
      <c r="AD35" s="9"/>
      <c r="AE35" s="9"/>
      <c r="AF35" s="1707"/>
      <c r="AG35" s="1707"/>
      <c r="AH35" s="1707"/>
      <c r="AI35" s="1707"/>
      <c r="AJ35" s="1740"/>
      <c r="AK35" s="1740"/>
      <c r="AL35" s="1740"/>
      <c r="AM35" s="1740"/>
      <c r="AN35" s="1740"/>
      <c r="AO35" s="1740"/>
      <c r="AP35" s="1740"/>
      <c r="AQ35" s="1740"/>
      <c r="AS35" s="175" t="s">
        <v>178</v>
      </c>
      <c r="AT35" s="9"/>
    </row>
    <row r="36" spans="1:269" s="70" customFormat="1" x14ac:dyDescent="0.2">
      <c r="A36" s="411"/>
      <c r="B36" s="17" t="s">
        <v>495</v>
      </c>
      <c r="C36" s="19"/>
      <c r="D36" s="9"/>
      <c r="E36" s="23">
        <f>Model!E214/Model!D214-1</f>
        <v>1.4814814814814836E-2</v>
      </c>
      <c r="F36" s="23">
        <f>Model!F214/Model!E214-1</f>
        <v>4.8661800486617945E-3</v>
      </c>
      <c r="G36" s="23">
        <f>Model!G214/Model!F214-1</f>
        <v>2.1791767554479646E-2</v>
      </c>
      <c r="H36" s="23">
        <f>Model!H214/Model!G214-1</f>
        <v>2.6066350710900243E-2</v>
      </c>
      <c r="I36" s="23">
        <f>Model!I214/Model!H214-1</f>
        <v>-5.0808314087759765E-2</v>
      </c>
      <c r="J36" s="23">
        <f>Model!J214/Model!I214-1</f>
        <v>4.6228710462287159E-2</v>
      </c>
      <c r="K36" s="23">
        <f>Model!K214/Model!J214-1</f>
        <v>2.3255813953488413E-2</v>
      </c>
      <c r="L36" s="23">
        <f>Model!L214/Model!K214-1</f>
        <v>2.2727272727272707E-2</v>
      </c>
      <c r="M36" s="23">
        <f>Model!M214/Model!L214-1</f>
        <v>1.5555555555555545E-2</v>
      </c>
      <c r="N36" s="23">
        <f>Model!N214/Model!M214-1</f>
        <v>3.5010940919037115E-2</v>
      </c>
      <c r="O36" s="23">
        <f>Model!O214/Model!N214-1</f>
        <v>2.748414376321362E-2</v>
      </c>
      <c r="P36" s="23">
        <f>Model!P214/Model!O214-1</f>
        <v>-1.6460905349794275E-2</v>
      </c>
      <c r="Q36" s="23">
        <f>Model!Q214/Model!P214-1</f>
        <v>3.1380753138075423E-2</v>
      </c>
      <c r="R36" s="23">
        <f>Model!R214/Model!Q214-1</f>
        <v>2.0283975659229236E-2</v>
      </c>
      <c r="S36" s="23">
        <f>Model!S214/Model!R214-1</f>
        <v>2.9821073558648159E-2</v>
      </c>
      <c r="T36" s="23">
        <f>Model!T214/Model!S214-1</f>
        <v>2.1235521235521304E-2</v>
      </c>
      <c r="U36" s="23">
        <f>Model!U214/Model!T214-1</f>
        <v>2.8355387523629538E-2</v>
      </c>
      <c r="V36" s="23">
        <f>Model!V214/Model!U214-1</f>
        <v>1.1029411764705843E-2</v>
      </c>
      <c r="W36" s="23">
        <f>Model!W214/Model!V214-1</f>
        <v>0</v>
      </c>
      <c r="X36" s="23">
        <f>Model!X214/Model!W214-1</f>
        <v>7.2727272727273196E-3</v>
      </c>
      <c r="Y36" s="23">
        <f>Model!Y214/Model!X214-1</f>
        <v>3.6101083032491488E-3</v>
      </c>
      <c r="Z36" s="23">
        <f>Model!Z214/Model!Y214-1</f>
        <v>1.7985611510791255E-3</v>
      </c>
      <c r="AA36" s="23">
        <f>Model!AA214/Model!Z214-1</f>
        <v>5.3859964093356805E-3</v>
      </c>
      <c r="AB36" s="23">
        <f>Model!AB214/Model!AA214-1</f>
        <v>-5.3571428571428381E-3</v>
      </c>
      <c r="AC36" s="335">
        <v>0.01</v>
      </c>
      <c r="AD36" s="335">
        <v>0.01</v>
      </c>
      <c r="AE36" s="335">
        <v>0.02</v>
      </c>
      <c r="AF36" s="335">
        <v>0.01</v>
      </c>
      <c r="AG36" s="335">
        <v>0.02</v>
      </c>
      <c r="AH36" s="335">
        <v>0.01</v>
      </c>
      <c r="AI36" s="335">
        <v>0.02</v>
      </c>
      <c r="AJ36" s="335"/>
      <c r="AK36" s="335"/>
      <c r="AL36" s="335"/>
      <c r="AM36" s="335"/>
      <c r="AN36" s="335"/>
      <c r="AO36" s="335"/>
      <c r="AP36" s="335"/>
      <c r="AQ36" s="335"/>
      <c r="AS36" s="17" t="s">
        <v>495</v>
      </c>
      <c r="AT36" s="19"/>
      <c r="AU36" s="256" t="s">
        <v>229</v>
      </c>
      <c r="AV36" s="23">
        <f>Model!AV214/Model!AU214-1</f>
        <v>3.8158691701998926E-2</v>
      </c>
      <c r="AW36" s="23">
        <f>Model!AW214/Model!AV214-1</f>
        <v>8.8681446907817874E-2</v>
      </c>
      <c r="AX36" s="23">
        <f>Model!AX214/Model!AW214-1</f>
        <v>6.7524115755627001E-2</v>
      </c>
      <c r="AY36" s="23">
        <f>Model!AY214/Model!AX214-1</f>
        <v>9.0863453815261064E-2</v>
      </c>
      <c r="AZ36" s="23">
        <f>Model!AZ214/Model!AY214-1</f>
        <v>2.4850437183616902E-2</v>
      </c>
      <c r="BA36" s="23">
        <f>Model!BA214/Model!AZ214-1</f>
        <v>1.81074602604403E-2</v>
      </c>
      <c r="BB36" s="23">
        <f>Model!BB214/Model!BA214-1</f>
        <v>5.8755902111795821E-2</v>
      </c>
      <c r="BC36" s="335">
        <v>0.06</v>
      </c>
      <c r="BD36" s="335">
        <v>0.05</v>
      </c>
      <c r="BE36" s="335">
        <v>0.05</v>
      </c>
      <c r="BG36" s="1714"/>
      <c r="BH36" s="1710"/>
    </row>
    <row r="37" spans="1:269" s="70" customFormat="1" x14ac:dyDescent="0.2">
      <c r="A37" s="411"/>
      <c r="B37" s="17" t="s">
        <v>496</v>
      </c>
      <c r="C37" s="19"/>
      <c r="D37" s="9"/>
      <c r="E37" s="23">
        <f>Model!E215/Model!D215-1</f>
        <v>1.5267175572519109E-2</v>
      </c>
      <c r="F37" s="23">
        <f>Model!F215/Model!E215-1</f>
        <v>1.8170426065162948E-2</v>
      </c>
      <c r="G37" s="23">
        <f>Model!G215/Model!F215-1</f>
        <v>3.4461538461538321E-2</v>
      </c>
      <c r="H37" s="23">
        <f>Model!H215/Model!G215-1</f>
        <v>2.4390243902439046E-2</v>
      </c>
      <c r="I37" s="23">
        <f>Model!I215/Model!H215-1</f>
        <v>9.2915214866435836E-3</v>
      </c>
      <c r="J37" s="23">
        <f>Model!J215/Model!I215-1</f>
        <v>8.0552359033370102E-3</v>
      </c>
      <c r="K37" s="23">
        <f>Model!K215/Model!J215-1</f>
        <v>1.2557077625570789E-2</v>
      </c>
      <c r="L37" s="23">
        <f>Model!L215/Model!K215-1</f>
        <v>1.0710259301014657E-2</v>
      </c>
      <c r="M37" s="23">
        <f>Model!M215/Model!L215-1</f>
        <v>3.3463469046290939E-3</v>
      </c>
      <c r="N37" s="23">
        <f>Model!N215/Model!M215-1</f>
        <v>-3.3351862145636346E-3</v>
      </c>
      <c r="O37" s="23">
        <f>Model!O215/Model!N215-1</f>
        <v>5.5772448410484898E-4</v>
      </c>
      <c r="P37" s="23">
        <f>Model!P215/Model!O215-1</f>
        <v>5.5741360089185399E-3</v>
      </c>
      <c r="Q37" s="23">
        <f>Model!Q215/Model!P215-1</f>
        <v>-2.7716186252771946E-3</v>
      </c>
      <c r="R37" s="23">
        <f>Model!R215/Model!Q215-1</f>
        <v>8.3379655364090866E-3</v>
      </c>
      <c r="S37" s="23">
        <f>Model!S215/Model!R215-1</f>
        <v>-1.1025358324145973E-3</v>
      </c>
      <c r="T37" s="23">
        <f>Model!T215/Model!S215-1</f>
        <v>-3.3112582781457123E-3</v>
      </c>
      <c r="U37" s="23">
        <f>Model!U215/Model!T215-1</f>
        <v>8.3056478405316714E-3</v>
      </c>
      <c r="V37" s="23">
        <f>Model!V215/Model!U215-1</f>
        <v>9.884678747940745E-3</v>
      </c>
      <c r="W37" s="23">
        <f>Model!W215/Model!V215-1</f>
        <v>1.1419249592169667E-2</v>
      </c>
      <c r="X37" s="23">
        <f>Model!X215/Model!W215-1</f>
        <v>-2.6881720430107503E-3</v>
      </c>
      <c r="Y37" s="23">
        <f>Model!Y215/Model!X215-1</f>
        <v>-2.1563342318059453E-3</v>
      </c>
      <c r="Z37" s="23">
        <f>Model!Z215/Model!Y215-1</f>
        <v>-5.4024851431658805E-3</v>
      </c>
      <c r="AA37" s="23">
        <f>Model!AA215/Model!Z215-1</f>
        <v>-7.6045627376426506E-3</v>
      </c>
      <c r="AB37" s="23">
        <f>Model!AB215/Model!AA215-1</f>
        <v>-9.8522167487683499E-3</v>
      </c>
      <c r="AC37" s="335">
        <v>0</v>
      </c>
      <c r="AD37" s="335">
        <v>5.0000000000000001E-3</v>
      </c>
      <c r="AE37" s="335">
        <v>5.0000000000000001E-3</v>
      </c>
      <c r="AF37" s="335">
        <v>5.0000000000000001E-3</v>
      </c>
      <c r="AG37" s="335">
        <v>5.0000000000000001E-3</v>
      </c>
      <c r="AH37" s="335">
        <v>5.0000000000000001E-3</v>
      </c>
      <c r="AI37" s="335">
        <v>5.0000000000000001E-3</v>
      </c>
      <c r="AJ37" s="335"/>
      <c r="AK37" s="335"/>
      <c r="AL37" s="335"/>
      <c r="AM37" s="335"/>
      <c r="AN37" s="335"/>
      <c r="AO37" s="335"/>
      <c r="AP37" s="335"/>
      <c r="AQ37" s="335"/>
      <c r="AS37" s="17" t="s">
        <v>496</v>
      </c>
      <c r="AT37" s="19"/>
      <c r="AU37" s="256" t="s">
        <v>229</v>
      </c>
      <c r="AV37" s="23">
        <f>Model!AV215/Model!AU215-1</f>
        <v>7.9085573061476788E-2</v>
      </c>
      <c r="AW37" s="23">
        <f>Model!AW215/Model!AV215-1</f>
        <v>2.7626681935299047E-2</v>
      </c>
      <c r="AX37" s="23">
        <f>Model!AX215/Model!AW215-1</f>
        <v>6.9647583228864551E-3</v>
      </c>
      <c r="AY37" s="23">
        <f>Model!AY215/Model!AX215-1</f>
        <v>1.341817678793733E-2</v>
      </c>
      <c r="AZ37" s="23">
        <f>Model!AZ215/Model!AY215-1</f>
        <v>6.5520065520066062E-3</v>
      </c>
      <c r="BA37" s="23">
        <f>Model!BA215/Model!AZ215-1</f>
        <v>-1.5028447925142574E-2</v>
      </c>
      <c r="BB37" s="23">
        <f>Model!BB215/Model!BA215-1</f>
        <v>1.8886404978023519E-2</v>
      </c>
      <c r="BC37" s="335">
        <v>2.5000000000000001E-2</v>
      </c>
      <c r="BD37" s="335">
        <v>0.03</v>
      </c>
      <c r="BE37" s="335">
        <v>0.03</v>
      </c>
      <c r="BG37" s="1714"/>
      <c r="BH37" s="1710"/>
    </row>
    <row r="38" spans="1:269" s="70" customFormat="1" x14ac:dyDescent="0.2">
      <c r="A38" s="411"/>
      <c r="B38" s="17"/>
      <c r="C38" s="19"/>
      <c r="D38" s="9"/>
      <c r="E38" s="9"/>
      <c r="F38" s="9"/>
      <c r="G38" s="9"/>
      <c r="H38" s="9"/>
      <c r="I38" s="9"/>
      <c r="J38" s="9"/>
      <c r="K38" s="9"/>
      <c r="L38" s="9"/>
      <c r="M38" s="9"/>
      <c r="N38" s="9"/>
      <c r="O38" s="9"/>
      <c r="P38" s="9"/>
      <c r="Q38" s="9"/>
      <c r="R38" s="9"/>
      <c r="S38" s="9"/>
      <c r="T38" s="9"/>
      <c r="U38" s="9"/>
      <c r="V38" s="9"/>
      <c r="W38" s="9"/>
      <c r="X38" s="9"/>
      <c r="Y38" s="1215"/>
      <c r="Z38" s="1688"/>
      <c r="AA38" s="1742"/>
      <c r="AB38" s="1785"/>
      <c r="AC38" s="1740"/>
      <c r="AD38" s="1740"/>
      <c r="AE38" s="1740"/>
      <c r="AF38" s="1707"/>
      <c r="AG38" s="1707"/>
      <c r="AH38" s="1707"/>
      <c r="AI38" s="1707"/>
      <c r="AJ38" s="1740"/>
      <c r="AK38" s="1740"/>
      <c r="AL38" s="1740"/>
      <c r="AM38" s="1740"/>
      <c r="AN38" s="1740"/>
      <c r="AO38" s="1740"/>
      <c r="AP38" s="1740"/>
      <c r="AQ38" s="1740"/>
      <c r="AS38" s="17"/>
      <c r="AT38" s="19"/>
      <c r="BC38" s="371"/>
      <c r="BD38" s="371"/>
      <c r="BE38" s="371"/>
      <c r="BG38" s="371"/>
      <c r="BH38" s="371"/>
    </row>
    <row r="39" spans="1:269" s="70" customFormat="1" x14ac:dyDescent="0.2">
      <c r="A39" s="411"/>
      <c r="B39" s="334" t="s">
        <v>499</v>
      </c>
      <c r="C39" s="321"/>
      <c r="D39" s="19"/>
      <c r="E39" s="23">
        <f>Model!E217/Model!D217-1</f>
        <v>-2.4489795918367308E-2</v>
      </c>
      <c r="F39" s="23">
        <f>Model!F217/Model!E217-1</f>
        <v>-2.7894002789400352E-3</v>
      </c>
      <c r="G39" s="23">
        <f>Model!G217/Model!F217-1</f>
        <v>-5.5944055944057158E-3</v>
      </c>
      <c r="H39" s="23">
        <f>Model!H217/Model!G217-1</f>
        <v>-1.9690576652601877E-2</v>
      </c>
      <c r="I39" s="23">
        <f>Model!I217/Model!H217-1</f>
        <v>-1.865136298421799E-2</v>
      </c>
      <c r="J39" s="23">
        <f>Model!J217/Model!I217-1</f>
        <v>0</v>
      </c>
      <c r="K39" s="23">
        <f>Model!K217/Model!J217-1</f>
        <v>-2.9239766081872176E-3</v>
      </c>
      <c r="L39" s="23">
        <f>Model!L217/Model!K217-1</f>
        <v>-1.0263929618768319E-2</v>
      </c>
      <c r="M39" s="23">
        <f>Model!M217/Model!L217-1</f>
        <v>-1.6296296296296253E-2</v>
      </c>
      <c r="N39" s="23">
        <f>Model!N217/Model!M217-1</f>
        <v>-4.5180722891567937E-3</v>
      </c>
      <c r="O39" s="23">
        <f>Model!O217/Model!N217-1</f>
        <v>-6.0514372163387176E-3</v>
      </c>
      <c r="P39" s="23">
        <f>Model!P217/Model!O217-1</f>
        <v>-2.4353120243531312E-2</v>
      </c>
      <c r="Q39" s="23">
        <f>Model!Q217/Model!P217-1</f>
        <v>-1.4040561622464809E-2</v>
      </c>
      <c r="R39" s="23">
        <f>Model!R217/Model!Q217-1</f>
        <v>1.1075949367088445E-2</v>
      </c>
      <c r="S39" s="23">
        <f>Model!S217/Model!R217-1</f>
        <v>1.0954616588419341E-2</v>
      </c>
      <c r="T39" s="23">
        <f>Model!T217/Model!S217-1</f>
        <v>1.5479876160993111E-3</v>
      </c>
      <c r="U39" s="23">
        <f>Model!U217/Model!T217-1</f>
        <v>3.0911901081916549E-2</v>
      </c>
      <c r="V39" s="23">
        <f>Model!V217/Model!U217-1</f>
        <v>0.18740629685157417</v>
      </c>
      <c r="W39" s="23">
        <f>Model!W217/Model!V217-1</f>
        <v>3.6616161616161547E-2</v>
      </c>
      <c r="X39" s="23">
        <f>Model!X217/Model!W217-1</f>
        <v>6.0901339829475543E-3</v>
      </c>
      <c r="Y39" s="23">
        <f>Model!Y217/Model!X217-1</f>
        <v>8.4745762711864181E-3</v>
      </c>
      <c r="Z39" s="23">
        <f>Model!Z217/Model!Y217-1</f>
        <v>2.5210084033613578E-2</v>
      </c>
      <c r="AA39" s="23">
        <f>Model!AA217/Model!Z217-1</f>
        <v>1.6393442622950616E-2</v>
      </c>
      <c r="AB39" s="23">
        <f>Model!AB217/Model!AA217-1</f>
        <v>1.1520737327190833E-3</v>
      </c>
      <c r="AC39" s="335">
        <v>0</v>
      </c>
      <c r="AD39" s="335">
        <v>0.01</v>
      </c>
      <c r="AE39" s="335">
        <v>0.02</v>
      </c>
      <c r="AF39" s="335">
        <v>-0.01</v>
      </c>
      <c r="AG39" s="335">
        <v>0</v>
      </c>
      <c r="AH39" s="335">
        <v>0.02</v>
      </c>
      <c r="AI39" s="335">
        <v>0.03</v>
      </c>
      <c r="AJ39" s="335"/>
      <c r="AK39" s="335"/>
      <c r="AL39" s="335"/>
      <c r="AM39" s="335"/>
      <c r="AN39" s="335"/>
      <c r="AO39" s="335"/>
      <c r="AP39" s="335"/>
      <c r="AQ39" s="335"/>
      <c r="AS39" s="334" t="s">
        <v>499</v>
      </c>
      <c r="AT39" s="321"/>
      <c r="AU39" s="256" t="s">
        <v>229</v>
      </c>
      <c r="AV39" s="23">
        <f>Model!AV217/Model!AU217-1</f>
        <v>-4.5517720639332571E-2</v>
      </c>
      <c r="AW39" s="23">
        <f>Model!AW217/Model!AV217-1</f>
        <v>-3.2763014197306317E-2</v>
      </c>
      <c r="AX39" s="23">
        <f>Model!AX217/Model!AW217-1</f>
        <v>-3.7260067745577774E-2</v>
      </c>
      <c r="AY39" s="23">
        <f>Model!AY217/Model!AX217-1</f>
        <v>0.14425332290852255</v>
      </c>
      <c r="AZ39" s="23">
        <f>Model!AZ217/Model!AY217-1</f>
        <v>0.15510761872224088</v>
      </c>
      <c r="BA39" s="23">
        <f>Model!BA217/Model!AZ217-1</f>
        <v>3.8430582667849933E-2</v>
      </c>
      <c r="BB39" s="23">
        <f>Model!BB217/Model!BA217-1</f>
        <v>2.7572100094054752E-2</v>
      </c>
      <c r="BC39" s="335">
        <v>0.04</v>
      </c>
      <c r="BD39" s="335">
        <v>0.04</v>
      </c>
      <c r="BE39" s="335">
        <v>0.04</v>
      </c>
      <c r="BF39" s="160"/>
      <c r="BG39" s="1714"/>
      <c r="BH39" s="1710"/>
      <c r="BI39" s="160"/>
      <c r="BJ39" s="160"/>
      <c r="BK39" s="160"/>
      <c r="BL39" s="160"/>
      <c r="BM39" s="160"/>
      <c r="BN39" s="160"/>
      <c r="BO39" s="160"/>
      <c r="BP39" s="160"/>
      <c r="BQ39" s="160"/>
      <c r="BR39" s="160"/>
      <c r="BS39" s="160"/>
      <c r="BT39" s="160"/>
      <c r="BU39" s="160"/>
      <c r="BV39" s="160"/>
      <c r="BW39" s="160"/>
      <c r="BX39" s="160"/>
      <c r="BY39" s="160"/>
      <c r="BZ39" s="160"/>
      <c r="CA39" s="160"/>
      <c r="CB39" s="160"/>
      <c r="CC39" s="160"/>
      <c r="CD39" s="160"/>
      <c r="CE39" s="160"/>
      <c r="CF39" s="160"/>
      <c r="CG39" s="160"/>
      <c r="CH39" s="160"/>
      <c r="CI39" s="160"/>
      <c r="CJ39" s="160"/>
      <c r="CK39" s="160"/>
      <c r="CL39" s="160"/>
      <c r="CM39" s="160"/>
      <c r="CN39" s="160"/>
      <c r="CO39" s="160"/>
      <c r="CP39" s="160"/>
      <c r="CQ39" s="160"/>
      <c r="CR39" s="160"/>
      <c r="CS39" s="160"/>
      <c r="CT39" s="160"/>
      <c r="CU39" s="160"/>
      <c r="CV39" s="160"/>
      <c r="CW39" s="160"/>
      <c r="CX39" s="160"/>
      <c r="CY39" s="160"/>
      <c r="CZ39" s="160"/>
      <c r="DA39" s="160"/>
      <c r="DB39" s="160"/>
      <c r="DC39" s="160"/>
      <c r="DD39" s="160"/>
      <c r="DE39" s="160"/>
      <c r="DF39" s="160"/>
      <c r="DG39" s="160"/>
      <c r="DH39" s="160"/>
      <c r="DI39" s="160"/>
      <c r="DJ39" s="160"/>
      <c r="DK39" s="160"/>
      <c r="DL39" s="160"/>
      <c r="DM39" s="160"/>
      <c r="DN39" s="160"/>
      <c r="DO39" s="160"/>
      <c r="DP39" s="160"/>
      <c r="DQ39" s="160"/>
      <c r="DR39" s="160"/>
      <c r="DS39" s="160"/>
      <c r="DT39" s="160"/>
      <c r="DU39" s="160"/>
      <c r="DV39" s="160"/>
      <c r="DW39" s="160"/>
      <c r="DX39" s="160"/>
      <c r="DY39" s="160"/>
      <c r="DZ39" s="160"/>
      <c r="EA39" s="160"/>
      <c r="EB39" s="160"/>
      <c r="EC39" s="160"/>
      <c r="ED39" s="160"/>
      <c r="EE39" s="160"/>
      <c r="EF39" s="160"/>
      <c r="EG39" s="160"/>
      <c r="EH39" s="160"/>
      <c r="EI39" s="160"/>
      <c r="EJ39" s="160"/>
      <c r="EK39" s="160"/>
      <c r="EL39" s="160"/>
      <c r="EM39" s="160"/>
      <c r="EN39" s="160"/>
      <c r="EO39" s="160"/>
      <c r="EP39" s="160"/>
      <c r="EQ39" s="160"/>
      <c r="ER39" s="160"/>
      <c r="ES39" s="160"/>
      <c r="ET39" s="160"/>
      <c r="EU39" s="160"/>
      <c r="EV39" s="160"/>
      <c r="EW39" s="160"/>
      <c r="EX39" s="160"/>
      <c r="EY39" s="160"/>
      <c r="EZ39" s="160"/>
      <c r="FA39" s="160"/>
      <c r="FB39" s="160"/>
      <c r="FC39" s="160"/>
      <c r="FD39" s="160"/>
      <c r="FE39" s="160"/>
      <c r="FF39" s="160"/>
      <c r="FG39" s="160"/>
      <c r="FH39" s="160"/>
      <c r="FI39" s="160"/>
      <c r="FJ39" s="160"/>
      <c r="FK39" s="160"/>
      <c r="FL39" s="160"/>
      <c r="FM39" s="160"/>
      <c r="FN39" s="160"/>
      <c r="FO39" s="160"/>
      <c r="FP39" s="160"/>
      <c r="FQ39" s="160"/>
      <c r="FR39" s="160"/>
      <c r="FS39" s="160"/>
      <c r="FT39" s="160"/>
      <c r="FU39" s="160"/>
      <c r="FV39" s="160"/>
      <c r="FW39" s="160"/>
      <c r="FX39" s="160"/>
      <c r="FY39" s="160"/>
      <c r="FZ39" s="160"/>
      <c r="GA39" s="160"/>
      <c r="GB39" s="160"/>
      <c r="GC39" s="160"/>
      <c r="GD39" s="160"/>
      <c r="GE39" s="160"/>
      <c r="GF39" s="160"/>
      <c r="GG39" s="160"/>
      <c r="GH39" s="160"/>
      <c r="GI39" s="160"/>
      <c r="GJ39" s="160"/>
      <c r="GK39" s="160"/>
      <c r="GL39" s="160"/>
      <c r="GM39" s="160"/>
      <c r="GN39" s="160"/>
      <c r="GO39" s="160"/>
      <c r="GP39" s="160"/>
      <c r="GQ39" s="160"/>
      <c r="GR39" s="160"/>
      <c r="GS39" s="160"/>
      <c r="GT39" s="160"/>
      <c r="GU39" s="160"/>
      <c r="GV39" s="160"/>
      <c r="GW39" s="160"/>
      <c r="GX39" s="160"/>
      <c r="GY39" s="160"/>
      <c r="GZ39" s="160"/>
      <c r="HA39" s="160"/>
      <c r="HB39" s="160"/>
      <c r="HC39" s="160"/>
      <c r="HD39" s="160"/>
      <c r="HE39" s="160"/>
      <c r="HF39" s="160"/>
      <c r="HG39" s="160"/>
      <c r="HH39" s="160"/>
      <c r="HI39" s="160"/>
      <c r="HJ39" s="160"/>
      <c r="HK39" s="160"/>
      <c r="HL39" s="160"/>
      <c r="HM39" s="160"/>
      <c r="HN39" s="160"/>
      <c r="HO39" s="160"/>
      <c r="HP39" s="160"/>
      <c r="HQ39" s="160"/>
      <c r="HR39" s="160"/>
      <c r="HS39" s="160"/>
      <c r="HT39" s="160"/>
      <c r="HU39" s="160"/>
      <c r="HV39" s="160"/>
      <c r="HW39" s="160"/>
      <c r="HX39" s="160"/>
      <c r="HY39" s="160"/>
      <c r="HZ39" s="160"/>
      <c r="IA39" s="160"/>
      <c r="IB39" s="160"/>
      <c r="IC39" s="160"/>
      <c r="ID39" s="160"/>
      <c r="IE39" s="160"/>
      <c r="IF39" s="160"/>
      <c r="IG39" s="160"/>
      <c r="IH39" s="160"/>
      <c r="II39" s="160"/>
      <c r="IJ39" s="160"/>
      <c r="IK39" s="160"/>
      <c r="IL39" s="160"/>
      <c r="IM39" s="160"/>
      <c r="IN39" s="160"/>
      <c r="IO39" s="160"/>
      <c r="IP39" s="160"/>
      <c r="IQ39" s="160"/>
      <c r="IR39" s="160"/>
      <c r="IS39" s="160"/>
      <c r="IT39" s="160"/>
      <c r="IU39" s="160"/>
      <c r="IV39" s="160"/>
      <c r="IW39" s="160"/>
      <c r="IX39" s="160"/>
      <c r="IY39" s="160"/>
      <c r="IZ39" s="160"/>
      <c r="JA39" s="160"/>
      <c r="JB39" s="160"/>
      <c r="JC39" s="160"/>
      <c r="JD39" s="160"/>
      <c r="JE39" s="160"/>
      <c r="JF39" s="160"/>
      <c r="JG39" s="160"/>
      <c r="JH39" s="160"/>
      <c r="JI39" s="160"/>
    </row>
    <row r="40" spans="1:269" s="70" customFormat="1" x14ac:dyDescent="0.2">
      <c r="A40" s="411"/>
      <c r="B40" s="375" t="s">
        <v>498</v>
      </c>
      <c r="C40" s="376"/>
      <c r="D40" s="15"/>
      <c r="E40" s="187">
        <f>Model!E218/Model!D218-1</f>
        <v>-2.9255319148936199E-2</v>
      </c>
      <c r="F40" s="187">
        <f>Model!F218/Model!E218-1</f>
        <v>0</v>
      </c>
      <c r="G40" s="187">
        <f>Model!G218/Model!F218-1</f>
        <v>1.3698630136986356E-2</v>
      </c>
      <c r="H40" s="187">
        <f>Model!H218/Model!G218-1</f>
        <v>-8.1081081081080253E-3</v>
      </c>
      <c r="I40" s="187">
        <f>Model!I218/Model!H218-1</f>
        <v>-2.4523160762942919E-2</v>
      </c>
      <c r="J40" s="187">
        <f>Model!J218/Model!I218-1</f>
        <v>5.5865921787709549E-2</v>
      </c>
      <c r="K40" s="187">
        <f>Model!K218/Model!J218-1</f>
        <v>0.15343915343915349</v>
      </c>
      <c r="L40" s="187">
        <f>Model!L218/Model!K218-1</f>
        <v>0</v>
      </c>
      <c r="M40" s="187">
        <f>Model!M218/Model!L218-1</f>
        <v>-2.7522935779816571E-2</v>
      </c>
      <c r="N40" s="187">
        <f>Model!N218/Model!M218-1</f>
        <v>1.1792452830188704E-2</v>
      </c>
      <c r="O40" s="187">
        <f>Model!O218/Model!N218-1</f>
        <v>2.3310023310023409E-2</v>
      </c>
      <c r="P40" s="187">
        <f>Model!P218/Model!O218-1</f>
        <v>0</v>
      </c>
      <c r="Q40" s="187">
        <f>Model!Q218/Model!P218-1</f>
        <v>-2.9612756264236872E-2</v>
      </c>
      <c r="R40" s="187">
        <f>Model!R218/Model!Q218-1</f>
        <v>1.1737089201877993E-2</v>
      </c>
      <c r="S40" s="187">
        <f>Model!S218/Model!R218-1</f>
        <v>2.3201856148491906E-2</v>
      </c>
      <c r="T40" s="187">
        <f>Model!T218/Model!S218-1</f>
        <v>-2.2675736961451642E-3</v>
      </c>
      <c r="U40" s="187">
        <f>Model!U218/Model!T218-1</f>
        <v>-2.954545454545443E-2</v>
      </c>
      <c r="V40" s="187">
        <f>Model!V218/Model!U218-1</f>
        <v>2.1077283372365363E-2</v>
      </c>
      <c r="W40" s="187">
        <f>Model!W218/Model!V218-1</f>
        <v>2.9816513761467878E-2</v>
      </c>
      <c r="X40" s="187">
        <f>Model!X218/Model!W218-1</f>
        <v>8.9086859688196629E-3</v>
      </c>
      <c r="Y40" s="187">
        <f>Model!Y218/Model!X218-1</f>
        <v>-1.7660044150110354E-2</v>
      </c>
      <c r="Z40" s="187">
        <f>Model!Z218/Model!Y218-1</f>
        <v>2.4719101123595433E-2</v>
      </c>
      <c r="AA40" s="187">
        <f>Model!AA218/Model!Z218-1</f>
        <v>2.8508771929824483E-2</v>
      </c>
      <c r="AB40" s="187">
        <f>Model!AB218/Model!AA218-1</f>
        <v>4.2643923240939241E-3</v>
      </c>
      <c r="AC40" s="336">
        <v>5.0000000000000001E-3</v>
      </c>
      <c r="AD40" s="336">
        <v>1.4999999999999999E-2</v>
      </c>
      <c r="AE40" s="336">
        <v>0.02</v>
      </c>
      <c r="AF40" s="336">
        <v>-5.0000000000000001E-3</v>
      </c>
      <c r="AG40" s="336">
        <v>6.0000000000000001E-3</v>
      </c>
      <c r="AH40" s="336">
        <v>1.4999999999999999E-2</v>
      </c>
      <c r="AI40" s="336">
        <v>2.5000000000000001E-2</v>
      </c>
      <c r="AJ40" s="399"/>
      <c r="AK40" s="399"/>
      <c r="AL40" s="399"/>
      <c r="AM40" s="399"/>
      <c r="AN40" s="399"/>
      <c r="AO40" s="399"/>
      <c r="AP40" s="399"/>
      <c r="AQ40" s="399"/>
      <c r="AS40" s="375" t="s">
        <v>498</v>
      </c>
      <c r="AT40" s="376"/>
      <c r="AU40" s="257" t="s">
        <v>229</v>
      </c>
      <c r="AV40" s="187">
        <f>Model!AV218/Model!AU218-1</f>
        <v>4.2682926829268331E-2</v>
      </c>
      <c r="AW40" s="187">
        <f>Model!AW218/Model!AV218-1</f>
        <v>0.12280701754385959</v>
      </c>
      <c r="AX40" s="187">
        <f>Model!AX218/Model!AW218-1</f>
        <v>5.2083333333332593E-3</v>
      </c>
      <c r="AY40" s="187">
        <f>Model!AY218/Model!AX218-1</f>
        <v>8.635578583765291E-3</v>
      </c>
      <c r="AZ40" s="187">
        <f>Model!AZ218/Model!AY218-1</f>
        <v>4.0525114155251174E-2</v>
      </c>
      <c r="BA40" s="187">
        <f>Model!BA218/Model!AZ218-1</f>
        <v>5.0397562534283846E-2</v>
      </c>
      <c r="BB40" s="187">
        <f>Model!BB218/Model!BA218-1</f>
        <v>3.7350941980959229E-2</v>
      </c>
      <c r="BC40" s="336">
        <v>0.04</v>
      </c>
      <c r="BD40" s="336">
        <v>0.04</v>
      </c>
      <c r="BE40" s="336">
        <v>0.04</v>
      </c>
      <c r="BF40" s="160"/>
      <c r="BG40" s="1715"/>
      <c r="BH40" s="1710"/>
      <c r="BI40" s="160"/>
      <c r="BJ40" s="160"/>
      <c r="BK40" s="160"/>
      <c r="BL40" s="160"/>
      <c r="BM40" s="160"/>
      <c r="BN40" s="160"/>
      <c r="BO40" s="160"/>
      <c r="BP40" s="160"/>
      <c r="BQ40" s="160"/>
      <c r="BR40" s="160"/>
      <c r="BS40" s="160"/>
      <c r="BT40" s="160"/>
      <c r="BU40" s="160"/>
      <c r="BV40" s="160"/>
      <c r="BW40" s="160"/>
      <c r="BX40" s="160"/>
      <c r="BY40" s="160"/>
      <c r="BZ40" s="160"/>
      <c r="CA40" s="160"/>
      <c r="CB40" s="160"/>
      <c r="CC40" s="160"/>
      <c r="CD40" s="160"/>
      <c r="CE40" s="160"/>
      <c r="CF40" s="160"/>
      <c r="CG40" s="160"/>
      <c r="CH40" s="160"/>
      <c r="CI40" s="160"/>
      <c r="CJ40" s="160"/>
      <c r="CK40" s="160"/>
      <c r="CL40" s="160"/>
      <c r="CM40" s="160"/>
      <c r="CN40" s="160"/>
      <c r="CO40" s="160"/>
      <c r="CP40" s="160"/>
      <c r="CQ40" s="160"/>
      <c r="CR40" s="160"/>
      <c r="CS40" s="160"/>
      <c r="CT40" s="160"/>
      <c r="CU40" s="160"/>
      <c r="CV40" s="160"/>
      <c r="CW40" s="160"/>
      <c r="CX40" s="160"/>
      <c r="CY40" s="160"/>
      <c r="CZ40" s="160"/>
      <c r="DA40" s="160"/>
      <c r="DB40" s="160"/>
      <c r="DC40" s="160"/>
      <c r="DD40" s="160"/>
      <c r="DE40" s="160"/>
      <c r="DF40" s="160"/>
      <c r="DG40" s="160"/>
      <c r="DH40" s="160"/>
      <c r="DI40" s="160"/>
      <c r="DJ40" s="160"/>
      <c r="DK40" s="160"/>
      <c r="DL40" s="160"/>
      <c r="DM40" s="160"/>
      <c r="DN40" s="160"/>
      <c r="DO40" s="160"/>
      <c r="DP40" s="160"/>
      <c r="DQ40" s="160"/>
      <c r="DR40" s="160"/>
      <c r="DS40" s="160"/>
      <c r="DT40" s="160"/>
      <c r="DU40" s="160"/>
      <c r="DV40" s="160"/>
      <c r="DW40" s="160"/>
      <c r="DX40" s="160"/>
      <c r="DY40" s="160"/>
      <c r="DZ40" s="160"/>
      <c r="EA40" s="160"/>
      <c r="EB40" s="160"/>
      <c r="EC40" s="160"/>
      <c r="ED40" s="160"/>
      <c r="EE40" s="160"/>
      <c r="EF40" s="160"/>
      <c r="EG40" s="160"/>
      <c r="EH40" s="160"/>
      <c r="EI40" s="160"/>
      <c r="EJ40" s="160"/>
      <c r="EK40" s="160"/>
      <c r="EL40" s="160"/>
      <c r="EM40" s="160"/>
      <c r="EN40" s="160"/>
      <c r="EO40" s="160"/>
      <c r="EP40" s="160"/>
      <c r="EQ40" s="160"/>
      <c r="ER40" s="160"/>
      <c r="ES40" s="160"/>
      <c r="ET40" s="160"/>
      <c r="EU40" s="160"/>
      <c r="EV40" s="160"/>
      <c r="EW40" s="160"/>
      <c r="EX40" s="160"/>
      <c r="EY40" s="160"/>
      <c r="EZ40" s="160"/>
      <c r="FA40" s="160"/>
      <c r="FB40" s="160"/>
      <c r="FC40" s="160"/>
      <c r="FD40" s="160"/>
      <c r="FE40" s="160"/>
      <c r="FF40" s="160"/>
      <c r="FG40" s="160"/>
      <c r="FH40" s="160"/>
      <c r="FI40" s="160"/>
      <c r="FJ40" s="160"/>
      <c r="FK40" s="160"/>
      <c r="FL40" s="160"/>
      <c r="FM40" s="160"/>
      <c r="FN40" s="160"/>
      <c r="FO40" s="160"/>
      <c r="FP40" s="160"/>
      <c r="FQ40" s="160"/>
      <c r="FR40" s="160"/>
      <c r="FS40" s="160"/>
      <c r="FT40" s="160"/>
      <c r="FU40" s="160"/>
      <c r="FV40" s="160"/>
      <c r="FW40" s="160"/>
      <c r="FX40" s="160"/>
      <c r="FY40" s="160"/>
      <c r="FZ40" s="160"/>
      <c r="GA40" s="160"/>
      <c r="GB40" s="160"/>
      <c r="GC40" s="160"/>
      <c r="GD40" s="160"/>
      <c r="GE40" s="160"/>
      <c r="GF40" s="160"/>
      <c r="GG40" s="160"/>
      <c r="GH40" s="160"/>
      <c r="GI40" s="160"/>
      <c r="GJ40" s="160"/>
      <c r="GK40" s="160"/>
      <c r="GL40" s="160"/>
      <c r="GM40" s="160"/>
      <c r="GN40" s="160"/>
      <c r="GO40" s="160"/>
      <c r="GP40" s="160"/>
      <c r="GQ40" s="160"/>
      <c r="GR40" s="160"/>
      <c r="GS40" s="160"/>
      <c r="GT40" s="160"/>
      <c r="GU40" s="160"/>
      <c r="GV40" s="160"/>
      <c r="GW40" s="160"/>
      <c r="GX40" s="160"/>
      <c r="GY40" s="160"/>
      <c r="GZ40" s="160"/>
      <c r="HA40" s="160"/>
      <c r="HB40" s="160"/>
      <c r="HC40" s="160"/>
      <c r="HD40" s="160"/>
      <c r="HE40" s="160"/>
      <c r="HF40" s="160"/>
      <c r="HG40" s="160"/>
      <c r="HH40" s="160"/>
      <c r="HI40" s="160"/>
      <c r="HJ40" s="160"/>
      <c r="HK40" s="160"/>
      <c r="HL40" s="160"/>
      <c r="HM40" s="160"/>
      <c r="HN40" s="160"/>
      <c r="HO40" s="160"/>
      <c r="HP40" s="160"/>
      <c r="HQ40" s="160"/>
      <c r="HR40" s="160"/>
      <c r="HS40" s="160"/>
      <c r="HT40" s="160"/>
      <c r="HU40" s="160"/>
      <c r="HV40" s="160"/>
      <c r="HW40" s="160"/>
      <c r="HX40" s="160"/>
      <c r="HY40" s="160"/>
      <c r="HZ40" s="160"/>
      <c r="IA40" s="160"/>
      <c r="IB40" s="160"/>
      <c r="IC40" s="160"/>
      <c r="ID40" s="160"/>
      <c r="IE40" s="160"/>
      <c r="IF40" s="160"/>
      <c r="IG40" s="160"/>
      <c r="IH40" s="160"/>
      <c r="II40" s="160"/>
      <c r="IJ40" s="160"/>
      <c r="IK40" s="160"/>
      <c r="IL40" s="160"/>
      <c r="IM40" s="160"/>
      <c r="IN40" s="160"/>
      <c r="IO40" s="160"/>
      <c r="IP40" s="160"/>
      <c r="IQ40" s="160"/>
      <c r="IR40" s="160"/>
      <c r="IS40" s="160"/>
      <c r="IT40" s="160"/>
      <c r="IU40" s="160"/>
      <c r="IV40" s="160"/>
      <c r="IW40" s="160"/>
      <c r="IX40" s="160"/>
      <c r="IY40" s="160"/>
      <c r="IZ40" s="160"/>
      <c r="JA40" s="160"/>
      <c r="JB40" s="160"/>
      <c r="JC40" s="160"/>
      <c r="JD40" s="160"/>
      <c r="JE40" s="160"/>
      <c r="JF40" s="160"/>
      <c r="JG40" s="160"/>
      <c r="JH40" s="160"/>
      <c r="JI40" s="160"/>
    </row>
    <row r="41" spans="1:269" s="70" customFormat="1" x14ac:dyDescent="0.2">
      <c r="A41" s="411"/>
      <c r="B41" s="334" t="s">
        <v>485</v>
      </c>
      <c r="C41" s="321"/>
      <c r="D41" s="9"/>
      <c r="E41" s="23">
        <f>Model!E219/Model!D219-1</f>
        <v>-2.6102610261026005E-2</v>
      </c>
      <c r="F41" s="23">
        <f>Model!F219/Model!E219-1</f>
        <v>-1.848428835489857E-3</v>
      </c>
      <c r="G41" s="23">
        <f>Model!G219/Model!F219-1</f>
        <v>9.2592592592577461E-4</v>
      </c>
      <c r="H41" s="23">
        <f>Model!H219/Model!G219-1</f>
        <v>-1.5726179463459666E-2</v>
      </c>
      <c r="I41" s="23">
        <f>Model!I219/Model!H219-1</f>
        <v>-2.0676691729323293E-2</v>
      </c>
      <c r="J41" s="23">
        <f>Model!J219/Model!I219-1</f>
        <v>1.9193857965451144E-2</v>
      </c>
      <c r="K41" s="23">
        <f>Model!K219/Model!J219-1</f>
        <v>5.2730696798493515E-2</v>
      </c>
      <c r="L41" s="23">
        <f>Model!L219/Model!K219-1</f>
        <v>-6.2611806797854275E-3</v>
      </c>
      <c r="M41" s="23">
        <f>Model!M219/Model!L219-1</f>
        <v>-2.0702070207020529E-2</v>
      </c>
      <c r="N41" s="23">
        <f>Model!N219/Model!M219-1</f>
        <v>1.8382352941175295E-3</v>
      </c>
      <c r="O41" s="23">
        <f>Model!O219/Model!N219-1</f>
        <v>5.5045871559633586E-3</v>
      </c>
      <c r="P41" s="23">
        <f>Model!P219/Model!O219-1</f>
        <v>-1.4598540145985384E-2</v>
      </c>
      <c r="Q41" s="23">
        <f>Model!Q219/Model!P219-1</f>
        <v>-2.0370370370370261E-2</v>
      </c>
      <c r="R41" s="23">
        <f>Model!R219/Model!Q219-1</f>
        <v>1.1342155009451682E-2</v>
      </c>
      <c r="S41" s="23">
        <f>Model!S219/Model!R219-1</f>
        <v>1.5887850467289688E-2</v>
      </c>
      <c r="T41" s="23">
        <f>Model!T219/Model!S219-1</f>
        <v>0</v>
      </c>
      <c r="U41" s="23">
        <f>Model!U219/Model!T219-1</f>
        <v>6.4397424103035394E-3</v>
      </c>
      <c r="V41" s="23">
        <f>Model!V219/Model!U219-1</f>
        <v>0.1224862888482634</v>
      </c>
      <c r="W41" s="23">
        <f>Model!W219/Model!V219-1</f>
        <v>3.4201954397394152E-2</v>
      </c>
      <c r="X41" s="23">
        <f>Model!X219/Model!W219-1</f>
        <v>7.0866141732282006E-3</v>
      </c>
      <c r="Y41" s="23">
        <f>Model!Y219/Model!X219-1</f>
        <v>-7.8186082877240715E-4</v>
      </c>
      <c r="Z41" s="23">
        <f>Model!Z219/Model!Y219-1</f>
        <v>2.5039123630672844E-2</v>
      </c>
      <c r="AA41" s="23">
        <f>Model!AA219/Model!Z219-1</f>
        <v>2.0610687022900587E-2</v>
      </c>
      <c r="AB41" s="23">
        <f>Model!AB219/Model!AA219-1</f>
        <v>2.243829468960401E-3</v>
      </c>
      <c r="AC41" s="23">
        <f>Model!AC219/Model!AB219-1</f>
        <v>1.7574626865670684E-3</v>
      </c>
      <c r="AD41" s="23">
        <f>Model!AD219/Model!AC219-1</f>
        <v>1.17631513273313E-2</v>
      </c>
      <c r="AE41" s="23">
        <f>Model!AE219/Model!AD219-1</f>
        <v>2.000000000000024E-2</v>
      </c>
      <c r="AF41" s="23">
        <f>Model!AF219/Model!AE219-1</f>
        <v>-8.2312079710615826E-3</v>
      </c>
      <c r="AG41" s="23">
        <f>Model!AG219/Model!AF219-1</f>
        <v>2.1294657580746001E-3</v>
      </c>
      <c r="AH41" s="23">
        <f>Model!AH219/Model!AG219-1</f>
        <v>1.8218591321595978E-2</v>
      </c>
      <c r="AI41" s="23">
        <f>Model!AI219/Model!AH219-1</f>
        <v>2.8224222358547602E-2</v>
      </c>
      <c r="AJ41" s="23"/>
      <c r="AK41" s="23"/>
      <c r="AL41" s="23"/>
      <c r="AM41" s="23"/>
      <c r="AN41" s="23"/>
      <c r="AO41" s="23"/>
      <c r="AP41" s="23"/>
      <c r="AQ41" s="23"/>
      <c r="AS41" s="334" t="s">
        <v>485</v>
      </c>
      <c r="AT41" s="321"/>
      <c r="AU41" s="256" t="s">
        <v>229</v>
      </c>
      <c r="AV41" s="23">
        <f>Model!AV219/Model!AU219-1</f>
        <v>-1.5617822691777583E-2</v>
      </c>
      <c r="AW41" s="23">
        <f>Model!AW219/Model!AV219-1</f>
        <v>2.3098460102659812E-2</v>
      </c>
      <c r="AX41" s="23">
        <f>Model!AX219/Model!AW219-1</f>
        <v>-2.0524515393386511E-2</v>
      </c>
      <c r="AY41" s="23">
        <f>Model!AY219/Model!AX219-1</f>
        <v>8.9406286379511313E-2</v>
      </c>
      <c r="AZ41" s="23">
        <f>Model!AZ219/Model!AY219-1</f>
        <v>0.11220346227826439</v>
      </c>
      <c r="BA41" s="23">
        <f>Model!BA219/Model!AZ219-1</f>
        <v>4.2622704938508837E-2</v>
      </c>
      <c r="BB41" s="23">
        <f>Model!BB219/Model!BA219-1</f>
        <v>3.1023246090462031E-2</v>
      </c>
      <c r="BC41" s="23">
        <f>Model!BC219/Model!BB219-1</f>
        <v>4.0000000000000258E-2</v>
      </c>
      <c r="BD41" s="23">
        <f>Model!BD219/Model!BC219-1</f>
        <v>4.0000000000000036E-2</v>
      </c>
      <c r="BE41" s="23">
        <f>Model!BE219/Model!BD219-1</f>
        <v>4.0000000000000036E-2</v>
      </c>
      <c r="BG41" s="23"/>
      <c r="BH41" s="23"/>
    </row>
    <row r="42" spans="1:269" s="70" customFormat="1" x14ac:dyDescent="0.2">
      <c r="A42" s="411"/>
      <c r="B42" s="334"/>
      <c r="C42" s="334"/>
      <c r="D42" s="9"/>
      <c r="E42" s="23"/>
      <c r="F42" s="23"/>
      <c r="G42" s="23"/>
      <c r="H42" s="23"/>
      <c r="I42" s="23"/>
      <c r="J42" s="23"/>
      <c r="K42" s="23"/>
      <c r="L42" s="23"/>
      <c r="M42" s="23"/>
      <c r="N42" s="23"/>
      <c r="O42" s="23"/>
      <c r="P42" s="23"/>
      <c r="Q42" s="23"/>
      <c r="R42" s="23"/>
      <c r="S42" s="23"/>
      <c r="T42" s="23"/>
      <c r="U42" s="23"/>
      <c r="V42" s="23"/>
      <c r="W42" s="23"/>
      <c r="X42" s="23"/>
      <c r="Y42" s="23"/>
      <c r="Z42" s="23"/>
      <c r="AA42" s="23"/>
      <c r="AB42" s="23"/>
      <c r="AC42" s="9"/>
      <c r="AD42" s="9"/>
      <c r="AE42" s="9"/>
      <c r="AF42" s="1707"/>
      <c r="AG42" s="1707"/>
      <c r="AH42" s="1707"/>
      <c r="AI42" s="1707"/>
      <c r="AJ42" s="1740"/>
      <c r="AK42" s="1740"/>
      <c r="AL42" s="1740"/>
      <c r="AM42" s="1740"/>
      <c r="AN42" s="1740"/>
      <c r="AO42" s="1740"/>
      <c r="AP42" s="1740"/>
      <c r="AQ42" s="1740"/>
      <c r="AS42" s="334"/>
      <c r="AT42" s="334"/>
    </row>
    <row r="43" spans="1:269" s="70" customFormat="1" x14ac:dyDescent="0.2">
      <c r="A43" s="411"/>
      <c r="B43" s="334" t="s">
        <v>497</v>
      </c>
      <c r="C43" s="321"/>
      <c r="D43" s="9"/>
      <c r="E43" s="23">
        <f>Model!E221/Model!D221-1</f>
        <v>-1.517150395778355E-2</v>
      </c>
      <c r="F43" s="23">
        <f>Model!F221/Model!E221-1</f>
        <v>0</v>
      </c>
      <c r="G43" s="23">
        <f>Model!G221/Model!F221-1</f>
        <v>6.6979236436703893E-3</v>
      </c>
      <c r="H43" s="23">
        <f>Model!H221/Model!G221-1</f>
        <v>-3.9920159680639777E-3</v>
      </c>
      <c r="I43" s="23">
        <f>Model!I221/Model!H221-1</f>
        <v>-2.9392117568470155E-2</v>
      </c>
      <c r="J43" s="23">
        <f>Model!J221/Model!I221-1</f>
        <v>2.6841018582243414E-2</v>
      </c>
      <c r="K43" s="23">
        <f>Model!K221/Model!J221-1</f>
        <v>4.4235924932976012E-2</v>
      </c>
      <c r="L43" s="23">
        <f>Model!L221/Model!K221-1</f>
        <v>1.9255455712450242E-3</v>
      </c>
      <c r="M43" s="23">
        <f>Model!M221/Model!L221-1</f>
        <v>-1.0249839846252384E-2</v>
      </c>
      <c r="N43" s="23">
        <f>Model!N221/Model!M221-1</f>
        <v>1.1650485436893288E-2</v>
      </c>
      <c r="O43" s="23">
        <f>Model!O221/Model!N221-1</f>
        <v>1.2156110044785562E-2</v>
      </c>
      <c r="P43" s="23">
        <f>Model!P221/Model!O221-1</f>
        <v>-1.5170670037926492E-2</v>
      </c>
      <c r="Q43" s="23">
        <f>Model!Q221/Model!P221-1</f>
        <v>-4.4929396662386489E-3</v>
      </c>
      <c r="R43" s="23">
        <f>Model!R221/Model!Q221-1</f>
        <v>1.4184397163120588E-2</v>
      </c>
      <c r="S43" s="23">
        <f>Model!S221/Model!R221-1</f>
        <v>2.0343293070565815E-2</v>
      </c>
      <c r="T43" s="23">
        <f>Model!T221/Model!S221-1</f>
        <v>6.8535825545170681E-3</v>
      </c>
      <c r="U43" s="23">
        <f>Model!U221/Model!T221-1</f>
        <v>1.3613861386138737E-2</v>
      </c>
      <c r="V43" s="23">
        <f>Model!V221/Model!U221-1</f>
        <v>8.5470085470085388E-2</v>
      </c>
      <c r="W43" s="23">
        <f>Model!W221/Model!V221-1</f>
        <v>2.3622047244094446E-2</v>
      </c>
      <c r="X43" s="23">
        <f>Model!X221/Model!W221-1</f>
        <v>7.1428571428571175E-3</v>
      </c>
      <c r="Y43" s="23">
        <f>Model!Y221/Model!X221-1</f>
        <v>5.4555373704312515E-4</v>
      </c>
      <c r="Z43" s="23">
        <f>Model!Z221/Model!Y221-1</f>
        <v>1.7993456924754625E-2</v>
      </c>
      <c r="AA43" s="23">
        <f>Model!AA221/Model!Z221-1</f>
        <v>1.6068559185859588E-2</v>
      </c>
      <c r="AB43" s="23">
        <f>Model!AB221/Model!AA221-1</f>
        <v>0</v>
      </c>
      <c r="AC43" s="23">
        <f>Model!AC221/Model!AB221-1</f>
        <v>4.1776489193463551E-3</v>
      </c>
      <c r="AD43" s="23">
        <f>Model!AD221/Model!AC221-1</f>
        <v>1.1242450490176692E-2</v>
      </c>
      <c r="AE43" s="23">
        <f>Model!AE221/Model!AD221-1</f>
        <v>2.000000000000024E-2</v>
      </c>
      <c r="AF43" s="23">
        <f>Model!AF221/Model!AE221-1</f>
        <v>-2.8537105079823322E-3</v>
      </c>
      <c r="AG43" s="23">
        <f>Model!AG221/Model!AF221-1</f>
        <v>7.4685257542059791E-3</v>
      </c>
      <c r="AH43" s="23">
        <f>Model!AH221/Model!AG221-1</f>
        <v>1.5732635909695647E-2</v>
      </c>
      <c r="AI43" s="23">
        <f>Model!AI221/Model!AH221-1</f>
        <v>2.5750603629387081E-2</v>
      </c>
      <c r="AJ43" s="23"/>
      <c r="AK43" s="23"/>
      <c r="AL43" s="23"/>
      <c r="AM43" s="23"/>
      <c r="AN43" s="23"/>
      <c r="AO43" s="23"/>
      <c r="AP43" s="23"/>
      <c r="AQ43" s="23"/>
      <c r="AS43" s="334" t="s">
        <v>497</v>
      </c>
      <c r="AT43" s="321"/>
      <c r="AU43" s="256" t="s">
        <v>229</v>
      </c>
      <c r="AV43" s="23">
        <f>Model!AV221/Model!AU221-1</f>
        <v>-8.3263946711076287E-4</v>
      </c>
      <c r="AW43" s="23">
        <f>Model!AW221/Model!AV221-1</f>
        <v>4.1833333333333389E-2</v>
      </c>
      <c r="AX43" s="23">
        <f>Model!AX221/Model!AW221-1</f>
        <v>5.7590785474324058E-3</v>
      </c>
      <c r="AY43" s="23">
        <f>Model!AY221/Model!AX221-1</f>
        <v>8.9867981549228482E-2</v>
      </c>
      <c r="AZ43" s="23">
        <f>Model!AZ221/Model!AY221-1</f>
        <v>8.4500875656742247E-2</v>
      </c>
      <c r="BA43" s="23">
        <f>Model!BA221/Model!AZ221-1</f>
        <v>3.5275719351366197E-2</v>
      </c>
      <c r="BB43" s="23">
        <f>Model!BB221/Model!BA221-1</f>
        <v>3.9196632135743315E-2</v>
      </c>
      <c r="BC43" s="23">
        <f>Model!BC221/Model!BB221-1</f>
        <v>4.6005354600524573E-2</v>
      </c>
      <c r="BD43" s="23">
        <f>Model!BD221/Model!BC221-1</f>
        <v>4.304285052106005E-2</v>
      </c>
      <c r="BE43" s="23">
        <f>Model!BE221/Model!BD221-1</f>
        <v>4.3063146490594395E-2</v>
      </c>
      <c r="BG43" s="23"/>
      <c r="BH43" s="23"/>
    </row>
    <row r="44" spans="1:269" s="70" customFormat="1" x14ac:dyDescent="0.2">
      <c r="A44" s="411"/>
      <c r="B44" s="10"/>
      <c r="C44" s="9"/>
      <c r="D44" s="9"/>
      <c r="E44" s="9"/>
      <c r="F44" s="9"/>
      <c r="G44" s="9"/>
      <c r="H44" s="9"/>
      <c r="I44" s="9"/>
      <c r="J44" s="9"/>
      <c r="K44" s="9"/>
      <c r="L44" s="9"/>
      <c r="M44" s="9"/>
      <c r="N44" s="9"/>
      <c r="O44" s="9"/>
      <c r="P44" s="9"/>
      <c r="Q44" s="9"/>
      <c r="R44" s="9"/>
      <c r="S44" s="9"/>
      <c r="T44" s="9"/>
      <c r="U44" s="9"/>
      <c r="V44" s="9"/>
      <c r="W44" s="9"/>
      <c r="X44" s="9"/>
      <c r="Y44" s="1215"/>
      <c r="Z44" s="1688"/>
      <c r="AA44" s="1742"/>
      <c r="AB44" s="1785"/>
      <c r="AC44" s="9"/>
      <c r="AD44" s="9"/>
      <c r="AE44" s="9"/>
      <c r="AF44" s="1707"/>
      <c r="AG44" s="1707"/>
      <c r="AH44" s="1707"/>
      <c r="AI44" s="1707"/>
      <c r="AJ44" s="1740"/>
      <c r="AK44" s="1740"/>
      <c r="AL44" s="1740"/>
      <c r="AM44" s="1740"/>
      <c r="AN44" s="1740"/>
      <c r="AO44" s="1740"/>
      <c r="AP44" s="1740"/>
      <c r="AQ44" s="1740"/>
      <c r="AS44" s="10"/>
      <c r="AT44" s="9"/>
      <c r="AU44" s="377"/>
      <c r="AV44" s="377"/>
      <c r="AW44" s="377"/>
      <c r="AX44" s="377"/>
      <c r="AY44" s="377"/>
      <c r="AZ44" s="377"/>
      <c r="BA44" s="377"/>
      <c r="BB44" s="377"/>
    </row>
    <row r="45" spans="1:269" s="70" customFormat="1" x14ac:dyDescent="0.2">
      <c r="A45" s="411"/>
      <c r="B45" s="175" t="s">
        <v>179</v>
      </c>
      <c r="C45" s="9"/>
      <c r="D45" s="9"/>
      <c r="E45" s="9"/>
      <c r="F45" s="9"/>
      <c r="G45" s="9"/>
      <c r="H45" s="9"/>
      <c r="I45" s="9"/>
      <c r="J45" s="9"/>
      <c r="K45" s="9"/>
      <c r="L45" s="9"/>
      <c r="M45" s="9"/>
      <c r="N45" s="9"/>
      <c r="O45" s="9"/>
      <c r="P45" s="9"/>
      <c r="Q45" s="9"/>
      <c r="R45" s="9"/>
      <c r="S45" s="9"/>
      <c r="T45" s="9"/>
      <c r="U45" s="9"/>
      <c r="V45" s="9"/>
      <c r="W45" s="9"/>
      <c r="X45" s="9"/>
      <c r="Y45" s="1215"/>
      <c r="Z45" s="1688"/>
      <c r="AA45" s="1742"/>
      <c r="AB45" s="1785"/>
      <c r="AC45" s="9"/>
      <c r="AD45" s="9"/>
      <c r="AE45" s="9"/>
      <c r="AF45" s="1707"/>
      <c r="AG45" s="1707"/>
      <c r="AH45" s="1707"/>
      <c r="AI45" s="1707"/>
      <c r="AJ45" s="1740"/>
      <c r="AK45" s="1740"/>
      <c r="AL45" s="1740"/>
      <c r="AM45" s="1740"/>
      <c r="AN45" s="1740"/>
      <c r="AO45" s="1740"/>
      <c r="AP45" s="1740"/>
      <c r="AQ45" s="1740"/>
      <c r="AS45" s="175" t="s">
        <v>179</v>
      </c>
      <c r="AT45" s="9"/>
    </row>
    <row r="46" spans="1:269" s="70" customFormat="1" x14ac:dyDescent="0.2">
      <c r="A46" s="411"/>
      <c r="B46" s="17" t="s">
        <v>495</v>
      </c>
      <c r="C46" s="321"/>
      <c r="D46" s="9"/>
      <c r="E46" s="26">
        <f>Model!E325/Model!D325-1</f>
        <v>-2.0618556701030855E-2</v>
      </c>
      <c r="F46" s="26">
        <f>Model!F325/Model!E325-1</f>
        <v>6.8421052631578938E-2</v>
      </c>
      <c r="G46" s="26">
        <f>Model!G325/Model!F325-1</f>
        <v>4.9261083743842304E-2</v>
      </c>
      <c r="H46" s="26">
        <f>Model!H325/Model!G325-1</f>
        <v>6.1032863849765251E-2</v>
      </c>
      <c r="I46" s="26">
        <f>Model!I325/Model!H325-1</f>
        <v>1.7699115044247815E-2</v>
      </c>
      <c r="J46" s="26">
        <f>Model!J325/Model!I325-1</f>
        <v>-1.7391304347825987E-2</v>
      </c>
      <c r="K46" s="26">
        <f>Model!K325/Model!J325-1</f>
        <v>2.2123893805309658E-2</v>
      </c>
      <c r="L46" s="26">
        <f>Model!L325/Model!K325-1</f>
        <v>-8.6580086580088089E-3</v>
      </c>
      <c r="M46" s="26">
        <f>Model!M325/Model!L325-1</f>
        <v>2.1834061135371119E-2</v>
      </c>
      <c r="N46" s="26">
        <f>Model!N325/Model!M325-1</f>
        <v>-1.7094017094017033E-2</v>
      </c>
      <c r="O46" s="26">
        <f>Model!O325/Model!N325-1</f>
        <v>-3.9130434782608581E-2</v>
      </c>
      <c r="P46" s="26">
        <f>Model!P325/Model!O325-1</f>
        <v>-5.8823529411764719E-2</v>
      </c>
      <c r="Q46" s="26">
        <f>Model!Q325/Model!P325-1</f>
        <v>0</v>
      </c>
      <c r="R46" s="26">
        <f>Model!R325/Model!Q325-1</f>
        <v>-4.8076923076923128E-2</v>
      </c>
      <c r="S46" s="26">
        <f>Model!S325/Model!R325-1</f>
        <v>1.0101010101010166E-2</v>
      </c>
      <c r="T46" s="26">
        <f>Model!T325/Model!S325-1</f>
        <v>-4.0000000000000036E-2</v>
      </c>
      <c r="U46" s="26">
        <f>Model!U325/Model!T325-1</f>
        <v>0</v>
      </c>
      <c r="V46" s="26">
        <f>Model!V325/Model!U325-1</f>
        <v>-5.2083333333332593E-3</v>
      </c>
      <c r="W46" s="26">
        <f>Model!W325/Model!V325-1</f>
        <v>-3.1413612565445059E-2</v>
      </c>
      <c r="X46" s="26">
        <f>Model!X325/Model!W325-1</f>
        <v>-1.0810810810810811E-2</v>
      </c>
      <c r="Y46" s="26">
        <f>Model!Y325/Model!X325-1</f>
        <v>0.10382513661202175</v>
      </c>
      <c r="Z46" s="26">
        <f>Model!Z325/Model!Y325-1</f>
        <v>4.9504950495049549E-2</v>
      </c>
      <c r="AA46" s="26">
        <f>Model!AA325/Model!Z325-1</f>
        <v>-4.245283018867918E-2</v>
      </c>
      <c r="AB46" s="26">
        <f>Model!AB325/Model!AA325-1</f>
        <v>1.9704433497536922E-2</v>
      </c>
      <c r="AC46" s="335">
        <v>0.01</v>
      </c>
      <c r="AD46" s="335">
        <v>1.4999999999999999E-2</v>
      </c>
      <c r="AE46" s="335">
        <v>0.02</v>
      </c>
      <c r="AF46" s="335">
        <v>-0.01</v>
      </c>
      <c r="AG46" s="335">
        <v>0.01</v>
      </c>
      <c r="AH46" s="335">
        <v>1.4999999999999999E-2</v>
      </c>
      <c r="AI46" s="335">
        <v>0.02</v>
      </c>
      <c r="AJ46" s="335"/>
      <c r="AK46" s="335"/>
      <c r="AL46" s="335"/>
      <c r="AM46" s="335"/>
      <c r="AN46" s="335"/>
      <c r="AO46" s="335"/>
      <c r="AP46" s="335"/>
      <c r="AQ46" s="335"/>
      <c r="AS46" s="17" t="s">
        <v>495</v>
      </c>
      <c r="AT46" s="321"/>
      <c r="AU46" s="256" t="s">
        <v>229</v>
      </c>
      <c r="AV46" s="26">
        <f>Model!AV325/Model!AU325-1</f>
        <v>0.1412500000000001</v>
      </c>
      <c r="AW46" s="26">
        <f>Model!AW325/Model!AV325-1</f>
        <v>1.0952902519167917E-3</v>
      </c>
      <c r="AX46" s="26">
        <f>Model!AX325/Model!AW325-1</f>
        <v>-0.10940919037199126</v>
      </c>
      <c r="AY46" s="26">
        <f>Model!AY325/Model!AX325-1</f>
        <v>-6.6339066339066388E-2</v>
      </c>
      <c r="AZ46" s="26">
        <f>Model!AZ325/Model!AY325-1</f>
        <v>5.2631578947368363E-2</v>
      </c>
      <c r="BA46" s="26">
        <f>Model!BA325/Model!AZ325-1</f>
        <v>5.5907776249999985E-2</v>
      </c>
      <c r="BB46" s="26">
        <f>Model!BB325/Model!BA325-1</f>
        <v>3.5196469999999813E-2</v>
      </c>
      <c r="BC46" s="335">
        <v>0.04</v>
      </c>
      <c r="BD46" s="335">
        <v>0.04</v>
      </c>
      <c r="BE46" s="335">
        <v>0.04</v>
      </c>
      <c r="BG46" s="1714"/>
      <c r="BH46" s="1710"/>
    </row>
    <row r="47" spans="1:269" s="70" customFormat="1" x14ac:dyDescent="0.2">
      <c r="A47" s="411"/>
      <c r="B47" s="17" t="s">
        <v>496</v>
      </c>
      <c r="C47" s="334"/>
      <c r="D47" s="9"/>
      <c r="E47" s="26">
        <f>Model!E324/Model!D324-1</f>
        <v>-5.9440559440559482E-2</v>
      </c>
      <c r="F47" s="26">
        <f>Model!F324/Model!E324-1</f>
        <v>4.0892193308550207E-2</v>
      </c>
      <c r="G47" s="26">
        <f>Model!G324/Model!F324-1</f>
        <v>3.2142857142857029E-2</v>
      </c>
      <c r="H47" s="26">
        <f>Model!H324/Model!G324-1</f>
        <v>1.730103806228378E-2</v>
      </c>
      <c r="I47" s="26">
        <f>Model!I324/Model!H324-1</f>
        <v>-2.3809523809523836E-2</v>
      </c>
      <c r="J47" s="26">
        <f>Model!J324/Model!I324-1</f>
        <v>-6.9686411149825211E-3</v>
      </c>
      <c r="K47" s="26">
        <f>Model!K324/Model!J324-1</f>
        <v>6.6666666666666652E-2</v>
      </c>
      <c r="L47" s="26">
        <f>Model!L324/Model!K324-1</f>
        <v>-4.2763157894736725E-2</v>
      </c>
      <c r="M47" s="26">
        <f>Model!M324/Model!L324-1</f>
        <v>3.0927835051546282E-2</v>
      </c>
      <c r="N47" s="26">
        <f>Model!N324/Model!M324-1</f>
        <v>0</v>
      </c>
      <c r="O47" s="26">
        <f>Model!O324/Model!N324-1</f>
        <v>-2.0000000000000018E-2</v>
      </c>
      <c r="P47" s="26">
        <f>Model!P324/Model!O324-1</f>
        <v>-4.7619047619047561E-2</v>
      </c>
      <c r="Q47" s="26">
        <f>Model!Q324/Model!P324-1</f>
        <v>-2.5000000000000022E-2</v>
      </c>
      <c r="R47" s="26">
        <f>Model!R324/Model!Q324-1</f>
        <v>-5.8608058608058622E-2</v>
      </c>
      <c r="S47" s="26">
        <f>Model!S324/Model!R324-1</f>
        <v>7.7821011673151474E-3</v>
      </c>
      <c r="T47" s="26">
        <f>Model!T324/Model!S324-1</f>
        <v>7.7220077220079286E-3</v>
      </c>
      <c r="U47" s="26">
        <f>Model!U324/Model!T324-1</f>
        <v>-7.6628352490422103E-3</v>
      </c>
      <c r="V47" s="26">
        <f>Model!V324/Model!U324-1</f>
        <v>-7.7220077220077066E-3</v>
      </c>
      <c r="W47" s="26">
        <f>Model!W324/Model!V324-1</f>
        <v>-1.945525291828798E-2</v>
      </c>
      <c r="X47" s="26">
        <f>Model!X324/Model!W324-1</f>
        <v>3.9682539682539542E-3</v>
      </c>
      <c r="Y47" s="26">
        <f>Model!Y324/Model!X324-1</f>
        <v>9.8814229249011953E-2</v>
      </c>
      <c r="Z47" s="26">
        <f>Model!Z324/Model!Y324-1</f>
        <v>3.5971223021582732E-2</v>
      </c>
      <c r="AA47" s="26">
        <f>Model!AA324/Model!Z324-1</f>
        <v>-3.472222222222221E-2</v>
      </c>
      <c r="AB47" s="26">
        <f>Model!AB324/Model!AA324-1</f>
        <v>3.9568345323740983E-2</v>
      </c>
      <c r="AC47" s="335">
        <v>0.01</v>
      </c>
      <c r="AD47" s="335">
        <v>0.01</v>
      </c>
      <c r="AE47" s="335">
        <v>0.01</v>
      </c>
      <c r="AF47" s="335">
        <v>0.01</v>
      </c>
      <c r="AG47" s="335">
        <v>0.01</v>
      </c>
      <c r="AH47" s="335">
        <v>0.01</v>
      </c>
      <c r="AI47" s="335">
        <v>0.01</v>
      </c>
      <c r="AJ47" s="335"/>
      <c r="AK47" s="335"/>
      <c r="AL47" s="335"/>
      <c r="AM47" s="335"/>
      <c r="AN47" s="335"/>
      <c r="AO47" s="335"/>
      <c r="AP47" s="335"/>
      <c r="AQ47" s="335"/>
      <c r="AS47" s="17" t="s">
        <v>496</v>
      </c>
      <c r="AT47" s="334"/>
      <c r="AU47" s="256" t="s">
        <v>229</v>
      </c>
      <c r="AV47" s="26">
        <f>Model!AV324/Model!AU324-1</f>
        <v>4.0925266903914626E-2</v>
      </c>
      <c r="AW47" s="26">
        <f>Model!AW324/Model!AV324-1</f>
        <v>1.2820512820512775E-2</v>
      </c>
      <c r="AX47" s="26">
        <f>Model!AX324/Model!AW324-1</f>
        <v>-9.7890295358649793E-2</v>
      </c>
      <c r="AY47" s="26">
        <f>Model!AY324/Model!AX324-1</f>
        <v>-3.7418147801683843E-2</v>
      </c>
      <c r="AZ47" s="26">
        <f>Model!AZ324/Model!AY324-1</f>
        <v>6.608357628765793E-2</v>
      </c>
      <c r="BA47" s="26">
        <f>Model!BA324/Model!AZ324-1</f>
        <v>6.9695432087511389E-2</v>
      </c>
      <c r="BB47" s="26">
        <f>Model!BB324/Model!BA324-1</f>
        <v>4.0604010000000024E-2</v>
      </c>
      <c r="BC47" s="335">
        <v>0.04</v>
      </c>
      <c r="BD47" s="335">
        <v>0.04</v>
      </c>
      <c r="BE47" s="335">
        <v>0.04</v>
      </c>
      <c r="BG47" s="1714"/>
      <c r="BH47" s="1710"/>
    </row>
    <row r="48" spans="1:269" s="70" customFormat="1" x14ac:dyDescent="0.2">
      <c r="A48" s="411"/>
      <c r="B48" s="17"/>
      <c r="C48" s="334"/>
      <c r="D48" s="9"/>
      <c r="E48" s="26"/>
      <c r="F48" s="26"/>
      <c r="G48" s="26"/>
      <c r="H48" s="26"/>
      <c r="I48" s="26"/>
      <c r="J48" s="26"/>
      <c r="K48" s="26"/>
      <c r="L48" s="26"/>
      <c r="M48" s="26"/>
      <c r="N48" s="26"/>
      <c r="O48" s="26"/>
      <c r="P48" s="26"/>
      <c r="Q48" s="26"/>
      <c r="R48" s="26"/>
      <c r="S48" s="26"/>
      <c r="T48" s="26"/>
      <c r="U48" s="26"/>
      <c r="V48" s="26"/>
      <c r="W48" s="26"/>
      <c r="X48" s="26"/>
      <c r="Y48" s="26"/>
      <c r="Z48" s="26"/>
      <c r="AA48" s="26"/>
      <c r="AB48" s="26"/>
      <c r="AC48" s="1740"/>
      <c r="AD48" s="1740"/>
      <c r="AE48" s="1740"/>
      <c r="AF48" s="1707"/>
      <c r="AG48" s="1707"/>
      <c r="AH48" s="1707"/>
      <c r="AI48" s="1707"/>
      <c r="AJ48" s="1740"/>
      <c r="AK48" s="1740"/>
      <c r="AL48" s="1740"/>
      <c r="AM48" s="1740"/>
      <c r="AN48" s="1740"/>
      <c r="AO48" s="1740"/>
      <c r="AP48" s="1740"/>
      <c r="AQ48" s="1740"/>
      <c r="AS48" s="17"/>
      <c r="AT48" s="334"/>
      <c r="AV48" s="26"/>
      <c r="AW48" s="26"/>
      <c r="AX48" s="26"/>
      <c r="AY48" s="26"/>
      <c r="AZ48" s="26"/>
      <c r="BA48" s="26"/>
      <c r="BB48" s="26"/>
      <c r="BC48" s="9"/>
      <c r="BD48" s="9"/>
      <c r="BE48" s="1702"/>
      <c r="BG48" s="15"/>
      <c r="BH48" s="15"/>
      <c r="BI48" s="1707"/>
    </row>
    <row r="49" spans="1:60" s="70" customFormat="1" x14ac:dyDescent="0.2">
      <c r="A49" s="411"/>
      <c r="B49" s="334" t="s">
        <v>499</v>
      </c>
      <c r="C49" s="321"/>
      <c r="D49" s="9"/>
      <c r="E49" s="26">
        <f>Model!E327/Model!D327-1</f>
        <v>-3.3898305084745783E-2</v>
      </c>
      <c r="F49" s="26">
        <f>Model!F327/Model!E327-1</f>
        <v>7.0175438596491224E-2</v>
      </c>
      <c r="G49" s="26">
        <f>Model!G327/Model!F327-1</f>
        <v>4.9180327868852514E-2</v>
      </c>
      <c r="H49" s="26">
        <f>Model!H327/Model!G327-1</f>
        <v>6.25E-2</v>
      </c>
      <c r="I49" s="26">
        <f>Model!I327/Model!H327-1</f>
        <v>2.941176470588247E-2</v>
      </c>
      <c r="J49" s="26">
        <f>Model!J327/Model!I327-1</f>
        <v>0</v>
      </c>
      <c r="K49" s="26">
        <f>Model!K327/Model!J327-1</f>
        <v>5.7142857142857162E-2</v>
      </c>
      <c r="L49" s="26">
        <f>Model!L327/Model!K327-1</f>
        <v>-2.7027027027027084E-2</v>
      </c>
      <c r="M49" s="26">
        <f>Model!M327/Model!L327-1</f>
        <v>2.7777777777777901E-2</v>
      </c>
      <c r="N49" s="26">
        <f>Model!N327/Model!M327-1</f>
        <v>-1.3513513513513598E-2</v>
      </c>
      <c r="O49" s="26">
        <f>Model!O327/Model!N327-1</f>
        <v>-2.7397260273972601E-2</v>
      </c>
      <c r="P49" s="26">
        <f>Model!P327/Model!O327-1</f>
        <v>-9.8591549295774517E-2</v>
      </c>
      <c r="Q49" s="26">
        <f>Model!Q327/Model!P327-1</f>
        <v>-4.6875000000000111E-2</v>
      </c>
      <c r="R49" s="26">
        <f>Model!R327/Model!Q327-1</f>
        <v>-8.1967213114754078E-2</v>
      </c>
      <c r="S49" s="26">
        <f>Model!S327/Model!R327-1</f>
        <v>-1.7857142857142794E-2</v>
      </c>
      <c r="T49" s="26">
        <f>Model!T327/Model!S327-1</f>
        <v>-5.4545454545454564E-2</v>
      </c>
      <c r="U49" s="26">
        <f>Model!U327/Model!T327-1</f>
        <v>-1.9230769230769384E-2</v>
      </c>
      <c r="V49" s="26">
        <f>Model!V327/Model!U327-1</f>
        <v>0</v>
      </c>
      <c r="W49" s="26">
        <f>Model!W327/Model!V327-1</f>
        <v>-1.9607843137254832E-2</v>
      </c>
      <c r="X49" s="26">
        <f>Model!X327/Model!W327-1</f>
        <v>-4.0000000000000036E-2</v>
      </c>
      <c r="Y49" s="26">
        <f>Model!Y327/Model!X327-1</f>
        <v>0.10416666666666674</v>
      </c>
      <c r="Z49" s="26">
        <f>Model!Z327/Model!Y327-1</f>
        <v>5.6603773584905648E-2</v>
      </c>
      <c r="AA49" s="26">
        <f>Model!AA327/Model!Z327-1</f>
        <v>-3.5714285714285587E-2</v>
      </c>
      <c r="AB49" s="26">
        <f>Model!AB327/Model!AA327-1</f>
        <v>3.7037037037036979E-2</v>
      </c>
      <c r="AC49" s="335">
        <v>-0.02</v>
      </c>
      <c r="AD49" s="335">
        <v>2.5000000000000001E-2</v>
      </c>
      <c r="AE49" s="335">
        <v>3.5000000000000003E-2</v>
      </c>
      <c r="AF49" s="335">
        <v>-0.02</v>
      </c>
      <c r="AG49" s="335">
        <v>0.02</v>
      </c>
      <c r="AH49" s="335">
        <v>1.4999999999999999E-2</v>
      </c>
      <c r="AI49" s="335">
        <v>3.5000000000000003E-2</v>
      </c>
      <c r="AJ49" s="335"/>
      <c r="AK49" s="335"/>
      <c r="AL49" s="335"/>
      <c r="AM49" s="335"/>
      <c r="AN49" s="335"/>
      <c r="AO49" s="335"/>
      <c r="AP49" s="335"/>
      <c r="AQ49" s="335"/>
      <c r="AS49" s="334" t="s">
        <v>499</v>
      </c>
      <c r="AT49" s="321"/>
      <c r="AU49" s="256" t="s">
        <v>229</v>
      </c>
      <c r="AV49" s="26">
        <f>Model!AV327/Model!AU327-1</f>
        <v>0.17012448132780089</v>
      </c>
      <c r="AW49" s="26">
        <f>Model!AW327/Model!AV327-1</f>
        <v>2.8368794326240954E-2</v>
      </c>
      <c r="AX49" s="26">
        <f>Model!AX327/Model!AW327-1</f>
        <v>-0.18620689655172407</v>
      </c>
      <c r="AY49" s="26">
        <f>Model!AY327/Model!AX327-1</f>
        <v>-0.13559322033898313</v>
      </c>
      <c r="AZ49" s="26">
        <f>Model!AZ327/Model!AY327-1</f>
        <v>3.4313725490196179E-2</v>
      </c>
      <c r="BA49" s="26">
        <f>Model!BA327/Model!AZ327-1</f>
        <v>6.8022843601895477E-2</v>
      </c>
      <c r="BB49" s="26">
        <f>Model!BB327/Model!BA327-1</f>
        <v>4.4861084404480778E-2</v>
      </c>
      <c r="BC49" s="335">
        <v>0.05</v>
      </c>
      <c r="BD49" s="335">
        <v>0.05</v>
      </c>
      <c r="BE49" s="335">
        <v>0.05</v>
      </c>
      <c r="BG49" s="1714"/>
      <c r="BH49" s="1710"/>
    </row>
    <row r="50" spans="1:60" s="70" customFormat="1" x14ac:dyDescent="0.2">
      <c r="A50" s="411"/>
      <c r="B50" s="334"/>
      <c r="C50" s="321"/>
      <c r="D50" s="9"/>
      <c r="E50" s="26"/>
      <c r="F50" s="26"/>
      <c r="G50" s="26"/>
      <c r="H50" s="26"/>
      <c r="I50" s="26"/>
      <c r="J50" s="26"/>
      <c r="K50" s="26"/>
      <c r="L50" s="26"/>
      <c r="M50" s="26"/>
      <c r="N50" s="26"/>
      <c r="O50" s="26"/>
      <c r="P50" s="26"/>
      <c r="Q50" s="26"/>
      <c r="R50" s="26"/>
      <c r="S50" s="26"/>
      <c r="T50" s="26"/>
      <c r="U50" s="26"/>
      <c r="V50" s="26"/>
      <c r="W50" s="26"/>
      <c r="X50" s="26"/>
      <c r="Y50" s="26"/>
      <c r="Z50" s="26"/>
      <c r="AA50" s="26"/>
      <c r="AB50" s="26"/>
      <c r="AC50" s="9"/>
      <c r="AD50" s="9"/>
      <c r="AE50" s="9"/>
      <c r="AF50" s="1707"/>
      <c r="AG50" s="1707"/>
      <c r="AH50" s="1707"/>
      <c r="AI50" s="1707"/>
      <c r="AJ50" s="1740"/>
      <c r="AK50" s="1740"/>
      <c r="AL50" s="1740"/>
      <c r="AM50" s="1740"/>
      <c r="AN50" s="1740"/>
      <c r="AO50" s="1740"/>
      <c r="AP50" s="1740"/>
      <c r="AQ50" s="1740"/>
      <c r="AS50" s="334"/>
      <c r="AT50" s="321"/>
      <c r="AV50" s="26"/>
      <c r="AW50" s="26"/>
      <c r="AX50" s="26"/>
      <c r="AY50" s="26"/>
      <c r="AZ50" s="26"/>
      <c r="BA50" s="26"/>
      <c r="BB50" s="26"/>
      <c r="BC50" s="9"/>
      <c r="BD50" s="9"/>
      <c r="BE50" s="1702"/>
      <c r="BG50" s="15"/>
      <c r="BH50" s="15"/>
    </row>
    <row r="51" spans="1:60" s="70" customFormat="1" x14ac:dyDescent="0.2">
      <c r="A51" s="411"/>
      <c r="B51" s="334" t="s">
        <v>179</v>
      </c>
      <c r="C51" s="321"/>
      <c r="D51" s="9"/>
      <c r="E51" s="26">
        <f>Model!E329/Model!D329-1</f>
        <v>-2.3715415019762709E-2</v>
      </c>
      <c r="F51" s="26">
        <f>Model!F329/Model!E329-1</f>
        <v>6.8825910931173961E-2</v>
      </c>
      <c r="G51" s="26">
        <f>Model!G329/Model!F329-1</f>
        <v>4.924242424242431E-2</v>
      </c>
      <c r="H51" s="26">
        <f>Model!H329/Model!G329-1</f>
        <v>6.1371841155234641E-2</v>
      </c>
      <c r="I51" s="26">
        <f>Model!I329/Model!H329-1</f>
        <v>2.0408163265306145E-2</v>
      </c>
      <c r="J51" s="26">
        <f>Model!J329/Model!I329-1</f>
        <v>-1.3333333333333308E-2</v>
      </c>
      <c r="K51" s="26">
        <f>Model!K329/Model!J329-1</f>
        <v>3.0405405405405261E-2</v>
      </c>
      <c r="L51" s="26">
        <f>Model!L329/Model!K329-1</f>
        <v>-1.3114754098360715E-2</v>
      </c>
      <c r="M51" s="26">
        <f>Model!M329/Model!L329-1</f>
        <v>2.3255813953488413E-2</v>
      </c>
      <c r="N51" s="26">
        <f>Model!N329/Model!M329-1</f>
        <v>-1.6233766233766156E-2</v>
      </c>
      <c r="O51" s="26">
        <f>Model!O329/Model!N329-1</f>
        <v>-3.6303630363036188E-2</v>
      </c>
      <c r="P51" s="26">
        <f>Model!P329/Model!O329-1</f>
        <v>-6.8493150684931448E-2</v>
      </c>
      <c r="Q51" s="26">
        <f>Model!Q329/Model!P329-1</f>
        <v>-1.1029411764706065E-2</v>
      </c>
      <c r="R51" s="26">
        <f>Model!R329/Model!Q329-1</f>
        <v>-5.5762081784386575E-2</v>
      </c>
      <c r="S51" s="26">
        <f>Model!S329/Model!R329-1</f>
        <v>3.937007874015741E-3</v>
      </c>
      <c r="T51" s="26">
        <f>Model!T329/Model!S329-1</f>
        <v>-4.3137254901960853E-2</v>
      </c>
      <c r="U51" s="26">
        <f>Model!U329/Model!T329-1</f>
        <v>-4.098360655737765E-3</v>
      </c>
      <c r="V51" s="26">
        <f>Model!V329/Model!U329-1</f>
        <v>-4.1152263374483189E-3</v>
      </c>
      <c r="W51" s="26">
        <f>Model!W329/Model!V329-1</f>
        <v>-2.892561983471087E-2</v>
      </c>
      <c r="X51" s="26">
        <f>Model!X329/Model!W329-1</f>
        <v>-1.7021276595744594E-2</v>
      </c>
      <c r="Y51" s="26">
        <f>Model!Y329/Model!X329-1</f>
        <v>0.10389610389610393</v>
      </c>
      <c r="Z51" s="26">
        <f>Model!Z329/Model!Y329-1</f>
        <v>5.0980392156862564E-2</v>
      </c>
      <c r="AA51" s="26">
        <f>Model!AA329/Model!Z329-1</f>
        <v>-4.1044776119402826E-2</v>
      </c>
      <c r="AB51" s="26">
        <f>Model!AB329/Model!AA329-1</f>
        <v>2.334630350194522E-2</v>
      </c>
      <c r="AC51" s="26">
        <f>Model!AC329/Model!AB329-1</f>
        <v>3.6121673003803867E-3</v>
      </c>
      <c r="AD51" s="26">
        <f>Model!AD329/Model!AC329-1</f>
        <v>1.7079181663193665E-2</v>
      </c>
      <c r="AE51" s="26">
        <f>Model!AE329/Model!AD329-1</f>
        <v>2.3143060899086576E-2</v>
      </c>
      <c r="AF51" s="26">
        <f>Model!AF329/Model!AE329-1</f>
        <v>-1.211965667681314E-2</v>
      </c>
      <c r="AG51" s="26">
        <f>Model!AG329/Model!AF329-1</f>
        <v>1.2102748128674179E-2</v>
      </c>
      <c r="AH51" s="26">
        <f>Model!AH329/Model!AG329-1</f>
        <v>1.4999999999999902E-2</v>
      </c>
      <c r="AI51" s="26">
        <f>Model!AI329/Model!AH329-1</f>
        <v>2.3178733229229698E-2</v>
      </c>
      <c r="AJ51" s="26"/>
      <c r="AK51" s="26"/>
      <c r="AL51" s="26"/>
      <c r="AM51" s="26"/>
      <c r="AN51" s="26"/>
      <c r="AO51" s="26"/>
      <c r="AP51" s="26"/>
      <c r="AQ51" s="26"/>
      <c r="AS51" s="334" t="s">
        <v>179</v>
      </c>
      <c r="AT51" s="321"/>
      <c r="AU51" s="256" t="s">
        <v>229</v>
      </c>
      <c r="AV51" s="26">
        <f>Model!AV329/Model!AU329-1</f>
        <v>0.14793467819404404</v>
      </c>
      <c r="AW51" s="26">
        <f>Model!AW329/Model!AV329-1</f>
        <v>7.5313807531380839E-3</v>
      </c>
      <c r="AX51" s="26">
        <f>Model!AX329/Model!AW329-1</f>
        <v>-0.12790697674418594</v>
      </c>
      <c r="AY51" s="26">
        <f>Model!AY329/Model!AX329-1</f>
        <v>-8.1904761904761814E-2</v>
      </c>
      <c r="AZ51" s="26">
        <f>Model!AZ329/Model!AY329-1</f>
        <v>4.875518672199175E-2</v>
      </c>
      <c r="BA51" s="26">
        <f>Model!BA329/Model!AZ329-1</f>
        <v>5.8436242334322319E-2</v>
      </c>
      <c r="BB51" s="26">
        <f>Model!BB329/Model!BA329-1</f>
        <v>3.7231785174687504E-2</v>
      </c>
      <c r="BC51" s="26">
        <f>Model!BC329/Model!BB329-1</f>
        <v>4.212143571750282E-2</v>
      </c>
      <c r="BD51" s="26">
        <f>Model!BD329/Model!BC329-1</f>
        <v>4.2137474028489219E-2</v>
      </c>
      <c r="BE51" s="26">
        <f>Model!BE329/Model!BD329-1</f>
        <v>4.215360044701022E-2</v>
      </c>
      <c r="BG51" s="23"/>
      <c r="BH51" s="23"/>
    </row>
    <row r="52" spans="1:60" s="70" customFormat="1" x14ac:dyDescent="0.2">
      <c r="A52" s="411"/>
      <c r="B52" s="334"/>
      <c r="C52" s="321"/>
      <c r="D52" s="9"/>
      <c r="E52" s="26"/>
      <c r="F52" s="9"/>
      <c r="G52" s="9"/>
      <c r="H52" s="9"/>
      <c r="I52" s="9"/>
      <c r="J52" s="9"/>
      <c r="K52" s="9"/>
      <c r="L52" s="9"/>
      <c r="M52" s="9"/>
      <c r="N52" s="9"/>
      <c r="O52" s="9"/>
      <c r="P52" s="9"/>
      <c r="Q52" s="9"/>
      <c r="R52" s="9"/>
      <c r="S52" s="9"/>
      <c r="T52" s="9"/>
      <c r="U52" s="9"/>
      <c r="V52" s="9"/>
      <c r="W52" s="9"/>
      <c r="X52" s="9"/>
      <c r="Y52" s="1215"/>
      <c r="Z52" s="1688"/>
      <c r="AA52" s="1742"/>
      <c r="AB52" s="1785"/>
      <c r="AC52" s="9"/>
      <c r="AD52" s="9"/>
      <c r="AE52" s="9"/>
      <c r="AF52" s="1707"/>
      <c r="AG52" s="1707"/>
      <c r="AH52" s="1707"/>
      <c r="AI52" s="1707"/>
      <c r="AJ52" s="1740"/>
      <c r="AK52" s="1740"/>
      <c r="AL52" s="1740"/>
      <c r="AM52" s="1740"/>
      <c r="AN52" s="1740"/>
      <c r="AO52" s="1740"/>
      <c r="AP52" s="1740"/>
      <c r="AQ52" s="1740"/>
      <c r="AS52" s="334"/>
      <c r="AT52" s="321"/>
    </row>
    <row r="53" spans="1:60" s="70" customFormat="1" x14ac:dyDescent="0.2">
      <c r="A53" s="411"/>
      <c r="B53" s="175" t="s">
        <v>230</v>
      </c>
      <c r="C53" s="321"/>
      <c r="D53" s="9"/>
      <c r="E53" s="9"/>
      <c r="F53" s="9"/>
      <c r="G53" s="9"/>
      <c r="H53" s="9"/>
      <c r="I53" s="9"/>
      <c r="J53" s="9"/>
      <c r="K53" s="9"/>
      <c r="L53" s="9"/>
      <c r="M53" s="9"/>
      <c r="N53" s="9"/>
      <c r="O53" s="9"/>
      <c r="P53" s="9"/>
      <c r="Q53" s="9"/>
      <c r="R53" s="9"/>
      <c r="S53" s="9"/>
      <c r="T53" s="9"/>
      <c r="U53" s="9"/>
      <c r="V53" s="9"/>
      <c r="W53" s="9"/>
      <c r="X53" s="9"/>
      <c r="Y53" s="1215"/>
      <c r="Z53" s="1688"/>
      <c r="AA53" s="1742"/>
      <c r="AB53" s="1785"/>
      <c r="AC53" s="9"/>
      <c r="AD53" s="9"/>
      <c r="AE53" s="9"/>
      <c r="AF53" s="1707"/>
      <c r="AG53" s="1707"/>
      <c r="AH53" s="1707"/>
      <c r="AI53" s="1707"/>
      <c r="AJ53" s="1740"/>
      <c r="AK53" s="1740"/>
      <c r="AL53" s="1740"/>
      <c r="AM53" s="1740"/>
      <c r="AN53" s="1740"/>
      <c r="AO53" s="1740"/>
      <c r="AP53" s="1740"/>
      <c r="AQ53" s="1740"/>
      <c r="AS53" s="175" t="s">
        <v>230</v>
      </c>
      <c r="AT53" s="321"/>
    </row>
    <row r="54" spans="1:60" s="70" customFormat="1" x14ac:dyDescent="0.2">
      <c r="A54" s="411"/>
      <c r="B54" s="17" t="s">
        <v>495</v>
      </c>
      <c r="C54" s="321"/>
      <c r="D54" s="9"/>
      <c r="E54" s="26">
        <f>Model!E403/Model!D403-1</f>
        <v>-1.6105417276720324E-2</v>
      </c>
      <c r="F54" s="26">
        <f>Model!F403/Model!E403-1</f>
        <v>1.7857142857142794E-2</v>
      </c>
      <c r="G54" s="26">
        <f>Model!G403/Model!F403-1</f>
        <v>2.0467836257309857E-2</v>
      </c>
      <c r="H54" s="26">
        <f>Model!H403/Model!G403-1</f>
        <v>-1.4326647564468775E-3</v>
      </c>
      <c r="I54" s="26">
        <f>Model!I403/Model!H403-1</f>
        <v>-4.3041606886656814E-3</v>
      </c>
      <c r="J54" s="26">
        <f>Model!J403/Model!I403-1</f>
        <v>4.3227665706051521E-3</v>
      </c>
      <c r="K54" s="26">
        <f>Model!K403/Model!J403-1</f>
        <v>3.4433285509325451E-2</v>
      </c>
      <c r="L54" s="26">
        <f>Model!L403/Model!K403-1</f>
        <v>9.7087378640776656E-3</v>
      </c>
      <c r="M54" s="26">
        <f>Model!M403/Model!L403-1</f>
        <v>4.1208791208791284E-2</v>
      </c>
      <c r="N54" s="26">
        <f>Model!N403/Model!M403-1</f>
        <v>1.3192612137205018E-3</v>
      </c>
      <c r="O54" s="26">
        <f>Model!O403/Model!N403-1</f>
        <v>-2.1080368906455926E-2</v>
      </c>
      <c r="P54" s="26">
        <f>Model!P403/Model!O403-1</f>
        <v>-2.5572005383579954E-2</v>
      </c>
      <c r="Q54" s="26">
        <f>Model!Q403/Model!P403-1</f>
        <v>-1.3812154696133394E-3</v>
      </c>
      <c r="R54" s="26">
        <f>Model!R403/Model!Q403-1</f>
        <v>-3.596127247579517E-2</v>
      </c>
      <c r="S54" s="26">
        <f>Model!S403/Model!R403-1</f>
        <v>-1.0043041606886738E-2</v>
      </c>
      <c r="T54" s="26">
        <f>Model!T403/Model!S403-1</f>
        <v>-2.1739130434782594E-2</v>
      </c>
      <c r="U54" s="26">
        <f>Model!U403/Model!T403-1</f>
        <v>0</v>
      </c>
      <c r="V54" s="26">
        <f>Model!V403/Model!U403-1</f>
        <v>5.9259259259261121E-3</v>
      </c>
      <c r="W54" s="26">
        <f>Model!W403/Model!V403-1</f>
        <v>-4.8600883652430205E-2</v>
      </c>
      <c r="X54" s="26">
        <f>Model!X403/Model!W403-1</f>
        <v>7.7399380804954454E-3</v>
      </c>
      <c r="Y54" s="26">
        <f>Model!Y403/Model!X403-1</f>
        <v>2.1505376344086002E-2</v>
      </c>
      <c r="Z54" s="26">
        <f>Model!Z403/Model!Y403-1</f>
        <v>1.3533834586466176E-2</v>
      </c>
      <c r="AA54" s="26">
        <f>Model!AA403/Model!Z403-1</f>
        <v>2.0771513353115667E-2</v>
      </c>
      <c r="AB54" s="26">
        <f>Model!AB403/Model!AA403-1</f>
        <v>2.7616279069767602E-2</v>
      </c>
      <c r="AC54" s="335">
        <v>0.01</v>
      </c>
      <c r="AD54" s="335">
        <v>1.4999999999999999E-2</v>
      </c>
      <c r="AE54" s="335">
        <v>0.02</v>
      </c>
      <c r="AF54" s="335">
        <v>5.0000000000000001E-3</v>
      </c>
      <c r="AG54" s="335">
        <v>5.0000000000000001E-3</v>
      </c>
      <c r="AH54" s="335">
        <v>7.4999999999999997E-3</v>
      </c>
      <c r="AI54" s="335">
        <v>8.9999999999999993E-3</v>
      </c>
      <c r="AJ54" s="335"/>
      <c r="AK54" s="335"/>
      <c r="AL54" s="335"/>
      <c r="AM54" s="335"/>
      <c r="AN54" s="335"/>
      <c r="AO54" s="335"/>
      <c r="AP54" s="335"/>
      <c r="AQ54" s="335"/>
      <c r="AS54" s="17" t="s">
        <v>495</v>
      </c>
      <c r="AT54" s="321"/>
      <c r="AU54" s="256" t="s">
        <v>229</v>
      </c>
      <c r="AV54" s="26">
        <f>Model!AV403/Model!AU403-1</f>
        <v>2.6306174643770497E-2</v>
      </c>
      <c r="AW54" s="26">
        <f>Model!AW403/Model!AV403-1</f>
        <v>6.3723745105019658E-2</v>
      </c>
      <c r="AX54" s="26">
        <f>Model!AX403/Model!AW403-1</f>
        <v>-5.1539491298527529E-2</v>
      </c>
      <c r="AY54" s="26">
        <f>Model!AY403/Model!AX403-1</f>
        <v>-5.6104446012702813E-2</v>
      </c>
      <c r="AZ54" s="26">
        <f>Model!AZ403/Model!AY403-1</f>
        <v>1.1214953271028172E-3</v>
      </c>
      <c r="BA54" s="26">
        <f>Model!BA403/Model!AZ403-1</f>
        <v>7.7344182598954481E-2</v>
      </c>
      <c r="BB54" s="26">
        <f>Model!BB403/Model!BA403-1</f>
        <v>4.0164600997551814E-2</v>
      </c>
      <c r="BC54" s="335">
        <v>0.04</v>
      </c>
      <c r="BD54" s="335">
        <v>0.05</v>
      </c>
      <c r="BE54" s="335">
        <v>0.05</v>
      </c>
      <c r="BG54" s="1714"/>
      <c r="BH54" s="1710"/>
    </row>
    <row r="55" spans="1:60" s="70" customFormat="1" x14ac:dyDescent="0.2">
      <c r="A55" s="411"/>
      <c r="B55" s="17" t="s">
        <v>496</v>
      </c>
      <c r="C55" s="334"/>
      <c r="D55" s="9"/>
      <c r="E55" s="26">
        <f>Model!E402/Model!D402-1</f>
        <v>-1.4799154334038001E-2</v>
      </c>
      <c r="F55" s="26">
        <f>Model!F402/Model!E402-1</f>
        <v>2.682403433476388E-2</v>
      </c>
      <c r="G55" s="26">
        <f>Model!G402/Model!F402-1</f>
        <v>-1.2539184952978122E-2</v>
      </c>
      <c r="H55" s="26">
        <f>Model!H402/Model!G402-1</f>
        <v>-1.5873015873015928E-2</v>
      </c>
      <c r="I55" s="26">
        <f>Model!I402/Model!H402-1</f>
        <v>-3.9784946236559149E-2</v>
      </c>
      <c r="J55" s="26">
        <f>Model!J402/Model!I402-1</f>
        <v>-3.919372900335949E-2</v>
      </c>
      <c r="K55" s="26">
        <f>Model!K402/Model!J402-1</f>
        <v>2.5641025641025772E-2</v>
      </c>
      <c r="L55" s="26">
        <f>Model!L402/Model!K402-1</f>
        <v>1.136363636363491E-3</v>
      </c>
      <c r="M55" s="26">
        <f>Model!M402/Model!L402-1</f>
        <v>3.4052213393870545E-2</v>
      </c>
      <c r="N55" s="26">
        <f>Model!N402/Model!M402-1</f>
        <v>-2.1953896816683249E-3</v>
      </c>
      <c r="O55" s="26">
        <f>Model!O402/Model!N402-1</f>
        <v>-3.1903190319031993E-2</v>
      </c>
      <c r="P55" s="26">
        <f>Model!P402/Model!O402-1</f>
        <v>2.2727272727272041E-3</v>
      </c>
      <c r="Q55" s="26">
        <f>Model!Q402/Model!P402-1</f>
        <v>1.2471655328798015E-2</v>
      </c>
      <c r="R55" s="26">
        <f>Model!R402/Model!Q402-1</f>
        <v>-3.2474804031354942E-2</v>
      </c>
      <c r="S55" s="26">
        <f>Model!S402/Model!R402-1</f>
        <v>3.4722222222220989E-3</v>
      </c>
      <c r="T55" s="26">
        <f>Model!T402/Model!S402-1</f>
        <v>5.7670126874278527E-3</v>
      </c>
      <c r="U55" s="26">
        <f>Model!U402/Model!T402-1</f>
        <v>2.5229357798165264E-2</v>
      </c>
      <c r="V55" s="26">
        <f>Model!V402/Model!U402-1</f>
        <v>2.460850111856816E-2</v>
      </c>
      <c r="W55" s="26">
        <f>Model!W402/Model!V402-1</f>
        <v>-1.8558951965065407E-2</v>
      </c>
      <c r="X55" s="26">
        <f>Model!X402/Model!W402-1</f>
        <v>3.1145717463848754E-2</v>
      </c>
      <c r="Y55" s="26">
        <f>Model!Y402/Model!X402-1</f>
        <v>1.7259978425026912E-2</v>
      </c>
      <c r="Z55" s="26">
        <f>Model!Z402/Model!Y402-1</f>
        <v>9.5440084835631822E-3</v>
      </c>
      <c r="AA55" s="26">
        <f>Model!AA402/Model!Z402-1</f>
        <v>8.4033613445377853E-3</v>
      </c>
      <c r="AB55" s="26">
        <f>Model!AB402/Model!AA402-1</f>
        <v>3.2291666666666607E-2</v>
      </c>
      <c r="AC55" s="335">
        <v>0.01</v>
      </c>
      <c r="AD55" s="335">
        <v>0.01</v>
      </c>
      <c r="AE55" s="335">
        <v>0.01</v>
      </c>
      <c r="AF55" s="335">
        <v>0.01</v>
      </c>
      <c r="AG55" s="335">
        <v>0.01</v>
      </c>
      <c r="AH55" s="335">
        <v>0.01</v>
      </c>
      <c r="AI55" s="335">
        <v>8.0000000000000002E-3</v>
      </c>
      <c r="AJ55" s="335"/>
      <c r="AK55" s="335"/>
      <c r="AL55" s="335"/>
      <c r="AM55" s="335"/>
      <c r="AN55" s="335"/>
      <c r="AO55" s="335"/>
      <c r="AP55" s="335"/>
      <c r="AQ55" s="335"/>
      <c r="AS55" s="17" t="s">
        <v>496</v>
      </c>
      <c r="AT55" s="334"/>
      <c r="AU55" s="256" t="s">
        <v>229</v>
      </c>
      <c r="AV55" s="26">
        <f>Model!AV402/Model!AU402-1</f>
        <v>-5.7936507936507842E-2</v>
      </c>
      <c r="AW55" s="26">
        <f>Model!AW402/Model!AV402-1</f>
        <v>5.6163998876719301E-3</v>
      </c>
      <c r="AX55" s="26">
        <f>Model!AX402/Model!AW402-1</f>
        <v>-2.0943870427255096E-2</v>
      </c>
      <c r="AY55" s="26">
        <f>Model!AY402/Model!AX402-1</f>
        <v>2.1391899600684772E-2</v>
      </c>
      <c r="AZ55" s="26">
        <f>Model!AZ402/Model!AY402-1</f>
        <v>5.6129572745043266E-2</v>
      </c>
      <c r="BA55" s="26">
        <f>Model!BA402/Model!AZ402-1</f>
        <v>6.3949601004759327E-2</v>
      </c>
      <c r="BB55" s="26">
        <f>Model!BB402/Model!BA402-1</f>
        <v>4.0081145312201638E-2</v>
      </c>
      <c r="BC55" s="335">
        <v>0.05</v>
      </c>
      <c r="BD55" s="335">
        <v>0.05</v>
      </c>
      <c r="BE55" s="335">
        <v>0.05</v>
      </c>
      <c r="BG55" s="1714"/>
      <c r="BH55" s="1710"/>
    </row>
    <row r="56" spans="1:60" s="70" customFormat="1" x14ac:dyDescent="0.2">
      <c r="A56" s="411"/>
      <c r="B56" s="17"/>
      <c r="C56" s="334"/>
      <c r="D56" s="9"/>
      <c r="E56" s="26"/>
      <c r="F56" s="26"/>
      <c r="G56" s="26"/>
      <c r="H56" s="26"/>
      <c r="I56" s="26"/>
      <c r="J56" s="26"/>
      <c r="K56" s="26"/>
      <c r="L56" s="26"/>
      <c r="M56" s="26"/>
      <c r="N56" s="26"/>
      <c r="O56" s="26"/>
      <c r="P56" s="26"/>
      <c r="Q56" s="26"/>
      <c r="R56" s="26"/>
      <c r="S56" s="26"/>
      <c r="T56" s="26"/>
      <c r="U56" s="26"/>
      <c r="V56" s="26"/>
      <c r="W56" s="26"/>
      <c r="X56" s="26"/>
      <c r="Y56" s="26"/>
      <c r="Z56" s="26"/>
      <c r="AA56" s="26"/>
      <c r="AB56" s="26"/>
      <c r="AC56" s="1740"/>
      <c r="AD56" s="1740"/>
      <c r="AE56" s="1740"/>
      <c r="AF56" s="1707"/>
      <c r="AG56" s="1707"/>
      <c r="AH56" s="1707"/>
      <c r="AI56" s="1707"/>
      <c r="AJ56" s="1740"/>
      <c r="AK56" s="1740"/>
      <c r="AL56" s="1740"/>
      <c r="AM56" s="1740"/>
      <c r="AN56" s="1740"/>
      <c r="AO56" s="1740"/>
      <c r="AP56" s="1740"/>
      <c r="AQ56" s="1740"/>
      <c r="AS56" s="17"/>
      <c r="AT56" s="334"/>
      <c r="AV56" s="26"/>
      <c r="AW56" s="26"/>
      <c r="AX56" s="26"/>
      <c r="AY56" s="26"/>
      <c r="AZ56" s="26"/>
      <c r="BA56" s="26"/>
      <c r="BB56" s="26"/>
      <c r="BC56" s="9"/>
      <c r="BD56" s="9"/>
      <c r="BE56" s="1702"/>
      <c r="BG56" s="15"/>
      <c r="BH56" s="15"/>
    </row>
    <row r="57" spans="1:60" s="70" customFormat="1" x14ac:dyDescent="0.2">
      <c r="A57" s="411"/>
      <c r="B57" s="334" t="s">
        <v>499</v>
      </c>
      <c r="C57" s="321"/>
      <c r="D57" s="9"/>
      <c r="E57" s="26">
        <f>Model!E405/Model!D405-1</f>
        <v>-2.9702970297029618E-2</v>
      </c>
      <c r="F57" s="26">
        <f>Model!F405/Model!E405-1</f>
        <v>1.5306122448979442E-2</v>
      </c>
      <c r="G57" s="26">
        <f>Model!G405/Model!F405-1</f>
        <v>2.0100502512562901E-2</v>
      </c>
      <c r="H57" s="26">
        <f>Model!H405/Model!G405-1</f>
        <v>4.9261083743841194E-3</v>
      </c>
      <c r="I57" s="26">
        <f>Model!I405/Model!H405-1</f>
        <v>-3.4313725490196068E-2</v>
      </c>
      <c r="J57" s="26">
        <f>Model!J405/Model!I405-1</f>
        <v>-6.0913705583756306E-2</v>
      </c>
      <c r="K57" s="26">
        <f>Model!K405/Model!J405-1</f>
        <v>2.7027027027026973E-2</v>
      </c>
      <c r="L57" s="26">
        <f>Model!L405/Model!K405-1</f>
        <v>-5.2631578947369695E-3</v>
      </c>
      <c r="M57" s="26">
        <f>Model!M405/Model!L405-1</f>
        <v>1.5873015873015817E-2</v>
      </c>
      <c r="N57" s="26">
        <f>Model!N405/Model!M405-1</f>
        <v>0</v>
      </c>
      <c r="O57" s="26">
        <f>Model!O405/Model!N405-1</f>
        <v>-3.1249999999999889E-2</v>
      </c>
      <c r="P57" s="26">
        <f>Model!P405/Model!O405-1</f>
        <v>-3.2258064516129115E-2</v>
      </c>
      <c r="Q57" s="26">
        <f>Model!Q405/Model!P405-1</f>
        <v>0</v>
      </c>
      <c r="R57" s="26">
        <f>Model!R405/Model!Q405-1</f>
        <v>-4.9999999999999933E-2</v>
      </c>
      <c r="S57" s="26">
        <f>Model!S405/Model!R405-1</f>
        <v>1.1695906432748426E-2</v>
      </c>
      <c r="T57" s="26">
        <f>Model!T405/Model!S405-1</f>
        <v>5.7803468208090791E-3</v>
      </c>
      <c r="U57" s="26">
        <f>Model!U405/Model!T405-1</f>
        <v>0</v>
      </c>
      <c r="V57" s="26">
        <f>Model!V405/Model!U405-1</f>
        <v>1.1494252873563315E-2</v>
      </c>
      <c r="W57" s="26">
        <f>Model!W405/Model!V405-1</f>
        <v>-1.7045454545454586E-2</v>
      </c>
      <c r="X57" s="26">
        <f>Model!X405/Model!W405-1</f>
        <v>4.6242774566473965E-2</v>
      </c>
      <c r="Y57" s="26">
        <f>Model!Y405/Model!X405-1</f>
        <v>1.6574585635358963E-2</v>
      </c>
      <c r="Z57" s="26">
        <f>Model!Z405/Model!Y405-1</f>
        <v>2.1739130434782705E-2</v>
      </c>
      <c r="AA57" s="26">
        <f>Model!AA405/Model!Z405-1</f>
        <v>1.5957446808510634E-2</v>
      </c>
      <c r="AB57" s="26">
        <f>Model!AB405/Model!AA405-1</f>
        <v>2.6178010471204161E-2</v>
      </c>
      <c r="AC57" s="335">
        <v>0.01</v>
      </c>
      <c r="AD57" s="335">
        <v>0.01</v>
      </c>
      <c r="AE57" s="335">
        <v>0.02</v>
      </c>
      <c r="AF57" s="335">
        <v>0.01</v>
      </c>
      <c r="AG57" s="335">
        <v>0</v>
      </c>
      <c r="AH57" s="335">
        <v>0.02</v>
      </c>
      <c r="AI57" s="335">
        <v>0.03</v>
      </c>
      <c r="AJ57" s="335"/>
      <c r="AK57" s="335"/>
      <c r="AL57" s="335"/>
      <c r="AM57" s="335"/>
      <c r="AN57" s="335"/>
      <c r="AO57" s="335"/>
      <c r="AP57" s="335"/>
      <c r="AQ57" s="335"/>
      <c r="AS57" s="334" t="s">
        <v>499</v>
      </c>
      <c r="AT57" s="321"/>
      <c r="AU57" s="256" t="s">
        <v>229</v>
      </c>
      <c r="AV57" s="26">
        <f>Model!AV405/Model!AU405-1</f>
        <v>-3.0000000000000027E-2</v>
      </c>
      <c r="AW57" s="26">
        <f>Model!AW405/Model!AV405-1</f>
        <v>-2.1907216494845172E-2</v>
      </c>
      <c r="AX57" s="26">
        <f>Model!AX405/Model!AW405-1</f>
        <v>-7.2463768115942018E-2</v>
      </c>
      <c r="AY57" s="26">
        <f>Model!AY405/Model!AX405-1</f>
        <v>-9.9431818181818787E-3</v>
      </c>
      <c r="AZ57" s="26">
        <f>Model!AZ405/Model!AY405-1</f>
        <v>6.7431850789096082E-2</v>
      </c>
      <c r="BA57" s="26">
        <f>Model!BA405/Model!AZ405-1</f>
        <v>7.2362892473118334E-2</v>
      </c>
      <c r="BB57" s="26">
        <f>Model!BB405/Model!BA405-1</f>
        <v>5.090650366014704E-2</v>
      </c>
      <c r="BC57" s="335">
        <v>0.05</v>
      </c>
      <c r="BD57" s="335">
        <v>0.05</v>
      </c>
      <c r="BE57" s="335">
        <v>0.05</v>
      </c>
      <c r="BG57" s="1714"/>
      <c r="BH57" s="1710"/>
    </row>
    <row r="58" spans="1:60" s="70" customFormat="1" x14ac:dyDescent="0.2">
      <c r="A58" s="411"/>
      <c r="B58" s="334"/>
      <c r="C58" s="321"/>
      <c r="D58" s="9"/>
      <c r="E58" s="26"/>
      <c r="F58" s="26"/>
      <c r="G58" s="26"/>
      <c r="H58" s="26"/>
      <c r="I58" s="26"/>
      <c r="J58" s="26"/>
      <c r="K58" s="26"/>
      <c r="L58" s="26"/>
      <c r="M58" s="26"/>
      <c r="N58" s="26"/>
      <c r="O58" s="26"/>
      <c r="P58" s="26"/>
      <c r="Q58" s="26"/>
      <c r="R58" s="26"/>
      <c r="S58" s="26"/>
      <c r="T58" s="26"/>
      <c r="U58" s="26"/>
      <c r="V58" s="26"/>
      <c r="W58" s="26"/>
      <c r="X58" s="26"/>
      <c r="Y58" s="26"/>
      <c r="Z58" s="26"/>
      <c r="AA58" s="26"/>
      <c r="AB58" s="26"/>
      <c r="AC58" s="9"/>
      <c r="AD58" s="9"/>
      <c r="AE58" s="9"/>
      <c r="AF58" s="1707"/>
      <c r="AG58" s="1707"/>
      <c r="AH58" s="1707"/>
      <c r="AI58" s="1707"/>
      <c r="AJ58" s="1740"/>
      <c r="AK58" s="1740"/>
      <c r="AL58" s="1740"/>
      <c r="AM58" s="1740"/>
      <c r="AN58" s="1740"/>
      <c r="AO58" s="1740"/>
      <c r="AP58" s="1740"/>
      <c r="AQ58" s="1740"/>
      <c r="AS58" s="334"/>
      <c r="AT58" s="321"/>
      <c r="AV58" s="26"/>
      <c r="AW58" s="26"/>
      <c r="AX58" s="26"/>
      <c r="AY58" s="26"/>
      <c r="AZ58" s="26"/>
      <c r="BA58" s="26"/>
      <c r="BB58" s="26"/>
      <c r="BC58" s="9"/>
      <c r="BD58" s="9"/>
      <c r="BE58" s="1702"/>
      <c r="BG58" s="15"/>
      <c r="BH58" s="15"/>
    </row>
    <row r="59" spans="1:60" s="70" customFormat="1" x14ac:dyDescent="0.2">
      <c r="A59" s="411"/>
      <c r="B59" s="334" t="s">
        <v>230</v>
      </c>
      <c r="C59" s="321"/>
      <c r="D59" s="9"/>
      <c r="E59" s="26">
        <f>Model!E407/Model!D407-1</f>
        <v>-1.9209039548022444E-2</v>
      </c>
      <c r="F59" s="26">
        <f>Model!F407/Model!E407-1</f>
        <v>1.7281105990783363E-2</v>
      </c>
      <c r="G59" s="26">
        <f>Model!G407/Model!F407-1</f>
        <v>2.0385050962627105E-2</v>
      </c>
      <c r="H59" s="26">
        <f>Model!H407/Model!G407-1</f>
        <v>0</v>
      </c>
      <c r="I59" s="26">
        <f>Model!I407/Model!H407-1</f>
        <v>-1.1098779134295023E-2</v>
      </c>
      <c r="J59" s="26">
        <f>Model!J407/Model!I407-1</f>
        <v>-1.0101010101010166E-2</v>
      </c>
      <c r="K59" s="26">
        <f>Model!K407/Model!J407-1</f>
        <v>3.287981859410416E-2</v>
      </c>
      <c r="L59" s="26">
        <f>Model!L407/Model!K407-1</f>
        <v>6.5861690450055299E-3</v>
      </c>
      <c r="M59" s="26">
        <f>Model!M407/Model!L407-1</f>
        <v>3.5986913849509472E-2</v>
      </c>
      <c r="N59" s="26">
        <f>Model!N407/Model!M407-1</f>
        <v>1.0526315789474161E-3</v>
      </c>
      <c r="O59" s="26">
        <f>Model!O407/Model!N407-1</f>
        <v>-2.3133543638275578E-2</v>
      </c>
      <c r="P59" s="26">
        <f>Model!P407/Model!O407-1</f>
        <v>-2.6910656620021567E-2</v>
      </c>
      <c r="Q59" s="26">
        <f>Model!Q407/Model!P407-1</f>
        <v>-1.1061946902656272E-3</v>
      </c>
      <c r="R59" s="26">
        <f>Model!R407/Model!Q407-1</f>
        <v>-3.8759689922480467E-2</v>
      </c>
      <c r="S59" s="26">
        <f>Model!S407/Model!R407-1</f>
        <v>-5.7603686635946394E-3</v>
      </c>
      <c r="T59" s="26">
        <f>Model!T407/Model!S407-1</f>
        <v>-1.6222479721900274E-2</v>
      </c>
      <c r="U59" s="26">
        <f>Model!U407/Model!T407-1</f>
        <v>0</v>
      </c>
      <c r="V59" s="26">
        <f>Model!V407/Model!U407-1</f>
        <v>7.0671378091871073E-3</v>
      </c>
      <c r="W59" s="26">
        <f>Model!W407/Model!V407-1</f>
        <v>-4.2105263157894868E-2</v>
      </c>
      <c r="X59" s="26">
        <f>Model!X407/Model!W407-1</f>
        <v>1.5873015873015817E-2</v>
      </c>
      <c r="Y59" s="26">
        <f>Model!Y407/Model!X407-1</f>
        <v>2.0432692307692513E-2</v>
      </c>
      <c r="Z59" s="26">
        <f>Model!Z407/Model!Y407-1</f>
        <v>1.5312131919905658E-2</v>
      </c>
      <c r="AA59" s="26">
        <f>Model!AA407/Model!Z407-1</f>
        <v>1.9721577726218076E-2</v>
      </c>
      <c r="AB59" s="26">
        <f>Model!AB407/Model!AA407-1</f>
        <v>2.7303754266211566E-2</v>
      </c>
      <c r="AC59" s="26">
        <f>Model!AC407/Model!AB407-1</f>
        <v>1.0000000000000009E-2</v>
      </c>
      <c r="AD59" s="26">
        <f>Model!AD407/Model!AC407-1</f>
        <v>1.3914728682170363E-2</v>
      </c>
      <c r="AE59" s="26">
        <f>Model!AE407/Model!AD407-1</f>
        <v>2.0000000000000018E-2</v>
      </c>
      <c r="AF59" s="26">
        <f>Model!AF407/Model!AE407-1</f>
        <v>6.0810810810809635E-3</v>
      </c>
      <c r="AG59" s="26">
        <f>Model!AG407/Model!AF407-1</f>
        <v>3.9147078576224903E-3</v>
      </c>
      <c r="AH59" s="26">
        <f>Model!AH407/Model!AG407-1</f>
        <v>1.0202650269696578E-2</v>
      </c>
      <c r="AI59" s="26">
        <f>Model!AI407/Model!AH407-1</f>
        <v>1.3584487578720106E-2</v>
      </c>
      <c r="AJ59" s="26"/>
      <c r="AK59" s="26"/>
      <c r="AL59" s="26"/>
      <c r="AM59" s="26"/>
      <c r="AN59" s="26"/>
      <c r="AO59" s="26"/>
      <c r="AP59" s="26"/>
      <c r="AQ59" s="26"/>
      <c r="AS59" s="334" t="s">
        <v>230</v>
      </c>
      <c r="AT59" s="321"/>
      <c r="AU59" s="256" t="s">
        <v>229</v>
      </c>
      <c r="AV59" s="26">
        <f>Model!AV407/Model!AU407-1</f>
        <v>1.3570822731127974E-2</v>
      </c>
      <c r="AW59" s="26">
        <f>Model!AW407/Model!AV407-1</f>
        <v>4.5188284518828503E-2</v>
      </c>
      <c r="AX59" s="26">
        <f>Model!AX407/Model!AW407-1</f>
        <v>-5.5777955697891679E-2</v>
      </c>
      <c r="AY59" s="26">
        <f>Model!AY407/Model!AX407-1</f>
        <v>-4.6919163369135153E-2</v>
      </c>
      <c r="AZ59" s="26">
        <f>Model!AZ407/Model!AY407-1</f>
        <v>1.4827995255041637E-2</v>
      </c>
      <c r="BA59" s="26">
        <f>Model!BA407/Model!AZ407-1</f>
        <v>7.626116686148432E-2</v>
      </c>
      <c r="BB59" s="26">
        <f>Model!BB407/Model!BA407-1</f>
        <v>4.2491610999391582E-2</v>
      </c>
      <c r="BC59" s="26">
        <f>Model!BC407/Model!BB407-1</f>
        <v>4.2183778309934139E-2</v>
      </c>
      <c r="BD59" s="26">
        <f>Model!BD407/Model!BC407-1</f>
        <v>5.0000000000000044E-2</v>
      </c>
      <c r="BE59" s="26">
        <f>Model!BE407/Model!BD407-1</f>
        <v>5.0000000000000044E-2</v>
      </c>
      <c r="BG59" s="23"/>
      <c r="BH59" s="23"/>
    </row>
    <row r="60" spans="1:60" s="70" customFormat="1" x14ac:dyDescent="0.2">
      <c r="A60" s="411"/>
      <c r="B60" s="334"/>
      <c r="C60" s="321"/>
      <c r="D60" s="9"/>
      <c r="E60" s="9"/>
      <c r="F60" s="9"/>
      <c r="G60" s="9"/>
      <c r="H60" s="9"/>
      <c r="I60" s="9"/>
      <c r="J60" s="9"/>
      <c r="K60" s="9"/>
      <c r="L60" s="9"/>
      <c r="M60" s="9"/>
      <c r="N60" s="9"/>
      <c r="O60" s="9"/>
      <c r="P60" s="9"/>
      <c r="Q60" s="9"/>
      <c r="R60" s="9"/>
      <c r="S60" s="9"/>
      <c r="T60" s="9"/>
      <c r="U60" s="9"/>
      <c r="V60" s="9"/>
      <c r="W60" s="9"/>
      <c r="X60" s="9"/>
      <c r="Y60" s="1215"/>
      <c r="Z60" s="1688"/>
      <c r="AA60" s="1742"/>
      <c r="AB60" s="1785"/>
      <c r="AC60" s="9"/>
      <c r="AD60" s="9"/>
      <c r="AE60" s="9"/>
      <c r="AF60" s="1707"/>
      <c r="AG60" s="1707"/>
      <c r="AH60" s="1707"/>
      <c r="AI60" s="1707"/>
      <c r="AJ60" s="1740"/>
      <c r="AK60" s="1740"/>
      <c r="AL60" s="1740"/>
      <c r="AM60" s="1740"/>
      <c r="AN60" s="1740"/>
      <c r="AO60" s="1740"/>
      <c r="AP60" s="1740"/>
      <c r="AQ60" s="1740"/>
      <c r="AS60" s="334"/>
      <c r="AT60" s="321"/>
    </row>
    <row r="61" spans="1:60" s="70" customFormat="1" x14ac:dyDescent="0.2">
      <c r="A61" s="411"/>
      <c r="B61" s="337" t="s">
        <v>1145</v>
      </c>
      <c r="C61" s="366"/>
      <c r="D61" s="367"/>
      <c r="E61" s="367"/>
      <c r="F61" s="367"/>
      <c r="G61" s="367"/>
      <c r="H61" s="367"/>
      <c r="I61" s="367"/>
      <c r="J61" s="367"/>
      <c r="K61" s="367"/>
      <c r="L61" s="367"/>
      <c r="M61" s="367"/>
      <c r="N61" s="367"/>
      <c r="O61" s="367"/>
      <c r="P61" s="367"/>
      <c r="Q61" s="367"/>
      <c r="R61" s="367"/>
      <c r="S61" s="367"/>
      <c r="T61" s="367"/>
      <c r="U61" s="367"/>
      <c r="V61" s="367"/>
      <c r="W61" s="367"/>
      <c r="X61" s="367"/>
      <c r="Y61" s="367"/>
      <c r="Z61" s="367"/>
      <c r="AA61" s="367"/>
      <c r="AB61" s="367"/>
      <c r="AC61" s="367"/>
      <c r="AD61" s="367"/>
      <c r="AE61" s="367"/>
      <c r="AF61" s="367"/>
      <c r="AG61" s="367"/>
      <c r="AH61" s="367"/>
      <c r="AI61" s="367"/>
      <c r="AJ61" s="367"/>
      <c r="AK61" s="367"/>
      <c r="AL61" s="367"/>
      <c r="AM61" s="367"/>
      <c r="AN61" s="367"/>
      <c r="AO61" s="367"/>
      <c r="AP61" s="367"/>
      <c r="AQ61" s="367"/>
      <c r="AS61" s="337" t="s">
        <v>1145</v>
      </c>
      <c r="AT61" s="366"/>
      <c r="AU61" s="12"/>
      <c r="AV61" s="12"/>
      <c r="AW61" s="12"/>
      <c r="AX61" s="12"/>
      <c r="AY61" s="12"/>
      <c r="AZ61" s="12"/>
      <c r="BA61" s="12"/>
      <c r="BB61" s="12"/>
      <c r="BC61" s="12"/>
      <c r="BD61" s="12"/>
      <c r="BE61" s="12"/>
      <c r="BG61" s="15"/>
      <c r="BH61" s="15"/>
    </row>
    <row r="62" spans="1:60" s="70" customFormat="1" x14ac:dyDescent="0.2">
      <c r="A62" s="411"/>
      <c r="B62" s="175" t="s">
        <v>178</v>
      </c>
      <c r="C62" s="1079"/>
      <c r="D62" s="1079"/>
      <c r="E62" s="1079"/>
      <c r="F62" s="1079"/>
      <c r="G62" s="1079"/>
      <c r="H62" s="1079"/>
      <c r="I62" s="1079"/>
      <c r="J62" s="1079"/>
      <c r="K62" s="1079"/>
      <c r="L62" s="1079"/>
      <c r="M62" s="1079"/>
      <c r="N62" s="1079"/>
      <c r="O62" s="1079"/>
      <c r="P62" s="1079"/>
      <c r="Q62" s="1079"/>
      <c r="R62" s="1079"/>
      <c r="S62" s="1079"/>
      <c r="T62" s="1079"/>
      <c r="U62" s="1079"/>
      <c r="V62" s="1079"/>
      <c r="W62" s="1079"/>
      <c r="X62" s="1079"/>
      <c r="Y62" s="1215"/>
      <c r="Z62" s="1688"/>
      <c r="AA62" s="1742"/>
      <c r="AB62" s="1785"/>
      <c r="AC62" s="1079"/>
      <c r="AD62" s="1079"/>
      <c r="AE62" s="1079"/>
      <c r="AF62" s="1707"/>
      <c r="AG62" s="1707"/>
      <c r="AH62" s="1707"/>
      <c r="AI62" s="1707"/>
      <c r="AJ62" s="1740"/>
      <c r="AK62" s="1740"/>
      <c r="AL62" s="1740"/>
      <c r="AM62" s="1740"/>
      <c r="AN62" s="1740"/>
      <c r="AO62" s="1740"/>
      <c r="AP62" s="1740"/>
      <c r="AQ62" s="1740"/>
      <c r="AS62" s="175" t="s">
        <v>178</v>
      </c>
      <c r="AT62" s="1079"/>
    </row>
    <row r="63" spans="1:60" s="70" customFormat="1" x14ac:dyDescent="0.2">
      <c r="A63" s="411"/>
      <c r="B63" s="17" t="s">
        <v>495</v>
      </c>
      <c r="C63" s="19"/>
      <c r="D63" s="1079"/>
      <c r="E63" s="23"/>
      <c r="F63" s="23"/>
      <c r="G63" s="23"/>
      <c r="H63" s="23">
        <f>Model!H214/Model!D214-1</f>
        <v>6.9135802469135754E-2</v>
      </c>
      <c r="I63" s="23">
        <f>Model!I214/Model!E214-1</f>
        <v>0</v>
      </c>
      <c r="J63" s="23">
        <f>Model!J214/Model!F214-1</f>
        <v>4.1162227602905554E-2</v>
      </c>
      <c r="K63" s="23">
        <f>Model!K214/Model!G214-1</f>
        <v>4.2654028436018843E-2</v>
      </c>
      <c r="L63" s="23">
        <f>Model!L214/Model!H214-1</f>
        <v>3.9260969976905313E-2</v>
      </c>
      <c r="M63" s="23">
        <f>Model!M214/Model!I214-1</f>
        <v>0.1119221411192215</v>
      </c>
      <c r="N63" s="23">
        <f>Model!N214/Model!J214-1</f>
        <v>9.9999999999999867E-2</v>
      </c>
      <c r="O63" s="23">
        <f>Model!O214/Model!K214-1</f>
        <v>0.1045454545454545</v>
      </c>
      <c r="P63" s="23">
        <f>Model!P214/Model!L214-1</f>
        <v>6.2222222222222179E-2</v>
      </c>
      <c r="Q63" s="23">
        <f>Model!Q214/Model!M214-1</f>
        <v>7.8774617067833619E-2</v>
      </c>
      <c r="R63" s="23">
        <f>Model!R214/Model!N214-1</f>
        <v>6.3424947145877431E-2</v>
      </c>
      <c r="S63" s="23">
        <f>Model!S214/Model!O214-1</f>
        <v>6.5843621399176877E-2</v>
      </c>
      <c r="T63" s="23">
        <f>Model!T214/Model!P214-1</f>
        <v>0.10669456066945604</v>
      </c>
      <c r="U63" s="23">
        <f>Model!U214/Model!Q214-1</f>
        <v>0.10344827586206895</v>
      </c>
      <c r="V63" s="23">
        <f>Model!V214/Model!R214-1</f>
        <v>9.3439363817097387E-2</v>
      </c>
      <c r="W63" s="23">
        <f>Model!W214/Model!S214-1</f>
        <v>6.1776061776061875E-2</v>
      </c>
      <c r="X63" s="23">
        <f>Model!X214/Model!T214-1</f>
        <v>4.7258979206049156E-2</v>
      </c>
      <c r="Y63" s="23">
        <f>Model!Y214/Model!U214-1</f>
        <v>2.2058823529411908E-2</v>
      </c>
      <c r="Z63" s="23">
        <f>Model!Z214/Model!V214-1</f>
        <v>1.2727272727272698E-2</v>
      </c>
      <c r="AA63" s="23">
        <f>Model!AA214/Model!W214-1</f>
        <v>1.8181818181818077E-2</v>
      </c>
      <c r="AB63" s="23">
        <f>Model!AB214/Model!X214-1</f>
        <v>5.4151624548737232E-3</v>
      </c>
      <c r="AC63" s="23">
        <f>Model!AC214/Model!Y214-1</f>
        <v>1.1816546762589919E-2</v>
      </c>
      <c r="AD63" s="23">
        <f>Model!AD214/Model!Z214-1</f>
        <v>2.0100000000000007E-2</v>
      </c>
      <c r="AE63" s="23">
        <f>Model!AE214/Model!AA214-1</f>
        <v>3.4927882142857358E-2</v>
      </c>
      <c r="AF63" s="23">
        <f>Model!AF214/Model!AB214-1</f>
        <v>5.0907019999999914E-2</v>
      </c>
      <c r="AG63" s="23">
        <f>Model!AG214/Model!AC214-1</f>
        <v>6.1312040000000012E-2</v>
      </c>
      <c r="AH63" s="23">
        <f>Model!AH214/Model!AD214-1</f>
        <v>6.1312040000000012E-2</v>
      </c>
      <c r="AI63" s="23">
        <f>Model!AI214/Model!AE214-1</f>
        <v>6.1312040000000012E-2</v>
      </c>
      <c r="AJ63" s="23"/>
      <c r="AK63" s="23"/>
      <c r="AL63" s="23"/>
      <c r="AM63" s="23"/>
      <c r="AN63" s="23"/>
      <c r="AO63" s="23"/>
      <c r="AP63" s="23"/>
      <c r="AQ63" s="23"/>
      <c r="AS63" s="17" t="s">
        <v>495</v>
      </c>
      <c r="AT63" s="19"/>
      <c r="AU63" s="256" t="s">
        <v>229</v>
      </c>
      <c r="AV63" s="23">
        <f>Model!AV214/Model!AU214-1</f>
        <v>3.8158691701998926E-2</v>
      </c>
      <c r="AW63" s="23">
        <f>Model!AW214/Model!AV214-1</f>
        <v>8.8681446907817874E-2</v>
      </c>
      <c r="AX63" s="23">
        <f>Model!AX214/Model!AW214-1</f>
        <v>6.7524115755627001E-2</v>
      </c>
      <c r="AY63" s="23">
        <f>Model!AY214/Model!AX214-1</f>
        <v>9.0863453815261064E-2</v>
      </c>
      <c r="AZ63" s="23">
        <f>Model!AZ214/Model!AY214-1</f>
        <v>2.4850437183616902E-2</v>
      </c>
      <c r="BA63" s="23">
        <f>Model!BA214/Model!AZ214-1</f>
        <v>1.81074602604403E-2</v>
      </c>
      <c r="BB63" s="23">
        <f>Model!BB214/Model!BA214-1</f>
        <v>5.8755902111795821E-2</v>
      </c>
      <c r="BC63" s="23">
        <f>Model!BC214/Model!BB214-1</f>
        <v>6.0000000000000053E-2</v>
      </c>
      <c r="BD63" s="23">
        <f>Model!BD214/Model!BC214-1</f>
        <v>5.0000000000000044E-2</v>
      </c>
      <c r="BE63" s="23">
        <f>Model!BE214/Model!BD214-1</f>
        <v>5.0000000000000044E-2</v>
      </c>
      <c r="BG63" s="1714"/>
      <c r="BH63" s="1710"/>
    </row>
    <row r="64" spans="1:60" s="70" customFormat="1" x14ac:dyDescent="0.2">
      <c r="A64" s="411"/>
      <c r="B64" s="17" t="s">
        <v>496</v>
      </c>
      <c r="C64" s="19"/>
      <c r="D64" s="1079"/>
      <c r="E64" s="23"/>
      <c r="F64" s="23"/>
      <c r="G64" s="23"/>
      <c r="H64" s="23">
        <f>Model!H215/Model!D215-1</f>
        <v>9.5419847328244378E-2</v>
      </c>
      <c r="I64" s="23">
        <f>Model!I215/Model!E215-1</f>
        <v>8.8972431077694258E-2</v>
      </c>
      <c r="J64" s="23">
        <f>Model!J215/Model!F215-1</f>
        <v>7.8153846153846018E-2</v>
      </c>
      <c r="K64" s="23">
        <f>Model!K215/Model!G215-1</f>
        <v>5.532421177870317E-2</v>
      </c>
      <c r="L64" s="23">
        <f>Model!L215/Model!H215-1</f>
        <v>4.1231126596980472E-2</v>
      </c>
      <c r="M64" s="23">
        <f>Model!M215/Model!I215-1</f>
        <v>3.5097813578826242E-2</v>
      </c>
      <c r="N64" s="23">
        <f>Model!N215/Model!J215-1</f>
        <v>2.340182648401834E-2</v>
      </c>
      <c r="O64" s="23">
        <f>Model!O215/Model!K215-1</f>
        <v>1.1273957158962844E-2</v>
      </c>
      <c r="P64" s="23">
        <f>Model!P215/Model!L215-1</f>
        <v>6.1349693251533388E-3</v>
      </c>
      <c r="Q64" s="23">
        <f>Model!Q215/Model!M215-1</f>
        <v>0</v>
      </c>
      <c r="R64" s="23">
        <f>Model!R215/Model!N215-1</f>
        <v>1.1712214166201829E-2</v>
      </c>
      <c r="S64" s="23">
        <f>Model!S215/Model!O215-1</f>
        <v>1.0033444816053505E-2</v>
      </c>
      <c r="T64" s="23">
        <f>Model!T215/Model!P215-1</f>
        <v>1.1086474501107446E-3</v>
      </c>
      <c r="U64" s="23">
        <f>Model!U215/Model!Q215-1</f>
        <v>1.222901612006666E-2</v>
      </c>
      <c r="V64" s="23">
        <f>Model!V215/Model!R215-1</f>
        <v>1.3781697905181911E-2</v>
      </c>
      <c r="W64" s="23">
        <f>Model!W215/Model!S215-1</f>
        <v>2.6490066225165698E-2</v>
      </c>
      <c r="X64" s="23">
        <f>Model!X215/Model!T215-1</f>
        <v>2.7131782945736482E-2</v>
      </c>
      <c r="Y64" s="23">
        <f>Model!Y215/Model!U215-1</f>
        <v>1.6474464579901094E-2</v>
      </c>
      <c r="Z64" s="23">
        <f>Model!Z215/Model!V215-1</f>
        <v>1.0875475802065715E-3</v>
      </c>
      <c r="AA64" s="23">
        <f>Model!AA215/Model!W215-1</f>
        <v>-1.7741935483871041E-2</v>
      </c>
      <c r="AB64" s="23">
        <f>Model!AB215/Model!X215-1</f>
        <v>-2.4797843665768204E-2</v>
      </c>
      <c r="AC64" s="23">
        <f>Model!AC215/Model!Y215-1</f>
        <v>-2.269043760129652E-2</v>
      </c>
      <c r="AD64" s="23">
        <f>Model!AD215/Model!Z215-1</f>
        <v>-1.2468766974470413E-2</v>
      </c>
      <c r="AE64" s="23">
        <f>Model!AE215/Model!AA215-1</f>
        <v>7.4014778325137698E-5</v>
      </c>
      <c r="AF64" s="23">
        <f>Model!AF215/Model!AB215-1</f>
        <v>1.5075124999999634E-2</v>
      </c>
      <c r="AG64" s="23">
        <f>Model!AG215/Model!AC215-1</f>
        <v>2.0150500624999568E-2</v>
      </c>
      <c r="AH64" s="23">
        <f>Model!AH215/Model!AD215-1</f>
        <v>2.0150500624999568E-2</v>
      </c>
      <c r="AI64" s="23">
        <f>Model!AI215/Model!AE215-1</f>
        <v>2.0150500624999568E-2</v>
      </c>
      <c r="AJ64" s="23"/>
      <c r="AK64" s="23"/>
      <c r="AL64" s="23"/>
      <c r="AM64" s="23"/>
      <c r="AN64" s="23"/>
      <c r="AO64" s="23"/>
      <c r="AP64" s="23"/>
      <c r="AQ64" s="23"/>
      <c r="AS64" s="17" t="s">
        <v>496</v>
      </c>
      <c r="AT64" s="19"/>
      <c r="AU64" s="256" t="s">
        <v>229</v>
      </c>
      <c r="AV64" s="23">
        <f>Model!AV215/Model!AU215-1</f>
        <v>7.9085573061476788E-2</v>
      </c>
      <c r="AW64" s="23">
        <f>Model!AW215/Model!AV215-1</f>
        <v>2.7626681935299047E-2</v>
      </c>
      <c r="AX64" s="23">
        <f>Model!AX215/Model!AW215-1</f>
        <v>6.9647583228864551E-3</v>
      </c>
      <c r="AY64" s="23">
        <f>Model!AY215/Model!AX215-1</f>
        <v>1.341817678793733E-2</v>
      </c>
      <c r="AZ64" s="23">
        <f>Model!AZ215/Model!AY215-1</f>
        <v>6.5520065520066062E-3</v>
      </c>
      <c r="BA64" s="23">
        <f>Model!BA215/Model!AZ215-1</f>
        <v>-1.5028447925142574E-2</v>
      </c>
      <c r="BB64" s="23">
        <f>Model!BB215/Model!BA215-1</f>
        <v>1.8886404978023519E-2</v>
      </c>
      <c r="BC64" s="23">
        <f>Model!BC215/Model!BB215-1</f>
        <v>2.4999999999999911E-2</v>
      </c>
      <c r="BD64" s="23">
        <f>Model!BD215/Model!BC215-1</f>
        <v>3.0000000000000027E-2</v>
      </c>
      <c r="BE64" s="23">
        <f>Model!BE215/Model!BD215-1</f>
        <v>3.0000000000000027E-2</v>
      </c>
      <c r="BG64" s="1714"/>
      <c r="BH64" s="1710"/>
    </row>
    <row r="65" spans="1:269" s="70" customFormat="1" x14ac:dyDescent="0.2">
      <c r="A65" s="411"/>
      <c r="B65" s="17"/>
      <c r="C65" s="19"/>
      <c r="D65" s="1079"/>
      <c r="E65" s="1079"/>
      <c r="F65" s="1079"/>
      <c r="G65" s="1079"/>
      <c r="H65" s="1079"/>
      <c r="I65" s="1079"/>
      <c r="J65" s="1079"/>
      <c r="K65" s="1079"/>
      <c r="L65" s="1079"/>
      <c r="M65" s="1079"/>
      <c r="N65" s="1079"/>
      <c r="O65" s="1079"/>
      <c r="P65" s="1079"/>
      <c r="Q65" s="1079"/>
      <c r="R65" s="1079"/>
      <c r="S65" s="1079"/>
      <c r="T65" s="1079"/>
      <c r="U65" s="1079"/>
      <c r="V65" s="1079"/>
      <c r="W65" s="1079"/>
      <c r="X65" s="1079"/>
      <c r="Y65" s="1215"/>
      <c r="Z65" s="1688"/>
      <c r="AA65" s="1742"/>
      <c r="AB65" s="1785"/>
      <c r="AC65" s="1079"/>
      <c r="AD65" s="1079"/>
      <c r="AE65" s="1079"/>
      <c r="AF65" s="1707"/>
      <c r="AG65" s="1707"/>
      <c r="AH65" s="1707"/>
      <c r="AI65" s="1707"/>
      <c r="AJ65" s="1740"/>
      <c r="AK65" s="1740"/>
      <c r="AL65" s="1740"/>
      <c r="AM65" s="1740"/>
      <c r="AN65" s="1740"/>
      <c r="AO65" s="1740"/>
      <c r="AP65" s="1740"/>
      <c r="AQ65" s="1740"/>
      <c r="AS65" s="17"/>
      <c r="AT65" s="19"/>
      <c r="BF65" s="160"/>
      <c r="BG65" s="371"/>
      <c r="BH65" s="371"/>
      <c r="BI65" s="160"/>
      <c r="BJ65" s="160"/>
      <c r="BK65" s="160"/>
      <c r="BL65" s="160"/>
      <c r="BM65" s="160"/>
      <c r="BN65" s="160"/>
      <c r="BO65" s="160"/>
      <c r="BP65" s="160"/>
      <c r="BQ65" s="160"/>
      <c r="BR65" s="160"/>
      <c r="BS65" s="160"/>
      <c r="BT65" s="160"/>
      <c r="BU65" s="160"/>
      <c r="BV65" s="160"/>
      <c r="BW65" s="160"/>
      <c r="BX65" s="160"/>
      <c r="BY65" s="160"/>
      <c r="BZ65" s="160"/>
      <c r="CA65" s="160"/>
      <c r="CB65" s="160"/>
      <c r="CC65" s="160"/>
      <c r="CD65" s="160"/>
      <c r="CE65" s="160"/>
      <c r="CF65" s="160"/>
      <c r="CG65" s="160"/>
      <c r="CH65" s="160"/>
      <c r="CI65" s="160"/>
      <c r="CJ65" s="160"/>
      <c r="CK65" s="160"/>
      <c r="CL65" s="160"/>
      <c r="CM65" s="160"/>
      <c r="CN65" s="160"/>
      <c r="CO65" s="160"/>
      <c r="CP65" s="160"/>
      <c r="CQ65" s="160"/>
      <c r="CR65" s="160"/>
      <c r="CS65" s="160"/>
      <c r="CT65" s="160"/>
      <c r="CU65" s="160"/>
      <c r="CV65" s="160"/>
      <c r="CW65" s="160"/>
      <c r="CX65" s="160"/>
      <c r="CY65" s="160"/>
      <c r="CZ65" s="160"/>
      <c r="DA65" s="160"/>
      <c r="DB65" s="160"/>
      <c r="DC65" s="160"/>
      <c r="DD65" s="160"/>
      <c r="DE65" s="160"/>
      <c r="DF65" s="160"/>
      <c r="DG65" s="160"/>
      <c r="DH65" s="160"/>
      <c r="DI65" s="160"/>
      <c r="DJ65" s="160"/>
      <c r="DK65" s="160"/>
      <c r="DL65" s="160"/>
      <c r="DM65" s="160"/>
      <c r="DN65" s="160"/>
      <c r="DO65" s="160"/>
      <c r="DP65" s="160"/>
      <c r="DQ65" s="160"/>
      <c r="DR65" s="160"/>
      <c r="DS65" s="160"/>
      <c r="DT65" s="160"/>
      <c r="DU65" s="160"/>
      <c r="DV65" s="160"/>
      <c r="DW65" s="160"/>
      <c r="DX65" s="160"/>
      <c r="DY65" s="160"/>
      <c r="DZ65" s="160"/>
      <c r="EA65" s="160"/>
      <c r="EB65" s="160"/>
      <c r="EC65" s="160"/>
      <c r="ED65" s="160"/>
      <c r="EE65" s="160"/>
      <c r="EF65" s="160"/>
      <c r="EG65" s="160"/>
      <c r="EH65" s="160"/>
      <c r="EI65" s="160"/>
      <c r="EJ65" s="160"/>
      <c r="EK65" s="160"/>
      <c r="EL65" s="160"/>
      <c r="EM65" s="160"/>
      <c r="EN65" s="160"/>
      <c r="EO65" s="160"/>
      <c r="EP65" s="160"/>
      <c r="EQ65" s="160"/>
      <c r="ER65" s="160"/>
      <c r="ES65" s="160"/>
      <c r="ET65" s="160"/>
      <c r="EU65" s="160"/>
      <c r="EV65" s="160"/>
      <c r="EW65" s="160"/>
      <c r="EX65" s="160"/>
      <c r="EY65" s="160"/>
      <c r="EZ65" s="160"/>
      <c r="FA65" s="160"/>
      <c r="FB65" s="160"/>
      <c r="FC65" s="160"/>
      <c r="FD65" s="160"/>
      <c r="FE65" s="160"/>
      <c r="FF65" s="160"/>
      <c r="FG65" s="160"/>
      <c r="FH65" s="160"/>
      <c r="FI65" s="160"/>
      <c r="FJ65" s="160"/>
      <c r="FK65" s="160"/>
      <c r="FL65" s="160"/>
      <c r="FM65" s="160"/>
      <c r="FN65" s="160"/>
      <c r="FO65" s="160"/>
      <c r="FP65" s="160"/>
      <c r="FQ65" s="160"/>
      <c r="FR65" s="160"/>
      <c r="FS65" s="160"/>
      <c r="FT65" s="160"/>
      <c r="FU65" s="160"/>
      <c r="FV65" s="160"/>
      <c r="FW65" s="160"/>
      <c r="FX65" s="160"/>
      <c r="FY65" s="160"/>
      <c r="FZ65" s="160"/>
      <c r="GA65" s="160"/>
      <c r="GB65" s="160"/>
      <c r="GC65" s="160"/>
      <c r="GD65" s="160"/>
      <c r="GE65" s="160"/>
      <c r="GF65" s="160"/>
      <c r="GG65" s="160"/>
      <c r="GH65" s="160"/>
      <c r="GI65" s="160"/>
      <c r="GJ65" s="160"/>
      <c r="GK65" s="160"/>
      <c r="GL65" s="160"/>
      <c r="GM65" s="160"/>
      <c r="GN65" s="160"/>
      <c r="GO65" s="160"/>
      <c r="GP65" s="160"/>
      <c r="GQ65" s="160"/>
      <c r="GR65" s="160"/>
      <c r="GS65" s="160"/>
      <c r="GT65" s="160"/>
      <c r="GU65" s="160"/>
      <c r="GV65" s="160"/>
      <c r="GW65" s="160"/>
      <c r="GX65" s="160"/>
      <c r="GY65" s="160"/>
      <c r="GZ65" s="160"/>
      <c r="HA65" s="160"/>
      <c r="HB65" s="160"/>
      <c r="HC65" s="160"/>
      <c r="HD65" s="160"/>
      <c r="HE65" s="160"/>
      <c r="HF65" s="160"/>
      <c r="HG65" s="160"/>
      <c r="HH65" s="160"/>
      <c r="HI65" s="160"/>
      <c r="HJ65" s="160"/>
      <c r="HK65" s="160"/>
      <c r="HL65" s="160"/>
      <c r="HM65" s="160"/>
      <c r="HN65" s="160"/>
      <c r="HO65" s="160"/>
      <c r="HP65" s="160"/>
      <c r="HQ65" s="160"/>
      <c r="HR65" s="160"/>
      <c r="HS65" s="160"/>
      <c r="HT65" s="160"/>
      <c r="HU65" s="160"/>
      <c r="HV65" s="160"/>
      <c r="HW65" s="160"/>
      <c r="HX65" s="160"/>
      <c r="HY65" s="160"/>
      <c r="HZ65" s="160"/>
      <c r="IA65" s="160"/>
      <c r="IB65" s="160"/>
      <c r="IC65" s="160"/>
      <c r="ID65" s="160"/>
      <c r="IE65" s="160"/>
      <c r="IF65" s="160"/>
      <c r="IG65" s="160"/>
      <c r="IH65" s="160"/>
      <c r="II65" s="160"/>
      <c r="IJ65" s="160"/>
      <c r="IK65" s="160"/>
      <c r="IL65" s="160"/>
      <c r="IM65" s="160"/>
      <c r="IN65" s="160"/>
      <c r="IO65" s="160"/>
      <c r="IP65" s="160"/>
      <c r="IQ65" s="160"/>
      <c r="IR65" s="160"/>
      <c r="IS65" s="160"/>
      <c r="IT65" s="160"/>
      <c r="IU65" s="160"/>
      <c r="IV65" s="160"/>
      <c r="IW65" s="160"/>
      <c r="IX65" s="160"/>
      <c r="IY65" s="160"/>
      <c r="IZ65" s="160"/>
      <c r="JA65" s="160"/>
      <c r="JB65" s="160"/>
      <c r="JC65" s="160"/>
      <c r="JD65" s="160"/>
      <c r="JE65" s="160"/>
      <c r="JF65" s="160"/>
      <c r="JG65" s="160"/>
      <c r="JH65" s="160"/>
      <c r="JI65" s="160"/>
    </row>
    <row r="66" spans="1:269" s="70" customFormat="1" x14ac:dyDescent="0.2">
      <c r="A66" s="411"/>
      <c r="B66" s="334" t="s">
        <v>499</v>
      </c>
      <c r="C66" s="321"/>
      <c r="D66" s="19"/>
      <c r="E66" s="23"/>
      <c r="F66" s="23"/>
      <c r="G66" s="23"/>
      <c r="H66" s="23">
        <f>Model!H217/Model!D217-1</f>
        <v>-5.1700680272108834E-2</v>
      </c>
      <c r="I66" s="23">
        <f>Model!I217/Model!E217-1</f>
        <v>-4.6025104602510414E-2</v>
      </c>
      <c r="J66" s="23">
        <f>Model!J217/Model!F217-1</f>
        <v>-4.3356643356643243E-2</v>
      </c>
      <c r="K66" s="23">
        <f>Model!K217/Model!G217-1</f>
        <v>-4.0787623066103951E-2</v>
      </c>
      <c r="L66" s="23">
        <f>Model!L217/Model!H217-1</f>
        <v>-3.1563845050215256E-2</v>
      </c>
      <c r="M66" s="23">
        <f>Model!M217/Model!I217-1</f>
        <v>-2.9239766081871288E-2</v>
      </c>
      <c r="N66" s="23">
        <f>Model!N217/Model!J217-1</f>
        <v>-3.3625730994152225E-2</v>
      </c>
      <c r="O66" s="23">
        <f>Model!O217/Model!K217-1</f>
        <v>-3.665689149560114E-2</v>
      </c>
      <c r="P66" s="23">
        <f>Model!P217/Model!L217-1</f>
        <v>-5.037037037037051E-2</v>
      </c>
      <c r="Q66" s="23">
        <f>Model!Q217/Model!M217-1</f>
        <v>-4.8192771084337394E-2</v>
      </c>
      <c r="R66" s="23">
        <f>Model!R217/Model!N217-1</f>
        <v>-3.3282904689863835E-2</v>
      </c>
      <c r="S66" s="23">
        <f>Model!S217/Model!O217-1</f>
        <v>-1.6742770167427867E-2</v>
      </c>
      <c r="T66" s="23">
        <f>Model!T217/Model!P217-1</f>
        <v>9.3603744149768353E-3</v>
      </c>
      <c r="U66" s="23">
        <f>Model!U217/Model!Q217-1</f>
        <v>5.5379746835443111E-2</v>
      </c>
      <c r="V66" s="23">
        <f>Model!V217/Model!R217-1</f>
        <v>0.23943661971830998</v>
      </c>
      <c r="W66" s="23">
        <f>Model!W217/Model!S217-1</f>
        <v>0.27089783281733748</v>
      </c>
      <c r="X66" s="23">
        <f>Model!X217/Model!T217-1</f>
        <v>0.27666151468315281</v>
      </c>
      <c r="Y66" s="23">
        <f>Model!Y217/Model!U217-1</f>
        <v>0.24887556221889051</v>
      </c>
      <c r="Z66" s="23">
        <f>Model!Z217/Model!V217-1</f>
        <v>7.8282828282828287E-2</v>
      </c>
      <c r="AA66" s="23">
        <f>Model!AA217/Model!W217-1</f>
        <v>5.7247259439707765E-2</v>
      </c>
      <c r="AB66" s="23">
        <f>Model!AB217/Model!X217-1</f>
        <v>5.2058111380145489E-2</v>
      </c>
      <c r="AC66" s="23">
        <f>Model!AC217/Model!Y217-1</f>
        <v>4.3217286914766007E-2</v>
      </c>
      <c r="AD66" s="23">
        <f>Model!AD217/Model!Z217-1</f>
        <v>2.7740046838407473E-2</v>
      </c>
      <c r="AE66" s="23">
        <f>Model!AE217/Model!AA217-1</f>
        <v>3.1386866359447207E-2</v>
      </c>
      <c r="AF66" s="23">
        <f>Model!AF217/Model!AB217-1</f>
        <v>1.9897999999999971E-2</v>
      </c>
      <c r="AG66" s="23">
        <f>Model!AG217/Model!AC217-1</f>
        <v>1.9897999999999971E-2</v>
      </c>
      <c r="AH66" s="23">
        <f>Model!AH217/Model!AD217-1</f>
        <v>2.9996000000000134E-2</v>
      </c>
      <c r="AI66" s="23">
        <f>Model!AI217/Model!AE217-1</f>
        <v>4.0093999999999852E-2</v>
      </c>
      <c r="AJ66" s="23"/>
      <c r="AK66" s="23"/>
      <c r="AL66" s="23"/>
      <c r="AM66" s="23"/>
      <c r="AN66" s="23"/>
      <c r="AO66" s="23"/>
      <c r="AP66" s="23"/>
      <c r="AQ66" s="23"/>
      <c r="AS66" s="334" t="s">
        <v>499</v>
      </c>
      <c r="AT66" s="321"/>
      <c r="AU66" s="256" t="s">
        <v>229</v>
      </c>
      <c r="AV66" s="23">
        <f>Model!AV217/Model!AU217-1</f>
        <v>-4.5517720639332571E-2</v>
      </c>
      <c r="AW66" s="23">
        <f>Model!AW217/Model!AV217-1</f>
        <v>-3.2763014197306317E-2</v>
      </c>
      <c r="AX66" s="23">
        <f>Model!AX217/Model!AW217-1</f>
        <v>-3.7260067745577774E-2</v>
      </c>
      <c r="AY66" s="23">
        <f>Model!AY217/Model!AX217-1</f>
        <v>0.14425332290852255</v>
      </c>
      <c r="AZ66" s="23">
        <f>Model!AZ217/Model!AY217-1</f>
        <v>0.15510761872224088</v>
      </c>
      <c r="BA66" s="23">
        <f>Model!BA217/Model!AZ217-1</f>
        <v>3.8430582667849933E-2</v>
      </c>
      <c r="BB66" s="23">
        <f>Model!BB217/Model!BA217-1</f>
        <v>2.7572100094054752E-2</v>
      </c>
      <c r="BC66" s="23">
        <f>Model!BC217/Model!BB217-1</f>
        <v>4.0000000000000036E-2</v>
      </c>
      <c r="BD66" s="23">
        <f>Model!BD217/Model!BC217-1</f>
        <v>4.0000000000000036E-2</v>
      </c>
      <c r="BE66" s="23">
        <f>Model!BE217/Model!BD217-1</f>
        <v>4.0000000000000036E-2</v>
      </c>
      <c r="BF66" s="160"/>
      <c r="BG66" s="1714"/>
      <c r="BH66" s="1710"/>
      <c r="BI66" s="160"/>
      <c r="BJ66" s="160"/>
      <c r="BK66" s="160"/>
      <c r="BL66" s="160"/>
      <c r="BM66" s="160"/>
      <c r="BN66" s="160"/>
      <c r="BO66" s="160"/>
      <c r="BP66" s="160"/>
      <c r="BQ66" s="160"/>
      <c r="BR66" s="160"/>
      <c r="BS66" s="160"/>
      <c r="BT66" s="160"/>
      <c r="BU66" s="160"/>
      <c r="BV66" s="160"/>
      <c r="BW66" s="160"/>
      <c r="BX66" s="160"/>
      <c r="BY66" s="160"/>
      <c r="BZ66" s="160"/>
      <c r="CA66" s="160"/>
      <c r="CB66" s="160"/>
      <c r="CC66" s="160"/>
      <c r="CD66" s="160"/>
      <c r="CE66" s="160"/>
      <c r="CF66" s="160"/>
      <c r="CG66" s="160"/>
      <c r="CH66" s="160"/>
      <c r="CI66" s="160"/>
      <c r="CJ66" s="160"/>
      <c r="CK66" s="160"/>
      <c r="CL66" s="160"/>
      <c r="CM66" s="160"/>
      <c r="CN66" s="160"/>
      <c r="CO66" s="160"/>
      <c r="CP66" s="160"/>
      <c r="CQ66" s="160"/>
      <c r="CR66" s="160"/>
      <c r="CS66" s="160"/>
      <c r="CT66" s="160"/>
      <c r="CU66" s="160"/>
      <c r="CV66" s="160"/>
      <c r="CW66" s="160"/>
      <c r="CX66" s="160"/>
      <c r="CY66" s="160"/>
      <c r="CZ66" s="160"/>
      <c r="DA66" s="160"/>
      <c r="DB66" s="160"/>
      <c r="DC66" s="160"/>
      <c r="DD66" s="160"/>
      <c r="DE66" s="160"/>
      <c r="DF66" s="160"/>
      <c r="DG66" s="160"/>
      <c r="DH66" s="160"/>
      <c r="DI66" s="160"/>
      <c r="DJ66" s="160"/>
      <c r="DK66" s="160"/>
      <c r="DL66" s="160"/>
      <c r="DM66" s="160"/>
      <c r="DN66" s="160"/>
      <c r="DO66" s="160"/>
      <c r="DP66" s="160"/>
      <c r="DQ66" s="160"/>
      <c r="DR66" s="160"/>
      <c r="DS66" s="160"/>
      <c r="DT66" s="160"/>
      <c r="DU66" s="160"/>
      <c r="DV66" s="160"/>
      <c r="DW66" s="160"/>
      <c r="DX66" s="160"/>
      <c r="DY66" s="160"/>
      <c r="DZ66" s="160"/>
      <c r="EA66" s="160"/>
      <c r="EB66" s="160"/>
      <c r="EC66" s="160"/>
      <c r="ED66" s="160"/>
      <c r="EE66" s="160"/>
      <c r="EF66" s="160"/>
      <c r="EG66" s="160"/>
      <c r="EH66" s="160"/>
      <c r="EI66" s="160"/>
      <c r="EJ66" s="160"/>
      <c r="EK66" s="160"/>
      <c r="EL66" s="160"/>
      <c r="EM66" s="160"/>
      <c r="EN66" s="160"/>
      <c r="EO66" s="160"/>
      <c r="EP66" s="160"/>
      <c r="EQ66" s="160"/>
      <c r="ER66" s="160"/>
      <c r="ES66" s="160"/>
      <c r="ET66" s="160"/>
      <c r="EU66" s="160"/>
      <c r="EV66" s="160"/>
      <c r="EW66" s="160"/>
      <c r="EX66" s="160"/>
      <c r="EY66" s="160"/>
      <c r="EZ66" s="160"/>
      <c r="FA66" s="160"/>
      <c r="FB66" s="160"/>
      <c r="FC66" s="160"/>
      <c r="FD66" s="160"/>
      <c r="FE66" s="160"/>
      <c r="FF66" s="160"/>
      <c r="FG66" s="160"/>
      <c r="FH66" s="160"/>
      <c r="FI66" s="160"/>
      <c r="FJ66" s="160"/>
      <c r="FK66" s="160"/>
      <c r="FL66" s="160"/>
      <c r="FM66" s="160"/>
      <c r="FN66" s="160"/>
      <c r="FO66" s="160"/>
      <c r="FP66" s="160"/>
      <c r="FQ66" s="160"/>
      <c r="FR66" s="160"/>
      <c r="FS66" s="160"/>
      <c r="FT66" s="160"/>
      <c r="FU66" s="160"/>
      <c r="FV66" s="160"/>
      <c r="FW66" s="160"/>
      <c r="FX66" s="160"/>
      <c r="FY66" s="160"/>
      <c r="FZ66" s="160"/>
      <c r="GA66" s="160"/>
      <c r="GB66" s="160"/>
      <c r="GC66" s="160"/>
      <c r="GD66" s="160"/>
      <c r="GE66" s="160"/>
      <c r="GF66" s="160"/>
      <c r="GG66" s="160"/>
      <c r="GH66" s="160"/>
      <c r="GI66" s="160"/>
      <c r="GJ66" s="160"/>
      <c r="GK66" s="160"/>
      <c r="GL66" s="160"/>
      <c r="GM66" s="160"/>
      <c r="GN66" s="160"/>
      <c r="GO66" s="160"/>
      <c r="GP66" s="160"/>
      <c r="GQ66" s="160"/>
      <c r="GR66" s="160"/>
      <c r="GS66" s="160"/>
      <c r="GT66" s="160"/>
      <c r="GU66" s="160"/>
      <c r="GV66" s="160"/>
      <c r="GW66" s="160"/>
      <c r="GX66" s="160"/>
      <c r="GY66" s="160"/>
      <c r="GZ66" s="160"/>
      <c r="HA66" s="160"/>
      <c r="HB66" s="160"/>
      <c r="HC66" s="160"/>
      <c r="HD66" s="160"/>
      <c r="HE66" s="160"/>
      <c r="HF66" s="160"/>
      <c r="HG66" s="160"/>
      <c r="HH66" s="160"/>
      <c r="HI66" s="160"/>
      <c r="HJ66" s="160"/>
      <c r="HK66" s="160"/>
      <c r="HL66" s="160"/>
      <c r="HM66" s="160"/>
      <c r="HN66" s="160"/>
      <c r="HO66" s="160"/>
      <c r="HP66" s="160"/>
      <c r="HQ66" s="160"/>
      <c r="HR66" s="160"/>
      <c r="HS66" s="160"/>
      <c r="HT66" s="160"/>
      <c r="HU66" s="160"/>
      <c r="HV66" s="160"/>
      <c r="HW66" s="160"/>
      <c r="HX66" s="160"/>
      <c r="HY66" s="160"/>
      <c r="HZ66" s="160"/>
      <c r="IA66" s="160"/>
      <c r="IB66" s="160"/>
      <c r="IC66" s="160"/>
      <c r="ID66" s="160"/>
      <c r="IE66" s="160"/>
      <c r="IF66" s="160"/>
      <c r="IG66" s="160"/>
      <c r="IH66" s="160"/>
      <c r="II66" s="160"/>
      <c r="IJ66" s="160"/>
      <c r="IK66" s="160"/>
      <c r="IL66" s="160"/>
      <c r="IM66" s="160"/>
      <c r="IN66" s="160"/>
      <c r="IO66" s="160"/>
      <c r="IP66" s="160"/>
      <c r="IQ66" s="160"/>
      <c r="IR66" s="160"/>
      <c r="IS66" s="160"/>
      <c r="IT66" s="160"/>
      <c r="IU66" s="160"/>
      <c r="IV66" s="160"/>
      <c r="IW66" s="160"/>
      <c r="IX66" s="160"/>
      <c r="IY66" s="160"/>
      <c r="IZ66" s="160"/>
      <c r="JA66" s="160"/>
      <c r="JB66" s="160"/>
      <c r="JC66" s="160"/>
      <c r="JD66" s="160"/>
      <c r="JE66" s="160"/>
      <c r="JF66" s="160"/>
      <c r="JG66" s="160"/>
      <c r="JH66" s="160"/>
      <c r="JI66" s="160"/>
    </row>
    <row r="67" spans="1:269" s="70" customFormat="1" x14ac:dyDescent="0.2">
      <c r="A67" s="411"/>
      <c r="B67" s="375" t="s">
        <v>498</v>
      </c>
      <c r="C67" s="376"/>
      <c r="D67" s="15"/>
      <c r="E67" s="187"/>
      <c r="F67" s="187"/>
      <c r="G67" s="187"/>
      <c r="H67" s="187">
        <f>Model!H218/Model!D218-1</f>
        <v>-2.393617021276595E-2</v>
      </c>
      <c r="I67" s="187">
        <f>Model!I218/Model!E218-1</f>
        <v>-1.9178082191780854E-2</v>
      </c>
      <c r="J67" s="187">
        <f>Model!J218/Model!F218-1</f>
        <v>3.5616438356164348E-2</v>
      </c>
      <c r="K67" s="187">
        <f>Model!K218/Model!G218-1</f>
        <v>0.17837837837837833</v>
      </c>
      <c r="L67" s="187">
        <f>Model!L218/Model!H218-1</f>
        <v>0.18801089918256131</v>
      </c>
      <c r="M67" s="187">
        <f>Model!M218/Model!I218-1</f>
        <v>0.18435754189944142</v>
      </c>
      <c r="N67" s="187">
        <f>Model!N218/Model!J218-1</f>
        <v>0.13492063492063489</v>
      </c>
      <c r="O67" s="187">
        <f>Model!O218/Model!K218-1</f>
        <v>6.8807339449541427E-3</v>
      </c>
      <c r="P67" s="187">
        <f>Model!P218/Model!L218-1</f>
        <v>6.8807339449541427E-3</v>
      </c>
      <c r="Q67" s="187">
        <f>Model!Q218/Model!M218-1</f>
        <v>4.7169811320755262E-3</v>
      </c>
      <c r="R67" s="187">
        <f>Model!R218/Model!N218-1</f>
        <v>4.6620046620047262E-3</v>
      </c>
      <c r="S67" s="187">
        <f>Model!S218/Model!O218-1</f>
        <v>4.5558086560364419E-3</v>
      </c>
      <c r="T67" s="187">
        <f>Model!T218/Model!P218-1</f>
        <v>2.277904328018332E-3</v>
      </c>
      <c r="U67" s="187">
        <f>Model!U218/Model!Q218-1</f>
        <v>2.3474178403755097E-3</v>
      </c>
      <c r="V67" s="187">
        <f>Model!V218/Model!R218-1</f>
        <v>1.1600928074245953E-2</v>
      </c>
      <c r="W67" s="187">
        <f>Model!W218/Model!S218-1</f>
        <v>1.814058956916087E-2</v>
      </c>
      <c r="X67" s="187">
        <f>Model!X218/Model!T218-1</f>
        <v>2.9545454545454541E-2</v>
      </c>
      <c r="Y67" s="187">
        <f>Model!Y218/Model!U218-1</f>
        <v>4.2154566744730504E-2</v>
      </c>
      <c r="Z67" s="187">
        <f>Model!Z218/Model!V218-1</f>
        <v>4.587155963302747E-2</v>
      </c>
      <c r="AA67" s="187">
        <f>Model!AA218/Model!W218-1</f>
        <v>4.4543429844098092E-2</v>
      </c>
      <c r="AB67" s="187">
        <f>Model!AB218/Model!X218-1</f>
        <v>3.9735099337748547E-2</v>
      </c>
      <c r="AC67" s="187">
        <f>Model!AC218/Model!Y218-1</f>
        <v>6.3719101123595356E-2</v>
      </c>
      <c r="AD67" s="187">
        <f>Model!AD218/Model!Z218-1</f>
        <v>5.3630098684210425E-2</v>
      </c>
      <c r="AE67" s="187">
        <f>Model!AE218/Model!AA218-1</f>
        <v>4.4913499999999829E-2</v>
      </c>
      <c r="AF67" s="187">
        <f>Model!AF218/Model!AB218-1</f>
        <v>3.5274117499999758E-2</v>
      </c>
      <c r="AG67" s="187">
        <f>Model!AG218/Model!AC218-1</f>
        <v>3.6304240999999848E-2</v>
      </c>
      <c r="AH67" s="187">
        <f>Model!AH218/Model!AD218-1</f>
        <v>3.6304240999999848E-2</v>
      </c>
      <c r="AI67" s="187">
        <f>Model!AI218/Model!AE218-1</f>
        <v>4.1384163749999869E-2</v>
      </c>
      <c r="AJ67" s="209"/>
      <c r="AK67" s="209"/>
      <c r="AL67" s="209"/>
      <c r="AM67" s="209"/>
      <c r="AN67" s="209"/>
      <c r="AO67" s="209"/>
      <c r="AP67" s="209"/>
      <c r="AQ67" s="209"/>
      <c r="AS67" s="375" t="s">
        <v>498</v>
      </c>
      <c r="AT67" s="376"/>
      <c r="AU67" s="257" t="s">
        <v>229</v>
      </c>
      <c r="AV67" s="187">
        <f>Model!AV218/Model!AU218-1</f>
        <v>4.2682926829268331E-2</v>
      </c>
      <c r="AW67" s="187">
        <f>Model!AW218/Model!AV218-1</f>
        <v>0.12280701754385959</v>
      </c>
      <c r="AX67" s="187">
        <f>Model!AX218/Model!AW218-1</f>
        <v>5.2083333333332593E-3</v>
      </c>
      <c r="AY67" s="187">
        <f>Model!AY218/Model!AX218-1</f>
        <v>8.635578583765291E-3</v>
      </c>
      <c r="AZ67" s="187">
        <f>Model!AZ218/Model!AY218-1</f>
        <v>4.0525114155251174E-2</v>
      </c>
      <c r="BA67" s="187">
        <f>Model!BA218/Model!AZ218-1</f>
        <v>5.0397562534283846E-2</v>
      </c>
      <c r="BB67" s="187">
        <f>Model!BB218/Model!BA218-1</f>
        <v>3.7350941980959229E-2</v>
      </c>
      <c r="BC67" s="187">
        <f>Model!BC218/Model!BB218-1</f>
        <v>4.0000000000000036E-2</v>
      </c>
      <c r="BD67" s="187">
        <f>Model!BD218/Model!BC218-1</f>
        <v>4.0000000000000036E-2</v>
      </c>
      <c r="BE67" s="187">
        <f>Model!BE218/Model!BD218-1</f>
        <v>4.0000000000000036E-2</v>
      </c>
      <c r="BG67" s="187"/>
      <c r="BH67" s="187"/>
    </row>
    <row r="68" spans="1:269" s="70" customFormat="1" x14ac:dyDescent="0.2">
      <c r="A68" s="411"/>
      <c r="B68" s="334" t="s">
        <v>485</v>
      </c>
      <c r="C68" s="321"/>
      <c r="D68" s="1079"/>
      <c r="E68" s="23"/>
      <c r="F68" s="23"/>
      <c r="G68" s="23"/>
      <c r="H68" s="23">
        <f>Model!H219/Model!D219-1</f>
        <v>-4.2304230423042211E-2</v>
      </c>
      <c r="I68" s="23">
        <f>Model!I219/Model!E219-1</f>
        <v>-3.6968576709796697E-2</v>
      </c>
      <c r="J68" s="23">
        <f>Model!J219/Model!F219-1</f>
        <v>-1.6666666666666607E-2</v>
      </c>
      <c r="K68" s="23">
        <f>Model!K219/Model!G219-1</f>
        <v>3.4227567067530273E-2</v>
      </c>
      <c r="L68" s="23">
        <f>Model!L219/Model!H219-1</f>
        <v>4.4172932330826864E-2</v>
      </c>
      <c r="M68" s="23">
        <f>Model!M219/Model!I219-1</f>
        <v>4.4145873320537543E-2</v>
      </c>
      <c r="N68" s="23">
        <f>Model!N219/Model!J219-1</f>
        <v>2.6365348399246757E-2</v>
      </c>
      <c r="O68" s="23">
        <f>Model!O219/Model!K219-1</f>
        <v>-1.9677996422182598E-2</v>
      </c>
      <c r="P68" s="23">
        <f>Model!P219/Model!L219-1</f>
        <v>-2.7902790279027867E-2</v>
      </c>
      <c r="Q68" s="23">
        <f>Model!Q219/Model!M219-1</f>
        <v>-2.7573529411764719E-2</v>
      </c>
      <c r="R68" s="23">
        <f>Model!R219/Model!N219-1</f>
        <v>-1.834862385321101E-2</v>
      </c>
      <c r="S68" s="23">
        <f>Model!S219/Model!O219-1</f>
        <v>-8.2116788321168199E-3</v>
      </c>
      <c r="T68" s="23">
        <f>Model!T219/Model!P219-1</f>
        <v>6.4814814814815325E-3</v>
      </c>
      <c r="U68" s="23">
        <f>Model!U219/Model!Q219-1</f>
        <v>3.4026465028355268E-2</v>
      </c>
      <c r="V68" s="23">
        <f>Model!V219/Model!R219-1</f>
        <v>0.14766355140186938</v>
      </c>
      <c r="W68" s="23">
        <f>Model!W219/Model!S219-1</f>
        <v>0.16835326586936539</v>
      </c>
      <c r="X68" s="23">
        <f>Model!X219/Model!T219-1</f>
        <v>0.17663293468261254</v>
      </c>
      <c r="Y68" s="23">
        <f>Model!Y219/Model!U219-1</f>
        <v>0.16819012797074939</v>
      </c>
      <c r="Z68" s="23">
        <f>Model!Z219/Model!V219-1</f>
        <v>6.6775244299674075E-2</v>
      </c>
      <c r="AA68" s="23">
        <f>Model!AA219/Model!W219-1</f>
        <v>5.2755905511810974E-2</v>
      </c>
      <c r="AB68" s="23">
        <f>Model!AB219/Model!X219-1</f>
        <v>4.7693510555121277E-2</v>
      </c>
      <c r="AC68" s="23">
        <f>Model!AC219/Model!Y219-1</f>
        <v>5.0356025039123731E-2</v>
      </c>
      <c r="AD68" s="23">
        <f>Model!AD219/Model!Z219-1</f>
        <v>3.675215648854957E-2</v>
      </c>
      <c r="AE68" s="23">
        <f>Model!AE219/Model!AA219-1</f>
        <v>3.6131811144353154E-2</v>
      </c>
      <c r="AF68" s="23">
        <f>Model!AF219/Model!AB219-1</f>
        <v>2.5302590554104443E-2</v>
      </c>
      <c r="AG68" s="23">
        <f>Model!AG219/Model!AC219-1</f>
        <v>2.5683337119134064E-2</v>
      </c>
      <c r="AH68" s="23">
        <f>Model!AH219/Model!AD219-1</f>
        <v>3.2227593279484656E-2</v>
      </c>
      <c r="AI68" s="23">
        <f>Model!AI219/Model!AE219-1</f>
        <v>4.0550406271405048E-2</v>
      </c>
      <c r="AJ68" s="23"/>
      <c r="AK68" s="23"/>
      <c r="AL68" s="23"/>
      <c r="AM68" s="23"/>
      <c r="AN68" s="23"/>
      <c r="AO68" s="23"/>
      <c r="AP68" s="23"/>
      <c r="AQ68" s="23"/>
      <c r="AS68" s="334" t="s">
        <v>485</v>
      </c>
      <c r="AT68" s="321"/>
      <c r="AU68" s="256" t="s">
        <v>229</v>
      </c>
      <c r="AV68" s="23">
        <f>Model!AV219/Model!AU219-1</f>
        <v>-1.5617822691777583E-2</v>
      </c>
      <c r="AW68" s="23">
        <f>Model!AW219/Model!AV219-1</f>
        <v>2.3098460102659812E-2</v>
      </c>
      <c r="AX68" s="23">
        <f>Model!AX219/Model!AW219-1</f>
        <v>-2.0524515393386511E-2</v>
      </c>
      <c r="AY68" s="23">
        <f>Model!AY219/Model!AX219-1</f>
        <v>8.9406286379511313E-2</v>
      </c>
      <c r="AZ68" s="23">
        <f>Model!AZ219/Model!AY219-1</f>
        <v>0.11220346227826439</v>
      </c>
      <c r="BA68" s="23">
        <f>Model!BA219/Model!AZ219-1</f>
        <v>4.2622704938508837E-2</v>
      </c>
      <c r="BB68" s="23">
        <f>Model!BB219/Model!BA219-1</f>
        <v>3.1023246090462031E-2</v>
      </c>
      <c r="BC68" s="23">
        <f>Model!BC219/Model!BB219-1</f>
        <v>4.0000000000000258E-2</v>
      </c>
      <c r="BD68" s="23">
        <f>Model!BD219/Model!BC219-1</f>
        <v>4.0000000000000036E-2</v>
      </c>
      <c r="BE68" s="23">
        <f>Model!BE219/Model!BD219-1</f>
        <v>4.0000000000000036E-2</v>
      </c>
      <c r="BG68" s="23"/>
      <c r="BH68" s="23"/>
    </row>
    <row r="69" spans="1:269" s="70" customFormat="1" x14ac:dyDescent="0.2">
      <c r="A69" s="411"/>
      <c r="B69" s="334"/>
      <c r="C69" s="334"/>
      <c r="D69" s="1079"/>
      <c r="E69" s="23"/>
      <c r="F69" s="23"/>
      <c r="G69" s="23"/>
      <c r="H69" s="23"/>
      <c r="I69" s="23"/>
      <c r="J69" s="23"/>
      <c r="K69" s="23"/>
      <c r="L69" s="23"/>
      <c r="M69" s="23"/>
      <c r="N69" s="23"/>
      <c r="O69" s="23"/>
      <c r="P69" s="23"/>
      <c r="Q69" s="23"/>
      <c r="R69" s="23"/>
      <c r="S69" s="23"/>
      <c r="T69" s="23"/>
      <c r="U69" s="23"/>
      <c r="V69" s="23"/>
      <c r="W69" s="23"/>
      <c r="X69" s="23"/>
      <c r="Y69" s="23"/>
      <c r="Z69" s="23"/>
      <c r="AA69" s="23"/>
      <c r="AB69" s="23"/>
      <c r="AC69" s="23"/>
      <c r="AD69" s="23"/>
      <c r="AE69" s="23"/>
      <c r="AF69" s="23"/>
      <c r="AG69" s="23"/>
      <c r="AH69" s="23"/>
      <c r="AI69" s="23"/>
      <c r="AJ69" s="23"/>
      <c r="AK69" s="23"/>
      <c r="AL69" s="23"/>
      <c r="AM69" s="23"/>
      <c r="AN69" s="23"/>
      <c r="AO69" s="23"/>
      <c r="AP69" s="23"/>
      <c r="AQ69" s="23"/>
      <c r="AS69" s="334"/>
      <c r="AT69" s="334"/>
    </row>
    <row r="70" spans="1:269" s="70" customFormat="1" x14ac:dyDescent="0.2">
      <c r="A70" s="411"/>
      <c r="B70" s="334" t="s">
        <v>497</v>
      </c>
      <c r="C70" s="321"/>
      <c r="D70" s="1079"/>
      <c r="E70" s="23"/>
      <c r="F70" s="23"/>
      <c r="G70" s="23"/>
      <c r="H70" s="23">
        <f>Model!H221/Model!D221-1</f>
        <v>-1.2532981530343101E-2</v>
      </c>
      <c r="I70" s="23">
        <f>Model!I221/Model!E221-1</f>
        <v>-2.679169457468189E-2</v>
      </c>
      <c r="J70" s="23">
        <f>Model!J221/Model!F221-1</f>
        <v>-6.6979236436714995E-4</v>
      </c>
      <c r="K70" s="23">
        <f>Model!K221/Model!G221-1</f>
        <v>3.6593479707252241E-2</v>
      </c>
      <c r="L70" s="23">
        <f>Model!L221/Model!H221-1</f>
        <v>4.2752171008684003E-2</v>
      </c>
      <c r="M70" s="23">
        <f>Model!M221/Model!I221-1</f>
        <v>6.3317274604266949E-2</v>
      </c>
      <c r="N70" s="23">
        <f>Model!N221/Model!J221-1</f>
        <v>4.7587131367292423E-2</v>
      </c>
      <c r="O70" s="23">
        <f>Model!O221/Model!K221-1</f>
        <v>1.5404364569961304E-2</v>
      </c>
      <c r="P70" s="23">
        <f>Model!P221/Model!L221-1</f>
        <v>-1.9218449711722041E-3</v>
      </c>
      <c r="Q70" s="23">
        <f>Model!Q221/Model!M221-1</f>
        <v>3.8834951456312439E-3</v>
      </c>
      <c r="R70" s="23">
        <f>Model!R221/Model!N221-1</f>
        <v>6.3979526551503074E-3</v>
      </c>
      <c r="S70" s="23">
        <f>Model!S221/Model!O221-1</f>
        <v>1.4538558786346467E-2</v>
      </c>
      <c r="T70" s="23">
        <f>Model!T221/Model!P221-1</f>
        <v>3.7227214377406836E-2</v>
      </c>
      <c r="U70" s="23">
        <f>Model!U221/Model!Q221-1</f>
        <v>5.6092843326885689E-2</v>
      </c>
      <c r="V70" s="23">
        <f>Model!V221/Model!R221-1</f>
        <v>0.13032422123331222</v>
      </c>
      <c r="W70" s="23">
        <f>Model!W221/Model!S221-1</f>
        <v>0.13395638629283479</v>
      </c>
      <c r="X70" s="23">
        <f>Model!X221/Model!T221-1</f>
        <v>0.13428217821782162</v>
      </c>
      <c r="Y70" s="23">
        <f>Model!Y221/Model!U221-1</f>
        <v>0.11965811965811968</v>
      </c>
      <c r="Z70" s="23">
        <f>Model!Z221/Model!V221-1</f>
        <v>5.0056242969628739E-2</v>
      </c>
      <c r="AA70" s="23">
        <f>Model!AA221/Model!W221-1</f>
        <v>4.2307692307692157E-2</v>
      </c>
      <c r="AB70" s="23">
        <f>Model!AB221/Model!X221-1</f>
        <v>3.4915439170758455E-2</v>
      </c>
      <c r="AC70" s="23">
        <f>Model!AC221/Model!Y221-1</f>
        <v>3.8672300981461349E-2</v>
      </c>
      <c r="AD70" s="23">
        <f>Model!AD221/Model!Z221-1</f>
        <v>3.1784159078735996E-2</v>
      </c>
      <c r="AE70" s="23">
        <f>Model!AE221/Model!AA221-1</f>
        <v>3.5776407749077643E-2</v>
      </c>
      <c r="AF70" s="23">
        <f>Model!AF221/Model!AB221-1</f>
        <v>3.282060173036383E-2</v>
      </c>
      <c r="AG70" s="23">
        <f>Model!AG221/Model!AC221-1</f>
        <v>3.6205346846387654E-2</v>
      </c>
      <c r="AH70" s="23">
        <f>Model!AH221/Model!AD221-1</f>
        <v>4.0806374164596093E-2</v>
      </c>
      <c r="AI70" s="23">
        <f>Model!AI221/Model!AE221-1</f>
        <v>4.6674280941811697E-2</v>
      </c>
      <c r="AJ70" s="23"/>
      <c r="AK70" s="23"/>
      <c r="AL70" s="23"/>
      <c r="AM70" s="23"/>
      <c r="AN70" s="23"/>
      <c r="AO70" s="23"/>
      <c r="AP70" s="23"/>
      <c r="AQ70" s="23"/>
      <c r="AS70" s="334" t="s">
        <v>497</v>
      </c>
      <c r="AT70" s="321"/>
      <c r="AU70" s="256" t="s">
        <v>229</v>
      </c>
      <c r="AV70" s="23">
        <f>Model!AV221/Model!AU221-1</f>
        <v>-8.3263946711076287E-4</v>
      </c>
      <c r="AW70" s="23">
        <f>Model!AW221/Model!AV221-1</f>
        <v>4.1833333333333389E-2</v>
      </c>
      <c r="AX70" s="23">
        <f>Model!AX221/Model!AW221-1</f>
        <v>5.7590785474324058E-3</v>
      </c>
      <c r="AY70" s="23">
        <f>Model!AY221/Model!AX221-1</f>
        <v>8.9867981549228482E-2</v>
      </c>
      <c r="AZ70" s="23">
        <f>Model!AZ221/Model!AY221-1</f>
        <v>8.4500875656742247E-2</v>
      </c>
      <c r="BA70" s="23">
        <f>Model!BA221/Model!AZ221-1</f>
        <v>3.5275719351366197E-2</v>
      </c>
      <c r="BB70" s="23">
        <f>Model!BB221/Model!BA221-1</f>
        <v>3.9196632135743315E-2</v>
      </c>
      <c r="BC70" s="23">
        <f>Model!BC221/Model!BB221-1</f>
        <v>4.6005354600524573E-2</v>
      </c>
      <c r="BD70" s="23">
        <f>Model!BD221/Model!BC221-1</f>
        <v>4.304285052106005E-2</v>
      </c>
      <c r="BE70" s="23">
        <f>Model!BE221/Model!BD221-1</f>
        <v>4.3063146490594395E-2</v>
      </c>
      <c r="BG70" s="23"/>
      <c r="BH70" s="23"/>
    </row>
    <row r="71" spans="1:269" s="70" customFormat="1" x14ac:dyDescent="0.2">
      <c r="A71" s="411"/>
      <c r="B71" s="10"/>
      <c r="C71" s="1079"/>
      <c r="D71" s="1079"/>
      <c r="E71" s="1079"/>
      <c r="F71" s="1079"/>
      <c r="G71" s="1079"/>
      <c r="H71" s="1079"/>
      <c r="I71" s="1079"/>
      <c r="J71" s="1079"/>
      <c r="K71" s="1079"/>
      <c r="L71" s="1079"/>
      <c r="M71" s="1079"/>
      <c r="N71" s="1079"/>
      <c r="O71" s="1079"/>
      <c r="P71" s="1079"/>
      <c r="Q71" s="1079"/>
      <c r="R71" s="1079"/>
      <c r="S71" s="1079"/>
      <c r="T71" s="1079"/>
      <c r="U71" s="1079"/>
      <c r="V71" s="1079"/>
      <c r="W71" s="1079"/>
      <c r="X71" s="1079"/>
      <c r="Y71" s="1215"/>
      <c r="Z71" s="1688"/>
      <c r="AA71" s="1742"/>
      <c r="AB71" s="1785"/>
      <c r="AC71" s="1079"/>
      <c r="AD71" s="1079"/>
      <c r="AE71" s="1079"/>
      <c r="AF71" s="1707"/>
      <c r="AG71" s="1707"/>
      <c r="AH71" s="1707"/>
      <c r="AI71" s="1707"/>
      <c r="AJ71" s="1740"/>
      <c r="AK71" s="1740"/>
      <c r="AL71" s="1740"/>
      <c r="AM71" s="1740"/>
      <c r="AN71" s="1740"/>
      <c r="AO71" s="1740"/>
      <c r="AP71" s="1740"/>
      <c r="AQ71" s="1740"/>
      <c r="AS71" s="10"/>
      <c r="AT71" s="1079"/>
      <c r="AU71" s="377"/>
      <c r="AV71" s="377"/>
      <c r="AW71" s="377"/>
      <c r="AX71" s="377"/>
      <c r="AY71" s="377"/>
      <c r="AZ71" s="377"/>
      <c r="BA71" s="377"/>
      <c r="BB71" s="377"/>
      <c r="BC71" s="377"/>
      <c r="BD71" s="377"/>
      <c r="BE71" s="377"/>
    </row>
    <row r="72" spans="1:269" s="70" customFormat="1" x14ac:dyDescent="0.2">
      <c r="A72" s="411"/>
      <c r="B72" s="175" t="s">
        <v>179</v>
      </c>
      <c r="C72" s="1079"/>
      <c r="D72" s="1079"/>
      <c r="E72" s="1079"/>
      <c r="F72" s="1079"/>
      <c r="G72" s="1079"/>
      <c r="H72" s="1079"/>
      <c r="I72" s="1079"/>
      <c r="J72" s="1079"/>
      <c r="K72" s="1079"/>
      <c r="L72" s="1079"/>
      <c r="M72" s="1079"/>
      <c r="N72" s="1079"/>
      <c r="O72" s="1079"/>
      <c r="P72" s="1079"/>
      <c r="Q72" s="1079"/>
      <c r="R72" s="1079"/>
      <c r="S72" s="1079"/>
      <c r="T72" s="1079"/>
      <c r="U72" s="1079"/>
      <c r="V72" s="1079"/>
      <c r="W72" s="1079"/>
      <c r="X72" s="1079"/>
      <c r="Y72" s="1215"/>
      <c r="Z72" s="1688"/>
      <c r="AA72" s="1742"/>
      <c r="AB72" s="1785"/>
      <c r="AC72" s="1079"/>
      <c r="AD72" s="1079"/>
      <c r="AE72" s="1079"/>
      <c r="AF72" s="1707"/>
      <c r="AG72" s="1707"/>
      <c r="AH72" s="1707"/>
      <c r="AI72" s="1707"/>
      <c r="AJ72" s="1740"/>
      <c r="AK72" s="1740"/>
      <c r="AL72" s="1740"/>
      <c r="AM72" s="1740"/>
      <c r="AN72" s="1740"/>
      <c r="AO72" s="1740"/>
      <c r="AP72" s="1740"/>
      <c r="AQ72" s="1740"/>
      <c r="AS72" s="175" t="s">
        <v>179</v>
      </c>
      <c r="AT72" s="1079"/>
    </row>
    <row r="73" spans="1:269" s="70" customFormat="1" x14ac:dyDescent="0.2">
      <c r="A73" s="411"/>
      <c r="B73" s="17" t="s">
        <v>495</v>
      </c>
      <c r="C73" s="321"/>
      <c r="D73" s="1079"/>
      <c r="E73" s="26"/>
      <c r="F73" s="26"/>
      <c r="G73" s="26"/>
      <c r="H73" s="26">
        <f>Model!H325/Model!D325-1</f>
        <v>0.1649484536082475</v>
      </c>
      <c r="I73" s="26">
        <f>Model!I325/Model!E325-1</f>
        <v>0.21052631578947367</v>
      </c>
      <c r="J73" s="26">
        <f>Model!J325/Model!F325-1</f>
        <v>0.11330049261083741</v>
      </c>
      <c r="K73" s="26">
        <f>Model!K325/Model!G325-1</f>
        <v>8.4507042253521236E-2</v>
      </c>
      <c r="L73" s="26">
        <f>Model!L325/Model!H325-1</f>
        <v>1.327433628318575E-2</v>
      </c>
      <c r="M73" s="26">
        <f>Model!M325/Model!I325-1</f>
        <v>1.7391304347825987E-2</v>
      </c>
      <c r="N73" s="26">
        <f>Model!N325/Model!J325-1</f>
        <v>1.7699115044247815E-2</v>
      </c>
      <c r="O73" s="26">
        <f>Model!O325/Model!K325-1</f>
        <v>-4.3290043290043267E-2</v>
      </c>
      <c r="P73" s="26">
        <f>Model!P325/Model!L325-1</f>
        <v>-9.1703056768558833E-2</v>
      </c>
      <c r="Q73" s="26">
        <f>Model!Q325/Model!M325-1</f>
        <v>-0.11111111111111105</v>
      </c>
      <c r="R73" s="26">
        <f>Model!R325/Model!N325-1</f>
        <v>-0.13913043478260867</v>
      </c>
      <c r="S73" s="26">
        <f>Model!S325/Model!O325-1</f>
        <v>-9.5022624434389247E-2</v>
      </c>
      <c r="T73" s="26">
        <f>Model!T325/Model!P325-1</f>
        <v>-7.6923076923076983E-2</v>
      </c>
      <c r="U73" s="26">
        <f>Model!U325/Model!Q325-1</f>
        <v>-7.6923076923076983E-2</v>
      </c>
      <c r="V73" s="26">
        <f>Model!V325/Model!R325-1</f>
        <v>-3.5353535353535359E-2</v>
      </c>
      <c r="W73" s="26">
        <f>Model!W325/Model!S325-1</f>
        <v>-7.4999999999999956E-2</v>
      </c>
      <c r="X73" s="26">
        <f>Model!X325/Model!T325-1</f>
        <v>-4.6874999999999889E-2</v>
      </c>
      <c r="Y73" s="26">
        <f>Model!Y325/Model!U325-1</f>
        <v>5.2083333333333259E-2</v>
      </c>
      <c r="Z73" s="26">
        <f>Model!Z325/Model!V325-1</f>
        <v>0.10994764397905743</v>
      </c>
      <c r="AA73" s="26">
        <f>Model!AA325/Model!W325-1</f>
        <v>9.7297297297297414E-2</v>
      </c>
      <c r="AB73" s="26">
        <f>Model!AB325/Model!X325-1</f>
        <v>0.13114754098360648</v>
      </c>
      <c r="AC73" s="26">
        <f>Model!AC325/Model!Y325-1</f>
        <v>3.5000000000000142E-2</v>
      </c>
      <c r="AD73" s="26">
        <f>Model!AD325/Model!Z325-1</f>
        <v>9.7193396226424866E-4</v>
      </c>
      <c r="AE73" s="26">
        <f>Model!AE325/Model!AA325-1</f>
        <v>6.625700000000001E-2</v>
      </c>
      <c r="AF73" s="26">
        <f>Model!AF325/Model!AB325-1</f>
        <v>3.5196470000000035E-2</v>
      </c>
      <c r="AG73" s="26">
        <f>Model!AG325/Model!AC325-1</f>
        <v>3.5196469999999813E-2</v>
      </c>
      <c r="AH73" s="26">
        <f>Model!AH325/Model!AD325-1</f>
        <v>3.5196469999999813E-2</v>
      </c>
      <c r="AI73" s="26">
        <f>Model!AI325/Model!AE325-1</f>
        <v>3.5196469999999813E-2</v>
      </c>
      <c r="AJ73" s="26"/>
      <c r="AK73" s="26"/>
      <c r="AL73" s="26"/>
      <c r="AM73" s="26"/>
      <c r="AN73" s="26"/>
      <c r="AO73" s="26"/>
      <c r="AP73" s="26"/>
      <c r="AQ73" s="26"/>
      <c r="AS73" s="17" t="s">
        <v>495</v>
      </c>
      <c r="AT73" s="321"/>
      <c r="AU73" s="256" t="s">
        <v>229</v>
      </c>
      <c r="AV73" s="26">
        <f>Model!AV325/Model!AU325-1</f>
        <v>0.1412500000000001</v>
      </c>
      <c r="AW73" s="26">
        <f>Model!AW325/Model!AV325-1</f>
        <v>1.0952902519167917E-3</v>
      </c>
      <c r="AX73" s="26">
        <f>Model!AX325/Model!AW325-1</f>
        <v>-0.10940919037199126</v>
      </c>
      <c r="AY73" s="26">
        <f>Model!AY325/Model!AX325-1</f>
        <v>-6.6339066339066388E-2</v>
      </c>
      <c r="AZ73" s="26">
        <f>Model!AZ325/Model!AY325-1</f>
        <v>5.2631578947368363E-2</v>
      </c>
      <c r="BA73" s="26">
        <f>Model!BA325/Model!AZ325-1</f>
        <v>5.5907776249999985E-2</v>
      </c>
      <c r="BB73" s="26">
        <f>Model!BB325/Model!BA325-1</f>
        <v>3.5196469999999813E-2</v>
      </c>
      <c r="BC73" s="26">
        <f>Model!BC325/Model!BB325-1</f>
        <v>4.0000000000000036E-2</v>
      </c>
      <c r="BD73" s="26">
        <f>Model!BD325/Model!BC325-1</f>
        <v>4.0000000000000036E-2</v>
      </c>
      <c r="BE73" s="26">
        <f>Model!BE325/Model!BD325-1</f>
        <v>4.0000000000000036E-2</v>
      </c>
      <c r="BG73" s="1714"/>
      <c r="BH73" s="1710"/>
    </row>
    <row r="74" spans="1:269" s="70" customFormat="1" x14ac:dyDescent="0.2">
      <c r="A74" s="411"/>
      <c r="B74" s="17" t="s">
        <v>496</v>
      </c>
      <c r="C74" s="334"/>
      <c r="D74" s="1079"/>
      <c r="E74" s="26"/>
      <c r="F74" s="26"/>
      <c r="G74" s="26"/>
      <c r="H74" s="26">
        <f>Model!H324/Model!D324-1</f>
        <v>2.7972027972027913E-2</v>
      </c>
      <c r="I74" s="26">
        <f>Model!I324/Model!E324-1</f>
        <v>6.6914498141263934E-2</v>
      </c>
      <c r="J74" s="26">
        <f>Model!J324/Model!F324-1</f>
        <v>1.7857142857142794E-2</v>
      </c>
      <c r="K74" s="26">
        <f>Model!K324/Model!G324-1</f>
        <v>5.1903114186851118E-2</v>
      </c>
      <c r="L74" s="26">
        <f>Model!L324/Model!H324-1</f>
        <v>-1.0204081632652962E-2</v>
      </c>
      <c r="M74" s="26">
        <f>Model!M324/Model!I324-1</f>
        <v>4.5296167247386832E-2</v>
      </c>
      <c r="N74" s="26">
        <f>Model!N324/Model!J324-1</f>
        <v>5.2631578947368363E-2</v>
      </c>
      <c r="O74" s="26">
        <f>Model!O324/Model!K324-1</f>
        <v>-3.289473684210531E-2</v>
      </c>
      <c r="P74" s="26">
        <f>Model!P324/Model!L324-1</f>
        <v>-3.7800687285223455E-2</v>
      </c>
      <c r="Q74" s="26">
        <f>Model!Q324/Model!M324-1</f>
        <v>-8.9999999999999969E-2</v>
      </c>
      <c r="R74" s="26">
        <f>Model!R324/Model!N324-1</f>
        <v>-0.14333333333333331</v>
      </c>
      <c r="S74" s="26">
        <f>Model!S324/Model!O324-1</f>
        <v>-0.11904761904761907</v>
      </c>
      <c r="T74" s="26">
        <f>Model!T324/Model!P324-1</f>
        <v>-6.7857142857142838E-2</v>
      </c>
      <c r="U74" s="26">
        <f>Model!U324/Model!Q324-1</f>
        <v>-5.1282051282051322E-2</v>
      </c>
      <c r="V74" s="26">
        <f>Model!V324/Model!R324-1</f>
        <v>0</v>
      </c>
      <c r="W74" s="26">
        <f>Model!W324/Model!S324-1</f>
        <v>-2.7027027027026973E-2</v>
      </c>
      <c r="X74" s="26">
        <f>Model!X324/Model!T324-1</f>
        <v>-3.0651340996168619E-2</v>
      </c>
      <c r="Y74" s="26">
        <f>Model!Y324/Model!U324-1</f>
        <v>7.3359073359073435E-2</v>
      </c>
      <c r="Z74" s="26">
        <f>Model!Z324/Model!V324-1</f>
        <v>0.12062256809338523</v>
      </c>
      <c r="AA74" s="26">
        <f>Model!AA324/Model!W324-1</f>
        <v>0.10317460317460325</v>
      </c>
      <c r="AB74" s="26">
        <f>Model!AB324/Model!X324-1</f>
        <v>0.14229249011857692</v>
      </c>
      <c r="AC74" s="26">
        <f>Model!AC324/Model!Y324-1</f>
        <v>4.9964028776978475E-2</v>
      </c>
      <c r="AD74" s="26">
        <f>Model!AD324/Model!Z324-1</f>
        <v>2.3642013888888869E-2</v>
      </c>
      <c r="AE74" s="26">
        <f>Model!AE324/Model!AA324-1</f>
        <v>7.1068305755395578E-2</v>
      </c>
      <c r="AF74" s="26">
        <f>Model!AF324/Model!AB324-1</f>
        <v>4.0604010000000024E-2</v>
      </c>
      <c r="AG74" s="26">
        <f>Model!AG324/Model!AC324-1</f>
        <v>4.0604010000000024E-2</v>
      </c>
      <c r="AH74" s="26">
        <f>Model!AH324/Model!AD324-1</f>
        <v>4.0604010000000024E-2</v>
      </c>
      <c r="AI74" s="26">
        <f>Model!AI324/Model!AE324-1</f>
        <v>4.0604010000000024E-2</v>
      </c>
      <c r="AJ74" s="26"/>
      <c r="AK74" s="26"/>
      <c r="AL74" s="26"/>
      <c r="AM74" s="26"/>
      <c r="AN74" s="26"/>
      <c r="AO74" s="26"/>
      <c r="AP74" s="26"/>
      <c r="AQ74" s="26"/>
      <c r="AS74" s="17" t="s">
        <v>496</v>
      </c>
      <c r="AT74" s="334"/>
      <c r="AU74" s="256" t="s">
        <v>229</v>
      </c>
      <c r="AV74" s="26">
        <f>Model!AV324/Model!AU324-1</f>
        <v>4.0925266903914626E-2</v>
      </c>
      <c r="AW74" s="26">
        <f>Model!AW324/Model!AV324-1</f>
        <v>1.2820512820512775E-2</v>
      </c>
      <c r="AX74" s="26">
        <f>Model!AX324/Model!AW324-1</f>
        <v>-9.7890295358649793E-2</v>
      </c>
      <c r="AY74" s="26">
        <f>Model!AY324/Model!AX324-1</f>
        <v>-3.7418147801683843E-2</v>
      </c>
      <c r="AZ74" s="26">
        <f>Model!AZ324/Model!AY324-1</f>
        <v>6.608357628765793E-2</v>
      </c>
      <c r="BA74" s="26">
        <f>Model!BA324/Model!AZ324-1</f>
        <v>6.9695432087511389E-2</v>
      </c>
      <c r="BB74" s="26">
        <f>Model!BB324/Model!BA324-1</f>
        <v>4.0604010000000024E-2</v>
      </c>
      <c r="BC74" s="26">
        <f>Model!BC324/Model!BB324-1</f>
        <v>4.0000000000000036E-2</v>
      </c>
      <c r="BD74" s="26">
        <f>Model!BD324/Model!BC324-1</f>
        <v>4.0000000000000036E-2</v>
      </c>
      <c r="BE74" s="26">
        <f>Model!BE324/Model!BD324-1</f>
        <v>4.0000000000000036E-2</v>
      </c>
      <c r="BG74" s="1714"/>
      <c r="BH74" s="1710"/>
    </row>
    <row r="75" spans="1:269" s="70" customFormat="1" x14ac:dyDescent="0.2">
      <c r="A75" s="411"/>
      <c r="B75" s="17"/>
      <c r="C75" s="334"/>
      <c r="D75" s="1079"/>
      <c r="E75" s="26"/>
      <c r="F75" s="26"/>
      <c r="G75" s="26"/>
      <c r="H75" s="26"/>
      <c r="I75" s="26"/>
      <c r="J75" s="26"/>
      <c r="K75" s="26"/>
      <c r="L75" s="26"/>
      <c r="M75" s="26"/>
      <c r="N75" s="26"/>
      <c r="O75" s="26"/>
      <c r="P75" s="26"/>
      <c r="Q75" s="26"/>
      <c r="R75" s="26"/>
      <c r="S75" s="26"/>
      <c r="T75" s="26"/>
      <c r="U75" s="26"/>
      <c r="V75" s="26"/>
      <c r="W75" s="26"/>
      <c r="X75" s="26"/>
      <c r="Y75" s="26"/>
      <c r="Z75" s="26"/>
      <c r="AA75" s="26"/>
      <c r="AB75" s="26"/>
      <c r="AC75" s="26"/>
      <c r="AD75" s="26"/>
      <c r="AE75" s="26"/>
      <c r="AF75" s="26"/>
      <c r="AG75" s="26"/>
      <c r="AH75" s="26"/>
      <c r="AI75" s="26"/>
      <c r="AJ75" s="26"/>
      <c r="AK75" s="26"/>
      <c r="AL75" s="26"/>
      <c r="AM75" s="26"/>
      <c r="AN75" s="26"/>
      <c r="AO75" s="26"/>
      <c r="AP75" s="26"/>
      <c r="AQ75" s="26"/>
      <c r="AS75" s="17"/>
      <c r="AT75" s="334"/>
      <c r="AV75" s="26"/>
      <c r="AW75" s="26"/>
      <c r="AX75" s="26"/>
      <c r="AY75" s="26"/>
      <c r="AZ75" s="26"/>
      <c r="BA75" s="26"/>
      <c r="BB75" s="26"/>
      <c r="BC75" s="26"/>
      <c r="BD75" s="26"/>
      <c r="BE75" s="26"/>
      <c r="BG75" s="15"/>
      <c r="BH75" s="15"/>
    </row>
    <row r="76" spans="1:269" s="70" customFormat="1" x14ac:dyDescent="0.2">
      <c r="A76" s="411"/>
      <c r="B76" s="334" t="s">
        <v>499</v>
      </c>
      <c r="C76" s="321"/>
      <c r="D76" s="1079"/>
      <c r="E76" s="26"/>
      <c r="F76" s="26"/>
      <c r="G76" s="26"/>
      <c r="H76" s="26">
        <f>Model!H327/Model!D327-1</f>
        <v>0.15254237288135575</v>
      </c>
      <c r="I76" s="26">
        <f>Model!I327/Model!E327-1</f>
        <v>0.22807017543859653</v>
      </c>
      <c r="J76" s="26">
        <f>Model!J327/Model!F327-1</f>
        <v>0.14754098360655754</v>
      </c>
      <c r="K76" s="26">
        <f>Model!K327/Model!G327-1</f>
        <v>0.15625</v>
      </c>
      <c r="L76" s="26">
        <f>Model!L327/Model!H327-1</f>
        <v>5.8823529411764719E-2</v>
      </c>
      <c r="M76" s="26">
        <f>Model!M327/Model!I327-1</f>
        <v>5.7142857142857162E-2</v>
      </c>
      <c r="N76" s="26">
        <f>Model!N327/Model!J327-1</f>
        <v>4.2857142857142927E-2</v>
      </c>
      <c r="O76" s="26">
        <f>Model!O327/Model!K327-1</f>
        <v>-4.0540540540540682E-2</v>
      </c>
      <c r="P76" s="26">
        <f>Model!P327/Model!L327-1</f>
        <v>-0.11111111111111105</v>
      </c>
      <c r="Q76" s="26">
        <f>Model!Q327/Model!M327-1</f>
        <v>-0.17567567567567577</v>
      </c>
      <c r="R76" s="26">
        <f>Model!R327/Model!N327-1</f>
        <v>-0.23287671232876717</v>
      </c>
      <c r="S76" s="26">
        <f>Model!S327/Model!O327-1</f>
        <v>-0.22535211267605626</v>
      </c>
      <c r="T76" s="26">
        <f>Model!T327/Model!P327-1</f>
        <v>-0.1875</v>
      </c>
      <c r="U76" s="26">
        <f>Model!U327/Model!Q327-1</f>
        <v>-0.16393442622950816</v>
      </c>
      <c r="V76" s="26">
        <f>Model!V327/Model!R327-1</f>
        <v>-8.9285714285714302E-2</v>
      </c>
      <c r="W76" s="26">
        <f>Model!W327/Model!S327-1</f>
        <v>-9.0909090909090939E-2</v>
      </c>
      <c r="X76" s="26">
        <f>Model!X327/Model!T327-1</f>
        <v>-7.6923076923076983E-2</v>
      </c>
      <c r="Y76" s="26">
        <f>Model!Y327/Model!U327-1</f>
        <v>3.9215686274509887E-2</v>
      </c>
      <c r="Z76" s="26">
        <f>Model!Z327/Model!V327-1</f>
        <v>9.8039215686274606E-2</v>
      </c>
      <c r="AA76" s="26">
        <f>Model!AA327/Model!W327-1</f>
        <v>8.0000000000000071E-2</v>
      </c>
      <c r="AB76" s="26">
        <f>Model!AB327/Model!X327-1</f>
        <v>0.16666666666666674</v>
      </c>
      <c r="AC76" s="26">
        <f>Model!AC327/Model!Y327-1</f>
        <v>3.5471698113207495E-2</v>
      </c>
      <c r="AD76" s="26">
        <f>Model!AD327/Model!Z327-1</f>
        <v>4.4999999999997264E-3</v>
      </c>
      <c r="AE76" s="26">
        <f>Model!AE327/Model!AA327-1</f>
        <v>7.8163333333332918E-2</v>
      </c>
      <c r="AF76" s="26">
        <f>Model!AF327/Model!AB327-1</f>
        <v>1.8864349999999863E-2</v>
      </c>
      <c r="AG76" s="26">
        <f>Model!AG327/Model!AC327-1</f>
        <v>6.0450649999999717E-2</v>
      </c>
      <c r="AH76" s="26">
        <f>Model!AH327/Model!AD327-1</f>
        <v>5.010479000000001E-2</v>
      </c>
      <c r="AI76" s="26">
        <f>Model!AI327/Model!AE327-1</f>
        <v>5.0104789999999788E-2</v>
      </c>
      <c r="AJ76" s="26"/>
      <c r="AK76" s="26"/>
      <c r="AL76" s="26"/>
      <c r="AM76" s="26"/>
      <c r="AN76" s="26"/>
      <c r="AO76" s="26"/>
      <c r="AP76" s="26"/>
      <c r="AQ76" s="26"/>
      <c r="AS76" s="334" t="s">
        <v>499</v>
      </c>
      <c r="AT76" s="321"/>
      <c r="AU76" s="256" t="s">
        <v>229</v>
      </c>
      <c r="AV76" s="26">
        <f>Model!AV327/Model!AU327-1</f>
        <v>0.17012448132780089</v>
      </c>
      <c r="AW76" s="26">
        <f>Model!AW327/Model!AV327-1</f>
        <v>2.8368794326240954E-2</v>
      </c>
      <c r="AX76" s="26">
        <f>Model!AX327/Model!AW327-1</f>
        <v>-0.18620689655172407</v>
      </c>
      <c r="AY76" s="26">
        <f>Model!AY327/Model!AX327-1</f>
        <v>-0.13559322033898313</v>
      </c>
      <c r="AZ76" s="26">
        <f>Model!AZ327/Model!AY327-1</f>
        <v>3.4313725490196179E-2</v>
      </c>
      <c r="BA76" s="26">
        <f>Model!BA327/Model!AZ327-1</f>
        <v>6.8022843601895477E-2</v>
      </c>
      <c r="BB76" s="26">
        <f>Model!BB327/Model!BA327-1</f>
        <v>4.4861084404480778E-2</v>
      </c>
      <c r="BC76" s="26">
        <f>Model!BC327/Model!BB327-1</f>
        <v>5.0000000000000044E-2</v>
      </c>
      <c r="BD76" s="26">
        <f>Model!BD327/Model!BC327-1</f>
        <v>5.0000000000000044E-2</v>
      </c>
      <c r="BE76" s="26">
        <f>Model!BE327/Model!BD327-1</f>
        <v>5.0000000000000044E-2</v>
      </c>
      <c r="BG76" s="1714"/>
      <c r="BH76" s="1710"/>
    </row>
    <row r="77" spans="1:269" s="70" customFormat="1" x14ac:dyDescent="0.2">
      <c r="A77" s="411"/>
      <c r="B77" s="334"/>
      <c r="C77" s="321"/>
      <c r="D77" s="1079"/>
      <c r="E77" s="26"/>
      <c r="F77" s="26"/>
      <c r="G77" s="26"/>
      <c r="H77" s="26"/>
      <c r="I77" s="26"/>
      <c r="J77" s="26"/>
      <c r="K77" s="26"/>
      <c r="L77" s="26"/>
      <c r="M77" s="26"/>
      <c r="N77" s="26"/>
      <c r="O77" s="26"/>
      <c r="P77" s="26"/>
      <c r="Q77" s="26"/>
      <c r="R77" s="26"/>
      <c r="S77" s="26"/>
      <c r="T77" s="26"/>
      <c r="U77" s="26"/>
      <c r="V77" s="26"/>
      <c r="W77" s="26"/>
      <c r="X77" s="26"/>
      <c r="Y77" s="26"/>
      <c r="Z77" s="26"/>
      <c r="AA77" s="26"/>
      <c r="AB77" s="26"/>
      <c r="AC77" s="26"/>
      <c r="AD77" s="26"/>
      <c r="AE77" s="26"/>
      <c r="AF77" s="26"/>
      <c r="AG77" s="26"/>
      <c r="AH77" s="26"/>
      <c r="AI77" s="26"/>
      <c r="AJ77" s="26"/>
      <c r="AK77" s="26"/>
      <c r="AL77" s="26"/>
      <c r="AM77" s="26"/>
      <c r="AN77" s="26"/>
      <c r="AO77" s="26"/>
      <c r="AP77" s="26"/>
      <c r="AQ77" s="26"/>
      <c r="AS77" s="334"/>
      <c r="AT77" s="321"/>
      <c r="AV77" s="26"/>
      <c r="AW77" s="26"/>
      <c r="AX77" s="26"/>
      <c r="AY77" s="26"/>
      <c r="AZ77" s="26"/>
      <c r="BA77" s="26"/>
      <c r="BB77" s="26"/>
      <c r="BC77" s="26"/>
      <c r="BD77" s="26"/>
      <c r="BE77" s="26"/>
      <c r="BG77" s="15"/>
      <c r="BH77" s="15"/>
    </row>
    <row r="78" spans="1:269" s="70" customFormat="1" x14ac:dyDescent="0.2">
      <c r="A78" s="411"/>
      <c r="B78" s="334" t="s">
        <v>179</v>
      </c>
      <c r="C78" s="321"/>
      <c r="D78" s="1079"/>
      <c r="E78" s="26"/>
      <c r="F78" s="26"/>
      <c r="G78" s="26"/>
      <c r="H78" s="26">
        <f>Model!H329/Model!D329-1</f>
        <v>0.16205533596837962</v>
      </c>
      <c r="I78" s="26">
        <f>Model!I329/Model!E329-1</f>
        <v>0.21457489878542524</v>
      </c>
      <c r="J78" s="26">
        <f>Model!J329/Model!F329-1</f>
        <v>0.12121212121212133</v>
      </c>
      <c r="K78" s="26">
        <f>Model!K329/Model!G329-1</f>
        <v>0.10108303249097461</v>
      </c>
      <c r="L78" s="26">
        <f>Model!L329/Model!H329-1</f>
        <v>2.3809523809523725E-2</v>
      </c>
      <c r="M78" s="26">
        <f>Model!M329/Model!I329-1</f>
        <v>2.6666666666666616E-2</v>
      </c>
      <c r="N78" s="26">
        <f>Model!N329/Model!J329-1</f>
        <v>2.3648648648648685E-2</v>
      </c>
      <c r="O78" s="26">
        <f>Model!O329/Model!K329-1</f>
        <v>-4.2622950819672045E-2</v>
      </c>
      <c r="P78" s="26">
        <f>Model!P329/Model!L329-1</f>
        <v>-9.6345514950165967E-2</v>
      </c>
      <c r="Q78" s="26">
        <f>Model!Q329/Model!M329-1</f>
        <v>-0.12662337662337664</v>
      </c>
      <c r="R78" s="26">
        <f>Model!R329/Model!N329-1</f>
        <v>-0.16171617161716179</v>
      </c>
      <c r="S78" s="26">
        <f>Model!S329/Model!O329-1</f>
        <v>-0.12671232876712335</v>
      </c>
      <c r="T78" s="26">
        <f>Model!T329/Model!P329-1</f>
        <v>-0.10294117647058842</v>
      </c>
      <c r="U78" s="26">
        <f>Model!U329/Model!Q329-1</f>
        <v>-9.6654275092936892E-2</v>
      </c>
      <c r="V78" s="26">
        <f>Model!V329/Model!R329-1</f>
        <v>-4.7244094488188781E-2</v>
      </c>
      <c r="W78" s="26">
        <f>Model!W329/Model!S329-1</f>
        <v>-7.8431372549019662E-2</v>
      </c>
      <c r="X78" s="26">
        <f>Model!X329/Model!T329-1</f>
        <v>-5.3278688524590057E-2</v>
      </c>
      <c r="Y78" s="26">
        <f>Model!Y329/Model!U329-1</f>
        <v>4.9382716049382935E-2</v>
      </c>
      <c r="Z78" s="26">
        <f>Model!Z329/Model!V329-1</f>
        <v>0.10743801652892526</v>
      </c>
      <c r="AA78" s="26">
        <f>Model!AA329/Model!W329-1</f>
        <v>9.361702127659588E-2</v>
      </c>
      <c r="AB78" s="26">
        <f>Model!AB329/Model!X329-1</f>
        <v>0.13852813852813828</v>
      </c>
      <c r="AC78" s="26">
        <f>Model!AC329/Model!Y329-1</f>
        <v>3.5098039215686327E-2</v>
      </c>
      <c r="AD78" s="26">
        <f>Model!AD329/Model!Z329-1</f>
        <v>1.7091417910448659E-3</v>
      </c>
      <c r="AE78" s="26">
        <f>Model!AE329/Model!AA329-1</f>
        <v>6.8758719844357774E-2</v>
      </c>
      <c r="AF78" s="26">
        <f>Model!AF329/Model!AB329-1</f>
        <v>3.1718908326996198E-2</v>
      </c>
      <c r="AG78" s="26">
        <f>Model!AG329/Model!AC329-1</f>
        <v>4.0447272797499378E-2</v>
      </c>
      <c r="AH78" s="26">
        <f>Model!AH329/Model!AD329-1</f>
        <v>3.8320320510871086E-2</v>
      </c>
      <c r="AI78" s="26">
        <f>Model!AI329/Model!AE329-1</f>
        <v>3.835652200280637E-2</v>
      </c>
      <c r="AJ78" s="26"/>
      <c r="AK78" s="26"/>
      <c r="AL78" s="26"/>
      <c r="AM78" s="26"/>
      <c r="AN78" s="26"/>
      <c r="AO78" s="26"/>
      <c r="AP78" s="26"/>
      <c r="AQ78" s="26"/>
      <c r="AS78" s="334" t="s">
        <v>179</v>
      </c>
      <c r="AT78" s="321"/>
      <c r="AU78" s="256" t="s">
        <v>229</v>
      </c>
      <c r="AV78" s="26">
        <f>Model!AV329/Model!AU329-1</f>
        <v>0.14793467819404404</v>
      </c>
      <c r="AW78" s="26">
        <f>Model!AW329/Model!AV329-1</f>
        <v>7.5313807531380839E-3</v>
      </c>
      <c r="AX78" s="26">
        <f>Model!AX329/Model!AW329-1</f>
        <v>-0.12790697674418594</v>
      </c>
      <c r="AY78" s="26">
        <f>Model!AY329/Model!AX329-1</f>
        <v>-8.1904761904761814E-2</v>
      </c>
      <c r="AZ78" s="26">
        <f>Model!AZ329/Model!AY329-1</f>
        <v>4.875518672199175E-2</v>
      </c>
      <c r="BA78" s="26">
        <f>Model!BA329/Model!AZ329-1</f>
        <v>5.8436242334322319E-2</v>
      </c>
      <c r="BB78" s="26">
        <f>Model!BB329/Model!BA329-1</f>
        <v>3.7231785174687504E-2</v>
      </c>
      <c r="BC78" s="26">
        <f>Model!BC329/Model!BB329-1</f>
        <v>4.212143571750282E-2</v>
      </c>
      <c r="BD78" s="26">
        <f>Model!BD329/Model!BC329-1</f>
        <v>4.2137474028489219E-2</v>
      </c>
      <c r="BE78" s="26">
        <f>Model!BE329/Model!BD329-1</f>
        <v>4.215360044701022E-2</v>
      </c>
      <c r="BG78" s="23"/>
      <c r="BH78" s="23"/>
    </row>
    <row r="79" spans="1:269" s="70" customFormat="1" x14ac:dyDescent="0.2">
      <c r="A79" s="411"/>
      <c r="B79" s="334"/>
      <c r="C79" s="321"/>
      <c r="D79" s="1079"/>
      <c r="E79" s="26"/>
      <c r="F79" s="1079"/>
      <c r="G79" s="1079"/>
      <c r="H79" s="1079"/>
      <c r="I79" s="1079"/>
      <c r="J79" s="1079"/>
      <c r="K79" s="1079"/>
      <c r="L79" s="1079"/>
      <c r="M79" s="1079"/>
      <c r="N79" s="1079"/>
      <c r="O79" s="1079"/>
      <c r="P79" s="1079"/>
      <c r="Q79" s="1079"/>
      <c r="R79" s="1079"/>
      <c r="S79" s="1079"/>
      <c r="T79" s="1079"/>
      <c r="U79" s="1079"/>
      <c r="V79" s="1079"/>
      <c r="W79" s="1079"/>
      <c r="X79" s="1079"/>
      <c r="Y79" s="1215"/>
      <c r="Z79" s="1688"/>
      <c r="AA79" s="1742"/>
      <c r="AB79" s="1785"/>
      <c r="AC79" s="1079"/>
      <c r="AD79" s="1079"/>
      <c r="AE79" s="1079"/>
      <c r="AF79" s="1707"/>
      <c r="AG79" s="1707"/>
      <c r="AH79" s="1707"/>
      <c r="AI79" s="1707"/>
      <c r="AJ79" s="1740"/>
      <c r="AK79" s="1740"/>
      <c r="AL79" s="1740"/>
      <c r="AM79" s="1740"/>
      <c r="AN79" s="1740"/>
      <c r="AO79" s="1740"/>
      <c r="AP79" s="1740"/>
      <c r="AQ79" s="1740"/>
      <c r="AS79" s="334"/>
      <c r="AT79" s="321"/>
    </row>
    <row r="80" spans="1:269" s="70" customFormat="1" x14ac:dyDescent="0.2">
      <c r="A80" s="411"/>
      <c r="B80" s="175" t="s">
        <v>230</v>
      </c>
      <c r="C80" s="321"/>
      <c r="D80" s="1079"/>
      <c r="E80" s="1079"/>
      <c r="F80" s="1079"/>
      <c r="G80" s="1079"/>
      <c r="H80" s="1079"/>
      <c r="I80" s="1079"/>
      <c r="J80" s="1079"/>
      <c r="K80" s="1079"/>
      <c r="L80" s="1079"/>
      <c r="M80" s="1079"/>
      <c r="N80" s="1079"/>
      <c r="O80" s="1079"/>
      <c r="P80" s="1079"/>
      <c r="Q80" s="1079"/>
      <c r="R80" s="1079"/>
      <c r="S80" s="1079"/>
      <c r="T80" s="1079"/>
      <c r="U80" s="1079"/>
      <c r="V80" s="1079"/>
      <c r="W80" s="1079"/>
      <c r="X80" s="1079"/>
      <c r="Y80" s="1215"/>
      <c r="Z80" s="1688"/>
      <c r="AA80" s="1742"/>
      <c r="AB80" s="1785"/>
      <c r="AC80" s="1079"/>
      <c r="AD80" s="1079"/>
      <c r="AE80" s="1079"/>
      <c r="AF80" s="1707"/>
      <c r="AG80" s="1707"/>
      <c r="AH80" s="1707"/>
      <c r="AI80" s="1707"/>
      <c r="AJ80" s="1740"/>
      <c r="AK80" s="1740"/>
      <c r="AL80" s="1740"/>
      <c r="AM80" s="1740"/>
      <c r="AN80" s="1740"/>
      <c r="AO80" s="1740"/>
      <c r="AP80" s="1740"/>
      <c r="AQ80" s="1740"/>
      <c r="AS80" s="175" t="s">
        <v>230</v>
      </c>
      <c r="AT80" s="321"/>
    </row>
    <row r="81" spans="1:269" s="70" customFormat="1" x14ac:dyDescent="0.2">
      <c r="A81" s="411"/>
      <c r="B81" s="17" t="s">
        <v>495</v>
      </c>
      <c r="C81" s="321"/>
      <c r="D81" s="1079"/>
      <c r="E81" s="26"/>
      <c r="F81" s="26"/>
      <c r="G81" s="26"/>
      <c r="H81" s="26">
        <f>Model!H403/Model!D403-1</f>
        <v>2.049780380673516E-2</v>
      </c>
      <c r="I81" s="26">
        <f>Model!I403/Model!E403-1</f>
        <v>3.2738095238095344E-2</v>
      </c>
      <c r="J81" s="26">
        <f>Model!J403/Model!F403-1</f>
        <v>1.9005847953216248E-2</v>
      </c>
      <c r="K81" s="26">
        <f>Model!K403/Model!G403-1</f>
        <v>3.2951289398280847E-2</v>
      </c>
      <c r="L81" s="26">
        <f>Model!L403/Model!H403-1</f>
        <v>4.44763271162123E-2</v>
      </c>
      <c r="M81" s="26">
        <f>Model!M403/Model!I403-1</f>
        <v>9.2219020172910504E-2</v>
      </c>
      <c r="N81" s="26">
        <f>Model!N403/Model!J403-1</f>
        <v>8.8952654232424822E-2</v>
      </c>
      <c r="O81" s="26">
        <f>Model!O403/Model!K403-1</f>
        <v>3.0513176144244092E-2</v>
      </c>
      <c r="P81" s="26">
        <f>Model!P403/Model!L403-1</f>
        <v>-5.494505494505364E-3</v>
      </c>
      <c r="Q81" s="26">
        <f>Model!Q403/Model!M403-1</f>
        <v>-4.6174142480211122E-2</v>
      </c>
      <c r="R81" s="26">
        <f>Model!R403/Model!N403-1</f>
        <v>-8.1686429512516479E-2</v>
      </c>
      <c r="S81" s="26">
        <f>Model!S403/Model!O403-1</f>
        <v>-7.1332436069986516E-2</v>
      </c>
      <c r="T81" s="26">
        <f>Model!T403/Model!P403-1</f>
        <v>-6.7679558011049745E-2</v>
      </c>
      <c r="U81" s="26">
        <f>Model!U403/Model!Q403-1</f>
        <v>-6.639004149377592E-2</v>
      </c>
      <c r="V81" s="26">
        <f>Model!V403/Model!R403-1</f>
        <v>-2.5824964131994199E-2</v>
      </c>
      <c r="W81" s="26">
        <f>Model!W403/Model!S403-1</f>
        <v>-6.3768115942029024E-2</v>
      </c>
      <c r="X81" s="26">
        <f>Model!X403/Model!T403-1</f>
        <v>-3.5555555555555673E-2</v>
      </c>
      <c r="Y81" s="26">
        <f>Model!Y403/Model!U403-1</f>
        <v>-1.4814814814814836E-2</v>
      </c>
      <c r="Z81" s="26">
        <f>Model!Z403/Model!V403-1</f>
        <v>-7.3637702503681624E-3</v>
      </c>
      <c r="AA81" s="26">
        <f>Model!AA403/Model!W403-1</f>
        <v>6.5015479876161075E-2</v>
      </c>
      <c r="AB81" s="26">
        <f>Model!AB403/Model!X403-1</f>
        <v>8.6021505376344232E-2</v>
      </c>
      <c r="AC81" s="26">
        <f>Model!AC403/Model!Y403-1</f>
        <v>7.3789473684210405E-2</v>
      </c>
      <c r="AD81" s="26">
        <f>Model!AD403/Model!Z403-1</f>
        <v>7.5342804154302279E-2</v>
      </c>
      <c r="AE81" s="26">
        <f>Model!AE403/Model!AA403-1</f>
        <v>7.4530045058139205E-2</v>
      </c>
      <c r="AF81" s="26">
        <f>Model!AF403/Model!AB403-1</f>
        <v>5.0881264999999454E-2</v>
      </c>
      <c r="AG81" s="26">
        <f>Model!AG403/Model!AC403-1</f>
        <v>4.5678882499999407E-2</v>
      </c>
      <c r="AH81" s="26">
        <f>Model!AH403/Model!AD403-1</f>
        <v>3.7952191249999823E-2</v>
      </c>
      <c r="AI81" s="26">
        <f>Model!AI403/Model!AE403-1</f>
        <v>2.6758589187499737E-2</v>
      </c>
      <c r="AJ81" s="26"/>
      <c r="AK81" s="26"/>
      <c r="AL81" s="26"/>
      <c r="AM81" s="26"/>
      <c r="AN81" s="26"/>
      <c r="AO81" s="26"/>
      <c r="AP81" s="26"/>
      <c r="AQ81" s="26"/>
      <c r="AS81" s="17" t="s">
        <v>495</v>
      </c>
      <c r="AT81" s="321"/>
      <c r="AU81" s="256" t="s">
        <v>229</v>
      </c>
      <c r="AV81" s="26">
        <f>Model!AV403/Model!AU403-1</f>
        <v>2.6306174643770497E-2</v>
      </c>
      <c r="AW81" s="26">
        <f>Model!AW403/Model!AV403-1</f>
        <v>6.3723745105019658E-2</v>
      </c>
      <c r="AX81" s="26">
        <f>Model!AX403/Model!AW403-1</f>
        <v>-5.1539491298527529E-2</v>
      </c>
      <c r="AY81" s="26">
        <f>Model!AY403/Model!AX403-1</f>
        <v>-5.6104446012702813E-2</v>
      </c>
      <c r="AZ81" s="26">
        <f>Model!AZ403/Model!AY403-1</f>
        <v>1.1214953271028172E-3</v>
      </c>
      <c r="BA81" s="26">
        <f>Model!BA403/Model!AZ403-1</f>
        <v>7.7344182598954481E-2</v>
      </c>
      <c r="BB81" s="26">
        <f>Model!BB403/Model!BA403-1</f>
        <v>4.0164600997551814E-2</v>
      </c>
      <c r="BC81" s="26">
        <f>Model!BC403/Model!BB403-1</f>
        <v>4.0000000000000036E-2</v>
      </c>
      <c r="BD81" s="26">
        <f>Model!BD403/Model!BC403-1</f>
        <v>5.0000000000000044E-2</v>
      </c>
      <c r="BE81" s="26">
        <f>Model!BE403/Model!BD403-1</f>
        <v>5.0000000000000044E-2</v>
      </c>
      <c r="BG81" s="1714"/>
      <c r="BH81" s="1710"/>
    </row>
    <row r="82" spans="1:269" s="70" customFormat="1" x14ac:dyDescent="0.2">
      <c r="A82" s="411"/>
      <c r="B82" s="17" t="s">
        <v>496</v>
      </c>
      <c r="C82" s="334"/>
      <c r="D82" s="1079"/>
      <c r="E82" s="26"/>
      <c r="F82" s="26"/>
      <c r="G82" s="26"/>
      <c r="H82" s="26">
        <f>Model!H402/Model!D402-1</f>
        <v>-1.6913319238900604E-2</v>
      </c>
      <c r="I82" s="26">
        <f>Model!I402/Model!E402-1</f>
        <v>-4.1845493562231773E-2</v>
      </c>
      <c r="J82" s="26">
        <f>Model!J402/Model!F402-1</f>
        <v>-0.10344827586206906</v>
      </c>
      <c r="K82" s="26">
        <f>Model!K402/Model!G402-1</f>
        <v>-6.8783068783068835E-2</v>
      </c>
      <c r="L82" s="26">
        <f>Model!L402/Model!H402-1</f>
        <v>-5.2688172043010795E-2</v>
      </c>
      <c r="M82" s="26">
        <f>Model!M402/Model!I402-1</f>
        <v>2.015677491601342E-2</v>
      </c>
      <c r="N82" s="26">
        <f>Model!N402/Model!J402-1</f>
        <v>5.9440559440559593E-2</v>
      </c>
      <c r="O82" s="26">
        <f>Model!O402/Model!K402-1</f>
        <v>0</v>
      </c>
      <c r="P82" s="26">
        <f>Model!P402/Model!L402-1</f>
        <v>1.1350737797957144E-3</v>
      </c>
      <c r="Q82" s="26">
        <f>Model!Q402/Model!M402-1</f>
        <v>-1.9758507135016479E-2</v>
      </c>
      <c r="R82" s="26">
        <f>Model!R402/Model!N402-1</f>
        <v>-4.9504950495049549E-2</v>
      </c>
      <c r="S82" s="26">
        <f>Model!S402/Model!O402-1</f>
        <v>-1.4772727272727271E-2</v>
      </c>
      <c r="T82" s="26">
        <f>Model!T402/Model!P402-1</f>
        <v>-1.1337868480725599E-2</v>
      </c>
      <c r="U82" s="26">
        <f>Model!U402/Model!Q402-1</f>
        <v>1.1198208286675726E-3</v>
      </c>
      <c r="V82" s="26">
        <f>Model!V402/Model!R402-1</f>
        <v>6.0185185185185119E-2</v>
      </c>
      <c r="W82" s="26">
        <f>Model!W402/Model!S402-1</f>
        <v>3.6908881199538612E-2</v>
      </c>
      <c r="X82" s="26">
        <f>Model!X402/Model!T402-1</f>
        <v>6.3073394495412938E-2</v>
      </c>
      <c r="Y82" s="26">
        <f>Model!Y402/Model!U402-1</f>
        <v>5.4809843400447367E-2</v>
      </c>
      <c r="Z82" s="26">
        <f>Model!Z402/Model!V402-1</f>
        <v>3.9301310043668325E-2</v>
      </c>
      <c r="AA82" s="26">
        <f>Model!AA402/Model!W402-1</f>
        <v>6.7853170189098977E-2</v>
      </c>
      <c r="AB82" s="26">
        <f>Model!AB402/Model!X402-1</f>
        <v>6.9039913700107869E-2</v>
      </c>
      <c r="AC82" s="26">
        <f>Model!AC402/Model!Y402-1</f>
        <v>6.1410392364793287E-2</v>
      </c>
      <c r="AD82" s="26">
        <f>Model!AD402/Model!Z402-1</f>
        <v>6.1889810924369737E-2</v>
      </c>
      <c r="AE82" s="26">
        <f>Model!AE402/Model!AA402-1</f>
        <v>6.3571136458333344E-2</v>
      </c>
      <c r="AF82" s="26">
        <f>Model!AF402/Model!AB402-1</f>
        <v>4.0604010000000024E-2</v>
      </c>
      <c r="AG82" s="26">
        <f>Model!AG402/Model!AC402-1</f>
        <v>4.0604010000000024E-2</v>
      </c>
      <c r="AH82" s="26">
        <f>Model!AH402/Model!AD402-1</f>
        <v>4.0604010000000024E-2</v>
      </c>
      <c r="AI82" s="26">
        <f>Model!AI402/Model!AE402-1</f>
        <v>3.8543408000000223E-2</v>
      </c>
      <c r="AJ82" s="26"/>
      <c r="AK82" s="26"/>
      <c r="AL82" s="26"/>
      <c r="AM82" s="26"/>
      <c r="AN82" s="26"/>
      <c r="AO82" s="26"/>
      <c r="AP82" s="26"/>
      <c r="AQ82" s="26"/>
      <c r="AS82" s="17" t="s">
        <v>496</v>
      </c>
      <c r="AT82" s="334"/>
      <c r="AU82" s="256" t="s">
        <v>229</v>
      </c>
      <c r="AV82" s="26">
        <f>Model!AV402/Model!AU402-1</f>
        <v>-5.7936507936507842E-2</v>
      </c>
      <c r="AW82" s="26">
        <f>Model!AW402/Model!AV402-1</f>
        <v>5.6163998876719301E-3</v>
      </c>
      <c r="AX82" s="26">
        <f>Model!AX402/Model!AW402-1</f>
        <v>-2.0943870427255096E-2</v>
      </c>
      <c r="AY82" s="26">
        <f>Model!AY402/Model!AX402-1</f>
        <v>2.1391899600684772E-2</v>
      </c>
      <c r="AZ82" s="26">
        <f>Model!AZ402/Model!AY402-1</f>
        <v>5.6129572745043266E-2</v>
      </c>
      <c r="BA82" s="26">
        <f>Model!BA402/Model!AZ402-1</f>
        <v>6.3949601004759327E-2</v>
      </c>
      <c r="BB82" s="26">
        <f>Model!BB402/Model!BA402-1</f>
        <v>4.0081145312201638E-2</v>
      </c>
      <c r="BC82" s="26">
        <f>Model!BC402/Model!BB402-1</f>
        <v>5.0000000000000044E-2</v>
      </c>
      <c r="BD82" s="26">
        <f>Model!BD402/Model!BC402-1</f>
        <v>5.0000000000000044E-2</v>
      </c>
      <c r="BE82" s="26">
        <f>Model!BE402/Model!BD402-1</f>
        <v>5.0000000000000044E-2</v>
      </c>
      <c r="BG82" s="1714"/>
      <c r="BH82" s="1710"/>
    </row>
    <row r="83" spans="1:269" s="70" customFormat="1" x14ac:dyDescent="0.2">
      <c r="A83" s="411"/>
      <c r="B83" s="17"/>
      <c r="C83" s="334"/>
      <c r="D83" s="1079"/>
      <c r="E83" s="26"/>
      <c r="F83" s="26"/>
      <c r="G83" s="26"/>
      <c r="H83" s="26"/>
      <c r="I83" s="26"/>
      <c r="J83" s="26"/>
      <c r="K83" s="26"/>
      <c r="L83" s="26"/>
      <c r="M83" s="26"/>
      <c r="N83" s="26"/>
      <c r="O83" s="26"/>
      <c r="P83" s="26"/>
      <c r="Q83" s="26"/>
      <c r="R83" s="26"/>
      <c r="S83" s="26"/>
      <c r="T83" s="26"/>
      <c r="U83" s="26"/>
      <c r="V83" s="26"/>
      <c r="W83" s="26"/>
      <c r="X83" s="26"/>
      <c r="Y83" s="26"/>
      <c r="Z83" s="26"/>
      <c r="AA83" s="26"/>
      <c r="AB83" s="26"/>
      <c r="AC83" s="26"/>
      <c r="AD83" s="26"/>
      <c r="AE83" s="26"/>
      <c r="AF83" s="26"/>
      <c r="AG83" s="26"/>
      <c r="AH83" s="26"/>
      <c r="AI83" s="26"/>
      <c r="AJ83" s="26"/>
      <c r="AK83" s="26"/>
      <c r="AL83" s="26"/>
      <c r="AM83" s="26"/>
      <c r="AN83" s="26"/>
      <c r="AO83" s="26"/>
      <c r="AP83" s="26"/>
      <c r="AQ83" s="26"/>
      <c r="AS83" s="17"/>
      <c r="AT83" s="334"/>
      <c r="AV83" s="26"/>
      <c r="AW83" s="26"/>
      <c r="AX83" s="26"/>
      <c r="AY83" s="26"/>
      <c r="AZ83" s="26"/>
      <c r="BA83" s="26"/>
      <c r="BB83" s="26"/>
      <c r="BC83" s="26"/>
      <c r="BD83" s="26"/>
      <c r="BE83" s="26"/>
      <c r="BG83" s="15"/>
      <c r="BH83" s="15"/>
    </row>
    <row r="84" spans="1:269" s="70" customFormat="1" x14ac:dyDescent="0.2">
      <c r="A84" s="411"/>
      <c r="B84" s="334" t="s">
        <v>499</v>
      </c>
      <c r="C84" s="321"/>
      <c r="D84" s="1079"/>
      <c r="E84" s="26"/>
      <c r="F84" s="26"/>
      <c r="G84" s="26"/>
      <c r="H84" s="26">
        <f>Model!H405/Model!D405-1</f>
        <v>9.9009900990099098E-3</v>
      </c>
      <c r="I84" s="26">
        <f>Model!I405/Model!E405-1</f>
        <v>5.1020408163264808E-3</v>
      </c>
      <c r="J84" s="26">
        <f>Model!J405/Model!F405-1</f>
        <v>-7.0351758793969821E-2</v>
      </c>
      <c r="K84" s="26">
        <f>Model!K405/Model!G405-1</f>
        <v>-6.4039408866995107E-2</v>
      </c>
      <c r="L84" s="26">
        <f>Model!L405/Model!H405-1</f>
        <v>-7.3529411764705843E-2</v>
      </c>
      <c r="M84" s="26">
        <f>Model!M405/Model!I405-1</f>
        <v>-2.5380710659898442E-2</v>
      </c>
      <c r="N84" s="26">
        <f>Model!N405/Model!J405-1</f>
        <v>3.7837837837837895E-2</v>
      </c>
      <c r="O84" s="26">
        <f>Model!O405/Model!K405-1</f>
        <v>-2.1052631578947323E-2</v>
      </c>
      <c r="P84" s="26">
        <f>Model!P405/Model!L405-1</f>
        <v>-4.7619047619047561E-2</v>
      </c>
      <c r="Q84" s="26">
        <f>Model!Q405/Model!M405-1</f>
        <v>-6.25E-2</v>
      </c>
      <c r="R84" s="26">
        <f>Model!R405/Model!N405-1</f>
        <v>-0.10937499999999989</v>
      </c>
      <c r="S84" s="26">
        <f>Model!S405/Model!O405-1</f>
        <v>-6.9892473118279619E-2</v>
      </c>
      <c r="T84" s="26">
        <f>Model!T405/Model!P405-1</f>
        <v>-3.3333333333333437E-2</v>
      </c>
      <c r="U84" s="26">
        <f>Model!U405/Model!Q405-1</f>
        <v>-3.3333333333333437E-2</v>
      </c>
      <c r="V84" s="26">
        <f>Model!V405/Model!R405-1</f>
        <v>2.9239766081871288E-2</v>
      </c>
      <c r="W84" s="26">
        <f>Model!W405/Model!S405-1</f>
        <v>0</v>
      </c>
      <c r="X84" s="26">
        <f>Model!X405/Model!T405-1</f>
        <v>4.0229885057471382E-2</v>
      </c>
      <c r="Y84" s="26">
        <f>Model!Y405/Model!U405-1</f>
        <v>5.7471264367816133E-2</v>
      </c>
      <c r="Z84" s="26">
        <f>Model!Z405/Model!V405-1</f>
        <v>6.8181818181818121E-2</v>
      </c>
      <c r="AA84" s="26">
        <f>Model!AA405/Model!W405-1</f>
        <v>0.10404624277456653</v>
      </c>
      <c r="AB84" s="26">
        <f>Model!AB405/Model!X405-1</f>
        <v>8.287292817679548E-2</v>
      </c>
      <c r="AC84" s="26">
        <f>Model!AC405/Model!Y405-1</f>
        <v>7.5869565217391521E-2</v>
      </c>
      <c r="AD84" s="26">
        <f>Model!AD405/Model!Z405-1</f>
        <v>6.3508510638297988E-2</v>
      </c>
      <c r="AE84" s="26">
        <f>Model!AE405/Model!AA405-1</f>
        <v>6.7740272251309186E-2</v>
      </c>
      <c r="AF84" s="26">
        <f>Model!AF405/Model!AB405-1</f>
        <v>5.0907020000000358E-2</v>
      </c>
      <c r="AG84" s="26">
        <f>Model!AG405/Model!AC405-1</f>
        <v>4.050200000000026E-2</v>
      </c>
      <c r="AH84" s="26">
        <f>Model!AH405/Model!AD405-1</f>
        <v>5.0804000000000293E-2</v>
      </c>
      <c r="AI84" s="26">
        <f>Model!AI405/Model!AE405-1</f>
        <v>6.1106000000000105E-2</v>
      </c>
      <c r="AJ84" s="26"/>
      <c r="AK84" s="26"/>
      <c r="AL84" s="26"/>
      <c r="AM84" s="26"/>
      <c r="AN84" s="26"/>
      <c r="AO84" s="26"/>
      <c r="AP84" s="26"/>
      <c r="AQ84" s="26"/>
      <c r="AS84" s="334" t="s">
        <v>499</v>
      </c>
      <c r="AT84" s="321"/>
      <c r="AU84" s="256" t="s">
        <v>229</v>
      </c>
      <c r="AV84" s="26">
        <f>Model!AV405/Model!AU405-1</f>
        <v>-3.0000000000000027E-2</v>
      </c>
      <c r="AW84" s="26">
        <f>Model!AW405/Model!AV405-1</f>
        <v>-2.1907216494845172E-2</v>
      </c>
      <c r="AX84" s="26">
        <f>Model!AX405/Model!AW405-1</f>
        <v>-7.2463768115942018E-2</v>
      </c>
      <c r="AY84" s="26">
        <f>Model!AY405/Model!AX405-1</f>
        <v>-9.9431818181818787E-3</v>
      </c>
      <c r="AZ84" s="26">
        <f>Model!AZ405/Model!AY405-1</f>
        <v>6.7431850789096082E-2</v>
      </c>
      <c r="BA84" s="26">
        <f>Model!BA405/Model!AZ405-1</f>
        <v>7.2362892473118334E-2</v>
      </c>
      <c r="BB84" s="26">
        <f>Model!BB405/Model!BA405-1</f>
        <v>5.090650366014704E-2</v>
      </c>
      <c r="BC84" s="26">
        <f>Model!BC405/Model!BB405-1</f>
        <v>5.0000000000000044E-2</v>
      </c>
      <c r="BD84" s="26">
        <f>Model!BD405/Model!BC405-1</f>
        <v>5.0000000000000044E-2</v>
      </c>
      <c r="BE84" s="26">
        <f>Model!BE405/Model!BD405-1</f>
        <v>5.0000000000000044E-2</v>
      </c>
      <c r="BG84" s="1714"/>
      <c r="BH84" s="1710"/>
    </row>
    <row r="85" spans="1:269" s="70" customFormat="1" x14ac:dyDescent="0.2">
      <c r="A85" s="411"/>
      <c r="B85" s="334"/>
      <c r="C85" s="321"/>
      <c r="D85" s="1079"/>
      <c r="E85" s="26"/>
      <c r="F85" s="26"/>
      <c r="G85" s="26"/>
      <c r="H85" s="26"/>
      <c r="I85" s="26"/>
      <c r="J85" s="26"/>
      <c r="K85" s="26"/>
      <c r="L85" s="26"/>
      <c r="M85" s="26"/>
      <c r="N85" s="26"/>
      <c r="O85" s="26"/>
      <c r="P85" s="26"/>
      <c r="Q85" s="26"/>
      <c r="R85" s="26"/>
      <c r="S85" s="26"/>
      <c r="T85" s="26"/>
      <c r="U85" s="26"/>
      <c r="V85" s="26"/>
      <c r="W85" s="26"/>
      <c r="X85" s="26"/>
      <c r="Y85" s="26"/>
      <c r="Z85" s="26"/>
      <c r="AA85" s="26"/>
      <c r="AB85" s="26"/>
      <c r="AC85" s="26"/>
      <c r="AD85" s="26"/>
      <c r="AE85" s="26"/>
      <c r="AF85" s="26"/>
      <c r="AG85" s="26"/>
      <c r="AH85" s="26"/>
      <c r="AI85" s="26"/>
      <c r="AJ85" s="26"/>
      <c r="AK85" s="26"/>
      <c r="AL85" s="26"/>
      <c r="AM85" s="26"/>
      <c r="AN85" s="26"/>
      <c r="AO85" s="26"/>
      <c r="AP85" s="26"/>
      <c r="AQ85" s="26"/>
      <c r="AS85" s="334"/>
      <c r="AT85" s="321"/>
      <c r="AV85" s="26"/>
      <c r="AW85" s="26"/>
      <c r="AX85" s="26"/>
      <c r="AY85" s="26"/>
      <c r="AZ85" s="26"/>
      <c r="BA85" s="26"/>
      <c r="BB85" s="26"/>
      <c r="BC85" s="26"/>
      <c r="BD85" s="26"/>
      <c r="BE85" s="26"/>
      <c r="BG85" s="15"/>
      <c r="BH85" s="15"/>
    </row>
    <row r="86" spans="1:269" s="70" customFormat="1" x14ac:dyDescent="0.2">
      <c r="A86" s="411"/>
      <c r="B86" s="334" t="s">
        <v>230</v>
      </c>
      <c r="C86" s="321"/>
      <c r="D86" s="1079"/>
      <c r="E86" s="26"/>
      <c r="F86" s="26"/>
      <c r="G86" s="26"/>
      <c r="H86" s="26">
        <f>Model!H407/Model!D407-1</f>
        <v>1.8079096045197751E-2</v>
      </c>
      <c r="I86" s="26">
        <f>Model!I407/Model!E407-1</f>
        <v>2.6497695852534475E-2</v>
      </c>
      <c r="J86" s="26">
        <f>Model!J407/Model!F407-1</f>
        <v>-1.1325028312572094E-3</v>
      </c>
      <c r="K86" s="26">
        <f>Model!K407/Model!G407-1</f>
        <v>1.1098779134295134E-2</v>
      </c>
      <c r="L86" s="26">
        <f>Model!L407/Model!H407-1</f>
        <v>1.7758046614872347E-2</v>
      </c>
      <c r="M86" s="26">
        <f>Model!M407/Model!I407-1</f>
        <v>6.6217732884399361E-2</v>
      </c>
      <c r="N86" s="26">
        <f>Model!N407/Model!J407-1</f>
        <v>7.8231292517006779E-2</v>
      </c>
      <c r="O86" s="26">
        <f>Model!O407/Model!K407-1</f>
        <v>1.975850713501659E-2</v>
      </c>
      <c r="P86" s="26">
        <f>Model!P407/Model!L407-1</f>
        <v>-1.4176663031624681E-2</v>
      </c>
      <c r="Q86" s="26">
        <f>Model!Q407/Model!M407-1</f>
        <v>-4.9473684210526336E-2</v>
      </c>
      <c r="R86" s="26">
        <f>Model!R407/Model!N407-1</f>
        <v>-8.7276550998948488E-2</v>
      </c>
      <c r="S86" s="26">
        <f>Model!S407/Model!O407-1</f>
        <v>-7.1044133476856897E-2</v>
      </c>
      <c r="T86" s="26">
        <f>Model!T407/Model!P407-1</f>
        <v>-6.0840707964601726E-2</v>
      </c>
      <c r="U86" s="26">
        <f>Model!U407/Model!Q407-1</f>
        <v>-5.980066445182719E-2</v>
      </c>
      <c r="V86" s="26">
        <f>Model!V407/Model!R407-1</f>
        <v>-1.4976958525345752E-2</v>
      </c>
      <c r="W86" s="26">
        <f>Model!W407/Model!S407-1</f>
        <v>-5.0984936268829717E-2</v>
      </c>
      <c r="X86" s="26">
        <f>Model!X407/Model!T407-1</f>
        <v>-2.0023557126030878E-2</v>
      </c>
      <c r="Y86" s="26">
        <f>Model!Y407/Model!U407-1</f>
        <v>0</v>
      </c>
      <c r="Z86" s="26">
        <f>Model!Z407/Model!V407-1</f>
        <v>8.1871345029240761E-3</v>
      </c>
      <c r="AA86" s="26">
        <f>Model!AA407/Model!W407-1</f>
        <v>7.3260073260073444E-2</v>
      </c>
      <c r="AB86" s="26">
        <f>Model!AB407/Model!X407-1</f>
        <v>8.5336538461538769E-2</v>
      </c>
      <c r="AC86" s="26">
        <f>Model!AC407/Model!Y407-1</f>
        <v>7.4240282685512415E-2</v>
      </c>
      <c r="AD86" s="26">
        <f>Model!AD407/Model!Z407-1</f>
        <v>7.2761774941995094E-2</v>
      </c>
      <c r="AE86" s="26">
        <f>Model!AE407/Model!AA407-1</f>
        <v>7.3054679180887039E-2</v>
      </c>
      <c r="AF86" s="26">
        <f>Model!AF407/Model!AB407-1</f>
        <v>5.0886855232557648E-2</v>
      </c>
      <c r="AG86" s="26">
        <f>Model!AG407/Model!AC407-1</f>
        <v>4.4555218081394843E-2</v>
      </c>
      <c r="AH86" s="26">
        <f>Model!AH407/Model!AD407-1</f>
        <v>4.0730960709459252E-2</v>
      </c>
      <c r="AI86" s="26">
        <f>Model!AI407/Model!AE407-1</f>
        <v>3.4185056390202417E-2</v>
      </c>
      <c r="AJ86" s="26"/>
      <c r="AK86" s="26"/>
      <c r="AL86" s="26"/>
      <c r="AM86" s="26"/>
      <c r="AN86" s="26"/>
      <c r="AO86" s="26"/>
      <c r="AP86" s="26"/>
      <c r="AQ86" s="26"/>
      <c r="AS86" s="334" t="s">
        <v>230</v>
      </c>
      <c r="AT86" s="321"/>
      <c r="AU86" s="256" t="s">
        <v>229</v>
      </c>
      <c r="AV86" s="26">
        <f>Model!AV407/Model!AU407-1</f>
        <v>1.3570822731127974E-2</v>
      </c>
      <c r="AW86" s="26">
        <f>Model!AW407/Model!AV407-1</f>
        <v>4.5188284518828503E-2</v>
      </c>
      <c r="AX86" s="26">
        <f>Model!AX407/Model!AW407-1</f>
        <v>-5.5777955697891679E-2</v>
      </c>
      <c r="AY86" s="26">
        <f>Model!AY407/Model!AX407-1</f>
        <v>-4.6919163369135153E-2</v>
      </c>
      <c r="AZ86" s="26">
        <f>Model!AZ407/Model!AY407-1</f>
        <v>1.4827995255041637E-2</v>
      </c>
      <c r="BA86" s="26">
        <f>Model!BA407/Model!AZ407-1</f>
        <v>7.626116686148432E-2</v>
      </c>
      <c r="BB86" s="26">
        <f>Model!BB407/Model!BA407-1</f>
        <v>4.2491610999391582E-2</v>
      </c>
      <c r="BC86" s="26">
        <f>Model!BC407/Model!BB407-1</f>
        <v>4.2183778309934139E-2</v>
      </c>
      <c r="BD86" s="26">
        <f>Model!BD407/Model!BC407-1</f>
        <v>5.0000000000000044E-2</v>
      </c>
      <c r="BE86" s="26">
        <f>Model!BE407/Model!BD407-1</f>
        <v>5.0000000000000044E-2</v>
      </c>
      <c r="BG86" s="23"/>
      <c r="BH86" s="23"/>
    </row>
    <row r="87" spans="1:269" s="70" customFormat="1" x14ac:dyDescent="0.2">
      <c r="A87" s="411"/>
      <c r="B87" s="334"/>
      <c r="C87" s="321"/>
      <c r="D87" s="1079"/>
      <c r="E87" s="26"/>
      <c r="F87" s="26"/>
      <c r="G87" s="26"/>
      <c r="H87" s="26"/>
      <c r="I87" s="26"/>
      <c r="J87" s="26"/>
      <c r="K87" s="26"/>
      <c r="L87" s="26"/>
      <c r="M87" s="26"/>
      <c r="N87" s="26"/>
      <c r="O87" s="26"/>
      <c r="P87" s="26"/>
      <c r="Q87" s="26"/>
      <c r="R87" s="26"/>
      <c r="S87" s="26"/>
      <c r="T87" s="26"/>
      <c r="U87" s="26"/>
      <c r="V87" s="26"/>
      <c r="W87" s="26"/>
      <c r="X87" s="26"/>
      <c r="Y87" s="26"/>
      <c r="Z87" s="26"/>
      <c r="AA87" s="26"/>
      <c r="AB87" s="26"/>
      <c r="AC87" s="26"/>
      <c r="AD87" s="26"/>
      <c r="AE87" s="26"/>
      <c r="AF87" s="26"/>
      <c r="AG87" s="26"/>
      <c r="AH87" s="26"/>
      <c r="AI87" s="26"/>
      <c r="AJ87" s="26"/>
      <c r="AK87" s="26"/>
      <c r="AL87" s="26"/>
      <c r="AM87" s="26"/>
      <c r="AN87" s="26"/>
      <c r="AO87" s="26"/>
      <c r="AP87" s="26"/>
      <c r="AQ87" s="26"/>
      <c r="AS87" s="334"/>
      <c r="AT87" s="321"/>
      <c r="AU87" s="256"/>
      <c r="AV87" s="26"/>
      <c r="AW87" s="26"/>
      <c r="AX87" s="26"/>
      <c r="AY87" s="26"/>
      <c r="AZ87" s="26"/>
      <c r="BA87" s="26"/>
      <c r="BB87" s="26"/>
      <c r="BC87" s="26"/>
      <c r="BD87" s="26"/>
      <c r="BE87" s="26"/>
      <c r="BG87" s="23"/>
      <c r="BH87" s="23"/>
    </row>
    <row r="88" spans="1:269" s="369" customFormat="1" x14ac:dyDescent="0.2">
      <c r="A88" s="411"/>
      <c r="B88" s="337" t="s">
        <v>676</v>
      </c>
      <c r="C88" s="366"/>
      <c r="D88" s="367"/>
      <c r="E88" s="367"/>
      <c r="F88" s="367"/>
      <c r="G88" s="367"/>
      <c r="H88" s="367"/>
      <c r="I88" s="367"/>
      <c r="J88" s="367"/>
      <c r="K88" s="367"/>
      <c r="L88" s="367"/>
      <c r="M88" s="367"/>
      <c r="N88" s="367"/>
      <c r="O88" s="367"/>
      <c r="P88" s="367"/>
      <c r="Q88" s="367"/>
      <c r="R88" s="367"/>
      <c r="S88" s="367"/>
      <c r="T88" s="367"/>
      <c r="U88" s="367"/>
      <c r="V88" s="367"/>
      <c r="W88" s="367"/>
      <c r="X88" s="367"/>
      <c r="Y88" s="367"/>
      <c r="Z88" s="367"/>
      <c r="AA88" s="367"/>
      <c r="AB88" s="367"/>
      <c r="AC88" s="367"/>
      <c r="AD88" s="367"/>
      <c r="AE88" s="367"/>
      <c r="AF88" s="367"/>
      <c r="AG88" s="367"/>
      <c r="AH88" s="367"/>
      <c r="AI88" s="367"/>
      <c r="AJ88" s="367"/>
      <c r="AK88" s="367"/>
      <c r="AL88" s="367"/>
      <c r="AM88" s="367"/>
      <c r="AN88" s="367"/>
      <c r="AO88" s="367"/>
      <c r="AP88" s="367"/>
      <c r="AQ88" s="367"/>
      <c r="AR88" s="70"/>
      <c r="AS88" s="337" t="s">
        <v>553</v>
      </c>
      <c r="AT88" s="366"/>
      <c r="AU88" s="12"/>
      <c r="AV88" s="12"/>
      <c r="AW88" s="12"/>
      <c r="AX88" s="12"/>
      <c r="AY88" s="12"/>
      <c r="AZ88" s="12"/>
      <c r="BA88" s="12"/>
      <c r="BB88" s="12"/>
      <c r="BC88" s="12"/>
      <c r="BD88" s="12"/>
      <c r="BE88" s="12"/>
      <c r="BG88" s="15"/>
      <c r="BH88" s="15"/>
    </row>
    <row r="89" spans="1:269" s="70" customFormat="1" x14ac:dyDescent="0.2">
      <c r="A89" s="411"/>
      <c r="B89" s="175" t="s">
        <v>178</v>
      </c>
      <c r="C89" s="9"/>
      <c r="D89" s="9"/>
      <c r="E89" s="9"/>
      <c r="F89" s="9"/>
      <c r="G89" s="9"/>
      <c r="H89" s="9"/>
      <c r="I89" s="9"/>
      <c r="J89" s="9"/>
      <c r="K89" s="9"/>
      <c r="L89" s="9"/>
      <c r="M89" s="9"/>
      <c r="N89" s="9"/>
      <c r="O89" s="9"/>
      <c r="P89" s="9"/>
      <c r="Q89" s="23"/>
      <c r="R89" s="9"/>
      <c r="S89" s="9"/>
      <c r="T89" s="23"/>
      <c r="U89" s="23"/>
      <c r="V89" s="23"/>
      <c r="W89" s="23"/>
      <c r="X89" s="23"/>
      <c r="Y89" s="23"/>
      <c r="Z89" s="23"/>
      <c r="AA89" s="23"/>
      <c r="AB89" s="23"/>
      <c r="AC89" s="9"/>
      <c r="AD89" s="9"/>
      <c r="AE89" s="9"/>
      <c r="AF89" s="1707"/>
      <c r="AG89" s="1707"/>
      <c r="AH89" s="1707"/>
      <c r="AI89" s="1707"/>
      <c r="AJ89" s="1740"/>
      <c r="AK89" s="1740"/>
      <c r="AL89" s="1740"/>
      <c r="AM89" s="1740"/>
      <c r="AN89" s="1740"/>
      <c r="AO89" s="1740"/>
      <c r="AP89" s="1740"/>
      <c r="AQ89" s="1740"/>
      <c r="AS89" s="175" t="s">
        <v>178</v>
      </c>
      <c r="AT89" s="9"/>
    </row>
    <row r="90" spans="1:269" s="70" customFormat="1" x14ac:dyDescent="0.2">
      <c r="A90" s="411"/>
      <c r="B90" s="334" t="s">
        <v>492</v>
      </c>
      <c r="C90" s="321"/>
      <c r="D90" s="9"/>
      <c r="E90" s="23"/>
      <c r="F90" s="23"/>
      <c r="G90" s="23"/>
      <c r="H90" s="23">
        <f>Model!H243/Model!D243-1</f>
        <v>0</v>
      </c>
      <c r="I90" s="23">
        <f>Model!I243/Model!E243-1</f>
        <v>2.6960784313725616E-2</v>
      </c>
      <c r="J90" s="23">
        <f>Model!J243/Model!F243-1</f>
        <v>3.473945409429291E-2</v>
      </c>
      <c r="K90" s="23">
        <f>Model!K243/Model!G243-1</f>
        <v>4.3269230769230616E-2</v>
      </c>
      <c r="L90" s="23">
        <f>Model!L243/Model!H243-1</f>
        <v>3.6649214659685736E-2</v>
      </c>
      <c r="M90" s="23">
        <f>Model!M243/Model!I243-1</f>
        <v>4.7732696897374804E-2</v>
      </c>
      <c r="N90" s="23">
        <f>Model!N243/Model!J243-1</f>
        <v>3.8369304556354678E-2</v>
      </c>
      <c r="O90" s="23">
        <f>Model!O243/Model!K243-1</f>
        <v>3.9170506912442393E-2</v>
      </c>
      <c r="P90" s="23">
        <f>Model!P243/Model!L243-1</f>
        <v>3.2828282828282651E-2</v>
      </c>
      <c r="Q90" s="23">
        <f>Model!Q243/Model!M243-1</f>
        <v>5.0113895216401083E-2</v>
      </c>
      <c r="R90" s="23">
        <f>Model!R243/Model!N243-1</f>
        <v>7.621247113163987E-2</v>
      </c>
      <c r="S90" s="23">
        <f>Model!S243/Model!O243-1</f>
        <v>8.6474501108647406E-2</v>
      </c>
      <c r="T90" s="23">
        <f>Model!T243/Model!P243-1</f>
        <v>0.12224938875305624</v>
      </c>
      <c r="U90" s="23">
        <f>Model!U243/Model!Q243-1</f>
        <v>0.15184381778741862</v>
      </c>
      <c r="V90" s="23">
        <f>Model!V243/Model!R243-1</f>
        <v>0.56866952789699554</v>
      </c>
      <c r="W90" s="23">
        <f>Model!W243/Model!S243-1</f>
        <v>0.6020408163265305</v>
      </c>
      <c r="X90" s="23">
        <f>Model!X243/Model!T243-1</f>
        <v>0.579520697167756</v>
      </c>
      <c r="Y90" s="23">
        <f>Model!Y243/Model!U243-1</f>
        <v>0.51600753295668556</v>
      </c>
      <c r="Z90" s="23">
        <f>Model!Z243/Model!V243-1</f>
        <v>9.9863201094391396E-2</v>
      </c>
      <c r="AA90" s="23">
        <f>Model!AA243/Model!W243-1</f>
        <v>9.9363057324840742E-2</v>
      </c>
      <c r="AB90" s="23">
        <f>Model!AB243/Model!X243-1</f>
        <v>8.4137931034482749E-2</v>
      </c>
      <c r="AC90" s="335">
        <v>0.08</v>
      </c>
      <c r="AD90" s="335">
        <v>0.08</v>
      </c>
      <c r="AE90" s="335">
        <v>0.08</v>
      </c>
      <c r="AF90" s="335">
        <v>7.0000000000000007E-2</v>
      </c>
      <c r="AG90" s="335">
        <v>7.0000000000000007E-2</v>
      </c>
      <c r="AH90" s="335">
        <v>7.0000000000000007E-2</v>
      </c>
      <c r="AI90" s="335">
        <v>7.0000000000000007E-2</v>
      </c>
      <c r="AJ90" s="335"/>
      <c r="AK90" s="335"/>
      <c r="AL90" s="335"/>
      <c r="AM90" s="335"/>
      <c r="AN90" s="335"/>
      <c r="AO90" s="335"/>
      <c r="AP90" s="335"/>
      <c r="AQ90" s="335"/>
      <c r="AS90" s="334" t="s">
        <v>492</v>
      </c>
      <c r="AT90" s="321"/>
      <c r="AU90" s="256" t="s">
        <v>229</v>
      </c>
      <c r="AV90" s="23">
        <f>Model!AV243/Model!AU243-1</f>
        <v>2.672467371037901E-2</v>
      </c>
      <c r="AW90" s="23">
        <f>Model!AW243/Model!AV243-1</f>
        <v>4.0556900726392398E-2</v>
      </c>
      <c r="AX90" s="23">
        <f>Model!AX243/Model!AW243-1</f>
        <v>6.2245491564863142E-2</v>
      </c>
      <c r="AY90" s="23">
        <f>Model!AY243/Model!AX243-1</f>
        <v>0.37239868565169765</v>
      </c>
      <c r="AZ90" s="23">
        <f>Model!AZ243/Model!AY243-1</f>
        <v>0.27573822825219474</v>
      </c>
      <c r="BA90" s="23">
        <f>Model!BA243/Model!AZ243-1</f>
        <v>8.0938379730997934E-2</v>
      </c>
      <c r="BB90" s="23">
        <f>Model!BB243/Model!BA243-1</f>
        <v>7.0000000000000062E-2</v>
      </c>
      <c r="BC90" s="399">
        <v>0.06</v>
      </c>
      <c r="BD90" s="399">
        <v>0.06</v>
      </c>
      <c r="BE90" s="399">
        <v>0.06</v>
      </c>
      <c r="BF90" s="160"/>
      <c r="BG90" s="1716"/>
      <c r="BH90" s="1710"/>
      <c r="BI90" s="160"/>
      <c r="BJ90" s="160"/>
      <c r="BK90" s="160"/>
      <c r="BL90" s="160"/>
      <c r="BM90" s="160"/>
      <c r="BN90" s="160"/>
      <c r="BO90" s="160"/>
      <c r="BP90" s="160"/>
      <c r="BQ90" s="160"/>
      <c r="BR90" s="160"/>
      <c r="BS90" s="160"/>
      <c r="BT90" s="160"/>
      <c r="BU90" s="160"/>
      <c r="BV90" s="160"/>
      <c r="BW90" s="160"/>
      <c r="BX90" s="160"/>
      <c r="BY90" s="160"/>
      <c r="BZ90" s="160"/>
      <c r="CA90" s="160"/>
      <c r="CB90" s="160"/>
      <c r="CC90" s="160"/>
      <c r="CD90" s="160"/>
      <c r="CE90" s="160"/>
      <c r="CF90" s="160"/>
      <c r="CG90" s="160"/>
      <c r="CH90" s="160"/>
      <c r="CI90" s="160"/>
      <c r="CJ90" s="160"/>
      <c r="CK90" s="160"/>
      <c r="CL90" s="160"/>
      <c r="CM90" s="160"/>
      <c r="CN90" s="160"/>
      <c r="CO90" s="160"/>
      <c r="CP90" s="160"/>
      <c r="CQ90" s="160"/>
      <c r="CR90" s="160"/>
      <c r="CS90" s="160"/>
      <c r="CT90" s="160"/>
      <c r="CU90" s="160"/>
      <c r="CV90" s="160"/>
      <c r="CW90" s="160"/>
      <c r="CX90" s="160"/>
      <c r="CY90" s="160"/>
      <c r="CZ90" s="160"/>
      <c r="DA90" s="160"/>
      <c r="DB90" s="160"/>
      <c r="DC90" s="160"/>
      <c r="DD90" s="160"/>
      <c r="DE90" s="160"/>
      <c r="DF90" s="160"/>
      <c r="DG90" s="160"/>
      <c r="DH90" s="160"/>
      <c r="DI90" s="160"/>
      <c r="DJ90" s="160"/>
      <c r="DK90" s="160"/>
      <c r="DL90" s="160"/>
      <c r="DM90" s="160"/>
      <c r="DN90" s="160"/>
      <c r="DO90" s="160"/>
      <c r="DP90" s="160"/>
      <c r="DQ90" s="160"/>
      <c r="DR90" s="160"/>
      <c r="DS90" s="160"/>
      <c r="DT90" s="160"/>
      <c r="DU90" s="160"/>
      <c r="DV90" s="160"/>
      <c r="DW90" s="160"/>
      <c r="DX90" s="160"/>
      <c r="DY90" s="160"/>
      <c r="DZ90" s="160"/>
      <c r="EA90" s="160"/>
      <c r="EB90" s="160"/>
      <c r="EC90" s="160"/>
      <c r="ED90" s="160"/>
      <c r="EE90" s="160"/>
      <c r="EF90" s="160"/>
      <c r="EG90" s="160"/>
      <c r="EH90" s="160"/>
      <c r="EI90" s="160"/>
      <c r="EJ90" s="160"/>
      <c r="EK90" s="160"/>
      <c r="EL90" s="160"/>
      <c r="EM90" s="160"/>
      <c r="EN90" s="160"/>
      <c r="EO90" s="160"/>
      <c r="EP90" s="160"/>
      <c r="EQ90" s="160"/>
      <c r="ER90" s="160"/>
      <c r="ES90" s="160"/>
      <c r="ET90" s="160"/>
      <c r="EU90" s="160"/>
      <c r="EV90" s="160"/>
      <c r="EW90" s="160"/>
      <c r="EX90" s="160"/>
      <c r="EY90" s="160"/>
      <c r="EZ90" s="160"/>
      <c r="FA90" s="160"/>
      <c r="FB90" s="160"/>
      <c r="FC90" s="160"/>
      <c r="FD90" s="160"/>
      <c r="FE90" s="160"/>
      <c r="FF90" s="160"/>
      <c r="FG90" s="160"/>
      <c r="FH90" s="160"/>
      <c r="FI90" s="160"/>
      <c r="FJ90" s="160"/>
      <c r="FK90" s="160"/>
      <c r="FL90" s="160"/>
      <c r="FM90" s="160"/>
      <c r="FN90" s="160"/>
      <c r="FO90" s="160"/>
      <c r="FP90" s="160"/>
      <c r="FQ90" s="160"/>
      <c r="FR90" s="160"/>
      <c r="FS90" s="160"/>
      <c r="FT90" s="160"/>
      <c r="FU90" s="160"/>
      <c r="FV90" s="160"/>
      <c r="FW90" s="160"/>
      <c r="FX90" s="160"/>
      <c r="FY90" s="160"/>
      <c r="FZ90" s="160"/>
      <c r="GA90" s="160"/>
      <c r="GB90" s="160"/>
      <c r="GC90" s="160"/>
      <c r="GD90" s="160"/>
      <c r="GE90" s="160"/>
      <c r="GF90" s="160"/>
      <c r="GG90" s="160"/>
      <c r="GH90" s="160"/>
      <c r="GI90" s="160"/>
      <c r="GJ90" s="160"/>
      <c r="GK90" s="160"/>
      <c r="GL90" s="160"/>
      <c r="GM90" s="160"/>
      <c r="GN90" s="160"/>
      <c r="GO90" s="160"/>
      <c r="GP90" s="160"/>
      <c r="GQ90" s="160"/>
      <c r="GR90" s="160"/>
      <c r="GS90" s="160"/>
      <c r="GT90" s="160"/>
      <c r="GU90" s="160"/>
      <c r="GV90" s="160"/>
      <c r="GW90" s="160"/>
      <c r="GX90" s="160"/>
      <c r="GY90" s="160"/>
      <c r="GZ90" s="160"/>
      <c r="HA90" s="160"/>
      <c r="HB90" s="160"/>
      <c r="HC90" s="160"/>
      <c r="HD90" s="160"/>
      <c r="HE90" s="160"/>
      <c r="HF90" s="160"/>
      <c r="HG90" s="160"/>
      <c r="HH90" s="160"/>
      <c r="HI90" s="160"/>
      <c r="HJ90" s="160"/>
      <c r="HK90" s="160"/>
      <c r="HL90" s="160"/>
      <c r="HM90" s="160"/>
      <c r="HN90" s="160"/>
      <c r="HO90" s="160"/>
      <c r="HP90" s="160"/>
      <c r="HQ90" s="160"/>
      <c r="HR90" s="160"/>
      <c r="HS90" s="160"/>
      <c r="HT90" s="160"/>
      <c r="HU90" s="160"/>
      <c r="HV90" s="160"/>
      <c r="HW90" s="160"/>
      <c r="HX90" s="160"/>
      <c r="HY90" s="160"/>
      <c r="HZ90" s="160"/>
      <c r="IA90" s="160"/>
      <c r="IB90" s="160"/>
      <c r="IC90" s="160"/>
      <c r="ID90" s="160"/>
      <c r="IE90" s="160"/>
      <c r="IF90" s="160"/>
      <c r="IG90" s="160"/>
      <c r="IH90" s="160"/>
      <c r="II90" s="160"/>
      <c r="IJ90" s="160"/>
      <c r="IK90" s="160"/>
      <c r="IL90" s="160"/>
      <c r="IM90" s="160"/>
      <c r="IN90" s="160"/>
      <c r="IO90" s="160"/>
      <c r="IP90" s="160"/>
      <c r="IQ90" s="160"/>
      <c r="IR90" s="160"/>
      <c r="IS90" s="160"/>
      <c r="IT90" s="160"/>
      <c r="IU90" s="160"/>
      <c r="IV90" s="160"/>
      <c r="IW90" s="160"/>
      <c r="IX90" s="160"/>
      <c r="IY90" s="160"/>
      <c r="IZ90" s="160"/>
      <c r="JA90" s="160"/>
      <c r="JB90" s="160"/>
      <c r="JC90" s="160"/>
      <c r="JD90" s="160"/>
      <c r="JE90" s="160"/>
      <c r="JF90" s="160"/>
      <c r="JG90" s="160"/>
      <c r="JH90" s="160"/>
      <c r="JI90" s="160"/>
    </row>
    <row r="91" spans="1:269" s="70" customFormat="1" x14ac:dyDescent="0.2">
      <c r="A91" s="411"/>
      <c r="B91" s="375" t="s">
        <v>493</v>
      </c>
      <c r="C91" s="376"/>
      <c r="D91" s="25"/>
      <c r="E91" s="187"/>
      <c r="F91" s="187"/>
      <c r="G91" s="187"/>
      <c r="H91" s="187">
        <f>Model!H244/Model!D244-1</f>
        <v>-1.2903225806451535E-2</v>
      </c>
      <c r="I91" s="187">
        <f>Model!I244/Model!E244-1</f>
        <v>1.1049723756906049E-2</v>
      </c>
      <c r="J91" s="187">
        <f>Model!J244/Model!F244-1</f>
        <v>3.4285714285714475E-2</v>
      </c>
      <c r="K91" s="187">
        <f>Model!K244/Model!G244-1</f>
        <v>0.1421568627450982</v>
      </c>
      <c r="L91" s="187">
        <f>Model!L244/Model!H244-1</f>
        <v>9.1503267973856106E-2</v>
      </c>
      <c r="M91" s="187">
        <f>Model!M244/Model!I244-1</f>
        <v>0.11475409836065564</v>
      </c>
      <c r="N91" s="187">
        <f>Model!N244/Model!J244-1</f>
        <v>8.8397790055248393E-2</v>
      </c>
      <c r="O91" s="187">
        <f>Model!O244/Model!K244-1</f>
        <v>8.5836909871244149E-3</v>
      </c>
      <c r="P91" s="187">
        <f>Model!P244/Model!L244-1</f>
        <v>-1.19760479041916E-2</v>
      </c>
      <c r="Q91" s="187">
        <f>Model!Q244/Model!M244-1</f>
        <v>-9.8039215686274161E-3</v>
      </c>
      <c r="R91" s="187">
        <f>Model!R244/Model!N244-1</f>
        <v>5.0761421319798217E-3</v>
      </c>
      <c r="S91" s="187">
        <f>Model!S244/Model!O244-1</f>
        <v>0</v>
      </c>
      <c r="T91" s="187">
        <f>Model!T244/Model!P244-1</f>
        <v>2.4242424242424176E-2</v>
      </c>
      <c r="U91" s="187">
        <f>Model!U244/Model!Q244-1</f>
        <v>-4.9504950495048439E-3</v>
      </c>
      <c r="V91" s="187">
        <f>Model!V244/Model!R244-1</f>
        <v>-5.050505050505083E-3</v>
      </c>
      <c r="W91" s="187">
        <f>Model!W244/Model!S244-1</f>
        <v>-1.2765957446808529E-2</v>
      </c>
      <c r="X91" s="187">
        <f>Model!X244/Model!T244-1</f>
        <v>0</v>
      </c>
      <c r="Y91" s="187">
        <f>Model!Y244/Model!U244-1</f>
        <v>2.4875621890547261E-2</v>
      </c>
      <c r="Z91" s="187">
        <f>Model!Z244/Model!V244-1</f>
        <v>1.5228426395939021E-2</v>
      </c>
      <c r="AA91" s="187">
        <f>Model!AA244/Model!W244-1</f>
        <v>1.7241379310344973E-2</v>
      </c>
      <c r="AB91" s="187">
        <f>Model!AB244/Model!X244-1</f>
        <v>2.9585798816567976E-2</v>
      </c>
      <c r="AC91" s="336">
        <v>2.5000000000000001E-2</v>
      </c>
      <c r="AD91" s="336">
        <v>0.03</v>
      </c>
      <c r="AE91" s="336">
        <v>0.03</v>
      </c>
      <c r="AF91" s="336">
        <v>0.03</v>
      </c>
      <c r="AG91" s="336">
        <v>0.03</v>
      </c>
      <c r="AH91" s="336">
        <v>0.03</v>
      </c>
      <c r="AI91" s="336">
        <v>0.03</v>
      </c>
      <c r="AJ91" s="399"/>
      <c r="AK91" s="399"/>
      <c r="AL91" s="399"/>
      <c r="AM91" s="399"/>
      <c r="AN91" s="399"/>
      <c r="AO91" s="399"/>
      <c r="AP91" s="399"/>
      <c r="AQ91" s="399"/>
      <c r="AS91" s="375" t="s">
        <v>493</v>
      </c>
      <c r="AT91" s="376"/>
      <c r="AU91" s="257" t="s">
        <v>229</v>
      </c>
      <c r="AV91" s="187">
        <f>Model!AV244/Model!AU244-1</f>
        <v>4.8951048951048959E-2</v>
      </c>
      <c r="AW91" s="187">
        <f>Model!AW244/Model!AV244-1</f>
        <v>7.0666666666666655E-2</v>
      </c>
      <c r="AX91" s="187">
        <f>Model!AX244/Model!AW244-1</f>
        <v>-3.7359900373599153E-3</v>
      </c>
      <c r="AY91" s="187">
        <f>Model!AY244/Model!AX244-1</f>
        <v>-1.2499999999999734E-3</v>
      </c>
      <c r="AZ91" s="187">
        <f>Model!AZ244/Model!AY244-1</f>
        <v>1.5018773466833446E-2</v>
      </c>
      <c r="BA91" s="187">
        <f>Model!BA244/Model!AZ244-1</f>
        <v>2.8643649815043304E-2</v>
      </c>
      <c r="BB91" s="187">
        <f>Model!BB244/Model!BA244-1</f>
        <v>3.0000000000000027E-2</v>
      </c>
      <c r="BC91" s="336">
        <v>0.04</v>
      </c>
      <c r="BD91" s="336">
        <v>0.04</v>
      </c>
      <c r="BE91" s="336">
        <v>0.04</v>
      </c>
      <c r="BF91" s="160"/>
      <c r="BG91" s="1715"/>
      <c r="BH91" s="1710"/>
      <c r="BI91" s="160"/>
      <c r="BJ91" s="160"/>
      <c r="BK91" s="160"/>
      <c r="BL91" s="160"/>
      <c r="BM91" s="160"/>
      <c r="BN91" s="160"/>
      <c r="BO91" s="160"/>
      <c r="BP91" s="160"/>
      <c r="BQ91" s="160"/>
      <c r="BR91" s="160"/>
      <c r="BS91" s="160"/>
      <c r="BT91" s="160"/>
      <c r="BU91" s="160"/>
      <c r="BV91" s="160"/>
      <c r="BW91" s="160"/>
      <c r="BX91" s="160"/>
      <c r="BY91" s="160"/>
      <c r="BZ91" s="160"/>
      <c r="CA91" s="160"/>
      <c r="CB91" s="160"/>
      <c r="CC91" s="160"/>
      <c r="CD91" s="160"/>
      <c r="CE91" s="160"/>
      <c r="CF91" s="160"/>
      <c r="CG91" s="160"/>
      <c r="CH91" s="160"/>
      <c r="CI91" s="160"/>
      <c r="CJ91" s="160"/>
      <c r="CK91" s="160"/>
      <c r="CL91" s="160"/>
      <c r="CM91" s="160"/>
      <c r="CN91" s="160"/>
      <c r="CO91" s="160"/>
      <c r="CP91" s="160"/>
      <c r="CQ91" s="160"/>
      <c r="CR91" s="160"/>
      <c r="CS91" s="160"/>
      <c r="CT91" s="160"/>
      <c r="CU91" s="160"/>
      <c r="CV91" s="160"/>
      <c r="CW91" s="160"/>
      <c r="CX91" s="160"/>
      <c r="CY91" s="160"/>
      <c r="CZ91" s="160"/>
      <c r="DA91" s="160"/>
      <c r="DB91" s="160"/>
      <c r="DC91" s="160"/>
      <c r="DD91" s="160"/>
      <c r="DE91" s="160"/>
      <c r="DF91" s="160"/>
      <c r="DG91" s="160"/>
      <c r="DH91" s="160"/>
      <c r="DI91" s="160"/>
      <c r="DJ91" s="160"/>
      <c r="DK91" s="160"/>
      <c r="DL91" s="160"/>
      <c r="DM91" s="160"/>
      <c r="DN91" s="160"/>
      <c r="DO91" s="160"/>
      <c r="DP91" s="160"/>
      <c r="DQ91" s="160"/>
      <c r="DR91" s="160"/>
      <c r="DS91" s="160"/>
      <c r="DT91" s="160"/>
      <c r="DU91" s="160"/>
      <c r="DV91" s="160"/>
      <c r="DW91" s="160"/>
      <c r="DX91" s="160"/>
      <c r="DY91" s="160"/>
      <c r="DZ91" s="160"/>
      <c r="EA91" s="160"/>
      <c r="EB91" s="160"/>
      <c r="EC91" s="160"/>
      <c r="ED91" s="160"/>
      <c r="EE91" s="160"/>
      <c r="EF91" s="160"/>
      <c r="EG91" s="160"/>
      <c r="EH91" s="160"/>
      <c r="EI91" s="160"/>
      <c r="EJ91" s="160"/>
      <c r="EK91" s="160"/>
      <c r="EL91" s="160"/>
      <c r="EM91" s="160"/>
      <c r="EN91" s="160"/>
      <c r="EO91" s="160"/>
      <c r="EP91" s="160"/>
      <c r="EQ91" s="160"/>
      <c r="ER91" s="160"/>
      <c r="ES91" s="160"/>
      <c r="ET91" s="160"/>
      <c r="EU91" s="160"/>
      <c r="EV91" s="160"/>
      <c r="EW91" s="160"/>
      <c r="EX91" s="160"/>
      <c r="EY91" s="160"/>
      <c r="EZ91" s="160"/>
      <c r="FA91" s="160"/>
      <c r="FB91" s="160"/>
      <c r="FC91" s="160"/>
      <c r="FD91" s="160"/>
      <c r="FE91" s="160"/>
      <c r="FF91" s="160"/>
      <c r="FG91" s="160"/>
      <c r="FH91" s="160"/>
      <c r="FI91" s="160"/>
      <c r="FJ91" s="160"/>
      <c r="FK91" s="160"/>
      <c r="FL91" s="160"/>
      <c r="FM91" s="160"/>
      <c r="FN91" s="160"/>
      <c r="FO91" s="160"/>
      <c r="FP91" s="160"/>
      <c r="FQ91" s="160"/>
      <c r="FR91" s="160"/>
      <c r="FS91" s="160"/>
      <c r="FT91" s="160"/>
      <c r="FU91" s="160"/>
      <c r="FV91" s="160"/>
      <c r="FW91" s="160"/>
      <c r="FX91" s="160"/>
      <c r="FY91" s="160"/>
      <c r="FZ91" s="160"/>
      <c r="GA91" s="160"/>
      <c r="GB91" s="160"/>
      <c r="GC91" s="160"/>
      <c r="GD91" s="160"/>
      <c r="GE91" s="160"/>
      <c r="GF91" s="160"/>
      <c r="GG91" s="160"/>
      <c r="GH91" s="160"/>
      <c r="GI91" s="160"/>
      <c r="GJ91" s="160"/>
      <c r="GK91" s="160"/>
      <c r="GL91" s="160"/>
      <c r="GM91" s="160"/>
      <c r="GN91" s="160"/>
      <c r="GO91" s="160"/>
      <c r="GP91" s="160"/>
      <c r="GQ91" s="160"/>
      <c r="GR91" s="160"/>
      <c r="GS91" s="160"/>
      <c r="GT91" s="160"/>
      <c r="GU91" s="160"/>
      <c r="GV91" s="160"/>
      <c r="GW91" s="160"/>
      <c r="GX91" s="160"/>
      <c r="GY91" s="160"/>
      <c r="GZ91" s="160"/>
      <c r="HA91" s="160"/>
      <c r="HB91" s="160"/>
      <c r="HC91" s="160"/>
      <c r="HD91" s="160"/>
      <c r="HE91" s="160"/>
      <c r="HF91" s="160"/>
      <c r="HG91" s="160"/>
      <c r="HH91" s="160"/>
      <c r="HI91" s="160"/>
      <c r="HJ91" s="160"/>
      <c r="HK91" s="160"/>
      <c r="HL91" s="160"/>
      <c r="HM91" s="160"/>
      <c r="HN91" s="160"/>
      <c r="HO91" s="160"/>
      <c r="HP91" s="160"/>
      <c r="HQ91" s="160"/>
      <c r="HR91" s="160"/>
      <c r="HS91" s="160"/>
      <c r="HT91" s="160"/>
      <c r="HU91" s="160"/>
      <c r="HV91" s="160"/>
      <c r="HW91" s="160"/>
      <c r="HX91" s="160"/>
      <c r="HY91" s="160"/>
      <c r="HZ91" s="160"/>
      <c r="IA91" s="160"/>
      <c r="IB91" s="160"/>
      <c r="IC91" s="160"/>
      <c r="ID91" s="160"/>
      <c r="IE91" s="160"/>
      <c r="IF91" s="160"/>
      <c r="IG91" s="160"/>
      <c r="IH91" s="160"/>
      <c r="II91" s="160"/>
      <c r="IJ91" s="160"/>
      <c r="IK91" s="160"/>
      <c r="IL91" s="160"/>
      <c r="IM91" s="160"/>
      <c r="IN91" s="160"/>
      <c r="IO91" s="160"/>
      <c r="IP91" s="160"/>
      <c r="IQ91" s="160"/>
      <c r="IR91" s="160"/>
      <c r="IS91" s="160"/>
      <c r="IT91" s="160"/>
      <c r="IU91" s="160"/>
      <c r="IV91" s="160"/>
      <c r="IW91" s="160"/>
      <c r="IX91" s="160"/>
      <c r="IY91" s="160"/>
      <c r="IZ91" s="160"/>
      <c r="JA91" s="160"/>
      <c r="JB91" s="160"/>
      <c r="JC91" s="160"/>
      <c r="JD91" s="160"/>
      <c r="JE91" s="160"/>
      <c r="JF91" s="160"/>
      <c r="JG91" s="160"/>
      <c r="JH91" s="160"/>
      <c r="JI91" s="160"/>
    </row>
    <row r="92" spans="1:269" s="70" customFormat="1" x14ac:dyDescent="0.2">
      <c r="A92" s="411"/>
      <c r="B92" s="334" t="s">
        <v>494</v>
      </c>
      <c r="C92" s="9"/>
      <c r="D92" s="9"/>
      <c r="E92" s="23"/>
      <c r="F92" s="23"/>
      <c r="G92" s="23"/>
      <c r="H92" s="23">
        <f>Model!H245/Model!D245-1</f>
        <v>-3.7243947858474069E-3</v>
      </c>
      <c r="I92" s="23">
        <f>Model!I245/Model!E245-1</f>
        <v>2.2071307300509435E-2</v>
      </c>
      <c r="J92" s="23">
        <f>Model!J245/Model!F245-1</f>
        <v>3.460207612456756E-2</v>
      </c>
      <c r="K92" s="23">
        <f>Model!K245/Model!G245-1</f>
        <v>7.5806451612903336E-2</v>
      </c>
      <c r="L92" s="23">
        <f>Model!L245/Model!H245-1</f>
        <v>5.2336448598130803E-2</v>
      </c>
      <c r="M92" s="23">
        <f>Model!M245/Model!I245-1</f>
        <v>6.8106312292358639E-2</v>
      </c>
      <c r="N92" s="23">
        <f>Model!N245/Model!J245-1</f>
        <v>5.3511705685618693E-2</v>
      </c>
      <c r="O92" s="23">
        <f>Model!O245/Model!K245-1</f>
        <v>2.8485757121439192E-2</v>
      </c>
      <c r="P92" s="23">
        <f>Model!P245/Model!L245-1</f>
        <v>1.9538188277087087E-2</v>
      </c>
      <c r="Q92" s="23">
        <f>Model!Q245/Model!M245-1</f>
        <v>3.1104199066874116E-2</v>
      </c>
      <c r="R92" s="23">
        <f>Model!R245/Model!N245-1</f>
        <v>5.3968253968253999E-2</v>
      </c>
      <c r="S92" s="23">
        <f>Model!S245/Model!O245-1</f>
        <v>5.6851311953352912E-2</v>
      </c>
      <c r="T92" s="23">
        <f>Model!T245/Model!P245-1</f>
        <v>9.4076655052264702E-2</v>
      </c>
      <c r="U92" s="23">
        <f>Model!U245/Model!Q245-1</f>
        <v>0.10407239819004532</v>
      </c>
      <c r="V92" s="23">
        <f>Model!V245/Model!R245-1</f>
        <v>0.39759036144578297</v>
      </c>
      <c r="W92" s="23">
        <f>Model!W245/Model!S245-1</f>
        <v>0.40275862068965518</v>
      </c>
      <c r="X92" s="23">
        <f>Model!X245/Model!T245-1</f>
        <v>0.42356687898089196</v>
      </c>
      <c r="Y92" s="23">
        <f>Model!Y245/Model!U245-1</f>
        <v>0.38114754098360648</v>
      </c>
      <c r="Z92" s="23">
        <f>Model!Z245/Model!V245-1</f>
        <v>8.1896551724138122E-2</v>
      </c>
      <c r="AA92" s="23">
        <f>Model!AA245/Model!W245-1</f>
        <v>8.0629301868240022E-2</v>
      </c>
      <c r="AB92" s="23">
        <f>Model!AB245/Model!X245-1</f>
        <v>7.3825503355704702E-2</v>
      </c>
      <c r="AC92" s="23">
        <f>Model!AC245/Model!Y245-1</f>
        <v>6.8793273986152537E-2</v>
      </c>
      <c r="AD92" s="23">
        <f>Model!AD245/Model!Z245-1</f>
        <v>7.0039840637450279E-2</v>
      </c>
      <c r="AE92" s="23">
        <f>Model!AE245/Model!AA245-1</f>
        <v>6.9262966333030196E-2</v>
      </c>
      <c r="AF92" s="23">
        <f>Model!AF245/Model!AB245-1</f>
        <v>6.2750000000000083E-2</v>
      </c>
      <c r="AG92" s="23">
        <f>Model!AG245/Model!AC245-1</f>
        <v>6.2183610198510264E-2</v>
      </c>
      <c r="AH92" s="23">
        <f>Model!AH245/Model!AD245-1</f>
        <v>6.2330032020254666E-2</v>
      </c>
      <c r="AI92" s="23">
        <f>Model!AI245/Model!AE245-1</f>
        <v>6.1725781196813934E-2</v>
      </c>
      <c r="AJ92" s="23"/>
      <c r="AK92" s="23"/>
      <c r="AL92" s="23"/>
      <c r="AM92" s="23"/>
      <c r="AN92" s="23"/>
      <c r="AO92" s="23"/>
      <c r="AP92" s="23"/>
      <c r="AQ92" s="23"/>
      <c r="AS92" s="334" t="s">
        <v>494</v>
      </c>
      <c r="AT92" s="9"/>
      <c r="AU92" s="256" t="s">
        <v>229</v>
      </c>
      <c r="AV92" s="23">
        <f>Model!AV245/Model!AU245-1</f>
        <v>3.3562822719449104E-2</v>
      </c>
      <c r="AW92" s="23">
        <f>Model!AW245/Model!AV245-1</f>
        <v>4.995836802664444E-2</v>
      </c>
      <c r="AX92" s="23">
        <f>Model!AX245/Model!AW245-1</f>
        <v>4.1237113402061931E-2</v>
      </c>
      <c r="AY92" s="23">
        <f>Model!AY245/Model!AX245-1</f>
        <v>0.25856816450875852</v>
      </c>
      <c r="AZ92" s="23">
        <f>Model!AZ245/Model!AY245-1</f>
        <v>0.21270801815431151</v>
      </c>
      <c r="BA92" s="23">
        <f>Model!BA245/Model!AZ245-1</f>
        <v>7.0356786427145934E-2</v>
      </c>
      <c r="BB92" s="23">
        <f>Model!BB245/Model!BA245-1</f>
        <v>6.2221613570194956E-2</v>
      </c>
      <c r="BC92" s="23">
        <f>Model!BC245/Model!BB245-1</f>
        <v>5.6228782242637942E-2</v>
      </c>
      <c r="BD92" s="23">
        <f>Model!BD245/Model!BC245-1</f>
        <v>5.6286726385803565E-2</v>
      </c>
      <c r="BE92" s="23">
        <f>Model!BE245/Model!BD245-1</f>
        <v>5.6343980793947868E-2</v>
      </c>
      <c r="BF92" s="160"/>
      <c r="BG92" s="23"/>
      <c r="BH92" s="23"/>
      <c r="BI92" s="160"/>
      <c r="BJ92" s="160"/>
      <c r="BK92" s="160"/>
      <c r="BL92" s="160"/>
      <c r="BM92" s="160"/>
      <c r="BN92" s="160"/>
      <c r="BO92" s="160"/>
      <c r="BP92" s="160"/>
      <c r="BQ92" s="160"/>
      <c r="BR92" s="160"/>
      <c r="BS92" s="160"/>
      <c r="BT92" s="160"/>
      <c r="BU92" s="160"/>
      <c r="BV92" s="160"/>
      <c r="BW92" s="160"/>
      <c r="BX92" s="160"/>
      <c r="BY92" s="160"/>
      <c r="BZ92" s="160"/>
      <c r="CA92" s="160"/>
      <c r="CB92" s="160"/>
      <c r="CC92" s="160"/>
      <c r="CD92" s="160"/>
      <c r="CE92" s="160"/>
      <c r="CF92" s="160"/>
      <c r="CG92" s="160"/>
      <c r="CH92" s="160"/>
      <c r="CI92" s="160"/>
      <c r="CJ92" s="160"/>
      <c r="CK92" s="160"/>
      <c r="CL92" s="160"/>
      <c r="CM92" s="160"/>
      <c r="CN92" s="160"/>
      <c r="CO92" s="160"/>
      <c r="CP92" s="160"/>
      <c r="CQ92" s="160"/>
      <c r="CR92" s="160"/>
      <c r="CS92" s="160"/>
      <c r="CT92" s="160"/>
      <c r="CU92" s="160"/>
      <c r="CV92" s="160"/>
      <c r="CW92" s="160"/>
      <c r="CX92" s="160"/>
      <c r="CY92" s="160"/>
      <c r="CZ92" s="160"/>
      <c r="DA92" s="160"/>
      <c r="DB92" s="160"/>
      <c r="DC92" s="160"/>
      <c r="DD92" s="160"/>
      <c r="DE92" s="160"/>
      <c r="DF92" s="160"/>
      <c r="DG92" s="160"/>
      <c r="DH92" s="160"/>
      <c r="DI92" s="160"/>
      <c r="DJ92" s="160"/>
      <c r="DK92" s="160"/>
      <c r="DL92" s="160"/>
      <c r="DM92" s="160"/>
      <c r="DN92" s="160"/>
      <c r="DO92" s="160"/>
      <c r="DP92" s="160"/>
      <c r="DQ92" s="160"/>
      <c r="DR92" s="160"/>
      <c r="DS92" s="160"/>
      <c r="DT92" s="160"/>
      <c r="DU92" s="160"/>
      <c r="DV92" s="160"/>
      <c r="DW92" s="160"/>
      <c r="DX92" s="160"/>
      <c r="DY92" s="160"/>
      <c r="DZ92" s="160"/>
      <c r="EA92" s="160"/>
      <c r="EB92" s="160"/>
      <c r="EC92" s="160"/>
      <c r="ED92" s="160"/>
      <c r="EE92" s="160"/>
      <c r="EF92" s="160"/>
      <c r="EG92" s="160"/>
      <c r="EH92" s="160"/>
      <c r="EI92" s="160"/>
      <c r="EJ92" s="160"/>
      <c r="EK92" s="160"/>
      <c r="EL92" s="160"/>
      <c r="EM92" s="160"/>
      <c r="EN92" s="160"/>
      <c r="EO92" s="160"/>
      <c r="EP92" s="160"/>
      <c r="EQ92" s="160"/>
      <c r="ER92" s="160"/>
      <c r="ES92" s="160"/>
      <c r="ET92" s="160"/>
      <c r="EU92" s="160"/>
      <c r="EV92" s="160"/>
      <c r="EW92" s="160"/>
      <c r="EX92" s="160"/>
      <c r="EY92" s="160"/>
      <c r="EZ92" s="160"/>
      <c r="FA92" s="160"/>
      <c r="FB92" s="160"/>
      <c r="FC92" s="160"/>
      <c r="FD92" s="160"/>
      <c r="FE92" s="160"/>
      <c r="FF92" s="160"/>
      <c r="FG92" s="160"/>
      <c r="FH92" s="160"/>
      <c r="FI92" s="160"/>
      <c r="FJ92" s="160"/>
      <c r="FK92" s="160"/>
      <c r="FL92" s="160"/>
      <c r="FM92" s="160"/>
      <c r="FN92" s="160"/>
      <c r="FO92" s="160"/>
      <c r="FP92" s="160"/>
      <c r="FQ92" s="160"/>
      <c r="FR92" s="160"/>
      <c r="FS92" s="160"/>
      <c r="FT92" s="160"/>
      <c r="FU92" s="160"/>
      <c r="FV92" s="160"/>
      <c r="FW92" s="160"/>
      <c r="FX92" s="160"/>
      <c r="FY92" s="160"/>
      <c r="FZ92" s="160"/>
      <c r="GA92" s="160"/>
      <c r="GB92" s="160"/>
      <c r="GC92" s="160"/>
      <c r="GD92" s="160"/>
      <c r="GE92" s="160"/>
      <c r="GF92" s="160"/>
      <c r="GG92" s="160"/>
      <c r="GH92" s="160"/>
      <c r="GI92" s="160"/>
      <c r="GJ92" s="160"/>
      <c r="GK92" s="160"/>
      <c r="GL92" s="160"/>
      <c r="GM92" s="160"/>
      <c r="GN92" s="160"/>
      <c r="GO92" s="160"/>
      <c r="GP92" s="160"/>
      <c r="GQ92" s="160"/>
      <c r="GR92" s="160"/>
      <c r="GS92" s="160"/>
      <c r="GT92" s="160"/>
      <c r="GU92" s="160"/>
      <c r="GV92" s="160"/>
      <c r="GW92" s="160"/>
      <c r="GX92" s="160"/>
      <c r="GY92" s="160"/>
      <c r="GZ92" s="160"/>
      <c r="HA92" s="160"/>
      <c r="HB92" s="160"/>
      <c r="HC92" s="160"/>
      <c r="HD92" s="160"/>
      <c r="HE92" s="160"/>
      <c r="HF92" s="160"/>
      <c r="HG92" s="160"/>
      <c r="HH92" s="160"/>
      <c r="HI92" s="160"/>
      <c r="HJ92" s="160"/>
      <c r="HK92" s="160"/>
      <c r="HL92" s="160"/>
      <c r="HM92" s="160"/>
      <c r="HN92" s="160"/>
      <c r="HO92" s="160"/>
      <c r="HP92" s="160"/>
      <c r="HQ92" s="160"/>
      <c r="HR92" s="160"/>
      <c r="HS92" s="160"/>
      <c r="HT92" s="160"/>
      <c r="HU92" s="160"/>
      <c r="HV92" s="160"/>
      <c r="HW92" s="160"/>
      <c r="HX92" s="160"/>
      <c r="HY92" s="160"/>
      <c r="HZ92" s="160"/>
      <c r="IA92" s="160"/>
      <c r="IB92" s="160"/>
      <c r="IC92" s="160"/>
      <c r="ID92" s="160"/>
      <c r="IE92" s="160"/>
      <c r="IF92" s="160"/>
      <c r="IG92" s="160"/>
      <c r="IH92" s="160"/>
      <c r="II92" s="160"/>
      <c r="IJ92" s="160"/>
      <c r="IK92" s="160"/>
      <c r="IL92" s="160"/>
      <c r="IM92" s="160"/>
      <c r="IN92" s="160"/>
      <c r="IO92" s="160"/>
      <c r="IP92" s="160"/>
      <c r="IQ92" s="160"/>
      <c r="IR92" s="160"/>
      <c r="IS92" s="160"/>
      <c r="IT92" s="160"/>
      <c r="IU92" s="160"/>
      <c r="IV92" s="160"/>
      <c r="IW92" s="160"/>
      <c r="IX92" s="160"/>
      <c r="IY92" s="160"/>
      <c r="IZ92" s="160"/>
      <c r="JA92" s="160"/>
      <c r="JB92" s="160"/>
      <c r="JC92" s="160"/>
      <c r="JD92" s="160"/>
      <c r="JE92" s="160"/>
      <c r="JF92" s="160"/>
      <c r="JG92" s="160"/>
      <c r="JH92" s="160"/>
      <c r="JI92" s="160"/>
    </row>
    <row r="93" spans="1:269" s="70" customFormat="1" x14ac:dyDescent="0.2">
      <c r="A93" s="411"/>
      <c r="C93" s="9"/>
      <c r="D93" s="9"/>
      <c r="E93" s="9"/>
      <c r="F93" s="9"/>
      <c r="G93" s="9"/>
      <c r="H93" s="9"/>
      <c r="I93" s="9"/>
      <c r="J93" s="9"/>
      <c r="K93" s="9"/>
      <c r="L93" s="9"/>
      <c r="M93" s="9"/>
      <c r="N93" s="9"/>
      <c r="O93" s="9"/>
      <c r="P93" s="9"/>
      <c r="Q93" s="9"/>
      <c r="R93" s="9"/>
      <c r="S93" s="9"/>
      <c r="T93" s="9"/>
      <c r="U93" s="9"/>
      <c r="V93" s="9"/>
      <c r="W93" s="9"/>
      <c r="X93" s="9"/>
      <c r="Y93" s="1215"/>
      <c r="Z93" s="1688"/>
      <c r="AA93" s="1742"/>
      <c r="AB93" s="1785"/>
      <c r="AC93" s="9"/>
      <c r="AD93" s="9"/>
      <c r="AE93" s="9"/>
      <c r="AF93" s="1707"/>
      <c r="AG93" s="1707"/>
      <c r="AH93" s="1707"/>
      <c r="AI93" s="1707"/>
      <c r="AJ93" s="1740"/>
      <c r="AK93" s="1740"/>
      <c r="AL93" s="1740"/>
      <c r="AM93" s="1740"/>
      <c r="AN93" s="1740"/>
      <c r="AO93" s="1740"/>
      <c r="AP93" s="1740"/>
      <c r="AQ93" s="1740"/>
      <c r="AS93" s="175"/>
      <c r="AT93" s="9"/>
    </row>
    <row r="94" spans="1:269" s="70" customFormat="1" x14ac:dyDescent="0.2">
      <c r="A94" s="411"/>
      <c r="B94" s="175" t="s">
        <v>179</v>
      </c>
      <c r="C94" s="9"/>
      <c r="D94" s="9"/>
      <c r="E94" s="9"/>
      <c r="F94" s="9"/>
      <c r="G94" s="9"/>
      <c r="H94" s="9"/>
      <c r="I94" s="9"/>
      <c r="J94" s="9"/>
      <c r="K94" s="9"/>
      <c r="L94" s="9"/>
      <c r="M94" s="9"/>
      <c r="N94" s="9"/>
      <c r="O94" s="9"/>
      <c r="P94" s="9"/>
      <c r="Q94" s="9"/>
      <c r="R94" s="9"/>
      <c r="S94" s="9"/>
      <c r="T94" s="9"/>
      <c r="U94" s="9"/>
      <c r="V94" s="9"/>
      <c r="W94" s="9"/>
      <c r="X94" s="9"/>
      <c r="Y94" s="1215"/>
      <c r="Z94" s="1688"/>
      <c r="AA94" s="1742"/>
      <c r="AB94" s="1785"/>
      <c r="AC94" s="9"/>
      <c r="AD94" s="9"/>
      <c r="AE94" s="9"/>
      <c r="AF94" s="1707"/>
      <c r="AG94" s="1707"/>
      <c r="AH94" s="1707"/>
      <c r="AI94" s="1707"/>
      <c r="AJ94" s="1740"/>
      <c r="AK94" s="1740"/>
      <c r="AL94" s="1740"/>
      <c r="AM94" s="1740"/>
      <c r="AN94" s="1740"/>
      <c r="AO94" s="1740"/>
      <c r="AP94" s="1740"/>
      <c r="AQ94" s="1740"/>
      <c r="AS94" s="175" t="s">
        <v>179</v>
      </c>
      <c r="AT94" s="9"/>
    </row>
    <row r="95" spans="1:269" s="70" customFormat="1" x14ac:dyDescent="0.2">
      <c r="A95" s="411"/>
      <c r="B95" s="334" t="s">
        <v>492</v>
      </c>
      <c r="C95" s="9"/>
      <c r="D95" s="9"/>
      <c r="E95" s="9"/>
      <c r="F95" s="9"/>
      <c r="G95" s="9"/>
      <c r="H95" s="23">
        <f>Model!H344/Model!D344-1</f>
        <v>0.15384615384615397</v>
      </c>
      <c r="I95" s="23">
        <f>Model!I344/Model!E344-1</f>
        <v>0.25641025641025661</v>
      </c>
      <c r="J95" s="23">
        <f>Model!J344/Model!F344-1</f>
        <v>0.16279069767441867</v>
      </c>
      <c r="K95" s="23">
        <f>Model!K344/Model!G344-1</f>
        <v>0.10000000000000009</v>
      </c>
      <c r="L95" s="23">
        <f>Model!L344/Model!H344-1</f>
        <v>0</v>
      </c>
      <c r="M95" s="23">
        <f>Model!M344/Model!I344-1</f>
        <v>0</v>
      </c>
      <c r="N95" s="23">
        <f>Model!N344/Model!J344-1</f>
        <v>-1.9999999999999907E-2</v>
      </c>
      <c r="O95" s="23">
        <f>Model!O344/Model!K344-1</f>
        <v>-9.0909090909090939E-2</v>
      </c>
      <c r="P95" s="23">
        <f>Model!P344/Model!L344-1</f>
        <v>-8.8888888888889017E-2</v>
      </c>
      <c r="Q95" s="23">
        <f>Model!Q344/Model!M344-1</f>
        <v>-0.1428571428571429</v>
      </c>
      <c r="R95" s="23">
        <f>Model!R344/Model!N344-1</f>
        <v>-0.18367346938775519</v>
      </c>
      <c r="S95" s="23">
        <f>Model!S344/Model!O344-1</f>
        <v>-0.11999999999999988</v>
      </c>
      <c r="T95" s="23">
        <f>Model!T344/Model!P344-1</f>
        <v>-9.7560975609755962E-2</v>
      </c>
      <c r="U95" s="23">
        <f>Model!U344/Model!Q344-1</f>
        <v>-9.5238095238095344E-2</v>
      </c>
      <c r="V95" s="23">
        <f>Model!V344/Model!R344-1</f>
        <v>-5.0000000000000044E-2</v>
      </c>
      <c r="W95" s="23">
        <f>Model!W344/Model!S344-1</f>
        <v>-9.0909090909090939E-2</v>
      </c>
      <c r="X95" s="23">
        <f>Model!X344/Model!T344-1</f>
        <v>-2.7027027027027084E-2</v>
      </c>
      <c r="Y95" s="23">
        <f>Model!Y344/Model!U344-1</f>
        <v>7.8947368421052655E-2</v>
      </c>
      <c r="Z95" s="23">
        <f>Model!Z344/Model!V344-1</f>
        <v>0.10526315789473695</v>
      </c>
      <c r="AA95" s="23">
        <f>Model!AA344/Model!W344-1</f>
        <v>0.125</v>
      </c>
      <c r="AB95" s="23">
        <f>Model!AB344/Model!X344-1</f>
        <v>0.16666666666666674</v>
      </c>
      <c r="AC95" s="335">
        <v>0.12</v>
      </c>
      <c r="AD95" s="335">
        <v>0.1</v>
      </c>
      <c r="AE95" s="335">
        <v>0.09</v>
      </c>
      <c r="AF95" s="335">
        <v>0.08</v>
      </c>
      <c r="AG95" s="335">
        <v>7.0000000000000007E-2</v>
      </c>
      <c r="AH95" s="335">
        <v>0.06</v>
      </c>
      <c r="AI95" s="335">
        <v>0.06</v>
      </c>
      <c r="AJ95" s="335"/>
      <c r="AK95" s="335"/>
      <c r="AL95" s="335"/>
      <c r="AM95" s="335"/>
      <c r="AN95" s="335"/>
      <c r="AO95" s="335"/>
      <c r="AP95" s="335"/>
      <c r="AQ95" s="335"/>
      <c r="AS95" s="334" t="s">
        <v>492</v>
      </c>
      <c r="AT95" s="9"/>
      <c r="AV95" s="23">
        <f>Model!AV344/Model!AU344-1</f>
        <v>0.1637426900584793</v>
      </c>
      <c r="AW95" s="23">
        <f>Model!AW344/Model!AV344-1</f>
        <v>-3.015075376884413E-2</v>
      </c>
      <c r="AX95" s="23">
        <f>Model!AX344/Model!AW344-1</f>
        <v>-0.13471502590673567</v>
      </c>
      <c r="AY95" s="23">
        <f>Model!AY344/Model!AX344-1</f>
        <v>-8.3832335329341423E-2</v>
      </c>
      <c r="AZ95" s="23">
        <f>Model!AZ344/Model!AY344-1</f>
        <v>7.1895424836601274E-2</v>
      </c>
      <c r="BA95" s="23">
        <f>Model!BA344/Model!AZ344-1</f>
        <v>0.11689024390243907</v>
      </c>
      <c r="BB95" s="23">
        <f>Model!BB344/Model!BA344-1</f>
        <v>6.7092864552055653E-2</v>
      </c>
      <c r="BC95" s="335">
        <v>0.06</v>
      </c>
      <c r="BD95" s="335">
        <v>0.06</v>
      </c>
      <c r="BE95" s="335">
        <v>0.06</v>
      </c>
      <c r="BG95" s="1714"/>
      <c r="BH95" s="1710"/>
    </row>
    <row r="96" spans="1:269" s="70" customFormat="1" x14ac:dyDescent="0.2">
      <c r="A96" s="411"/>
      <c r="B96" s="175"/>
      <c r="C96" s="9"/>
      <c r="D96" s="9"/>
      <c r="E96" s="9"/>
      <c r="F96" s="9"/>
      <c r="G96" s="9"/>
      <c r="H96" s="9"/>
      <c r="I96" s="9"/>
      <c r="J96" s="9"/>
      <c r="K96" s="9"/>
      <c r="L96" s="9"/>
      <c r="M96" s="9"/>
      <c r="N96" s="9"/>
      <c r="O96" s="9"/>
      <c r="P96" s="9"/>
      <c r="Q96" s="9"/>
      <c r="R96" s="9"/>
      <c r="S96" s="9"/>
      <c r="T96" s="9"/>
      <c r="U96" s="9"/>
      <c r="V96" s="9"/>
      <c r="W96" s="9"/>
      <c r="X96" s="9"/>
      <c r="Y96" s="1215"/>
      <c r="Z96" s="1688"/>
      <c r="AA96" s="1742"/>
      <c r="AB96" s="1785"/>
      <c r="AC96" s="1740"/>
      <c r="AD96" s="1740"/>
      <c r="AE96" s="1740"/>
      <c r="AF96" s="1707"/>
      <c r="AG96" s="1707"/>
      <c r="AH96" s="1707"/>
      <c r="AI96" s="1707"/>
      <c r="AJ96" s="1740"/>
      <c r="AK96" s="1740"/>
      <c r="AL96" s="1740"/>
      <c r="AM96" s="1740"/>
      <c r="AN96" s="1740"/>
      <c r="AO96" s="1740"/>
      <c r="AP96" s="1740"/>
      <c r="AQ96" s="1740"/>
      <c r="AS96" s="175"/>
      <c r="AT96" s="9"/>
    </row>
    <row r="97" spans="1:60" s="70" customFormat="1" x14ac:dyDescent="0.2">
      <c r="A97" s="411"/>
      <c r="B97" s="175" t="s">
        <v>230</v>
      </c>
      <c r="C97" s="9"/>
      <c r="D97" s="9"/>
      <c r="E97" s="9"/>
      <c r="F97" s="9"/>
      <c r="G97" s="9"/>
      <c r="AS97" s="175" t="s">
        <v>230</v>
      </c>
      <c r="AT97" s="9"/>
    </row>
    <row r="98" spans="1:60" s="70" customFormat="1" x14ac:dyDescent="0.2">
      <c r="A98" s="411"/>
      <c r="B98" s="334" t="s">
        <v>492</v>
      </c>
      <c r="C98" s="9"/>
      <c r="D98" s="9"/>
      <c r="E98" s="9"/>
      <c r="F98" s="9"/>
      <c r="G98" s="9"/>
      <c r="H98" s="23">
        <f>Model!H422/Model!D422-1</f>
        <v>4.8387096774193505E-2</v>
      </c>
      <c r="I98" s="23">
        <f>Model!I422/Model!E422-1</f>
        <v>7.5675675675675569E-2</v>
      </c>
      <c r="J98" s="23">
        <f>Model!J422/Model!F422-1</f>
        <v>1.0638297872340496E-2</v>
      </c>
      <c r="K98" s="23">
        <f>Model!K422/Model!G422-1</f>
        <v>-9.7087378640777766E-3</v>
      </c>
      <c r="L98" s="23">
        <f>Model!L422/Model!H422-1</f>
        <v>-3.5897435897435881E-2</v>
      </c>
      <c r="M98" s="23">
        <f>Model!M422/Model!I422-1</f>
        <v>5.0251256281408363E-3</v>
      </c>
      <c r="N98" s="23">
        <f>Model!N422/Model!J422-1</f>
        <v>6.315789473684208E-2</v>
      </c>
      <c r="O98" s="23">
        <f>Model!O422/Model!K422-1</f>
        <v>0</v>
      </c>
      <c r="P98" s="23">
        <f>Model!P422/Model!L422-1</f>
        <v>-1.0638297872340385E-2</v>
      </c>
      <c r="Q98" s="23">
        <f>Model!Q422/Model!M422-1</f>
        <v>-4.0000000000000036E-2</v>
      </c>
      <c r="R98" s="23">
        <f>Model!R422/Model!N422-1</f>
        <v>-9.9009900990098987E-2</v>
      </c>
      <c r="S98" s="23">
        <f>Model!S422/Model!O422-1</f>
        <v>-5.39215686274509E-2</v>
      </c>
      <c r="T98" s="23">
        <f>Model!T422/Model!P422-1</f>
        <v>-2.6881720430107503E-2</v>
      </c>
      <c r="U98" s="23">
        <f>Model!U422/Model!Q422-1</f>
        <v>-2.604166666666663E-2</v>
      </c>
      <c r="V98" s="23">
        <f>Model!V422/Model!R422-1</f>
        <v>2.7472527472527375E-2</v>
      </c>
      <c r="W98" s="23">
        <f>Model!W422/Model!S422-1</f>
        <v>5.1813471502588637E-3</v>
      </c>
      <c r="X98" s="23">
        <f>Model!X422/Model!T422-1</f>
        <v>6.0773480662983381E-2</v>
      </c>
      <c r="Y98" s="23">
        <f>Model!Y422/Model!U422-1</f>
        <v>7.4866310160427885E-2</v>
      </c>
      <c r="Z98" s="23">
        <f>Model!Z422/Model!V422-1</f>
        <v>8.5561497326203328E-2</v>
      </c>
      <c r="AA98" s="23">
        <f>Model!AA422/Model!W422-1</f>
        <v>0.12886597938144329</v>
      </c>
      <c r="AB98" s="23">
        <f>Model!AB422/Model!X422-1</f>
        <v>0.11979166666666674</v>
      </c>
      <c r="AC98" s="335">
        <v>0.1</v>
      </c>
      <c r="AD98" s="335">
        <v>0.09</v>
      </c>
      <c r="AE98" s="335">
        <v>0.08</v>
      </c>
      <c r="AF98" s="335">
        <v>7.0000000000000007E-2</v>
      </c>
      <c r="AG98" s="335">
        <v>0.06</v>
      </c>
      <c r="AH98" s="335">
        <v>0.06</v>
      </c>
      <c r="AI98" s="335">
        <v>0.06</v>
      </c>
      <c r="AJ98" s="335"/>
      <c r="AK98" s="335"/>
      <c r="AL98" s="335"/>
      <c r="AM98" s="335"/>
      <c r="AN98" s="335"/>
      <c r="AO98" s="335"/>
      <c r="AP98" s="335"/>
      <c r="AQ98" s="335"/>
      <c r="AS98" s="334" t="s">
        <v>492</v>
      </c>
      <c r="AT98" s="9"/>
      <c r="AV98" s="23">
        <f>Model!AV422/Model!AU422-1</f>
        <v>3.0065359477124076E-2</v>
      </c>
      <c r="AW98" s="23">
        <f>Model!AW422/Model!AV422-1</f>
        <v>7.6142131979697325E-3</v>
      </c>
      <c r="AX98" s="23">
        <f>Model!AX422/Model!AW422-1</f>
        <v>-5.1637279596977392E-2</v>
      </c>
      <c r="AY98" s="23">
        <f>Model!AY422/Model!AX422-1</f>
        <v>-5.312084993359778E-3</v>
      </c>
      <c r="AZ98" s="23">
        <f>Model!AZ422/Model!AY422-1</f>
        <v>8.8117489986648811E-2</v>
      </c>
      <c r="BA98" s="23">
        <f>Model!BA422/Model!AZ422-1</f>
        <v>9.6797546012269864E-2</v>
      </c>
      <c r="BB98" s="23">
        <f>Model!BB422/Model!BA422-1</f>
        <v>6.2405217644229349E-2</v>
      </c>
      <c r="BC98" s="335">
        <v>0.06</v>
      </c>
      <c r="BD98" s="335">
        <v>0.06</v>
      </c>
      <c r="BE98" s="335">
        <v>0.06</v>
      </c>
      <c r="BG98" s="1714"/>
      <c r="BH98" s="1710"/>
    </row>
    <row r="99" spans="1:60" s="70" customFormat="1" x14ac:dyDescent="0.2">
      <c r="A99" s="411"/>
      <c r="B99" s="10"/>
      <c r="C99" s="9"/>
      <c r="D99" s="9"/>
      <c r="E99" s="9"/>
      <c r="F99" s="9"/>
      <c r="G99" s="9"/>
      <c r="H99" s="9"/>
      <c r="I99" s="9"/>
      <c r="J99" s="9"/>
      <c r="K99" s="9"/>
      <c r="L99" s="9"/>
      <c r="M99" s="9"/>
      <c r="N99" s="9"/>
      <c r="O99" s="9"/>
      <c r="P99" s="9"/>
      <c r="Q99" s="9"/>
      <c r="R99" s="9"/>
      <c r="S99" s="9"/>
      <c r="T99" s="9"/>
      <c r="U99" s="9"/>
      <c r="V99" s="9"/>
      <c r="W99" s="9"/>
      <c r="X99" s="9"/>
      <c r="Y99" s="1215"/>
      <c r="Z99" s="1688"/>
      <c r="AA99" s="1742"/>
      <c r="AB99" s="1785"/>
      <c r="AC99" s="9"/>
      <c r="AD99" s="9"/>
      <c r="AE99" s="9"/>
      <c r="AF99" s="1707"/>
      <c r="AG99" s="1707"/>
      <c r="AH99" s="1707"/>
      <c r="AI99" s="1707"/>
      <c r="AJ99" s="1740"/>
      <c r="AK99" s="1740"/>
      <c r="AL99" s="1740"/>
      <c r="AM99" s="1740"/>
      <c r="AN99" s="1740"/>
      <c r="AO99" s="1740"/>
      <c r="AP99" s="1740"/>
      <c r="AQ99" s="1740"/>
      <c r="AS99" s="10"/>
      <c r="AT99" s="9"/>
    </row>
    <row r="100" spans="1:60" s="160" customFormat="1" x14ac:dyDescent="0.2">
      <c r="A100" s="411"/>
      <c r="B100" s="337" t="s">
        <v>196</v>
      </c>
      <c r="C100" s="11"/>
      <c r="D100" s="158"/>
      <c r="E100" s="158"/>
      <c r="F100" s="158"/>
      <c r="G100" s="158"/>
      <c r="H100" s="158"/>
      <c r="I100" s="158"/>
      <c r="J100" s="158"/>
      <c r="K100" s="158"/>
      <c r="L100" s="158"/>
      <c r="M100" s="158"/>
      <c r="N100" s="158"/>
      <c r="O100" s="158"/>
      <c r="P100" s="158"/>
      <c r="Q100" s="158"/>
      <c r="R100" s="158"/>
      <c r="S100" s="158"/>
      <c r="T100" s="158"/>
      <c r="U100" s="158"/>
      <c r="V100" s="158"/>
      <c r="W100" s="158"/>
      <c r="X100" s="158"/>
      <c r="Y100" s="158"/>
      <c r="Z100" s="158"/>
      <c r="AA100" s="158"/>
      <c r="AB100" s="158"/>
      <c r="AC100" s="158"/>
      <c r="AD100" s="158"/>
      <c r="AE100" s="158"/>
      <c r="AF100" s="158"/>
      <c r="AG100" s="158"/>
      <c r="AH100" s="158"/>
      <c r="AI100" s="158"/>
      <c r="AJ100" s="158"/>
      <c r="AK100" s="158"/>
      <c r="AL100" s="158"/>
      <c r="AM100" s="158"/>
      <c r="AN100" s="158"/>
      <c r="AO100" s="158"/>
      <c r="AP100" s="158"/>
      <c r="AQ100" s="158"/>
      <c r="AR100" s="70"/>
      <c r="AS100" s="337" t="s">
        <v>196</v>
      </c>
      <c r="AT100" s="11"/>
      <c r="AU100" s="12"/>
      <c r="AV100" s="12"/>
      <c r="AW100" s="12"/>
      <c r="AX100" s="12"/>
      <c r="AY100" s="12"/>
      <c r="AZ100" s="12"/>
      <c r="BA100" s="12"/>
      <c r="BB100" s="12"/>
      <c r="BC100" s="12"/>
      <c r="BD100" s="12"/>
      <c r="BE100" s="12"/>
      <c r="BG100" s="15"/>
      <c r="BH100" s="15"/>
    </row>
    <row r="101" spans="1:60" s="369" customFormat="1" x14ac:dyDescent="0.2">
      <c r="A101" s="411"/>
      <c r="B101" s="334" t="s">
        <v>198</v>
      </c>
      <c r="C101" s="321"/>
      <c r="D101" s="378">
        <v>435.66399999999999</v>
      </c>
      <c r="E101" s="378">
        <v>461.36</v>
      </c>
      <c r="F101" s="378">
        <v>550.12799999999993</v>
      </c>
      <c r="G101" s="378">
        <v>596.84799999999996</v>
      </c>
      <c r="H101" s="378">
        <v>477</v>
      </c>
      <c r="I101" s="378">
        <v>572</v>
      </c>
      <c r="J101" s="378">
        <v>469</v>
      </c>
      <c r="K101" s="378">
        <v>326</v>
      </c>
      <c r="L101" s="378">
        <v>247</v>
      </c>
      <c r="M101" s="378">
        <v>297</v>
      </c>
      <c r="N101" s="378">
        <v>300</v>
      </c>
      <c r="O101" s="378">
        <v>278</v>
      </c>
      <c r="P101" s="378">
        <v>338</v>
      </c>
      <c r="Q101" s="378">
        <v>461</v>
      </c>
      <c r="R101" s="378">
        <v>426</v>
      </c>
      <c r="S101" s="378">
        <v>405</v>
      </c>
      <c r="T101" s="378">
        <v>350</v>
      </c>
      <c r="U101" s="378">
        <v>510</v>
      </c>
      <c r="V101" s="378">
        <v>561</v>
      </c>
      <c r="W101" s="378">
        <v>470</v>
      </c>
      <c r="X101" s="378">
        <v>361</v>
      </c>
      <c r="Y101" s="378">
        <v>463</v>
      </c>
      <c r="Z101" s="378">
        <v>471</v>
      </c>
      <c r="AA101" s="378">
        <v>415</v>
      </c>
      <c r="AB101" s="378">
        <v>344.45</v>
      </c>
      <c r="AC101" s="378">
        <v>451.19505499999997</v>
      </c>
      <c r="AD101" s="378">
        <v>449.20723405000001</v>
      </c>
      <c r="AE101" s="378">
        <v>377.89013601500005</v>
      </c>
      <c r="AF101" s="378">
        <v>336.33483377900001</v>
      </c>
      <c r="AG101" s="378">
        <v>454.07485678099999</v>
      </c>
      <c r="AH101" s="378">
        <v>454.07485678099999</v>
      </c>
      <c r="AI101" s="378">
        <v>397.0576549191</v>
      </c>
      <c r="AJ101" s="378"/>
      <c r="AK101" s="378"/>
      <c r="AL101" s="378"/>
      <c r="AM101" s="378"/>
      <c r="AN101" s="378"/>
      <c r="AO101" s="378"/>
      <c r="AP101" s="378"/>
      <c r="AQ101" s="378"/>
      <c r="AR101" s="70"/>
      <c r="AS101" s="334" t="s">
        <v>198</v>
      </c>
      <c r="AT101" s="321"/>
      <c r="AU101" s="232">
        <f>SUM(D101:G101)</f>
        <v>2044</v>
      </c>
      <c r="AV101" s="232">
        <f>SUM(H101:K101)</f>
        <v>1844</v>
      </c>
      <c r="AW101" s="232">
        <f>SUM(L101:O101)</f>
        <v>1122</v>
      </c>
      <c r="AX101" s="232">
        <f>SUM(P101:S101)</f>
        <v>1630</v>
      </c>
      <c r="AY101" s="232">
        <f>SUM(T101:W101)</f>
        <v>1891</v>
      </c>
      <c r="AZ101" s="232">
        <f>SUM(X101:AA101)</f>
        <v>1710</v>
      </c>
      <c r="BA101" s="232">
        <f>SUM(AB101:AE101)</f>
        <v>1622.7424250649999</v>
      </c>
      <c r="BB101" s="232">
        <f>SUM(AF101:AI101)</f>
        <v>1641.5422022601001</v>
      </c>
      <c r="BC101" s="379">
        <v>1703.6500643936552</v>
      </c>
      <c r="BD101" s="379">
        <v>1768.8633196338881</v>
      </c>
      <c r="BE101" s="379">
        <v>1837.3372376361326</v>
      </c>
      <c r="BG101" s="379"/>
      <c r="BH101" s="379"/>
    </row>
    <row r="102" spans="1:60" s="369" customFormat="1" x14ac:dyDescent="0.2">
      <c r="A102" s="411"/>
      <c r="B102" s="334"/>
      <c r="C102" s="321" t="s">
        <v>199</v>
      </c>
      <c r="D102" s="478">
        <f t="shared" ref="D102:W102" si="2">D103/D101</f>
        <v>3.2823460281317718E-2</v>
      </c>
      <c r="E102" s="478">
        <f t="shared" si="2"/>
        <v>2.7960811513785329E-2</v>
      </c>
      <c r="F102" s="478">
        <f t="shared" si="2"/>
        <v>2.6357502254020886E-2</v>
      </c>
      <c r="G102" s="478">
        <f t="shared" si="2"/>
        <v>2.8147870144492403E-2</v>
      </c>
      <c r="H102" s="478">
        <f t="shared" si="2"/>
        <v>3.7735849056603772E-2</v>
      </c>
      <c r="I102" s="478">
        <f t="shared" si="2"/>
        <v>3.006993006993007E-2</v>
      </c>
      <c r="J102" s="478">
        <f t="shared" si="2"/>
        <v>3.0916844349680169E-2</v>
      </c>
      <c r="K102" s="478">
        <f t="shared" si="2"/>
        <v>2.5460122699386505E-2</v>
      </c>
      <c r="L102" s="478">
        <f t="shared" si="2"/>
        <v>2.1052631578947368E-2</v>
      </c>
      <c r="M102" s="478">
        <f t="shared" si="2"/>
        <v>2.0875420875420877E-2</v>
      </c>
      <c r="N102" s="478">
        <f t="shared" si="2"/>
        <v>2.3666666666666666E-2</v>
      </c>
      <c r="O102" s="478">
        <f t="shared" si="2"/>
        <v>2.4100719424460432E-2</v>
      </c>
      <c r="P102" s="478">
        <f t="shared" si="2"/>
        <v>2.0710059171597635E-2</v>
      </c>
      <c r="Q102" s="478">
        <f t="shared" si="2"/>
        <v>1.9088937093275488E-2</v>
      </c>
      <c r="R102" s="478">
        <f t="shared" si="2"/>
        <v>1.7605633802816902E-2</v>
      </c>
      <c r="S102" s="478">
        <f t="shared" si="2"/>
        <v>1.5308641975308642E-2</v>
      </c>
      <c r="T102" s="478">
        <f t="shared" si="2"/>
        <v>1.5714285714285715E-2</v>
      </c>
      <c r="U102" s="478">
        <f t="shared" si="2"/>
        <v>1.2549019607843138E-2</v>
      </c>
      <c r="V102" s="478">
        <f t="shared" si="2"/>
        <v>1.1586452762923352E-2</v>
      </c>
      <c r="W102" s="478">
        <f t="shared" si="2"/>
        <v>1.1914893617021275E-2</v>
      </c>
      <c r="X102" s="478">
        <f>X103/X101</f>
        <v>1.0526315789473684E-2</v>
      </c>
      <c r="Y102" s="478">
        <f>Y103/Y101</f>
        <v>6.6954643628509723E-3</v>
      </c>
      <c r="Z102" s="478">
        <f>Z103/Z101</f>
        <v>6.794055201698514E-3</v>
      </c>
      <c r="AA102" s="478">
        <f>AA103/AA101</f>
        <v>7.2289156626506026E-3</v>
      </c>
      <c r="AB102" s="478">
        <f>AB103/AB101</f>
        <v>6.6773116562636086E-3</v>
      </c>
      <c r="AC102" s="261">
        <v>7.0000000000000001E-3</v>
      </c>
      <c r="AD102" s="261">
        <v>7.0000000000000001E-3</v>
      </c>
      <c r="AE102" s="261">
        <v>7.0000000000000001E-3</v>
      </c>
      <c r="AF102" s="261">
        <v>7.0000000000000001E-3</v>
      </c>
      <c r="AG102" s="261">
        <v>7.0000000000000001E-3</v>
      </c>
      <c r="AH102" s="261">
        <v>7.0000000000000001E-3</v>
      </c>
      <c r="AI102" s="261">
        <v>7.0000000000000001E-3</v>
      </c>
      <c r="AJ102" s="261"/>
      <c r="AK102" s="261"/>
      <c r="AL102" s="261"/>
      <c r="AM102" s="261"/>
      <c r="AN102" s="261"/>
      <c r="AO102" s="261"/>
      <c r="AP102" s="261"/>
      <c r="AQ102" s="261"/>
      <c r="AR102" s="70"/>
      <c r="AS102" s="334"/>
      <c r="AT102" s="321" t="s">
        <v>199</v>
      </c>
      <c r="AU102" s="377">
        <f t="shared" ref="AU102:BA102" si="3">AU103/AU101</f>
        <v>2.8620352250489235E-2</v>
      </c>
      <c r="AV102" s="377">
        <f t="shared" si="3"/>
        <v>3.1453362255965296E-2</v>
      </c>
      <c r="AW102" s="377">
        <f t="shared" si="3"/>
        <v>2.2459893048128343E-2</v>
      </c>
      <c r="AX102" s="377">
        <f t="shared" si="3"/>
        <v>1.8098159509202454E-2</v>
      </c>
      <c r="AY102" s="377">
        <f t="shared" si="3"/>
        <v>1.269169751454257E-2</v>
      </c>
      <c r="AZ102" s="377">
        <f t="shared" si="3"/>
        <v>7.6608187134502934E-3</v>
      </c>
      <c r="BA102" s="377">
        <f t="shared" si="3"/>
        <v>6.9315048412593597E-3</v>
      </c>
      <c r="BB102" s="377">
        <f t="shared" ref="BB102" si="4">BB103/BB101</f>
        <v>7.0000000000000001E-3</v>
      </c>
      <c r="BC102" s="261">
        <v>7.0000000000000001E-3</v>
      </c>
      <c r="BD102" s="261">
        <v>7.0000000000000001E-3</v>
      </c>
      <c r="BE102" s="261">
        <v>7.0000000000000001E-3</v>
      </c>
      <c r="BG102" s="1710"/>
      <c r="BH102" s="1710"/>
    </row>
    <row r="103" spans="1:60" s="382" customFormat="1" x14ac:dyDescent="0.2">
      <c r="A103" s="411"/>
      <c r="B103" s="322" t="s">
        <v>197</v>
      </c>
      <c r="C103" s="319"/>
      <c r="D103" s="381">
        <f>Model!D202</f>
        <v>14.3</v>
      </c>
      <c r="E103" s="381">
        <f>Model!E202</f>
        <v>12.9</v>
      </c>
      <c r="F103" s="381">
        <f>Model!F202</f>
        <v>14.5</v>
      </c>
      <c r="G103" s="381">
        <f>Model!G202</f>
        <v>16.8</v>
      </c>
      <c r="H103" s="381">
        <f>Model!H202</f>
        <v>18</v>
      </c>
      <c r="I103" s="381">
        <f>Model!I202</f>
        <v>17.2</v>
      </c>
      <c r="J103" s="381">
        <f>Model!J202</f>
        <v>14.5</v>
      </c>
      <c r="K103" s="381">
        <f>Model!K202</f>
        <v>8.3000000000000007</v>
      </c>
      <c r="L103" s="381">
        <f>Model!L202</f>
        <v>5.2</v>
      </c>
      <c r="M103" s="381">
        <f>Model!M202</f>
        <v>6.2</v>
      </c>
      <c r="N103" s="381">
        <f>Model!N202</f>
        <v>7.1</v>
      </c>
      <c r="O103" s="381">
        <f>Model!O202</f>
        <v>6.7</v>
      </c>
      <c r="P103" s="381">
        <f>Model!P202</f>
        <v>7</v>
      </c>
      <c r="Q103" s="381">
        <f>Model!Q202</f>
        <v>8.8000000000000007</v>
      </c>
      <c r="R103" s="381">
        <f>Model!R202</f>
        <v>7.5</v>
      </c>
      <c r="S103" s="381">
        <f>Model!S202</f>
        <v>6.2</v>
      </c>
      <c r="T103" s="381">
        <f>Model!T202</f>
        <v>5.5</v>
      </c>
      <c r="U103" s="381">
        <f>Model!U202</f>
        <v>6.4</v>
      </c>
      <c r="V103" s="381">
        <f>Model!V202</f>
        <v>6.5</v>
      </c>
      <c r="W103" s="381">
        <f>Model!W202</f>
        <v>5.6</v>
      </c>
      <c r="X103" s="381">
        <f>Model!X202</f>
        <v>3.8</v>
      </c>
      <c r="Y103" s="381">
        <f>Model!Y202</f>
        <v>3.1</v>
      </c>
      <c r="Z103" s="381">
        <f>Model!Z202</f>
        <v>3.2</v>
      </c>
      <c r="AA103" s="381">
        <f>Model!AA202</f>
        <v>3</v>
      </c>
      <c r="AB103" s="381">
        <f>Model!AB202</f>
        <v>2.2999999999999998</v>
      </c>
      <c r="AC103" s="381">
        <f>Model!AC202</f>
        <v>3.1583653849999997</v>
      </c>
      <c r="AD103" s="381">
        <f>Model!AD202</f>
        <v>3.1444506383499999</v>
      </c>
      <c r="AE103" s="381">
        <f>Model!AE202</f>
        <v>2.6452309521050004</v>
      </c>
      <c r="AF103" s="381">
        <f>Model!AF202</f>
        <v>2.3543438364530003</v>
      </c>
      <c r="AG103" s="381">
        <f>Model!AG202</f>
        <v>3.1785239974669999</v>
      </c>
      <c r="AH103" s="381">
        <f>Model!AH202</f>
        <v>3.1785239974669999</v>
      </c>
      <c r="AI103" s="381">
        <f>Model!AI202</f>
        <v>2.7794035844336999</v>
      </c>
      <c r="AJ103" s="381"/>
      <c r="AK103" s="381"/>
      <c r="AL103" s="381"/>
      <c r="AM103" s="381"/>
      <c r="AN103" s="381"/>
      <c r="AO103" s="381"/>
      <c r="AP103" s="381"/>
      <c r="AQ103" s="381"/>
      <c r="AR103" s="70"/>
      <c r="AS103" s="322" t="s">
        <v>197</v>
      </c>
      <c r="AT103" s="319"/>
      <c r="AU103" s="235">
        <f>SUM(D103:G103)</f>
        <v>58.5</v>
      </c>
      <c r="AV103" s="235">
        <f>SUM(H103:K103)</f>
        <v>58</v>
      </c>
      <c r="AW103" s="235">
        <f>SUM(L103:O103)</f>
        <v>25.2</v>
      </c>
      <c r="AX103" s="235">
        <f>SUM(P103:S103)</f>
        <v>29.5</v>
      </c>
      <c r="AY103" s="235">
        <f>SUM(T103:W103)</f>
        <v>24</v>
      </c>
      <c r="AZ103" s="235">
        <f>SUM(X103:AA103)</f>
        <v>13.100000000000001</v>
      </c>
      <c r="BA103" s="235">
        <f>SUM(AB103:AE103)</f>
        <v>11.248046975455001</v>
      </c>
      <c r="BB103" s="235">
        <f>SUM(AF103:AI103)</f>
        <v>11.490795415820701</v>
      </c>
      <c r="BC103" s="235">
        <f>BC102*BC101</f>
        <v>11.925550450755587</v>
      </c>
      <c r="BD103" s="235">
        <f>BD102*BD101</f>
        <v>12.382043237437216</v>
      </c>
      <c r="BE103" s="235">
        <f>BE102*BE101</f>
        <v>12.861360663452929</v>
      </c>
      <c r="BG103" s="235"/>
      <c r="BH103" s="235"/>
    </row>
    <row r="104" spans="1:60" s="160" customFormat="1" x14ac:dyDescent="0.2">
      <c r="A104" s="411"/>
      <c r="B104" s="16"/>
      <c r="C104" s="16"/>
      <c r="D104" s="19"/>
      <c r="E104" s="19"/>
      <c r="F104" s="19"/>
      <c r="G104" s="19"/>
      <c r="H104" s="19"/>
      <c r="I104" s="19"/>
      <c r="J104" s="19"/>
      <c r="K104" s="19"/>
      <c r="L104" s="19"/>
      <c r="M104" s="19"/>
      <c r="N104" s="19"/>
      <c r="O104" s="19"/>
      <c r="P104" s="19"/>
      <c r="Q104" s="19"/>
      <c r="R104" s="19"/>
      <c r="S104" s="19"/>
      <c r="T104" s="19"/>
      <c r="U104" s="19"/>
      <c r="V104" s="19"/>
      <c r="W104" s="19"/>
      <c r="X104" s="19"/>
      <c r="Y104" s="19"/>
      <c r="Z104" s="19"/>
      <c r="AA104" s="19"/>
      <c r="AB104" s="19"/>
      <c r="AC104" s="19"/>
      <c r="AD104" s="19"/>
      <c r="AE104" s="19"/>
      <c r="AF104" s="19"/>
      <c r="AG104" s="19"/>
      <c r="AH104" s="19"/>
      <c r="AI104" s="19"/>
      <c r="AJ104" s="19"/>
      <c r="AK104" s="19"/>
      <c r="AL104" s="19"/>
      <c r="AM104" s="19"/>
      <c r="AN104" s="19"/>
      <c r="AO104" s="19"/>
      <c r="AP104" s="19"/>
      <c r="AQ104" s="19"/>
      <c r="AR104" s="70"/>
      <c r="AS104" s="16"/>
      <c r="AT104" s="16"/>
      <c r="AU104" s="377"/>
      <c r="AV104" s="377"/>
      <c r="AW104" s="377"/>
      <c r="AX104" s="377"/>
      <c r="AY104" s="377"/>
      <c r="AZ104" s="377"/>
      <c r="BA104" s="377"/>
      <c r="BB104" s="377"/>
    </row>
    <row r="105" spans="1:60" s="160" customFormat="1" x14ac:dyDescent="0.2">
      <c r="A105" s="411"/>
      <c r="B105" s="322" t="s">
        <v>202</v>
      </c>
      <c r="C105" s="16"/>
      <c r="D105" s="354">
        <f>Model!D208</f>
        <v>3.727272727272727E-2</v>
      </c>
      <c r="E105" s="354">
        <f>Model!E208</f>
        <v>4.9379844961240309E-2</v>
      </c>
      <c r="F105" s="354">
        <f>Model!F208</f>
        <v>4.7172413793103447E-2</v>
      </c>
      <c r="G105" s="354">
        <f>Model!G208</f>
        <v>3.6607142857142859E-2</v>
      </c>
      <c r="H105" s="354">
        <f>Model!H208</f>
        <v>3.1222222222222221E-2</v>
      </c>
      <c r="I105" s="354">
        <f>Model!I208</f>
        <v>3.4244186046511631E-2</v>
      </c>
      <c r="J105" s="354">
        <f>Model!J208</f>
        <v>1.1517241379310345E-2</v>
      </c>
      <c r="K105" s="354">
        <f>Model!K208</f>
        <v>1.7228915662650602E-2</v>
      </c>
      <c r="L105" s="354">
        <f>Model!L208</f>
        <v>2.4615384615384615E-2</v>
      </c>
      <c r="M105" s="354">
        <f>Model!M208</f>
        <v>2.1612903225806453E-2</v>
      </c>
      <c r="N105" s="354">
        <f>Model!N208</f>
        <v>1.8591549295774647E-2</v>
      </c>
      <c r="O105" s="354">
        <f>Model!O208</f>
        <v>3.8208955223880597E-2</v>
      </c>
      <c r="P105" s="354">
        <f>Model!P208</f>
        <v>2.4142857142857143E-2</v>
      </c>
      <c r="Q105" s="354">
        <f>Model!Q208</f>
        <v>2.034090909090909E-2</v>
      </c>
      <c r="R105" s="354">
        <f>Model!R208</f>
        <v>1.4266666666666667E-2</v>
      </c>
      <c r="S105" s="354">
        <f>Model!S208</f>
        <v>1.7903225806451612E-2</v>
      </c>
      <c r="T105" s="354">
        <f>Model!T208</f>
        <v>1.781818181818182E-2</v>
      </c>
      <c r="U105" s="354">
        <f>Model!U208</f>
        <v>1.421875E-2</v>
      </c>
      <c r="V105" s="354">
        <f>Model!V208</f>
        <v>2.1846153846153845E-2</v>
      </c>
      <c r="W105" s="354">
        <f>Model!W208</f>
        <v>1.8392857142857141E-2</v>
      </c>
      <c r="X105" s="354">
        <f>Model!X208</f>
        <v>1.6578947368421054E-2</v>
      </c>
      <c r="Y105" s="354">
        <f>Model!Y208</f>
        <v>1.6129032258064516E-2</v>
      </c>
      <c r="Z105" s="354">
        <f>Model!Z208</f>
        <v>1.4781249999999999E-2</v>
      </c>
      <c r="AA105" s="354">
        <f>Model!AA208</f>
        <v>2.3033333333333333E-2</v>
      </c>
      <c r="AB105" s="354">
        <f>Model!AB208</f>
        <v>1.4521739130434782E-2</v>
      </c>
      <c r="AC105" s="261">
        <v>1.4999999999999999E-2</v>
      </c>
      <c r="AD105" s="261">
        <v>1.4999999999999999E-2</v>
      </c>
      <c r="AE105" s="261">
        <v>1.4999999999999999E-2</v>
      </c>
      <c r="AF105" s="261">
        <v>1.4999999999999999E-2</v>
      </c>
      <c r="AG105" s="261">
        <v>1.4999999999999999E-2</v>
      </c>
      <c r="AH105" s="261">
        <v>1.4999999999999999E-2</v>
      </c>
      <c r="AI105" s="261">
        <v>1.4999999999999999E-2</v>
      </c>
      <c r="AJ105" s="261"/>
      <c r="AK105" s="261"/>
      <c r="AL105" s="261"/>
      <c r="AM105" s="261"/>
      <c r="AN105" s="261"/>
      <c r="AO105" s="261"/>
      <c r="AP105" s="261"/>
      <c r="AQ105" s="261"/>
      <c r="AR105" s="70"/>
      <c r="AS105" s="322" t="s">
        <v>202</v>
      </c>
      <c r="AT105" s="16"/>
      <c r="AU105" s="354">
        <f>Model!AU208</f>
        <v>4.2205128205128208E-2</v>
      </c>
      <c r="AV105" s="354">
        <f>Model!AV208</f>
        <v>2.5189655172413793E-2</v>
      </c>
      <c r="AW105" s="354">
        <f>Model!AW208</f>
        <v>2.5793650793650792E-2</v>
      </c>
      <c r="AX105" s="354">
        <f>Model!AX208</f>
        <v>1.9186440677966102E-2</v>
      </c>
      <c r="AY105" s="354">
        <f>Model!AY208</f>
        <v>1.8083333333333333E-2</v>
      </c>
      <c r="AZ105" s="354">
        <f>Model!AZ208</f>
        <v>1.7511450381679387E-2</v>
      </c>
      <c r="BA105" s="354">
        <f>Model!BA208</f>
        <v>1.4902205244839357E-2</v>
      </c>
      <c r="BB105" s="354">
        <f>Model!BB208</f>
        <v>1.4999999999999996E-2</v>
      </c>
      <c r="BC105" s="261">
        <v>1.55E-2</v>
      </c>
      <c r="BD105" s="261">
        <v>1.6E-2</v>
      </c>
      <c r="BE105" s="261">
        <v>1.6E-2</v>
      </c>
      <c r="BG105" s="1710"/>
      <c r="BH105" s="1710"/>
    </row>
    <row r="106" spans="1:60" s="160" customFormat="1" x14ac:dyDescent="0.2">
      <c r="A106" s="411"/>
      <c r="B106" s="17"/>
      <c r="C106" s="16"/>
      <c r="D106" s="24"/>
      <c r="E106" s="24"/>
      <c r="F106" s="24"/>
      <c r="G106" s="24"/>
      <c r="H106" s="24"/>
      <c r="I106" s="24"/>
      <c r="J106" s="24"/>
      <c r="K106" s="24"/>
      <c r="L106" s="24"/>
      <c r="M106" s="24"/>
      <c r="N106" s="24"/>
      <c r="O106" s="24"/>
      <c r="P106" s="24"/>
      <c r="Q106" s="24"/>
      <c r="R106" s="24"/>
      <c r="S106" s="24"/>
      <c r="T106" s="24"/>
      <c r="U106" s="24"/>
      <c r="V106" s="24"/>
      <c r="W106" s="24"/>
      <c r="X106" s="24"/>
      <c r="Y106" s="24"/>
      <c r="Z106" s="24"/>
      <c r="AA106" s="24"/>
      <c r="AB106" s="24"/>
      <c r="AC106" s="19"/>
      <c r="AD106" s="19"/>
      <c r="AE106" s="19"/>
      <c r="AF106" s="19"/>
      <c r="AG106" s="19"/>
      <c r="AH106" s="19"/>
      <c r="AI106" s="19"/>
      <c r="AJ106" s="19"/>
      <c r="AK106" s="19"/>
      <c r="AL106" s="19"/>
      <c r="AM106" s="19"/>
      <c r="AN106" s="19"/>
      <c r="AO106" s="19"/>
      <c r="AP106" s="19"/>
      <c r="AQ106" s="19"/>
      <c r="AR106" s="70"/>
      <c r="AS106" s="17"/>
      <c r="AT106" s="16"/>
    </row>
    <row r="107" spans="1:60" s="160" customFormat="1" x14ac:dyDescent="0.2">
      <c r="A107" s="411"/>
      <c r="B107" s="337" t="s">
        <v>612</v>
      </c>
      <c r="C107" s="11"/>
      <c r="D107" s="158"/>
      <c r="E107" s="158"/>
      <c r="F107" s="158"/>
      <c r="G107" s="158"/>
      <c r="H107" s="158"/>
      <c r="I107" s="158"/>
      <c r="J107" s="158"/>
      <c r="K107" s="158"/>
      <c r="L107" s="158"/>
      <c r="M107" s="158"/>
      <c r="N107" s="158"/>
      <c r="O107" s="158"/>
      <c r="P107" s="158"/>
      <c r="Q107" s="158"/>
      <c r="R107" s="158"/>
      <c r="S107" s="158"/>
      <c r="T107" s="158"/>
      <c r="U107" s="158"/>
      <c r="V107" s="158"/>
      <c r="W107" s="158"/>
      <c r="X107" s="158"/>
      <c r="Y107" s="158"/>
      <c r="Z107" s="158"/>
      <c r="AA107" s="158"/>
      <c r="AB107" s="158"/>
      <c r="AC107" s="158"/>
      <c r="AD107" s="158"/>
      <c r="AE107" s="158"/>
      <c r="AF107" s="158"/>
      <c r="AG107" s="158"/>
      <c r="AH107" s="158"/>
      <c r="AI107" s="158"/>
      <c r="AJ107" s="158"/>
      <c r="AK107" s="158"/>
      <c r="AL107" s="158"/>
      <c r="AM107" s="158"/>
      <c r="AN107" s="158"/>
      <c r="AO107" s="158"/>
      <c r="AP107" s="158"/>
      <c r="AQ107" s="158"/>
      <c r="AR107" s="70"/>
      <c r="AS107" s="337" t="s">
        <v>612</v>
      </c>
      <c r="AT107" s="11"/>
      <c r="AU107" s="12"/>
      <c r="AV107" s="12"/>
      <c r="AW107" s="12"/>
      <c r="AX107" s="12"/>
      <c r="AY107" s="12"/>
      <c r="AZ107" s="12"/>
      <c r="BA107" s="12"/>
      <c r="BB107" s="12"/>
      <c r="BC107" s="12"/>
      <c r="BD107" s="12"/>
      <c r="BE107" s="12"/>
      <c r="BG107" s="15"/>
      <c r="BH107" s="15"/>
    </row>
    <row r="108" spans="1:60" s="160" customFormat="1" x14ac:dyDescent="0.2">
      <c r="A108" s="411"/>
      <c r="B108" s="334" t="s">
        <v>618</v>
      </c>
      <c r="C108" s="16"/>
      <c r="D108" s="24">
        <f>Model!D197</f>
        <v>2.0544836842546769E-2</v>
      </c>
      <c r="E108" s="24">
        <f>Model!E197</f>
        <v>1.9404279930595722E-2</v>
      </c>
      <c r="F108" s="24">
        <f>Model!F197</f>
        <v>1.8263277591973243E-2</v>
      </c>
      <c r="G108" s="24">
        <f>Model!G197</f>
        <v>1.7654863823293586E-2</v>
      </c>
      <c r="H108" s="24">
        <f>Model!H197</f>
        <v>1.7216092399019226E-2</v>
      </c>
      <c r="I108" s="24">
        <f>Model!I197</f>
        <v>1.6339356845685962E-2</v>
      </c>
      <c r="J108" s="24">
        <f>Model!J197</f>
        <v>1.4334239130434781E-2</v>
      </c>
      <c r="K108" s="24">
        <f>Model!K197</f>
        <v>1.3127726582030291E-2</v>
      </c>
      <c r="L108" s="24">
        <f>Model!L197</f>
        <v>1.1987977938898184E-2</v>
      </c>
      <c r="M108" s="24">
        <f>Model!M197</f>
        <v>1.2240316659438394E-2</v>
      </c>
      <c r="N108" s="24">
        <f>Model!N197</f>
        <v>1.2678835568272751E-2</v>
      </c>
      <c r="O108" s="24">
        <f>Model!O197</f>
        <v>1.3246752459890454E-2</v>
      </c>
      <c r="P108" s="24">
        <f>Model!P197</f>
        <v>1.2364498644986449E-2</v>
      </c>
      <c r="Q108" s="24">
        <f>Model!Q197</f>
        <v>1.2909186422249235E-2</v>
      </c>
      <c r="R108" s="24">
        <f>Model!R197</f>
        <v>1.3253798954987775E-2</v>
      </c>
      <c r="S108" s="24">
        <f>Model!S197</f>
        <v>1.3531169018139937E-2</v>
      </c>
      <c r="T108" s="24">
        <f>Model!T197</f>
        <v>1.4208316600343178E-2</v>
      </c>
      <c r="U108" s="24">
        <f>Model!U197</f>
        <v>1.4069192751235584E-2</v>
      </c>
      <c r="V108" s="24">
        <f>Model!V197</f>
        <v>1.41478119015533E-2</v>
      </c>
      <c r="W108" s="24">
        <f>Model!W197</f>
        <v>1.3795582047685833E-2</v>
      </c>
      <c r="X108" s="24">
        <f>Model!X197</f>
        <v>1.4713686732554658E-2</v>
      </c>
      <c r="Y108" s="24">
        <f>Model!Y197</f>
        <v>1.5146846670347481E-2</v>
      </c>
      <c r="Z108" s="24">
        <f>Model!Z197</f>
        <v>1.588249533571074E-2</v>
      </c>
      <c r="AA108" s="24">
        <f>Model!AA197</f>
        <v>1.6547083601056615E-2</v>
      </c>
      <c r="AB108" s="24">
        <f>Model!AB197</f>
        <v>1.670198390762238E-2</v>
      </c>
      <c r="AC108" s="261">
        <v>1.5299999999999999E-2</v>
      </c>
      <c r="AD108" s="261">
        <v>1.5299999999999999E-2</v>
      </c>
      <c r="AE108" s="261">
        <v>1.5299999999999999E-2</v>
      </c>
      <c r="AF108" s="261">
        <v>1.5299999999999999E-2</v>
      </c>
      <c r="AG108" s="261">
        <v>1.5299999999999999E-2</v>
      </c>
      <c r="AH108" s="261">
        <v>1.5299999999999999E-2</v>
      </c>
      <c r="AI108" s="261">
        <v>1.5299999999999999E-2</v>
      </c>
      <c r="AJ108" s="261"/>
      <c r="AK108" s="261"/>
      <c r="AL108" s="261"/>
      <c r="AM108" s="261"/>
      <c r="AN108" s="261"/>
      <c r="AO108" s="261"/>
      <c r="AP108" s="261"/>
      <c r="AQ108" s="261"/>
      <c r="AR108" s="70"/>
      <c r="AS108" s="334" t="s">
        <v>618</v>
      </c>
      <c r="AT108" s="16"/>
      <c r="AU108" s="24">
        <f>Model!AU197</f>
        <v>1.8937287611986407E-2</v>
      </c>
      <c r="AV108" s="24">
        <f>Model!AV197</f>
        <v>1.5224735184655024E-2</v>
      </c>
      <c r="AW108" s="24">
        <f>Model!AW197</f>
        <v>1.2542136787853462E-2</v>
      </c>
      <c r="AX108" s="24">
        <f>Model!AX197</f>
        <v>1.3019781435883246E-2</v>
      </c>
      <c r="AY108" s="24">
        <f>Model!AY197</f>
        <v>1.4054054054054054E-2</v>
      </c>
      <c r="AZ108" s="24">
        <f>Model!AZ197</f>
        <v>1.5573637103336042E-2</v>
      </c>
      <c r="BA108" s="24">
        <f>Model!BA197</f>
        <v>1.564487159950918E-2</v>
      </c>
      <c r="BB108" s="24">
        <f>Model!BB197</f>
        <v>1.530073120705332E-2</v>
      </c>
      <c r="BC108" s="261">
        <v>1.55E-2</v>
      </c>
      <c r="BD108" s="261">
        <v>1.55E-2</v>
      </c>
      <c r="BE108" s="261">
        <v>1.55E-2</v>
      </c>
      <c r="BG108" s="1710"/>
      <c r="BH108" s="1710"/>
    </row>
    <row r="109" spans="1:60" s="70" customFormat="1" x14ac:dyDescent="0.2">
      <c r="A109" s="411"/>
      <c r="B109" s="16"/>
      <c r="C109" s="16"/>
      <c r="D109" s="15"/>
      <c r="E109" s="15"/>
      <c r="F109" s="15"/>
      <c r="G109" s="15"/>
      <c r="H109" s="15"/>
      <c r="I109" s="15"/>
      <c r="J109" s="15"/>
      <c r="K109" s="15"/>
      <c r="L109" s="15"/>
      <c r="M109" s="15"/>
      <c r="N109" s="15"/>
      <c r="O109" s="15"/>
      <c r="P109" s="15"/>
      <c r="Q109" s="15"/>
      <c r="R109" s="15"/>
      <c r="S109" s="15"/>
      <c r="T109" s="15"/>
      <c r="U109" s="15"/>
      <c r="V109" s="15"/>
      <c r="W109" s="15"/>
      <c r="X109" s="15"/>
      <c r="Y109" s="15"/>
      <c r="Z109" s="15"/>
      <c r="AA109" s="15"/>
      <c r="AB109" s="15"/>
      <c r="AC109" s="15"/>
      <c r="AD109" s="15"/>
      <c r="AE109" s="15"/>
      <c r="AF109" s="15"/>
      <c r="AG109" s="15"/>
      <c r="AH109" s="15"/>
      <c r="AI109" s="15"/>
      <c r="AJ109" s="15"/>
      <c r="AK109" s="15"/>
      <c r="AL109" s="15"/>
      <c r="AM109" s="15"/>
      <c r="AN109" s="15"/>
      <c r="AO109" s="15"/>
      <c r="AP109" s="15"/>
      <c r="AQ109" s="15"/>
      <c r="AS109" s="16"/>
      <c r="AT109" s="16"/>
      <c r="AU109" s="16"/>
      <c r="AV109" s="16"/>
      <c r="AW109" s="16"/>
      <c r="AX109" s="16"/>
      <c r="AY109" s="16"/>
      <c r="AZ109" s="16"/>
      <c r="BA109" s="16"/>
      <c r="BB109" s="16"/>
      <c r="BC109" s="16"/>
      <c r="BD109" s="16"/>
      <c r="BE109" s="16"/>
      <c r="BG109" s="16"/>
      <c r="BH109" s="16"/>
    </row>
    <row r="110" spans="1:60" s="70" customFormat="1" x14ac:dyDescent="0.2">
      <c r="A110" s="411"/>
      <c r="B110" s="16"/>
      <c r="C110" s="16"/>
      <c r="D110" s="15"/>
      <c r="E110" s="15"/>
      <c r="F110" s="15"/>
      <c r="G110" s="15"/>
      <c r="H110" s="15"/>
      <c r="I110" s="15"/>
      <c r="J110" s="15"/>
      <c r="K110" s="15"/>
      <c r="L110" s="15"/>
      <c r="M110" s="15"/>
      <c r="N110" s="15"/>
      <c r="O110" s="15"/>
      <c r="P110" s="15"/>
      <c r="Q110" s="15"/>
      <c r="R110" s="15"/>
      <c r="S110" s="15"/>
      <c r="T110" s="15"/>
      <c r="U110" s="15"/>
      <c r="V110" s="15"/>
      <c r="W110" s="15"/>
      <c r="X110" s="15"/>
      <c r="Y110" s="15"/>
      <c r="Z110" s="15"/>
      <c r="AA110" s="15"/>
      <c r="AB110" s="15"/>
      <c r="AC110" s="15"/>
      <c r="AD110" s="15"/>
      <c r="AE110" s="15"/>
      <c r="AF110" s="15"/>
      <c r="AG110" s="15"/>
      <c r="AH110" s="15"/>
      <c r="AI110" s="15"/>
      <c r="AJ110" s="15"/>
      <c r="AK110" s="15"/>
      <c r="AL110" s="15"/>
      <c r="AM110" s="15"/>
      <c r="AN110" s="15"/>
      <c r="AO110" s="15"/>
      <c r="AP110" s="15"/>
      <c r="AQ110" s="15"/>
      <c r="AS110" s="16"/>
      <c r="AT110" s="16"/>
      <c r="AU110" s="16"/>
      <c r="AV110" s="16"/>
      <c r="AW110" s="16"/>
      <c r="AX110" s="16"/>
      <c r="AY110" s="16"/>
      <c r="AZ110" s="16"/>
      <c r="BA110" s="16"/>
      <c r="BB110" s="16"/>
      <c r="BC110" s="16"/>
      <c r="BD110" s="16"/>
      <c r="BE110" s="16"/>
      <c r="BG110" s="16"/>
      <c r="BH110" s="16"/>
    </row>
    <row r="111" spans="1:60" s="160" customFormat="1" x14ac:dyDescent="0.2">
      <c r="A111" s="411"/>
      <c r="B111" s="337" t="s">
        <v>465</v>
      </c>
      <c r="C111" s="11"/>
      <c r="D111" s="158"/>
      <c r="E111" s="158"/>
      <c r="F111" s="158"/>
      <c r="G111" s="158"/>
      <c r="H111" s="158"/>
      <c r="I111" s="158"/>
      <c r="J111" s="158"/>
      <c r="K111" s="158"/>
      <c r="L111" s="158"/>
      <c r="M111" s="158"/>
      <c r="N111" s="158"/>
      <c r="O111" s="158"/>
      <c r="P111" s="158"/>
      <c r="Q111" s="158"/>
      <c r="R111" s="158"/>
      <c r="S111" s="158"/>
      <c r="T111" s="158"/>
      <c r="U111" s="158"/>
      <c r="V111" s="158"/>
      <c r="W111" s="158"/>
      <c r="X111" s="158"/>
      <c r="Y111" s="158"/>
      <c r="Z111" s="158"/>
      <c r="AA111" s="158"/>
      <c r="AB111" s="158"/>
      <c r="AC111" s="158"/>
      <c r="AD111" s="158"/>
      <c r="AE111" s="158"/>
      <c r="AF111" s="158"/>
      <c r="AG111" s="158"/>
      <c r="AH111" s="158"/>
      <c r="AI111" s="158"/>
      <c r="AJ111" s="158"/>
      <c r="AK111" s="158"/>
      <c r="AL111" s="158"/>
      <c r="AM111" s="158"/>
      <c r="AN111" s="158"/>
      <c r="AO111" s="158"/>
      <c r="AP111" s="158"/>
      <c r="AQ111" s="158"/>
      <c r="AR111" s="70"/>
      <c r="AS111" s="337" t="s">
        <v>465</v>
      </c>
      <c r="AT111" s="11"/>
      <c r="AU111" s="12"/>
      <c r="AV111" s="12"/>
      <c r="AW111" s="12"/>
      <c r="AX111" s="12"/>
      <c r="AY111" s="12"/>
      <c r="AZ111" s="12"/>
      <c r="BA111" s="12"/>
      <c r="BB111" s="12"/>
      <c r="BC111" s="12"/>
      <c r="BD111" s="12"/>
      <c r="BE111" s="12"/>
      <c r="BG111" s="15"/>
      <c r="BH111" s="15"/>
    </row>
    <row r="112" spans="1:60" s="70" customFormat="1" x14ac:dyDescent="0.2">
      <c r="A112" s="411"/>
      <c r="B112" s="9" t="s">
        <v>123</v>
      </c>
      <c r="C112" s="9"/>
      <c r="D112" s="68">
        <f>Model!D1505</f>
        <v>0.51324693198761329</v>
      </c>
      <c r="E112" s="68">
        <f>Model!E1505</f>
        <v>0.53487827715355807</v>
      </c>
      <c r="F112" s="68">
        <f>Model!F1505</f>
        <v>0.52214765100671146</v>
      </c>
      <c r="G112" s="68">
        <f>Model!G1505</f>
        <v>0.56497552291944819</v>
      </c>
      <c r="H112" s="68">
        <f>Model!H1505</f>
        <v>0.52686703096539167</v>
      </c>
      <c r="I112" s="68">
        <f>Model!I1505</f>
        <v>0.52539084788314505</v>
      </c>
      <c r="J112" s="68">
        <f>Model!J1505</f>
        <v>0.54475457170356112</v>
      </c>
      <c r="K112" s="68">
        <f>Model!K1505</f>
        <v>0.54545454545454541</v>
      </c>
      <c r="L112" s="68">
        <f>Model!L1505</f>
        <v>0.54434616304087979</v>
      </c>
      <c r="M112" s="68">
        <f>Model!M1505</f>
        <v>0.566627358490566</v>
      </c>
      <c r="N112" s="68">
        <f>Model!N1505</f>
        <v>0.52869366799771822</v>
      </c>
      <c r="O112" s="68">
        <f>Model!O1505</f>
        <v>0.54087540528022238</v>
      </c>
      <c r="P112" s="68">
        <f>Model!P1505</f>
        <v>0.52197135226996849</v>
      </c>
      <c r="Q112" s="68">
        <f>Model!Q1505</f>
        <v>0.53321850393700787</v>
      </c>
      <c r="R112" s="68">
        <f>Model!R1505</f>
        <v>0.52347912278528064</v>
      </c>
      <c r="S112" s="68">
        <f>Model!S1505</f>
        <v>0.5554133606347581</v>
      </c>
      <c r="T112" s="68">
        <f>Model!T1505</f>
        <v>0.57052113041223751</v>
      </c>
      <c r="U112" s="68">
        <f>Model!U1505</f>
        <v>0.5599426635392234</v>
      </c>
      <c r="V112" s="68">
        <f>Model!V1505</f>
        <v>0.54250367466927973</v>
      </c>
      <c r="W112" s="68">
        <f>Model!W1505</f>
        <v>0.54675536588427265</v>
      </c>
      <c r="X112" s="68">
        <f>Model!X1505</f>
        <v>0.56729543716543462</v>
      </c>
      <c r="Y112" s="68">
        <f>Model!Y1505</f>
        <v>0.56199677938808379</v>
      </c>
      <c r="Z112" s="68">
        <f>Model!Z1505</f>
        <v>0.52561983471074381</v>
      </c>
      <c r="AA112" s="68">
        <f>Model!AA1505</f>
        <v>0.54006391288909927</v>
      </c>
      <c r="AB112" s="68">
        <f>Model!AB1505</f>
        <v>0.55508122850705566</v>
      </c>
      <c r="AC112" s="68">
        <f>Model!AC1505</f>
        <v>0.53884194706991306</v>
      </c>
      <c r="AD112" s="68">
        <f>Model!AD1505</f>
        <v>0.53404561216820245</v>
      </c>
      <c r="AE112" s="68">
        <f>Model!AE1505</f>
        <v>0.53439673918964514</v>
      </c>
      <c r="AF112" s="68">
        <f>Model!AF1505</f>
        <v>0.53004632373331484</v>
      </c>
      <c r="AG112" s="68">
        <f>Model!AG1505</f>
        <v>0.52496401291889394</v>
      </c>
      <c r="AH112" s="68">
        <f>Model!AH1505</f>
        <v>0.51931438323621015</v>
      </c>
      <c r="AI112" s="68">
        <f>Model!AI1505</f>
        <v>0.51965609488357722</v>
      </c>
      <c r="AJ112" s="68"/>
      <c r="AK112" s="68"/>
      <c r="AL112" s="68"/>
      <c r="AM112" s="68"/>
      <c r="AN112" s="68"/>
      <c r="AO112" s="68"/>
      <c r="AP112" s="68"/>
      <c r="AQ112" s="68"/>
      <c r="AS112" s="9" t="s">
        <v>123</v>
      </c>
      <c r="AT112" s="9"/>
      <c r="AU112" s="68">
        <f>Model!AU1505</f>
        <v>0.53397175414168396</v>
      </c>
      <c r="AV112" s="68">
        <f>Model!AV1505</f>
        <v>0.53542666085186796</v>
      </c>
      <c r="AW112" s="68">
        <f>Model!AW1505</f>
        <v>0.54498204222267643</v>
      </c>
      <c r="AX112" s="68">
        <f>Model!AX1505</f>
        <v>0.53328578958791972</v>
      </c>
      <c r="AY112" s="68">
        <f>Model!AY1505</f>
        <v>0.55468130334084198</v>
      </c>
      <c r="AZ112" s="68">
        <f>Model!AZ1505</f>
        <v>0.54823679883062304</v>
      </c>
      <c r="BA112" s="68">
        <f>Model!BA1505</f>
        <v>0.54048273925674117</v>
      </c>
      <c r="BB112" s="68">
        <f>Model!BB1505</f>
        <v>0.52338674011712716</v>
      </c>
      <c r="BC112" s="68">
        <f>Model!BC1505</f>
        <v>0.509515951760526</v>
      </c>
      <c r="BD112" s="68">
        <f>Model!BD1505</f>
        <v>0.49977500378719358</v>
      </c>
      <c r="BE112" s="68">
        <f>Model!BE1505</f>
        <v>0.50053661793863968</v>
      </c>
      <c r="BG112" s="21"/>
      <c r="BH112" s="21"/>
    </row>
    <row r="113" spans="1:60" s="70" customFormat="1" x14ac:dyDescent="0.2">
      <c r="A113" s="411"/>
      <c r="B113" s="35"/>
      <c r="C113" s="9" t="s">
        <v>178</v>
      </c>
      <c r="D113" s="68">
        <f>Model!D1506</f>
        <v>0.46811345897582335</v>
      </c>
      <c r="E113" s="68">
        <f>Model!E1506</f>
        <v>0.4967219436945623</v>
      </c>
      <c r="F113" s="68">
        <f>Model!F1506</f>
        <v>0.47506417308397508</v>
      </c>
      <c r="G113" s="68">
        <f>Model!G1506</f>
        <v>0.51842933876643826</v>
      </c>
      <c r="H113" s="68">
        <f>Model!H1506</f>
        <v>0.49142085984191247</v>
      </c>
      <c r="I113" s="68">
        <f>Model!I1506</f>
        <v>0.48888888888888887</v>
      </c>
      <c r="J113" s="68">
        <f>Model!J1506</f>
        <v>0.51423228755453976</v>
      </c>
      <c r="K113" s="68">
        <f>Model!K1506</f>
        <v>0.51263902932254801</v>
      </c>
      <c r="L113" s="68">
        <f>Model!L1506</f>
        <v>0.51153212520593083</v>
      </c>
      <c r="M113" s="68">
        <f>Model!M1506</f>
        <v>0.49299835255354202</v>
      </c>
      <c r="N113" s="68">
        <f>Model!N1506</f>
        <v>0.48500986193293888</v>
      </c>
      <c r="O113" s="68">
        <f>Model!O1506</f>
        <v>0.49467570183930298</v>
      </c>
      <c r="P113" s="68">
        <f>Model!P1506</f>
        <v>0.46685303514376997</v>
      </c>
      <c r="Q113" s="68">
        <f>Model!Q1506</f>
        <v>0.47751650165016502</v>
      </c>
      <c r="R113" s="68">
        <f>Model!R1506</f>
        <v>0.47830578512396693</v>
      </c>
      <c r="S113" s="68">
        <f>Model!S1506</f>
        <v>0.49823614857854326</v>
      </c>
      <c r="T113" s="68">
        <f>Model!T1506</f>
        <v>0.51759834368530022</v>
      </c>
      <c r="U113" s="68">
        <f>Model!U1506</f>
        <v>0.51518369080484183</v>
      </c>
      <c r="V113" s="68">
        <f>Model!V1506</f>
        <v>0.50280953303623332</v>
      </c>
      <c r="W113" s="68">
        <f>Model!W1506</f>
        <v>0.50148250642419445</v>
      </c>
      <c r="X113" s="68">
        <f>Model!X1506</f>
        <v>0.52517694641051571</v>
      </c>
      <c r="Y113" s="68">
        <f>Model!Y1506</f>
        <v>0.5252729478366357</v>
      </c>
      <c r="Z113" s="68">
        <f>Model!Z1506</f>
        <v>0.47758322108908985</v>
      </c>
      <c r="AA113" s="68">
        <f>Model!AA1506</f>
        <v>0.49556155924353529</v>
      </c>
      <c r="AB113" s="68">
        <f>Model!AB1506</f>
        <v>0.51289509404692646</v>
      </c>
      <c r="AC113" s="271">
        <v>0.49</v>
      </c>
      <c r="AD113" s="271">
        <v>0.49</v>
      </c>
      <c r="AE113" s="271">
        <v>0.49</v>
      </c>
      <c r="AF113" s="271">
        <v>0.49</v>
      </c>
      <c r="AG113" s="271">
        <v>0.48499999999999999</v>
      </c>
      <c r="AH113" s="271">
        <v>0.48</v>
      </c>
      <c r="AI113" s="271">
        <v>0.48</v>
      </c>
      <c r="AJ113" s="271"/>
      <c r="AK113" s="271"/>
      <c r="AL113" s="271"/>
      <c r="AM113" s="271"/>
      <c r="AN113" s="271"/>
      <c r="AO113" s="271"/>
      <c r="AP113" s="271"/>
      <c r="AQ113" s="271"/>
      <c r="AS113" s="35"/>
      <c r="AT113" s="9" t="s">
        <v>178</v>
      </c>
      <c r="AU113" s="68">
        <f>Model!AU1506</f>
        <v>0.48962051474732293</v>
      </c>
      <c r="AV113" s="68">
        <f>Model!AV1506</f>
        <v>0.50146948941469494</v>
      </c>
      <c r="AW113" s="68">
        <f>Model!AW1506</f>
        <v>0.49591417255727677</v>
      </c>
      <c r="AX113" s="68">
        <f>Model!AX1506</f>
        <v>0.48009223674096846</v>
      </c>
      <c r="AY113" s="68">
        <f>Model!AY1506</f>
        <v>0.50903385798876466</v>
      </c>
      <c r="AZ113" s="68">
        <f>Model!AZ1506</f>
        <v>0.50542673902318702</v>
      </c>
      <c r="BA113" s="68">
        <f>Model!BA1506</f>
        <v>0.49573530425341561</v>
      </c>
      <c r="BB113" s="68">
        <f>Model!BB1506</f>
        <v>0.4836626147314857</v>
      </c>
      <c r="BC113" s="271">
        <v>0.47</v>
      </c>
      <c r="BD113" s="271">
        <v>0.46</v>
      </c>
      <c r="BE113" s="271">
        <v>0.46500000000000002</v>
      </c>
      <c r="BG113" s="853"/>
      <c r="BH113" s="1710"/>
    </row>
    <row r="114" spans="1:60" s="70" customFormat="1" x14ac:dyDescent="0.2">
      <c r="A114" s="411"/>
      <c r="B114" s="35"/>
      <c r="C114" s="9" t="s">
        <v>179</v>
      </c>
      <c r="D114" s="68">
        <f>Model!D1507</f>
        <v>0.51068228807718818</v>
      </c>
      <c r="E114" s="68">
        <f>Model!E1507</f>
        <v>0.53189964157706093</v>
      </c>
      <c r="F114" s="68">
        <f>Model!F1507</f>
        <v>0.54121621621621618</v>
      </c>
      <c r="G114" s="68">
        <f>Model!G1507</f>
        <v>0.56301983365323094</v>
      </c>
      <c r="H114" s="68">
        <f>Model!H1507</f>
        <v>0.51415984896161104</v>
      </c>
      <c r="I114" s="68">
        <f>Model!I1507</f>
        <v>0.53803339517625237</v>
      </c>
      <c r="J114" s="68">
        <f>Model!J1507</f>
        <v>0.53593947036569989</v>
      </c>
      <c r="K114" s="68">
        <f>Model!K1507</f>
        <v>0.51628182356423924</v>
      </c>
      <c r="L114" s="68">
        <f>Model!L1507</f>
        <v>0.54923273657289007</v>
      </c>
      <c r="M114" s="68">
        <f>Model!M1507</f>
        <v>0.56088560885608851</v>
      </c>
      <c r="N114" s="68">
        <f>Model!N1507</f>
        <v>0.53289863663307646</v>
      </c>
      <c r="O114" s="68">
        <f>Model!O1507</f>
        <v>0.55208333333333337</v>
      </c>
      <c r="P114" s="68">
        <f>Model!P1507</f>
        <v>0.5598591549295775</v>
      </c>
      <c r="Q114" s="68">
        <f>Model!Q1507</f>
        <v>0.5936619718309859</v>
      </c>
      <c r="R114" s="68">
        <f>Model!R1507</f>
        <v>0.51663405088062619</v>
      </c>
      <c r="S114" s="68">
        <f>Model!S1507</f>
        <v>0.60859896219421794</v>
      </c>
      <c r="T114" s="68">
        <f>Model!T1507</f>
        <v>0.58421480878763221</v>
      </c>
      <c r="U114" s="68">
        <f>Model!U1507</f>
        <v>0.58656957928802589</v>
      </c>
      <c r="V114" s="68">
        <f>Model!V1507</f>
        <v>0.56787148594377512</v>
      </c>
      <c r="W114" s="68">
        <f>Model!W1507</f>
        <v>0.56765676567656764</v>
      </c>
      <c r="X114" s="68">
        <f>Model!X1507</f>
        <v>0.57155098543273353</v>
      </c>
      <c r="Y114" s="68">
        <f>Model!Y1507</f>
        <v>0.56957186544342508</v>
      </c>
      <c r="Z114" s="68">
        <f>Model!Z1507</f>
        <v>0.56123919308357351</v>
      </c>
      <c r="AA114" s="68">
        <f>Model!AA1507</f>
        <v>0.56512141280353201</v>
      </c>
      <c r="AB114" s="68">
        <f>Model!AB1507</f>
        <v>0.56347438752783963</v>
      </c>
      <c r="AC114" s="271">
        <v>0.55500000000000005</v>
      </c>
      <c r="AD114" s="271">
        <v>0.55000000000000004</v>
      </c>
      <c r="AE114" s="271">
        <v>0.55000000000000004</v>
      </c>
      <c r="AF114" s="271">
        <v>0.54</v>
      </c>
      <c r="AG114" s="271">
        <v>0.54</v>
      </c>
      <c r="AH114" s="271">
        <v>0.53</v>
      </c>
      <c r="AI114" s="271">
        <v>0.53</v>
      </c>
      <c r="AJ114" s="271"/>
      <c r="AK114" s="271"/>
      <c r="AL114" s="271"/>
      <c r="AM114" s="271"/>
      <c r="AN114" s="271"/>
      <c r="AO114" s="271"/>
      <c r="AP114" s="271"/>
      <c r="AQ114" s="271"/>
      <c r="AS114" s="35"/>
      <c r="AT114" s="9" t="s">
        <v>179</v>
      </c>
      <c r="AU114" s="68">
        <f>Model!AU1507</f>
        <v>0.53727288164374254</v>
      </c>
      <c r="AV114" s="68">
        <f>Model!AV1507</f>
        <v>0.52599907421694181</v>
      </c>
      <c r="AW114" s="68">
        <f>Model!AW1507</f>
        <v>0.54862498079582112</v>
      </c>
      <c r="AX114" s="68">
        <f>Model!AX1507</f>
        <v>0.56815798671793083</v>
      </c>
      <c r="AY114" s="68">
        <f>Model!AY1507</f>
        <v>0.57659488013002846</v>
      </c>
      <c r="AZ114" s="68">
        <f>Model!AZ1507</f>
        <v>0.56664113366526236</v>
      </c>
      <c r="BA114" s="68">
        <f>Model!BA1507</f>
        <v>0.55444660970454573</v>
      </c>
      <c r="BB114" s="68">
        <f>Model!BB1507</f>
        <v>0.5348752318888752</v>
      </c>
      <c r="BC114" s="271">
        <v>0.52</v>
      </c>
      <c r="BD114" s="271">
        <v>0.51</v>
      </c>
      <c r="BE114" s="271">
        <v>0.51</v>
      </c>
      <c r="BG114" s="853"/>
      <c r="BH114" s="1710"/>
    </row>
    <row r="115" spans="1:60" s="70" customFormat="1" x14ac:dyDescent="0.2">
      <c r="A115" s="411"/>
      <c r="B115" s="329"/>
      <c r="C115" s="9" t="s">
        <v>230</v>
      </c>
      <c r="D115" s="68">
        <f>Model!D1508</f>
        <v>0.63275434243176176</v>
      </c>
      <c r="E115" s="68">
        <f>Model!E1508</f>
        <v>0.63779928680590936</v>
      </c>
      <c r="F115" s="68">
        <f>Model!F1508</f>
        <v>0.63609172482552345</v>
      </c>
      <c r="G115" s="68">
        <f>Model!G1508</f>
        <v>0.69052319842053311</v>
      </c>
      <c r="H115" s="68">
        <f>Model!H1508</f>
        <v>0.62848605577689243</v>
      </c>
      <c r="I115" s="68">
        <f>Model!I1508</f>
        <v>0.60813492063492058</v>
      </c>
      <c r="J115" s="68">
        <f>Model!J1508</f>
        <v>0.62885520125457395</v>
      </c>
      <c r="K115" s="68">
        <f>Model!K1508</f>
        <v>0.656677181913775</v>
      </c>
      <c r="L115" s="68">
        <f>Model!L1508</f>
        <v>0.62230215827338131</v>
      </c>
      <c r="M115" s="68">
        <f>Model!M1508</f>
        <v>0.75025025025025027</v>
      </c>
      <c r="N115" s="68">
        <f>Model!N1508</f>
        <v>0.63545816733067728</v>
      </c>
      <c r="O115" s="68">
        <f>Model!O1508</f>
        <v>0.66068515497553015</v>
      </c>
      <c r="P115" s="68">
        <f>Model!P1508</f>
        <v>0.6447513812154696</v>
      </c>
      <c r="Q115" s="68">
        <f>Model!Q1508</f>
        <v>0.63225806451612898</v>
      </c>
      <c r="R115" s="68">
        <f>Model!R1508</f>
        <v>0.65842167255594819</v>
      </c>
      <c r="S115" s="68">
        <f>Model!S1508</f>
        <v>0.67922235722964763</v>
      </c>
      <c r="T115" s="68">
        <f>Model!T1508</f>
        <v>0.71480362537764353</v>
      </c>
      <c r="U115" s="68">
        <f>Model!U1508</f>
        <v>0.66281087333718913</v>
      </c>
      <c r="V115" s="68">
        <f>Model!V1508</f>
        <v>0.64106939704209331</v>
      </c>
      <c r="W115" s="68">
        <f>Model!W1508</f>
        <v>0.66686320754716977</v>
      </c>
      <c r="X115" s="68">
        <f>Model!X1508</f>
        <v>0.68454440599769317</v>
      </c>
      <c r="Y115" s="68">
        <f>Model!Y1508</f>
        <v>0.65640461792193516</v>
      </c>
      <c r="Z115" s="68">
        <f>Model!Z1508</f>
        <v>0.63183023872679045</v>
      </c>
      <c r="AA115" s="68">
        <f>Model!AA1508</f>
        <v>0.64308176100628933</v>
      </c>
      <c r="AB115" s="68">
        <f>Model!AB1508</f>
        <v>0.66200103680663558</v>
      </c>
      <c r="AC115" s="271">
        <v>0.65</v>
      </c>
      <c r="AD115" s="271">
        <v>0.63500000000000001</v>
      </c>
      <c r="AE115" s="271">
        <v>0.63500000000000001</v>
      </c>
      <c r="AF115" s="271">
        <v>0.625</v>
      </c>
      <c r="AG115" s="271">
        <v>0.61499999999999999</v>
      </c>
      <c r="AH115" s="271">
        <v>0.61</v>
      </c>
      <c r="AI115" s="271">
        <v>0.61</v>
      </c>
      <c r="AJ115" s="271"/>
      <c r="AK115" s="271"/>
      <c r="AL115" s="271"/>
      <c r="AM115" s="271"/>
      <c r="AN115" s="271"/>
      <c r="AO115" s="271"/>
      <c r="AP115" s="271"/>
      <c r="AQ115" s="271"/>
      <c r="AS115" s="329"/>
      <c r="AT115" s="9" t="s">
        <v>230</v>
      </c>
      <c r="AU115" s="68">
        <f>Model!AU1508</f>
        <v>0.64943820224719107</v>
      </c>
      <c r="AV115" s="68">
        <f>Model!AV1508</f>
        <v>0.63018242122719736</v>
      </c>
      <c r="AW115" s="68">
        <f>Model!AW1508</f>
        <v>0.66756513926325245</v>
      </c>
      <c r="AX115" s="68">
        <f>Model!AX1508</f>
        <v>0.65283718277730252</v>
      </c>
      <c r="AY115" s="68">
        <f>Model!AY1508</f>
        <v>0.67081017841474111</v>
      </c>
      <c r="AZ115" s="68">
        <f>Model!AZ1508</f>
        <v>0.65328069697794722</v>
      </c>
      <c r="BA115" s="68">
        <f>Model!BA1508</f>
        <v>0.64518739440094641</v>
      </c>
      <c r="BB115" s="68">
        <f>Model!BB1508</f>
        <v>0.61481015586573373</v>
      </c>
      <c r="BC115" s="271">
        <v>0.6</v>
      </c>
      <c r="BD115" s="271">
        <v>0.59</v>
      </c>
      <c r="BE115" s="271">
        <v>0.57999999999999996</v>
      </c>
      <c r="BG115" s="853"/>
      <c r="BH115" s="1710"/>
    </row>
    <row r="116" spans="1:60" s="70" customFormat="1" x14ac:dyDescent="0.2">
      <c r="A116" s="411"/>
      <c r="B116" s="16"/>
      <c r="C116" s="16"/>
      <c r="D116" s="15"/>
      <c r="E116" s="15"/>
      <c r="F116" s="15"/>
      <c r="G116" s="15"/>
      <c r="H116" s="15"/>
      <c r="I116" s="15"/>
      <c r="J116" s="15"/>
      <c r="K116" s="15"/>
      <c r="L116" s="15"/>
      <c r="M116" s="15"/>
      <c r="N116" s="15"/>
      <c r="O116" s="15"/>
      <c r="P116" s="15"/>
      <c r="Q116" s="15"/>
      <c r="R116" s="15"/>
      <c r="S116" s="15"/>
      <c r="T116" s="15"/>
      <c r="U116" s="15"/>
      <c r="V116" s="15"/>
      <c r="W116" s="15"/>
      <c r="X116" s="15"/>
      <c r="Y116" s="15"/>
      <c r="Z116" s="15"/>
      <c r="AA116" s="15"/>
      <c r="AB116" s="15"/>
      <c r="AC116" s="1084"/>
      <c r="AD116" s="1084"/>
      <c r="AE116" s="1084"/>
      <c r="AF116" s="1084"/>
      <c r="AG116" s="1084"/>
      <c r="AH116" s="1084"/>
      <c r="AI116" s="1084"/>
      <c r="AJ116" s="1084"/>
      <c r="AK116" s="1084"/>
      <c r="AL116" s="1084"/>
      <c r="AM116" s="1084"/>
      <c r="AN116" s="1084"/>
      <c r="AO116" s="1084"/>
      <c r="AP116" s="1084"/>
      <c r="AQ116" s="1084"/>
      <c r="AS116" s="16"/>
      <c r="AT116" s="16"/>
      <c r="AU116" s="16"/>
      <c r="AV116" s="16"/>
      <c r="AW116" s="16"/>
      <c r="AX116" s="16"/>
      <c r="AY116" s="16"/>
      <c r="AZ116" s="16"/>
      <c r="BA116" s="16"/>
      <c r="BB116" s="16"/>
      <c r="BC116" s="16"/>
      <c r="BD116" s="16"/>
      <c r="BE116" s="16"/>
      <c r="BG116" s="16"/>
      <c r="BH116" s="16"/>
    </row>
    <row r="117" spans="1:60" s="160" customFormat="1" x14ac:dyDescent="0.2">
      <c r="A117" s="411"/>
      <c r="B117" s="337" t="s">
        <v>1178</v>
      </c>
      <c r="C117" s="11"/>
      <c r="D117" s="158"/>
      <c r="E117" s="158"/>
      <c r="F117" s="158"/>
      <c r="G117" s="158"/>
      <c r="H117" s="158"/>
      <c r="I117" s="158"/>
      <c r="J117" s="158"/>
      <c r="K117" s="158"/>
      <c r="L117" s="158"/>
      <c r="M117" s="158"/>
      <c r="N117" s="158"/>
      <c r="O117" s="158"/>
      <c r="P117" s="158"/>
      <c r="Q117" s="158"/>
      <c r="R117" s="158"/>
      <c r="S117" s="158"/>
      <c r="T117" s="158"/>
      <c r="U117" s="158"/>
      <c r="V117" s="158"/>
      <c r="W117" s="158"/>
      <c r="X117" s="158"/>
      <c r="Y117" s="158"/>
      <c r="Z117" s="158"/>
      <c r="AA117" s="158"/>
      <c r="AB117" s="158"/>
      <c r="AC117" s="158"/>
      <c r="AD117" s="158"/>
      <c r="AE117" s="158"/>
      <c r="AF117" s="158"/>
      <c r="AG117" s="158"/>
      <c r="AH117" s="158"/>
      <c r="AI117" s="158"/>
      <c r="AJ117" s="158"/>
      <c r="AK117" s="158"/>
      <c r="AL117" s="158"/>
      <c r="AM117" s="158"/>
      <c r="AN117" s="158"/>
      <c r="AO117" s="158"/>
      <c r="AP117" s="158"/>
      <c r="AQ117" s="158"/>
      <c r="AR117" s="70"/>
      <c r="AS117" s="337" t="s">
        <v>1178</v>
      </c>
      <c r="AT117" s="11"/>
      <c r="AU117" s="12"/>
      <c r="AV117" s="12"/>
      <c r="AW117" s="12"/>
      <c r="AX117" s="12"/>
      <c r="AY117" s="12"/>
      <c r="AZ117" s="12"/>
      <c r="BA117" s="12"/>
      <c r="BB117" s="12"/>
      <c r="BC117" s="12"/>
      <c r="BD117" s="12"/>
      <c r="BE117" s="12"/>
      <c r="BG117" s="15"/>
      <c r="BH117" s="15"/>
    </row>
    <row r="118" spans="1:60" s="70" customFormat="1" x14ac:dyDescent="0.2">
      <c r="A118" s="411"/>
      <c r="B118" s="9" t="s">
        <v>123</v>
      </c>
      <c r="C118" s="9"/>
      <c r="D118" s="68">
        <f>Model!D125</f>
        <v>0.31625084288604183</v>
      </c>
      <c r="E118" s="68">
        <f>Model!E125</f>
        <v>0.34431455897980873</v>
      </c>
      <c r="F118" s="68">
        <f>Model!F125</f>
        <v>0.33186141304347827</v>
      </c>
      <c r="G118" s="68">
        <f>Model!G125</f>
        <v>0.27048458149779736</v>
      </c>
      <c r="H118" s="68">
        <f>Model!H125</f>
        <v>0.34212481426448738</v>
      </c>
      <c r="I118" s="68">
        <f>Model!I125</f>
        <v>0.35050018525379772</v>
      </c>
      <c r="J118" s="68">
        <f>Model!J125</f>
        <v>0.34830960854092524</v>
      </c>
      <c r="K118" s="68">
        <f>Model!K125</f>
        <v>0.33139274518584866</v>
      </c>
      <c r="L118" s="68">
        <f>Model!L125</f>
        <v>0.31247339293316306</v>
      </c>
      <c r="M118" s="68">
        <f>Model!M125</f>
        <v>0.34547030775899434</v>
      </c>
      <c r="N118" s="68">
        <f>Model!N125</f>
        <v>0.34771929824561404</v>
      </c>
      <c r="O118" s="68">
        <f>Model!O125</f>
        <v>0.3441153546375682</v>
      </c>
      <c r="P118" s="68">
        <f>Model!P125</f>
        <v>0.35136186770428013</v>
      </c>
      <c r="Q118" s="68">
        <f>Model!Q125</f>
        <v>0.33544303797468356</v>
      </c>
      <c r="R118" s="68">
        <f>Model!R125</f>
        <v>0.35619641465315666</v>
      </c>
      <c r="S118" s="68">
        <f>Model!S125</f>
        <v>0.36446798266730862</v>
      </c>
      <c r="T118" s="68">
        <f>Model!T125</f>
        <v>0.34682713347921224</v>
      </c>
      <c r="U118" s="68">
        <f>Model!U125</f>
        <v>0.34170081967213117</v>
      </c>
      <c r="V118" s="68">
        <f>Model!V125</f>
        <v>0.35132330046704724</v>
      </c>
      <c r="W118" s="68">
        <f>Model!W125</f>
        <v>0.35594111461619349</v>
      </c>
      <c r="X118" s="68">
        <f>Model!X125</f>
        <v>0.36835443037974686</v>
      </c>
      <c r="Y118" s="68">
        <f>Model!Y125</f>
        <v>0.3641488162344983</v>
      </c>
      <c r="Z118" s="68">
        <f>Model!Z125</f>
        <v>0.35180055401662053</v>
      </c>
      <c r="AA118" s="68">
        <f>Model!AA125</f>
        <v>0.71400491400491406</v>
      </c>
      <c r="AB118" s="68">
        <f>Model!AB125</f>
        <v>0.24526258798050893</v>
      </c>
      <c r="AC118" s="68">
        <f>Model!AC125</f>
        <v>0.25</v>
      </c>
      <c r="AD118" s="68">
        <f>Model!AD125</f>
        <v>0.25</v>
      </c>
      <c r="AE118" s="68">
        <f>Model!AE125</f>
        <v>0.25</v>
      </c>
      <c r="AF118" s="68">
        <f>Model!AF125</f>
        <v>0.24000000000000002</v>
      </c>
      <c r="AG118" s="68">
        <f>Model!AG125</f>
        <v>0.24</v>
      </c>
      <c r="AH118" s="68">
        <f>Model!AH125</f>
        <v>0.24</v>
      </c>
      <c r="AI118" s="68">
        <f>Model!AI125</f>
        <v>0.24000000000000005</v>
      </c>
      <c r="AJ118" s="68"/>
      <c r="AK118" s="68"/>
      <c r="AL118" s="68"/>
      <c r="AM118" s="68"/>
      <c r="AN118" s="68"/>
      <c r="AO118" s="68"/>
      <c r="AP118" s="68"/>
      <c r="AQ118" s="68"/>
      <c r="AS118" s="9" t="s">
        <v>123</v>
      </c>
      <c r="AT118" s="9"/>
      <c r="AU118" s="68">
        <f>Model!AU125</f>
        <v>0.31818594928655819</v>
      </c>
      <c r="AV118" s="68">
        <f>Model!AV125</f>
        <v>0.34339546191247972</v>
      </c>
      <c r="AW118" s="68">
        <f>Model!AW125</f>
        <v>0.33806592533756952</v>
      </c>
      <c r="AX118" s="68">
        <f>Model!AX125</f>
        <v>0.35156005426275694</v>
      </c>
      <c r="AY118" s="68">
        <f>Model!AY125</f>
        <v>0.34892889998685767</v>
      </c>
      <c r="AZ118" s="68">
        <f>Model!AZ125</f>
        <v>0.46093967194884627</v>
      </c>
      <c r="BA118" s="68">
        <f>Model!BA125</f>
        <v>0.24885436218519905</v>
      </c>
      <c r="BB118" s="68">
        <f>Model!BB125</f>
        <v>0.24000000000000002</v>
      </c>
      <c r="BC118" s="68">
        <f>Model!BC125</f>
        <v>0.24</v>
      </c>
      <c r="BD118" s="68">
        <f>Model!BD125</f>
        <v>0.24</v>
      </c>
      <c r="BE118" s="68">
        <f>Model!BE125</f>
        <v>0.24000000000000002</v>
      </c>
      <c r="BG118" s="21"/>
      <c r="BH118" s="21"/>
    </row>
    <row r="119" spans="1:60" s="70" customFormat="1" x14ac:dyDescent="0.2">
      <c r="A119" s="411"/>
      <c r="B119" s="35"/>
      <c r="C119" s="9" t="s">
        <v>178</v>
      </c>
      <c r="D119" s="68">
        <f>Model!D161</f>
        <v>0.35875564475664828</v>
      </c>
      <c r="E119" s="68">
        <f>Model!E161</f>
        <v>0.39345991561181437</v>
      </c>
      <c r="F119" s="68">
        <f>Model!F161</f>
        <v>0.37692690203878665</v>
      </c>
      <c r="G119" s="68">
        <f>Model!G161</f>
        <v>0.37964774951076319</v>
      </c>
      <c r="H119" s="68">
        <f>Model!H161</f>
        <v>0.37571921749136938</v>
      </c>
      <c r="I119" s="68">
        <f>Model!I161</f>
        <v>0.38318284424379234</v>
      </c>
      <c r="J119" s="68">
        <f>Model!J161</f>
        <v>0.37919233401779601</v>
      </c>
      <c r="K119" s="68">
        <f>Model!K161</f>
        <v>0.35860058309037901</v>
      </c>
      <c r="L119" s="68">
        <f>Model!L161</f>
        <v>0.3244125326370757</v>
      </c>
      <c r="M119" s="68">
        <f>Model!M161</f>
        <v>0.38400900900900903</v>
      </c>
      <c r="N119" s="68">
        <f>Model!N161</f>
        <v>0.37272254034357105</v>
      </c>
      <c r="O119" s="68">
        <f>Model!O161</f>
        <v>0.3675587110868378</v>
      </c>
      <c r="P119" s="68">
        <f>Model!P161</f>
        <v>0.37652947719688545</v>
      </c>
      <c r="Q119" s="68">
        <f>Model!Q161</f>
        <v>0.35333741579914268</v>
      </c>
      <c r="R119" s="68">
        <f>Model!R161</f>
        <v>0.38185032410135533</v>
      </c>
      <c r="S119" s="68">
        <f>Model!S161</f>
        <v>0.38293778062860806</v>
      </c>
      <c r="T119" s="68">
        <f>Model!T161</f>
        <v>0.36363636363636365</v>
      </c>
      <c r="U119" s="68">
        <f>Model!U161</f>
        <v>0.35573122529644269</v>
      </c>
      <c r="V119" s="68">
        <f>Model!V161</f>
        <v>0.36222403924775143</v>
      </c>
      <c r="W119" s="68">
        <f>Model!W161</f>
        <v>0.37306501547987614</v>
      </c>
      <c r="X119" s="68">
        <f>Model!X161</f>
        <v>0.38167170191339378</v>
      </c>
      <c r="Y119" s="68">
        <f>Model!Y161</f>
        <v>0.37784090909090912</v>
      </c>
      <c r="Z119" s="68">
        <f>Model!Z161</f>
        <v>0.36246276067527311</v>
      </c>
      <c r="AA119" s="68">
        <f>Model!AA161</f>
        <v>0.93922651933701662</v>
      </c>
      <c r="AB119" s="68">
        <f>Model!AB161</f>
        <v>0.23189734188817598</v>
      </c>
      <c r="AC119" s="271">
        <v>0.25</v>
      </c>
      <c r="AD119" s="271">
        <v>0.25</v>
      </c>
      <c r="AE119" s="271">
        <v>0.25</v>
      </c>
      <c r="AF119" s="271">
        <v>0.24</v>
      </c>
      <c r="AG119" s="271">
        <v>0.24</v>
      </c>
      <c r="AH119" s="271">
        <v>0.24</v>
      </c>
      <c r="AI119" s="271">
        <v>0.24</v>
      </c>
      <c r="AJ119" s="271"/>
      <c r="AK119" s="271"/>
      <c r="AL119" s="271"/>
      <c r="AM119" s="271"/>
      <c r="AN119" s="271"/>
      <c r="AO119" s="271"/>
      <c r="AP119" s="271"/>
      <c r="AQ119" s="271"/>
      <c r="AS119" s="35"/>
      <c r="AT119" s="9" t="s">
        <v>178</v>
      </c>
      <c r="AU119" s="68">
        <f>Model!AU161</f>
        <v>0.37683304184044125</v>
      </c>
      <c r="AV119" s="68">
        <f>Model!AV161</f>
        <v>0.37490146618319409</v>
      </c>
      <c r="AW119" s="68">
        <f>Model!AW161</f>
        <v>0.36373937677053825</v>
      </c>
      <c r="AX119" s="68">
        <f>Model!AX161</f>
        <v>0.37371018393898608</v>
      </c>
      <c r="AY119" s="68">
        <f>Model!AY161</f>
        <v>0.36372568284535273</v>
      </c>
      <c r="AZ119" s="68">
        <f>Model!AZ161</f>
        <v>0.53967152440434885</v>
      </c>
      <c r="BA119" s="68">
        <f>Model!BA161</f>
        <v>0.24546324930784574</v>
      </c>
      <c r="BB119" s="68">
        <f>Model!BB161</f>
        <v>0.24</v>
      </c>
      <c r="BC119" s="271">
        <v>0.24</v>
      </c>
      <c r="BD119" s="271">
        <v>0.24</v>
      </c>
      <c r="BE119" s="271">
        <v>0.24</v>
      </c>
      <c r="BG119" s="853"/>
      <c r="BH119" s="1710"/>
    </row>
    <row r="120" spans="1:60" s="70" customFormat="1" x14ac:dyDescent="0.2">
      <c r="A120" s="411"/>
      <c r="B120" s="35"/>
      <c r="C120" s="9" t="s">
        <v>179</v>
      </c>
      <c r="D120" s="68">
        <f>Model!D287</f>
        <v>0.24691358024691357</v>
      </c>
      <c r="E120" s="68">
        <f>Model!E287</f>
        <v>0.2231404958677686</v>
      </c>
      <c r="F120" s="68">
        <f>Model!F287</f>
        <v>0.23907455012853471</v>
      </c>
      <c r="G120" s="68">
        <f>Model!G287</f>
        <v>-6.6481994459833799E-2</v>
      </c>
      <c r="H120" s="68">
        <f>Model!H287</f>
        <v>0.24941176470588236</v>
      </c>
      <c r="I120" s="68">
        <f>Model!I287</f>
        <v>0.20588235294117646</v>
      </c>
      <c r="J120" s="68">
        <f>Model!J287</f>
        <v>0.18846153846153846</v>
      </c>
      <c r="K120" s="68">
        <f>Model!K287</f>
        <v>0.25</v>
      </c>
      <c r="L120" s="68">
        <f>Model!L287</f>
        <v>0.21071428571428572</v>
      </c>
      <c r="M120" s="68">
        <f>Model!M287</f>
        <v>8.8495575221238937E-2</v>
      </c>
      <c r="N120" s="68">
        <f>Model!N287</f>
        <v>0.24064171122994651</v>
      </c>
      <c r="O120" s="68">
        <f>Model!O287</f>
        <v>0.21864951768488747</v>
      </c>
      <c r="P120" s="68">
        <f>Model!P287</f>
        <v>0.20992366412213739</v>
      </c>
      <c r="Q120" s="68">
        <f>Model!Q287</f>
        <v>0.21304347826086956</v>
      </c>
      <c r="R120" s="68">
        <f>Model!R287</f>
        <v>0.26302729528535979</v>
      </c>
      <c r="S120" s="68">
        <f>Model!S287</f>
        <v>0.28061224489795916</v>
      </c>
      <c r="T120" s="68">
        <f>Model!T287</f>
        <v>0.25510204081632654</v>
      </c>
      <c r="U120" s="68">
        <f>Model!U287</f>
        <v>0.27916666666666667</v>
      </c>
      <c r="V120" s="68">
        <f>Model!V287</f>
        <v>0.31623931623931623</v>
      </c>
      <c r="W120" s="68">
        <f>Model!W287</f>
        <v>0.29357798165137616</v>
      </c>
      <c r="X120" s="68">
        <f>Model!X287</f>
        <v>0.3632075471698113</v>
      </c>
      <c r="Y120" s="68">
        <f>Model!Y287</f>
        <v>0.36486486486486486</v>
      </c>
      <c r="Z120" s="68">
        <f>Model!Z287</f>
        <v>0.32936507936507936</v>
      </c>
      <c r="AA120" s="68">
        <f>Model!AA287</f>
        <v>0.34782608695652173</v>
      </c>
      <c r="AB120" s="68">
        <f>Model!AB287</f>
        <v>0.25910931174089069</v>
      </c>
      <c r="AC120" s="271">
        <v>0.25</v>
      </c>
      <c r="AD120" s="271">
        <v>0.25</v>
      </c>
      <c r="AE120" s="271">
        <v>0.25</v>
      </c>
      <c r="AF120" s="271">
        <v>0.24</v>
      </c>
      <c r="AG120" s="271">
        <v>0.24</v>
      </c>
      <c r="AH120" s="271">
        <v>0.24</v>
      </c>
      <c r="AI120" s="271">
        <v>0.24</v>
      </c>
      <c r="AJ120" s="271"/>
      <c r="AK120" s="271"/>
      <c r="AL120" s="271"/>
      <c r="AM120" s="271"/>
      <c r="AN120" s="271"/>
      <c r="AO120" s="271"/>
      <c r="AP120" s="271"/>
      <c r="AQ120" s="271"/>
      <c r="AS120" s="35"/>
      <c r="AT120" s="9" t="s">
        <v>179</v>
      </c>
      <c r="AU120" s="68">
        <f>Model!AU287</f>
        <v>0.16469038208168643</v>
      </c>
      <c r="AV120" s="68">
        <f>Model!AV287</f>
        <v>0.22837370242214533</v>
      </c>
      <c r="AW120" s="68">
        <f>Model!AW287</f>
        <v>0.19899244332493704</v>
      </c>
      <c r="AX120" s="68">
        <f>Model!AX287</f>
        <v>0.24289642529789185</v>
      </c>
      <c r="AY120" s="68">
        <f>Model!AY287</f>
        <v>0.28716216216216217</v>
      </c>
      <c r="AZ120" s="68">
        <f>Model!AZ287</f>
        <v>0.35037273695420662</v>
      </c>
      <c r="BA120" s="68">
        <f>Model!BA287</f>
        <v>0.25198743235225352</v>
      </c>
      <c r="BB120" s="68">
        <f>Model!BB287</f>
        <v>0.23999999999999996</v>
      </c>
      <c r="BC120" s="271">
        <v>0.24</v>
      </c>
      <c r="BD120" s="271">
        <v>0.24</v>
      </c>
      <c r="BE120" s="271">
        <v>0.24</v>
      </c>
      <c r="BG120" s="853"/>
      <c r="BH120" s="1710"/>
    </row>
    <row r="121" spans="1:60" s="70" customFormat="1" x14ac:dyDescent="0.2">
      <c r="A121" s="411"/>
      <c r="B121" s="329"/>
      <c r="C121" s="9" t="s">
        <v>230</v>
      </c>
      <c r="D121" s="68">
        <f>Model!D365</f>
        <v>0.21654929577464788</v>
      </c>
      <c r="E121" s="68">
        <f>Model!E365</f>
        <v>0.25709219858156029</v>
      </c>
      <c r="F121" s="68">
        <f>Model!F365</f>
        <v>0.23161764705882354</v>
      </c>
      <c r="G121" s="68">
        <f>Model!G365</f>
        <v>0.14893617021276595</v>
      </c>
      <c r="H121" s="68">
        <f>Model!H365</f>
        <v>0.30623818525519847</v>
      </c>
      <c r="I121" s="68">
        <f>Model!I365</f>
        <v>0.33560477001703576</v>
      </c>
      <c r="J121" s="68">
        <f>Model!J365</f>
        <v>0.34155597722960152</v>
      </c>
      <c r="K121" s="68">
        <f>Model!K365</f>
        <v>0.32426303854875282</v>
      </c>
      <c r="L121" s="68">
        <f>Model!L365</f>
        <v>0.33147113594040967</v>
      </c>
      <c r="M121" s="68">
        <f>Model!M365</f>
        <v>0.31147540983606559</v>
      </c>
      <c r="N121" s="68">
        <f>Model!N365</f>
        <v>0.33333333333333331</v>
      </c>
      <c r="O121" s="68">
        <f>Model!O365</f>
        <v>0.33490566037735847</v>
      </c>
      <c r="P121" s="68">
        <f>Model!P365</f>
        <v>0.3352941176470588</v>
      </c>
      <c r="Q121" s="68">
        <f>Model!Q365</f>
        <v>0.33333333333333331</v>
      </c>
      <c r="R121" s="68">
        <f>Model!R365</f>
        <v>0.34334763948497854</v>
      </c>
      <c r="S121" s="68">
        <f>Model!S365</f>
        <v>0.32608695652173914</v>
      </c>
      <c r="T121" s="68">
        <f>Model!T365</f>
        <v>0.33436532507739936</v>
      </c>
      <c r="U121" s="68">
        <f>Model!U365</f>
        <v>0.33557046979865773</v>
      </c>
      <c r="V121" s="68">
        <f>Model!V365</f>
        <v>0.34042553191489361</v>
      </c>
      <c r="W121" s="68">
        <f>Model!W365</f>
        <v>0.33418367346938777</v>
      </c>
      <c r="X121" s="68">
        <f>Model!X365</f>
        <v>0.33600000000000002</v>
      </c>
      <c r="Y121" s="68">
        <f>Model!Y365</f>
        <v>0.33467741935483869</v>
      </c>
      <c r="Z121" s="68">
        <f>Model!Z365</f>
        <v>0.3424908424908425</v>
      </c>
      <c r="AA121" s="68">
        <f>Model!AA365</f>
        <v>0.33980582524271846</v>
      </c>
      <c r="AB121" s="68">
        <f>Model!AB365</f>
        <v>0.26719056974459726</v>
      </c>
      <c r="AC121" s="271">
        <v>0.25</v>
      </c>
      <c r="AD121" s="271">
        <v>0.25</v>
      </c>
      <c r="AE121" s="271">
        <v>0.25</v>
      </c>
      <c r="AF121" s="271">
        <v>0.24</v>
      </c>
      <c r="AG121" s="271">
        <v>0.24</v>
      </c>
      <c r="AH121" s="271">
        <v>0.24</v>
      </c>
      <c r="AI121" s="271">
        <v>0.24</v>
      </c>
      <c r="AJ121" s="271"/>
      <c r="AK121" s="271"/>
      <c r="AL121" s="271"/>
      <c r="AM121" s="271"/>
      <c r="AN121" s="271"/>
      <c r="AO121" s="271"/>
      <c r="AP121" s="271"/>
      <c r="AQ121" s="271"/>
      <c r="AS121" s="329"/>
      <c r="AT121" s="9" t="s">
        <v>230</v>
      </c>
      <c r="AU121" s="68">
        <f>Model!AU365</f>
        <v>0.21929824561403508</v>
      </c>
      <c r="AV121" s="68">
        <f>Model!AV365</f>
        <v>0.32725527831094048</v>
      </c>
      <c r="AW121" s="68">
        <f>Model!AW365</f>
        <v>0.32948929159802304</v>
      </c>
      <c r="AX121" s="68">
        <f>Model!AX365</f>
        <v>0.33518005540166207</v>
      </c>
      <c r="AY121" s="68">
        <f>Model!AY365</f>
        <v>0.33639705882352944</v>
      </c>
      <c r="AZ121" s="68">
        <f>Model!AZ365</f>
        <v>0.33850931677018631</v>
      </c>
      <c r="BA121" s="68">
        <f>Model!BA365</f>
        <v>0.254065575352941</v>
      </c>
      <c r="BB121" s="68">
        <f>Model!BB365</f>
        <v>0.23999999999999988</v>
      </c>
      <c r="BC121" s="271">
        <v>0.24</v>
      </c>
      <c r="BD121" s="271">
        <v>0.24</v>
      </c>
      <c r="BE121" s="271">
        <v>0.24</v>
      </c>
      <c r="BG121" s="853"/>
      <c r="BH121" s="1710"/>
    </row>
    <row r="122" spans="1:60" s="70" customFormat="1" x14ac:dyDescent="0.2">
      <c r="A122" s="411"/>
      <c r="B122" s="16"/>
      <c r="C122" s="16"/>
      <c r="D122" s="15"/>
      <c r="E122" s="15"/>
      <c r="F122" s="15"/>
      <c r="G122" s="15"/>
      <c r="H122" s="15"/>
      <c r="I122" s="15"/>
      <c r="J122" s="15"/>
      <c r="K122" s="15"/>
      <c r="L122" s="15"/>
      <c r="M122" s="15"/>
      <c r="N122" s="15"/>
      <c r="O122" s="15"/>
      <c r="P122" s="15"/>
      <c r="Q122" s="15"/>
      <c r="R122" s="15"/>
      <c r="S122" s="15"/>
      <c r="T122" s="15"/>
      <c r="U122" s="15"/>
      <c r="V122" s="15"/>
      <c r="W122" s="15"/>
      <c r="X122" s="15"/>
      <c r="Y122" s="15"/>
      <c r="Z122" s="15"/>
      <c r="AA122" s="15"/>
      <c r="AB122" s="15"/>
      <c r="AC122" s="15"/>
      <c r="AD122" s="15"/>
      <c r="AE122" s="15"/>
      <c r="AF122" s="15"/>
      <c r="AG122" s="15"/>
      <c r="AH122" s="15"/>
      <c r="AI122" s="15"/>
      <c r="AJ122" s="15"/>
      <c r="AK122" s="15"/>
      <c r="AL122" s="15"/>
      <c r="AM122" s="15"/>
      <c r="AN122" s="15"/>
      <c r="AO122" s="15"/>
      <c r="AP122" s="15"/>
      <c r="AQ122" s="15"/>
      <c r="AS122" s="16"/>
      <c r="AT122" s="16"/>
      <c r="AU122" s="16"/>
      <c r="AV122" s="16"/>
      <c r="AW122" s="16"/>
      <c r="AX122" s="16"/>
      <c r="AY122" s="16"/>
      <c r="AZ122" s="16"/>
      <c r="BA122" s="16"/>
      <c r="BB122" s="16"/>
      <c r="BC122" s="16"/>
      <c r="BD122" s="16"/>
      <c r="BE122" s="16"/>
      <c r="BG122" s="16"/>
      <c r="BH122" s="16"/>
    </row>
    <row r="123" spans="1:60" s="160" customFormat="1" x14ac:dyDescent="0.2">
      <c r="A123" s="411"/>
      <c r="B123" s="337" t="s">
        <v>482</v>
      </c>
      <c r="C123" s="11"/>
      <c r="D123" s="158"/>
      <c r="E123" s="158"/>
      <c r="F123" s="158"/>
      <c r="G123" s="158"/>
      <c r="H123" s="158"/>
      <c r="I123" s="158"/>
      <c r="J123" s="158"/>
      <c r="K123" s="158"/>
      <c r="L123" s="158"/>
      <c r="M123" s="158"/>
      <c r="N123" s="158"/>
      <c r="O123" s="158"/>
      <c r="P123" s="158"/>
      <c r="Q123" s="158"/>
      <c r="R123" s="158"/>
      <c r="S123" s="158"/>
      <c r="T123" s="158"/>
      <c r="U123" s="158"/>
      <c r="V123" s="158"/>
      <c r="W123" s="158"/>
      <c r="X123" s="158"/>
      <c r="Y123" s="158"/>
      <c r="Z123" s="158"/>
      <c r="AA123" s="158"/>
      <c r="AB123" s="158"/>
      <c r="AC123" s="158"/>
      <c r="AD123" s="158"/>
      <c r="AE123" s="158"/>
      <c r="AF123" s="158"/>
      <c r="AG123" s="158"/>
      <c r="AH123" s="158"/>
      <c r="AI123" s="158"/>
      <c r="AJ123" s="158"/>
      <c r="AK123" s="158"/>
      <c r="AL123" s="158"/>
      <c r="AM123" s="158"/>
      <c r="AN123" s="158"/>
      <c r="AO123" s="158"/>
      <c r="AP123" s="158"/>
      <c r="AQ123" s="158"/>
      <c r="AR123" s="70"/>
      <c r="AS123" s="337" t="s">
        <v>482</v>
      </c>
      <c r="AT123" s="11"/>
      <c r="AU123" s="12"/>
      <c r="AV123" s="12"/>
      <c r="AW123" s="12"/>
      <c r="AX123" s="12"/>
      <c r="AY123" s="12"/>
      <c r="AZ123" s="12"/>
      <c r="BA123" s="12"/>
      <c r="BB123" s="12"/>
      <c r="BC123" s="12"/>
      <c r="BD123" s="12"/>
      <c r="BE123" s="12"/>
      <c r="BG123" s="15"/>
      <c r="BH123" s="15"/>
    </row>
    <row r="124" spans="1:60" s="70" customFormat="1" x14ac:dyDescent="0.2">
      <c r="A124" s="411"/>
      <c r="B124" s="350" t="s">
        <v>76</v>
      </c>
      <c r="C124" s="369"/>
      <c r="D124" s="9"/>
      <c r="E124" s="9"/>
      <c r="F124" s="9"/>
      <c r="G124" s="9"/>
      <c r="H124" s="9"/>
      <c r="I124" s="9"/>
      <c r="J124" s="9"/>
      <c r="K124" s="9"/>
      <c r="L124" s="9"/>
      <c r="M124" s="9"/>
      <c r="N124" s="9"/>
      <c r="O124" s="9"/>
      <c r="P124" s="9"/>
      <c r="Q124" s="9"/>
      <c r="R124" s="9"/>
      <c r="S124" s="9"/>
      <c r="T124" s="9"/>
      <c r="U124" s="9"/>
      <c r="V124" s="9"/>
      <c r="W124" s="9"/>
      <c r="X124" s="9"/>
      <c r="Y124" s="1215"/>
      <c r="Z124" s="1688"/>
      <c r="AA124" s="1742"/>
      <c r="AB124" s="1785"/>
      <c r="AC124" s="1225"/>
      <c r="AD124" s="1225"/>
      <c r="AE124" s="1225"/>
      <c r="AF124" s="1225"/>
      <c r="AG124" s="1225"/>
      <c r="AH124" s="1225"/>
      <c r="AI124" s="1225"/>
      <c r="AJ124" s="1225"/>
      <c r="AK124" s="1225"/>
      <c r="AL124" s="1225"/>
      <c r="AM124" s="1225"/>
      <c r="AN124" s="1225"/>
      <c r="AO124" s="1225"/>
      <c r="AP124" s="1225"/>
      <c r="AQ124" s="1225"/>
      <c r="AS124" s="350" t="s">
        <v>76</v>
      </c>
      <c r="AT124" s="369"/>
      <c r="AU124" s="9"/>
      <c r="AV124" s="9"/>
      <c r="AW124" s="9"/>
      <c r="AX124" s="9"/>
      <c r="AY124" s="9"/>
      <c r="AZ124" s="9"/>
      <c r="BA124" s="9"/>
      <c r="BB124" s="1707"/>
      <c r="BC124" s="1225"/>
      <c r="BD124" s="1225"/>
      <c r="BE124" s="1225"/>
      <c r="BF124" s="1225"/>
      <c r="BG124" s="828"/>
      <c r="BH124" s="828"/>
    </row>
    <row r="125" spans="1:60" s="70" customFormat="1" x14ac:dyDescent="0.2">
      <c r="A125" s="411"/>
      <c r="C125" s="362" t="s">
        <v>74</v>
      </c>
      <c r="D125" s="67">
        <f>Model!D1247</f>
        <v>6.157102157102157E-3</v>
      </c>
      <c r="E125" s="67">
        <f>Model!E1247</f>
        <v>5.8715007620117107E-3</v>
      </c>
      <c r="F125" s="67">
        <f>Model!F1247</f>
        <v>6.93546689125171E-3</v>
      </c>
      <c r="G125" s="67">
        <f>Model!G1247</f>
        <v>4.9021223985163823E-3</v>
      </c>
      <c r="H125" s="67">
        <f>Model!H1247</f>
        <v>5.3387220939183988E-3</v>
      </c>
      <c r="I125" s="67">
        <f>Model!I1247</f>
        <v>4.1964118606454374E-3</v>
      </c>
      <c r="J125" s="67">
        <f>Model!J1247</f>
        <v>3.5983316481294236E-3</v>
      </c>
      <c r="K125" s="67">
        <f>Model!K1247</f>
        <v>4.4182312252964429E-3</v>
      </c>
      <c r="L125" s="67">
        <f>Model!L1247</f>
        <v>3.0641975308641975E-3</v>
      </c>
      <c r="M125" s="67">
        <f>Model!M1247</f>
        <v>3.335176858152788E-3</v>
      </c>
      <c r="N125" s="67">
        <f>Model!N1247</f>
        <v>2.9357018108282008E-3</v>
      </c>
      <c r="O125" s="67">
        <f>Model!O1247</f>
        <v>2.9388083735909817E-3</v>
      </c>
      <c r="P125" s="67">
        <f>Model!P1247</f>
        <v>3.0543933054393308E-3</v>
      </c>
      <c r="Q125" s="67">
        <f>Model!Q1247</f>
        <v>3.1729933352651406E-3</v>
      </c>
      <c r="R125" s="67">
        <f>Model!R1247</f>
        <v>2.6028610943037425E-3</v>
      </c>
      <c r="S125" s="67">
        <f>Model!S1247</f>
        <v>3.2168037602820208E-3</v>
      </c>
      <c r="T125" s="67">
        <f>Model!T1247</f>
        <v>1.9007457570784604E-3</v>
      </c>
      <c r="U125" s="67">
        <f>Model!U1247</f>
        <v>3.3270038784744666E-3</v>
      </c>
      <c r="V125" s="67">
        <f>Model!V1247</f>
        <v>3.7612648221343873E-3</v>
      </c>
      <c r="W125" s="67">
        <f>Model!W1247</f>
        <v>6.0035573122529644E-3</v>
      </c>
      <c r="X125" s="67">
        <f>Model!X1247</f>
        <v>2.7085840352988368E-3</v>
      </c>
      <c r="Y125" s="67">
        <f>Model!Y1247</f>
        <v>2.8134635149023638E-3</v>
      </c>
      <c r="Z125" s="67">
        <f>Model!Z1247</f>
        <v>6.2680508937631718E-3</v>
      </c>
      <c r="AA125" s="67">
        <f>Model!AA1247</f>
        <v>2.1253881987577639E-3</v>
      </c>
      <c r="AB125" s="67">
        <f>Model!AB1247</f>
        <v>3.1308597646120084E-3</v>
      </c>
      <c r="AC125" s="272">
        <v>3.5000000000000001E-3</v>
      </c>
      <c r="AD125" s="272">
        <v>4.0000000000000001E-3</v>
      </c>
      <c r="AE125" s="272">
        <v>4.1999999999999997E-3</v>
      </c>
      <c r="AF125" s="272">
        <v>4.4999999999999997E-3</v>
      </c>
      <c r="AG125" s="272">
        <v>4.7999999999999996E-3</v>
      </c>
      <c r="AH125" s="272">
        <v>5.0000000000000001E-3</v>
      </c>
      <c r="AI125" s="272">
        <v>5.1999999999999998E-3</v>
      </c>
      <c r="AJ125" s="272"/>
      <c r="AK125" s="272"/>
      <c r="AL125" s="272"/>
      <c r="AM125" s="272"/>
      <c r="AN125" s="272"/>
      <c r="AO125" s="272"/>
      <c r="AP125" s="272"/>
      <c r="AQ125" s="272"/>
      <c r="AT125" s="362" t="s">
        <v>74</v>
      </c>
      <c r="AU125" s="67">
        <f>Model!AU1247</f>
        <v>5.9600242277407633E-3</v>
      </c>
      <c r="AV125" s="67">
        <f>Model!AV1247</f>
        <v>4.3873978996499417E-3</v>
      </c>
      <c r="AW125" s="67">
        <f>Model!AW1247</f>
        <v>3.0653804930332262E-3</v>
      </c>
      <c r="AX125" s="67">
        <f>Model!AX1247</f>
        <v>3.0120481927710845E-3</v>
      </c>
      <c r="AY125" s="67">
        <f>Model!AY1247</f>
        <v>3.7735849056603774E-3</v>
      </c>
      <c r="AZ125" s="67">
        <f>Model!AZ1247</f>
        <v>3.48450830713965E-3</v>
      </c>
      <c r="BA125" s="67">
        <f>Model!BA1247</f>
        <v>3.7176935933809357E-3</v>
      </c>
      <c r="BB125" s="67">
        <f>Model!BB1247</f>
        <v>4.8825534740086296E-3</v>
      </c>
      <c r="BC125" s="272">
        <v>6.0000000000000001E-3</v>
      </c>
      <c r="BD125" s="272">
        <v>7.4999999999999997E-3</v>
      </c>
      <c r="BE125" s="272">
        <v>8.9999999999999993E-3</v>
      </c>
      <c r="BG125" s="355"/>
      <c r="BH125" s="1710"/>
    </row>
    <row r="126" spans="1:60" s="70" customFormat="1" x14ac:dyDescent="0.2">
      <c r="A126" s="411"/>
      <c r="C126" s="362" t="s">
        <v>75</v>
      </c>
      <c r="D126" s="67">
        <f>Model!D1248</f>
        <v>4.9358152052029605E-2</v>
      </c>
      <c r="E126" s="67">
        <f>Model!E1248</f>
        <v>4.7119407788863858E-2</v>
      </c>
      <c r="F126" s="67">
        <f>Model!F1248</f>
        <v>4.1451809060504712E-2</v>
      </c>
      <c r="G126" s="67">
        <f>Model!G1248</f>
        <v>3.9167125298110443E-2</v>
      </c>
      <c r="H126" s="67">
        <f>Model!H1248</f>
        <v>4.0264626175673515E-2</v>
      </c>
      <c r="I126" s="67">
        <f>Model!I1248</f>
        <v>3.8995726495726496E-2</v>
      </c>
      <c r="J126" s="67">
        <f>Model!J1248</f>
        <v>3.5381706076786167E-2</v>
      </c>
      <c r="K126" s="67">
        <f>Model!K1248</f>
        <v>3.420566109906923E-2</v>
      </c>
      <c r="L126" s="67">
        <f>Model!L1248</f>
        <v>3.5268312757201645E-2</v>
      </c>
      <c r="M126" s="67">
        <f>Model!M1248</f>
        <v>3.4431682775056267E-2</v>
      </c>
      <c r="N126" s="67">
        <f>Model!N1248</f>
        <v>3.1571071499046234E-2</v>
      </c>
      <c r="O126" s="67">
        <f>Model!O1248</f>
        <v>3.1038647342995163E-2</v>
      </c>
      <c r="P126" s="67">
        <f>Model!P1248</f>
        <v>3.1128445137805515E-2</v>
      </c>
      <c r="Q126" s="67">
        <f>Model!Q1248</f>
        <v>3.1922903046320769E-2</v>
      </c>
      <c r="R126" s="67">
        <f>Model!R1248</f>
        <v>2.7504762876777573E-2</v>
      </c>
      <c r="S126" s="67">
        <f>Model!S1248</f>
        <v>2.7882285637367075E-2</v>
      </c>
      <c r="T126" s="67">
        <f>Model!T1248</f>
        <v>2.828438948995363E-2</v>
      </c>
      <c r="U126" s="67">
        <f>Model!U1248</f>
        <v>2.8159876105903092E-2</v>
      </c>
      <c r="V126" s="67">
        <f>Model!V1248</f>
        <v>2.2503293807641635E-2</v>
      </c>
      <c r="W126" s="67">
        <f>Model!W1248</f>
        <v>2.6117936768521949E-2</v>
      </c>
      <c r="X126" s="67">
        <f>Model!X1248</f>
        <v>3.1079499596448745E-2</v>
      </c>
      <c r="Y126" s="67">
        <f>Model!Y1248</f>
        <v>2.9420339564397185E-2</v>
      </c>
      <c r="Z126" s="67">
        <f>Model!Z1248</f>
        <v>2.8384965889420626E-2</v>
      </c>
      <c r="AA126" s="67">
        <f>Model!AA1248</f>
        <v>2.7058705670206368E-2</v>
      </c>
      <c r="AB126" s="67">
        <f>Model!AB1248</f>
        <v>3.0381664748753354E-2</v>
      </c>
      <c r="AC126" s="272">
        <v>3.1293000000000001E-2</v>
      </c>
      <c r="AD126" s="272">
        <v>3.2319000000000001E-2</v>
      </c>
      <c r="AE126" s="272">
        <v>3.3345E-2</v>
      </c>
      <c r="AF126" s="272">
        <v>3.3500000000000002E-2</v>
      </c>
      <c r="AG126" s="272">
        <v>3.3500000000000002E-2</v>
      </c>
      <c r="AH126" s="272">
        <v>3.5000000000000003E-2</v>
      </c>
      <c r="AI126" s="272">
        <v>3.5499999999999997E-2</v>
      </c>
      <c r="AJ126" s="272"/>
      <c r="AK126" s="272"/>
      <c r="AL126" s="272"/>
      <c r="AM126" s="272"/>
      <c r="AN126" s="272"/>
      <c r="AO126" s="272"/>
      <c r="AP126" s="272"/>
      <c r="AQ126" s="272"/>
      <c r="AT126" s="362" t="s">
        <v>75</v>
      </c>
      <c r="AU126" s="67">
        <f>Model!AU1248</f>
        <v>4.4294649061848518E-2</v>
      </c>
      <c r="AV126" s="67">
        <f>Model!AV1248</f>
        <v>3.7204222788496534E-2</v>
      </c>
      <c r="AW126" s="67">
        <f>Model!AW1248</f>
        <v>3.3074896499811816E-2</v>
      </c>
      <c r="AX126" s="67">
        <f>Model!AX1248</f>
        <v>2.9585613760750591E-2</v>
      </c>
      <c r="AY126" s="67">
        <f>Model!AY1248</f>
        <v>2.6088144858216599E-2</v>
      </c>
      <c r="AZ126" s="67">
        <f>Model!AZ1248</f>
        <v>2.895001478852411E-2</v>
      </c>
      <c r="BA126" s="67">
        <f>Model!BA1248</f>
        <v>3.1859212328123734E-2</v>
      </c>
      <c r="BB126" s="67">
        <f>Model!BB1248</f>
        <v>3.4404162692854678E-2</v>
      </c>
      <c r="BC126" s="272">
        <v>3.7961999999999996E-2</v>
      </c>
      <c r="BD126" s="272">
        <v>4.104E-2</v>
      </c>
      <c r="BE126" s="272">
        <v>4.3999999999999997E-2</v>
      </c>
      <c r="BG126" s="355"/>
      <c r="BH126" s="1710"/>
    </row>
    <row r="127" spans="1:60" s="70" customFormat="1" x14ac:dyDescent="0.2">
      <c r="A127" s="411"/>
      <c r="C127" s="383" t="s">
        <v>102</v>
      </c>
      <c r="D127" s="352">
        <f>Model!D1249</f>
        <v>7.1133387888707045E-2</v>
      </c>
      <c r="E127" s="352">
        <f>Model!E1249</f>
        <v>6.7106427818756587E-2</v>
      </c>
      <c r="F127" s="352">
        <f>Model!F1249</f>
        <v>5.820250148898154E-2</v>
      </c>
      <c r="G127" s="352">
        <f>Model!G1249</f>
        <v>5.5265569917743833E-2</v>
      </c>
      <c r="H127" s="352">
        <f>Model!H1249</f>
        <v>5.6136845292158642E-2</v>
      </c>
      <c r="I127" s="352">
        <f>Model!I1249</f>
        <v>5.3890662410215485E-2</v>
      </c>
      <c r="J127" s="352">
        <f>Model!J1249</f>
        <v>4.5656487232574185E-2</v>
      </c>
      <c r="K127" s="352">
        <f>Model!K1249</f>
        <v>4.2858745512564814E-2</v>
      </c>
      <c r="L127" s="352">
        <f>Model!L1249</f>
        <v>4.4741335372069313E-2</v>
      </c>
      <c r="M127" s="352">
        <f>Model!M1249</f>
        <v>4.3988440804478536E-2</v>
      </c>
      <c r="N127" s="352">
        <f>Model!N1249</f>
        <v>4.2263352589439543E-2</v>
      </c>
      <c r="O127" s="352">
        <f>Model!O1249</f>
        <v>4.1842874121026045E-2</v>
      </c>
      <c r="P127" s="352">
        <f>Model!P1249</f>
        <v>4.0001265502404453E-2</v>
      </c>
      <c r="Q127" s="352">
        <f>Model!Q1249</f>
        <v>4.3028684930093375E-2</v>
      </c>
      <c r="R127" s="352">
        <f>Model!R1249</f>
        <v>3.6912387773630588E-2</v>
      </c>
      <c r="S127" s="352">
        <f>Model!S1249</f>
        <v>3.7604752045745829E-2</v>
      </c>
      <c r="T127" s="352">
        <f>Model!T1249</f>
        <v>4.1408091908091908E-2</v>
      </c>
      <c r="U127" s="352">
        <f>Model!U1249</f>
        <v>4.1632653061224489E-2</v>
      </c>
      <c r="V127" s="352">
        <f>Model!V1249</f>
        <v>3.8961408057439167E-2</v>
      </c>
      <c r="W127" s="352">
        <f>Model!W1249</f>
        <v>4.2795100222717146E-2</v>
      </c>
      <c r="X127" s="352">
        <f>Model!X1249</f>
        <v>4.6553838606818734E-2</v>
      </c>
      <c r="Y127" s="352">
        <f>Model!Y1249</f>
        <v>4.7861464378318314E-2</v>
      </c>
      <c r="Z127" s="352">
        <f>Model!Z1249</f>
        <v>4.6982265446224254E-2</v>
      </c>
      <c r="AA127" s="352">
        <f>Model!AA1249</f>
        <v>4.7710206730323529E-2</v>
      </c>
      <c r="AB127" s="352">
        <f>Model!AB1249</f>
        <v>5.1835338523236608E-2</v>
      </c>
      <c r="AC127" s="353">
        <v>5.1999999999999998E-2</v>
      </c>
      <c r="AD127" s="353">
        <v>5.1813000000000005E-2</v>
      </c>
      <c r="AE127" s="353">
        <v>5.1300000000000005E-2</v>
      </c>
      <c r="AF127" s="353">
        <v>5.1999999999999998E-2</v>
      </c>
      <c r="AG127" s="353">
        <v>5.2499999999999998E-2</v>
      </c>
      <c r="AH127" s="353">
        <v>5.3999999999999999E-2</v>
      </c>
      <c r="AI127" s="353">
        <v>5.5E-2</v>
      </c>
      <c r="AJ127" s="1749"/>
      <c r="AK127" s="1749"/>
      <c r="AL127" s="1749"/>
      <c r="AM127" s="1749"/>
      <c r="AN127" s="1749"/>
      <c r="AO127" s="1749"/>
      <c r="AP127" s="1749"/>
      <c r="AQ127" s="1749"/>
      <c r="AT127" s="383" t="s">
        <v>102</v>
      </c>
      <c r="AU127" s="352">
        <f>Model!AU1249</f>
        <v>6.2926829268292683E-2</v>
      </c>
      <c r="AV127" s="352">
        <f>Model!AV1249</f>
        <v>4.9252761533463287E-2</v>
      </c>
      <c r="AW127" s="352">
        <f>Model!AW1249</f>
        <v>4.3194444444444445E-2</v>
      </c>
      <c r="AX127" s="352">
        <f>Model!AX1249</f>
        <v>3.9355210132412208E-2</v>
      </c>
      <c r="AY127" s="352">
        <f>Model!AY1249</f>
        <v>4.1210045662100452E-2</v>
      </c>
      <c r="AZ127" s="352">
        <f>Model!AZ1249</f>
        <v>4.7284695556774545E-2</v>
      </c>
      <c r="BA127" s="352">
        <f>Model!BA1249</f>
        <v>5.17383183208701E-2</v>
      </c>
      <c r="BB127" s="352">
        <f>Model!BB1249</f>
        <v>5.3412553346394526E-2</v>
      </c>
      <c r="BC127" s="353">
        <v>5.5E-2</v>
      </c>
      <c r="BD127" s="353">
        <v>5.6500000000000002E-2</v>
      </c>
      <c r="BE127" s="353">
        <v>5.8500000000000003E-2</v>
      </c>
      <c r="BG127" s="1717"/>
      <c r="BH127" s="1710"/>
    </row>
    <row r="128" spans="1:60" s="70" customFormat="1" x14ac:dyDescent="0.2">
      <c r="A128" s="411"/>
      <c r="B128" s="10"/>
      <c r="C128" s="362" t="s">
        <v>484</v>
      </c>
      <c r="D128" s="67">
        <f>Model!D1250</f>
        <v>4.3217692597639829E-2</v>
      </c>
      <c r="E128" s="67">
        <f>Model!E1250</f>
        <v>4.065080264678389E-2</v>
      </c>
      <c r="F128" s="67">
        <f>Model!F1250</f>
        <v>3.5998864265121291E-2</v>
      </c>
      <c r="G128" s="67">
        <f>Model!G1250</f>
        <v>3.3509502733663106E-2</v>
      </c>
      <c r="H128" s="67">
        <f>Model!H1250</f>
        <v>3.405366288131819E-2</v>
      </c>
      <c r="I128" s="67">
        <f>Model!I1250</f>
        <v>3.2822201886207387E-2</v>
      </c>
      <c r="J128" s="67">
        <f>Model!J1250</f>
        <v>2.8824746473948008E-2</v>
      </c>
      <c r="K128" s="67">
        <f>Model!K1250</f>
        <v>2.8214823910252831E-2</v>
      </c>
      <c r="L128" s="67">
        <f>Model!L1250</f>
        <v>2.8630507509431274E-2</v>
      </c>
      <c r="M128" s="67">
        <f>Model!M1250</f>
        <v>2.7856253778583875E-2</v>
      </c>
      <c r="N128" s="67">
        <f>Model!N1250</f>
        <v>2.5840079000806697E-2</v>
      </c>
      <c r="O128" s="67">
        <f>Model!O1250</f>
        <v>2.5404345077777165E-2</v>
      </c>
      <c r="P128" s="67">
        <f>Model!P1250</f>
        <v>2.5015333048067322E-2</v>
      </c>
      <c r="Q128" s="67">
        <f>Model!Q1250</f>
        <v>2.5834803494377959E-2</v>
      </c>
      <c r="R128" s="67">
        <f>Model!R1250</f>
        <v>2.2119530666961495E-2</v>
      </c>
      <c r="S128" s="67">
        <f>Model!S1250</f>
        <v>2.2593119328186372E-2</v>
      </c>
      <c r="T128" s="67">
        <f>Model!T1250</f>
        <v>2.3220949842236969E-2</v>
      </c>
      <c r="U128" s="67">
        <f>Model!U1250</f>
        <v>2.3424707160970896E-2</v>
      </c>
      <c r="V128" s="67">
        <f>Model!V1250</f>
        <v>2.0741551327823154E-2</v>
      </c>
      <c r="W128" s="67">
        <f>Model!W1250</f>
        <v>2.4153726708074533E-2</v>
      </c>
      <c r="X128" s="67">
        <f>Model!X1250</f>
        <v>2.6329029520518885E-2</v>
      </c>
      <c r="Y128" s="67">
        <f>Model!Y1250</f>
        <v>2.5828669694536652E-2</v>
      </c>
      <c r="Z128" s="67">
        <f>Model!Z1250</f>
        <v>2.6328858200787127E-2</v>
      </c>
      <c r="AA128" s="67">
        <f>Model!AA1250</f>
        <v>2.4804038413054938E-2</v>
      </c>
      <c r="AB128" s="67">
        <f>Model!AB1250</f>
        <v>2.7706905640484975E-2</v>
      </c>
      <c r="AC128" s="67">
        <f>Model!AC1250</f>
        <v>2.8230545559536462E-2</v>
      </c>
      <c r="AD128" s="67">
        <f>Model!AD1250</f>
        <v>2.8828061565176397E-2</v>
      </c>
      <c r="AE128" s="67">
        <f>Model!AE1250</f>
        <v>2.9226576411879091E-2</v>
      </c>
      <c r="AF128" s="67">
        <f>Model!AF1250</f>
        <v>2.9440080793534364E-2</v>
      </c>
      <c r="AG128" s="67">
        <f>Model!AG1250</f>
        <v>2.954060074512823E-2</v>
      </c>
      <c r="AH128" s="67">
        <f>Model!AH1250</f>
        <v>3.0695186049009577E-2</v>
      </c>
      <c r="AI128" s="67">
        <f>Model!AI1250</f>
        <v>3.1276669974124517E-2</v>
      </c>
      <c r="AJ128" s="67"/>
      <c r="AK128" s="67"/>
      <c r="AL128" s="67"/>
      <c r="AM128" s="67"/>
      <c r="AN128" s="67"/>
      <c r="AO128" s="67"/>
      <c r="AP128" s="67"/>
      <c r="AQ128" s="67"/>
      <c r="AS128" s="10"/>
      <c r="AT128" s="362" t="s">
        <v>484</v>
      </c>
      <c r="AU128" s="67">
        <f>Model!AU1250</f>
        <v>3.8334721065778517E-2</v>
      </c>
      <c r="AV128" s="67">
        <f>Model!AV1250</f>
        <v>3.092E-2</v>
      </c>
      <c r="AW128" s="67">
        <f>Model!AW1250</f>
        <v>2.6914093745000801E-2</v>
      </c>
      <c r="AX128" s="67">
        <f>Model!AX1250</f>
        <v>2.3865118498488946E-2</v>
      </c>
      <c r="AY128" s="67">
        <f>Model!AY1250</f>
        <v>2.2877991827203736E-2</v>
      </c>
      <c r="AZ128" s="67">
        <f>Model!AZ1250</f>
        <v>2.5816175481092725E-2</v>
      </c>
      <c r="BA128" s="67">
        <f>Model!BA1250</f>
        <v>2.851337433964261E-2</v>
      </c>
      <c r="BB128" s="67">
        <f>Model!BB1250</f>
        <v>3.0262694135516563E-2</v>
      </c>
      <c r="BC128" s="67">
        <f>Model!BC1250</f>
        <v>3.2445481665360175E-2</v>
      </c>
      <c r="BD128" s="67">
        <f>Model!BD1250</f>
        <v>3.4574278828409098E-2</v>
      </c>
      <c r="BE128" s="67">
        <f>Model!BE1250</f>
        <v>3.67688060314195E-2</v>
      </c>
      <c r="BG128" s="354"/>
      <c r="BH128" s="354"/>
    </row>
    <row r="129" spans="1:60" s="70" customFormat="1" x14ac:dyDescent="0.2">
      <c r="A129" s="411"/>
      <c r="B129" s="18"/>
      <c r="C129" s="362"/>
      <c r="D129" s="354"/>
      <c r="E129" s="354"/>
      <c r="F129" s="354"/>
      <c r="G129" s="354"/>
      <c r="H129" s="354"/>
      <c r="I129" s="354"/>
      <c r="J129" s="354"/>
      <c r="K129" s="354"/>
      <c r="L129" s="354"/>
      <c r="M129" s="354"/>
      <c r="N129" s="354"/>
      <c r="O129" s="354"/>
      <c r="P129" s="354"/>
      <c r="Q129" s="354"/>
      <c r="R129" s="354"/>
      <c r="S129" s="354"/>
      <c r="T129" s="354"/>
      <c r="U129" s="354"/>
      <c r="V129" s="354"/>
      <c r="W129" s="354"/>
      <c r="X129" s="354"/>
      <c r="Y129" s="354"/>
      <c r="Z129" s="354"/>
      <c r="AA129" s="354"/>
      <c r="AB129" s="354"/>
      <c r="AC129" s="354"/>
      <c r="AD129" s="354"/>
      <c r="AE129" s="354"/>
      <c r="AF129" s="354"/>
      <c r="AG129" s="354"/>
      <c r="AH129" s="354"/>
      <c r="AI129" s="354"/>
      <c r="AJ129" s="354"/>
      <c r="AK129" s="354"/>
      <c r="AL129" s="354"/>
      <c r="AM129" s="354"/>
      <c r="AN129" s="354"/>
      <c r="AO129" s="354"/>
      <c r="AP129" s="354"/>
      <c r="AQ129" s="354"/>
      <c r="AS129" s="18"/>
      <c r="AT129" s="362"/>
      <c r="AU129" s="354"/>
      <c r="AV129" s="354"/>
      <c r="AW129" s="354"/>
      <c r="AX129" s="354"/>
      <c r="AY129" s="354"/>
      <c r="AZ129" s="354"/>
      <c r="BA129" s="354"/>
      <c r="BB129" s="354"/>
      <c r="BC129" s="355"/>
      <c r="BD129" s="355"/>
      <c r="BE129" s="355"/>
      <c r="BG129" s="355"/>
      <c r="BH129" s="355"/>
    </row>
    <row r="130" spans="1:60" s="70" customFormat="1" x14ac:dyDescent="0.2">
      <c r="A130" s="411"/>
      <c r="B130" s="350" t="s">
        <v>238</v>
      </c>
      <c r="C130" s="362"/>
      <c r="D130" s="354"/>
      <c r="E130" s="354"/>
      <c r="F130" s="354"/>
      <c r="G130" s="354"/>
      <c r="H130" s="354"/>
      <c r="I130" s="354"/>
      <c r="J130" s="354"/>
      <c r="K130" s="354"/>
      <c r="L130" s="354"/>
      <c r="M130" s="354"/>
      <c r="N130" s="354"/>
      <c r="O130" s="354"/>
      <c r="P130" s="354"/>
      <c r="Q130" s="354"/>
      <c r="R130" s="354"/>
      <c r="S130" s="354"/>
      <c r="T130" s="354"/>
      <c r="U130" s="354"/>
      <c r="V130" s="354"/>
      <c r="W130" s="354"/>
      <c r="X130" s="354"/>
      <c r="Y130" s="354"/>
      <c r="Z130" s="354"/>
      <c r="AA130" s="354"/>
      <c r="AB130" s="354"/>
      <c r="AC130" s="354"/>
      <c r="AD130" s="354"/>
      <c r="AE130" s="354"/>
      <c r="AF130" s="354"/>
      <c r="AG130" s="354"/>
      <c r="AH130" s="354"/>
      <c r="AI130" s="354"/>
      <c r="AJ130" s="354"/>
      <c r="AK130" s="354"/>
      <c r="AL130" s="354"/>
      <c r="AM130" s="354"/>
      <c r="AN130" s="354"/>
      <c r="AO130" s="354"/>
      <c r="AP130" s="354"/>
      <c r="AQ130" s="354"/>
      <c r="AS130" s="350" t="s">
        <v>238</v>
      </c>
      <c r="AT130" s="362"/>
      <c r="AU130" s="354"/>
      <c r="AV130" s="354"/>
      <c r="AW130" s="354"/>
      <c r="AX130" s="354"/>
      <c r="AY130" s="354"/>
      <c r="AZ130" s="354"/>
      <c r="BA130" s="354"/>
      <c r="BB130" s="354"/>
      <c r="BC130" s="355"/>
      <c r="BD130" s="355"/>
      <c r="BE130" s="355"/>
      <c r="BG130" s="355"/>
      <c r="BH130" s="355"/>
    </row>
    <row r="131" spans="1:60" s="70" customFormat="1" x14ac:dyDescent="0.2">
      <c r="A131" s="411"/>
      <c r="B131" s="10"/>
      <c r="C131" s="362" t="s">
        <v>74</v>
      </c>
      <c r="D131" s="67">
        <f>Model!D1253</f>
        <v>1.9487934745666704E-2</v>
      </c>
      <c r="E131" s="67">
        <f>Model!E1253</f>
        <v>1.7358010410641989E-2</v>
      </c>
      <c r="F131" s="67">
        <f>Model!F1253</f>
        <v>1.9597344185050332E-2</v>
      </c>
      <c r="G131" s="67">
        <f>Model!G1253</f>
        <v>2.5961420698101652E-2</v>
      </c>
      <c r="H131" s="67">
        <f>Model!H1253</f>
        <v>2.4584562438544736E-2</v>
      </c>
      <c r="I131" s="67">
        <f>Model!I1253</f>
        <v>2.5112279025322506E-2</v>
      </c>
      <c r="J131" s="67">
        <f>Model!J1253</f>
        <v>2.4576760292420161E-2</v>
      </c>
      <c r="K131" s="67">
        <f>Model!K1253</f>
        <v>2.5934029738377561E-2</v>
      </c>
      <c r="L131" s="67">
        <f>Model!L1253</f>
        <v>2.7450266860747211E-2</v>
      </c>
      <c r="M131" s="67">
        <f>Model!M1253</f>
        <v>2.7425565887104347E-2</v>
      </c>
      <c r="N131" s="67">
        <f>Model!N1253</f>
        <v>2.8289224952741016E-2</v>
      </c>
      <c r="O131" s="67">
        <f>Model!O1253</f>
        <v>3.9494393074955732E-2</v>
      </c>
      <c r="P131" s="67">
        <f>Model!P1253</f>
        <v>2.9246794871794872E-2</v>
      </c>
      <c r="Q131" s="67">
        <f>Model!Q1253</f>
        <v>2.7382713440405746E-2</v>
      </c>
      <c r="R131" s="67">
        <f>Model!R1253</f>
        <v>2.7651515151515149E-2</v>
      </c>
      <c r="S131" s="67">
        <f>Model!S1253</f>
        <v>3.1540760869565219E-2</v>
      </c>
      <c r="T131" s="67">
        <f>Model!T1253</f>
        <v>2.8070054945054945E-2</v>
      </c>
      <c r="U131" s="67">
        <f>Model!U1253</f>
        <v>2.8698489010989009E-2</v>
      </c>
      <c r="V131" s="67">
        <f>Model!V1253</f>
        <v>2.7493740040974275E-2</v>
      </c>
      <c r="W131" s="67">
        <f>Model!W1253</f>
        <v>2.9675675675675674E-2</v>
      </c>
      <c r="X131" s="67">
        <f>Model!X1253</f>
        <v>3.0361262902246507E-2</v>
      </c>
      <c r="Y131" s="67">
        <f>Model!Y1253</f>
        <v>2.9983135676204982E-2</v>
      </c>
      <c r="Z131" s="67">
        <f>Model!Z1253</f>
        <v>2.6761177194421656E-2</v>
      </c>
      <c r="AA131" s="67">
        <f>Model!AA1253</f>
        <v>2.9902013279074744E-2</v>
      </c>
      <c r="AB131" s="67">
        <f>Model!AB1253</f>
        <v>2.5861513687600642E-2</v>
      </c>
      <c r="AC131" s="272">
        <v>2.7E-2</v>
      </c>
      <c r="AD131" s="272">
        <v>2.9000000000000001E-2</v>
      </c>
      <c r="AE131" s="272">
        <v>0.03</v>
      </c>
      <c r="AF131" s="272">
        <v>3.15E-2</v>
      </c>
      <c r="AG131" s="272">
        <v>3.2000000000000001E-2</v>
      </c>
      <c r="AH131" s="272">
        <v>3.2500000000000001E-2</v>
      </c>
      <c r="AI131" s="272">
        <v>3.3000000000000002E-2</v>
      </c>
      <c r="AJ131" s="272"/>
      <c r="AK131" s="272"/>
      <c r="AL131" s="272"/>
      <c r="AM131" s="272"/>
      <c r="AN131" s="272"/>
      <c r="AO131" s="272"/>
      <c r="AP131" s="272"/>
      <c r="AQ131" s="272"/>
      <c r="AS131" s="10"/>
      <c r="AT131" s="362" t="s">
        <v>74</v>
      </c>
      <c r="AU131" s="67">
        <f>Model!AU1253</f>
        <v>2.0750000000000001E-2</v>
      </c>
      <c r="AV131" s="67">
        <f>Model!AV1253</f>
        <v>2.5060240963855417E-2</v>
      </c>
      <c r="AW131" s="67">
        <f>Model!AW1253</f>
        <v>3.0590809628008753E-2</v>
      </c>
      <c r="AX131" s="67">
        <f>Model!AX1253</f>
        <v>2.8943488943488943E-2</v>
      </c>
      <c r="AY131" s="67">
        <f>Model!AY1253</f>
        <v>2.8473684210526314E-2</v>
      </c>
      <c r="AZ131" s="67">
        <f>Model!AZ1253</f>
        <v>2.92E-2</v>
      </c>
      <c r="BA131" s="67">
        <f>Model!BA1253</f>
        <v>2.8010089464386701E-2</v>
      </c>
      <c r="BB131" s="67">
        <f>Model!BB1253</f>
        <v>3.2268483951582203E-2</v>
      </c>
      <c r="BC131" s="272">
        <v>3.4000000000000002E-2</v>
      </c>
      <c r="BD131" s="272">
        <v>3.5999999999999997E-2</v>
      </c>
      <c r="BE131" s="272">
        <v>3.7999999999999999E-2</v>
      </c>
      <c r="BG131" s="355"/>
      <c r="BH131" s="1710"/>
    </row>
    <row r="132" spans="1:60" s="70" customFormat="1" x14ac:dyDescent="0.2">
      <c r="A132" s="411"/>
      <c r="B132" s="10"/>
      <c r="C132" s="383" t="s">
        <v>75</v>
      </c>
      <c r="D132" s="352">
        <f>Model!D1254</f>
        <v>8.0439560439560437E-2</v>
      </c>
      <c r="E132" s="352">
        <f>Model!E1254</f>
        <v>7.9733950260266057E-2</v>
      </c>
      <c r="F132" s="352">
        <f>Model!F1254</f>
        <v>8.2826086956521744E-2</v>
      </c>
      <c r="G132" s="352">
        <f>Model!G1254</f>
        <v>8.5159646739130443E-2</v>
      </c>
      <c r="H132" s="352">
        <f>Model!H1254</f>
        <v>9.0653594771241824E-2</v>
      </c>
      <c r="I132" s="352">
        <f>Model!I1254</f>
        <v>8.8814756671899517E-2</v>
      </c>
      <c r="J132" s="352">
        <f>Model!J1254</f>
        <v>8.7849378881987558E-2</v>
      </c>
      <c r="K132" s="352">
        <f>Model!K1254</f>
        <v>9.0070505287896591E-2</v>
      </c>
      <c r="L132" s="352">
        <f>Model!L1254</f>
        <v>0.10758487654320988</v>
      </c>
      <c r="M132" s="352">
        <f>Model!M1254</f>
        <v>0.11165726165726166</v>
      </c>
      <c r="N132" s="352">
        <f>Model!N1254</f>
        <v>0.11739130434782608</v>
      </c>
      <c r="O132" s="352">
        <f>Model!O1254</f>
        <v>0.11343386405388854</v>
      </c>
      <c r="P132" s="352">
        <f>Model!P1254</f>
        <v>0.13053819444444445</v>
      </c>
      <c r="Q132" s="352">
        <f>Model!Q1254</f>
        <v>0.11441181769050622</v>
      </c>
      <c r="R132" s="352">
        <f>Model!R1254</f>
        <v>0.11547942546583849</v>
      </c>
      <c r="S132" s="352">
        <f>Model!S1254</f>
        <v>0.1067588932806324</v>
      </c>
      <c r="T132" s="352">
        <f>Model!T1254</f>
        <v>0.11137785291631445</v>
      </c>
      <c r="U132" s="352">
        <f>Model!U1254</f>
        <v>9.7000646412411115E-2</v>
      </c>
      <c r="V132" s="352">
        <f>Model!V1254</f>
        <v>9.5166240409207153E-2</v>
      </c>
      <c r="W132" s="352">
        <f>Model!W1254</f>
        <v>8.7521739130434775E-2</v>
      </c>
      <c r="X132" s="352">
        <f>Model!X1254</f>
        <v>9.8009259259259254E-2</v>
      </c>
      <c r="Y132" s="352">
        <f>Model!Y1254</f>
        <v>9.5355587808417991E-2</v>
      </c>
      <c r="Z132" s="352">
        <f>Model!Z1254</f>
        <v>0.1076863354037267</v>
      </c>
      <c r="AA132" s="352">
        <f>Model!AA1254</f>
        <v>0.10212359098228663</v>
      </c>
      <c r="AB132" s="352">
        <f>Model!AB1254</f>
        <v>0.10573412698412699</v>
      </c>
      <c r="AC132" s="353">
        <v>0.105</v>
      </c>
      <c r="AD132" s="353">
        <v>0.105</v>
      </c>
      <c r="AE132" s="353">
        <v>0.105</v>
      </c>
      <c r="AF132" s="353">
        <v>0.106</v>
      </c>
      <c r="AG132" s="353">
        <v>0.107</v>
      </c>
      <c r="AH132" s="353">
        <v>0.108</v>
      </c>
      <c r="AI132" s="353">
        <v>0.109</v>
      </c>
      <c r="AJ132" s="1749"/>
      <c r="AK132" s="1749"/>
      <c r="AL132" s="1749"/>
      <c r="AM132" s="1749"/>
      <c r="AN132" s="1749"/>
      <c r="AO132" s="1749"/>
      <c r="AP132" s="1749"/>
      <c r="AQ132" s="1749"/>
      <c r="AS132" s="10"/>
      <c r="AT132" s="383" t="s">
        <v>75</v>
      </c>
      <c r="AU132" s="352">
        <f>Model!AU1254</f>
        <v>8.2157676348547717E-2</v>
      </c>
      <c r="AV132" s="352">
        <f>Model!AV1254</f>
        <v>8.9361702127659565E-2</v>
      </c>
      <c r="AW132" s="352">
        <f>Model!AW1254</f>
        <v>0.11255172413793103</v>
      </c>
      <c r="AX132" s="352">
        <f>Model!AX1254</f>
        <v>0.11711864406779661</v>
      </c>
      <c r="AY132" s="352">
        <f>Model!AY1254</f>
        <v>9.7843137254901957E-2</v>
      </c>
      <c r="AZ132" s="352">
        <f>Model!AZ1254</f>
        <v>0.10104265402843601</v>
      </c>
      <c r="BA132" s="352">
        <f>Model!BA1254</f>
        <v>0.1051908306029654</v>
      </c>
      <c r="BB132" s="352">
        <f>Model!BB1254</f>
        <v>0.10755885118602344</v>
      </c>
      <c r="BC132" s="353">
        <v>0.11</v>
      </c>
      <c r="BD132" s="353">
        <v>0.111</v>
      </c>
      <c r="BE132" s="353">
        <v>0.112</v>
      </c>
      <c r="BG132" s="1717"/>
      <c r="BH132" s="1710"/>
    </row>
    <row r="133" spans="1:60" s="70" customFormat="1" x14ac:dyDescent="0.2">
      <c r="A133" s="411"/>
      <c r="B133" s="10"/>
      <c r="C133" s="362" t="s">
        <v>521</v>
      </c>
      <c r="D133" s="67">
        <f>Model!D1255</f>
        <v>3.370195022368936E-2</v>
      </c>
      <c r="E133" s="67">
        <f>Model!E1255</f>
        <v>3.1752458068247544E-2</v>
      </c>
      <c r="F133" s="67">
        <f>Model!F1255</f>
        <v>3.4207015810276679E-2</v>
      </c>
      <c r="G133" s="67">
        <f>Model!G1255</f>
        <v>3.9638989169675086E-2</v>
      </c>
      <c r="H133" s="67">
        <f>Model!H1255</f>
        <v>3.9865835222978076E-2</v>
      </c>
      <c r="I133" s="67">
        <f>Model!I1255</f>
        <v>3.9976190476190478E-2</v>
      </c>
      <c r="J133" s="67">
        <f>Model!J1255</f>
        <v>3.9539879553466509E-2</v>
      </c>
      <c r="K133" s="67">
        <f>Model!K1255</f>
        <v>4.1495010691375622E-2</v>
      </c>
      <c r="L133" s="67">
        <f>Model!L1255</f>
        <v>4.6618678479143597E-2</v>
      </c>
      <c r="M133" s="67">
        <f>Model!M1255</f>
        <v>4.7663051234479809E-2</v>
      </c>
      <c r="N133" s="67">
        <f>Model!N1255</f>
        <v>4.9756062562778015E-2</v>
      </c>
      <c r="O133" s="67">
        <f>Model!O1255</f>
        <v>5.7472826086956509E-2</v>
      </c>
      <c r="P133" s="67">
        <f>Model!P1255</f>
        <v>5.3080065359477117E-2</v>
      </c>
      <c r="Q133" s="67">
        <f>Model!Q1255</f>
        <v>4.7117937824257522E-2</v>
      </c>
      <c r="R133" s="67">
        <f>Model!R1255</f>
        <v>4.7015148921602183E-2</v>
      </c>
      <c r="S133" s="67">
        <f>Model!S1255</f>
        <v>4.7764279624893435E-2</v>
      </c>
      <c r="T133" s="67">
        <f>Model!T1255</f>
        <v>4.582417582417582E-2</v>
      </c>
      <c r="U133" s="67">
        <f>Model!U1255</f>
        <v>4.3033509700176373E-2</v>
      </c>
      <c r="V133" s="67">
        <f>Model!V1255</f>
        <v>4.175530003593244E-2</v>
      </c>
      <c r="W133" s="67">
        <f>Model!W1255</f>
        <v>4.1983348751156335E-2</v>
      </c>
      <c r="X133" s="67">
        <f>Model!X1255</f>
        <v>4.4417989417989419E-2</v>
      </c>
      <c r="Y133" s="67">
        <f>Model!Y1255</f>
        <v>4.3570351217410042E-2</v>
      </c>
      <c r="Z133" s="67">
        <f>Model!Z1255</f>
        <v>4.3670911745619725E-2</v>
      </c>
      <c r="AA133" s="67">
        <f>Model!AA1255</f>
        <v>4.5076975131111481E-2</v>
      </c>
      <c r="AB133" s="67">
        <f>Model!AB1255</f>
        <v>4.2868610054921846E-2</v>
      </c>
      <c r="AC133" s="67">
        <f>Model!AC1255</f>
        <v>4.3217616972911543E-2</v>
      </c>
      <c r="AD133" s="67">
        <f>Model!AD1255</f>
        <v>4.4924841888704763E-2</v>
      </c>
      <c r="AE133" s="67">
        <f>Model!AE1255</f>
        <v>4.5897425076097675E-2</v>
      </c>
      <c r="AF133" s="67">
        <f>Model!AF1255</f>
        <v>4.7165473558622079E-2</v>
      </c>
      <c r="AG133" s="67">
        <f>Model!AG1255</f>
        <v>4.7893666146148824E-2</v>
      </c>
      <c r="AH133" s="67">
        <f>Model!AH1255</f>
        <v>4.8499623920456481E-2</v>
      </c>
      <c r="AI133" s="67">
        <f>Model!AI1255</f>
        <v>4.9291657080744226E-2</v>
      </c>
      <c r="AJ133" s="67"/>
      <c r="AK133" s="67"/>
      <c r="AL133" s="67"/>
      <c r="AM133" s="67"/>
      <c r="AN133" s="67"/>
      <c r="AO133" s="67"/>
      <c r="AP133" s="67"/>
      <c r="AQ133" s="67"/>
      <c r="AS133" s="10"/>
      <c r="AT133" s="362" t="s">
        <v>521</v>
      </c>
      <c r="AU133" s="67">
        <f>Model!AU1255</f>
        <v>3.4966378482228624E-2</v>
      </c>
      <c r="AV133" s="67">
        <f>Model!AV1255</f>
        <v>4.0234309623430962E-2</v>
      </c>
      <c r="AW133" s="67">
        <f>Model!AW1255</f>
        <v>5.033222591362127E-2</v>
      </c>
      <c r="AX133" s="67">
        <f>Model!AX1255</f>
        <v>4.8761904761904763E-2</v>
      </c>
      <c r="AY133" s="67">
        <f>Model!AY1255</f>
        <v>4.3153526970954356E-2</v>
      </c>
      <c r="AZ133" s="67">
        <f>Model!AZ1255</f>
        <v>4.4193867457962409E-2</v>
      </c>
      <c r="BA133" s="67">
        <f>Model!BA1255</f>
        <v>4.4263933338400792E-2</v>
      </c>
      <c r="BB133" s="67">
        <f>Model!BB1255</f>
        <v>4.8240851375088115E-2</v>
      </c>
      <c r="BC133" s="67">
        <f>Model!BC1255</f>
        <v>5.0244802616518515E-2</v>
      </c>
      <c r="BD133" s="67">
        <f>Model!BD1255</f>
        <v>5.2152003352575825E-2</v>
      </c>
      <c r="BE133" s="67">
        <f>Model!BE1255</f>
        <v>5.4056630679096718E-2</v>
      </c>
      <c r="BG133" s="354"/>
      <c r="BH133" s="354"/>
    </row>
    <row r="134" spans="1:60" s="70" customFormat="1" x14ac:dyDescent="0.2">
      <c r="A134" s="411"/>
      <c r="B134" s="18"/>
      <c r="C134" s="362"/>
      <c r="D134" s="354"/>
      <c r="E134" s="354"/>
      <c r="F134" s="354"/>
      <c r="G134" s="354"/>
      <c r="H134" s="354"/>
      <c r="I134" s="354"/>
      <c r="J134" s="354"/>
      <c r="K134" s="354"/>
      <c r="L134" s="354"/>
      <c r="M134" s="354"/>
      <c r="N134" s="354"/>
      <c r="O134" s="354"/>
      <c r="P134" s="354"/>
      <c r="Q134" s="354"/>
      <c r="R134" s="354"/>
      <c r="S134" s="354"/>
      <c r="T134" s="354"/>
      <c r="U134" s="354"/>
      <c r="V134" s="354"/>
      <c r="W134" s="354"/>
      <c r="X134" s="354"/>
      <c r="Y134" s="354"/>
      <c r="Z134" s="354"/>
      <c r="AA134" s="354"/>
      <c r="AB134" s="354"/>
      <c r="AC134" s="355"/>
      <c r="AD134" s="355"/>
      <c r="AE134" s="355"/>
      <c r="AF134" s="355"/>
      <c r="AG134" s="355"/>
      <c r="AH134" s="355"/>
      <c r="AI134" s="355"/>
      <c r="AJ134" s="355"/>
      <c r="AK134" s="355"/>
      <c r="AL134" s="355"/>
      <c r="AM134" s="355"/>
      <c r="AN134" s="355"/>
      <c r="AO134" s="355"/>
      <c r="AP134" s="355"/>
      <c r="AQ134" s="355"/>
      <c r="AS134" s="18"/>
      <c r="AT134" s="362"/>
      <c r="AU134" s="354"/>
      <c r="AV134" s="354"/>
      <c r="AW134" s="354"/>
      <c r="AX134" s="354"/>
      <c r="AY134" s="354"/>
      <c r="AZ134" s="354"/>
      <c r="BA134" s="354"/>
      <c r="BB134" s="354"/>
      <c r="BC134" s="355"/>
      <c r="BD134" s="355"/>
      <c r="BE134" s="355"/>
      <c r="BG134" s="355"/>
      <c r="BH134" s="355"/>
    </row>
    <row r="135" spans="1:60" s="70" customFormat="1" x14ac:dyDescent="0.2">
      <c r="A135" s="411"/>
      <c r="B135" s="201" t="s">
        <v>239</v>
      </c>
      <c r="C135" s="362"/>
      <c r="D135" s="354"/>
      <c r="E135" s="354"/>
      <c r="F135" s="354"/>
      <c r="G135" s="354"/>
      <c r="H135" s="354"/>
      <c r="I135" s="354"/>
      <c r="J135" s="354"/>
      <c r="K135" s="354"/>
      <c r="L135" s="354"/>
      <c r="M135" s="354"/>
      <c r="N135" s="354"/>
      <c r="O135" s="354"/>
      <c r="P135" s="354"/>
      <c r="Q135" s="354"/>
      <c r="R135" s="354"/>
      <c r="S135" s="354"/>
      <c r="T135" s="354"/>
      <c r="U135" s="354"/>
      <c r="V135" s="354"/>
      <c r="W135" s="354"/>
      <c r="X135" s="354"/>
      <c r="Y135" s="354"/>
      <c r="Z135" s="354"/>
      <c r="AA135" s="354"/>
      <c r="AB135" s="354"/>
      <c r="AC135" s="355"/>
      <c r="AD135" s="355"/>
      <c r="AE135" s="355"/>
      <c r="AF135" s="355"/>
      <c r="AG135" s="355"/>
      <c r="AH135" s="355"/>
      <c r="AI135" s="355"/>
      <c r="AJ135" s="355"/>
      <c r="AK135" s="355"/>
      <c r="AL135" s="355"/>
      <c r="AM135" s="355"/>
      <c r="AN135" s="355"/>
      <c r="AO135" s="355"/>
      <c r="AP135" s="355"/>
      <c r="AQ135" s="355"/>
      <c r="AS135" s="201" t="s">
        <v>239</v>
      </c>
      <c r="AT135" s="362"/>
      <c r="AU135" s="354"/>
      <c r="AV135" s="354"/>
      <c r="AW135" s="354"/>
      <c r="AX135" s="354"/>
      <c r="AY135" s="354"/>
      <c r="AZ135" s="354"/>
      <c r="BA135" s="354"/>
      <c r="BB135" s="354"/>
      <c r="BC135" s="355"/>
      <c r="BD135" s="355"/>
      <c r="BE135" s="355"/>
      <c r="BG135" s="355"/>
      <c r="BH135" s="355"/>
    </row>
    <row r="136" spans="1:60" s="70" customFormat="1" x14ac:dyDescent="0.2">
      <c r="A136" s="411"/>
      <c r="B136" s="201"/>
      <c r="C136" s="362" t="s">
        <v>74</v>
      </c>
      <c r="D136" s="354">
        <f>Model!D1258</f>
        <v>3.6509902981352467E-3</v>
      </c>
      <c r="E136" s="354">
        <f>Model!E1258</f>
        <v>3.2917974882260598E-3</v>
      </c>
      <c r="F136" s="354">
        <f>Model!F1258</f>
        <v>3.9549961861174675E-3</v>
      </c>
      <c r="G136" s="354">
        <f>Model!G1258</f>
        <v>4.8445870188115114E-3</v>
      </c>
      <c r="H136" s="354">
        <f>Model!H1258</f>
        <v>3.3165949306551887E-3</v>
      </c>
      <c r="I136" s="354">
        <f>Model!I1258</f>
        <v>3.178737688824144E-3</v>
      </c>
      <c r="J136" s="354">
        <f>Model!J1258</f>
        <v>3.9844675940365537E-3</v>
      </c>
      <c r="K136" s="354">
        <f>Model!K1258</f>
        <v>4.3470723029608634E-3</v>
      </c>
      <c r="L136" s="354">
        <f>Model!L1258</f>
        <v>4.5680708180708173E-3</v>
      </c>
      <c r="M136" s="354">
        <f>Model!M1258</f>
        <v>4.3919800516106586E-3</v>
      </c>
      <c r="N136" s="354">
        <f>Model!N1258</f>
        <v>4.0248897290485188E-3</v>
      </c>
      <c r="O136" s="354">
        <f>Model!O1258</f>
        <v>4.0581660717420561E-3</v>
      </c>
      <c r="P136" s="354">
        <f>Model!P1258</f>
        <v>3.9211172498465315E-3</v>
      </c>
      <c r="Q136" s="354">
        <f>Model!Q1258</f>
        <v>4.4381621145106621E-3</v>
      </c>
      <c r="R136" s="354">
        <f>Model!R1258</f>
        <v>4.2690724221820216E-3</v>
      </c>
      <c r="S136" s="354">
        <f>Model!S1258</f>
        <v>5.4048519218651541E-3</v>
      </c>
      <c r="T136" s="354">
        <f>Model!T1258</f>
        <v>3.694261294261294E-3</v>
      </c>
      <c r="U136" s="354">
        <f>Model!U1258</f>
        <v>3.6346764346764345E-3</v>
      </c>
      <c r="V136" s="354">
        <f>Model!V1258</f>
        <v>4.2770698597682016E-3</v>
      </c>
      <c r="W136" s="354">
        <f>Model!W1258</f>
        <v>4.0028940638040114E-3</v>
      </c>
      <c r="X136" s="354">
        <f>Model!X1258</f>
        <v>3.8624338624338628E-3</v>
      </c>
      <c r="Y136" s="354">
        <f>Model!Y1258</f>
        <v>3.2570437081715278E-3</v>
      </c>
      <c r="Z136" s="354">
        <f>Model!Z1258</f>
        <v>4.0615727002967358E-3</v>
      </c>
      <c r="AA136" s="354">
        <f>Model!AA1258</f>
        <v>3.4599342770475225E-3</v>
      </c>
      <c r="AB136" s="354">
        <f>Model!AB1258</f>
        <v>3.2696841112682695E-3</v>
      </c>
      <c r="AC136" s="272">
        <v>3.7000000000000002E-3</v>
      </c>
      <c r="AD136" s="272">
        <v>4.0000000000000001E-3</v>
      </c>
      <c r="AE136" s="272">
        <v>4.1999999999999997E-3</v>
      </c>
      <c r="AF136" s="272">
        <v>4.4000000000000003E-3</v>
      </c>
      <c r="AG136" s="272">
        <v>4.4999999999999997E-3</v>
      </c>
      <c r="AH136" s="272">
        <v>4.7000000000000002E-3</v>
      </c>
      <c r="AI136" s="272">
        <v>5.0000000000000001E-3</v>
      </c>
      <c r="AJ136" s="272"/>
      <c r="AK136" s="272"/>
      <c r="AL136" s="272"/>
      <c r="AM136" s="272"/>
      <c r="AN136" s="272"/>
      <c r="AO136" s="272"/>
      <c r="AP136" s="272"/>
      <c r="AQ136" s="272"/>
      <c r="AS136" s="201"/>
      <c r="AT136" s="362" t="s">
        <v>74</v>
      </c>
      <c r="AU136" s="354">
        <f>Model!AU1258</f>
        <v>3.945926196565583E-3</v>
      </c>
      <c r="AV136" s="354">
        <f>Model!AV1258</f>
        <v>3.7166251334994661E-3</v>
      </c>
      <c r="AW136" s="354">
        <f>Model!AW1258</f>
        <v>4.257028112449799E-3</v>
      </c>
      <c r="AX136" s="354">
        <f>Model!AX1258</f>
        <v>4.5024700070571627E-3</v>
      </c>
      <c r="AY136" s="354">
        <f>Model!AY1258</f>
        <v>3.902803738317757E-3</v>
      </c>
      <c r="AZ136" s="354">
        <f>Model!AZ1258</f>
        <v>3.659447348767737E-3</v>
      </c>
      <c r="BA136" s="354">
        <f>Model!BA1258</f>
        <v>3.8016533113613238E-3</v>
      </c>
      <c r="BB136" s="354">
        <f>Model!BB1258</f>
        <v>4.6539340092215612E-3</v>
      </c>
      <c r="BC136" s="272">
        <v>5.4999999999999997E-3</v>
      </c>
      <c r="BD136" s="272">
        <v>6.0000000000000001E-3</v>
      </c>
      <c r="BE136" s="272">
        <v>7.0000000000000001E-3</v>
      </c>
      <c r="BG136" s="355"/>
      <c r="BH136" s="1710"/>
    </row>
    <row r="137" spans="1:60" s="70" customFormat="1" x14ac:dyDescent="0.2">
      <c r="A137" s="411"/>
      <c r="B137" s="18"/>
      <c r="C137" s="383" t="s">
        <v>75</v>
      </c>
      <c r="D137" s="30">
        <f>Model!D1259</f>
        <v>2.6680448264606679E-2</v>
      </c>
      <c r="E137" s="30">
        <f>Model!E1259</f>
        <v>2.5239964117515137E-2</v>
      </c>
      <c r="F137" s="30">
        <f>Model!F1259</f>
        <v>2.7987764911514092E-2</v>
      </c>
      <c r="G137" s="30">
        <f>Model!G1259</f>
        <v>2.7436281859070464E-2</v>
      </c>
      <c r="H137" s="30">
        <f>Model!H1259</f>
        <v>2.9025054466230937E-2</v>
      </c>
      <c r="I137" s="30">
        <f>Model!I1259</f>
        <v>2.3821609862218998E-2</v>
      </c>
      <c r="J137" s="30">
        <f>Model!J1259</f>
        <v>2.5948883666274968E-2</v>
      </c>
      <c r="K137" s="30">
        <f>Model!K1259</f>
        <v>2.443077803203661E-2</v>
      </c>
      <c r="L137" s="30">
        <f>Model!L1259</f>
        <v>2.4462081128747797E-2</v>
      </c>
      <c r="M137" s="30">
        <f>Model!M1259</f>
        <v>2.6948832417582416E-2</v>
      </c>
      <c r="N137" s="30">
        <f>Model!N1259</f>
        <v>2.5002830615942027E-2</v>
      </c>
      <c r="O137" s="30">
        <f>Model!O1259</f>
        <v>2.4102968676951844E-2</v>
      </c>
      <c r="P137" s="30">
        <f>Model!P1259</f>
        <v>2.3206790123456788E-2</v>
      </c>
      <c r="Q137" s="30">
        <f>Model!Q1259</f>
        <v>2.4288766788766788E-2</v>
      </c>
      <c r="R137" s="30">
        <f>Model!R1259</f>
        <v>2.3201118738876172E-2</v>
      </c>
      <c r="S137" s="30">
        <f>Model!S1259</f>
        <v>2.063960794169389E-2</v>
      </c>
      <c r="T137" s="30">
        <f>Model!T1259</f>
        <v>2.2652519893899204E-2</v>
      </c>
      <c r="U137" s="30">
        <f>Model!U1259</f>
        <v>2.288366805608185E-2</v>
      </c>
      <c r="V137" s="30">
        <f>Model!V1259</f>
        <v>2.147356719367589E-2</v>
      </c>
      <c r="W137" s="30">
        <f>Model!W1259</f>
        <v>2.2535813018346316E-2</v>
      </c>
      <c r="X137" s="30">
        <f>Model!X1259</f>
        <v>2.1958256599140573E-2</v>
      </c>
      <c r="Y137" s="30">
        <f>Model!Y1259</f>
        <v>2.2452818920210227E-2</v>
      </c>
      <c r="Z137" s="30">
        <f>Model!Z1259</f>
        <v>2.1314176688251616E-2</v>
      </c>
      <c r="AA137" s="30">
        <f>Model!AA1259</f>
        <v>2.1187115866150692E-2</v>
      </c>
      <c r="AB137" s="30">
        <f>Model!AB1259</f>
        <v>2.1726190476190475E-2</v>
      </c>
      <c r="AC137" s="353">
        <v>2.1999999999999999E-2</v>
      </c>
      <c r="AD137" s="353">
        <v>2.1999999999999999E-2</v>
      </c>
      <c r="AE137" s="353">
        <v>2.1999999999999999E-2</v>
      </c>
      <c r="AF137" s="353">
        <v>2.1999999999999999E-2</v>
      </c>
      <c r="AG137" s="353">
        <v>2.1999999999999999E-2</v>
      </c>
      <c r="AH137" s="353">
        <v>2.35E-2</v>
      </c>
      <c r="AI137" s="353">
        <v>2.4500000000000001E-2</v>
      </c>
      <c r="AJ137" s="1749"/>
      <c r="AK137" s="1749"/>
      <c r="AL137" s="1749"/>
      <c r="AM137" s="1749"/>
      <c r="AN137" s="1749"/>
      <c r="AO137" s="1749"/>
      <c r="AP137" s="1749"/>
      <c r="AQ137" s="1749"/>
      <c r="AS137" s="18"/>
      <c r="AT137" s="383" t="s">
        <v>75</v>
      </c>
      <c r="AU137" s="30">
        <f>Model!AU1259</f>
        <v>2.6849999999999999E-2</v>
      </c>
      <c r="AV137" s="30">
        <f>Model!AV1259</f>
        <v>2.5824742268041236E-2</v>
      </c>
      <c r="AW137" s="30">
        <f>Model!AW1259</f>
        <v>2.5138339920948615E-2</v>
      </c>
      <c r="AX137" s="30">
        <f>Model!AX1259</f>
        <v>2.2840909090909092E-2</v>
      </c>
      <c r="AY137" s="30">
        <f>Model!AY1259</f>
        <v>2.2381635581061692E-2</v>
      </c>
      <c r="AZ137" s="30">
        <f>Model!AZ1259</f>
        <v>2.1720430107526882E-2</v>
      </c>
      <c r="BA137" s="30">
        <f>Model!BA1259</f>
        <v>2.1936200277433687E-2</v>
      </c>
      <c r="BB137" s="30">
        <f>Model!BB1259</f>
        <v>2.3032631317519751E-2</v>
      </c>
      <c r="BC137" s="353">
        <v>2.4E-2</v>
      </c>
      <c r="BD137" s="353">
        <v>2.5000000000000001E-2</v>
      </c>
      <c r="BE137" s="353">
        <v>2.5999999999999999E-2</v>
      </c>
      <c r="BG137" s="1717"/>
      <c r="BH137" s="1710"/>
    </row>
    <row r="138" spans="1:60" s="70" customFormat="1" x14ac:dyDescent="0.2">
      <c r="A138" s="411"/>
      <c r="B138" s="9"/>
      <c r="C138" s="362" t="s">
        <v>522</v>
      </c>
      <c r="D138" s="67">
        <f>+Model!D1260</f>
        <v>8.9074315514993466E-3</v>
      </c>
      <c r="E138" s="67">
        <f>+Model!E1260</f>
        <v>8.2478351141945603E-3</v>
      </c>
      <c r="F138" s="67">
        <f>+Model!F1260</f>
        <v>9.3712147323846556E-3</v>
      </c>
      <c r="G138" s="67">
        <f>+Model!G1260</f>
        <v>9.9346137142305654E-3</v>
      </c>
      <c r="H138" s="67">
        <f>+Model!H1260</f>
        <v>9.1373782217289423E-3</v>
      </c>
      <c r="I138" s="67">
        <f>+Model!I1260</f>
        <v>7.7428744095410749E-3</v>
      </c>
      <c r="J138" s="67">
        <f>+Model!J1260</f>
        <v>8.5915163166715956E-3</v>
      </c>
      <c r="K138" s="67">
        <f>+Model!K1260</f>
        <v>8.5357705340524011E-3</v>
      </c>
      <c r="L138" s="67">
        <f>+Model!L1260</f>
        <v>8.6683630195080602E-3</v>
      </c>
      <c r="M138" s="67">
        <f>+Model!M1260</f>
        <v>8.9508386350491617E-3</v>
      </c>
      <c r="N138" s="67">
        <f>+Model!N1260</f>
        <v>8.2601837882320655E-3</v>
      </c>
      <c r="O138" s="67">
        <f>+Model!O1260</f>
        <v>8.071441943183412E-3</v>
      </c>
      <c r="P138" s="67">
        <f>+Model!P1260</f>
        <v>7.7611848574237951E-3</v>
      </c>
      <c r="Q138" s="67">
        <f>+Model!Q1260</f>
        <v>8.3950932788142089E-3</v>
      </c>
      <c r="R138" s="67">
        <f>+Model!R1260</f>
        <v>7.9987727910238397E-3</v>
      </c>
      <c r="S138" s="67">
        <f>+Model!S1260</f>
        <v>8.4588644264194674E-3</v>
      </c>
      <c r="T138" s="67">
        <f>+Model!T1260</f>
        <v>7.5796994524909714E-3</v>
      </c>
      <c r="U138" s="67">
        <f>+Model!U1260</f>
        <v>7.5796994524909714E-3</v>
      </c>
      <c r="V138" s="67">
        <f>+Model!V1260</f>
        <v>7.8169336384439365E-3</v>
      </c>
      <c r="W138" s="67">
        <f>+Model!W1260</f>
        <v>7.917662048096831E-3</v>
      </c>
      <c r="X138" s="67">
        <f>+Model!X1260</f>
        <v>7.7991452991453001E-3</v>
      </c>
      <c r="Y138" s="67">
        <f>+Model!Y1260</f>
        <v>7.4172588306863924E-3</v>
      </c>
      <c r="Z138" s="67">
        <f>+Model!Z1260</f>
        <v>7.8243215979017441E-3</v>
      </c>
      <c r="AA138" s="67">
        <f>+Model!AA1260</f>
        <v>7.3119157144976993E-3</v>
      </c>
      <c r="AB138" s="67">
        <f>+Model!AB1260</f>
        <v>7.2757475083056466E-3</v>
      </c>
      <c r="AC138" s="67">
        <f>+Model!AC1260</f>
        <v>7.6720930232558144E-3</v>
      </c>
      <c r="AD138" s="67">
        <f>+Model!AD1260</f>
        <v>7.8918918918918935E-3</v>
      </c>
      <c r="AE138" s="67">
        <f>+Model!AE1260</f>
        <v>8.0486486486486507E-3</v>
      </c>
      <c r="AF138" s="67">
        <f>+Model!AF1260</f>
        <v>8.2202283411685721E-3</v>
      </c>
      <c r="AG138" s="67">
        <f>+Model!AG1260</f>
        <v>8.283710377574964E-3</v>
      </c>
      <c r="AH138" s="67">
        <f>+Model!AH1260</f>
        <v>8.8042079276162699E-3</v>
      </c>
      <c r="AI138" s="67">
        <f>+Model!AI1260</f>
        <v>9.3259688357325513E-3</v>
      </c>
      <c r="AJ138" s="67"/>
      <c r="AK138" s="67"/>
      <c r="AL138" s="67"/>
      <c r="AM138" s="67"/>
      <c r="AN138" s="67"/>
      <c r="AO138" s="67"/>
      <c r="AP138" s="67"/>
      <c r="AQ138" s="67"/>
      <c r="AS138" s="9"/>
      <c r="AT138" s="362" t="s">
        <v>522</v>
      </c>
      <c r="AU138" s="67">
        <f>+Model!AU1260</f>
        <v>9.1263782866836292E-3</v>
      </c>
      <c r="AV138" s="67">
        <f>+Model!AV1260</f>
        <v>8.5020920502092059E-3</v>
      </c>
      <c r="AW138" s="67">
        <f>+Model!AW1260</f>
        <v>8.4867894315452351E-3</v>
      </c>
      <c r="AX138" s="67">
        <f>+Model!AX1260</f>
        <v>8.1514980214810635E-3</v>
      </c>
      <c r="AY138" s="67">
        <f>+Model!AY1260</f>
        <v>7.7224199288256226E-3</v>
      </c>
      <c r="AZ138" s="67">
        <f>+Model!AZ1260</f>
        <v>7.5862068965517225E-3</v>
      </c>
      <c r="BA138" s="67">
        <f>+Model!BA1260</f>
        <v>7.7301260870297804E-3</v>
      </c>
      <c r="BB138" s="67">
        <f>+Model!BB1260</f>
        <v>8.6674340638916211E-3</v>
      </c>
      <c r="BC138" s="67">
        <f>+Model!BC1260</f>
        <v>9.5702891901901389E-3</v>
      </c>
      <c r="BD138" s="67">
        <f>+Model!BD1260</f>
        <v>1.0180297006141221E-2</v>
      </c>
      <c r="BE138" s="67">
        <f>+Model!BE1260</f>
        <v>1.1180297006141225E-2</v>
      </c>
      <c r="BG138" s="354"/>
      <c r="BH138" s="354"/>
    </row>
    <row r="139" spans="1:60" s="70" customFormat="1" x14ac:dyDescent="0.2">
      <c r="A139" s="411"/>
      <c r="B139" s="16"/>
      <c r="C139" s="16"/>
      <c r="D139" s="15"/>
      <c r="E139" s="15"/>
      <c r="F139" s="15"/>
      <c r="G139" s="15"/>
      <c r="H139" s="15"/>
      <c r="I139" s="15"/>
      <c r="J139" s="15"/>
      <c r="K139" s="15"/>
      <c r="L139" s="15"/>
      <c r="M139" s="15"/>
      <c r="N139" s="15"/>
      <c r="O139" s="15"/>
      <c r="P139" s="15"/>
      <c r="Q139" s="15"/>
      <c r="R139" s="15"/>
      <c r="S139" s="15"/>
      <c r="T139" s="15"/>
      <c r="U139" s="15"/>
      <c r="V139" s="15"/>
      <c r="W139" s="15"/>
      <c r="X139" s="15"/>
      <c r="Y139" s="15"/>
      <c r="Z139" s="15"/>
      <c r="AA139" s="15"/>
      <c r="AB139" s="15"/>
      <c r="AC139" s="15"/>
      <c r="AD139" s="15"/>
      <c r="AE139" s="15"/>
      <c r="AF139" s="15"/>
      <c r="AG139" s="15"/>
      <c r="AH139" s="15"/>
      <c r="AI139" s="15"/>
      <c r="AJ139" s="15"/>
      <c r="AK139" s="15"/>
      <c r="AL139" s="15"/>
      <c r="AM139" s="15"/>
      <c r="AN139" s="15"/>
      <c r="AO139" s="15"/>
      <c r="AP139" s="15"/>
      <c r="AQ139" s="15"/>
      <c r="AS139" s="16"/>
      <c r="AT139" s="16"/>
      <c r="AU139" s="16"/>
      <c r="AV139" s="16"/>
      <c r="AW139" s="16"/>
      <c r="AX139" s="16"/>
      <c r="AY139" s="16"/>
      <c r="AZ139" s="16"/>
      <c r="BA139" s="16"/>
      <c r="BB139" s="16"/>
      <c r="BC139" s="16"/>
      <c r="BD139" s="16"/>
      <c r="BE139" s="16"/>
      <c r="BG139" s="16"/>
      <c r="BH139" s="16"/>
    </row>
    <row r="140" spans="1:60" s="160" customFormat="1" x14ac:dyDescent="0.2">
      <c r="A140" s="411"/>
      <c r="B140" s="337" t="s">
        <v>288</v>
      </c>
      <c r="C140" s="11"/>
      <c r="D140" s="158"/>
      <c r="E140" s="158"/>
      <c r="F140" s="158"/>
      <c r="G140" s="158"/>
      <c r="H140" s="158"/>
      <c r="I140" s="158"/>
      <c r="J140" s="158"/>
      <c r="K140" s="158"/>
      <c r="L140" s="158"/>
      <c r="M140" s="158"/>
      <c r="N140" s="158"/>
      <c r="O140" s="158"/>
      <c r="P140" s="158"/>
      <c r="Q140" s="158"/>
      <c r="R140" s="158"/>
      <c r="S140" s="158"/>
      <c r="T140" s="158"/>
      <c r="U140" s="158"/>
      <c r="V140" s="158"/>
      <c r="W140" s="158"/>
      <c r="X140" s="158"/>
      <c r="Y140" s="158"/>
      <c r="Z140" s="158"/>
      <c r="AA140" s="158"/>
      <c r="AB140" s="158"/>
      <c r="AC140" s="158"/>
      <c r="AD140" s="158"/>
      <c r="AE140" s="158"/>
      <c r="AF140" s="158"/>
      <c r="AG140" s="158"/>
      <c r="AH140" s="158"/>
      <c r="AI140" s="158"/>
      <c r="AJ140" s="158"/>
      <c r="AK140" s="158"/>
      <c r="AL140" s="158"/>
      <c r="AM140" s="158"/>
      <c r="AN140" s="158"/>
      <c r="AO140" s="158"/>
      <c r="AP140" s="158"/>
      <c r="AQ140" s="158"/>
      <c r="AR140" s="70"/>
      <c r="AS140" s="337" t="s">
        <v>288</v>
      </c>
      <c r="AT140" s="11"/>
      <c r="AU140" s="12"/>
      <c r="AV140" s="12"/>
      <c r="AW140" s="12"/>
      <c r="AX140" s="12"/>
      <c r="AY140" s="12"/>
      <c r="AZ140" s="12"/>
      <c r="BA140" s="12"/>
      <c r="BB140" s="12"/>
      <c r="BC140" s="12"/>
      <c r="BD140" s="12"/>
      <c r="BE140" s="12"/>
      <c r="BG140" s="15"/>
      <c r="BH140" s="15"/>
    </row>
    <row r="141" spans="1:60" s="70" customFormat="1" x14ac:dyDescent="0.2">
      <c r="A141" s="411"/>
      <c r="B141" s="350" t="s">
        <v>100</v>
      </c>
      <c r="C141" s="369"/>
      <c r="D141" s="9"/>
      <c r="E141" s="9"/>
      <c r="F141" s="9"/>
      <c r="G141" s="9"/>
      <c r="H141" s="9"/>
      <c r="I141" s="9"/>
      <c r="J141" s="9"/>
      <c r="K141" s="9"/>
      <c r="L141" s="9"/>
      <c r="M141" s="9"/>
      <c r="N141" s="9"/>
      <c r="O141" s="9"/>
      <c r="P141" s="9"/>
      <c r="Q141" s="9"/>
      <c r="R141" s="9"/>
      <c r="S141" s="9"/>
      <c r="T141" s="9"/>
      <c r="U141" s="9"/>
      <c r="V141" s="9"/>
      <c r="W141" s="9"/>
      <c r="X141" s="9"/>
      <c r="Y141" s="1215"/>
      <c r="Z141" s="1688"/>
      <c r="AA141" s="1742"/>
      <c r="AB141" s="1785"/>
      <c r="AC141" s="374"/>
      <c r="AD141" s="374"/>
      <c r="AE141" s="374"/>
      <c r="AF141" s="374"/>
      <c r="AG141" s="374"/>
      <c r="AH141" s="374"/>
      <c r="AI141" s="374"/>
      <c r="AJ141" s="374"/>
      <c r="AK141" s="374"/>
      <c r="AL141" s="374"/>
      <c r="AM141" s="374"/>
      <c r="AN141" s="374"/>
      <c r="AO141" s="374"/>
      <c r="AP141" s="374"/>
      <c r="AQ141" s="374"/>
      <c r="AS141" s="350" t="s">
        <v>100</v>
      </c>
      <c r="AT141" s="369"/>
      <c r="BC141" s="374"/>
      <c r="BD141" s="374"/>
      <c r="BE141" s="374"/>
      <c r="BG141" s="1711"/>
      <c r="BH141" s="1711"/>
    </row>
    <row r="142" spans="1:60" s="70" customFormat="1" x14ac:dyDescent="0.2">
      <c r="A142" s="411"/>
      <c r="B142" s="10"/>
      <c r="C142" s="362" t="s">
        <v>484</v>
      </c>
      <c r="D142" s="194">
        <f>Model!D1185</f>
        <v>0.49171270718232046</v>
      </c>
      <c r="E142" s="194">
        <f>Model!E1185</f>
        <v>0.47316103379721669</v>
      </c>
      <c r="F142" s="194">
        <f>Model!F1185</f>
        <v>0.63064396743153217</v>
      </c>
      <c r="G142" s="194">
        <f>Model!G1185</f>
        <v>0.84281200631911535</v>
      </c>
      <c r="H142" s="194">
        <f>Model!H1185</f>
        <v>0.71599045346062051</v>
      </c>
      <c r="I142" s="194">
        <f>Model!I1185</f>
        <v>0.71488645920941973</v>
      </c>
      <c r="J142" s="194">
        <f>Model!J1185</f>
        <v>0.80904059040590404</v>
      </c>
      <c r="K142" s="194">
        <f>Model!K1185</f>
        <v>0.93682310469314078</v>
      </c>
      <c r="L142" s="194">
        <f>Model!L1185</f>
        <v>0.76225045372050815</v>
      </c>
      <c r="M142" s="194">
        <f>Model!M1185</f>
        <v>0.63932898415657036</v>
      </c>
      <c r="N142" s="194">
        <f>Model!N1185</f>
        <v>0.6777996070726916</v>
      </c>
      <c r="O142" s="194">
        <f>Model!O1185</f>
        <v>0.76900296150049363</v>
      </c>
      <c r="P142" s="194">
        <f>Model!P1185</f>
        <v>0.90738813735691992</v>
      </c>
      <c r="Q142" s="194">
        <f>Model!Q1185</f>
        <v>0.90090090090090091</v>
      </c>
      <c r="R142" s="194">
        <f>Model!R1185</f>
        <v>0.94412770809578106</v>
      </c>
      <c r="S142" s="194">
        <f>Model!S1185</f>
        <v>0.93982494529540483</v>
      </c>
      <c r="T142" s="194">
        <f>Model!T1185</f>
        <v>1.0943193997856377</v>
      </c>
      <c r="U142" s="194">
        <f>Model!U1185</f>
        <v>1.0670859538784068</v>
      </c>
      <c r="V142" s="194">
        <f>Model!V1185</f>
        <v>1.4487594390507013</v>
      </c>
      <c r="W142" s="194">
        <f>Model!W1185</f>
        <v>1.1131221719457014</v>
      </c>
      <c r="X142" s="194">
        <f>Model!X1185</f>
        <v>1.1386554621848739</v>
      </c>
      <c r="Y142" s="194">
        <f>Model!Y1185</f>
        <v>1.0939881456392888</v>
      </c>
      <c r="Z142" s="194">
        <f>Model!Z1185</f>
        <v>1.3785310734463276</v>
      </c>
      <c r="AA142" s="194">
        <f>Model!AA1185</f>
        <v>1.1357504215851602</v>
      </c>
      <c r="AB142" s="194">
        <f>Model!AB1185</f>
        <v>1.0964506172839505</v>
      </c>
      <c r="AC142" s="273">
        <v>1.1000000000000001</v>
      </c>
      <c r="AD142" s="273">
        <v>1.1000000000000001</v>
      </c>
      <c r="AE142" s="273">
        <v>1.1000000000000001</v>
      </c>
      <c r="AF142" s="273">
        <v>1.1000000000000001</v>
      </c>
      <c r="AG142" s="273">
        <v>1.1000000000000001</v>
      </c>
      <c r="AH142" s="273">
        <v>1.1000000000000001</v>
      </c>
      <c r="AI142" s="273">
        <v>1.1000000000000001</v>
      </c>
      <c r="AJ142" s="273"/>
      <c r="AK142" s="273"/>
      <c r="AL142" s="273"/>
      <c r="AM142" s="273"/>
      <c r="AN142" s="273"/>
      <c r="AO142" s="273"/>
      <c r="AP142" s="273"/>
      <c r="AQ142" s="273"/>
      <c r="AS142" s="10"/>
      <c r="AT142" s="362" t="s">
        <v>484</v>
      </c>
      <c r="AU142" s="194">
        <f>Model!AU1185</f>
        <v>0.59669852302345783</v>
      </c>
      <c r="AV142" s="194">
        <f>Model!AV1185</f>
        <v>0.79021129797326439</v>
      </c>
      <c r="AW142" s="194">
        <f>Model!AW1185</f>
        <v>0.71207798383262011</v>
      </c>
      <c r="AX142" s="194">
        <f>Model!AX1185</f>
        <v>0.92215409224206879</v>
      </c>
      <c r="AY142" s="194">
        <f>Model!AY1185</f>
        <v>1.1768308241898444</v>
      </c>
      <c r="AZ142" s="194">
        <f>Model!AZ1185</f>
        <v>1.188907422852377</v>
      </c>
      <c r="BA142" s="194">
        <f>Model!BA1185</f>
        <v>1.0991611855227201</v>
      </c>
      <c r="BB142" s="194">
        <f>Model!BB1185</f>
        <v>1.1000000000000001</v>
      </c>
      <c r="BC142" s="273">
        <v>1.1000000000000001</v>
      </c>
      <c r="BD142" s="273">
        <v>1.1000000000000001</v>
      </c>
      <c r="BE142" s="273">
        <v>1.1000000000000001</v>
      </c>
      <c r="BG142" s="1718"/>
      <c r="BH142" s="1710"/>
    </row>
    <row r="143" spans="1:60" s="70" customFormat="1" x14ac:dyDescent="0.2">
      <c r="A143" s="411"/>
      <c r="B143" s="10"/>
      <c r="C143" s="362" t="s">
        <v>521</v>
      </c>
      <c r="D143" s="194">
        <f>Model!D1202</f>
        <v>1.4386792452830188</v>
      </c>
      <c r="E143" s="194">
        <f>Model!E1202</f>
        <v>1.4871794871794872</v>
      </c>
      <c r="F143" s="194">
        <f>Model!F1202</f>
        <v>1.277533039647577</v>
      </c>
      <c r="G143" s="194">
        <f>Model!G1202</f>
        <v>1.1666666666666667</v>
      </c>
      <c r="H143" s="194">
        <f>Model!H1202</f>
        <v>1.2006920415224913</v>
      </c>
      <c r="I143" s="194">
        <f>Model!I1202</f>
        <v>1.3612040133779264</v>
      </c>
      <c r="J143" s="194">
        <f>Model!J1202</f>
        <v>1.6135593220338984</v>
      </c>
      <c r="K143" s="194">
        <f>Model!K1202</f>
        <v>1.244514106583072</v>
      </c>
      <c r="L143" s="194">
        <f>Model!L1202</f>
        <v>1.2283236994219653</v>
      </c>
      <c r="M143" s="194">
        <f>Model!M1202</f>
        <v>1.3333333333333333</v>
      </c>
      <c r="N143" s="194">
        <f>Model!N1202</f>
        <v>1.0894736842105264</v>
      </c>
      <c r="O143" s="194">
        <f>Model!O1202</f>
        <v>0.99290780141843971</v>
      </c>
      <c r="P143" s="194">
        <f>Model!P1202</f>
        <v>1.0196629213483146</v>
      </c>
      <c r="Q143" s="194">
        <f>Model!Q1202</f>
        <v>1.0981012658227849</v>
      </c>
      <c r="R143" s="194">
        <f>Model!R1202</f>
        <v>1.1229235880398671</v>
      </c>
      <c r="S143" s="194">
        <f>Model!S1202</f>
        <v>1.0814332247557004</v>
      </c>
      <c r="T143" s="194">
        <f>Model!T1202</f>
        <v>1.1330935251798562</v>
      </c>
      <c r="U143" s="194">
        <f>Model!U1202</f>
        <v>1.0423076923076924</v>
      </c>
      <c r="V143" s="194">
        <f>Model!V1202</f>
        <v>1.1968503937007875</v>
      </c>
      <c r="W143" s="194">
        <f>Model!W1202</f>
        <v>1.2338709677419355</v>
      </c>
      <c r="X143" s="194">
        <f>Model!X1202</f>
        <v>1.1383399209486167</v>
      </c>
      <c r="Y143" s="194">
        <f>Model!Y1202</f>
        <v>1.2310469314079422</v>
      </c>
      <c r="Z143" s="194">
        <f>Model!Z1202</f>
        <v>1.2101694915254237</v>
      </c>
      <c r="AA143" s="194">
        <f>Model!AA1202</f>
        <v>1.1575342465753424</v>
      </c>
      <c r="AB143" s="194">
        <f>Model!AB1202</f>
        <v>1.2266187050359711</v>
      </c>
      <c r="AC143" s="273">
        <v>1.1499999999999999</v>
      </c>
      <c r="AD143" s="273">
        <v>1.1499999999999999</v>
      </c>
      <c r="AE143" s="273">
        <v>1.1499999999999999</v>
      </c>
      <c r="AF143" s="273">
        <v>1.1000000000000001</v>
      </c>
      <c r="AG143" s="273">
        <v>1.1000000000000001</v>
      </c>
      <c r="AH143" s="273">
        <v>1.1000000000000001</v>
      </c>
      <c r="AI143" s="273">
        <v>1.1000000000000001</v>
      </c>
      <c r="AJ143" s="273"/>
      <c r="AK143" s="273"/>
      <c r="AL143" s="273"/>
      <c r="AM143" s="273"/>
      <c r="AN143" s="273"/>
      <c r="AO143" s="273"/>
      <c r="AP143" s="273"/>
      <c r="AQ143" s="273"/>
      <c r="AS143" s="10"/>
      <c r="AT143" s="362" t="s">
        <v>521</v>
      </c>
      <c r="AU143" s="194">
        <f>Model!AU1202</f>
        <v>1.3263736263736263</v>
      </c>
      <c r="AV143" s="194">
        <f>Model!AV1202</f>
        <v>1.3535773710482528</v>
      </c>
      <c r="AW143" s="194">
        <f>Model!AW1202</f>
        <v>1.1531353135313531</v>
      </c>
      <c r="AX143" s="194">
        <f>Model!AX1202</f>
        <v>1.078125</v>
      </c>
      <c r="AY143" s="194">
        <f>Model!AY1202</f>
        <v>1.1499999999999999</v>
      </c>
      <c r="AZ143" s="194">
        <f>Model!AZ1202</f>
        <v>1.1853178155774395</v>
      </c>
      <c r="BA143" s="194">
        <f>Model!BA1202</f>
        <v>1.1679876212214533</v>
      </c>
      <c r="BB143" s="194">
        <f>Model!BB1202</f>
        <v>1.0999999999999999</v>
      </c>
      <c r="BC143" s="273">
        <v>1.1000000000000001</v>
      </c>
      <c r="BD143" s="273">
        <v>1.1000000000000001</v>
      </c>
      <c r="BE143" s="273">
        <v>1.1000000000000001</v>
      </c>
      <c r="BG143" s="1718"/>
      <c r="BH143" s="1710"/>
    </row>
    <row r="144" spans="1:60" s="70" customFormat="1" x14ac:dyDescent="0.2">
      <c r="A144" s="411"/>
      <c r="B144" s="9"/>
      <c r="C144" s="362" t="s">
        <v>522</v>
      </c>
      <c r="D144" s="194">
        <f>Model!D1215</f>
        <v>0.87755102040816324</v>
      </c>
      <c r="E144" s="194">
        <f>Model!E1215</f>
        <v>0.8258426966292135</v>
      </c>
      <c r="F144" s="194">
        <f>Model!F1215</f>
        <v>0.89423076923076927</v>
      </c>
      <c r="G144" s="194">
        <f>Model!G1215</f>
        <v>1.1155555555555556</v>
      </c>
      <c r="H144" s="194">
        <f>Model!H1215</f>
        <v>1.0689655172413792</v>
      </c>
      <c r="I144" s="194">
        <f>Model!I1215</f>
        <v>1.180232558139535</v>
      </c>
      <c r="J144" s="194">
        <f>Model!J1215</f>
        <v>0.95811518324607325</v>
      </c>
      <c r="K144" s="194">
        <f>Model!K1215</f>
        <v>1.0816326530612246</v>
      </c>
      <c r="L144" s="194">
        <f>Model!L1215</f>
        <v>1.010204081632653</v>
      </c>
      <c r="M144" s="194">
        <f>Model!M1215</f>
        <v>0.91509433962264153</v>
      </c>
      <c r="N144" s="194">
        <f>Model!N1215</f>
        <v>0.89393939393939392</v>
      </c>
      <c r="O144" s="194">
        <f>Model!O1215</f>
        <v>1.0582010582010581</v>
      </c>
      <c r="P144" s="194">
        <f>Model!P1215</f>
        <v>0.76878612716763006</v>
      </c>
      <c r="Q144" s="194">
        <f>Model!Q1215</f>
        <v>0.93650793650793651</v>
      </c>
      <c r="R144" s="194">
        <f>Model!R1215</f>
        <v>0.65142857142857147</v>
      </c>
      <c r="S144" s="194">
        <f>Model!S1215</f>
        <v>1.1195652173913044</v>
      </c>
      <c r="T144" s="194">
        <f>Model!T1215</f>
        <v>0.93125000000000002</v>
      </c>
      <c r="U144" s="194">
        <f>Model!U1215</f>
        <v>0.85</v>
      </c>
      <c r="V144" s="194">
        <f>Model!V1215</f>
        <v>0.95833333333333337</v>
      </c>
      <c r="W144" s="194">
        <f>Model!W1215</f>
        <v>1.0613496932515338</v>
      </c>
      <c r="X144" s="194">
        <f>Model!X1215</f>
        <v>1.075</v>
      </c>
      <c r="Y144" s="194">
        <f>Model!Y1215</f>
        <v>0.82165605095541405</v>
      </c>
      <c r="Z144" s="194">
        <f>Model!Z1215</f>
        <v>0.87058823529411766</v>
      </c>
      <c r="AA144" s="194">
        <f>Model!AA1215</f>
        <v>1.0246913580246915</v>
      </c>
      <c r="AB144" s="194">
        <f>Model!AB1215</f>
        <v>0.88271604938271608</v>
      </c>
      <c r="AC144" s="273">
        <v>1</v>
      </c>
      <c r="AD144" s="273">
        <v>1</v>
      </c>
      <c r="AE144" s="273">
        <v>1.05</v>
      </c>
      <c r="AF144" s="273">
        <v>1.05</v>
      </c>
      <c r="AG144" s="273">
        <v>1.1000000000000001</v>
      </c>
      <c r="AH144" s="273">
        <v>1.1000000000000001</v>
      </c>
      <c r="AI144" s="273">
        <v>1.1000000000000001</v>
      </c>
      <c r="AJ144" s="273"/>
      <c r="AK144" s="273"/>
      <c r="AL144" s="273"/>
      <c r="AM144" s="273"/>
      <c r="AN144" s="273"/>
      <c r="AO144" s="273"/>
      <c r="AP144" s="273"/>
      <c r="AQ144" s="273"/>
      <c r="AS144" s="9"/>
      <c r="AT144" s="362" t="s">
        <v>522</v>
      </c>
      <c r="AU144" s="194">
        <f>Model!AU1215</f>
        <v>0.93680297397769519</v>
      </c>
      <c r="AV144" s="194">
        <f>Model!AV1215</f>
        <v>1.0695538057742782</v>
      </c>
      <c r="AW144" s="194">
        <f>Model!AW1215</f>
        <v>0.96729559748427674</v>
      </c>
      <c r="AX144" s="194">
        <f>Model!AX1215</f>
        <v>0.87378640776699024</v>
      </c>
      <c r="AY144" s="194">
        <f>Model!AY1215</f>
        <v>0.95084485407066055</v>
      </c>
      <c r="AZ144" s="194">
        <f>Model!AZ1215</f>
        <v>0.94761171032357472</v>
      </c>
      <c r="BA144" s="194">
        <f>Model!BA1215</f>
        <v>0.98674736138385111</v>
      </c>
      <c r="BB144" s="194">
        <f>Model!BB1215</f>
        <v>1.0884403032518828</v>
      </c>
      <c r="BC144" s="273">
        <v>1.1000000000000001</v>
      </c>
      <c r="BD144" s="273">
        <v>1.1000000000000001</v>
      </c>
      <c r="BE144" s="273">
        <v>1.1000000000000001</v>
      </c>
      <c r="BG144" s="1718"/>
      <c r="BH144" s="1710"/>
    </row>
    <row r="145" spans="1:64" s="70" customFormat="1" x14ac:dyDescent="0.2">
      <c r="A145" s="411"/>
      <c r="B145" s="16"/>
      <c r="C145" s="16"/>
      <c r="D145" s="15"/>
      <c r="E145" s="15"/>
      <c r="F145" s="15"/>
      <c r="G145" s="15"/>
      <c r="H145" s="15"/>
      <c r="I145" s="15"/>
      <c r="J145" s="15"/>
      <c r="K145" s="15"/>
      <c r="L145" s="15"/>
      <c r="M145" s="15"/>
      <c r="N145" s="15"/>
      <c r="O145" s="15"/>
      <c r="P145" s="15"/>
      <c r="Q145" s="15"/>
      <c r="R145" s="15"/>
      <c r="S145" s="15"/>
      <c r="T145" s="15"/>
      <c r="U145" s="15"/>
      <c r="V145" s="15"/>
      <c r="W145" s="15"/>
      <c r="X145" s="15"/>
      <c r="Y145" s="15"/>
      <c r="Z145" s="15"/>
      <c r="AA145" s="15"/>
      <c r="AB145" s="15"/>
      <c r="AC145" s="15"/>
      <c r="AD145" s="15"/>
      <c r="AE145" s="15"/>
      <c r="AF145" s="15"/>
      <c r="AG145" s="15"/>
      <c r="AH145" s="15"/>
      <c r="AI145" s="15"/>
      <c r="AJ145" s="15"/>
      <c r="AK145" s="15"/>
      <c r="AL145" s="15"/>
      <c r="AM145" s="15"/>
      <c r="AN145" s="15"/>
      <c r="AO145" s="15"/>
      <c r="AP145" s="15"/>
      <c r="AQ145" s="15"/>
      <c r="AS145" s="16"/>
      <c r="AT145" s="16"/>
      <c r="AU145" s="16"/>
      <c r="AV145" s="16"/>
      <c r="AW145" s="16"/>
      <c r="AX145" s="16"/>
      <c r="AY145" s="16"/>
      <c r="AZ145" s="16"/>
      <c r="BA145" s="16"/>
      <c r="BB145" s="16"/>
      <c r="BC145" s="16"/>
      <c r="BD145" s="16"/>
      <c r="BE145" s="16"/>
      <c r="BG145" s="16"/>
      <c r="BH145" s="16"/>
    </row>
    <row r="146" spans="1:64" s="70" customFormat="1" x14ac:dyDescent="0.2">
      <c r="A146" s="411"/>
      <c r="B146" s="363"/>
      <c r="C146" s="15"/>
      <c r="D146" s="15"/>
      <c r="E146" s="850"/>
      <c r="F146" s="850"/>
      <c r="G146" s="850"/>
      <c r="H146" s="850"/>
      <c r="I146" s="850"/>
      <c r="J146" s="850"/>
      <c r="K146" s="850"/>
      <c r="L146" s="850"/>
      <c r="M146" s="850"/>
      <c r="N146" s="850"/>
      <c r="O146" s="850"/>
      <c r="P146" s="850"/>
      <c r="Q146" s="850"/>
      <c r="R146" s="850"/>
      <c r="S146" s="850"/>
      <c r="T146" s="850"/>
      <c r="U146" s="850"/>
      <c r="V146" s="850"/>
      <c r="W146" s="850"/>
      <c r="X146" s="850"/>
      <c r="Y146" s="850"/>
      <c r="Z146" s="850"/>
      <c r="AA146" s="850"/>
      <c r="AB146" s="850"/>
      <c r="AC146" s="355"/>
      <c r="AD146" s="355"/>
      <c r="AE146" s="355"/>
      <c r="AF146" s="355"/>
      <c r="AG146" s="355"/>
      <c r="AH146" s="355"/>
      <c r="AI146" s="355"/>
      <c r="AJ146" s="355"/>
      <c r="AK146" s="355"/>
      <c r="AL146" s="355"/>
      <c r="AM146" s="355"/>
      <c r="AN146" s="355"/>
      <c r="AO146" s="355"/>
      <c r="AP146" s="355"/>
      <c r="AQ146" s="355"/>
      <c r="AS146" s="363"/>
      <c r="AT146" s="15"/>
      <c r="AU146" s="851"/>
      <c r="AV146" s="850"/>
      <c r="AW146" s="850"/>
      <c r="AX146" s="850"/>
      <c r="AY146" s="850"/>
      <c r="AZ146" s="850"/>
      <c r="BA146" s="850"/>
      <c r="BB146" s="850"/>
      <c r="BC146" s="355"/>
      <c r="BD146" s="355"/>
      <c r="BE146" s="355"/>
      <c r="BG146" s="355"/>
      <c r="BH146" s="355"/>
    </row>
    <row r="147" spans="1:64" s="70" customFormat="1" x14ac:dyDescent="0.2">
      <c r="A147" s="411" t="s">
        <v>194</v>
      </c>
      <c r="B147" s="13" t="s">
        <v>181</v>
      </c>
      <c r="C147" s="13"/>
      <c r="D147" s="14"/>
      <c r="E147" s="14"/>
      <c r="F147" s="14"/>
      <c r="G147" s="14"/>
      <c r="H147" s="14"/>
      <c r="I147" s="14"/>
      <c r="J147" s="14"/>
      <c r="K147" s="14"/>
      <c r="L147" s="14"/>
      <c r="M147" s="14"/>
      <c r="N147" s="14"/>
      <c r="O147" s="14"/>
      <c r="P147" s="14"/>
      <c r="Q147" s="14"/>
      <c r="R147" s="14"/>
      <c r="S147" s="14"/>
      <c r="T147" s="14"/>
      <c r="U147" s="14"/>
      <c r="V147" s="14"/>
      <c r="W147" s="14"/>
      <c r="X147" s="14"/>
      <c r="Y147" s="14"/>
      <c r="Z147" s="14"/>
      <c r="AA147" s="14"/>
      <c r="AB147" s="14"/>
      <c r="AC147" s="14"/>
      <c r="AD147" s="14"/>
      <c r="AE147" s="14"/>
      <c r="AF147" s="14"/>
      <c r="AG147" s="14"/>
      <c r="AH147" s="14"/>
      <c r="AI147" s="14"/>
      <c r="AJ147" s="14"/>
      <c r="AK147" s="14"/>
      <c r="AL147" s="14"/>
      <c r="AM147" s="14"/>
      <c r="AN147" s="14"/>
      <c r="AO147" s="14"/>
      <c r="AP147" s="14"/>
      <c r="AQ147" s="14"/>
      <c r="AS147" s="13" t="s">
        <v>181</v>
      </c>
      <c r="AT147" s="13"/>
      <c r="AU147" s="14"/>
      <c r="AV147" s="14"/>
      <c r="AW147" s="14"/>
      <c r="AX147" s="14"/>
      <c r="AY147" s="14"/>
      <c r="AZ147" s="14"/>
      <c r="BA147" s="14"/>
      <c r="BB147" s="14"/>
      <c r="BC147" s="14"/>
      <c r="BD147" s="14"/>
      <c r="BE147" s="14"/>
      <c r="BF147" s="15"/>
      <c r="BG147" s="15"/>
      <c r="BH147" s="15"/>
      <c r="BI147" s="15"/>
      <c r="BJ147" s="15"/>
      <c r="BK147" s="15"/>
      <c r="BL147" s="15"/>
    </row>
    <row r="148" spans="1:64" s="70" customFormat="1" x14ac:dyDescent="0.2">
      <c r="A148" s="411"/>
      <c r="B148" s="363"/>
      <c r="C148" s="15"/>
      <c r="D148" s="15"/>
      <c r="E148" s="850"/>
      <c r="F148" s="850"/>
      <c r="G148" s="850"/>
      <c r="H148" s="850"/>
      <c r="I148" s="850"/>
      <c r="J148" s="850"/>
      <c r="K148" s="850"/>
      <c r="L148" s="850"/>
      <c r="M148" s="850"/>
      <c r="N148" s="850"/>
      <c r="O148" s="850"/>
      <c r="P148" s="850"/>
      <c r="Q148" s="850"/>
      <c r="R148" s="850"/>
      <c r="S148" s="850"/>
      <c r="T148" s="850"/>
      <c r="U148" s="850"/>
      <c r="V148" s="850"/>
      <c r="W148" s="850"/>
      <c r="X148" s="850"/>
      <c r="Y148" s="850"/>
      <c r="Z148" s="850"/>
      <c r="AA148" s="850"/>
      <c r="AB148" s="850"/>
      <c r="AC148" s="355"/>
      <c r="AD148" s="355"/>
      <c r="AE148" s="355"/>
      <c r="AF148" s="355"/>
      <c r="AG148" s="355"/>
      <c r="AH148" s="355"/>
      <c r="AI148" s="355"/>
      <c r="AJ148" s="355"/>
      <c r="AK148" s="355"/>
      <c r="AL148" s="355"/>
      <c r="AM148" s="355"/>
      <c r="AN148" s="355"/>
      <c r="AO148" s="355"/>
      <c r="AP148" s="355"/>
      <c r="AQ148" s="355"/>
      <c r="AS148" s="363"/>
      <c r="AT148" s="15"/>
      <c r="AU148" s="851"/>
      <c r="AV148" s="850"/>
      <c r="AW148" s="850"/>
      <c r="AX148" s="850"/>
      <c r="AY148" s="850"/>
      <c r="AZ148" s="850"/>
      <c r="BA148" s="850"/>
      <c r="BB148" s="850"/>
      <c r="BC148" s="355"/>
      <c r="BD148" s="355"/>
      <c r="BE148" s="355"/>
      <c r="BG148" s="355"/>
      <c r="BH148" s="355"/>
    </row>
    <row r="149" spans="1:64" s="72" customFormat="1" x14ac:dyDescent="0.2">
      <c r="A149" s="411"/>
      <c r="B149" s="364" t="s">
        <v>558</v>
      </c>
      <c r="C149" s="9"/>
      <c r="D149" s="66">
        <f>Model!D514</f>
        <v>7.0564167974882255E-2</v>
      </c>
      <c r="E149" s="66">
        <f>Model!E514</f>
        <v>6.6981403212172441E-2</v>
      </c>
      <c r="F149" s="66">
        <f>Model!F514</f>
        <v>6.599041703637977E-2</v>
      </c>
      <c r="G149" s="66">
        <f>Model!G514</f>
        <v>6.875543478260869E-2</v>
      </c>
      <c r="H149" s="66">
        <f>Model!H514</f>
        <v>6.4160544217687063E-2</v>
      </c>
      <c r="I149" s="66">
        <f>Model!I514</f>
        <v>6.2224954034292554E-2</v>
      </c>
      <c r="J149" s="66">
        <f>Model!J514</f>
        <v>5.8017440899322197E-2</v>
      </c>
      <c r="K149" s="66">
        <f>Model!K514</f>
        <v>5.7578413284132837E-2</v>
      </c>
      <c r="L149" s="66">
        <f>Model!L514</f>
        <v>5.6689613526570044E-2</v>
      </c>
      <c r="M149" s="66">
        <f>Model!M514</f>
        <v>5.4665670019026905E-2</v>
      </c>
      <c r="N149" s="66">
        <f>Model!N514</f>
        <v>5.6777154708864644E-2</v>
      </c>
      <c r="O149" s="66">
        <f>Model!O514</f>
        <v>5.7830728763732006E-2</v>
      </c>
      <c r="P149" s="66">
        <f>Model!P514</f>
        <v>5.4866706634692244E-2</v>
      </c>
      <c r="Q149" s="66">
        <f>Model!Q514</f>
        <v>5.559869196547397E-2</v>
      </c>
      <c r="R149" s="66">
        <f>Model!R514</f>
        <v>5.4144021739130431E-2</v>
      </c>
      <c r="S149" s="66">
        <f>Model!S514</f>
        <v>5.2844572611653352E-2</v>
      </c>
      <c r="T149" s="66">
        <f>Model!T514</f>
        <v>5.4330787856211586E-2</v>
      </c>
      <c r="U149" s="66">
        <f>Model!U514</f>
        <v>5.434962406015037E-2</v>
      </c>
      <c r="V149" s="66">
        <f>Model!V514</f>
        <v>5.2663362130009911E-2</v>
      </c>
      <c r="W149" s="66">
        <f>Model!W514</f>
        <v>5.1521095537757439E-2</v>
      </c>
      <c r="X149" s="66">
        <f>Model!X514</f>
        <v>5.1271891096394406E-2</v>
      </c>
      <c r="Y149" s="66">
        <f>Model!Y514</f>
        <v>5.1271460169223744E-2</v>
      </c>
      <c r="Z149" s="66">
        <f>Model!Z514</f>
        <v>4.879520520113774E-2</v>
      </c>
      <c r="AA149" s="66">
        <f>Model!AA514</f>
        <v>4.6798283404029688E-2</v>
      </c>
      <c r="AB149" s="66">
        <f>Model!AB514</f>
        <v>4.3713864306784658E-2</v>
      </c>
      <c r="AC149" s="262">
        <v>4.5999999999999999E-2</v>
      </c>
      <c r="AD149" s="262">
        <v>4.65E-2</v>
      </c>
      <c r="AE149" s="262">
        <v>4.8000000000000001E-2</v>
      </c>
      <c r="AF149" s="262">
        <v>4.9000000000000002E-2</v>
      </c>
      <c r="AG149" s="262">
        <v>4.9500000000000002E-2</v>
      </c>
      <c r="AH149" s="262">
        <v>5.0500000000000003E-2</v>
      </c>
      <c r="AI149" s="262">
        <v>5.1499999999999997E-2</v>
      </c>
      <c r="AJ149" s="262"/>
      <c r="AK149" s="262"/>
      <c r="AL149" s="262"/>
      <c r="AM149" s="262"/>
      <c r="AN149" s="262"/>
      <c r="AO149" s="262"/>
      <c r="AP149" s="262"/>
      <c r="AQ149" s="262"/>
      <c r="AR149" s="70"/>
      <c r="AS149" s="364" t="s">
        <v>558</v>
      </c>
      <c r="AT149" s="9"/>
      <c r="AU149" s="66">
        <f>Model!AU514</f>
        <v>6.8038014783526932E-2</v>
      </c>
      <c r="AV149" s="66">
        <f>Model!AV514</f>
        <v>6.0393822393822391E-2</v>
      </c>
      <c r="AW149" s="66">
        <f>Model!AW514</f>
        <v>5.6495102404274265E-2</v>
      </c>
      <c r="AX149" s="66">
        <f>Model!AX514</f>
        <v>5.4355594102341719E-2</v>
      </c>
      <c r="AY149" s="66">
        <f>Model!AY514</f>
        <v>5.3203305785123965E-2</v>
      </c>
      <c r="AZ149" s="66">
        <f>Model!AZ514</f>
        <v>4.9481012658227845E-2</v>
      </c>
      <c r="BA149" s="66">
        <f>Model!BA514</f>
        <v>4.6101327121661435E-2</v>
      </c>
      <c r="BB149" s="66">
        <f>Model!BB514</f>
        <v>5.0168766365037247E-2</v>
      </c>
      <c r="BC149" s="262">
        <v>5.1999999999999998E-2</v>
      </c>
      <c r="BD149" s="262">
        <v>5.2999999999999999E-2</v>
      </c>
      <c r="BE149" s="262">
        <v>5.3999999999999999E-2</v>
      </c>
      <c r="BG149" s="1719"/>
      <c r="BH149" s="1710"/>
    </row>
    <row r="150" spans="1:64" s="72" customFormat="1" x14ac:dyDescent="0.2">
      <c r="A150" s="411"/>
      <c r="B150" s="364"/>
      <c r="C150" s="9"/>
      <c r="D150" s="26"/>
      <c r="E150" s="26"/>
      <c r="F150" s="26"/>
      <c r="G150" s="26"/>
      <c r="H150" s="26"/>
      <c r="I150" s="26"/>
      <c r="J150" s="26"/>
      <c r="K150" s="26"/>
      <c r="L150" s="26"/>
      <c r="M150" s="26"/>
      <c r="N150" s="26"/>
      <c r="O150" s="26"/>
      <c r="P150" s="26"/>
      <c r="Q150" s="26"/>
      <c r="R150" s="26"/>
      <c r="S150" s="26"/>
      <c r="T150" s="26"/>
      <c r="U150" s="26"/>
      <c r="V150" s="26"/>
      <c r="W150" s="26"/>
      <c r="X150" s="26"/>
      <c r="Y150" s="26"/>
      <c r="Z150" s="26"/>
      <c r="AA150" s="26"/>
      <c r="AB150" s="26"/>
      <c r="AC150" s="53"/>
      <c r="AD150" s="53"/>
      <c r="AE150" s="53"/>
      <c r="AF150" s="53"/>
      <c r="AG150" s="53"/>
      <c r="AH150" s="53"/>
      <c r="AI150" s="53"/>
      <c r="AJ150" s="53"/>
      <c r="AK150" s="53"/>
      <c r="AL150" s="53"/>
      <c r="AM150" s="53"/>
      <c r="AN150" s="53"/>
      <c r="AO150" s="53"/>
      <c r="AP150" s="53"/>
      <c r="AQ150" s="53"/>
      <c r="AR150" s="70"/>
      <c r="AS150" s="364"/>
      <c r="AT150" s="9"/>
      <c r="AU150" s="26"/>
      <c r="AV150" s="26"/>
      <c r="AW150" s="26"/>
      <c r="AX150" s="26"/>
      <c r="AY150" s="26"/>
      <c r="AZ150" s="26"/>
      <c r="BA150" s="26"/>
      <c r="BB150" s="26"/>
      <c r="BC150" s="53"/>
      <c r="BD150" s="53"/>
      <c r="BE150" s="53"/>
      <c r="BG150" s="38"/>
      <c r="BH150" s="38"/>
    </row>
    <row r="151" spans="1:64" s="72" customFormat="1" x14ac:dyDescent="0.2">
      <c r="A151" s="411"/>
      <c r="B151" s="9" t="s">
        <v>285</v>
      </c>
      <c r="C151" s="9"/>
      <c r="D151" s="60" t="s">
        <v>229</v>
      </c>
      <c r="E151" s="26">
        <f>Model!E607/Model!D607-1</f>
        <v>4.4642857142857206E-2</v>
      </c>
      <c r="F151" s="26">
        <f>Model!F607/Model!E607-1</f>
        <v>4.7008547008547064E-2</v>
      </c>
      <c r="G151" s="26">
        <f>Model!G607/Model!F607-1</f>
        <v>-4.0816326530612734E-3</v>
      </c>
      <c r="H151" s="26">
        <f>Model!H607/Model!G607-1</f>
        <v>4.098360655737654E-3</v>
      </c>
      <c r="I151" s="26">
        <f>Model!I607/Model!H607-1</f>
        <v>4.8979591836734615E-2</v>
      </c>
      <c r="J151" s="26">
        <f>Model!J607/Model!I607-1</f>
        <v>2.3346303501945442E-2</v>
      </c>
      <c r="K151" s="26">
        <f>Model!K607/Model!J607-1</f>
        <v>3.041825095057038E-2</v>
      </c>
      <c r="L151" s="26">
        <f>Model!L607/Model!K607-1</f>
        <v>1.8450184501844991E-2</v>
      </c>
      <c r="M151" s="26">
        <f>Model!M607/Model!L607-1</f>
        <v>2.5362318840579601E-2</v>
      </c>
      <c r="N151" s="26">
        <f>Model!N607/Model!M607-1</f>
        <v>0</v>
      </c>
      <c r="O151" s="26">
        <f>Model!O607/Model!N607-1</f>
        <v>-7.0671378091873294E-3</v>
      </c>
      <c r="P151" s="26">
        <f>Model!P607/Model!O607-1</f>
        <v>-1.0676156583629859E-2</v>
      </c>
      <c r="Q151" s="26">
        <f>Model!Q607/Model!P607-1</f>
        <v>3.9568345323740983E-2</v>
      </c>
      <c r="R151" s="26">
        <f>Model!R607/Model!Q607-1</f>
        <v>1.0380622837370179E-2</v>
      </c>
      <c r="S151" s="26">
        <f>Model!S607/Model!R607-1</f>
        <v>6.8493150684931781E-3</v>
      </c>
      <c r="T151" s="26">
        <f>Model!T607/Model!S607-1</f>
        <v>3.4013605442175798E-3</v>
      </c>
      <c r="U151" s="26">
        <f>Model!U607/Model!T607-1</f>
        <v>3.050847457627115E-2</v>
      </c>
      <c r="V151" s="26">
        <f>Model!V607/Model!U607-1</f>
        <v>9.8684210526316374E-3</v>
      </c>
      <c r="W151" s="26">
        <f>Model!W607/Model!V607-1</f>
        <v>-9.7719869706840434E-3</v>
      </c>
      <c r="X151" s="26">
        <f>Model!X607/Model!W607-1</f>
        <v>-6.5789473684210176E-3</v>
      </c>
      <c r="Y151" s="26">
        <f>Model!Y607/Model!X607-1</f>
        <v>3.6423841059602724E-2</v>
      </c>
      <c r="Z151" s="26">
        <f>Model!Z607/Model!Y607-1</f>
        <v>2.5559105431310014E-2</v>
      </c>
      <c r="AA151" s="26">
        <f>Model!AA607/Model!Z607-1</f>
        <v>2.1806853582554409E-2</v>
      </c>
      <c r="AB151" s="26">
        <f>Model!AB607/Model!AA607-1</f>
        <v>3.3536585365853577E-2</v>
      </c>
      <c r="AC151" s="264">
        <v>0.02</v>
      </c>
      <c r="AD151" s="264">
        <v>1.4999999999999999E-2</v>
      </c>
      <c r="AE151" s="264">
        <v>1.4999999999999999E-2</v>
      </c>
      <c r="AF151" s="264">
        <v>0.02</v>
      </c>
      <c r="AG151" s="264">
        <v>0.02</v>
      </c>
      <c r="AH151" s="264">
        <v>2.5000000000000001E-2</v>
      </c>
      <c r="AI151" s="264">
        <v>2.5000000000000001E-2</v>
      </c>
      <c r="AJ151" s="264"/>
      <c r="AK151" s="264"/>
      <c r="AL151" s="264"/>
      <c r="AM151" s="264"/>
      <c r="AN151" s="264"/>
      <c r="AO151" s="264"/>
      <c r="AP151" s="264"/>
      <c r="AQ151" s="264"/>
      <c r="AR151" s="70"/>
      <c r="AS151" s="364"/>
      <c r="AT151" s="9" t="s">
        <v>285</v>
      </c>
      <c r="AU151" s="60" t="s">
        <v>229</v>
      </c>
      <c r="AV151" s="26">
        <f>Model!AV607/Model!AU607-1</f>
        <v>9.3980992608236447E-2</v>
      </c>
      <c r="AW151" s="26">
        <f>Model!AW607/Model!AV607-1</f>
        <v>8.3976833976834087E-2</v>
      </c>
      <c r="AX151" s="26">
        <f>Model!AX607/Model!AW607-1</f>
        <v>2.6714158504007157E-2</v>
      </c>
      <c r="AY151" s="26">
        <f>Model!AY607/Model!AX607-1</f>
        <v>4.9436253252385098E-2</v>
      </c>
      <c r="AZ151" s="26">
        <f>Model!AZ607/Model!AY607-1</f>
        <v>4.4628099173553704E-2</v>
      </c>
      <c r="BA151" s="26">
        <f>Model!BA607/Model!AZ607-1</f>
        <v>0.10124833900316443</v>
      </c>
      <c r="BB151" s="26">
        <f>Model!BB607/Model!BA607-1</f>
        <v>7.9940282732771761E-2</v>
      </c>
      <c r="BC151" s="264">
        <v>7.0000000000000007E-2</v>
      </c>
      <c r="BD151" s="264">
        <v>7.0000000000000007E-2</v>
      </c>
      <c r="BE151" s="264">
        <v>0.06</v>
      </c>
      <c r="BG151" s="1720"/>
      <c r="BH151" s="1710"/>
    </row>
    <row r="152" spans="1:64" s="70" customFormat="1" x14ac:dyDescent="0.2">
      <c r="A152" s="411"/>
      <c r="B152" s="322" t="s">
        <v>283</v>
      </c>
      <c r="C152" s="322"/>
      <c r="D152" s="384">
        <f>Model!D474/(Model!D607*1000)*Model!D1</f>
        <v>7.1102825745682887E-3</v>
      </c>
      <c r="E152" s="384">
        <f>Model!E474/(Model!E607*1000)*Model!E1</f>
        <v>7.7861369399830939E-3</v>
      </c>
      <c r="F152" s="384">
        <f>Model!F474/(Model!F607*1000)*Model!F1</f>
        <v>7.4693877551020409E-3</v>
      </c>
      <c r="G152" s="384">
        <f>Model!G474/(Model!G607*1000)*Model!G1</f>
        <v>6.8152173913043484E-3</v>
      </c>
      <c r="H152" s="384">
        <f>Model!H474/(Model!H607*1000)*Model!H1</f>
        <v>6.0916099773242628E-3</v>
      </c>
      <c r="I152" s="384">
        <f>Model!I474/(Model!I607*1000)*Model!I1</f>
        <v>6.8202420147945439E-3</v>
      </c>
      <c r="J152" s="384">
        <f>Model!J474/(Model!J607*1000)*Model!J1</f>
        <v>6.1849065961315916E-3</v>
      </c>
      <c r="K152" s="384">
        <f>Model!K474/(Model!K607*1000)*Model!K1</f>
        <v>6.251203272902294E-3</v>
      </c>
      <c r="L152" s="384">
        <f>Model!L474/(Model!L607*1000)*Model!L1</f>
        <v>6.6270128824476643E-3</v>
      </c>
      <c r="M152" s="384">
        <f>Model!M474/(Model!M607*1000)*Model!M1</f>
        <v>6.9448219624898069E-3</v>
      </c>
      <c r="N152" s="384">
        <f>Model!N474/(Model!N607*1000)*Model!N1</f>
        <v>6.7151252112459658E-3</v>
      </c>
      <c r="O152" s="384">
        <f>Model!O474/(Model!O607*1000)*Model!O1</f>
        <v>6.579374903295682E-3</v>
      </c>
      <c r="P152" s="384">
        <f>Model!P474/(Model!P607*1000)*Model!P1</f>
        <v>7.0023980815347719E-3</v>
      </c>
      <c r="Q152" s="384">
        <f>Model!Q474/(Model!Q607*1000)*Model!Q1</f>
        <v>6.6202136963382638E-3</v>
      </c>
      <c r="R152" s="384">
        <f>Model!R474/(Model!R607*1000)*Model!R1</f>
        <v>5.9374999999999992E-3</v>
      </c>
      <c r="S152" s="384">
        <f>Model!S474/(Model!S607*1000)*Model!S1</f>
        <v>5.8431307305530904E-3</v>
      </c>
      <c r="T152" s="384">
        <f>Model!T474/(Model!T607*1000)*Model!T1</f>
        <v>6.107953063885267E-3</v>
      </c>
      <c r="U152" s="384">
        <f>Model!U474/(Model!U607*1000)*Model!U1</f>
        <v>5.0671631000578365E-3</v>
      </c>
      <c r="V152" s="384">
        <f>Model!V474/(Model!V607*1000)*Model!V1</f>
        <v>5.6887834584336498E-3</v>
      </c>
      <c r="W152" s="384">
        <f>Model!W474/(Model!W607*1000)*Model!W1</f>
        <v>5.8627002288329519E-3</v>
      </c>
      <c r="X152" s="384">
        <f>Model!X474/(Model!X607*1000)*Model!X1</f>
        <v>5.8818984547461366E-3</v>
      </c>
      <c r="Y152" s="384">
        <f>Model!Y474/(Model!Y607*1000)*Model!Y1</f>
        <v>6.1638521223185755E-3</v>
      </c>
      <c r="Z152" s="384">
        <f>Model!Z474/(Model!Z607*1000)*Model!Z1</f>
        <v>6.253894080996884E-3</v>
      </c>
      <c r="AA152" s="384">
        <f>Model!AA474/(Model!AA607*1000)*Model!AA1</f>
        <v>6.2050967656415695E-3</v>
      </c>
      <c r="AB152" s="384">
        <f>Model!AB474/(Model!AB607*1000)*Model!AB1</f>
        <v>6.2328744673877416E-3</v>
      </c>
      <c r="AC152" s="852">
        <v>6.1999999999999998E-3</v>
      </c>
      <c r="AD152" s="852">
        <v>6.1999999999999998E-3</v>
      </c>
      <c r="AE152" s="852">
        <v>6.1999999999999998E-3</v>
      </c>
      <c r="AF152" s="852">
        <v>6.1999999999999998E-3</v>
      </c>
      <c r="AG152" s="852">
        <v>6.1999999999999998E-3</v>
      </c>
      <c r="AH152" s="852">
        <v>6.1999999999999998E-3</v>
      </c>
      <c r="AI152" s="852">
        <v>6.1999999999999998E-3</v>
      </c>
      <c r="AJ152" s="852"/>
      <c r="AK152" s="852"/>
      <c r="AL152" s="852"/>
      <c r="AM152" s="852"/>
      <c r="AN152" s="852"/>
      <c r="AO152" s="852"/>
      <c r="AP152" s="852"/>
      <c r="AQ152" s="852"/>
      <c r="AS152" s="15"/>
      <c r="AT152" s="322" t="s">
        <v>283</v>
      </c>
      <c r="AU152" s="60" t="s">
        <v>229</v>
      </c>
      <c r="AV152" s="384">
        <f>Model!AV474/(Model!AV607*1000)*Model!AV1</f>
        <v>6.3397683397683402E-3</v>
      </c>
      <c r="AW152" s="384">
        <f>Model!AW474/(Model!AW607*1000)*Model!AW1</f>
        <v>6.7177203918076583E-3</v>
      </c>
      <c r="AX152" s="384">
        <f>Model!AX474/(Model!AX607*1000)*Model!AX1</f>
        <v>6.3382480485689504E-3</v>
      </c>
      <c r="AY152" s="384">
        <f>Model!AY474/(Model!AY607*1000)*Model!AY1</f>
        <v>5.6793388429752069E-3</v>
      </c>
      <c r="AZ152" s="384">
        <f>Model!AZ474/(Model!AZ607*1000)*Model!AZ1</f>
        <v>6.1329113924050629E-3</v>
      </c>
      <c r="BA152" s="384">
        <f>Model!BA474/(Model!BA607*1000)*Model!BA1</f>
        <v>6.2088826889464058E-3</v>
      </c>
      <c r="BB152" s="384">
        <f>Model!BB474/(Model!BB607*1000)*Model!BB1</f>
        <v>6.2013607168247961E-3</v>
      </c>
      <c r="BC152" s="852">
        <v>6.3E-3</v>
      </c>
      <c r="BD152" s="852">
        <v>6.3E-3</v>
      </c>
      <c r="BE152" s="852">
        <v>6.3E-3</v>
      </c>
      <c r="BG152" s="1721"/>
      <c r="BH152" s="1710"/>
    </row>
    <row r="153" spans="1:64" s="70" customFormat="1" x14ac:dyDescent="0.2">
      <c r="A153" s="411"/>
      <c r="B153" s="322" t="s">
        <v>284</v>
      </c>
      <c r="C153" s="322"/>
      <c r="D153" s="385">
        <f>Model!D478</f>
        <v>-344</v>
      </c>
      <c r="E153" s="385">
        <f>Model!E478</f>
        <v>157</v>
      </c>
      <c r="F153" s="385">
        <f>Model!F478</f>
        <v>-251</v>
      </c>
      <c r="G153" s="385">
        <f>Model!G478</f>
        <v>-258</v>
      </c>
      <c r="H153" s="385">
        <f>Model!H478</f>
        <v>-23</v>
      </c>
      <c r="I153" s="385">
        <f>Model!I478</f>
        <v>23</v>
      </c>
      <c r="J153" s="385">
        <f>Model!J478</f>
        <v>-147</v>
      </c>
      <c r="K153" s="385">
        <f>Model!K478</f>
        <v>-139</v>
      </c>
      <c r="L153" s="385">
        <f>Model!L478</f>
        <v>-17</v>
      </c>
      <c r="M153" s="385">
        <f>Model!M478</f>
        <v>-44</v>
      </c>
      <c r="N153" s="385">
        <f>Model!N478</f>
        <v>91</v>
      </c>
      <c r="O153" s="385">
        <f>Model!O478</f>
        <v>86</v>
      </c>
      <c r="P153" s="385">
        <f>Model!P478</f>
        <v>52</v>
      </c>
      <c r="Q153" s="385">
        <f>Model!Q478</f>
        <v>-66</v>
      </c>
      <c r="R153" s="385">
        <f>Model!R478</f>
        <v>352</v>
      </c>
      <c r="S153" s="385">
        <f>Model!S478</f>
        <v>-14</v>
      </c>
      <c r="T153" s="385">
        <f>Model!T478</f>
        <v>-66</v>
      </c>
      <c r="U153" s="385">
        <f>Model!U478</f>
        <v>-203</v>
      </c>
      <c r="V153" s="385">
        <f>Model!V478</f>
        <v>-218</v>
      </c>
      <c r="W153" s="385">
        <f>Model!W478</f>
        <v>-107</v>
      </c>
      <c r="X153" s="385">
        <f>Model!X478</f>
        <v>-115</v>
      </c>
      <c r="Y153" s="385">
        <f>Model!Y478</f>
        <v>9</v>
      </c>
      <c r="Z153" s="385">
        <f>Model!Z478</f>
        <v>-48</v>
      </c>
      <c r="AA153" s="385">
        <f>Model!AA478</f>
        <v>21</v>
      </c>
      <c r="AB153" s="385">
        <f>Model!AB478</f>
        <v>23</v>
      </c>
      <c r="AC153" s="265">
        <v>0</v>
      </c>
      <c r="AD153" s="265">
        <v>0</v>
      </c>
      <c r="AE153" s="265">
        <v>0</v>
      </c>
      <c r="AF153" s="265">
        <v>0</v>
      </c>
      <c r="AG153" s="265">
        <v>0</v>
      </c>
      <c r="AH153" s="265">
        <v>0</v>
      </c>
      <c r="AI153" s="265">
        <v>0</v>
      </c>
      <c r="AJ153" s="265"/>
      <c r="AK153" s="265"/>
      <c r="AL153" s="265"/>
      <c r="AM153" s="265"/>
      <c r="AN153" s="265"/>
      <c r="AO153" s="265"/>
      <c r="AP153" s="265"/>
      <c r="AQ153" s="265"/>
      <c r="AS153" s="15"/>
      <c r="AT153" s="322" t="s">
        <v>284</v>
      </c>
      <c r="AU153" s="60" t="s">
        <v>229</v>
      </c>
      <c r="AV153" s="385">
        <f>Model!AV478</f>
        <v>-286</v>
      </c>
      <c r="AW153" s="385">
        <f>Model!AW478</f>
        <v>116</v>
      </c>
      <c r="AX153" s="385">
        <f>Model!AX478</f>
        <v>324</v>
      </c>
      <c r="AY153" s="385">
        <f>Model!AY478</f>
        <v>-594</v>
      </c>
      <c r="AZ153" s="385">
        <f>Model!AZ478</f>
        <v>-133</v>
      </c>
      <c r="BA153" s="385">
        <f>Model!BA478</f>
        <v>23</v>
      </c>
      <c r="BB153" s="385">
        <f>Model!BB478</f>
        <v>0</v>
      </c>
      <c r="BC153" s="265">
        <v>0</v>
      </c>
      <c r="BD153" s="265">
        <v>0</v>
      </c>
      <c r="BE153" s="265">
        <v>0</v>
      </c>
      <c r="BG153" s="1722"/>
      <c r="BH153" s="1710"/>
    </row>
    <row r="154" spans="1:64" s="72" customFormat="1" x14ac:dyDescent="0.2">
      <c r="A154" s="411"/>
      <c r="B154" s="9" t="s">
        <v>281</v>
      </c>
      <c r="C154" s="9"/>
      <c r="D154" s="26"/>
      <c r="E154" s="26">
        <f>Model!E475/Model!D475-1</f>
        <v>-1.1647254575707144E-2</v>
      </c>
      <c r="F154" s="26">
        <f>Model!F475/Model!E475-1</f>
        <v>3.0303030303030276E-2</v>
      </c>
      <c r="G154" s="26">
        <f>Model!G475/Model!F475-1</f>
        <v>-2.1241830065359513E-2</v>
      </c>
      <c r="H154" s="26">
        <f>Model!H475/Model!G475-1</f>
        <v>5.3422370617696169E-2</v>
      </c>
      <c r="I154" s="26">
        <f>Model!I475/Model!H475-1</f>
        <v>2.5356576862123559E-2</v>
      </c>
      <c r="J154" s="26">
        <f>Model!J475/Model!I475-1</f>
        <v>-4.7913446676970617E-2</v>
      </c>
      <c r="K154" s="26">
        <f>Model!K475/Model!J475-1</f>
        <v>-2.2727272727272707E-2</v>
      </c>
      <c r="L154" s="26">
        <f>Model!L475/Model!K475-1</f>
        <v>0.11461794019933547</v>
      </c>
      <c r="M154" s="26">
        <f>Model!M475/Model!L475-1</f>
        <v>-1.7883755588673611E-2</v>
      </c>
      <c r="N154" s="26">
        <f>Model!N475/Model!M475-1</f>
        <v>9.1047040971168336E-3</v>
      </c>
      <c r="O154" s="26">
        <f>Model!O475/Model!N475-1</f>
        <v>6.0150375939849177E-3</v>
      </c>
      <c r="P154" s="26">
        <f>Model!P475/Model!O475-1</f>
        <v>8.9686098654708779E-3</v>
      </c>
      <c r="Q154" s="26">
        <f>Model!Q475/Model!P475-1</f>
        <v>-8.8888888888888351E-3</v>
      </c>
      <c r="R154" s="26">
        <f>Model!R475/Model!Q475-1</f>
        <v>-5.3811659192825156E-2</v>
      </c>
      <c r="S154" s="26">
        <f>Model!S475/Model!R475-1</f>
        <v>-4.4233807266982672E-2</v>
      </c>
      <c r="T154" s="26">
        <f>Model!T475/Model!S475-1</f>
        <v>0.13057851239669427</v>
      </c>
      <c r="U154" s="26">
        <f>Model!U475/Model!T475-1</f>
        <v>-1.4619883040935644E-2</v>
      </c>
      <c r="V154" s="26">
        <f>Model!V475/Model!U475-1</f>
        <v>8.9020771513352859E-3</v>
      </c>
      <c r="W154" s="26">
        <f>Model!W475/Model!V475-1</f>
        <v>-1.3235294117647012E-2</v>
      </c>
      <c r="X154" s="26">
        <f>Model!X475/Model!W475-1</f>
        <v>0.11624441132637853</v>
      </c>
      <c r="Y154" s="26">
        <f>Model!Y475/Model!X475-1</f>
        <v>5.8744993324432615E-2</v>
      </c>
      <c r="Z154" s="26">
        <f>Model!Z475/Model!Y475-1</f>
        <v>-3.7831021437578771E-3</v>
      </c>
      <c r="AA154" s="26">
        <f>Model!AA475/Model!Z475-1</f>
        <v>-1.7721518987341756E-2</v>
      </c>
      <c r="AB154" s="26">
        <f>Model!AB475/Model!AA475-1</f>
        <v>0.1649484536082475</v>
      </c>
      <c r="AC154" s="264">
        <v>-0.03</v>
      </c>
      <c r="AD154" s="264">
        <v>0</v>
      </c>
      <c r="AE154" s="264">
        <v>0.01</v>
      </c>
      <c r="AF154" s="264">
        <v>7.0000000000000007E-2</v>
      </c>
      <c r="AG154" s="264">
        <v>-0.03</v>
      </c>
      <c r="AH154" s="264">
        <v>0</v>
      </c>
      <c r="AI154" s="264">
        <v>0.01</v>
      </c>
      <c r="AJ154" s="264"/>
      <c r="AK154" s="264"/>
      <c r="AL154" s="264"/>
      <c r="AM154" s="264"/>
      <c r="AN154" s="264"/>
      <c r="AO154" s="264"/>
      <c r="AP154" s="264"/>
      <c r="AQ154" s="264"/>
      <c r="AR154" s="70"/>
      <c r="AS154" s="364"/>
      <c r="AT154" s="9" t="s">
        <v>281</v>
      </c>
      <c r="AU154" s="60" t="s">
        <v>229</v>
      </c>
      <c r="AV154" s="26">
        <f>Model!AV475/Model!AU475-1</f>
        <v>3.7406483790523692E-2</v>
      </c>
      <c r="AW154" s="26">
        <f>Model!AW475/Model!AV475-1</f>
        <v>6.7307692307692291E-2</v>
      </c>
      <c r="AX154" s="26">
        <f>Model!AX475/Model!AW475-1</f>
        <v>-3.0780780780780725E-2</v>
      </c>
      <c r="AY154" s="26">
        <f>Model!AY475/Model!AX475-1</f>
        <v>4.9186676994577905E-2</v>
      </c>
      <c r="AZ154" s="26">
        <f>Model!AZ475/Model!AY475-1</f>
        <v>0.1472868217054264</v>
      </c>
      <c r="BA154" s="26">
        <f>Model!BA475/Model!AZ475-1</f>
        <v>0.14009292149292163</v>
      </c>
      <c r="BB154" s="26">
        <f>Model!BB475/Model!BA475-1</f>
        <v>4.8279000000000183E-2</v>
      </c>
      <c r="BC154" s="264">
        <v>0.05</v>
      </c>
      <c r="BD154" s="264">
        <v>0.05</v>
      </c>
      <c r="BE154" s="264">
        <v>0.05</v>
      </c>
      <c r="BG154" s="1720"/>
      <c r="BH154" s="1710"/>
    </row>
    <row r="155" spans="1:64" s="72" customFormat="1" x14ac:dyDescent="0.2">
      <c r="A155" s="411"/>
      <c r="B155" s="1158" t="s">
        <v>1240</v>
      </c>
      <c r="C155" s="1158"/>
      <c r="D155" s="26"/>
      <c r="E155" s="26">
        <f>Model!E628/Model!D628-1</f>
        <v>2.2094926350245458E-2</v>
      </c>
      <c r="F155" s="26">
        <f>Model!F628/Model!E628-1</f>
        <v>-1.6012810248198228E-3</v>
      </c>
      <c r="G155" s="26">
        <f>Model!G628/Model!F628-1</f>
        <v>2.4057738572573761E-3</v>
      </c>
      <c r="H155" s="26">
        <f>Model!H628/Model!G628-1</f>
        <v>-3.1999999999999806E-3</v>
      </c>
      <c r="I155" s="26">
        <f>Model!I628/Model!H628-1</f>
        <v>2.7287319422150791E-2</v>
      </c>
      <c r="J155" s="26">
        <f>Model!J628/Model!I628-1</f>
        <v>-2.1093750000000022E-2</v>
      </c>
      <c r="K155" s="26">
        <f>Model!K628/Model!J628-1</f>
        <v>1.5163607342378205E-2</v>
      </c>
      <c r="L155" s="26">
        <f>Model!L628/Model!K628-1</f>
        <v>1.2578616352201255E-2</v>
      </c>
      <c r="M155" s="26">
        <f>Model!M628/Model!L628-1</f>
        <v>6.2111801242235032E-3</v>
      </c>
      <c r="N155" s="26">
        <f>Model!N628/Model!M628-1</f>
        <v>-9.2592592592593004E-3</v>
      </c>
      <c r="O155" s="26">
        <f>Model!O628/Model!N628-1</f>
        <v>1.5576323987538832E-2</v>
      </c>
      <c r="P155" s="26">
        <f>Model!P628/Model!O628-1</f>
        <v>-1.8404907975460127E-2</v>
      </c>
      <c r="Q155" s="26">
        <f>Model!Q628/Model!P628-1</f>
        <v>3.90625E-3</v>
      </c>
      <c r="R155" s="26">
        <f>Model!R628/Model!Q628-1</f>
        <v>-1.5564202334630295E-2</v>
      </c>
      <c r="S155" s="26">
        <f>Model!S628/Model!R628-1</f>
        <v>-5.5335968379446321E-3</v>
      </c>
      <c r="T155" s="26">
        <f>Model!T628/Model!S628-1</f>
        <v>1.11287758346581E-2</v>
      </c>
      <c r="U155" s="26">
        <f>Model!U628/Model!T628-1</f>
        <v>2.2012578616352307E-2</v>
      </c>
      <c r="V155" s="26">
        <f>Model!V628/Model!U628-1</f>
        <v>7.692307692307665E-3</v>
      </c>
      <c r="W155" s="26">
        <f>Model!W628/Model!V628-1</f>
        <v>0</v>
      </c>
      <c r="X155" s="26">
        <f>Model!X628/Model!W628-1</f>
        <v>6.1068702290076882E-3</v>
      </c>
      <c r="Y155" s="26">
        <f>Model!Y628/Model!X628-1</f>
        <v>3.1866464339908918E-2</v>
      </c>
      <c r="Z155" s="26">
        <f>Model!Z628/Model!Y628-1</f>
        <v>6.6176470588235059E-3</v>
      </c>
      <c r="AA155" s="26">
        <f>Model!AA628/Model!Z628-1</f>
        <v>1.1687363038714427E-2</v>
      </c>
      <c r="AB155" s="26">
        <f>Model!AB628/Model!AA628-1</f>
        <v>2.1660649819494893E-3</v>
      </c>
      <c r="AC155" s="264">
        <v>0.01</v>
      </c>
      <c r="AD155" s="264">
        <v>0.01</v>
      </c>
      <c r="AE155" s="264">
        <v>0.01</v>
      </c>
      <c r="AF155" s="264">
        <v>1.4999999999999999E-2</v>
      </c>
      <c r="AG155" s="264">
        <v>1.4999999999999999E-2</v>
      </c>
      <c r="AH155" s="264">
        <v>1.7999999999999999E-2</v>
      </c>
      <c r="AI155" s="264">
        <v>0.02</v>
      </c>
      <c r="AJ155" s="264"/>
      <c r="AK155" s="264"/>
      <c r="AL155" s="264"/>
      <c r="AM155" s="264"/>
      <c r="AN155" s="264"/>
      <c r="AO155" s="264"/>
      <c r="AP155" s="264"/>
      <c r="AQ155" s="264"/>
      <c r="AR155" s="70"/>
      <c r="AS155" s="364"/>
      <c r="AT155" s="1158" t="s">
        <v>1240</v>
      </c>
      <c r="AU155" s="60" t="s">
        <v>229</v>
      </c>
      <c r="AV155" s="26">
        <f>Model!AV628/Model!AU628-1</f>
        <v>1.6706924315619931E-2</v>
      </c>
      <c r="AW155" s="26">
        <f>Model!AW628/Model!AV628-1</f>
        <v>2.395565234607E-2</v>
      </c>
      <c r="AX155" s="26">
        <f>Model!AX628/Model!AW628-1</f>
        <v>-1.6241299303944357E-2</v>
      </c>
      <c r="AY155" s="26">
        <f>Model!AY628/Model!AX628-1</f>
        <v>2.0440251572326984E-2</v>
      </c>
      <c r="AZ155" s="26">
        <f>Model!AZ628/Model!AY628-1</f>
        <v>4.6224961479198745E-2</v>
      </c>
      <c r="BA155" s="26">
        <f>Model!BA628/Model!AZ628-1</f>
        <v>3.7525145066273913E-2</v>
      </c>
      <c r="BB155" s="26">
        <f>Model!BB628/Model!BA628-1</f>
        <v>5.6522230369064674E-2</v>
      </c>
      <c r="BC155" s="264">
        <v>0.06</v>
      </c>
      <c r="BD155" s="264">
        <v>0.06</v>
      </c>
      <c r="BE155" s="264">
        <v>0.06</v>
      </c>
      <c r="BG155" s="1720"/>
      <c r="BH155" s="1710"/>
    </row>
    <row r="156" spans="1:64" s="72" customFormat="1" x14ac:dyDescent="0.2">
      <c r="A156" s="411"/>
      <c r="B156" s="364"/>
      <c r="C156" s="9"/>
      <c r="D156" s="26"/>
      <c r="E156" s="26"/>
      <c r="F156" s="26"/>
      <c r="G156" s="26"/>
      <c r="H156" s="26"/>
      <c r="I156" s="26"/>
      <c r="J156" s="26"/>
      <c r="K156" s="26"/>
      <c r="L156" s="26"/>
      <c r="M156" s="26"/>
      <c r="N156" s="26"/>
      <c r="O156" s="26"/>
      <c r="P156" s="26"/>
      <c r="Q156" s="26"/>
      <c r="R156" s="26"/>
      <c r="S156" s="26"/>
      <c r="T156" s="26"/>
      <c r="U156" s="26"/>
      <c r="V156" s="26"/>
      <c r="W156" s="26"/>
      <c r="X156" s="26"/>
      <c r="Y156" s="26"/>
      <c r="Z156" s="26"/>
      <c r="AA156" s="26"/>
      <c r="AB156" s="26"/>
      <c r="AC156" s="53"/>
      <c r="AD156" s="53"/>
      <c r="AE156" s="53"/>
      <c r="AF156" s="53"/>
      <c r="AG156" s="53"/>
      <c r="AH156" s="53"/>
      <c r="AI156" s="53"/>
      <c r="AJ156" s="53"/>
      <c r="AK156" s="53"/>
      <c r="AL156" s="53"/>
      <c r="AM156" s="53"/>
      <c r="AN156" s="53"/>
      <c r="AO156" s="53"/>
      <c r="AP156" s="53"/>
      <c r="AQ156" s="53"/>
      <c r="AR156" s="70"/>
      <c r="AS156" s="364"/>
      <c r="AT156" s="9"/>
      <c r="AU156" s="26"/>
      <c r="AV156" s="26"/>
      <c r="AW156" s="26"/>
      <c r="AX156" s="26"/>
      <c r="AY156" s="26"/>
      <c r="AZ156" s="26"/>
      <c r="BA156" s="26"/>
      <c r="BB156" s="26"/>
      <c r="BC156" s="53"/>
      <c r="BD156" s="53"/>
      <c r="BE156" s="53"/>
      <c r="BG156" s="38"/>
      <c r="BH156" s="38"/>
    </row>
    <row r="157" spans="1:64" s="72" customFormat="1" x14ac:dyDescent="0.2">
      <c r="A157" s="411"/>
      <c r="B157" s="319" t="s">
        <v>1241</v>
      </c>
      <c r="C157" s="1158"/>
      <c r="D157" s="26"/>
      <c r="E157" s="26"/>
      <c r="F157" s="26"/>
      <c r="G157" s="26"/>
      <c r="H157" s="26"/>
      <c r="I157" s="26"/>
      <c r="J157" s="26"/>
      <c r="K157" s="26"/>
      <c r="L157" s="26">
        <f>Model!L633</f>
        <v>5.2018633540372672E-2</v>
      </c>
      <c r="M157" s="26">
        <f>Model!M633</f>
        <v>5.1697530864197531E-2</v>
      </c>
      <c r="N157" s="26">
        <f>Model!N633</f>
        <v>5.2180685358255451E-2</v>
      </c>
      <c r="O157" s="26">
        <f>Model!O633</f>
        <v>5.1380368098159511E-2</v>
      </c>
      <c r="P157" s="26">
        <f>Model!P633</f>
        <v>5.9374999999999997E-2</v>
      </c>
      <c r="Q157" s="26">
        <f>Model!Q633</f>
        <v>5.9143968871595336E-2</v>
      </c>
      <c r="R157" s="26">
        <f>Model!R633</f>
        <v>6.007905138339921E-2</v>
      </c>
      <c r="S157" s="26">
        <f>Model!S633</f>
        <v>6.0413354531001585E-2</v>
      </c>
      <c r="T157" s="26">
        <f>Model!T633</f>
        <v>6.2893081761006289E-2</v>
      </c>
      <c r="U157" s="26">
        <f>Model!U633</f>
        <v>6.1538461538461542E-2</v>
      </c>
      <c r="V157" s="26">
        <f>Model!V633</f>
        <v>6.106870229007634E-2</v>
      </c>
      <c r="W157" s="26">
        <f>Model!W633</f>
        <v>6.106870229007634E-2</v>
      </c>
      <c r="X157" s="26">
        <f>Model!X633</f>
        <v>6.2215477996965099E-2</v>
      </c>
      <c r="Y157" s="26">
        <f>Model!Y633</f>
        <v>6.0294117647058824E-2</v>
      </c>
      <c r="Z157" s="26">
        <f>Model!Z633</f>
        <v>5.989773557341125E-2</v>
      </c>
      <c r="AA157" s="26">
        <f>Model!AA633</f>
        <v>5.92057761732852E-2</v>
      </c>
      <c r="AB157" s="26">
        <f>Model!AB633</f>
        <v>5.9077809798270889E-2</v>
      </c>
      <c r="AC157" s="26">
        <f>Model!AC633</f>
        <v>5.8492880988387022E-2</v>
      </c>
      <c r="AD157" s="26">
        <f>Model!AD633</f>
        <v>5.7913743552858436E-2</v>
      </c>
      <c r="AE157" s="26">
        <f>Model!AE633</f>
        <v>5.7340340151344989E-2</v>
      </c>
      <c r="AF157" s="264">
        <v>0.06</v>
      </c>
      <c r="AG157" s="26">
        <f>Model!AG633</f>
        <v>5.9051859890504793E-2</v>
      </c>
      <c r="AH157" s="26">
        <f>Model!AH633</f>
        <v>5.8007720914051861E-2</v>
      </c>
      <c r="AI157" s="26">
        <f>Model!AI633</f>
        <v>5.6870314621619469E-2</v>
      </c>
      <c r="AJ157" s="26"/>
      <c r="AK157" s="26"/>
      <c r="AL157" s="26"/>
      <c r="AM157" s="26"/>
      <c r="AN157" s="26"/>
      <c r="AO157" s="26"/>
      <c r="AP157" s="26"/>
      <c r="AQ157" s="26"/>
      <c r="AR157" s="70"/>
      <c r="AS157" s="364"/>
      <c r="AT157" s="319" t="s">
        <v>1241</v>
      </c>
      <c r="AU157" s="26"/>
      <c r="AV157" s="26"/>
      <c r="AW157" s="26">
        <f>Model!AW633</f>
        <v>5.1817478731631866E-2</v>
      </c>
      <c r="AX157" s="26">
        <f>Model!AX633</f>
        <v>5.9748427672955975E-2</v>
      </c>
      <c r="AY157" s="26">
        <f>Model!AY633</f>
        <v>6.1633281972265024E-2</v>
      </c>
      <c r="AZ157" s="26">
        <f>Model!AZ633</f>
        <v>6.0382916053019146E-2</v>
      </c>
      <c r="BA157" s="26">
        <f>Model!BA633</f>
        <v>5.8198990492092671E-2</v>
      </c>
      <c r="BB157" s="26">
        <f>Model!BB633</f>
        <v>5.8444306849054765E-2</v>
      </c>
      <c r="BC157" s="264">
        <v>5.8000000000000003E-2</v>
      </c>
      <c r="BD157" s="264">
        <v>5.8000000000000003E-2</v>
      </c>
      <c r="BE157" s="264">
        <v>5.8000000000000003E-2</v>
      </c>
      <c r="BG157" s="1720"/>
      <c r="BH157" s="1710"/>
    </row>
    <row r="158" spans="1:64" s="72" customFormat="1" x14ac:dyDescent="0.2">
      <c r="A158" s="411"/>
      <c r="B158" s="364"/>
      <c r="C158" s="1158"/>
      <c r="D158" s="26"/>
      <c r="E158" s="26"/>
      <c r="F158" s="26"/>
      <c r="G158" s="26"/>
      <c r="H158" s="26"/>
      <c r="I158" s="26"/>
      <c r="J158" s="26"/>
      <c r="K158" s="26"/>
      <c r="L158" s="26"/>
      <c r="M158" s="26"/>
      <c r="N158" s="26"/>
      <c r="O158" s="26"/>
      <c r="P158" s="26"/>
      <c r="Q158" s="26"/>
      <c r="R158" s="26"/>
      <c r="S158" s="26"/>
      <c r="T158" s="26"/>
      <c r="U158" s="26"/>
      <c r="V158" s="26"/>
      <c r="W158" s="26"/>
      <c r="X158" s="26"/>
      <c r="Y158" s="26"/>
      <c r="Z158" s="26"/>
      <c r="AA158" s="26"/>
      <c r="AB158" s="26"/>
      <c r="AC158" s="53"/>
      <c r="AD158" s="53"/>
      <c r="AE158" s="53"/>
      <c r="AF158" s="53"/>
      <c r="AG158" s="53"/>
      <c r="AH158" s="53"/>
      <c r="AI158" s="53"/>
      <c r="AJ158" s="53"/>
      <c r="AK158" s="53"/>
      <c r="AL158" s="53"/>
      <c r="AM158" s="53"/>
      <c r="AN158" s="53"/>
      <c r="AO158" s="53"/>
      <c r="AP158" s="53"/>
      <c r="AQ158" s="53"/>
      <c r="AR158" s="70"/>
      <c r="AS158" s="364"/>
      <c r="AT158" s="1158"/>
      <c r="AU158" s="26"/>
      <c r="AV158" s="26"/>
      <c r="AW158" s="26"/>
      <c r="AX158" s="26"/>
      <c r="AY158" s="26"/>
      <c r="AZ158" s="26"/>
      <c r="BA158" s="26"/>
      <c r="BB158" s="26"/>
      <c r="BC158" s="53"/>
      <c r="BD158" s="53"/>
      <c r="BE158" s="53"/>
      <c r="BG158" s="38"/>
      <c r="BH158" s="38"/>
    </row>
    <row r="159" spans="1:64" s="72" customFormat="1" x14ac:dyDescent="0.2">
      <c r="A159" s="411"/>
      <c r="B159" s="9" t="s">
        <v>286</v>
      </c>
      <c r="C159" s="53"/>
      <c r="D159" s="26"/>
      <c r="E159" s="26"/>
      <c r="F159" s="26"/>
      <c r="G159" s="26"/>
      <c r="H159" s="26"/>
      <c r="I159" s="26"/>
      <c r="J159" s="26"/>
      <c r="K159" s="26"/>
      <c r="L159" s="26"/>
      <c r="M159" s="26"/>
      <c r="N159" s="26"/>
      <c r="O159" s="26"/>
      <c r="P159" s="26"/>
      <c r="Q159" s="26"/>
      <c r="R159" s="26"/>
      <c r="S159" s="26"/>
      <c r="T159" s="26"/>
      <c r="U159" s="26"/>
      <c r="V159" s="26"/>
      <c r="W159" s="26"/>
      <c r="X159" s="26"/>
      <c r="Y159" s="26"/>
      <c r="Z159" s="26"/>
      <c r="AA159" s="26"/>
      <c r="AB159" s="26"/>
      <c r="AC159" s="53"/>
      <c r="AD159" s="53"/>
      <c r="AE159" s="53"/>
      <c r="AF159" s="53"/>
      <c r="AG159" s="53"/>
      <c r="AH159" s="53"/>
      <c r="AI159" s="53"/>
      <c r="AJ159" s="53"/>
      <c r="AK159" s="53"/>
      <c r="AL159" s="53"/>
      <c r="AM159" s="53"/>
      <c r="AN159" s="53"/>
      <c r="AO159" s="53"/>
      <c r="AP159" s="53"/>
      <c r="AQ159" s="53"/>
      <c r="AR159" s="70"/>
      <c r="AS159" s="9" t="s">
        <v>286</v>
      </c>
      <c r="AT159" s="53"/>
      <c r="AU159" s="26"/>
      <c r="AV159" s="26"/>
      <c r="AW159" s="26"/>
      <c r="AX159" s="26"/>
      <c r="AY159" s="26"/>
      <c r="AZ159" s="26"/>
      <c r="BA159" s="26"/>
      <c r="BB159" s="26"/>
      <c r="BC159" s="53"/>
      <c r="BD159" s="53"/>
      <c r="BE159" s="53"/>
      <c r="BG159" s="38"/>
      <c r="BH159" s="38"/>
    </row>
    <row r="160" spans="1:64" s="72" customFormat="1" x14ac:dyDescent="0.2">
      <c r="A160" s="411"/>
      <c r="B160" s="364"/>
      <c r="C160" s="362" t="s">
        <v>10</v>
      </c>
      <c r="D160" s="26"/>
      <c r="E160" s="26"/>
      <c r="F160" s="26">
        <f>Model!F622/Model!E622-1</f>
        <v>3.5439137134052334E-2</v>
      </c>
      <c r="G160" s="26">
        <f>Model!G622/Model!F622-1</f>
        <v>-5.9523809523809312E-3</v>
      </c>
      <c r="H160" s="26">
        <f>Model!H622/Model!G622-1</f>
        <v>-1.4970059880239472E-2</v>
      </c>
      <c r="I160" s="26">
        <f>Model!I622/Model!H622-1</f>
        <v>2.8875379939209633E-2</v>
      </c>
      <c r="J160" s="26">
        <f>Model!J622/Model!I622-1</f>
        <v>5.3175775480059029E-2</v>
      </c>
      <c r="K160" s="26">
        <f>Model!K622/Model!J622-1</f>
        <v>5.0490883590462943E-2</v>
      </c>
      <c r="L160" s="26">
        <f>Model!L622/Model!K622-1</f>
        <v>1.4686248331108098E-2</v>
      </c>
      <c r="M160" s="26">
        <f>Model!M622/Model!L622-1</f>
        <v>6.5789473684210176E-3</v>
      </c>
      <c r="N160" s="26">
        <f>Model!N622/Model!M622-1</f>
        <v>1.3071895424836555E-3</v>
      </c>
      <c r="O160" s="26">
        <f>Model!O622/Model!N622-1</f>
        <v>-6.5274151436031103E-3</v>
      </c>
      <c r="P160" s="26">
        <f>Model!P622/Model!O622-1</f>
        <v>7.8843626806832656E-3</v>
      </c>
      <c r="Q160" s="26">
        <f>Model!Q622/Model!P622-1</f>
        <v>2.6075619295958363E-2</v>
      </c>
      <c r="R160" s="26">
        <f>Model!R622/Model!Q622-1</f>
        <v>1.5247776365946653E-2</v>
      </c>
      <c r="S160" s="26">
        <f>Model!S622/Model!R622-1</f>
        <v>-6.2578222778473247E-3</v>
      </c>
      <c r="T160" s="26">
        <f>Model!T622/Model!S622-1</f>
        <v>2.1410579345088054E-2</v>
      </c>
      <c r="U160" s="26">
        <f>Model!U622/Model!T622-1</f>
        <v>1.6029593094944561E-2</v>
      </c>
      <c r="V160" s="26">
        <f>Model!V622/Model!U622-1</f>
        <v>0</v>
      </c>
      <c r="W160" s="26">
        <f>Model!W622/Model!V622-1</f>
        <v>6.0679611650484855E-3</v>
      </c>
      <c r="X160" s="26">
        <f>Model!X622/Model!W622-1</f>
        <v>0</v>
      </c>
      <c r="Y160" s="26">
        <f>Model!Y622/Model!X622-1</f>
        <v>1.0856453558504287E-2</v>
      </c>
      <c r="Z160" s="26">
        <f>Model!Z622/Model!Y622-1</f>
        <v>1.3126491646778149E-2</v>
      </c>
      <c r="AA160" s="26">
        <f>Model!AA622/Model!Z622-1</f>
        <v>1.2956419316843437E-2</v>
      </c>
      <c r="AB160" s="26">
        <f>Model!AB622/Model!AA622-1</f>
        <v>2.4418604651162745E-2</v>
      </c>
      <c r="AC160" s="264">
        <v>0.02</v>
      </c>
      <c r="AD160" s="264">
        <v>0.02</v>
      </c>
      <c r="AE160" s="264">
        <v>0.02</v>
      </c>
      <c r="AF160" s="264">
        <v>8.0000000000000002E-3</v>
      </c>
      <c r="AG160" s="264">
        <v>7.4999999999999997E-3</v>
      </c>
      <c r="AH160" s="264">
        <v>7.4999999999999997E-3</v>
      </c>
      <c r="AI160" s="264">
        <v>8.0000000000000002E-3</v>
      </c>
      <c r="AJ160" s="264"/>
      <c r="AK160" s="264"/>
      <c r="AL160" s="264"/>
      <c r="AM160" s="264"/>
      <c r="AN160" s="264"/>
      <c r="AO160" s="264"/>
      <c r="AP160" s="264"/>
      <c r="AQ160" s="264"/>
      <c r="AR160" s="70"/>
      <c r="AS160" s="364"/>
      <c r="AT160" s="362" t="s">
        <v>10</v>
      </c>
      <c r="AU160" s="60" t="s">
        <v>229</v>
      </c>
      <c r="AV160" s="26">
        <f>Model!AV622/Model!AU622-1</f>
        <v>5.4675716440422351E-2</v>
      </c>
      <c r="AW160" s="26">
        <f>Model!AW622/Model!AV622-1</f>
        <v>9.1169109760457667E-2</v>
      </c>
      <c r="AX160" s="26">
        <f>Model!AX622/Model!AW622-1</f>
        <v>3.1127129750982974E-2</v>
      </c>
      <c r="AY160" s="26">
        <f>Model!AY622/Model!AX622-1</f>
        <v>4.4804575786463241E-2</v>
      </c>
      <c r="AZ160" s="26">
        <f>Model!AZ622/Model!AY622-1</f>
        <v>2.6763990267639981E-2</v>
      </c>
      <c r="BA160" s="26">
        <f>Model!BA622/Model!AZ622-1</f>
        <v>7.5573651658767727E-2</v>
      </c>
      <c r="BB160" s="26">
        <f>Model!BB622/Model!BA622-1</f>
        <v>5.0005504109762455E-2</v>
      </c>
      <c r="BC160" s="264">
        <v>0.05</v>
      </c>
      <c r="BD160" s="264">
        <v>0.05</v>
      </c>
      <c r="BE160" s="264">
        <v>0.05</v>
      </c>
      <c r="BG160" s="1720"/>
      <c r="BH160" s="1710"/>
    </row>
    <row r="161" spans="1:60" s="72" customFormat="1" x14ac:dyDescent="0.2">
      <c r="A161" s="411"/>
      <c r="B161" s="364"/>
      <c r="C161" s="383" t="s">
        <v>116</v>
      </c>
      <c r="D161" s="64"/>
      <c r="E161" s="64"/>
      <c r="F161" s="64">
        <f>Model!F623/Model!E623-1</f>
        <v>0</v>
      </c>
      <c r="G161" s="64">
        <f>Model!G623/Model!F623-1</f>
        <v>7.7922077922076838E-3</v>
      </c>
      <c r="H161" s="64">
        <f>Model!H623/Model!G623-1</f>
        <v>-2.3195876288659822E-2</v>
      </c>
      <c r="I161" s="64">
        <f>Model!I623/Model!H623-1</f>
        <v>-2.6385224274406371E-2</v>
      </c>
      <c r="J161" s="64">
        <f>Model!J623/Model!I623-1</f>
        <v>1.3550135501354976E-2</v>
      </c>
      <c r="K161" s="64">
        <f>Model!K623/Model!J623-1</f>
        <v>1.6042780748663166E-2</v>
      </c>
      <c r="L161" s="64">
        <f>Model!L623/Model!K623-1</f>
        <v>-2.6315789473684292E-3</v>
      </c>
      <c r="M161" s="64">
        <f>Model!M623/Model!L623-1</f>
        <v>-2.6385224274406704E-3</v>
      </c>
      <c r="N161" s="64">
        <f>Model!N623/Model!M623-1</f>
        <v>-1.851851851851849E-2</v>
      </c>
      <c r="O161" s="64">
        <f>Model!O623/Model!N623-1</f>
        <v>-2.9649595687331498E-2</v>
      </c>
      <c r="P161" s="64">
        <f>Model!P623/Model!O623-1</f>
        <v>8.3333333333333037E-3</v>
      </c>
      <c r="Q161" s="64">
        <f>Model!Q623/Model!P623-1</f>
        <v>3.5812672176308569E-2</v>
      </c>
      <c r="R161" s="64">
        <f>Model!R623/Model!Q623-1</f>
        <v>2.9255319148936199E-2</v>
      </c>
      <c r="S161" s="64">
        <f>Model!S623/Model!R623-1</f>
        <v>1.0335917312661591E-2</v>
      </c>
      <c r="T161" s="64">
        <f>Model!T623/Model!S623-1</f>
        <v>-1.0230179028132946E-2</v>
      </c>
      <c r="U161" s="64">
        <f>Model!U623/Model!T623-1</f>
        <v>1.8087855297157729E-2</v>
      </c>
      <c r="V161" s="64">
        <f>Model!V623/Model!U623-1</f>
        <v>2.5380710659898442E-2</v>
      </c>
      <c r="W161" s="64">
        <f>Model!W623/Model!V623-1</f>
        <v>-4.9504950495049549E-3</v>
      </c>
      <c r="X161" s="64">
        <f>Model!X623/Model!W623-1</f>
        <v>2.4875621890547706E-3</v>
      </c>
      <c r="Y161" s="64">
        <f>Model!Y623/Model!X623-1</f>
        <v>7.4441687344912744E-3</v>
      </c>
      <c r="Z161" s="64">
        <f>Model!Z623/Model!Y623-1</f>
        <v>2.2167487684729092E-2</v>
      </c>
      <c r="AA161" s="64">
        <f>Model!AA623/Model!Z623-1</f>
        <v>1.2048192771084265E-2</v>
      </c>
      <c r="AB161" s="64">
        <f>Model!AB623/Model!AA623-1</f>
        <v>1.1904761904761862E-2</v>
      </c>
      <c r="AC161" s="266">
        <v>5.0000000000000001E-3</v>
      </c>
      <c r="AD161" s="266">
        <v>5.0000000000000001E-3</v>
      </c>
      <c r="AE161" s="266">
        <v>5.0000000000000001E-3</v>
      </c>
      <c r="AF161" s="266">
        <v>5.0000000000000001E-3</v>
      </c>
      <c r="AG161" s="266">
        <v>5.0000000000000001E-3</v>
      </c>
      <c r="AH161" s="266">
        <v>5.0000000000000001E-3</v>
      </c>
      <c r="AI161" s="266">
        <v>5.0000000000000001E-3</v>
      </c>
      <c r="AJ161" s="1750"/>
      <c r="AK161" s="1750"/>
      <c r="AL161" s="1750"/>
      <c r="AM161" s="1750"/>
      <c r="AN161" s="1750"/>
      <c r="AO161" s="1750"/>
      <c r="AP161" s="1750"/>
      <c r="AQ161" s="1750"/>
      <c r="AR161" s="70"/>
      <c r="AS161" s="364"/>
      <c r="AT161" s="383" t="s">
        <v>116</v>
      </c>
      <c r="AU161" s="288" t="s">
        <v>229</v>
      </c>
      <c r="AV161" s="64">
        <f>Model!AV623/Model!AU623-1</f>
        <v>-2.7202072538860089E-2</v>
      </c>
      <c r="AW161" s="64">
        <f>Model!AW623/Model!AV623-1</f>
        <v>-9.320905459387463E-3</v>
      </c>
      <c r="AX161" s="64">
        <f>Model!AX623/Model!AW623-1</f>
        <v>1.9489247311827995E-2</v>
      </c>
      <c r="AY161" s="64">
        <f>Model!AY623/Model!AX623-1</f>
        <v>4.6143704680289943E-2</v>
      </c>
      <c r="AZ161" s="64">
        <f>Model!AZ623/Model!AY623-1</f>
        <v>3.5916824196597252E-2</v>
      </c>
      <c r="BA161" s="64">
        <f>Model!BA623/Model!AZ623-1</f>
        <v>4.1844618689172552E-2</v>
      </c>
      <c r="BB161" s="64">
        <f>Model!BB623/Model!BA623-1</f>
        <v>2.0150500624999568E-2</v>
      </c>
      <c r="BC161" s="266">
        <v>0.02</v>
      </c>
      <c r="BD161" s="266">
        <v>0.02</v>
      </c>
      <c r="BE161" s="266">
        <v>0.02</v>
      </c>
      <c r="BG161" s="1723"/>
      <c r="BH161" s="1710"/>
    </row>
    <row r="162" spans="1:60" s="72" customFormat="1" x14ac:dyDescent="0.2">
      <c r="A162" s="411"/>
      <c r="B162" s="364"/>
      <c r="C162" s="362" t="s">
        <v>286</v>
      </c>
      <c r="D162" s="26"/>
      <c r="E162" s="26"/>
      <c r="F162" s="26">
        <f>Model!F624/Model!E624-1</f>
        <v>2.2243713733075543E-2</v>
      </c>
      <c r="G162" s="26">
        <f>Model!G624/Model!F624-1</f>
        <v>-9.4607379375588607E-4</v>
      </c>
      <c r="H162" s="26">
        <f>Model!H624/Model!G624-1</f>
        <v>-1.7992424242424199E-2</v>
      </c>
      <c r="I162" s="26">
        <f>Model!I624/Model!H624-1</f>
        <v>8.6788813886209404E-3</v>
      </c>
      <c r="J162" s="26">
        <f>Model!J624/Model!I624-1</f>
        <v>3.9196940726577534E-2</v>
      </c>
      <c r="K162" s="26">
        <f>Model!K624/Model!J624-1</f>
        <v>3.8638454461821459E-2</v>
      </c>
      <c r="L162" s="26">
        <f>Model!L624/Model!K624-1</f>
        <v>8.8573959255979773E-3</v>
      </c>
      <c r="M162" s="26">
        <f>Model!M624/Model!L624-1</f>
        <v>3.5118525021948788E-3</v>
      </c>
      <c r="N162" s="26">
        <f>Model!N624/Model!M624-1</f>
        <v>-5.2493438320210251E-3</v>
      </c>
      <c r="O162" s="26">
        <f>Model!O624/Model!N624-1</f>
        <v>-1.4072119613016687E-2</v>
      </c>
      <c r="P162" s="26">
        <f>Model!P624/Model!O624-1</f>
        <v>8.0285459411240101E-3</v>
      </c>
      <c r="Q162" s="26">
        <f>Model!Q624/Model!P624-1</f>
        <v>2.9203539823008828E-2</v>
      </c>
      <c r="R162" s="26">
        <f>Model!R624/Model!Q624-1</f>
        <v>1.9776440240756754E-2</v>
      </c>
      <c r="S162" s="26">
        <f>Model!S624/Model!R624-1</f>
        <v>-8.4317032040470696E-4</v>
      </c>
      <c r="T162" s="26">
        <f>Model!T624/Model!S624-1</f>
        <v>1.0970464135021007E-2</v>
      </c>
      <c r="U162" s="26">
        <f>Model!U624/Model!T624-1</f>
        <v>1.6694490818029983E-2</v>
      </c>
      <c r="V162" s="26">
        <f>Model!V624/Model!U624-1</f>
        <v>8.2101806239738284E-3</v>
      </c>
      <c r="W162" s="26">
        <f>Model!W624/Model!V624-1</f>
        <v>2.4429967426708998E-3</v>
      </c>
      <c r="X162" s="26">
        <f>Model!X624/Model!W624-1</f>
        <v>8.1234768480920039E-4</v>
      </c>
      <c r="Y162" s="26">
        <f>Model!Y624/Model!X624-1</f>
        <v>9.7402597402598268E-3</v>
      </c>
      <c r="Z162" s="26">
        <f>Model!Z624/Model!Y624-1</f>
        <v>1.6077170418006492E-2</v>
      </c>
      <c r="AA162" s="26">
        <f>Model!AA624/Model!Z624-1</f>
        <v>1.2658227848101333E-2</v>
      </c>
      <c r="AB162" s="26">
        <f>Model!AB624/Model!AA624-1</f>
        <v>2.0312499999999956E-2</v>
      </c>
      <c r="AC162" s="26">
        <f>Model!AC624/Model!AB624-1</f>
        <v>1.5118683001531297E-2</v>
      </c>
      <c r="AD162" s="26">
        <f>Model!AD624/Model!AC624-1</f>
        <v>1.5167339873052521E-2</v>
      </c>
      <c r="AE162" s="26">
        <f>Model!AE624/Model!AD624-1</f>
        <v>1.5215741053894005E-2</v>
      </c>
      <c r="AF162" s="26">
        <f>Model!AF624/Model!AE624-1</f>
        <v>7.0527766569408179E-3</v>
      </c>
      <c r="AG162" s="26">
        <f>Model!AG624/Model!AF624-1</f>
        <v>6.7122562310533151E-3</v>
      </c>
      <c r="AH162" s="26">
        <f>Model!AH624/Model!AG624-1</f>
        <v>6.7135960569753017E-3</v>
      </c>
      <c r="AI162" s="26">
        <f>Model!AI624/Model!AH624-1</f>
        <v>7.0579215786867877E-3</v>
      </c>
      <c r="AJ162" s="26"/>
      <c r="AK162" s="26"/>
      <c r="AL162" s="26"/>
      <c r="AM162" s="26"/>
      <c r="AN162" s="26"/>
      <c r="AO162" s="26"/>
      <c r="AP162" s="26"/>
      <c r="AQ162" s="26"/>
      <c r="AR162" s="70"/>
      <c r="AS162" s="364"/>
      <c r="AT162" s="362" t="s">
        <v>286</v>
      </c>
      <c r="AU162" s="60" t="s">
        <v>229</v>
      </c>
      <c r="AV162" s="26">
        <f>Model!AV624/Model!AU624-1</f>
        <v>2.4547187797902659E-2</v>
      </c>
      <c r="AW162" s="26">
        <f>Model!AW624/Model!AV624-1</f>
        <v>5.6059548732263265E-2</v>
      </c>
      <c r="AX162" s="26">
        <f>Model!AX624/Model!AW624-1</f>
        <v>2.7312775330396555E-2</v>
      </c>
      <c r="AY162" s="26">
        <f>Model!AY624/Model!AX624-1</f>
        <v>4.5240137221269405E-2</v>
      </c>
      <c r="AZ162" s="26">
        <f>Model!AZ624/Model!AY624-1</f>
        <v>2.9743589743589816E-2</v>
      </c>
      <c r="BA162" s="26">
        <f>Model!BA624/Model!AZ624-1</f>
        <v>6.4527729307768844E-2</v>
      </c>
      <c r="BB162" s="26">
        <f>Model!BB624/Model!BA624-1</f>
        <v>4.0436622165844094E-2</v>
      </c>
      <c r="BC162" s="26">
        <f>Model!BC624/Model!BB624-1</f>
        <v>4.0572122268786259E-2</v>
      </c>
      <c r="BD162" s="26">
        <f>Model!BD624/Model!BC624-1</f>
        <v>4.0758511514924045E-2</v>
      </c>
      <c r="BE162" s="26">
        <f>Model!BE624/Model!BD624-1</f>
        <v>4.0942838179573116E-2</v>
      </c>
      <c r="BG162" s="23"/>
      <c r="BH162" s="23"/>
    </row>
    <row r="163" spans="1:60" s="72" customFormat="1" x14ac:dyDescent="0.2">
      <c r="A163" s="411"/>
      <c r="B163" s="364"/>
      <c r="C163" s="362"/>
      <c r="D163" s="26"/>
      <c r="E163" s="26"/>
      <c r="F163" s="26"/>
      <c r="G163" s="26"/>
      <c r="H163" s="26"/>
      <c r="I163" s="26"/>
      <c r="J163" s="26"/>
      <c r="K163" s="26"/>
      <c r="L163" s="26"/>
      <c r="M163" s="26"/>
      <c r="N163" s="26"/>
      <c r="O163" s="26"/>
      <c r="P163" s="26"/>
      <c r="Q163" s="26"/>
      <c r="R163" s="26"/>
      <c r="S163" s="26"/>
      <c r="T163" s="26"/>
      <c r="U163" s="26"/>
      <c r="V163" s="26"/>
      <c r="W163" s="26"/>
      <c r="X163" s="26"/>
      <c r="Y163" s="26"/>
      <c r="Z163" s="26"/>
      <c r="AA163" s="26"/>
      <c r="AB163" s="26"/>
      <c r="AC163" s="53"/>
      <c r="AD163" s="53"/>
      <c r="AE163" s="53"/>
      <c r="AF163" s="53"/>
      <c r="AG163" s="53"/>
      <c r="AH163" s="53"/>
      <c r="AI163" s="53"/>
      <c r="AJ163" s="53"/>
      <c r="AK163" s="53"/>
      <c r="AL163" s="53"/>
      <c r="AM163" s="53"/>
      <c r="AN163" s="53"/>
      <c r="AO163" s="53"/>
      <c r="AP163" s="53"/>
      <c r="AQ163" s="53"/>
      <c r="AR163" s="70"/>
      <c r="AS163" s="364"/>
      <c r="AT163" s="362"/>
      <c r="AU163" s="26"/>
      <c r="AV163" s="26"/>
      <c r="AW163" s="26"/>
      <c r="AX163" s="26"/>
      <c r="AY163" s="26"/>
      <c r="AZ163" s="26"/>
      <c r="BA163" s="26"/>
      <c r="BB163" s="26"/>
      <c r="BC163" s="53"/>
      <c r="BD163" s="53"/>
      <c r="BE163" s="53"/>
      <c r="BG163" s="38"/>
      <c r="BH163" s="38"/>
    </row>
    <row r="164" spans="1:60" s="72" customFormat="1" x14ac:dyDescent="0.2">
      <c r="A164" s="411"/>
      <c r="B164" s="315" t="s">
        <v>287</v>
      </c>
      <c r="C164" s="362"/>
      <c r="D164" s="26"/>
      <c r="E164" s="312">
        <f>Model!E473/(Model!E622*1000)*Model!E1</f>
        <v>2.5557222438578369E-2</v>
      </c>
      <c r="F164" s="312">
        <f>Model!F473/(Model!F622*1000)*Model!F1</f>
        <v>2.3301242236024842E-2</v>
      </c>
      <c r="G164" s="312">
        <f>Model!G473/(Model!G622*1000)*Model!G1</f>
        <v>2.3226373340275969E-2</v>
      </c>
      <c r="H164" s="312">
        <f>Model!H473/(Model!H622*1000)*Model!H1</f>
        <v>2.3482776089159069E-2</v>
      </c>
      <c r="I164" s="312">
        <f>Model!I473/(Model!I622*1000)*Model!I1</f>
        <v>2.3520866135341763E-2</v>
      </c>
      <c r="J164" s="312">
        <f>Model!J473/(Model!J622*1000)*Model!J1</f>
        <v>2.1445057625464965E-2</v>
      </c>
      <c r="K164" s="312">
        <f>Model!K473/(Model!K622*1000)*Model!K1</f>
        <v>2.0318976026005686E-2</v>
      </c>
      <c r="L164" s="312">
        <f>Model!L473/(Model!L622*1000)*Model!L1</f>
        <v>2.0619298245614034E-2</v>
      </c>
      <c r="M164" s="312">
        <f>Model!M473/(Model!M622*1000)*Model!M1</f>
        <v>2.0867629102923217E-2</v>
      </c>
      <c r="N164" s="312">
        <f>Model!N473/(Model!N622*1000)*Model!N1</f>
        <v>2.0137359518674083E-2</v>
      </c>
      <c r="O164" s="312">
        <f>Model!O473/(Model!O622*1000)*Model!O1</f>
        <v>2.0248814488944753E-2</v>
      </c>
      <c r="P164" s="312">
        <f>Model!P473/(Model!P622*1000)*Model!P1</f>
        <v>1.9246704331450093E-2</v>
      </c>
      <c r="Q164" s="312">
        <f>Model!Q473/(Model!Q622*1000)*Model!Q1</f>
        <v>1.9214013432564892E-2</v>
      </c>
      <c r="R164" s="312">
        <f>Model!R473/(Model!R622*1000)*Model!R1</f>
        <v>1.8491320672579852E-2</v>
      </c>
      <c r="S164" s="312">
        <f>Model!S473/(Model!S622*1000)*Model!S1</f>
        <v>1.9137416493264701E-2</v>
      </c>
      <c r="T164" s="312">
        <f>Model!T473/(Model!T622*1000)*Model!T1</f>
        <v>1.8875028793647781E-2</v>
      </c>
      <c r="U164" s="312">
        <f>Model!U473/(Model!U622*1000)*Model!U1</f>
        <v>1.9514403072655499E-2</v>
      </c>
      <c r="V164" s="312">
        <f>Model!V473/(Model!V622*1000)*Model!V1</f>
        <v>1.9176762346981849E-2</v>
      </c>
      <c r="W164" s="312">
        <f>Model!W473/(Model!W622*1000)*Model!W1</f>
        <v>1.928184821943672E-2</v>
      </c>
      <c r="X164" s="312">
        <f>Model!X473/(Model!X622*1000)*Model!X1</f>
        <v>2.0625117276504488E-2</v>
      </c>
      <c r="Y164" s="312">
        <f>Model!Y473/(Model!Y622*1000)*Model!Y1</f>
        <v>2.0160245482441188E-2</v>
      </c>
      <c r="Z164" s="312">
        <f>Model!Z473/(Model!Z622*1000)*Model!Z1</f>
        <v>2.0421083627797407E-2</v>
      </c>
      <c r="AA164" s="312">
        <f>Model!AA473/(Model!AA622*1000)*Model!AA1</f>
        <v>2.0630434782608693E-2</v>
      </c>
      <c r="AB164" s="312">
        <f>Model!AB473/(Model!AB622*1000)*Model!AB1</f>
        <v>2.0880817253121454E-2</v>
      </c>
      <c r="AC164" s="311">
        <v>2.0899999999999998E-2</v>
      </c>
      <c r="AD164" s="311">
        <v>2.0899999999999998E-2</v>
      </c>
      <c r="AE164" s="311">
        <v>2.1000000000000001E-2</v>
      </c>
      <c r="AF164" s="311">
        <v>2.12E-2</v>
      </c>
      <c r="AG164" s="311">
        <v>2.1399999999999999E-2</v>
      </c>
      <c r="AH164" s="311">
        <v>2.1399999999999999E-2</v>
      </c>
      <c r="AI164" s="311">
        <v>2.1399999999999999E-2</v>
      </c>
      <c r="AJ164" s="311"/>
      <c r="AK164" s="311"/>
      <c r="AL164" s="311"/>
      <c r="AM164" s="311"/>
      <c r="AN164" s="311"/>
      <c r="AO164" s="311"/>
      <c r="AP164" s="311"/>
      <c r="AQ164" s="311"/>
      <c r="AR164" s="70"/>
      <c r="AS164" s="315" t="s">
        <v>287</v>
      </c>
      <c r="AT164" s="362"/>
      <c r="AU164" s="312">
        <f>Model!AU473/(Model!AU622*1000)*Model!AU1</f>
        <v>2.4075414781297134E-2</v>
      </c>
      <c r="AV164" s="312">
        <f>Model!AV473/(Model!AV622*1000)*Model!AV1</f>
        <v>2.212370396853772E-2</v>
      </c>
      <c r="AW164" s="312">
        <f>Model!AW473/(Model!AW622*1000)*Model!AW1</f>
        <v>2.0466579292267365E-2</v>
      </c>
      <c r="AX164" s="312">
        <f>Model!AX473/(Model!AX622*1000)*Model!AX1</f>
        <v>1.9020019065776932E-2</v>
      </c>
      <c r="AY164" s="312">
        <f>Model!AY473/(Model!AY622*1000)*Model!AY1</f>
        <v>1.9214111922141119E-2</v>
      </c>
      <c r="AZ164" s="312">
        <f>Model!AZ473/(Model!AZ622*1000)*Model!AZ1</f>
        <v>2.0462085308056873E-2</v>
      </c>
      <c r="BA164" s="312">
        <f>Model!BA473/(Model!BA622*1000)*Model!BA1</f>
        <v>2.0925325590522768E-2</v>
      </c>
      <c r="BB164" s="312">
        <f>Model!BB473/(Model!BB622*1000)*Model!BB1</f>
        <v>2.135279589803071E-2</v>
      </c>
      <c r="BC164" s="311">
        <v>2.1499999999999998E-2</v>
      </c>
      <c r="BD164" s="311">
        <v>2.1499999999999998E-2</v>
      </c>
      <c r="BE164" s="311">
        <v>2.1499999999999998E-2</v>
      </c>
      <c r="BG164" s="1713"/>
      <c r="BH164" s="1710"/>
    </row>
    <row r="165" spans="1:60" s="72" customFormat="1" x14ac:dyDescent="0.2">
      <c r="A165" s="411"/>
      <c r="B165" s="364"/>
      <c r="C165" s="362"/>
      <c r="D165" s="26"/>
      <c r="E165" s="26"/>
      <c r="F165" s="26"/>
      <c r="G165" s="26"/>
      <c r="H165" s="26"/>
      <c r="I165" s="26"/>
      <c r="J165" s="26"/>
      <c r="K165" s="26"/>
      <c r="L165" s="26"/>
      <c r="M165" s="26"/>
      <c r="N165" s="26"/>
      <c r="O165" s="26"/>
      <c r="P165" s="26"/>
      <c r="Q165" s="26"/>
      <c r="R165" s="26"/>
      <c r="S165" s="26"/>
      <c r="T165" s="26"/>
      <c r="U165" s="26"/>
      <c r="V165" s="26"/>
      <c r="W165" s="26"/>
      <c r="X165" s="26"/>
      <c r="Y165" s="26"/>
      <c r="Z165" s="26"/>
      <c r="AA165" s="26"/>
      <c r="AB165" s="26"/>
      <c r="AC165" s="53"/>
      <c r="AD165" s="53"/>
      <c r="AE165" s="53"/>
      <c r="AF165" s="53"/>
      <c r="AG165" s="53"/>
      <c r="AH165" s="53"/>
      <c r="AI165" s="53"/>
      <c r="AJ165" s="53"/>
      <c r="AK165" s="53"/>
      <c r="AL165" s="53"/>
      <c r="AM165" s="53"/>
      <c r="AN165" s="53"/>
      <c r="AO165" s="53"/>
      <c r="AP165" s="53"/>
      <c r="AQ165" s="53"/>
      <c r="AR165" s="70"/>
      <c r="AS165" s="364"/>
      <c r="AT165" s="362"/>
      <c r="AU165" s="26"/>
      <c r="AV165" s="26"/>
      <c r="AW165" s="26"/>
      <c r="AX165" s="26"/>
      <c r="AY165" s="26"/>
      <c r="AZ165" s="26"/>
      <c r="BA165" s="26"/>
      <c r="BB165" s="26"/>
      <c r="BC165" s="53"/>
      <c r="BD165" s="53"/>
      <c r="BE165" s="53"/>
      <c r="BG165" s="38"/>
      <c r="BH165" s="38"/>
    </row>
    <row r="166" spans="1:60" s="72" customFormat="1" x14ac:dyDescent="0.2">
      <c r="A166" s="411"/>
      <c r="B166" s="364" t="s">
        <v>948</v>
      </c>
      <c r="C166" s="362"/>
      <c r="D166" s="26"/>
      <c r="E166" s="26"/>
      <c r="F166" s="26"/>
      <c r="G166" s="26"/>
      <c r="H166" s="26"/>
      <c r="I166" s="26"/>
      <c r="J166" s="26"/>
      <c r="K166" s="26"/>
      <c r="L166" s="26"/>
      <c r="M166" s="26"/>
      <c r="N166" s="26"/>
      <c r="O166" s="26"/>
      <c r="P166" s="26"/>
      <c r="Q166" s="26"/>
      <c r="R166" s="26"/>
      <c r="S166" s="26"/>
      <c r="T166" s="26"/>
      <c r="U166" s="26"/>
      <c r="V166" s="26"/>
      <c r="W166" s="26"/>
      <c r="X166" s="26"/>
      <c r="Y166" s="26"/>
      <c r="Z166" s="26"/>
      <c r="AA166" s="26"/>
      <c r="AB166" s="26"/>
      <c r="AC166" s="53"/>
      <c r="AD166" s="53"/>
      <c r="AE166" s="53"/>
      <c r="AF166" s="53"/>
      <c r="AG166" s="53"/>
      <c r="AH166" s="53"/>
      <c r="AI166" s="53"/>
      <c r="AJ166" s="53"/>
      <c r="AK166" s="53"/>
      <c r="AL166" s="53"/>
      <c r="AM166" s="53"/>
      <c r="AN166" s="53"/>
      <c r="AO166" s="53"/>
      <c r="AP166" s="53"/>
      <c r="AQ166" s="53"/>
      <c r="AR166" s="70"/>
      <c r="AS166" s="364" t="s">
        <v>948</v>
      </c>
      <c r="AT166" s="362"/>
      <c r="AU166" s="26"/>
      <c r="AV166" s="26"/>
      <c r="AW166" s="26"/>
      <c r="AX166" s="26"/>
      <c r="AY166" s="26"/>
      <c r="AZ166" s="26"/>
      <c r="BA166" s="26"/>
      <c r="BB166" s="26"/>
      <c r="BC166" s="53"/>
      <c r="BD166" s="53"/>
      <c r="BE166" s="53"/>
      <c r="BG166" s="38"/>
      <c r="BH166" s="38"/>
    </row>
    <row r="167" spans="1:60" s="72" customFormat="1" x14ac:dyDescent="0.2">
      <c r="A167" s="411"/>
      <c r="B167" s="364"/>
      <c r="C167" s="362" t="s">
        <v>10</v>
      </c>
      <c r="D167" s="26"/>
      <c r="E167" s="26"/>
      <c r="F167" s="26"/>
      <c r="G167" s="26"/>
      <c r="H167" s="26">
        <f>Model!H473/Model!D473-1</f>
        <v>-4.7976011994003032E-2</v>
      </c>
      <c r="I167" s="26">
        <f>Model!I473/Model!E473-1</f>
        <v>-3.7342386032977681E-2</v>
      </c>
      <c r="J167" s="26">
        <f>Model!J473/Model!F473-1</f>
        <v>-2.083333333333337E-2</v>
      </c>
      <c r="K167" s="26">
        <f>Model!K473/Model!G473-1</f>
        <v>-1.6410256410256396E-2</v>
      </c>
      <c r="L167" s="26">
        <f>Model!L473/Model!H473-1</f>
        <v>1.4173228346456623E-2</v>
      </c>
      <c r="M167" s="26">
        <f>Model!M473/Model!I473-1</f>
        <v>2.5188916876575096E-3</v>
      </c>
      <c r="N167" s="26">
        <f>Model!N473/Model!J473-1</f>
        <v>8.8220031136481136E-3</v>
      </c>
      <c r="O167" s="26">
        <f>Model!O473/Model!K473-1</f>
        <v>1.2513034410844615E-2</v>
      </c>
      <c r="P167" s="26">
        <f>Model!P473/Model!L473-1</f>
        <v>-5.7971014492753659E-2</v>
      </c>
      <c r="Q167" s="26">
        <f>Model!Q473/Model!M473-1</f>
        <v>-5.2763819095477338E-2</v>
      </c>
      <c r="R167" s="26">
        <f>Model!R473/Model!N473-1</f>
        <v>-4.2181069958847739E-2</v>
      </c>
      <c r="S167" s="26">
        <f>Model!S473/Model!O473-1</f>
        <v>-1.3903192584963975E-2</v>
      </c>
      <c r="T167" s="26">
        <f>Model!T473/Model!P473-1</f>
        <v>4.5604395604395664E-2</v>
      </c>
      <c r="U167" s="26">
        <f>Model!U473/Model!Q473-1</f>
        <v>6.0477453580901841E-2</v>
      </c>
      <c r="V167" s="26">
        <f>Model!V473/Model!R473-1</f>
        <v>6.6595059076262064E-2</v>
      </c>
      <c r="W167" s="26">
        <f>Model!W473/Model!S473-1</f>
        <v>4.9086161879895451E-2</v>
      </c>
      <c r="X167" s="26">
        <f>Model!X473/Model!T473-1</f>
        <v>0.10772464529689962</v>
      </c>
      <c r="Y167" s="26">
        <f>Model!Y473/Model!U473-1</f>
        <v>5.3526763381690934E-2</v>
      </c>
      <c r="Z167" s="26">
        <f>Model!Z473/Model!V473-1</f>
        <v>0.10020140986908355</v>
      </c>
      <c r="AA167" s="26">
        <f>Model!AA473/Model!W473-1</f>
        <v>0.11299153807864615</v>
      </c>
      <c r="AB167" s="26">
        <f>Model!AB473/Model!X473-1</f>
        <v>7.5901328273244806E-2</v>
      </c>
      <c r="AC167" s="26">
        <f>Model!AC473/Model!Y473-1</f>
        <v>0.11168701166920347</v>
      </c>
      <c r="AD167" s="26">
        <f>Model!AD473/Model!Z473-1</f>
        <v>0.10493330410958901</v>
      </c>
      <c r="AE167" s="26">
        <f>Model!AE473/Model!AA473-1</f>
        <v>0.10659546593476632</v>
      </c>
      <c r="AF167" s="26">
        <f>Model!AF473/Model!AB473-1</f>
        <v>8.6048989457534253E-2</v>
      </c>
      <c r="AG167" s="26">
        <f>Model!AG473/Model!AC473-1</f>
        <v>8.1865863808612493E-2</v>
      </c>
      <c r="AH167" s="26">
        <f>Model!AH473/Model!AD473-1</f>
        <v>6.860770371291891E-2</v>
      </c>
      <c r="AI167" s="26">
        <f>Model!AI473/Model!AE473-1</f>
        <v>5.1007106240000155E-2</v>
      </c>
      <c r="AJ167" s="26"/>
      <c r="AK167" s="26"/>
      <c r="AL167" s="26"/>
      <c r="AM167" s="26"/>
      <c r="AN167" s="26"/>
      <c r="AO167" s="26"/>
      <c r="AP167" s="26"/>
      <c r="AQ167" s="26"/>
      <c r="AR167" s="70"/>
      <c r="AS167" s="364"/>
      <c r="AT167" s="362" t="s">
        <v>10</v>
      </c>
      <c r="AU167" s="26"/>
      <c r="AV167" s="26">
        <f>Model!AV473/Model!AU473-1</f>
        <v>-3.0823205112141316E-2</v>
      </c>
      <c r="AW167" s="26">
        <f>Model!AW473/Model!AV473-1</f>
        <v>9.4376212023270512E-3</v>
      </c>
      <c r="AX167" s="26">
        <f>Model!AX473/Model!AW473-1</f>
        <v>-4.1752049180327822E-2</v>
      </c>
      <c r="AY167" s="26">
        <f>Model!AY473/Model!AX473-1</f>
        <v>5.5466452820101653E-2</v>
      </c>
      <c r="AZ167" s="26">
        <f>Model!AZ473/Model!AY473-1</f>
        <v>9.3453210079777138E-2</v>
      </c>
      <c r="BA167" s="26">
        <f>Model!BA473/Model!AZ473-1</f>
        <v>9.9923517994780831E-2</v>
      </c>
      <c r="BB167" s="26">
        <f>Model!BB473/Model!BA473-1</f>
        <v>7.1455405750963985E-2</v>
      </c>
      <c r="BC167" s="26">
        <f>Model!BC473/Model!BB473-1</f>
        <v>5.7238598064903057E-2</v>
      </c>
      <c r="BD167" s="26">
        <f>Model!BD473/Model!BC473-1</f>
        <v>4.9999999999999822E-2</v>
      </c>
      <c r="BE167" s="26">
        <f>Model!BE473/Model!BD473-1</f>
        <v>5.0000000000000266E-2</v>
      </c>
      <c r="BG167" s="23"/>
      <c r="BH167" s="23"/>
    </row>
    <row r="168" spans="1:60" s="72" customFormat="1" x14ac:dyDescent="0.2">
      <c r="A168" s="411"/>
      <c r="B168" s="364"/>
      <c r="C168" s="362" t="s">
        <v>261</v>
      </c>
      <c r="D168" s="26"/>
      <c r="E168" s="26"/>
      <c r="F168" s="26"/>
      <c r="G168" s="26"/>
      <c r="H168" s="26">
        <f>Model!H474/Model!D474-1</f>
        <v>-7.0707070707070718E-2</v>
      </c>
      <c r="I168" s="26">
        <f>Model!I474/Model!E474-1</f>
        <v>-3.5320088300220709E-2</v>
      </c>
      <c r="J168" s="26">
        <f>Model!J474/Model!F474-1</f>
        <v>-0.10869565217391308</v>
      </c>
      <c r="K168" s="26">
        <f>Model!K474/Model!G474-1</f>
        <v>2.1531100478468845E-2</v>
      </c>
      <c r="L168" s="26">
        <f>Model!L474/Model!H474-1</f>
        <v>0.22554347826086962</v>
      </c>
      <c r="M168" s="26">
        <f>Model!M474/Model!I474-1</f>
        <v>0.12128146453089239</v>
      </c>
      <c r="N168" s="26">
        <f>Model!N474/Model!J474-1</f>
        <v>0.1682926829268292</v>
      </c>
      <c r="O168" s="26">
        <f>Model!O474/Model!K474-1</f>
        <v>9.133489461358324E-2</v>
      </c>
      <c r="P168" s="26">
        <f>Model!P474/Model!L474-1</f>
        <v>6.4301552106430071E-2</v>
      </c>
      <c r="Q168" s="26">
        <f>Model!Q474/Model!M474-1</f>
        <v>-2.6530612244897944E-2</v>
      </c>
      <c r="R168" s="26">
        <f>Model!R474/Model!N474-1</f>
        <v>-8.7682672233820425E-2</v>
      </c>
      <c r="S168" s="26">
        <f>Model!S474/Model!O474-1</f>
        <v>-7.0815450643776812E-2</v>
      </c>
      <c r="T168" s="26">
        <f>Model!T474/Model!P474-1</f>
        <v>-6.6666666666666652E-2</v>
      </c>
      <c r="U168" s="26">
        <f>Model!U474/Model!Q474-1</f>
        <v>-0.1970649895178197</v>
      </c>
      <c r="V168" s="26">
        <f>Model!V474/Model!R474-1</f>
        <v>4.5766590389015871E-3</v>
      </c>
      <c r="W168" s="26">
        <f>Model!W474/Model!S474-1</f>
        <v>3.4642032332563577E-2</v>
      </c>
      <c r="X168" s="26">
        <f>Model!X474/Model!T474-1</f>
        <v>-2.2321428571428603E-2</v>
      </c>
      <c r="Y168" s="26">
        <f>Model!Y474/Model!U474-1</f>
        <v>0.25587467362924277</v>
      </c>
      <c r="Z168" s="26">
        <f>Model!Z474/Model!V474-1</f>
        <v>0.15261958997722092</v>
      </c>
      <c r="AA168" s="26">
        <f>Model!AA474/Model!W474-1</f>
        <v>0.14508928571428581</v>
      </c>
      <c r="AB168" s="26">
        <f>Model!AB474/Model!X474-1</f>
        <v>0.18949771689497719</v>
      </c>
      <c r="AC168" s="26">
        <f>Model!AC474/Model!Y474-1</f>
        <v>0.11120710847834148</v>
      </c>
      <c r="AD168" s="26">
        <f>Model!AD474/Model!Z474-1</f>
        <v>8.3932024906600233E-2</v>
      </c>
      <c r="AE168" s="26">
        <f>Model!AE474/Model!AA474-1</f>
        <v>8.5178652381638909E-2</v>
      </c>
      <c r="AF168" s="26">
        <f>Model!AF474/Model!AB474-1</f>
        <v>6.6192780356953085E-2</v>
      </c>
      <c r="AG168" s="26">
        <f>Model!AG474/Model!AC474-1</f>
        <v>7.1846089999999752E-2</v>
      </c>
      <c r="AH168" s="26">
        <f>Model!AH474/Model!AD474-1</f>
        <v>8.2406149999999956E-2</v>
      </c>
      <c r="AI168" s="26">
        <f>Model!AI474/Model!AE474-1</f>
        <v>9.3070250000000021E-2</v>
      </c>
      <c r="AJ168" s="26"/>
      <c r="AK168" s="26"/>
      <c r="AL168" s="26"/>
      <c r="AM168" s="26"/>
      <c r="AN168" s="26"/>
      <c r="AO168" s="26"/>
      <c r="AP168" s="26"/>
      <c r="AQ168" s="26"/>
      <c r="AR168" s="70"/>
      <c r="AS168" s="364"/>
      <c r="AT168" s="362" t="s">
        <v>261</v>
      </c>
      <c r="AU168" s="26"/>
      <c r="AV168" s="26">
        <f>Model!AV474/Model!AU474-1</f>
        <v>-4.9218297625940988E-2</v>
      </c>
      <c r="AW168" s="26">
        <f>Model!AW474/Model!AV474-1</f>
        <v>0.14859926918392197</v>
      </c>
      <c r="AX168" s="26">
        <f>Model!AX474/Model!AW474-1</f>
        <v>-3.1283138918345665E-2</v>
      </c>
      <c r="AY168" s="26">
        <f>Model!AY474/Model!AX474-1</f>
        <v>-5.9660645867542383E-2</v>
      </c>
      <c r="AZ168" s="26">
        <f>Model!AZ474/Model!AY474-1</f>
        <v>0.12805587892898718</v>
      </c>
      <c r="BA168" s="26">
        <f>Model!BA474/Model!AZ474-1</f>
        <v>0.11489002706532658</v>
      </c>
      <c r="BB168" s="26">
        <f>Model!BB474/Model!BA474-1</f>
        <v>7.863195060496686E-2</v>
      </c>
      <c r="BC168" s="26">
        <f>Model!BC474/Model!BB474-1</f>
        <v>8.7019495852115103E-2</v>
      </c>
      <c r="BD168" s="26">
        <f>Model!BD474/Model!BC474-1</f>
        <v>7.0000000000000062E-2</v>
      </c>
      <c r="BE168" s="26">
        <f>Model!BE474/Model!BD474-1</f>
        <v>5.9999999999999831E-2</v>
      </c>
      <c r="BG168" s="23"/>
      <c r="BH168" s="23"/>
    </row>
    <row r="169" spans="1:60" s="72" customFormat="1" x14ac:dyDescent="0.2">
      <c r="A169" s="411"/>
      <c r="B169" s="364"/>
      <c r="C169" s="362" t="s">
        <v>15</v>
      </c>
      <c r="D169" s="26"/>
      <c r="E169" s="26"/>
      <c r="F169" s="26"/>
      <c r="G169" s="26"/>
      <c r="H169" s="26">
        <f>Model!H475/Model!D475-1</f>
        <v>4.991680532445919E-2</v>
      </c>
      <c r="I169" s="26">
        <f>Model!I475/Model!E475-1</f>
        <v>8.9225589225589319E-2</v>
      </c>
      <c r="J169" s="26">
        <f>Model!J475/Model!F475-1</f>
        <v>6.5359477124182774E-3</v>
      </c>
      <c r="K169" s="26">
        <f>Model!K475/Model!G475-1</f>
        <v>5.008347245408995E-3</v>
      </c>
      <c r="L169" s="26">
        <f>Model!L475/Model!H475-1</f>
        <v>6.3391442155309008E-2</v>
      </c>
      <c r="M169" s="26">
        <f>Model!M475/Model!I475-1</f>
        <v>1.8547140649149974E-2</v>
      </c>
      <c r="N169" s="26">
        <f>Model!N475/Model!J475-1</f>
        <v>7.9545454545454586E-2</v>
      </c>
      <c r="O169" s="26">
        <f>Model!O475/Model!K475-1</f>
        <v>0.11129568106312293</v>
      </c>
      <c r="P169" s="26">
        <f>Model!P475/Model!L475-1</f>
        <v>5.9612518628913147E-3</v>
      </c>
      <c r="Q169" s="26">
        <f>Model!Q475/Model!M475-1</f>
        <v>1.5174506828528056E-2</v>
      </c>
      <c r="R169" s="26">
        <f>Model!R475/Model!N475-1</f>
        <v>-4.8120300751879674E-2</v>
      </c>
      <c r="S169" s="26">
        <f>Model!S475/Model!O475-1</f>
        <v>-9.5665171898355772E-2</v>
      </c>
      <c r="T169" s="26">
        <f>Model!T475/Model!P475-1</f>
        <v>1.3333333333333419E-2</v>
      </c>
      <c r="U169" s="26">
        <f>Model!U475/Model!Q475-1</f>
        <v>7.4738415545589909E-3</v>
      </c>
      <c r="V169" s="26">
        <f>Model!V475/Model!R475-1</f>
        <v>7.4249605055292323E-2</v>
      </c>
      <c r="W169" s="26">
        <f>Model!W475/Model!S475-1</f>
        <v>0.10909090909090913</v>
      </c>
      <c r="X169" s="26">
        <f>Model!X475/Model!T475-1</f>
        <v>9.5029239766081908E-2</v>
      </c>
      <c r="Y169" s="26">
        <f>Model!Y475/Model!U475-1</f>
        <v>0.17655786350148372</v>
      </c>
      <c r="Z169" s="26">
        <f>Model!Z475/Model!V475-1</f>
        <v>0.16176470588235303</v>
      </c>
      <c r="AA169" s="26">
        <f>Model!AA475/Model!W475-1</f>
        <v>0.15648286140089418</v>
      </c>
      <c r="AB169" s="26">
        <f>Model!AB475/Model!X475-1</f>
        <v>0.20694259012016025</v>
      </c>
      <c r="AC169" s="26">
        <f>Model!AC475/Model!Y475-1</f>
        <v>0.10577553593947031</v>
      </c>
      <c r="AD169" s="26">
        <f>Model!AD475/Model!Z475-1</f>
        <v>0.10997468354430384</v>
      </c>
      <c r="AE169" s="26">
        <f>Model!AE475/Model!AA475-1</f>
        <v>0.14129999999999998</v>
      </c>
      <c r="AF169" s="26">
        <f>Model!AF475/Model!AB475-1</f>
        <v>4.8279000000000183E-2</v>
      </c>
      <c r="AG169" s="26">
        <f>Model!AG475/Model!AC475-1</f>
        <v>4.8279000000000183E-2</v>
      </c>
      <c r="AH169" s="26">
        <f>Model!AH475/Model!AD475-1</f>
        <v>4.8279000000000183E-2</v>
      </c>
      <c r="AI169" s="26">
        <f>Model!AI475/Model!AE475-1</f>
        <v>4.8279000000000183E-2</v>
      </c>
      <c r="AJ169" s="26"/>
      <c r="AK169" s="26"/>
      <c r="AL169" s="26"/>
      <c r="AM169" s="26"/>
      <c r="AN169" s="26"/>
      <c r="AO169" s="26"/>
      <c r="AP169" s="26"/>
      <c r="AQ169" s="26"/>
      <c r="AR169" s="70"/>
      <c r="AS169" s="364"/>
      <c r="AT169" s="362" t="s">
        <v>15</v>
      </c>
      <c r="AU169" s="26"/>
      <c r="AV169" s="26">
        <f>Model!AV475/Model!AU475-1</f>
        <v>3.7406483790523692E-2</v>
      </c>
      <c r="AW169" s="26">
        <f>Model!AW475/Model!AV475-1</f>
        <v>6.7307692307692291E-2</v>
      </c>
      <c r="AX169" s="26">
        <f>Model!AX475/Model!AW475-1</f>
        <v>-3.0780780780780725E-2</v>
      </c>
      <c r="AY169" s="26">
        <f>Model!AY475/Model!AX475-1</f>
        <v>4.9186676994577905E-2</v>
      </c>
      <c r="AZ169" s="26">
        <f>Model!AZ475/Model!AY475-1</f>
        <v>0.1472868217054264</v>
      </c>
      <c r="BA169" s="26">
        <f>Model!BA475/Model!AZ475-1</f>
        <v>0.14009292149292163</v>
      </c>
      <c r="BB169" s="26">
        <f>Model!BB475/Model!BA475-1</f>
        <v>4.8279000000000183E-2</v>
      </c>
      <c r="BC169" s="26">
        <f>Model!BC475/Model!BB475-1</f>
        <v>5.0000000000000044E-2</v>
      </c>
      <c r="BD169" s="26">
        <f>Model!BD475/Model!BC475-1</f>
        <v>5.0000000000000044E-2</v>
      </c>
      <c r="BE169" s="26">
        <f>Model!BE475/Model!BD475-1</f>
        <v>5.0000000000000044E-2</v>
      </c>
      <c r="BG169" s="23"/>
      <c r="BH169" s="23"/>
    </row>
    <row r="170" spans="1:60" s="72" customFormat="1" x14ac:dyDescent="0.2">
      <c r="A170" s="411"/>
      <c r="B170" s="364"/>
      <c r="C170" s="362"/>
      <c r="D170" s="26"/>
      <c r="E170" s="26"/>
      <c r="F170" s="26"/>
      <c r="G170" s="26"/>
      <c r="H170" s="26"/>
      <c r="I170" s="26"/>
      <c r="J170" s="26"/>
      <c r="K170" s="26"/>
      <c r="L170" s="26"/>
      <c r="M170" s="26"/>
      <c r="N170" s="26"/>
      <c r="O170" s="26"/>
      <c r="P170" s="26"/>
      <c r="Q170" s="26"/>
      <c r="R170" s="26"/>
      <c r="S170" s="26"/>
      <c r="T170" s="26"/>
      <c r="U170" s="26"/>
      <c r="V170" s="26"/>
      <c r="W170" s="26"/>
      <c r="X170" s="26"/>
      <c r="Y170" s="26"/>
      <c r="Z170" s="26"/>
      <c r="AA170" s="26"/>
      <c r="AB170" s="26"/>
      <c r="AC170" s="53"/>
      <c r="AD170" s="53"/>
      <c r="AE170" s="53"/>
      <c r="AF170" s="53"/>
      <c r="AG170" s="53"/>
      <c r="AH170" s="53"/>
      <c r="AI170" s="53"/>
      <c r="AJ170" s="53"/>
      <c r="AK170" s="53"/>
      <c r="AL170" s="53"/>
      <c r="AM170" s="53"/>
      <c r="AN170" s="53"/>
      <c r="AO170" s="53"/>
      <c r="AP170" s="53"/>
      <c r="AQ170" s="53"/>
      <c r="AR170" s="70"/>
      <c r="AS170" s="364"/>
      <c r="AT170" s="362"/>
      <c r="AU170" s="26"/>
      <c r="AV170" s="26"/>
      <c r="AW170" s="26"/>
      <c r="AX170" s="26"/>
      <c r="AY170" s="26"/>
      <c r="AZ170" s="26"/>
      <c r="BA170" s="26"/>
      <c r="BB170" s="26"/>
      <c r="BC170" s="53"/>
      <c r="BD170" s="53"/>
      <c r="BE170" s="53"/>
      <c r="BG170" s="38"/>
      <c r="BH170" s="38"/>
    </row>
    <row r="171" spans="1:60" s="72" customFormat="1" x14ac:dyDescent="0.2">
      <c r="A171" s="411"/>
      <c r="B171" s="364" t="s">
        <v>275</v>
      </c>
      <c r="C171" s="9"/>
      <c r="D171" s="26"/>
      <c r="E171" s="26"/>
      <c r="F171" s="26"/>
      <c r="G171" s="26"/>
      <c r="H171" s="26"/>
      <c r="I171" s="26"/>
      <c r="J171" s="26"/>
      <c r="K171" s="26"/>
      <c r="L171" s="26"/>
      <c r="M171" s="26"/>
      <c r="N171" s="26"/>
      <c r="O171" s="26"/>
      <c r="P171" s="26"/>
      <c r="Q171" s="26"/>
      <c r="R171" s="26"/>
      <c r="S171" s="26"/>
      <c r="T171" s="26"/>
      <c r="U171" s="26"/>
      <c r="V171" s="26"/>
      <c r="W171" s="26"/>
      <c r="X171" s="26"/>
      <c r="Y171" s="26"/>
      <c r="Z171" s="26"/>
      <c r="AA171" s="26"/>
      <c r="AB171" s="26"/>
      <c r="AC171" s="53"/>
      <c r="AD171" s="53"/>
      <c r="AE171" s="53"/>
      <c r="AF171" s="53"/>
      <c r="AG171" s="53"/>
      <c r="AH171" s="53"/>
      <c r="AI171" s="53"/>
      <c r="AJ171" s="53"/>
      <c r="AK171" s="53"/>
      <c r="AL171" s="53"/>
      <c r="AM171" s="53"/>
      <c r="AN171" s="53"/>
      <c r="AO171" s="53"/>
      <c r="AP171" s="53"/>
      <c r="AQ171" s="53"/>
      <c r="AR171" s="70"/>
      <c r="AS171" s="364" t="s">
        <v>275</v>
      </c>
      <c r="AT171" s="9"/>
      <c r="AU171" s="26"/>
      <c r="AV171" s="26"/>
      <c r="AW171" s="26"/>
      <c r="AX171" s="26"/>
      <c r="AY171" s="26"/>
      <c r="AZ171" s="26"/>
      <c r="BA171" s="26"/>
      <c r="BB171" s="26"/>
      <c r="BC171" s="53"/>
      <c r="BD171" s="53"/>
      <c r="BE171" s="53"/>
      <c r="BG171" s="38"/>
      <c r="BH171" s="38"/>
    </row>
    <row r="172" spans="1:60" s="72" customFormat="1" x14ac:dyDescent="0.2">
      <c r="A172" s="411"/>
      <c r="B172" s="364" t="s">
        <v>279</v>
      </c>
      <c r="C172" s="9"/>
      <c r="D172" s="26"/>
      <c r="E172" s="26"/>
      <c r="F172" s="26"/>
      <c r="G172" s="26"/>
      <c r="H172" s="26"/>
      <c r="I172" s="26"/>
      <c r="J172" s="26"/>
      <c r="K172" s="26"/>
      <c r="L172" s="26"/>
      <c r="M172" s="26"/>
      <c r="N172" s="26"/>
      <c r="O172" s="26"/>
      <c r="P172" s="26"/>
      <c r="Q172" s="26"/>
      <c r="R172" s="26"/>
      <c r="S172" s="26"/>
      <c r="T172" s="26"/>
      <c r="U172" s="26"/>
      <c r="V172" s="26"/>
      <c r="W172" s="26"/>
      <c r="X172" s="26"/>
      <c r="Y172" s="26"/>
      <c r="Z172" s="26"/>
      <c r="AA172" s="26"/>
      <c r="AB172" s="26"/>
      <c r="AC172" s="53"/>
      <c r="AD172" s="53"/>
      <c r="AE172" s="53"/>
      <c r="AF172" s="53"/>
      <c r="AG172" s="53"/>
      <c r="AH172" s="53"/>
      <c r="AI172" s="53"/>
      <c r="AJ172" s="53"/>
      <c r="AK172" s="53"/>
      <c r="AL172" s="53"/>
      <c r="AM172" s="53"/>
      <c r="AN172" s="53"/>
      <c r="AO172" s="53"/>
      <c r="AP172" s="53"/>
      <c r="AQ172" s="53"/>
      <c r="AR172" s="70"/>
      <c r="AS172" s="364" t="s">
        <v>279</v>
      </c>
      <c r="AT172" s="9"/>
      <c r="AU172" s="26"/>
      <c r="AV172" s="26"/>
      <c r="AW172" s="26"/>
      <c r="AX172" s="26"/>
      <c r="AY172" s="26"/>
      <c r="AZ172" s="26"/>
      <c r="BA172" s="26"/>
      <c r="BB172" s="26"/>
      <c r="BC172" s="53"/>
      <c r="BD172" s="53"/>
      <c r="BE172" s="53"/>
      <c r="BG172" s="38"/>
      <c r="BH172" s="38"/>
    </row>
    <row r="173" spans="1:60" s="72" customFormat="1" x14ac:dyDescent="0.2">
      <c r="A173" s="411"/>
      <c r="B173" s="364"/>
      <c r="C173" s="9" t="s">
        <v>276</v>
      </c>
      <c r="D173" s="60" t="s">
        <v>229</v>
      </c>
      <c r="E173" s="26">
        <f>Model!E481/Model!D481-1</f>
        <v>-0.39378029079159937</v>
      </c>
      <c r="F173" s="26">
        <f>Model!F481/Model!E481-1</f>
        <v>0.26748834110592945</v>
      </c>
      <c r="G173" s="26">
        <f>Model!G481/Model!F481-1</f>
        <v>-0.24336399474375825</v>
      </c>
      <c r="H173" s="26">
        <f>Model!H481/Model!G481-1</f>
        <v>0.6432789162903787</v>
      </c>
      <c r="I173" s="26">
        <f>Model!I481/Model!H481-1</f>
        <v>-0.25914183047981398</v>
      </c>
      <c r="J173" s="26">
        <f>Model!J481/Model!I481-1</f>
        <v>-0.18573466476462197</v>
      </c>
      <c r="K173" s="26">
        <f>Model!K481/Model!J481-1</f>
        <v>-0.14225648213034336</v>
      </c>
      <c r="L173" s="26">
        <f>Model!L481/Model!K481-1</f>
        <v>0.6008986928104576</v>
      </c>
      <c r="M173" s="26">
        <f>Model!M481/Model!L481-1</f>
        <v>-0.20362337330951774</v>
      </c>
      <c r="N173" s="26">
        <f>Model!N481/Model!M481-1</f>
        <v>-1.8263377122717084E-2</v>
      </c>
      <c r="O173" s="26">
        <f>Model!O481/Model!N481-1</f>
        <v>-0.3244125326370757</v>
      </c>
      <c r="P173" s="26">
        <f>Model!P481/Model!O481-1</f>
        <v>0.68357487922705307</v>
      </c>
      <c r="Q173" s="26">
        <f>Model!Q481/Model!P481-1</f>
        <v>-0.12998565279770447</v>
      </c>
      <c r="R173" s="26">
        <f>Model!R481/Model!Q481-1</f>
        <v>-0.15798153034300788</v>
      </c>
      <c r="S173" s="26">
        <f>Model!S481/Model!R481-1</f>
        <v>-0.1355268311790051</v>
      </c>
      <c r="T173" s="26">
        <f>Model!T481/Model!S481-1</f>
        <v>0.38241957408246496</v>
      </c>
      <c r="U173" s="26">
        <f>Model!U481/Model!T481-1</f>
        <v>0.12487708947885934</v>
      </c>
      <c r="V173" s="26">
        <f>Model!V481/Model!U481-1</f>
        <v>-5.5361305361305568E-3</v>
      </c>
      <c r="W173" s="26">
        <f>Model!W481/Model!V481-1</f>
        <v>-0.1336067975388221</v>
      </c>
      <c r="X173" s="26">
        <f>Model!X481/Model!W481-1</f>
        <v>0.24382820426107532</v>
      </c>
      <c r="Y173" s="26">
        <f>Model!Y481/Model!X481-1</f>
        <v>-0.10984230560087005</v>
      </c>
      <c r="Z173" s="26">
        <f>Model!Z481/Model!Y481-1</f>
        <v>-0.10323762981062923</v>
      </c>
      <c r="AA173" s="26">
        <f>Model!AA481/Model!Z481-1</f>
        <v>-0.16110354223433243</v>
      </c>
      <c r="AB173" s="26">
        <f>Model!AB481/Model!AA481-1</f>
        <v>0.38773853024766547</v>
      </c>
      <c r="AC173" s="26">
        <f>Model!AC481/Model!AB481-1</f>
        <v>3.4499707431246307E-2</v>
      </c>
      <c r="AD173" s="26">
        <f>Model!AD481/Model!AC481-1</f>
        <v>-0.10323762981062923</v>
      </c>
      <c r="AE173" s="26">
        <f>Model!AE481/Model!AD481-1</f>
        <v>-0.16110354223433243</v>
      </c>
      <c r="AF173" s="26">
        <f>Model!AF481/Model!AE481-1</f>
        <v>0.43913625359017172</v>
      </c>
      <c r="AG173" s="26">
        <f>Model!AG481/Model!AF481-1</f>
        <v>1.6026498369974052E-2</v>
      </c>
      <c r="AH173" s="26">
        <f>Model!AH481/Model!AG481-1</f>
        <v>-0.10323762981062912</v>
      </c>
      <c r="AI173" s="26">
        <f>Model!AI481/Model!AH481-1</f>
        <v>-0.16110354223433243</v>
      </c>
      <c r="AJ173" s="26"/>
      <c r="AK173" s="26"/>
      <c r="AL173" s="26"/>
      <c r="AM173" s="26"/>
      <c r="AN173" s="26"/>
      <c r="AO173" s="26"/>
      <c r="AP173" s="26"/>
      <c r="AQ173" s="26"/>
      <c r="AR173" s="70"/>
      <c r="AS173" s="364"/>
      <c r="AT173" s="9" t="s">
        <v>276</v>
      </c>
      <c r="AU173" s="60" t="s">
        <v>229</v>
      </c>
      <c r="AV173" s="26">
        <f>Model!AV481/Model!AU481-1</f>
        <v>-7.5146877988796268E-2</v>
      </c>
      <c r="AW173" s="26">
        <f>Model!AW481/Model!AV481-1</f>
        <v>-0.10075343477618559</v>
      </c>
      <c r="AX173" s="26">
        <f>Model!AX481/Model!AW481-1</f>
        <v>-7.3681616559881702E-2</v>
      </c>
      <c r="AY173" s="26">
        <f>Model!AY481/Model!AX481-1</f>
        <v>0.13975348053560355</v>
      </c>
      <c r="AZ173" s="26">
        <f>Model!AZ481/Model!AY481-1</f>
        <v>-3.9057029487279182E-2</v>
      </c>
      <c r="BA173" s="26">
        <f>Model!BA481/Model!AZ481-1</f>
        <v>3.5125900736782567E-2</v>
      </c>
      <c r="BB173" s="26">
        <f>Model!BB481/Model!BA481-1</f>
        <v>0.10534695780314807</v>
      </c>
      <c r="BC173" s="26">
        <f>Model!BC481/Model!BB481-1</f>
        <v>8.0000000000000071E-2</v>
      </c>
      <c r="BD173" s="26">
        <f>Model!BD481/Model!BC481-1</f>
        <v>7.0000000000000062E-2</v>
      </c>
      <c r="BE173" s="26">
        <f>Model!BE481/Model!BD481-1</f>
        <v>7.0000000000000062E-2</v>
      </c>
      <c r="BG173" s="23"/>
      <c r="BH173" s="23"/>
    </row>
    <row r="174" spans="1:60" s="70" customFormat="1" x14ac:dyDescent="0.2">
      <c r="A174" s="411"/>
      <c r="B174" s="319"/>
      <c r="C174" s="15" t="s">
        <v>277</v>
      </c>
      <c r="D174" s="60" t="s">
        <v>229</v>
      </c>
      <c r="E174" s="26">
        <f>Model!E482/Model!D482-1</f>
        <v>-0.40579710144927539</v>
      </c>
      <c r="F174" s="26">
        <f>Model!F482/Model!E482-1</f>
        <v>-6.3789868667917471E-2</v>
      </c>
      <c r="G174" s="26">
        <f>Model!G482/Model!F482-1</f>
        <v>-0.12825651302605212</v>
      </c>
      <c r="H174" s="26">
        <f>Model!H482/Model!G482-1</f>
        <v>0.85057471264367823</v>
      </c>
      <c r="I174" s="26">
        <f>Model!I482/Model!H482-1</f>
        <v>0.12298136645962732</v>
      </c>
      <c r="J174" s="26">
        <f>Model!J482/Model!I482-1</f>
        <v>-0.23451327433628322</v>
      </c>
      <c r="K174" s="26">
        <f>Model!K482/Model!J482-1</f>
        <v>-0.27167630057803471</v>
      </c>
      <c r="L174" s="26">
        <f>Model!L482/Model!K482-1</f>
        <v>0.75198412698412698</v>
      </c>
      <c r="M174" s="26">
        <f>Model!M482/Model!L482-1</f>
        <v>-0.30917327293318231</v>
      </c>
      <c r="N174" s="26">
        <f>Model!N482/Model!M482-1</f>
        <v>0.23770491803278682</v>
      </c>
      <c r="O174" s="26">
        <f>Model!O482/Model!N482-1</f>
        <v>-0.37350993377483444</v>
      </c>
      <c r="P174" s="26">
        <f>Model!P482/Model!O482-1</f>
        <v>0.82241014799154333</v>
      </c>
      <c r="Q174" s="26">
        <f>Model!Q482/Model!P482-1</f>
        <v>-0.25290023201856149</v>
      </c>
      <c r="R174" s="26">
        <f>Model!R482/Model!Q482-1</f>
        <v>0.54813664596273282</v>
      </c>
      <c r="S174" s="26">
        <f>Model!S482/Model!R482-1</f>
        <v>-0.40020060180541628</v>
      </c>
      <c r="T174" s="26">
        <f>Model!T482/Model!S482-1</f>
        <v>0.16555183946488294</v>
      </c>
      <c r="U174" s="26">
        <f>Model!U482/Model!T482-1</f>
        <v>0.11334289813486365</v>
      </c>
      <c r="V174" s="26">
        <f>Model!V482/Model!U482-1</f>
        <v>-0.15721649484536082</v>
      </c>
      <c r="W174" s="26">
        <f>Model!W482/Model!V482-1</f>
        <v>4.7400611620795008E-2</v>
      </c>
      <c r="X174" s="26">
        <f>Model!X482/Model!W482-1</f>
        <v>0.17080291970802919</v>
      </c>
      <c r="Y174" s="26">
        <f>Model!Y482/Model!X482-1</f>
        <v>-9.60099750623441E-2</v>
      </c>
      <c r="Z174" s="26">
        <f>Model!Z482/Model!Y482-1</f>
        <v>8.2758620689655116E-2</v>
      </c>
      <c r="AA174" s="26">
        <f>Model!AA482/Model!Z482-1</f>
        <v>-0.2777070063694268</v>
      </c>
      <c r="AB174" s="26">
        <f>Model!AB482/Model!AA482-1</f>
        <v>0.94532627865961194</v>
      </c>
      <c r="AC174" s="26">
        <f>Model!AC482/Model!AB482-1</f>
        <v>-0.29669084315503169</v>
      </c>
      <c r="AD174" s="26">
        <f>Model!AD482/Model!AC482-1</f>
        <v>5.2400902352562007E-2</v>
      </c>
      <c r="AE174" s="26">
        <f>Model!AE482/Model!AD482-1</f>
        <v>-0.16658500734933857</v>
      </c>
      <c r="AF174" s="26">
        <f>Model!AF482/Model!AE482-1</f>
        <v>0.37793944738389174</v>
      </c>
      <c r="AG174" s="26">
        <f>Model!AG482/Model!AF482-1</f>
        <v>-0.13120633566209794</v>
      </c>
      <c r="AH174" s="26">
        <f>Model!AH482/Model!AG482-1</f>
        <v>5.2400902352562007E-2</v>
      </c>
      <c r="AI174" s="26">
        <f>Model!AI482/Model!AH482-1</f>
        <v>-0.16658500734933868</v>
      </c>
      <c r="AJ174" s="26"/>
      <c r="AK174" s="26"/>
      <c r="AL174" s="26"/>
      <c r="AM174" s="26"/>
      <c r="AN174" s="26"/>
      <c r="AO174" s="26"/>
      <c r="AP174" s="26"/>
      <c r="AQ174" s="26"/>
      <c r="AS174" s="319"/>
      <c r="AT174" s="15" t="s">
        <v>277</v>
      </c>
      <c r="AU174" s="60" t="s">
        <v>229</v>
      </c>
      <c r="AV174" s="26">
        <f>Model!AV482/Model!AU482-1</f>
        <v>0.228849407783418</v>
      </c>
      <c r="AW174" s="26">
        <f>Model!AW482/Model!AV482-1</f>
        <v>-6.3339070567986266E-2</v>
      </c>
      <c r="AX174" s="26">
        <f>Model!AX482/Model!AW482-1</f>
        <v>0.13965453877251011</v>
      </c>
      <c r="AY174" s="26">
        <f>Model!AY482/Model!AX482-1</f>
        <v>-9.3195743308610135E-2</v>
      </c>
      <c r="AZ174" s="26">
        <f>Model!AZ482/Model!AY482-1</f>
        <v>2.3826458036984244E-2</v>
      </c>
      <c r="BA174" s="26">
        <f>Model!BA482/Model!AZ482-1</f>
        <v>0.17247308093087876</v>
      </c>
      <c r="BB174" s="26">
        <f>Model!BB482/Model!BA482-1</f>
        <v>-1.5352312956407155E-2</v>
      </c>
      <c r="BC174" s="26">
        <f>Model!BC482/Model!BB482-1</f>
        <v>7.0000000000000062E-2</v>
      </c>
      <c r="BD174" s="26">
        <f>Model!BD482/Model!BC482-1</f>
        <v>7.0000000000000062E-2</v>
      </c>
      <c r="BE174" s="26">
        <f>Model!BE482/Model!BD482-1</f>
        <v>7.0000000000000062E-2</v>
      </c>
      <c r="BG174" s="23"/>
      <c r="BH174" s="23"/>
    </row>
    <row r="175" spans="1:60" s="70" customFormat="1" x14ac:dyDescent="0.2">
      <c r="A175" s="411"/>
      <c r="B175" s="319"/>
      <c r="C175" s="15" t="s">
        <v>115</v>
      </c>
      <c r="D175" s="60" t="s">
        <v>229</v>
      </c>
      <c r="E175" s="26">
        <f>Model!E483/Model!D483-1</f>
        <v>-6.3829787234042534E-2</v>
      </c>
      <c r="F175" s="26">
        <f>Model!F483/Model!E483-1</f>
        <v>-1.0330578512396715E-2</v>
      </c>
      <c r="G175" s="26">
        <f>Model!G483/Model!F483-1</f>
        <v>-2.5052192066805867E-2</v>
      </c>
      <c r="H175" s="26">
        <f>Model!H483/Model!G483-1</f>
        <v>5.3533190578158418E-2</v>
      </c>
      <c r="I175" s="26">
        <f>Model!I483/Model!H483-1</f>
        <v>7.5203252032520318E-2</v>
      </c>
      <c r="J175" s="26">
        <f>Model!J483/Model!I483-1</f>
        <v>-9.0737240075614345E-2</v>
      </c>
      <c r="K175" s="26">
        <f>Model!K483/Model!J483-1</f>
        <v>-1.039501039501034E-2</v>
      </c>
      <c r="L175" s="26">
        <f>Model!L483/Model!K483-1</f>
        <v>1.8907563025210017E-2</v>
      </c>
      <c r="M175" s="26">
        <f>Model!M483/Model!L483-1</f>
        <v>7.4226804123711299E-2</v>
      </c>
      <c r="N175" s="26">
        <f>Model!N483/Model!M483-1</f>
        <v>2.6871401151631558E-2</v>
      </c>
      <c r="O175" s="26">
        <f>Model!O483/Model!N483-1</f>
        <v>-4.8598130841121523E-2</v>
      </c>
      <c r="P175" s="26">
        <f>Model!P483/Model!O483-1</f>
        <v>5.1080550098231869E-2</v>
      </c>
      <c r="Q175" s="26">
        <f>Model!Q483/Model!P483-1</f>
        <v>5.2336448598130803E-2</v>
      </c>
      <c r="R175" s="26">
        <f>Model!R483/Model!Q483-1</f>
        <v>-0.10124333925399642</v>
      </c>
      <c r="S175" s="26">
        <f>Model!S483/Model!R483-1</f>
        <v>7.905138339920903E-3</v>
      </c>
      <c r="T175" s="26">
        <f>Model!T483/Model!S483-1</f>
        <v>0.10000000000000009</v>
      </c>
      <c r="U175" s="26">
        <f>Model!U483/Model!T483-1</f>
        <v>-5.7040998217468775E-2</v>
      </c>
      <c r="V175" s="26">
        <f>Model!V483/Model!U483-1</f>
        <v>7.5614366729679361E-3</v>
      </c>
      <c r="W175" s="26">
        <f>Model!W483/Model!V483-1</f>
        <v>-7.5046904315196894E-3</v>
      </c>
      <c r="X175" s="26">
        <f>Model!X483/Model!W483-1</f>
        <v>4.3478260869565188E-2</v>
      </c>
      <c r="Y175" s="26">
        <f>Model!Y483/Model!X483-1</f>
        <v>7.6086956521739024E-2</v>
      </c>
      <c r="Z175" s="26">
        <f>Model!Z483/Model!Y483-1</f>
        <v>2.3569023569023573E-2</v>
      </c>
      <c r="AA175" s="26">
        <f>Model!AA483/Model!Z483-1</f>
        <v>6.5789473684210176E-3</v>
      </c>
      <c r="AB175" s="26">
        <f>Model!AB483/Model!AA483-1</f>
        <v>4.7385620915032733E-2</v>
      </c>
      <c r="AC175" s="26">
        <f>Model!AC483/Model!AB483-1</f>
        <v>1.9344773790951786E-2</v>
      </c>
      <c r="AD175" s="26">
        <f>Model!AD483/Model!AC483-1</f>
        <v>2.3569023569023573E-2</v>
      </c>
      <c r="AE175" s="26">
        <f>Model!AE483/Model!AD483-1</f>
        <v>-2.5717703349282806E-3</v>
      </c>
      <c r="AF175" s="26">
        <f>Model!AF483/Model!AE483-1</f>
        <v>4.7385620915032733E-2</v>
      </c>
      <c r="AG175" s="26">
        <f>Model!AG483/Model!AF483-1</f>
        <v>9.992986875438481E-3</v>
      </c>
      <c r="AH175" s="26">
        <f>Model!AH483/Model!AG483-1</f>
        <v>2.3569023569023573E-2</v>
      </c>
      <c r="AI175" s="26">
        <f>Model!AI483/Model!AH483-1</f>
        <v>-2.5717703349282806E-3</v>
      </c>
      <c r="AJ175" s="26"/>
      <c r="AK175" s="26"/>
      <c r="AL175" s="26"/>
      <c r="AM175" s="26"/>
      <c r="AN175" s="26"/>
      <c r="AO175" s="26"/>
      <c r="AP175" s="26"/>
      <c r="AQ175" s="26"/>
      <c r="AS175" s="319"/>
      <c r="AT175" s="15" t="s">
        <v>115</v>
      </c>
      <c r="AU175" s="60" t="s">
        <v>229</v>
      </c>
      <c r="AV175" s="26">
        <f>Model!AV483/Model!AU483-1</f>
        <v>1.5921931176168469E-2</v>
      </c>
      <c r="AW175" s="26">
        <f>Model!AW483/Model!AV483-1</f>
        <v>3.6400404448938328E-2</v>
      </c>
      <c r="AX175" s="26">
        <f>Model!AX483/Model!AW483-1</f>
        <v>3.1219512195121979E-2</v>
      </c>
      <c r="AY175" s="26">
        <f>Model!AY483/Model!AX483-1</f>
        <v>1.7975402081362279E-2</v>
      </c>
      <c r="AZ175" s="26">
        <f>Model!AZ483/Model!AY483-1</f>
        <v>9.9442379182156149E-2</v>
      </c>
      <c r="BA175" s="26">
        <f>Model!BA483/Model!AZ483-1</f>
        <v>0.11169907016060865</v>
      </c>
      <c r="BB175" s="26">
        <f>Model!BB483/Model!BA483-1</f>
        <v>8.2437002904633738E-2</v>
      </c>
      <c r="BC175" s="26">
        <f>Model!BC483/Model!BB483-1</f>
        <v>7.0000000000000062E-2</v>
      </c>
      <c r="BD175" s="26">
        <f>Model!BD483/Model!BC483-1</f>
        <v>7.0000000000000062E-2</v>
      </c>
      <c r="BE175" s="26">
        <f>Model!BE483/Model!BD483-1</f>
        <v>7.0000000000000062E-2</v>
      </c>
      <c r="BG175" s="23"/>
      <c r="BH175" s="23"/>
    </row>
    <row r="176" spans="1:60" s="70" customFormat="1" x14ac:dyDescent="0.2">
      <c r="A176" s="411"/>
      <c r="B176" s="319"/>
      <c r="C176" s="15" t="s">
        <v>278</v>
      </c>
      <c r="D176" s="60" t="s">
        <v>229</v>
      </c>
      <c r="E176" s="26">
        <f>Model!E484/Model!D484-1</f>
        <v>-0.58071278825995809</v>
      </c>
      <c r="F176" s="26">
        <f>Model!F484/Model!E484-1</f>
        <v>0.82499999999999996</v>
      </c>
      <c r="G176" s="26">
        <f>Model!G484/Model!F484-1</f>
        <v>-0.80821917808219179</v>
      </c>
      <c r="H176" s="26">
        <f>Model!H484/Model!G484-1</f>
        <v>1.5428571428571427</v>
      </c>
      <c r="I176" s="26">
        <f>Model!I484/Model!H484-1</f>
        <v>-0.6853932584269663</v>
      </c>
      <c r="J176" s="26">
        <f>Model!J484/Model!I484-1</f>
        <v>1.0892857142857144</v>
      </c>
      <c r="K176" s="26">
        <f>Model!K484/Model!J484-1</f>
        <v>0.30769230769230771</v>
      </c>
      <c r="L176" s="26">
        <f>Model!L484/Model!K484-1</f>
        <v>-0.27450980392156865</v>
      </c>
      <c r="M176" s="26">
        <f>Model!M484/Model!L484-1</f>
        <v>0.70270270270270263</v>
      </c>
      <c r="N176" s="26">
        <f>Model!N484/Model!M484-1</f>
        <v>-0.62962962962962965</v>
      </c>
      <c r="O176" s="26">
        <f>Model!O484/Model!N484-1</f>
        <v>5.7142857142857162E-2</v>
      </c>
      <c r="P176" s="26">
        <f>Model!P484/Model!O484-1</f>
        <v>5.4054054054053946E-2</v>
      </c>
      <c r="Q176" s="26">
        <f>Model!Q484/Model!P484-1</f>
        <v>-0.66666666666666674</v>
      </c>
      <c r="R176" s="26">
        <f>Model!R484/Model!Q484-1</f>
        <v>-0.23076923076923073</v>
      </c>
      <c r="S176" s="26">
        <f>Model!S484/Model!R484-1</f>
        <v>2.85</v>
      </c>
      <c r="T176" s="26">
        <f>Model!T484/Model!S484-1</f>
        <v>2.3246753246753249</v>
      </c>
      <c r="U176" s="26">
        <f>Model!U484/Model!T484-1</f>
        <v>-0.546875</v>
      </c>
      <c r="V176" s="26">
        <f>Model!V484/Model!U484-1</f>
        <v>-4.31034482758621E-2</v>
      </c>
      <c r="W176" s="26">
        <f>Model!W484/Model!V484-1</f>
        <v>0.25225225225225234</v>
      </c>
      <c r="X176" s="26">
        <f>Model!X484/Model!W484-1</f>
        <v>0.1151079136690647</v>
      </c>
      <c r="Y176" s="26">
        <f>Model!Y484/Model!X484-1</f>
        <v>-0.38064516129032255</v>
      </c>
      <c r="Z176" s="26">
        <f>Model!Z484/Model!Y484-1</f>
        <v>-5.041666666666667</v>
      </c>
      <c r="AA176" s="26">
        <f>Model!AA484/Model!Z484-1</f>
        <v>-1.4561855670103092</v>
      </c>
      <c r="AB176" s="26">
        <f>Model!AB484/Model!AA484-1</f>
        <v>-9.6045197740112997E-2</v>
      </c>
      <c r="AC176" s="26">
        <f>Model!AC484/Model!AB484-1</f>
        <v>-1.9</v>
      </c>
      <c r="AD176" s="26">
        <f>Model!AD484/Model!AC484-1</f>
        <v>7.7777777777777946E-2</v>
      </c>
      <c r="AE176" s="26">
        <f>Model!AE484/Model!AD484-1</f>
        <v>-3.0605670103092786E-2</v>
      </c>
      <c r="AF176" s="26">
        <f>Model!AF484/Model!AE484-1</f>
        <v>1.0302426055167624E-2</v>
      </c>
      <c r="AG176" s="26">
        <f>Model!AG484/Model!AF484-1</f>
        <v>-5.2631578947368474E-2</v>
      </c>
      <c r="AH176" s="26">
        <f>Model!AH484/Model!AG484-1</f>
        <v>7.7777777777777946E-2</v>
      </c>
      <c r="AI176" s="26">
        <f>Model!AI484/Model!AH484-1</f>
        <v>-3.0605670103092786E-2</v>
      </c>
      <c r="AJ176" s="26"/>
      <c r="AK176" s="26"/>
      <c r="AL176" s="26"/>
      <c r="AM176" s="26"/>
      <c r="AN176" s="26"/>
      <c r="AO176" s="26"/>
      <c r="AP176" s="26"/>
      <c r="AQ176" s="26"/>
      <c r="AS176" s="319"/>
      <c r="AT176" s="15" t="s">
        <v>278</v>
      </c>
      <c r="AU176" s="60" t="s">
        <v>229</v>
      </c>
      <c r="AV176" s="26">
        <f>Model!AV484/Model!AU484-1</f>
        <v>-0.54676258992805749</v>
      </c>
      <c r="AW176" s="26">
        <f>Model!AW484/Model!AV484-1</f>
        <v>-0.11904761904761907</v>
      </c>
      <c r="AX176" s="26">
        <f>Model!AX484/Model!AW484-1</f>
        <v>-0.54729729729729737</v>
      </c>
      <c r="AY176" s="26">
        <f>Model!AY484/Model!AX484-1</f>
        <v>2.0945273631840795</v>
      </c>
      <c r="AZ176" s="26">
        <f>Model!AZ484/Model!AY484-1</f>
        <v>-0.93569131832797425</v>
      </c>
      <c r="BA176" s="26">
        <f>Model!BA484/Model!AZ484-1</f>
        <v>-8.2412500000000009</v>
      </c>
      <c r="BB176" s="26">
        <f>Model!BB484/Model!BA484-1</f>
        <v>1.0771620921802176</v>
      </c>
      <c r="BC176" s="26">
        <f>Model!BC484/Model!BB484-1</f>
        <v>0</v>
      </c>
      <c r="BD176" s="26">
        <f>Model!BD484/Model!BC484-1</f>
        <v>0</v>
      </c>
      <c r="BE176" s="26">
        <f>Model!BE484/Model!BD484-1</f>
        <v>0</v>
      </c>
      <c r="BG176" s="23"/>
      <c r="BH176" s="23"/>
    </row>
    <row r="177" spans="1:60" s="70" customFormat="1" x14ac:dyDescent="0.2">
      <c r="A177" s="411"/>
      <c r="B177" s="319"/>
      <c r="C177" s="895" t="s">
        <v>964</v>
      </c>
      <c r="D177" s="60" t="s">
        <v>229</v>
      </c>
      <c r="E177" s="26">
        <f>(Model!E481+Model!E482)/(Model!D481+Model!D482)-1</f>
        <v>-0.39562318345016245</v>
      </c>
      <c r="F177" s="26">
        <f>(Model!F481+Model!F482)/(Model!E481+Model!E482)-1</f>
        <v>0.21753889674681748</v>
      </c>
      <c r="G177" s="26">
        <f>(Model!G481+Model!G482)/(Model!F481+Model!F482)-1</f>
        <v>-0.23001858736059477</v>
      </c>
      <c r="H177" s="26">
        <f>(Model!H481+Model!H482)/(Model!G481+Model!G482)-1</f>
        <v>0.6704888352444176</v>
      </c>
      <c r="I177" s="26">
        <f>(Model!I481+Model!I482)/(Model!H481+Model!H482)-1</f>
        <v>-0.20357658959537572</v>
      </c>
      <c r="J177" s="26">
        <f>(Model!J481+Model!J482)/(Model!I481+Model!I482)-1</f>
        <v>-0.19573599455658874</v>
      </c>
      <c r="K177" s="26">
        <f>(Model!K481+Model!K482)/(Model!J481+Model!J482)-1</f>
        <v>-0.1675126903553299</v>
      </c>
      <c r="L177" s="26">
        <f>(Model!L481+Model!L482)/(Model!K481+Model!K482)-1</f>
        <v>0.62669376693766932</v>
      </c>
      <c r="M177" s="26">
        <f>(Model!M481+Model!M482)/(Model!L481+Model!L482)-1</f>
        <v>-0.22303206997084546</v>
      </c>
      <c r="N177" s="26">
        <f>(Model!N481+Model!N482)/(Model!M481+Model!M482)-1</f>
        <v>2.3586169927633405E-2</v>
      </c>
      <c r="O177" s="26">
        <f>(Model!O481+Model!O482)/(Model!N481+Model!N482)-1</f>
        <v>-0.33411887928777162</v>
      </c>
      <c r="P177" s="26">
        <f>(Model!P481+Model!P482)/(Model!O481+Model!O482)-1</f>
        <v>0.70939834840739291</v>
      </c>
      <c r="Q177" s="26">
        <f>(Model!Q481+Model!Q482)/(Model!P481+Model!P482)-1</f>
        <v>-0.15435932827237175</v>
      </c>
      <c r="R177" s="26">
        <f>(Model!R481+Model!R482)/(Model!Q481+Model!Q482)-1</f>
        <v>-3.4276387377584316E-2</v>
      </c>
      <c r="S177" s="26">
        <f>(Model!S481+Model!S482)/(Model!R481+Model!R482)-1</f>
        <v>-0.20985915492957752</v>
      </c>
      <c r="T177" s="26">
        <f>(Model!T481+Model!T482)/(Model!S481+Model!S482)-1</f>
        <v>0.33618538324420677</v>
      </c>
      <c r="U177" s="26">
        <f>(Model!U481+Model!U482)/(Model!T481+Model!T482)-1</f>
        <v>0.12273212379935972</v>
      </c>
      <c r="V177" s="26">
        <f>(Model!V481+Model!V482)/(Model!U481+Model!U482)-1</f>
        <v>-3.3507604562737603E-2</v>
      </c>
      <c r="W177" s="26">
        <f>(Model!W481+Model!W482)/(Model!V481+Model!V482)-1</f>
        <v>-0.10449963117777228</v>
      </c>
      <c r="X177" s="26">
        <f>(Model!X481+Model!X482)/(Model!W481+Model!W482)-1</f>
        <v>0.2300933552992861</v>
      </c>
      <c r="Y177" s="26">
        <f>(Model!Y481+Model!Y482)/(Model!X481+Model!X482)-1</f>
        <v>-0.10736607142857146</v>
      </c>
      <c r="Z177" s="26">
        <f>(Model!Z481+Model!Z482)/(Model!Y481+Model!Y482)-1</f>
        <v>-6.9517379344836261E-2</v>
      </c>
      <c r="AA177" s="26">
        <f>(Model!AA481+Model!AA482)/(Model!Z481+Model!Z482)-1</f>
        <v>-0.1857027680730986</v>
      </c>
      <c r="AB177" s="26">
        <f>(Model!AB481+Model!AB482)/(Model!AA481+Model!AA482)-1</f>
        <v>0.49207920792079207</v>
      </c>
      <c r="AC177" s="26">
        <f>(Model!AC481+Model!AC482)/(Model!AB481+Model!AB482)-1</f>
        <v>-4.6301703163016961E-2</v>
      </c>
      <c r="AD177" s="26">
        <f>(Model!AD481+Model!AD482)/(Model!AC481+Model!AC482)-1</f>
        <v>-7.5235349644105387E-2</v>
      </c>
      <c r="AE177" s="26">
        <f>(Model!AE481+Model!AE482)/(Model!AD481+Model!AD482)-1</f>
        <v>-0.16222587829297164</v>
      </c>
      <c r="AF177" s="26">
        <f>(Model!AF481+Model!AF482)/(Model!AE481+Model!AE482)-1</f>
        <v>0.42667133671013402</v>
      </c>
      <c r="AG177" s="26">
        <f>(Model!AG481+Model!AG482)/(Model!AF481+Model!AF482)-1</f>
        <v>-1.2938365951767894E-2</v>
      </c>
      <c r="AH177" s="26">
        <f>(Model!AH481+Model!AH482)/(Model!AG481+Model!AG482)-1</f>
        <v>-7.628778141046344E-2</v>
      </c>
      <c r="AI177" s="26">
        <f>(Model!AI481+Model!AI482)/(Model!AH481+Model!AH482)-1</f>
        <v>-0.16218492732650458</v>
      </c>
      <c r="AJ177" s="26"/>
      <c r="AK177" s="26"/>
      <c r="AL177" s="26"/>
      <c r="AM177" s="26"/>
      <c r="AN177" s="26"/>
      <c r="AO177" s="26"/>
      <c r="AP177" s="26"/>
      <c r="AQ177" s="26"/>
      <c r="AS177" s="319"/>
      <c r="AT177" s="895" t="s">
        <v>964</v>
      </c>
      <c r="AU177" s="60" t="s">
        <v>229</v>
      </c>
      <c r="AV177" s="26">
        <f>(Model!AV481+Model!AV482)/(Model!AU481+Model!AU482)-1</f>
        <v>-3.2878484884131254E-2</v>
      </c>
      <c r="AW177" s="26">
        <f>(Model!AW481+Model!AW482)/(Model!AV481+Model!AV482)-1</f>
        <v>-9.4143404488232107E-2</v>
      </c>
      <c r="AX177" s="26">
        <f>(Model!AX481+Model!AX482)/(Model!AW481+Model!AW482)-1</f>
        <v>-3.4709634105404508E-2</v>
      </c>
      <c r="AY177" s="26">
        <f>(Model!AY481+Model!AY482)/(Model!AX481+Model!AX482)-1</f>
        <v>8.9511754068716032E-2</v>
      </c>
      <c r="AZ177" s="26">
        <f>(Model!AZ481+Model!AZ482)/(Model!AY481+Model!AY482)-1</f>
        <v>-2.7768911586338985E-2</v>
      </c>
      <c r="BA177" s="26">
        <f>(Model!BA481+Model!BA482)/(Model!AZ481+Model!AZ482)-1</f>
        <v>6.1089297439264501E-2</v>
      </c>
      <c r="BB177" s="26">
        <f>(Model!BB481+Model!BB482)/(Model!BA481+Model!BA482)-1</f>
        <v>8.0135535095378518E-2</v>
      </c>
      <c r="BC177" s="26">
        <f>(Model!BC481+Model!BC482)/(Model!BB481+Model!BB482)-1</f>
        <v>7.8095875597089082E-2</v>
      </c>
      <c r="BD177" s="26">
        <f>(Model!BD481+Model!BD482)/(Model!BC481+Model!BC482)-1</f>
        <v>7.0000000000000062E-2</v>
      </c>
      <c r="BE177" s="26">
        <f>(Model!BE481+Model!BE482)/(Model!BD481+Model!BD482)-1</f>
        <v>6.999999999999984E-2</v>
      </c>
      <c r="BG177" s="23"/>
      <c r="BH177" s="23"/>
    </row>
    <row r="178" spans="1:60" s="70" customFormat="1" x14ac:dyDescent="0.2">
      <c r="A178" s="411"/>
      <c r="B178" s="319"/>
      <c r="C178" s="15"/>
      <c r="D178" s="15"/>
      <c r="E178" s="15"/>
      <c r="F178" s="15"/>
      <c r="G178" s="15"/>
      <c r="H178" s="15"/>
      <c r="I178" s="15"/>
      <c r="J178" s="15"/>
      <c r="K178" s="15"/>
      <c r="L178" s="15"/>
      <c r="M178" s="15"/>
      <c r="N178" s="15"/>
      <c r="O178" s="15"/>
      <c r="P178" s="15"/>
      <c r="Q178" s="15"/>
      <c r="R178" s="15"/>
      <c r="S178" s="15"/>
      <c r="T178" s="15"/>
      <c r="U178" s="15"/>
      <c r="V178" s="15"/>
      <c r="W178" s="15"/>
      <c r="X178" s="15"/>
      <c r="Y178" s="15"/>
      <c r="Z178" s="15"/>
      <c r="AA178" s="15"/>
      <c r="AB178" s="15"/>
      <c r="AC178" s="15"/>
      <c r="AD178" s="15"/>
      <c r="AE178" s="15"/>
      <c r="AF178" s="15"/>
      <c r="AG178" s="15"/>
      <c r="AH178" s="15"/>
      <c r="AI178" s="15"/>
      <c r="AJ178" s="15"/>
      <c r="AK178" s="15"/>
      <c r="AL178" s="15"/>
      <c r="AM178" s="15"/>
      <c r="AN178" s="15"/>
      <c r="AO178" s="15"/>
      <c r="AP178" s="15"/>
      <c r="AQ178" s="15"/>
      <c r="AS178" s="319"/>
      <c r="AT178" s="15"/>
      <c r="AU178" s="15"/>
      <c r="AV178" s="15"/>
      <c r="AW178" s="15"/>
      <c r="AX178" s="15"/>
      <c r="AY178" s="15"/>
      <c r="AZ178" s="15"/>
      <c r="BA178" s="15"/>
      <c r="BB178" s="15"/>
      <c r="BC178" s="15"/>
      <c r="BD178" s="15"/>
      <c r="BE178" s="15"/>
      <c r="BG178" s="15"/>
      <c r="BH178" s="15"/>
    </row>
    <row r="179" spans="1:60" s="70" customFormat="1" x14ac:dyDescent="0.2">
      <c r="A179" s="411"/>
      <c r="B179" s="364" t="s">
        <v>280</v>
      </c>
      <c r="C179" s="9"/>
      <c r="D179" s="9"/>
      <c r="E179" s="9"/>
      <c r="F179" s="9"/>
      <c r="G179" s="9"/>
      <c r="H179" s="9"/>
      <c r="I179" s="9"/>
      <c r="J179" s="9"/>
      <c r="K179" s="9"/>
      <c r="L179" s="9"/>
      <c r="M179" s="9"/>
      <c r="N179" s="9"/>
      <c r="O179" s="9"/>
      <c r="P179" s="9"/>
      <c r="Q179" s="9"/>
      <c r="R179" s="9"/>
      <c r="S179" s="9"/>
      <c r="T179" s="9"/>
      <c r="U179" s="9"/>
      <c r="V179" s="9"/>
      <c r="W179" s="9"/>
      <c r="X179" s="9"/>
      <c r="Y179" s="1215"/>
      <c r="Z179" s="1688"/>
      <c r="AA179" s="1742"/>
      <c r="AB179" s="1785"/>
      <c r="AC179" s="9"/>
      <c r="AD179" s="9"/>
      <c r="AE179" s="9"/>
      <c r="AF179" s="1707"/>
      <c r="AG179" s="1707"/>
      <c r="AH179" s="1707"/>
      <c r="AI179" s="1707"/>
      <c r="AJ179" s="1740"/>
      <c r="AK179" s="1740"/>
      <c r="AL179" s="1740"/>
      <c r="AM179" s="1740"/>
      <c r="AN179" s="1740"/>
      <c r="AO179" s="1740"/>
      <c r="AP179" s="1740"/>
      <c r="AQ179" s="1740"/>
      <c r="AS179" s="364" t="s">
        <v>280</v>
      </c>
      <c r="AT179" s="9"/>
      <c r="AU179" s="9"/>
      <c r="AV179" s="9"/>
      <c r="AW179" s="9"/>
      <c r="AX179" s="9"/>
      <c r="AY179" s="9"/>
      <c r="AZ179" s="9"/>
      <c r="BA179" s="9"/>
      <c r="BB179" s="1707"/>
      <c r="BC179" s="386"/>
      <c r="BD179" s="386"/>
      <c r="BE179" s="386"/>
      <c r="BG179" s="575"/>
      <c r="BH179" s="575"/>
    </row>
    <row r="180" spans="1:60" s="70" customFormat="1" x14ac:dyDescent="0.2">
      <c r="A180" s="411"/>
      <c r="B180" s="10"/>
      <c r="C180" s="9" t="s">
        <v>276</v>
      </c>
      <c r="D180" s="60" t="s">
        <v>229</v>
      </c>
      <c r="E180" s="60" t="s">
        <v>229</v>
      </c>
      <c r="F180" s="60" t="s">
        <v>229</v>
      </c>
      <c r="G180" s="60" t="s">
        <v>229</v>
      </c>
      <c r="H180" s="26">
        <f>Model!H481/Model!D481-1</f>
        <v>-4.4628432956381303E-2</v>
      </c>
      <c r="I180" s="26">
        <f>Model!I481/Model!E481-1</f>
        <v>0.16755496335776154</v>
      </c>
      <c r="J180" s="26">
        <f>Model!J481/Model!F481-1</f>
        <v>-0.24993429697766101</v>
      </c>
      <c r="K180" s="26">
        <f>Model!K481/Model!G481-1</f>
        <v>-0.14970475859673493</v>
      </c>
      <c r="L180" s="26">
        <f>Model!L481/Model!H481-1</f>
        <v>-0.17163390403720147</v>
      </c>
      <c r="M180" s="26">
        <f>Model!M481/Model!I481-1</f>
        <v>-0.10955777460770333</v>
      </c>
      <c r="N180" s="26">
        <f>Model!N481/Model!J481-1</f>
        <v>7.3580939032936277E-2</v>
      </c>
      <c r="O180" s="26">
        <f>Model!O481/Model!K481-1</f>
        <v>-0.15441176470588236</v>
      </c>
      <c r="P180" s="26">
        <f>Model!P481/Model!L481-1</f>
        <v>-0.1107425363613167</v>
      </c>
      <c r="Q180" s="26">
        <f>Model!Q481/Model!M481-1</f>
        <v>-2.8516501121435445E-2</v>
      </c>
      <c r="R180" s="26">
        <f>Model!R481/Model!N481-1</f>
        <v>-0.16677545691906004</v>
      </c>
      <c r="S180" s="26">
        <f>Model!S481/Model!O481-1</f>
        <v>6.6183574879226992E-2</v>
      </c>
      <c r="T180" s="26">
        <f>Model!T481/Model!P481-1</f>
        <v>-0.12453371592539453</v>
      </c>
      <c r="U180" s="26">
        <f>Model!U481/Model!Q481-1</f>
        <v>0.13192612137203175</v>
      </c>
      <c r="V180" s="26">
        <f>Model!V481/Model!R481-1</f>
        <v>0.33685859772816285</v>
      </c>
      <c r="W180" s="26">
        <f>Model!W481/Model!S481-1</f>
        <v>0.33982782057091065</v>
      </c>
      <c r="X180" s="26">
        <f>Model!X481/Model!T481-1</f>
        <v>0.20550639134709936</v>
      </c>
      <c r="Y180" s="26">
        <f>Model!Y481/Model!U481-1</f>
        <v>-4.6037296037296005E-2</v>
      </c>
      <c r="Z180" s="26">
        <f>Model!Z481/Model!V481-1</f>
        <v>-0.13975974216232057</v>
      </c>
      <c r="AA180" s="26">
        <f>Model!AA481/Model!W481-1</f>
        <v>-0.16706121068650659</v>
      </c>
      <c r="AB180" s="26">
        <f>Model!AB481/Model!X481-1</f>
        <v>-7.0690592713431255E-2</v>
      </c>
      <c r="AC180" s="267">
        <v>0.08</v>
      </c>
      <c r="AD180" s="267">
        <v>0.08</v>
      </c>
      <c r="AE180" s="267">
        <v>0.08</v>
      </c>
      <c r="AF180" s="267">
        <v>0.12</v>
      </c>
      <c r="AG180" s="267">
        <v>0.1</v>
      </c>
      <c r="AH180" s="267">
        <v>0.1</v>
      </c>
      <c r="AI180" s="267">
        <v>0.1</v>
      </c>
      <c r="AJ180" s="267"/>
      <c r="AK180" s="267"/>
      <c r="AL180" s="267"/>
      <c r="AM180" s="267"/>
      <c r="AN180" s="267"/>
      <c r="AO180" s="267"/>
      <c r="AP180" s="267"/>
      <c r="AQ180" s="267"/>
      <c r="AS180" s="10"/>
      <c r="AT180" s="9" t="s">
        <v>276</v>
      </c>
      <c r="AU180" s="60" t="s">
        <v>229</v>
      </c>
      <c r="AV180" s="26">
        <f>Model!AV481/Model!AU481-1</f>
        <v>-7.5146877988796268E-2</v>
      </c>
      <c r="AW180" s="26">
        <f>Model!AW481/Model!AV481-1</f>
        <v>-0.10075343477618559</v>
      </c>
      <c r="AX180" s="26">
        <f>Model!AX481/Model!AW481-1</f>
        <v>-7.3681616559881702E-2</v>
      </c>
      <c r="AY180" s="26">
        <f>Model!AY481/Model!AX481-1</f>
        <v>0.13975348053560355</v>
      </c>
      <c r="AZ180" s="26">
        <f>Model!AZ481/Model!AY481-1</f>
        <v>-3.9057029487279182E-2</v>
      </c>
      <c r="BA180" s="26">
        <f>Model!BA481/Model!AZ481-1</f>
        <v>3.5125900736782567E-2</v>
      </c>
      <c r="BB180" s="26">
        <f>Model!BB481/Model!BA481-1</f>
        <v>0.10534695780314807</v>
      </c>
      <c r="BC180" s="267">
        <v>0.08</v>
      </c>
      <c r="BD180" s="267">
        <v>7.0000000000000007E-2</v>
      </c>
      <c r="BE180" s="267">
        <v>7.0000000000000007E-2</v>
      </c>
      <c r="BG180" s="339"/>
      <c r="BH180" s="1710"/>
    </row>
    <row r="181" spans="1:60" s="70" customFormat="1" x14ac:dyDescent="0.2">
      <c r="A181" s="411"/>
      <c r="B181" s="10"/>
      <c r="C181" s="15" t="s">
        <v>277</v>
      </c>
      <c r="D181" s="60" t="s">
        <v>229</v>
      </c>
      <c r="E181" s="60" t="s">
        <v>229</v>
      </c>
      <c r="F181" s="60" t="s">
        <v>229</v>
      </c>
      <c r="G181" s="60" t="s">
        <v>229</v>
      </c>
      <c r="H181" s="26">
        <f>Model!H482/Model!D482-1</f>
        <v>-0.10256410256410253</v>
      </c>
      <c r="I181" s="26">
        <f>Model!I482/Model!E482-1</f>
        <v>0.69606003752345225</v>
      </c>
      <c r="J181" s="26">
        <f>Model!J482/Model!F482-1</f>
        <v>0.38677354709418843</v>
      </c>
      <c r="K181" s="26">
        <f>Model!K482/Model!G482-1</f>
        <v>0.15862068965517251</v>
      </c>
      <c r="L181" s="26">
        <f>Model!L482/Model!H482-1</f>
        <v>9.6894409937888115E-2</v>
      </c>
      <c r="M181" s="26">
        <f>Model!M482/Model!I482-1</f>
        <v>-0.3252212389380531</v>
      </c>
      <c r="N181" s="26">
        <f>Model!N482/Model!J482-1</f>
        <v>9.1040462427745661E-2</v>
      </c>
      <c r="O181" s="26">
        <f>Model!O482/Model!K482-1</f>
        <v>-6.1507936507936511E-2</v>
      </c>
      <c r="P181" s="26">
        <f>Model!P482/Model!L482-1</f>
        <v>-2.3782559456398622E-2</v>
      </c>
      <c r="Q181" s="26">
        <f>Model!Q482/Model!M482-1</f>
        <v>5.573770491803276E-2</v>
      </c>
      <c r="R181" s="26">
        <f>Model!R482/Model!N482-1</f>
        <v>0.32052980132450326</v>
      </c>
      <c r="S181" s="26">
        <f>Model!S482/Model!O482-1</f>
        <v>0.26427061310782252</v>
      </c>
      <c r="T181" s="26">
        <f>Model!T482/Model!P482-1</f>
        <v>-0.191415313225058</v>
      </c>
      <c r="U181" s="26">
        <f>Model!U482/Model!Q482-1</f>
        <v>0.20496894409937894</v>
      </c>
      <c r="V181" s="26">
        <f>Model!V482/Model!R482-1</f>
        <v>-0.34403209628886655</v>
      </c>
      <c r="W181" s="26">
        <f>Model!W482/Model!S482-1</f>
        <v>0.14548494983277593</v>
      </c>
      <c r="X181" s="26">
        <f>Model!X482/Model!T482-1</f>
        <v>0.15064562410329985</v>
      </c>
      <c r="Y181" s="26">
        <f>Model!Y482/Model!U482-1</f>
        <v>-6.5721649484536071E-2</v>
      </c>
      <c r="Z181" s="26">
        <f>Model!Z482/Model!V482-1</f>
        <v>0.20030581039755346</v>
      </c>
      <c r="AA181" s="26">
        <f>Model!AA482/Model!W482-1</f>
        <v>-0.17226277372262777</v>
      </c>
      <c r="AB181" s="26">
        <f>Model!AB482/Model!X482-1</f>
        <v>0.37531172069825436</v>
      </c>
      <c r="AC181" s="267">
        <v>7.0000000000000007E-2</v>
      </c>
      <c r="AD181" s="267">
        <v>0.04</v>
      </c>
      <c r="AE181" s="267">
        <v>0.2</v>
      </c>
      <c r="AF181" s="267">
        <v>-0.15</v>
      </c>
      <c r="AG181" s="267">
        <v>0.05</v>
      </c>
      <c r="AH181" s="267">
        <v>0.05</v>
      </c>
      <c r="AI181" s="267">
        <v>0.05</v>
      </c>
      <c r="AJ181" s="267"/>
      <c r="AK181" s="267"/>
      <c r="AL181" s="267"/>
      <c r="AM181" s="267"/>
      <c r="AN181" s="267"/>
      <c r="AO181" s="267"/>
      <c r="AP181" s="267"/>
      <c r="AQ181" s="267"/>
      <c r="AS181" s="10"/>
      <c r="AT181" s="15" t="s">
        <v>277</v>
      </c>
      <c r="AU181" s="60" t="s">
        <v>229</v>
      </c>
      <c r="AV181" s="26">
        <f>Model!AV482/Model!AU482-1</f>
        <v>0.228849407783418</v>
      </c>
      <c r="AW181" s="26">
        <f>Model!AW482/Model!AV482-1</f>
        <v>-6.3339070567986266E-2</v>
      </c>
      <c r="AX181" s="26">
        <f>Model!AX482/Model!AW482-1</f>
        <v>0.13965453877251011</v>
      </c>
      <c r="AY181" s="26">
        <f>Model!AY482/Model!AX482-1</f>
        <v>-9.3195743308610135E-2</v>
      </c>
      <c r="AZ181" s="26">
        <f>Model!AZ482/Model!AY482-1</f>
        <v>2.3826458036984244E-2</v>
      </c>
      <c r="BA181" s="26">
        <f>Model!BA482/Model!AZ482-1</f>
        <v>0.17247308093087876</v>
      </c>
      <c r="BB181" s="26">
        <f>Model!BB482/Model!BA482-1</f>
        <v>-1.5352312956407155E-2</v>
      </c>
      <c r="BC181" s="267">
        <v>7.0000000000000007E-2</v>
      </c>
      <c r="BD181" s="267">
        <v>7.0000000000000007E-2</v>
      </c>
      <c r="BE181" s="267">
        <v>7.0000000000000007E-2</v>
      </c>
      <c r="BG181" s="339"/>
      <c r="BH181" s="1710"/>
    </row>
    <row r="182" spans="1:60" s="70" customFormat="1" x14ac:dyDescent="0.2">
      <c r="A182" s="411"/>
      <c r="B182" s="10"/>
      <c r="C182" s="15" t="s">
        <v>115</v>
      </c>
      <c r="D182" s="60" t="s">
        <v>229</v>
      </c>
      <c r="E182" s="60" t="s">
        <v>229</v>
      </c>
      <c r="F182" s="60" t="s">
        <v>229</v>
      </c>
      <c r="G182" s="60" t="s">
        <v>229</v>
      </c>
      <c r="H182" s="26">
        <f>Model!H483/Model!D483-1</f>
        <v>-4.8355899419729176E-2</v>
      </c>
      <c r="I182" s="26">
        <f>Model!I483/Model!E483-1</f>
        <v>9.2975206611570327E-2</v>
      </c>
      <c r="J182" s="26">
        <f>Model!J483/Model!F483-1</f>
        <v>4.1753653444676075E-3</v>
      </c>
      <c r="K182" s="26">
        <f>Model!K483/Model!G483-1</f>
        <v>1.9271948608136968E-2</v>
      </c>
      <c r="L182" s="26">
        <f>Model!L483/Model!H483-1</f>
        <v>-1.4227642276422814E-2</v>
      </c>
      <c r="M182" s="26">
        <f>Model!M483/Model!I483-1</f>
        <v>-1.5122873345935761E-2</v>
      </c>
      <c r="N182" s="26">
        <f>Model!N483/Model!J483-1</f>
        <v>0.11226611226611216</v>
      </c>
      <c r="O182" s="26">
        <f>Model!O483/Model!K483-1</f>
        <v>6.9327731092436951E-2</v>
      </c>
      <c r="P182" s="26">
        <f>Model!P483/Model!L483-1</f>
        <v>0.10309278350515472</v>
      </c>
      <c r="Q182" s="26">
        <f>Model!Q483/Model!M483-1</f>
        <v>8.0614203454894451E-2</v>
      </c>
      <c r="R182" s="26">
        <f>Model!R483/Model!N483-1</f>
        <v>-5.4205607476635498E-2</v>
      </c>
      <c r="S182" s="26">
        <f>Model!S483/Model!O483-1</f>
        <v>1.9646365422396617E-3</v>
      </c>
      <c r="T182" s="26">
        <f>Model!T483/Model!P483-1</f>
        <v>4.8598130841121412E-2</v>
      </c>
      <c r="U182" s="26">
        <f>Model!U483/Model!Q483-1</f>
        <v>-6.0390763765541755E-2</v>
      </c>
      <c r="V182" s="26">
        <f>Model!V483/Model!R483-1</f>
        <v>5.3359683794466317E-2</v>
      </c>
      <c r="W182" s="26">
        <f>Model!W483/Model!S483-1</f>
        <v>3.7254901960784403E-2</v>
      </c>
      <c r="X182" s="26">
        <f>Model!X483/Model!T483-1</f>
        <v>-1.6042780748663055E-2</v>
      </c>
      <c r="Y182" s="26">
        <f>Model!Y483/Model!U483-1</f>
        <v>0.12287334593572785</v>
      </c>
      <c r="Z182" s="26">
        <f>Model!Z483/Model!V483-1</f>
        <v>0.14071294559099434</v>
      </c>
      <c r="AA182" s="26">
        <f>Model!AA483/Model!W483-1</f>
        <v>0.15689981096408312</v>
      </c>
      <c r="AB182" s="26">
        <f>Model!AB483/Model!X483-1</f>
        <v>0.16123188405797095</v>
      </c>
      <c r="AC182" s="267">
        <v>0.1</v>
      </c>
      <c r="AD182" s="267">
        <v>0.1</v>
      </c>
      <c r="AE182" s="267">
        <v>0.09</v>
      </c>
      <c r="AF182" s="267">
        <v>0.09</v>
      </c>
      <c r="AG182" s="267">
        <v>0.08</v>
      </c>
      <c r="AH182" s="267">
        <v>0.08</v>
      </c>
      <c r="AI182" s="267">
        <v>0.08</v>
      </c>
      <c r="AJ182" s="267"/>
      <c r="AK182" s="267"/>
      <c r="AL182" s="267"/>
      <c r="AM182" s="267"/>
      <c r="AN182" s="267"/>
      <c r="AO182" s="267"/>
      <c r="AP182" s="267"/>
      <c r="AQ182" s="267"/>
      <c r="AS182" s="10"/>
      <c r="AT182" s="15" t="s">
        <v>115</v>
      </c>
      <c r="AU182" s="60" t="s">
        <v>229</v>
      </c>
      <c r="AV182" s="26">
        <f>Model!AV483/Model!AU483-1</f>
        <v>1.5921931176168469E-2</v>
      </c>
      <c r="AW182" s="26">
        <f>Model!AW483/Model!AV483-1</f>
        <v>3.6400404448938328E-2</v>
      </c>
      <c r="AX182" s="26">
        <f>Model!AX483/Model!AW483-1</f>
        <v>3.1219512195121979E-2</v>
      </c>
      <c r="AY182" s="26">
        <f>Model!AY483/Model!AX483-1</f>
        <v>1.7975402081362279E-2</v>
      </c>
      <c r="AZ182" s="26">
        <f>Model!AZ483/Model!AY483-1</f>
        <v>9.9442379182156149E-2</v>
      </c>
      <c r="BA182" s="26">
        <f>Model!BA483/Model!AZ483-1</f>
        <v>0.11169907016060865</v>
      </c>
      <c r="BB182" s="26">
        <f>Model!BB483/Model!BA483-1</f>
        <v>8.2437002904633738E-2</v>
      </c>
      <c r="BC182" s="267">
        <v>7.0000000000000007E-2</v>
      </c>
      <c r="BD182" s="267">
        <v>7.0000000000000007E-2</v>
      </c>
      <c r="BE182" s="267">
        <v>7.0000000000000007E-2</v>
      </c>
      <c r="BF182" s="339"/>
      <c r="BG182" s="339"/>
      <c r="BH182" s="1710"/>
    </row>
    <row r="183" spans="1:60" s="70" customFormat="1" x14ac:dyDescent="0.2">
      <c r="A183" s="411"/>
      <c r="B183" s="35"/>
      <c r="C183" s="15" t="s">
        <v>278</v>
      </c>
      <c r="D183" s="60" t="s">
        <v>229</v>
      </c>
      <c r="E183" s="60" t="s">
        <v>229</v>
      </c>
      <c r="F183" s="60" t="s">
        <v>229</v>
      </c>
      <c r="G183" s="60" t="s">
        <v>229</v>
      </c>
      <c r="H183" s="26">
        <f>Model!H484/Model!D484-1</f>
        <v>-0.62683438155136262</v>
      </c>
      <c r="I183" s="26">
        <f>Model!I484/Model!E484-1</f>
        <v>-0.72</v>
      </c>
      <c r="J183" s="26">
        <f>Model!J484/Model!F484-1</f>
        <v>-0.67945205479452053</v>
      </c>
      <c r="K183" s="26">
        <f>Model!K484/Model!G484-1</f>
        <v>1.1857142857142855</v>
      </c>
      <c r="L183" s="26">
        <f>Model!L484/Model!H484-1</f>
        <v>-0.3764044943820225</v>
      </c>
      <c r="M183" s="26">
        <f>Model!M484/Model!I484-1</f>
        <v>2.375</v>
      </c>
      <c r="N183" s="26">
        <f>Model!N484/Model!J484-1</f>
        <v>-0.40170940170940173</v>
      </c>
      <c r="O183" s="26">
        <f>Model!O484/Model!K484-1</f>
        <v>-0.51633986928104569</v>
      </c>
      <c r="P183" s="26">
        <f>Model!P484/Model!L484-1</f>
        <v>-0.29729729729729726</v>
      </c>
      <c r="Q183" s="26">
        <f>Model!Q484/Model!M484-1</f>
        <v>-0.86243386243386244</v>
      </c>
      <c r="R183" s="26">
        <f>Model!R484/Model!N484-1</f>
        <v>-0.7142857142857143</v>
      </c>
      <c r="S183" s="26">
        <f>Model!S484/Model!O484-1</f>
        <v>4.0540540540540571E-2</v>
      </c>
      <c r="T183" s="26">
        <f>Model!T484/Model!P484-1</f>
        <v>2.2820512820512819</v>
      </c>
      <c r="U183" s="26">
        <f>Model!U484/Model!Q484-1</f>
        <v>3.4615384615384617</v>
      </c>
      <c r="V183" s="26">
        <f>Model!V484/Model!R484-1</f>
        <v>4.55</v>
      </c>
      <c r="W183" s="26">
        <f>Model!W484/Model!S484-1</f>
        <v>0.80519480519480524</v>
      </c>
      <c r="X183" s="26">
        <f>Model!X484/Model!T484-1</f>
        <v>-0.39453125</v>
      </c>
      <c r="Y183" s="26">
        <f>Model!Y484/Model!U484-1</f>
        <v>-0.17241379310344829</v>
      </c>
      <c r="Z183" s="26">
        <f>Model!Z484/Model!V484-1</f>
        <v>-4.4954954954954953</v>
      </c>
      <c r="AA183" s="26">
        <f>Model!AA484/Model!W484-1</f>
        <v>0.27338129496402885</v>
      </c>
      <c r="AB183" s="26">
        <f>Model!AB484/Model!X484-1</f>
        <v>3.2258064516129004E-2</v>
      </c>
      <c r="AC183" s="267">
        <v>-2.5</v>
      </c>
      <c r="AD183" s="267">
        <v>-0.6</v>
      </c>
      <c r="AE183" s="267">
        <v>-1.85</v>
      </c>
      <c r="AF183" s="267">
        <v>-1.95</v>
      </c>
      <c r="AG183" s="267">
        <v>0</v>
      </c>
      <c r="AH183" s="267">
        <v>0</v>
      </c>
      <c r="AI183" s="267">
        <v>0</v>
      </c>
      <c r="AJ183" s="267"/>
      <c r="AK183" s="267"/>
      <c r="AL183" s="267"/>
      <c r="AM183" s="267"/>
      <c r="AN183" s="267"/>
      <c r="AO183" s="267"/>
      <c r="AP183" s="267"/>
      <c r="AQ183" s="267"/>
      <c r="AS183" s="35"/>
      <c r="AT183" s="15" t="s">
        <v>278</v>
      </c>
      <c r="AU183" s="60" t="s">
        <v>229</v>
      </c>
      <c r="AV183" s="26">
        <f>Model!AV484/Model!AU484-1</f>
        <v>-0.54676258992805749</v>
      </c>
      <c r="AW183" s="26">
        <f>Model!AW484/Model!AV484-1</f>
        <v>-0.11904761904761907</v>
      </c>
      <c r="AX183" s="26">
        <f>Model!AX484/Model!AW484-1</f>
        <v>-0.54729729729729737</v>
      </c>
      <c r="AY183" s="26">
        <f>Model!AY484/Model!AX484-1</f>
        <v>2.0945273631840795</v>
      </c>
      <c r="AZ183" s="26">
        <f>Model!AZ484/Model!AY484-1</f>
        <v>-0.93569131832797425</v>
      </c>
      <c r="BA183" s="26">
        <f>Model!BA484/Model!AZ484-1</f>
        <v>-8.2412500000000009</v>
      </c>
      <c r="BB183" s="26">
        <f>Model!BB484/Model!BA484-1</f>
        <v>1.0771620921802176</v>
      </c>
      <c r="BC183" s="267">
        <v>0</v>
      </c>
      <c r="BD183" s="267">
        <v>0</v>
      </c>
      <c r="BE183" s="267">
        <v>0</v>
      </c>
      <c r="BF183" s="339"/>
      <c r="BG183" s="339"/>
      <c r="BH183" s="1710"/>
    </row>
    <row r="184" spans="1:60" s="70" customFormat="1" x14ac:dyDescent="0.2">
      <c r="A184" s="411"/>
      <c r="B184" s="10"/>
      <c r="C184" s="895" t="s">
        <v>964</v>
      </c>
      <c r="D184" s="60" t="s">
        <v>229</v>
      </c>
      <c r="E184" s="60" t="s">
        <v>229</v>
      </c>
      <c r="F184" s="60" t="s">
        <v>229</v>
      </c>
      <c r="G184" s="60" t="s">
        <v>229</v>
      </c>
      <c r="H184" s="26">
        <f>(Model!H481+Model!H482)/(Model!D481+Model!D482)-1</f>
        <v>-5.351342109762347E-2</v>
      </c>
      <c r="I184" s="26">
        <f>(Model!I481+Model!I482)/(Model!E481+Model!E482)-1</f>
        <v>0.24724186704384721</v>
      </c>
      <c r="J184" s="26">
        <f>(Model!J481+Model!J482)/(Model!F481+Model!F482)-1</f>
        <v>-0.1761152416356877</v>
      </c>
      <c r="K184" s="26">
        <f>(Model!K481+Model!K482)/(Model!G481+Model!G482)-1</f>
        <v>-0.10923355461677731</v>
      </c>
      <c r="L184" s="26">
        <f>(Model!L481+Model!L482)/(Model!H481+Model!H482)-1</f>
        <v>-0.13258670520231219</v>
      </c>
      <c r="M184" s="26">
        <f>(Model!M481+Model!M482)/(Model!I481+Model!I482)-1</f>
        <v>-0.15377636652302107</v>
      </c>
      <c r="N184" s="26">
        <f>(Model!N481+Model!N482)/(Model!J481+Model!J482)-1</f>
        <v>7.6988155668358704E-2</v>
      </c>
      <c r="O184" s="26">
        <f>(Model!O481+Model!O482)/(Model!K481+Model!K482)-1</f>
        <v>-0.13855013550135498</v>
      </c>
      <c r="P184" s="26">
        <f>(Model!P481+Model!P482)/(Model!L481+Model!L482)-1</f>
        <v>-9.4752186588921261E-2</v>
      </c>
      <c r="Q184" s="26">
        <f>(Model!Q481+Model!Q482)/(Model!M481+Model!M482)-1</f>
        <v>-1.4741356204770795E-2</v>
      </c>
      <c r="R184" s="26">
        <f>(Model!R481+Model!R482)/(Model!N481+Model!N482)-1</f>
        <v>-7.0437287247970715E-2</v>
      </c>
      <c r="S184" s="26">
        <f>(Model!S481+Model!S482)/(Model!O481+Model!O482)-1</f>
        <v>0.10302791977978765</v>
      </c>
      <c r="T184" s="26">
        <f>(Model!T481+Model!T482)/(Model!P481+Model!P482)-1</f>
        <v>-0.13779618127444215</v>
      </c>
      <c r="U184" s="26">
        <f>(Model!U481+Model!U482)/(Model!Q481+Model!Q482)-1</f>
        <v>0.14472252448313383</v>
      </c>
      <c r="V184" s="26">
        <f>(Model!V481+Model!V482)/(Model!R481+Model!R482)-1</f>
        <v>0.1456338028169013</v>
      </c>
      <c r="W184" s="26">
        <f>(Model!W481+Model!W482)/(Model!S481+Model!S482)-1</f>
        <v>0.29839572192513364</v>
      </c>
      <c r="X184" s="26">
        <f>(Model!X481+Model!X482)/(Model!T481+Model!T482)-1</f>
        <v>0.19530416221985059</v>
      </c>
      <c r="Y184" s="26">
        <f>(Model!Y481+Model!Y482)/(Model!U481+Model!U482)-1</f>
        <v>-4.9667300380228152E-2</v>
      </c>
      <c r="Z184" s="26">
        <f>(Model!Z481+Model!Z482)/(Model!V481+Model!V482)-1</f>
        <v>-8.507499385296291E-2</v>
      </c>
      <c r="AA184" s="26">
        <f>(Model!AA481+Model!AA482)/(Model!W481+Model!W482)-1</f>
        <v>-0.16803953871499178</v>
      </c>
      <c r="AB184" s="26">
        <f>(Model!AB481+Model!AB482)/(Model!X481+Model!X482)-1</f>
        <v>9.151785714285765E-3</v>
      </c>
      <c r="AC184" s="26">
        <f>(Model!AC481+Model!AC482)/(Model!Y481+Model!Y482)-1</f>
        <v>7.8187046761690526E-2</v>
      </c>
      <c r="AD184" s="26">
        <f>(Model!AD481+Model!AD482)/(Model!Z481+Model!Z482)-1</f>
        <v>7.1561408223595802E-2</v>
      </c>
      <c r="AE184" s="26">
        <f>(Model!AE481+Model!AE482)/(Model!AA481+Model!AA482)-1</f>
        <v>0.10245544554455455</v>
      </c>
      <c r="AF184" s="26">
        <f>(Model!AF481+Model!AF482)/(Model!AB481+Model!AB482)-1</f>
        <v>5.4127405441274146E-2</v>
      </c>
      <c r="AG184" s="26">
        <f>(Model!AG481+Model!AG482)/(Model!AC481+Model!AC482)-1</f>
        <v>9.1004065710038162E-2</v>
      </c>
      <c r="AH184" s="26">
        <f>(Model!AH481+Model!AH482)/(Model!AD481+Model!AD482)-1</f>
        <v>8.9762444573744382E-2</v>
      </c>
      <c r="AI184" s="26">
        <f>(Model!AI481+Model!AI482)/(Model!AE481+Model!AE482)-1</f>
        <v>8.9815712900097155E-2</v>
      </c>
      <c r="AJ184" s="26"/>
      <c r="AK184" s="26"/>
      <c r="AL184" s="26"/>
      <c r="AM184" s="26"/>
      <c r="AN184" s="26"/>
      <c r="AO184" s="26"/>
      <c r="AP184" s="26"/>
      <c r="AQ184" s="26"/>
      <c r="AS184" s="10"/>
      <c r="AT184" s="895" t="s">
        <v>964</v>
      </c>
      <c r="AU184" s="60" t="s">
        <v>229</v>
      </c>
      <c r="AV184" s="26">
        <f>(Model!AV481+Model!AV482)/(Model!AU481+Model!AU482)-1</f>
        <v>-3.2878484884131254E-2</v>
      </c>
      <c r="AW184" s="26">
        <f>(Model!AW481+Model!AW482)/(Model!AV481+Model!AV482)-1</f>
        <v>-9.4143404488232107E-2</v>
      </c>
      <c r="AX184" s="26">
        <f>(Model!AX481+Model!AX482)/(Model!AW481+Model!AW482)-1</f>
        <v>-3.4709634105404508E-2</v>
      </c>
      <c r="AY184" s="26">
        <f>(Model!AY481+Model!AY482)/(Model!AX481+Model!AX482)-1</f>
        <v>8.9511754068716032E-2</v>
      </c>
      <c r="AZ184" s="26">
        <f>(Model!AZ481+Model!AZ482)/(Model!AY481+Model!AY482)-1</f>
        <v>-2.7768911586338985E-2</v>
      </c>
      <c r="BA184" s="26">
        <f>(Model!BA481+Model!BA482)/(Model!AZ481+Model!AZ482)-1</f>
        <v>6.1089297439264501E-2</v>
      </c>
      <c r="BB184" s="26">
        <f>(Model!BB481+Model!BB482)/(Model!BA481+Model!BA482)-1</f>
        <v>8.0135535095378518E-2</v>
      </c>
      <c r="BC184" s="26">
        <f>(Model!BC481+Model!BC482)/(Model!BB481+Model!BB482)-1</f>
        <v>7.8095875597089082E-2</v>
      </c>
      <c r="BD184" s="26">
        <f>(Model!BD481+Model!BD482)/(Model!BC481+Model!BC482)-1</f>
        <v>7.0000000000000062E-2</v>
      </c>
      <c r="BE184" s="26">
        <f>(Model!BE481+Model!BE482)/(Model!BD481+Model!BD482)-1</f>
        <v>6.999999999999984E-2</v>
      </c>
      <c r="BG184" s="23"/>
      <c r="BH184" s="23"/>
    </row>
    <row r="185" spans="1:60" s="70" customFormat="1" x14ac:dyDescent="0.2">
      <c r="A185" s="411"/>
      <c r="B185" s="10"/>
      <c r="C185" s="9"/>
      <c r="D185" s="9"/>
      <c r="E185" s="9"/>
      <c r="F185" s="9"/>
      <c r="G185" s="9"/>
      <c r="H185" s="9"/>
      <c r="I185" s="9"/>
      <c r="J185" s="9"/>
      <c r="K185" s="9"/>
      <c r="L185" s="9"/>
      <c r="M185" s="9"/>
      <c r="N185" s="9"/>
      <c r="O185" s="9"/>
      <c r="P185" s="9"/>
      <c r="Q185" s="9"/>
      <c r="R185" s="9"/>
      <c r="S185" s="9"/>
      <c r="T185" s="9"/>
      <c r="U185" s="9"/>
      <c r="V185" s="9"/>
      <c r="W185" s="9"/>
      <c r="X185" s="9"/>
      <c r="Y185" s="1215"/>
      <c r="Z185" s="1688"/>
      <c r="AA185" s="1742"/>
      <c r="AB185" s="1785"/>
      <c r="AC185" s="9"/>
      <c r="AD185" s="9"/>
      <c r="AE185" s="9"/>
      <c r="AF185" s="1707"/>
      <c r="AG185" s="1707"/>
      <c r="AH185" s="1707"/>
      <c r="AI185" s="1707"/>
      <c r="AJ185" s="1740"/>
      <c r="AK185" s="1740"/>
      <c r="AL185" s="1740"/>
      <c r="AM185" s="1740"/>
      <c r="AN185" s="1740"/>
      <c r="AO185" s="1740"/>
      <c r="AP185" s="1740"/>
      <c r="AQ185" s="1740"/>
      <c r="AS185" s="10"/>
      <c r="AT185" s="9"/>
      <c r="AU185" s="9"/>
      <c r="AV185" s="9"/>
      <c r="AW185" s="9"/>
      <c r="AX185" s="9"/>
      <c r="AY185" s="9"/>
      <c r="AZ185" s="9"/>
      <c r="BA185" s="9"/>
      <c r="BB185" s="846"/>
      <c r="BC185" s="846"/>
      <c r="BD185" s="846"/>
      <c r="BE185" s="846"/>
      <c r="BG185" s="15"/>
      <c r="BH185" s="15"/>
    </row>
    <row r="186" spans="1:60" s="70" customFormat="1" x14ac:dyDescent="0.2">
      <c r="A186" s="411"/>
      <c r="B186" s="364" t="s">
        <v>289</v>
      </c>
      <c r="C186" s="9"/>
      <c r="D186" s="9"/>
      <c r="E186" s="9"/>
      <c r="F186" s="9"/>
      <c r="G186" s="9"/>
      <c r="H186" s="9"/>
      <c r="I186" s="9"/>
      <c r="J186" s="9"/>
      <c r="K186" s="9"/>
      <c r="L186" s="9"/>
      <c r="M186" s="9"/>
      <c r="N186" s="9"/>
      <c r="O186" s="9"/>
      <c r="P186" s="9"/>
      <c r="Q186" s="9"/>
      <c r="R186" s="9"/>
      <c r="S186" s="9"/>
      <c r="T186" s="9"/>
      <c r="U186" s="9"/>
      <c r="V186" s="9"/>
      <c r="W186" s="9"/>
      <c r="X186" s="9"/>
      <c r="Y186" s="1215"/>
      <c r="Z186" s="1688"/>
      <c r="AA186" s="1742"/>
      <c r="AB186" s="1785"/>
      <c r="AC186" s="9"/>
      <c r="AD186" s="9"/>
      <c r="AE186" s="9"/>
      <c r="AF186" s="1707"/>
      <c r="AG186" s="1707"/>
      <c r="AH186" s="1707"/>
      <c r="AI186" s="1707"/>
      <c r="AJ186" s="1740"/>
      <c r="AK186" s="1740"/>
      <c r="AL186" s="1740"/>
      <c r="AM186" s="1740"/>
      <c r="AN186" s="1740"/>
      <c r="AO186" s="1740"/>
      <c r="AP186" s="1740"/>
      <c r="AQ186" s="1740"/>
      <c r="AS186" s="364" t="s">
        <v>289</v>
      </c>
      <c r="AT186" s="9"/>
      <c r="AU186" s="9"/>
      <c r="AV186" s="9"/>
      <c r="AW186" s="9"/>
      <c r="AX186" s="9"/>
      <c r="AY186" s="9"/>
      <c r="AZ186" s="9"/>
      <c r="BA186" s="9"/>
      <c r="BB186" s="846"/>
      <c r="BC186" s="846"/>
      <c r="BD186" s="846"/>
      <c r="BE186" s="846"/>
      <c r="BG186" s="15"/>
      <c r="BH186" s="15"/>
    </row>
    <row r="187" spans="1:60" s="70" customFormat="1" x14ac:dyDescent="0.2">
      <c r="A187" s="411"/>
      <c r="B187" s="65" t="s">
        <v>266</v>
      </c>
      <c r="C187" s="9"/>
      <c r="D187" s="9"/>
      <c r="E187" s="9"/>
      <c r="F187" s="9"/>
      <c r="G187" s="9"/>
      <c r="H187" s="9"/>
      <c r="I187" s="9"/>
      <c r="J187" s="9"/>
      <c r="K187" s="9"/>
      <c r="L187" s="9"/>
      <c r="M187" s="9"/>
      <c r="N187" s="9"/>
      <c r="O187" s="9"/>
      <c r="P187" s="9"/>
      <c r="Q187" s="9"/>
      <c r="R187" s="9"/>
      <c r="S187" s="9"/>
      <c r="T187" s="9"/>
      <c r="U187" s="9"/>
      <c r="V187" s="9"/>
      <c r="W187" s="9"/>
      <c r="X187" s="9"/>
      <c r="Y187" s="1215"/>
      <c r="Z187" s="1688"/>
      <c r="AA187" s="1742"/>
      <c r="AB187" s="1785"/>
      <c r="AC187" s="9"/>
      <c r="AD187" s="9"/>
      <c r="AE187" s="9"/>
      <c r="AF187" s="1707"/>
      <c r="AG187" s="1707"/>
      <c r="AH187" s="1707"/>
      <c r="AI187" s="1707"/>
      <c r="AJ187" s="1740"/>
      <c r="AK187" s="1740"/>
      <c r="AL187" s="1740"/>
      <c r="AM187" s="1740"/>
      <c r="AN187" s="1740"/>
      <c r="AO187" s="1740"/>
      <c r="AP187" s="1740"/>
      <c r="AQ187" s="1740"/>
      <c r="AS187" s="65" t="s">
        <v>266</v>
      </c>
      <c r="AT187" s="9"/>
      <c r="AU187" s="9"/>
      <c r="AV187" s="9"/>
      <c r="AW187" s="9"/>
      <c r="AX187" s="9"/>
      <c r="AY187" s="9"/>
      <c r="AZ187" s="9"/>
      <c r="BA187" s="9"/>
      <c r="BB187" s="846"/>
      <c r="BC187" s="846"/>
      <c r="BD187" s="846"/>
      <c r="BE187" s="846"/>
      <c r="BG187" s="15"/>
      <c r="BH187" s="15"/>
    </row>
    <row r="188" spans="1:60" s="70" customFormat="1" x14ac:dyDescent="0.2">
      <c r="A188" s="411"/>
      <c r="B188" s="10"/>
      <c r="C188" s="9" t="s">
        <v>290</v>
      </c>
      <c r="D188" s="68">
        <f>Model!D539</f>
        <v>9.1177713493859808E-2</v>
      </c>
      <c r="E188" s="68">
        <f>Model!E539</f>
        <v>0.11600819041269761</v>
      </c>
      <c r="F188" s="68">
        <f>Model!F539</f>
        <v>0.12976946106784309</v>
      </c>
      <c r="G188" s="68">
        <f>Model!G539</f>
        <v>0.10136485745944732</v>
      </c>
      <c r="H188" s="68">
        <f>Model!H539</f>
        <v>0.21662454543302495</v>
      </c>
      <c r="I188" s="68">
        <f>Model!I539</f>
        <v>0.18088608132109629</v>
      </c>
      <c r="J188" s="68">
        <f>Model!J539</f>
        <v>0.14076967609631935</v>
      </c>
      <c r="K188" s="68">
        <f>Model!K539</f>
        <v>0.11921649744609236</v>
      </c>
      <c r="L188" s="68">
        <f>Model!L539</f>
        <v>6.3805923201707374E-2</v>
      </c>
      <c r="M188" s="68">
        <f>Model!M539</f>
        <v>0.12359483108559081</v>
      </c>
      <c r="N188" s="68">
        <f>Model!N539</f>
        <v>0.12111936284707658</v>
      </c>
      <c r="O188" s="68">
        <f>Model!O539</f>
        <v>0.21566914904122728</v>
      </c>
      <c r="P188" s="68">
        <f>Model!P539</f>
        <v>0.18645757664940713</v>
      </c>
      <c r="Q188" s="68">
        <f>Model!Q539</f>
        <v>0.12491024494621691</v>
      </c>
      <c r="R188" s="68">
        <f>Model!R539</f>
        <v>0.16976058913035585</v>
      </c>
      <c r="S188" s="68">
        <f>Model!S539</f>
        <v>0.11647459368883491</v>
      </c>
      <c r="T188" s="68">
        <f>Model!T539</f>
        <v>0.19475153318016067</v>
      </c>
      <c r="U188" s="68">
        <f>Model!U539</f>
        <v>0.20537982597608404</v>
      </c>
      <c r="V188" s="68">
        <f>Model!V539</f>
        <v>0.20491982182306764</v>
      </c>
      <c r="W188" s="68">
        <f>Model!W539</f>
        <v>8.0580786629253651E-2</v>
      </c>
      <c r="X188" s="68">
        <f>Model!X539</f>
        <v>0.10783132340902621</v>
      </c>
      <c r="Y188" s="68">
        <f>Model!Y539</f>
        <v>0.19611749647777418</v>
      </c>
      <c r="Z188" s="68">
        <f>Model!Z539</f>
        <v>7.5893780293194199E-2</v>
      </c>
      <c r="AA188" s="68">
        <f>Model!AA539</f>
        <v>0.15476106564712264</v>
      </c>
      <c r="AB188" s="68">
        <f>Model!AB539</f>
        <v>0.11824331465015341</v>
      </c>
      <c r="AC188" s="267">
        <v>0.14000000000000001</v>
      </c>
      <c r="AD188" s="267">
        <v>0.14000000000000001</v>
      </c>
      <c r="AE188" s="267">
        <v>0.14000000000000001</v>
      </c>
      <c r="AF188" s="267">
        <v>0.14499999999999999</v>
      </c>
      <c r="AG188" s="267">
        <v>0.14499999999999999</v>
      </c>
      <c r="AH188" s="267">
        <v>0.14499999999999999</v>
      </c>
      <c r="AI188" s="267">
        <v>0.14499999999999999</v>
      </c>
      <c r="AJ188" s="267"/>
      <c r="AK188" s="267"/>
      <c r="AL188" s="267"/>
      <c r="AM188" s="267"/>
      <c r="AN188" s="267"/>
      <c r="AO188" s="267"/>
      <c r="AP188" s="267"/>
      <c r="AQ188" s="267"/>
      <c r="AS188" s="10"/>
      <c r="AT188" s="9" t="s">
        <v>290</v>
      </c>
      <c r="AU188" s="68">
        <f>Model!AU539</f>
        <v>0.10945832779931071</v>
      </c>
      <c r="AV188" s="68">
        <f>Model!AV539</f>
        <v>0.16322330802479645</v>
      </c>
      <c r="AW188" s="68">
        <f>Model!AW539</f>
        <v>0.13716007988057649</v>
      </c>
      <c r="AX188" s="68">
        <f>Model!AX539</f>
        <v>0.14775072890241578</v>
      </c>
      <c r="AY188" s="68">
        <f>Model!AY539</f>
        <v>0.16758890372593196</v>
      </c>
      <c r="AZ188" s="68">
        <f>Model!AZ539</f>
        <v>0.13329613225512008</v>
      </c>
      <c r="BA188" s="68">
        <f>Model!BA539</f>
        <v>0.13531206952168789</v>
      </c>
      <c r="BB188" s="68">
        <f>Model!BB539</f>
        <v>0.14499999999999999</v>
      </c>
      <c r="BC188" s="267">
        <v>0.15</v>
      </c>
      <c r="BD188" s="267">
        <v>0.15</v>
      </c>
      <c r="BE188" s="267">
        <v>0.15</v>
      </c>
      <c r="BG188" s="339"/>
      <c r="BH188" s="1710"/>
    </row>
    <row r="189" spans="1:60" s="70" customFormat="1" x14ac:dyDescent="0.2">
      <c r="A189" s="411"/>
      <c r="B189" s="10"/>
      <c r="C189" s="9" t="s">
        <v>264</v>
      </c>
      <c r="D189" s="68">
        <f>Model!D549</f>
        <v>8.8249474380066709E-2</v>
      </c>
      <c r="E189" s="68">
        <f>Model!E549</f>
        <v>8.8027723785143744E-2</v>
      </c>
      <c r="F189" s="68">
        <f>Model!F549</f>
        <v>7.3410464918359619E-2</v>
      </c>
      <c r="G189" s="68">
        <f>Model!G549</f>
        <v>8.2278809739300338E-2</v>
      </c>
      <c r="H189" s="68">
        <f>Model!H549</f>
        <v>7.5151695134807461E-2</v>
      </c>
      <c r="I189" s="68">
        <f>Model!I549</f>
        <v>7.2950657838484048E-2</v>
      </c>
      <c r="J189" s="68">
        <f>Model!J549</f>
        <v>5.1535286136868544E-2</v>
      </c>
      <c r="K189" s="68">
        <f>Model!K549</f>
        <v>5.5194337362908075E-2</v>
      </c>
      <c r="L189" s="68">
        <f>Model!L549</f>
        <v>5.4067085827808635E-2</v>
      </c>
      <c r="M189" s="68">
        <f>Model!M549</f>
        <v>7.1970736796337975E-2</v>
      </c>
      <c r="N189" s="68">
        <f>Model!N549</f>
        <v>8.4512057769495941E-2</v>
      </c>
      <c r="O189" s="68">
        <f>Model!O549</f>
        <v>5.2768076670507744E-2</v>
      </c>
      <c r="P189" s="68">
        <f>Model!P549</f>
        <v>5.1861522414518565E-2</v>
      </c>
      <c r="Q189" s="68">
        <f>Model!Q549</f>
        <v>5.219323848890766E-2</v>
      </c>
      <c r="R189" s="68">
        <f>Model!R549</f>
        <v>5.213794159106995E-2</v>
      </c>
      <c r="S189" s="68">
        <f>Model!S549</f>
        <v>5.1394191225448346E-2</v>
      </c>
      <c r="T189" s="68">
        <f>Model!T549</f>
        <v>4.1229443805698769E-2</v>
      </c>
      <c r="U189" s="68">
        <f>Model!U549</f>
        <v>6.9799714582972058E-2</v>
      </c>
      <c r="V189" s="68">
        <f>Model!V549</f>
        <v>3.194566021886748E-2</v>
      </c>
      <c r="W189" s="68">
        <f>Model!W549</f>
        <v>4.5415727478340204E-2</v>
      </c>
      <c r="X189" s="68">
        <f>Model!X549</f>
        <v>5.2911671457825021E-2</v>
      </c>
      <c r="Y189" s="68">
        <f>Model!Y549</f>
        <v>6.8737264010202193E-2</v>
      </c>
      <c r="Z189" s="68">
        <f>Model!Z549</f>
        <v>5.2234929324512631E-2</v>
      </c>
      <c r="AA189" s="68">
        <f>Model!AA549</f>
        <v>3.7700479178166962E-2</v>
      </c>
      <c r="AB189" s="68">
        <f>Model!AB549</f>
        <v>8.2920986765972496E-2</v>
      </c>
      <c r="AC189" s="267">
        <v>5.5E-2</v>
      </c>
      <c r="AD189" s="267">
        <v>5.5E-2</v>
      </c>
      <c r="AE189" s="267">
        <v>5.5E-2</v>
      </c>
      <c r="AF189" s="267">
        <v>0.06</v>
      </c>
      <c r="AG189" s="267">
        <v>0.06</v>
      </c>
      <c r="AH189" s="267">
        <v>0.06</v>
      </c>
      <c r="AI189" s="267">
        <v>0.06</v>
      </c>
      <c r="AJ189" s="267"/>
      <c r="AK189" s="267"/>
      <c r="AL189" s="267"/>
      <c r="AM189" s="267"/>
      <c r="AN189" s="267"/>
      <c r="AO189" s="267"/>
      <c r="AP189" s="267"/>
      <c r="AQ189" s="267"/>
      <c r="AS189" s="10"/>
      <c r="AT189" s="9" t="s">
        <v>264</v>
      </c>
      <c r="AU189" s="68">
        <f>Model!AU549</f>
        <v>8.243486554408308E-2</v>
      </c>
      <c r="AV189" s="68">
        <f>Model!AV549</f>
        <v>6.3641472051128162E-2</v>
      </c>
      <c r="AW189" s="68">
        <f>Model!AW549</f>
        <v>6.6849262351053748E-2</v>
      </c>
      <c r="AX189" s="68">
        <f>Model!AX549</f>
        <v>5.1900554832105227E-2</v>
      </c>
      <c r="AY189" s="68">
        <f>Model!AY549</f>
        <v>4.7407016469624121E-2</v>
      </c>
      <c r="AZ189" s="68">
        <f>Model!AZ549</f>
        <v>5.294318847246765E-2</v>
      </c>
      <c r="BA189" s="68">
        <f>Model!BA549</f>
        <v>6.1322687220555359E-2</v>
      </c>
      <c r="BB189" s="68">
        <f>Model!BB549</f>
        <v>5.9999999999999991E-2</v>
      </c>
      <c r="BC189" s="267">
        <v>6.5000000000000002E-2</v>
      </c>
      <c r="BD189" s="267">
        <v>7.0000000000000007E-2</v>
      </c>
      <c r="BE189" s="267">
        <v>7.0000000000000007E-2</v>
      </c>
      <c r="BG189" s="339"/>
      <c r="BH189" s="1710"/>
    </row>
    <row r="190" spans="1:60" s="70" customFormat="1" x14ac:dyDescent="0.2">
      <c r="A190" s="411"/>
      <c r="B190" s="10"/>
      <c r="C190" s="9" t="s">
        <v>265</v>
      </c>
      <c r="D190" s="68">
        <f>Model!D559</f>
        <v>5.838907697088546E-2</v>
      </c>
      <c r="E190" s="68">
        <f>Model!E559</f>
        <v>5.8426925431489911E-2</v>
      </c>
      <c r="F190" s="68">
        <f>Model!F559</f>
        <v>6.0090582736756007E-2</v>
      </c>
      <c r="G190" s="68">
        <f>Model!G559</f>
        <v>5.3756055873365058E-2</v>
      </c>
      <c r="H190" s="68">
        <f>Model!H559</f>
        <v>5.9642600878493005E-2</v>
      </c>
      <c r="I190" s="68">
        <f>Model!I559</f>
        <v>5.7349375709513817E-2</v>
      </c>
      <c r="J190" s="68">
        <f>Model!J559</f>
        <v>6.519094187321163E-2</v>
      </c>
      <c r="K190" s="68">
        <f>Model!K559</f>
        <v>5.5790896020983693E-2</v>
      </c>
      <c r="L190" s="68">
        <f>Model!L559</f>
        <v>6.0010941969754053E-2</v>
      </c>
      <c r="M190" s="68">
        <f>Model!M559</f>
        <v>5.4144730812464799E-2</v>
      </c>
      <c r="N190" s="68">
        <f>Model!N559</f>
        <v>5.3152181312672062E-2</v>
      </c>
      <c r="O190" s="68">
        <f>Model!O559</f>
        <v>5.4035166606873478E-2</v>
      </c>
      <c r="P190" s="68">
        <f>Model!P559</f>
        <v>6.344006053730164E-2</v>
      </c>
      <c r="Q190" s="68">
        <f>Model!Q559</f>
        <v>5.8385420714395952E-2</v>
      </c>
      <c r="R190" s="68">
        <f>Model!R559</f>
        <v>5.1199422887874747E-2</v>
      </c>
      <c r="S190" s="68">
        <f>Model!S559</f>
        <v>6.4029916621036034E-2</v>
      </c>
      <c r="T190" s="68">
        <f>Model!T559</f>
        <v>5.7513752344321649E-2</v>
      </c>
      <c r="U190" s="68">
        <f>Model!U559</f>
        <v>6.2580190840200431E-2</v>
      </c>
      <c r="V190" s="68">
        <f>Model!V559</f>
        <v>5.9818227898192619E-2</v>
      </c>
      <c r="W190" s="68">
        <f>Model!W559</f>
        <v>5.614408467604079E-2</v>
      </c>
      <c r="X190" s="68">
        <f>Model!X559</f>
        <v>6.542994714227085E-2</v>
      </c>
      <c r="Y190" s="68">
        <f>Model!Y559</f>
        <v>6.8624380916797678E-2</v>
      </c>
      <c r="Z190" s="68">
        <f>Model!Z559</f>
        <v>6.4595292120334089E-2</v>
      </c>
      <c r="AA190" s="68">
        <f>Model!AA559</f>
        <v>6.6906146039593425E-2</v>
      </c>
      <c r="AB190" s="68">
        <f>Model!AB559</f>
        <v>6.5917164888777788E-2</v>
      </c>
      <c r="AC190" s="267">
        <v>7.0000000000000007E-2</v>
      </c>
      <c r="AD190" s="267">
        <v>7.0000000000000007E-2</v>
      </c>
      <c r="AE190" s="267">
        <v>7.0000000000000007E-2</v>
      </c>
      <c r="AF190" s="267">
        <v>7.0000000000000007E-2</v>
      </c>
      <c r="AG190" s="267">
        <v>7.0000000000000007E-2</v>
      </c>
      <c r="AH190" s="267">
        <v>7.0000000000000007E-2</v>
      </c>
      <c r="AI190" s="267">
        <v>7.0000000000000007E-2</v>
      </c>
      <c r="AJ190" s="267"/>
      <c r="AK190" s="267"/>
      <c r="AL190" s="267"/>
      <c r="AM190" s="267"/>
      <c r="AN190" s="267"/>
      <c r="AO190" s="267"/>
      <c r="AP190" s="267"/>
      <c r="AQ190" s="267"/>
      <c r="AS190" s="10"/>
      <c r="AT190" s="9" t="s">
        <v>265</v>
      </c>
      <c r="AU190" s="68">
        <f>Model!AU559</f>
        <v>5.7720325980367748E-2</v>
      </c>
      <c r="AV190" s="68">
        <f>Model!AV559</f>
        <v>5.9418494395761592E-2</v>
      </c>
      <c r="AW190" s="68">
        <f>Model!AW559</f>
        <v>5.5529728626762531E-2</v>
      </c>
      <c r="AX190" s="68">
        <f>Model!AX559</f>
        <v>5.9507939360986417E-2</v>
      </c>
      <c r="AY190" s="68">
        <f>Model!AY559</f>
        <v>5.9238395713125926E-2</v>
      </c>
      <c r="AZ190" s="68">
        <f>Model!AZ559</f>
        <v>6.6355791406803907E-2</v>
      </c>
      <c r="BA190" s="68">
        <f>Model!BA559</f>
        <v>6.8924281676422505E-2</v>
      </c>
      <c r="BB190" s="68">
        <f>Model!BB559</f>
        <v>7.0000000000000007E-2</v>
      </c>
      <c r="BC190" s="267">
        <v>7.0000000000000007E-2</v>
      </c>
      <c r="BD190" s="267">
        <v>7.0000000000000007E-2</v>
      </c>
      <c r="BE190" s="267">
        <v>7.0000000000000007E-2</v>
      </c>
      <c r="BG190" s="339"/>
      <c r="BH190" s="1710"/>
    </row>
    <row r="191" spans="1:60" s="70" customFormat="1" x14ac:dyDescent="0.2">
      <c r="A191" s="411"/>
      <c r="B191" s="10"/>
      <c r="C191" s="9"/>
      <c r="D191" s="9"/>
      <c r="E191" s="9"/>
      <c r="F191" s="9"/>
      <c r="G191" s="9"/>
      <c r="H191" s="9"/>
      <c r="I191" s="9"/>
      <c r="J191" s="9"/>
      <c r="K191" s="9"/>
      <c r="L191" s="9"/>
      <c r="M191" s="9"/>
      <c r="N191" s="9"/>
      <c r="O191" s="9"/>
      <c r="P191" s="9"/>
      <c r="Q191" s="9"/>
      <c r="R191" s="9"/>
      <c r="S191" s="9"/>
      <c r="T191" s="9"/>
      <c r="U191" s="9"/>
      <c r="V191" s="9"/>
      <c r="W191" s="9"/>
      <c r="X191" s="374"/>
      <c r="Y191" s="374"/>
      <c r="Z191" s="374"/>
      <c r="AA191" s="374"/>
      <c r="AB191" s="374"/>
      <c r="AC191" s="374"/>
      <c r="AD191" s="374"/>
      <c r="AE191" s="374"/>
      <c r="AF191" s="374"/>
      <c r="AG191" s="374"/>
      <c r="AH191" s="374"/>
      <c r="AI191" s="374"/>
      <c r="AJ191" s="374"/>
      <c r="AK191" s="374"/>
      <c r="AL191" s="374"/>
      <c r="AM191" s="374"/>
      <c r="AN191" s="374"/>
      <c r="AO191" s="374"/>
      <c r="AP191" s="374"/>
      <c r="AQ191" s="374"/>
      <c r="AS191" s="10"/>
      <c r="AT191" s="9"/>
      <c r="AU191" s="9"/>
      <c r="AV191" s="9"/>
      <c r="AW191" s="9"/>
      <c r="AX191" s="9"/>
      <c r="AY191" s="9"/>
      <c r="AZ191" s="9"/>
      <c r="BA191" s="9"/>
      <c r="BB191" s="1707"/>
      <c r="BC191" s="374"/>
      <c r="BD191" s="374"/>
      <c r="BE191" s="374"/>
      <c r="BG191" s="1711"/>
      <c r="BH191" s="1711"/>
    </row>
    <row r="192" spans="1:60" s="70" customFormat="1" x14ac:dyDescent="0.2">
      <c r="A192" s="411"/>
      <c r="B192" s="65" t="s">
        <v>273</v>
      </c>
      <c r="C192" s="9"/>
      <c r="D192" s="9"/>
      <c r="E192" s="9"/>
      <c r="F192" s="9"/>
      <c r="G192" s="9"/>
      <c r="H192" s="9"/>
      <c r="I192" s="9"/>
      <c r="J192" s="9"/>
      <c r="K192" s="9"/>
      <c r="L192" s="9"/>
      <c r="M192" s="9"/>
      <c r="N192" s="9"/>
      <c r="O192" s="9"/>
      <c r="P192" s="9"/>
      <c r="Q192" s="9"/>
      <c r="R192" s="9"/>
      <c r="S192" s="9"/>
      <c r="T192" s="9"/>
      <c r="U192" s="9"/>
      <c r="V192" s="9"/>
      <c r="W192" s="9"/>
      <c r="X192" s="9"/>
      <c r="Y192" s="1215"/>
      <c r="Z192" s="1688"/>
      <c r="AA192" s="1742"/>
      <c r="AB192" s="1785"/>
      <c r="AC192" s="374"/>
      <c r="AD192" s="374"/>
      <c r="AE192" s="374"/>
      <c r="AF192" s="374"/>
      <c r="AG192" s="374"/>
      <c r="AH192" s="374"/>
      <c r="AI192" s="374"/>
      <c r="AJ192" s="374"/>
      <c r="AK192" s="374"/>
      <c r="AL192" s="374"/>
      <c r="AM192" s="374"/>
      <c r="AN192" s="374"/>
      <c r="AO192" s="374"/>
      <c r="AP192" s="374"/>
      <c r="AQ192" s="374"/>
      <c r="AS192" s="65" t="s">
        <v>273</v>
      </c>
      <c r="AT192" s="9"/>
      <c r="AU192" s="9"/>
      <c r="AV192" s="9"/>
      <c r="AW192" s="9"/>
      <c r="AX192" s="9"/>
      <c r="AY192" s="9"/>
      <c r="AZ192" s="9"/>
      <c r="BA192" s="9"/>
      <c r="BB192" s="1707"/>
      <c r="BC192" s="374"/>
      <c r="BD192" s="374"/>
      <c r="BE192" s="374"/>
      <c r="BG192" s="1711"/>
      <c r="BH192" s="1711"/>
    </row>
    <row r="193" spans="1:60" s="70" customFormat="1" x14ac:dyDescent="0.2">
      <c r="A193" s="411"/>
      <c r="B193" s="10"/>
      <c r="C193" s="9" t="s">
        <v>290</v>
      </c>
      <c r="D193" s="67">
        <f>Model!D542</f>
        <v>2.1986970684039087E-3</v>
      </c>
      <c r="E193" s="67">
        <f>Model!E542</f>
        <v>2.4695713529723057E-3</v>
      </c>
      <c r="F193" s="67">
        <f>Model!F542</f>
        <v>2.6147509889990787E-3</v>
      </c>
      <c r="G193" s="67">
        <f>Model!G542</f>
        <v>2.5945527300890669E-3</v>
      </c>
      <c r="H193" s="67">
        <f>Model!H542</f>
        <v>1.3540220609857007E-3</v>
      </c>
      <c r="I193" s="67">
        <f>Model!I542</f>
        <v>1.6926838442730863E-3</v>
      </c>
      <c r="J193" s="67">
        <f>Model!J542</f>
        <v>1.8566909641039746E-3</v>
      </c>
      <c r="K193" s="67">
        <f>Model!K542</f>
        <v>2.7734743182778457E-3</v>
      </c>
      <c r="L193" s="67">
        <f>Model!L542</f>
        <v>3.6696473764130252E-3</v>
      </c>
      <c r="M193" s="67">
        <f>Model!M542</f>
        <v>2.4709018791859026E-3</v>
      </c>
      <c r="N193" s="67">
        <f>Model!N542</f>
        <v>3.5353194172352449E-3</v>
      </c>
      <c r="O193" s="67">
        <f>Model!O542</f>
        <v>1.2667848999239929E-3</v>
      </c>
      <c r="P193" s="67">
        <f>Model!P542</f>
        <v>1.7382593836544693E-3</v>
      </c>
      <c r="Q193" s="67">
        <f>Model!Q542</f>
        <v>1.8888586736831275E-3</v>
      </c>
      <c r="R193" s="67">
        <f>Model!R542</f>
        <v>1.3374295611104582E-3</v>
      </c>
      <c r="S193" s="67">
        <f>Model!S542</f>
        <v>2.4192902347192182E-3</v>
      </c>
      <c r="T193" s="67">
        <f>Model!T542</f>
        <v>1.287687551408231E-3</v>
      </c>
      <c r="U193" s="67">
        <f>Model!U542</f>
        <v>1.2250801706876406E-3</v>
      </c>
      <c r="V193" s="67">
        <f>Model!V542</f>
        <v>1.2463236060991636E-3</v>
      </c>
      <c r="W193" s="67">
        <f>Model!W542</f>
        <v>3.3548299350568394E-3</v>
      </c>
      <c r="X193" s="67">
        <f>Model!X542</f>
        <v>2.6279406022100033E-3</v>
      </c>
      <c r="Y193" s="67">
        <f>Model!Y542</f>
        <v>1.7366420551356548E-3</v>
      </c>
      <c r="Z193" s="67">
        <f>Model!Z542</f>
        <v>3.3653509079436305E-3</v>
      </c>
      <c r="AA193" s="67">
        <f>Model!AA542</f>
        <v>2.4818350877132355E-3</v>
      </c>
      <c r="AB193" s="67">
        <f>Model!AB542</f>
        <v>2.2122072683870438E-3</v>
      </c>
      <c r="AC193" s="262">
        <v>2.2000000000000001E-3</v>
      </c>
      <c r="AD193" s="262">
        <v>2.2000000000000001E-3</v>
      </c>
      <c r="AE193" s="262">
        <v>2.2000000000000001E-3</v>
      </c>
      <c r="AF193" s="262">
        <v>2.2000000000000001E-3</v>
      </c>
      <c r="AG193" s="262">
        <v>2.2000000000000001E-3</v>
      </c>
      <c r="AH193" s="262">
        <v>2.2000000000000001E-3</v>
      </c>
      <c r="AI193" s="262">
        <v>2.2000000000000001E-3</v>
      </c>
      <c r="AJ193" s="262"/>
      <c r="AK193" s="262"/>
      <c r="AL193" s="262"/>
      <c r="AM193" s="262"/>
      <c r="AN193" s="262"/>
      <c r="AO193" s="262"/>
      <c r="AP193" s="262"/>
      <c r="AQ193" s="262"/>
      <c r="AS193" s="10"/>
      <c r="AT193" s="9" t="s">
        <v>290</v>
      </c>
      <c r="AU193" s="67">
        <f>Model!AU542</f>
        <v>2.494924365903177E-3</v>
      </c>
      <c r="AV193" s="67">
        <f>Model!AV542</f>
        <v>1.8367378821050847E-3</v>
      </c>
      <c r="AW193" s="67">
        <f>Model!AW542</f>
        <v>2.2420184858965566E-3</v>
      </c>
      <c r="AX193" s="67">
        <f>Model!AX542</f>
        <v>1.7938559203810262E-3</v>
      </c>
      <c r="AY193" s="67">
        <f>Model!AY542</f>
        <v>1.5371537753265298E-3</v>
      </c>
      <c r="AZ193" s="67">
        <f>Model!AZ542</f>
        <v>2.356752570402789E-3</v>
      </c>
      <c r="BA193" s="67">
        <f>Model!BA542</f>
        <v>2.2022985131025536E-3</v>
      </c>
      <c r="BB193" s="67">
        <f>Model!BB542</f>
        <v>2.2000000000000001E-3</v>
      </c>
      <c r="BC193" s="262">
        <v>2.2000000000000001E-3</v>
      </c>
      <c r="BD193" s="262">
        <v>2.2000000000000001E-3</v>
      </c>
      <c r="BE193" s="262">
        <v>2.2000000000000001E-3</v>
      </c>
      <c r="BG193" s="1719"/>
      <c r="BH193" s="1710"/>
    </row>
    <row r="194" spans="1:60" s="70" customFormat="1" x14ac:dyDescent="0.2">
      <c r="A194" s="411"/>
      <c r="B194" s="10"/>
      <c r="C194" s="9" t="s">
        <v>264</v>
      </c>
      <c r="D194" s="67">
        <f>Model!D552</f>
        <v>1.1898056885384398E-2</v>
      </c>
      <c r="E194" s="67">
        <f>Model!E552</f>
        <v>1.7237072195853111E-2</v>
      </c>
      <c r="F194" s="67">
        <f>Model!F552</f>
        <v>1.2582781456953643E-2</v>
      </c>
      <c r="G194" s="67">
        <f>Model!G552</f>
        <v>1.2423611577462896E-2</v>
      </c>
      <c r="H194" s="67">
        <f>Model!H552</f>
        <v>1.6765747111081423E-2</v>
      </c>
      <c r="I194" s="67">
        <f>Model!I552</f>
        <v>2.0444858817261588E-2</v>
      </c>
      <c r="J194" s="67">
        <f>Model!J552</f>
        <v>2.4606299212598427E-2</v>
      </c>
      <c r="K194" s="67">
        <f>Model!K552</f>
        <v>2.0696080388633794E-2</v>
      </c>
      <c r="L194" s="67">
        <f>Model!L552</f>
        <v>2.748414376321353E-2</v>
      </c>
      <c r="M194" s="67">
        <f>Model!M552</f>
        <v>1.8849206349206348E-2</v>
      </c>
      <c r="N194" s="67">
        <f>Model!N552</f>
        <v>1.5464714676014228E-2</v>
      </c>
      <c r="O194" s="67">
        <f>Model!O552</f>
        <v>2.2499999999999999E-2</v>
      </c>
      <c r="P194" s="67">
        <f>Model!P552</f>
        <v>1.7071908949818936E-2</v>
      </c>
      <c r="Q194" s="67">
        <f>Model!Q552</f>
        <v>1.9587083112758072E-2</v>
      </c>
      <c r="R194" s="67">
        <f>Model!R552</f>
        <v>2.2593705106438555E-2</v>
      </c>
      <c r="S194" s="67">
        <f>Model!S552</f>
        <v>1.854853232486944E-2</v>
      </c>
      <c r="T194" s="67">
        <f>Model!T552</f>
        <v>2.0679985979670523E-2</v>
      </c>
      <c r="U194" s="67">
        <f>Model!U552</f>
        <v>1.264351111757012E-2</v>
      </c>
      <c r="V194" s="67">
        <f>Model!V552</f>
        <v>2.2134627046694968E-2</v>
      </c>
      <c r="W194" s="67">
        <f>Model!W552</f>
        <v>2.2656808967326497E-2</v>
      </c>
      <c r="X194" s="67">
        <f>Model!X552</f>
        <v>2.1444501629782124E-2</v>
      </c>
      <c r="Y194" s="67">
        <f>Model!Y552</f>
        <v>1.9873938770259839E-2</v>
      </c>
      <c r="Z194" s="67">
        <f>Model!Z552</f>
        <v>2.9551501330292666E-2</v>
      </c>
      <c r="AA194" s="67">
        <f>Model!AA552</f>
        <v>2.9648003779825183E-2</v>
      </c>
      <c r="AB194" s="67">
        <f>Model!AB552</f>
        <v>1.2935680919870643E-2</v>
      </c>
      <c r="AC194" s="262">
        <v>1.6500000000000001E-2</v>
      </c>
      <c r="AD194" s="262">
        <v>1.6500000000000001E-2</v>
      </c>
      <c r="AE194" s="262">
        <v>1.6500000000000001E-2</v>
      </c>
      <c r="AF194" s="262">
        <v>1.6E-2</v>
      </c>
      <c r="AG194" s="262">
        <v>1.6E-2</v>
      </c>
      <c r="AH194" s="262">
        <v>1.6E-2</v>
      </c>
      <c r="AI194" s="262">
        <v>1.6E-2</v>
      </c>
      <c r="AJ194" s="262"/>
      <c r="AK194" s="262"/>
      <c r="AL194" s="262"/>
      <c r="AM194" s="262"/>
      <c r="AN194" s="262"/>
      <c r="AO194" s="262"/>
      <c r="AP194" s="262"/>
      <c r="AQ194" s="262"/>
      <c r="AS194" s="10"/>
      <c r="AT194" s="9" t="s">
        <v>264</v>
      </c>
      <c r="AU194" s="67">
        <f>Model!AU552</f>
        <v>1.3383552126375837E-2</v>
      </c>
      <c r="AV194" s="67">
        <f>Model!AV552</f>
        <v>2.0115915848105077E-2</v>
      </c>
      <c r="AW194" s="67">
        <f>Model!AW552</f>
        <v>1.9953388883567985E-2</v>
      </c>
      <c r="AX194" s="67">
        <f>Model!AX552</f>
        <v>1.9111504872800913E-2</v>
      </c>
      <c r="AY194" s="67">
        <f>Model!AY552</f>
        <v>1.8229317851959363E-2</v>
      </c>
      <c r="AZ194" s="67">
        <f>Model!AZ552</f>
        <v>2.4266170231188846E-2</v>
      </c>
      <c r="BA194" s="67">
        <f>Model!BA552</f>
        <v>1.5408582798006823E-2</v>
      </c>
      <c r="BB194" s="67">
        <f>Model!BB552</f>
        <v>1.6000000000000004E-2</v>
      </c>
      <c r="BC194" s="262">
        <v>1.6E-2</v>
      </c>
      <c r="BD194" s="262">
        <v>1.6199999999999999E-2</v>
      </c>
      <c r="BE194" s="262">
        <v>1.6299999999999999E-2</v>
      </c>
      <c r="BG194" s="1719"/>
      <c r="BH194" s="1710"/>
    </row>
    <row r="195" spans="1:60" s="70" customFormat="1" x14ac:dyDescent="0.2">
      <c r="A195" s="411"/>
      <c r="B195" s="10"/>
      <c r="C195" s="9" t="s">
        <v>265</v>
      </c>
      <c r="D195" s="67">
        <f>Model!D562</f>
        <v>5.7857741010480367E-3</v>
      </c>
      <c r="E195" s="67">
        <f>Model!E562</f>
        <v>7.273228011316692E-3</v>
      </c>
      <c r="F195" s="67">
        <f>Model!F562</f>
        <v>7.0573447899280875E-3</v>
      </c>
      <c r="G195" s="67">
        <f>Model!G562</f>
        <v>8.6714561569737458E-3</v>
      </c>
      <c r="H195" s="67">
        <f>Model!H562</f>
        <v>6.6357428166473392E-3</v>
      </c>
      <c r="I195" s="67">
        <f>Model!I562</f>
        <v>7.164790174002047E-3</v>
      </c>
      <c r="J195" s="67">
        <f>Model!J562</f>
        <v>6.5534335270511796E-3</v>
      </c>
      <c r="K195" s="67">
        <f>Model!K562</f>
        <v>7.4917474726635029E-3</v>
      </c>
      <c r="L195" s="67">
        <f>Model!L562</f>
        <v>5.5063083345058862E-3</v>
      </c>
      <c r="M195" s="67">
        <f>Model!M562</f>
        <v>7.6815997236249836E-3</v>
      </c>
      <c r="N195" s="67">
        <f>Model!N562</f>
        <v>8.3662894657843562E-3</v>
      </c>
      <c r="O195" s="67">
        <f>Model!O562</f>
        <v>7.6558962749536941E-3</v>
      </c>
      <c r="P195" s="67">
        <f>Model!P562</f>
        <v>5.8894461823456425E-3</v>
      </c>
      <c r="Q195" s="67">
        <f>Model!Q562</f>
        <v>7.8425096030729832E-3</v>
      </c>
      <c r="R195" s="67">
        <f>Model!R562</f>
        <v>7.5078918181042571E-3</v>
      </c>
      <c r="S195" s="67">
        <f>Model!S562</f>
        <v>7.1651090342679125E-3</v>
      </c>
      <c r="T195" s="67">
        <f>Model!T562</f>
        <v>5.2058684335068621E-3</v>
      </c>
      <c r="U195" s="67">
        <f>Model!U562</f>
        <v>6.8923488919025626E-3</v>
      </c>
      <c r="V195" s="67">
        <f>Model!V562</f>
        <v>6.5934896374525327E-3</v>
      </c>
      <c r="W195" s="67">
        <f>Model!W562</f>
        <v>8.4513685975969293E-3</v>
      </c>
      <c r="X195" s="67">
        <f>Model!X562</f>
        <v>5.9015531217127652E-3</v>
      </c>
      <c r="Y195" s="67">
        <f>Model!Y562</f>
        <v>7.4989263651679822E-3</v>
      </c>
      <c r="Z195" s="67">
        <f>Model!Z562</f>
        <v>6.5643740882813766E-3</v>
      </c>
      <c r="AA195" s="67">
        <f>Model!AA562</f>
        <v>6.9982648930017348E-3</v>
      </c>
      <c r="AB195" s="67">
        <f>Model!AB562</f>
        <v>5.6036556036556037E-3</v>
      </c>
      <c r="AC195" s="262">
        <v>6.3E-3</v>
      </c>
      <c r="AD195" s="262">
        <v>6.3E-3</v>
      </c>
      <c r="AE195" s="262">
        <v>6.3E-3</v>
      </c>
      <c r="AF195" s="262">
        <v>6.3E-3</v>
      </c>
      <c r="AG195" s="262">
        <v>6.3E-3</v>
      </c>
      <c r="AH195" s="262">
        <v>6.1999999999999998E-3</v>
      </c>
      <c r="AI195" s="262">
        <v>6.1999999999999998E-3</v>
      </c>
      <c r="AJ195" s="262"/>
      <c r="AK195" s="262"/>
      <c r="AL195" s="262"/>
      <c r="AM195" s="262"/>
      <c r="AN195" s="262"/>
      <c r="AO195" s="262"/>
      <c r="AP195" s="262"/>
      <c r="AQ195" s="262"/>
      <c r="AS195" s="10"/>
      <c r="AT195" s="9" t="s">
        <v>265</v>
      </c>
      <c r="AU195" s="67">
        <f>Model!AU562</f>
        <v>7.0613036334145219E-3</v>
      </c>
      <c r="AV195" s="67">
        <f>Model!AV562</f>
        <v>6.9277991294367089E-3</v>
      </c>
      <c r="AW195" s="67">
        <f>Model!AW562</f>
        <v>7.1701774774063252E-3</v>
      </c>
      <c r="AX195" s="67">
        <f>Model!AX562</f>
        <v>7.0051867958527544E-3</v>
      </c>
      <c r="AY195" s="67">
        <f>Model!AY562</f>
        <v>6.6831454271439675E-3</v>
      </c>
      <c r="AZ195" s="67">
        <f>Model!AZ562</f>
        <v>6.7201816125856146E-3</v>
      </c>
      <c r="BA195" s="67">
        <f>Model!BA562</f>
        <v>6.1245363812818939E-3</v>
      </c>
      <c r="BB195" s="67">
        <f>Model!BB562</f>
        <v>6.2500892275750043E-3</v>
      </c>
      <c r="BC195" s="262">
        <v>6.2500000000000003E-3</v>
      </c>
      <c r="BD195" s="262">
        <v>6.2500000000000003E-3</v>
      </c>
      <c r="BE195" s="262">
        <v>6.2500000000000003E-3</v>
      </c>
      <c r="BG195" s="1719"/>
      <c r="BH195" s="1710"/>
    </row>
    <row r="196" spans="1:60" s="70" customFormat="1" x14ac:dyDescent="0.2">
      <c r="A196" s="411"/>
      <c r="B196" s="10"/>
      <c r="C196" s="9"/>
      <c r="D196" s="50"/>
      <c r="E196" s="50"/>
      <c r="F196" s="50"/>
      <c r="G196" s="50"/>
      <c r="H196" s="50"/>
      <c r="I196" s="50"/>
      <c r="J196" s="50"/>
      <c r="K196" s="50"/>
      <c r="L196" s="50"/>
      <c r="M196" s="50"/>
      <c r="N196" s="50"/>
      <c r="O196" s="50"/>
      <c r="P196" s="50"/>
      <c r="Q196" s="50"/>
      <c r="R196" s="50"/>
      <c r="S196" s="50"/>
      <c r="T196" s="50"/>
      <c r="U196" s="50"/>
      <c r="V196" s="50"/>
      <c r="W196" s="50"/>
      <c r="X196" s="50"/>
      <c r="Y196" s="50"/>
      <c r="Z196" s="50"/>
      <c r="AA196" s="50"/>
      <c r="AB196" s="50"/>
      <c r="AC196" s="9"/>
      <c r="AD196" s="9"/>
      <c r="AE196" s="9"/>
      <c r="AF196" s="1707"/>
      <c r="AG196" s="1707"/>
      <c r="AH196" s="1707"/>
      <c r="AI196" s="1707"/>
      <c r="AJ196" s="1740"/>
      <c r="AK196" s="1740"/>
      <c r="AL196" s="1740"/>
      <c r="AM196" s="1740"/>
      <c r="AN196" s="1740"/>
      <c r="AO196" s="1740"/>
      <c r="AP196" s="1740"/>
      <c r="AQ196" s="1740"/>
      <c r="AS196" s="10"/>
      <c r="AT196" s="9"/>
      <c r="AU196" s="50"/>
      <c r="AV196" s="50"/>
      <c r="AW196" s="50"/>
      <c r="AX196" s="50"/>
      <c r="AY196" s="50"/>
      <c r="AZ196" s="50"/>
      <c r="BA196" s="50"/>
      <c r="BB196" s="50"/>
      <c r="BC196" s="9"/>
      <c r="BD196" s="9"/>
      <c r="BE196" s="1702"/>
      <c r="BG196" s="15"/>
      <c r="BH196" s="15"/>
    </row>
    <row r="197" spans="1:60" s="70" customFormat="1" x14ac:dyDescent="0.2">
      <c r="A197" s="411"/>
      <c r="B197" s="65" t="s">
        <v>1179</v>
      </c>
      <c r="C197" s="9"/>
      <c r="D197" s="9"/>
      <c r="E197" s="9"/>
      <c r="F197" s="9"/>
      <c r="G197" s="9"/>
      <c r="H197" s="9"/>
      <c r="I197" s="9"/>
      <c r="J197" s="9"/>
      <c r="K197" s="9"/>
      <c r="L197" s="9"/>
      <c r="M197" s="9"/>
      <c r="N197" s="9"/>
      <c r="O197" s="9"/>
      <c r="P197" s="9"/>
      <c r="Q197" s="9"/>
      <c r="R197" s="9"/>
      <c r="S197" s="9"/>
      <c r="T197" s="9"/>
      <c r="U197" s="9"/>
      <c r="V197" s="9"/>
      <c r="W197" s="9"/>
      <c r="X197" s="9"/>
      <c r="Y197" s="1215"/>
      <c r="Z197" s="1688"/>
      <c r="AA197" s="1742"/>
      <c r="AB197" s="1785"/>
      <c r="AC197" s="9"/>
      <c r="AD197" s="9"/>
      <c r="AE197" s="9"/>
      <c r="AF197" s="1707"/>
      <c r="AG197" s="1707"/>
      <c r="AH197" s="1707"/>
      <c r="AI197" s="1707"/>
      <c r="AJ197" s="1740"/>
      <c r="AK197" s="1740"/>
      <c r="AL197" s="1740"/>
      <c r="AM197" s="1740"/>
      <c r="AN197" s="1740"/>
      <c r="AO197" s="1740"/>
      <c r="AP197" s="1740"/>
      <c r="AQ197" s="1740"/>
      <c r="AS197" s="65" t="s">
        <v>291</v>
      </c>
      <c r="AT197" s="9"/>
      <c r="AU197" s="9"/>
      <c r="AV197" s="9"/>
      <c r="AW197" s="9"/>
      <c r="AX197" s="9"/>
      <c r="AY197" s="9"/>
      <c r="AZ197" s="9"/>
      <c r="BA197" s="9"/>
      <c r="BB197" s="1707"/>
      <c r="BC197" s="9"/>
      <c r="BD197" s="9"/>
      <c r="BE197" s="1702"/>
      <c r="BG197" s="15"/>
      <c r="BH197" s="15"/>
    </row>
    <row r="198" spans="1:60" s="70" customFormat="1" x14ac:dyDescent="0.2">
      <c r="A198" s="411"/>
      <c r="B198" s="10"/>
      <c r="C198" s="9" t="s">
        <v>290</v>
      </c>
      <c r="D198" s="60" t="str">
        <f>Model!D543</f>
        <v>NA</v>
      </c>
      <c r="E198" s="26">
        <f>Model!E543</f>
        <v>0.81481481481481488</v>
      </c>
      <c r="F198" s="26">
        <f>Model!F543</f>
        <v>-1.5306122448979553E-2</v>
      </c>
      <c r="G198" s="26">
        <f>Model!G543</f>
        <v>4.1450777202072464E-2</v>
      </c>
      <c r="H198" s="26">
        <f>Model!H543</f>
        <v>-1.4925373134328401E-2</v>
      </c>
      <c r="I198" s="26">
        <f>Model!I543</f>
        <v>4.5454545454545414E-2</v>
      </c>
      <c r="J198" s="26">
        <f>Model!J543</f>
        <v>-0.21739130434782605</v>
      </c>
      <c r="K198" s="26">
        <f>Model!K543</f>
        <v>0.58024691358024683</v>
      </c>
      <c r="L198" s="26">
        <f>Model!L543</f>
        <v>-0.3203125</v>
      </c>
      <c r="M198" s="26">
        <f>Model!M543</f>
        <v>9.1954022988505857E-2</v>
      </c>
      <c r="N198" s="26">
        <f>Model!N543</f>
        <v>0.65263157894736845</v>
      </c>
      <c r="O198" s="26">
        <f>Model!O543</f>
        <v>-0.17197452229299359</v>
      </c>
      <c r="P198" s="26">
        <f>Model!P543</f>
        <v>0.13461538461538458</v>
      </c>
      <c r="Q198" s="26">
        <f>Model!Q543</f>
        <v>-0.12881355932203387</v>
      </c>
      <c r="R198" s="26">
        <f>Model!R543</f>
        <v>-7.0038910505836549E-2</v>
      </c>
      <c r="S198" s="26">
        <f>Model!S543</f>
        <v>0.26359832635983271</v>
      </c>
      <c r="T198" s="26">
        <f>Model!T543</f>
        <v>-0.2483443708609272</v>
      </c>
      <c r="U198" s="26">
        <f>Model!U543</f>
        <v>4.8458149779735615E-2</v>
      </c>
      <c r="V198" s="26">
        <f>Model!V543</f>
        <v>4.2016806722688926E-3</v>
      </c>
      <c r="W198" s="26">
        <f>Model!W543</f>
        <v>0.23849372384937229</v>
      </c>
      <c r="X198" s="26">
        <f>Model!X543</f>
        <v>-0.15878378378378377</v>
      </c>
      <c r="Y198" s="26">
        <f>Model!Y543</f>
        <v>0.27710843373493965</v>
      </c>
      <c r="Z198" s="26">
        <f>Model!Z543</f>
        <v>-0.24528301886792447</v>
      </c>
      <c r="AA198" s="26">
        <f>Model!AA543</f>
        <v>0.31666666666666665</v>
      </c>
      <c r="AB198" s="26">
        <f>Model!AB543</f>
        <v>-0.319620253164557</v>
      </c>
      <c r="AC198" s="26">
        <f>Model!AC543</f>
        <v>0.29521239289302392</v>
      </c>
      <c r="AD198" s="26">
        <f>Model!AD543</f>
        <v>0.10000000000000009</v>
      </c>
      <c r="AE198" s="26">
        <f>Model!AE543</f>
        <v>0.10000000000000009</v>
      </c>
      <c r="AF198" s="26">
        <f>Model!AF543</f>
        <v>3.5714285714285587E-2</v>
      </c>
      <c r="AG198" s="26">
        <f>Model!AG543</f>
        <v>-3.0000000000000138E-2</v>
      </c>
      <c r="AH198" s="26">
        <f>Model!AH543</f>
        <v>-2.0000000000000018E-2</v>
      </c>
      <c r="AI198" s="26">
        <f>Model!AI543</f>
        <v>-1.9999999999999796E-2</v>
      </c>
      <c r="AJ198" s="26"/>
      <c r="AK198" s="26"/>
      <c r="AL198" s="26"/>
      <c r="AM198" s="26"/>
      <c r="AN198" s="26"/>
      <c r="AO198" s="26"/>
      <c r="AP198" s="26"/>
      <c r="AQ198" s="26"/>
      <c r="AS198" s="10"/>
      <c r="AT198" s="9" t="s">
        <v>290</v>
      </c>
      <c r="AU198" s="60"/>
      <c r="AV198" s="26">
        <f>Model!AV543</f>
        <v>0.1790830945558739</v>
      </c>
      <c r="AW198" s="26">
        <f>Model!AW543</f>
        <v>0.13973268529769145</v>
      </c>
      <c r="AX198" s="26">
        <f>Model!AX543</f>
        <v>0.16524520255863528</v>
      </c>
      <c r="AY198" s="26">
        <f>Model!AY543</f>
        <v>-8.5086916742909469E-2</v>
      </c>
      <c r="AZ198" s="26">
        <f>Model!AZ543</f>
        <v>0.123</v>
      </c>
      <c r="BA198" s="26">
        <f>Model!BA543</f>
        <v>1.2233214071523335E-2</v>
      </c>
      <c r="BB198" s="26">
        <f>Model!BB543</f>
        <v>0.18263825254960953</v>
      </c>
      <c r="BC198" s="26">
        <f>Model!BC543</f>
        <v>8.6206896551723977E-2</v>
      </c>
      <c r="BD198" s="26">
        <f>Model!BD543</f>
        <v>5.0000000000000266E-2</v>
      </c>
      <c r="BE198" s="26">
        <f>Model!BE543</f>
        <v>5.0000000000000044E-2</v>
      </c>
      <c r="BG198" s="23"/>
      <c r="BH198" s="23"/>
    </row>
    <row r="199" spans="1:60" s="70" customFormat="1" x14ac:dyDescent="0.2">
      <c r="A199" s="411"/>
      <c r="B199" s="10"/>
      <c r="C199" s="9" t="s">
        <v>264</v>
      </c>
      <c r="D199" s="60" t="str">
        <f>Model!D553</f>
        <v>NA</v>
      </c>
      <c r="E199" s="26">
        <f>Model!E553</f>
        <v>0.2248520710059172</v>
      </c>
      <c r="F199" s="26">
        <f>Model!F553</f>
        <v>-0.17391304347826086</v>
      </c>
      <c r="G199" s="26">
        <f>Model!G553</f>
        <v>8.1871345029239873E-2</v>
      </c>
      <c r="H199" s="26">
        <f>Model!H553</f>
        <v>0.35675675675675667</v>
      </c>
      <c r="I199" s="26">
        <f>Model!I553</f>
        <v>0.22310756972111556</v>
      </c>
      <c r="J199" s="26">
        <f>Model!J553</f>
        <v>-0.34853420195439744</v>
      </c>
      <c r="K199" s="26">
        <f>Model!K553</f>
        <v>0.55499999999999994</v>
      </c>
      <c r="L199" s="26">
        <f>Model!L553</f>
        <v>-3.8585209003215382E-2</v>
      </c>
      <c r="M199" s="26">
        <f>Model!M553</f>
        <v>0.33444816053511706</v>
      </c>
      <c r="N199" s="26">
        <f>Model!N553</f>
        <v>-0.24812030075187974</v>
      </c>
      <c r="O199" s="26">
        <f>Model!O553</f>
        <v>-0.16000000000000003</v>
      </c>
      <c r="P199" s="26">
        <f>Model!P553</f>
        <v>-8.333333333333337E-2</v>
      </c>
      <c r="Q199" s="26">
        <f>Model!Q553</f>
        <v>0.28138528138528129</v>
      </c>
      <c r="R199" s="26">
        <f>Model!R553</f>
        <v>-0.41554054054054057</v>
      </c>
      <c r="S199" s="26">
        <f>Model!S553</f>
        <v>0.19075144508670516</v>
      </c>
      <c r="T199" s="26">
        <f>Model!T553</f>
        <v>-0.42718446601941751</v>
      </c>
      <c r="U199" s="26">
        <f>Model!U553</f>
        <v>0.47457627118644075</v>
      </c>
      <c r="V199" s="26">
        <f>Model!V553</f>
        <v>-0.16091954022988508</v>
      </c>
      <c r="W199" s="26">
        <f>Model!W553</f>
        <v>0.30136986301369872</v>
      </c>
      <c r="X199" s="26">
        <f>Model!X553</f>
        <v>0.31578947368421062</v>
      </c>
      <c r="Y199" s="26">
        <f>Model!Y553</f>
        <v>0.23599999999999999</v>
      </c>
      <c r="Z199" s="26">
        <f>Model!Z553</f>
        <v>6.4724919093850364E-3</v>
      </c>
      <c r="AA199" s="26">
        <f>Model!AA553</f>
        <v>-0.19292604501607713</v>
      </c>
      <c r="AB199" s="26">
        <f>Model!AB553</f>
        <v>-0.1394422310756972</v>
      </c>
      <c r="AC199" s="26">
        <f>Model!AC553</f>
        <v>-5.2430877499999973E-2</v>
      </c>
      <c r="AD199" s="26">
        <f>Model!AD553</f>
        <v>0</v>
      </c>
      <c r="AE199" s="26">
        <f>Model!AE553</f>
        <v>5.0000000000000266E-2</v>
      </c>
      <c r="AF199" s="26">
        <f>Model!AF553</f>
        <v>7.9008264462809841E-2</v>
      </c>
      <c r="AG199" s="26">
        <f>Model!AG553</f>
        <v>2.0000000000000018E-2</v>
      </c>
      <c r="AH199" s="26">
        <f>Model!AH553</f>
        <v>2.0000000000000018E-2</v>
      </c>
      <c r="AI199" s="26">
        <f>Model!AI553</f>
        <v>2.0000000000000018E-2</v>
      </c>
      <c r="AJ199" s="26"/>
      <c r="AK199" s="26"/>
      <c r="AL199" s="26"/>
      <c r="AM199" s="26"/>
      <c r="AN199" s="26"/>
      <c r="AO199" s="26"/>
      <c r="AP199" s="26"/>
      <c r="AQ199" s="26"/>
      <c r="AS199" s="10"/>
      <c r="AT199" s="9" t="s">
        <v>264</v>
      </c>
      <c r="AU199" s="60"/>
      <c r="AV199" s="26">
        <f>Model!AV553</f>
        <v>0.46038251366120209</v>
      </c>
      <c r="AW199" s="26">
        <f>Model!AW553</f>
        <v>0.16931711880261924</v>
      </c>
      <c r="AX199" s="26">
        <f>Model!AX553</f>
        <v>-0.2752</v>
      </c>
      <c r="AY199" s="26">
        <f>Model!AY553</f>
        <v>-0.30684326710816778</v>
      </c>
      <c r="AZ199" s="26">
        <f>Model!AZ553</f>
        <v>0.78503184713375807</v>
      </c>
      <c r="BA199" s="26">
        <f>Model!BA553</f>
        <v>-0.25043841400267608</v>
      </c>
      <c r="BB199" s="26">
        <f>Model!BB553</f>
        <v>0.13745041089244503</v>
      </c>
      <c r="BC199" s="26">
        <f>Model!BC553</f>
        <v>0.1375000000000004</v>
      </c>
      <c r="BD199" s="26">
        <f>Model!BD553</f>
        <v>0.14490384615384588</v>
      </c>
      <c r="BE199" s="26">
        <f>Model!BE553</f>
        <v>5.6481481481481577E-2</v>
      </c>
      <c r="BG199" s="23"/>
      <c r="BH199" s="23"/>
    </row>
    <row r="200" spans="1:60" s="70" customFormat="1" x14ac:dyDescent="0.2">
      <c r="A200" s="411"/>
      <c r="B200" s="10"/>
      <c r="C200" s="9" t="s">
        <v>265</v>
      </c>
      <c r="D200" s="60" t="str">
        <f>Model!D563</f>
        <v>NA</v>
      </c>
      <c r="E200" s="60">
        <f>Model!E563</f>
        <v>-0.15058479532163738</v>
      </c>
      <c r="F200" s="60">
        <f>Model!F563</f>
        <v>0.17900172117039581</v>
      </c>
      <c r="G200" s="60">
        <f>Model!G563</f>
        <v>5.5474452554744591E-2</v>
      </c>
      <c r="H200" s="60">
        <f>Model!H563</f>
        <v>-2.7662517289073207E-3</v>
      </c>
      <c r="I200" s="60">
        <f>Model!I563</f>
        <v>-0.10679611650485432</v>
      </c>
      <c r="J200" s="60">
        <f>Model!J563</f>
        <v>-9.4720496894409978E-2</v>
      </c>
      <c r="K200" s="60">
        <f>Model!K563</f>
        <v>-3.4305317324184736E-3</v>
      </c>
      <c r="L200" s="60">
        <f>Model!L563</f>
        <v>1.0327022375215211E-2</v>
      </c>
      <c r="M200" s="60">
        <f>Model!M563</f>
        <v>0.28790459965928439</v>
      </c>
      <c r="N200" s="60">
        <f>Model!N563</f>
        <v>-0.15211640211640209</v>
      </c>
      <c r="O200" s="60">
        <f>Model!O563</f>
        <v>-0.1294851794071763</v>
      </c>
      <c r="P200" s="60">
        <f>Model!P563</f>
        <v>0.20788530465949817</v>
      </c>
      <c r="Q200" s="60">
        <f>Model!Q563</f>
        <v>9.0504451038575739E-2</v>
      </c>
      <c r="R200" s="60">
        <f>Model!R563</f>
        <v>-0.28163265306122454</v>
      </c>
      <c r="S200" s="60">
        <f>Model!S563</f>
        <v>0.17613636363636354</v>
      </c>
      <c r="T200" s="60">
        <f>Model!T563</f>
        <v>-0.14975845410628019</v>
      </c>
      <c r="U200" s="60">
        <f>Model!U563</f>
        <v>0.52083333333333326</v>
      </c>
      <c r="V200" s="60">
        <f>Model!V563</f>
        <v>-0.13075965130759648</v>
      </c>
      <c r="W200" s="60">
        <f>Model!W563</f>
        <v>-7.5931232091690504E-2</v>
      </c>
      <c r="X200" s="60">
        <f>Model!X563</f>
        <v>0.1829457364341085</v>
      </c>
      <c r="Y200" s="60">
        <f>Model!Y563</f>
        <v>0.19003931847968536</v>
      </c>
      <c r="Z200" s="60">
        <f>Model!Z563</f>
        <v>-0.19713656387665202</v>
      </c>
      <c r="AA200" s="60">
        <f>Model!AA563</f>
        <v>-4.1152263374485409E-3</v>
      </c>
      <c r="AB200" s="60">
        <f>Model!AB563</f>
        <v>-3.7190082644628086E-2</v>
      </c>
      <c r="AC200" s="60">
        <f>Model!AC563</f>
        <v>0.17002383533008247</v>
      </c>
      <c r="AD200" s="60">
        <f>Model!AD563</f>
        <v>-4.9999999999999933E-2</v>
      </c>
      <c r="AE200" s="60">
        <f>Model!AE563</f>
        <v>-5.0000000000000044E-2</v>
      </c>
      <c r="AF200" s="60">
        <f>Model!AF563</f>
        <v>8.0000000000000293E-2</v>
      </c>
      <c r="AG200" s="60">
        <f>Model!AG563</f>
        <v>3.9999999999999813E-2</v>
      </c>
      <c r="AH200" s="60">
        <f>Model!AH563</f>
        <v>-4.5396825396825324E-2</v>
      </c>
      <c r="AI200" s="60">
        <f>Model!AI563</f>
        <v>1.4999999999999902E-2</v>
      </c>
      <c r="AJ200" s="60"/>
      <c r="AK200" s="60"/>
      <c r="AL200" s="60"/>
      <c r="AM200" s="60"/>
      <c r="AN200" s="60"/>
      <c r="AO200" s="60"/>
      <c r="AP200" s="60"/>
      <c r="AQ200" s="60"/>
      <c r="AS200" s="10"/>
      <c r="AT200" s="9" t="s">
        <v>265</v>
      </c>
      <c r="AU200" s="60"/>
      <c r="AV200" s="26">
        <f>Model!AV563</f>
        <v>-5.3872053872053849E-2</v>
      </c>
      <c r="AW200" s="26">
        <f>Model!AW563</f>
        <v>5.1403716884144135E-3</v>
      </c>
      <c r="AX200" s="26">
        <f>Model!AX563</f>
        <v>6.2942564909520549E-3</v>
      </c>
      <c r="AY200" s="26">
        <f>Model!AY563</f>
        <v>4.5347928068803833E-2</v>
      </c>
      <c r="AZ200" s="26">
        <f>Model!AZ563</f>
        <v>0.16903515332834695</v>
      </c>
      <c r="BA200" s="26">
        <f>Model!BA563</f>
        <v>-3.0099935954874368E-2</v>
      </c>
      <c r="BB200" s="26">
        <f>Model!BB563</f>
        <v>6.2327417292498577E-2</v>
      </c>
      <c r="BC200" s="26">
        <f>Model!BC563</f>
        <v>3.9985152743484909E-2</v>
      </c>
      <c r="BD200" s="26">
        <f>Model!BD563</f>
        <v>4.0000000000000036E-2</v>
      </c>
      <c r="BE200" s="26">
        <f>Model!BE563</f>
        <v>4.0000000000000258E-2</v>
      </c>
      <c r="BG200" s="23"/>
      <c r="BH200" s="23"/>
    </row>
    <row r="201" spans="1:60" s="70" customFormat="1" x14ac:dyDescent="0.2">
      <c r="A201" s="411"/>
      <c r="B201" s="10"/>
      <c r="C201" s="1079" t="s">
        <v>1146</v>
      </c>
      <c r="D201" s="60" t="str">
        <f>Model!D567</f>
        <v>NA</v>
      </c>
      <c r="E201" s="60">
        <f>Model!E567</f>
        <v>2.3933402705515139E-2</v>
      </c>
      <c r="F201" s="60">
        <f>Model!F567</f>
        <v>6.6056910569105787E-2</v>
      </c>
      <c r="G201" s="60">
        <f>Model!G567</f>
        <v>5.7197330791229684E-2</v>
      </c>
      <c r="H201" s="60">
        <f>Model!H567</f>
        <v>5.5004508566276034E-2</v>
      </c>
      <c r="I201" s="60">
        <f>Model!I567</f>
        <v>-1.025641025641022E-2</v>
      </c>
      <c r="J201" s="60">
        <f>Model!J567</f>
        <v>-0.18393782383419688</v>
      </c>
      <c r="K201" s="60">
        <f>Model!K567</f>
        <v>0.21481481481481479</v>
      </c>
      <c r="L201" s="60">
        <f>Model!L567</f>
        <v>-7.6655052264808399E-2</v>
      </c>
      <c r="M201" s="60">
        <f>Model!M567</f>
        <v>0.26886792452830188</v>
      </c>
      <c r="N201" s="60">
        <f>Model!N567</f>
        <v>-6.6914498141263934E-2</v>
      </c>
      <c r="O201" s="60">
        <f>Model!O567</f>
        <v>-0.14741035856573703</v>
      </c>
      <c r="P201" s="60">
        <f>Model!P567</f>
        <v>0.12149532710280364</v>
      </c>
      <c r="Q201" s="60">
        <f>Model!Q567</f>
        <v>7.333333333333325E-2</v>
      </c>
      <c r="R201" s="60">
        <f>Model!R567</f>
        <v>-0.27018633540372672</v>
      </c>
      <c r="S201" s="60">
        <f>Model!S567</f>
        <v>0.20106382978723403</v>
      </c>
      <c r="T201" s="60">
        <f>Model!T567</f>
        <v>-0.22674933569530553</v>
      </c>
      <c r="U201" s="60">
        <f>Model!U567</f>
        <v>0.39175257731958757</v>
      </c>
      <c r="V201" s="60">
        <f>Model!V567</f>
        <v>-0.10864197530864195</v>
      </c>
      <c r="W201" s="60">
        <f>Model!W567</f>
        <v>4.4321329639889218E-2</v>
      </c>
      <c r="X201" s="60">
        <f>Model!X567</f>
        <v>0.11582670203359857</v>
      </c>
      <c r="Y201" s="60">
        <f>Model!Y567</f>
        <v>0.21632329635499215</v>
      </c>
      <c r="Z201" s="60">
        <f>Model!Z567</f>
        <v>-0.16612377850162863</v>
      </c>
      <c r="AA201" s="60">
        <f>Model!AA567</f>
        <v>1.0156250000000089E-2</v>
      </c>
      <c r="AB201" s="60">
        <f>Model!AB567</f>
        <v>-0.1260634184068059</v>
      </c>
      <c r="AC201" s="60">
        <f>Model!AC567</f>
        <v>0.15132058037852003</v>
      </c>
      <c r="AD201" s="60">
        <f>Model!AD567</f>
        <v>-1.0027166986698588E-2</v>
      </c>
      <c r="AE201" s="60">
        <f>Model!AE567</f>
        <v>1.5666818892750012E-3</v>
      </c>
      <c r="AF201" s="60">
        <f>Model!AF567</f>
        <v>6.8266980522167175E-2</v>
      </c>
      <c r="AG201" s="60">
        <f>Model!AG567</f>
        <v>1.8907083706431793E-2</v>
      </c>
      <c r="AH201" s="60">
        <f>Model!AH567</f>
        <v>-2.8257341290024218E-2</v>
      </c>
      <c r="AI201" s="60">
        <f>Model!AI567</f>
        <v>7.3741560910067783E-3</v>
      </c>
      <c r="AJ201" s="60"/>
      <c r="AK201" s="60"/>
      <c r="AL201" s="60"/>
      <c r="AM201" s="60"/>
      <c r="AN201" s="60"/>
      <c r="AO201" s="60"/>
      <c r="AP201" s="60"/>
      <c r="AQ201" s="60"/>
      <c r="AS201" s="10"/>
      <c r="AT201" s="1079" t="s">
        <v>1146</v>
      </c>
      <c r="AU201" s="60"/>
      <c r="AV201" s="60">
        <f>Model!AV567</f>
        <v>7.7504265171825404E-2</v>
      </c>
      <c r="AW201" s="60">
        <f>Model!AW567</f>
        <v>6.9893689210585919E-2</v>
      </c>
      <c r="AX201" s="60">
        <f>Model!AX567</f>
        <v>-3.6575052854122658E-2</v>
      </c>
      <c r="AY201" s="60">
        <f>Model!AY567</f>
        <v>-5.5957867017774832E-2</v>
      </c>
      <c r="AZ201" s="60">
        <f>Model!AZ567</f>
        <v>0.24825662482566258</v>
      </c>
      <c r="BA201" s="60">
        <f>Model!BA567</f>
        <v>-6.7243195994342031E-2</v>
      </c>
      <c r="BB201" s="60">
        <f>Model!BB567</f>
        <v>0.10223327721990194</v>
      </c>
      <c r="BC201" s="60">
        <f>Model!BC567</f>
        <v>6.8121139399424324E-2</v>
      </c>
      <c r="BD201" s="60">
        <f>Model!BD567</f>
        <v>6.1815991346446442E-2</v>
      </c>
      <c r="BE201" s="60">
        <f>Model!BE567</f>
        <v>4.572490063464274E-2</v>
      </c>
      <c r="BG201" s="256"/>
      <c r="BH201" s="256"/>
    </row>
    <row r="202" spans="1:60" s="70" customFormat="1" x14ac:dyDescent="0.2">
      <c r="A202" s="411"/>
      <c r="B202" s="10"/>
      <c r="C202" s="9"/>
      <c r="D202" s="9"/>
      <c r="E202" s="9"/>
      <c r="F202" s="9"/>
      <c r="G202" s="9"/>
      <c r="H202" s="9"/>
      <c r="I202" s="9"/>
      <c r="J202" s="9"/>
      <c r="K202" s="9"/>
      <c r="L202" s="9"/>
      <c r="M202" s="9"/>
      <c r="N202" s="9"/>
      <c r="O202" s="9"/>
      <c r="P202" s="9"/>
      <c r="Q202" s="9"/>
      <c r="R202" s="9"/>
      <c r="S202" s="9"/>
      <c r="T202" s="9"/>
      <c r="U202" s="9"/>
      <c r="V202" s="9"/>
      <c r="W202" s="9"/>
      <c r="X202" s="9"/>
      <c r="Y202" s="1215"/>
      <c r="Z202" s="1688"/>
      <c r="AA202" s="1742"/>
      <c r="AB202" s="1785"/>
      <c r="AC202" s="9"/>
      <c r="AD202" s="9"/>
      <c r="AE202" s="9"/>
      <c r="AF202" s="1707"/>
      <c r="AG202" s="1707"/>
      <c r="AH202" s="1707"/>
      <c r="AI202" s="1707"/>
      <c r="AJ202" s="1740"/>
      <c r="AK202" s="1740"/>
      <c r="AL202" s="1740"/>
      <c r="AM202" s="1740"/>
      <c r="AN202" s="1740"/>
      <c r="AO202" s="1740"/>
      <c r="AP202" s="1740"/>
      <c r="AQ202" s="1740"/>
    </row>
    <row r="203" spans="1:60" s="70" customFormat="1" x14ac:dyDescent="0.2">
      <c r="A203" s="411"/>
      <c r="B203" s="65" t="s">
        <v>963</v>
      </c>
      <c r="C203" s="895"/>
      <c r="D203" s="895"/>
      <c r="E203" s="895"/>
      <c r="F203" s="895"/>
      <c r="G203" s="895"/>
      <c r="H203" s="895"/>
      <c r="I203" s="895"/>
      <c r="J203" s="895"/>
      <c r="K203" s="895"/>
      <c r="L203" s="895"/>
      <c r="M203" s="895"/>
      <c r="N203" s="895"/>
      <c r="O203" s="895"/>
      <c r="P203" s="895"/>
      <c r="Q203" s="895"/>
      <c r="R203" s="895"/>
      <c r="S203" s="895"/>
      <c r="T203" s="895"/>
      <c r="U203" s="895"/>
      <c r="V203" s="895"/>
      <c r="W203" s="895"/>
      <c r="X203" s="895"/>
      <c r="Y203" s="1215"/>
      <c r="Z203" s="1688"/>
      <c r="AA203" s="1742"/>
      <c r="AB203" s="1785"/>
      <c r="AC203" s="895"/>
      <c r="AD203" s="895"/>
      <c r="AE203" s="895"/>
      <c r="AF203" s="1707"/>
      <c r="AG203" s="1707"/>
      <c r="AH203" s="1707"/>
      <c r="AI203" s="1707"/>
      <c r="AJ203" s="1740"/>
      <c r="AK203" s="1740"/>
      <c r="AL203" s="1740"/>
      <c r="AM203" s="1740"/>
      <c r="AN203" s="1740"/>
      <c r="AO203" s="1740"/>
      <c r="AP203" s="1740"/>
      <c r="AQ203" s="1740"/>
      <c r="AS203" s="65" t="s">
        <v>963</v>
      </c>
      <c r="AT203" s="895"/>
    </row>
    <row r="204" spans="1:60" s="70" customFormat="1" x14ac:dyDescent="0.2">
      <c r="A204" s="411"/>
      <c r="B204" s="10"/>
      <c r="C204" s="895" t="s">
        <v>290</v>
      </c>
      <c r="D204" s="60" t="s">
        <v>229</v>
      </c>
      <c r="E204" s="60" t="s">
        <v>229</v>
      </c>
      <c r="F204" s="60" t="s">
        <v>229</v>
      </c>
      <c r="G204" s="60" t="s">
        <v>229</v>
      </c>
      <c r="H204" s="26">
        <f>Model!H544</f>
        <v>0.83333333333333326</v>
      </c>
      <c r="I204" s="26">
        <f>Model!I544</f>
        <v>5.6122448979591733E-2</v>
      </c>
      <c r="J204" s="26">
        <f>Model!J544</f>
        <v>-0.1606217616580311</v>
      </c>
      <c r="K204" s="26">
        <f>Model!K544</f>
        <v>0.27363184079601988</v>
      </c>
      <c r="L204" s="26">
        <f>Model!L544</f>
        <v>-0.12121212121212122</v>
      </c>
      <c r="M204" s="26">
        <f>Model!M544</f>
        <v>-8.2125603864734331E-2</v>
      </c>
      <c r="N204" s="26">
        <f>Model!N544</f>
        <v>0.93827160493827155</v>
      </c>
      <c r="O204" s="26">
        <f>Model!O544</f>
        <v>1.5625E-2</v>
      </c>
      <c r="P204" s="26">
        <f>Model!P544</f>
        <v>0.69540229885057481</v>
      </c>
      <c r="Q204" s="26">
        <f>Model!Q544</f>
        <v>0.35263157894736841</v>
      </c>
      <c r="R204" s="26">
        <f>Model!R544</f>
        <v>-0.23885350318471332</v>
      </c>
      <c r="S204" s="26">
        <f>Model!S544</f>
        <v>0.16153846153846163</v>
      </c>
      <c r="T204" s="26">
        <f>Model!T544</f>
        <v>-0.23050847457627122</v>
      </c>
      <c r="U204" s="26">
        <f>Model!U544</f>
        <v>-7.3929961089494123E-2</v>
      </c>
      <c r="V204" s="26">
        <f>Model!V544</f>
        <v>0</v>
      </c>
      <c r="W204" s="26">
        <f>Model!W544</f>
        <v>-1.9867549668874163E-2</v>
      </c>
      <c r="X204" s="26">
        <f>Model!X544</f>
        <v>9.6916299559471453E-2</v>
      </c>
      <c r="Y204" s="26">
        <f>Model!Y544</f>
        <v>0.33613445378151252</v>
      </c>
      <c r="Z204" s="26">
        <f>Model!Z544</f>
        <v>4.1841004184099972E-3</v>
      </c>
      <c r="AA204" s="26">
        <f>Model!AA544</f>
        <v>6.7567567567567544E-2</v>
      </c>
      <c r="AB204" s="26">
        <f>Model!AB544</f>
        <v>-0.13654618473895586</v>
      </c>
      <c r="AC204" s="26">
        <f>Model!AC544</f>
        <v>-0.12430608656603737</v>
      </c>
      <c r="AD204" s="26">
        <f>Model!AD544</f>
        <v>0.27632387883000087</v>
      </c>
      <c r="AE204" s="26">
        <f>Model!AE544</f>
        <v>6.6295898769367811E-2</v>
      </c>
      <c r="AF204" s="26">
        <f>Model!AF544</f>
        <v>0.62317867380772185</v>
      </c>
      <c r="AG204" s="26">
        <f>Model!AG544</f>
        <v>0.21561785714285708</v>
      </c>
      <c r="AH204" s="26">
        <f>Model!AH544</f>
        <v>8.3004999999999773E-2</v>
      </c>
      <c r="AI204" s="26">
        <f>Model!AI544</f>
        <v>-3.5141000000000089E-2</v>
      </c>
      <c r="AJ204" s="26"/>
      <c r="AK204" s="26"/>
      <c r="AL204" s="26"/>
      <c r="AM204" s="26"/>
      <c r="AN204" s="26"/>
      <c r="AO204" s="26"/>
      <c r="AP204" s="26"/>
      <c r="AQ204" s="26"/>
      <c r="AS204" s="10"/>
      <c r="AT204" s="895" t="s">
        <v>290</v>
      </c>
      <c r="AU204" s="26"/>
      <c r="AV204" s="26">
        <f>Model!AV544</f>
        <v>0.1790830945558739</v>
      </c>
      <c r="AW204" s="26">
        <f>Model!AW544</f>
        <v>0.13973268529769145</v>
      </c>
      <c r="AX204" s="26">
        <f>Model!AX544</f>
        <v>0.16524520255863528</v>
      </c>
      <c r="AY204" s="26">
        <f>Model!AY544</f>
        <v>-8.5086916742909469E-2</v>
      </c>
      <c r="AZ204" s="26">
        <f>Model!AZ544</f>
        <v>0.123</v>
      </c>
      <c r="BA204" s="26">
        <f>Model!BA544</f>
        <v>1.2233214071523335E-2</v>
      </c>
      <c r="BB204" s="26">
        <f>Model!BB544</f>
        <v>0.18263825254960953</v>
      </c>
      <c r="BC204" s="26">
        <f>Model!BC544</f>
        <v>8.6206896551723977E-2</v>
      </c>
      <c r="BD204" s="26">
        <f>Model!BD544</f>
        <v>5.0000000000000266E-2</v>
      </c>
      <c r="BE204" s="26">
        <f>Model!BE544</f>
        <v>5.0000000000000044E-2</v>
      </c>
      <c r="BG204" s="23"/>
      <c r="BH204" s="23"/>
    </row>
    <row r="205" spans="1:60" s="70" customFormat="1" x14ac:dyDescent="0.2">
      <c r="A205" s="411"/>
      <c r="B205" s="10"/>
      <c r="C205" s="895" t="s">
        <v>264</v>
      </c>
      <c r="D205" s="60" t="s">
        <v>229</v>
      </c>
      <c r="E205" s="60" t="s">
        <v>229</v>
      </c>
      <c r="F205" s="60" t="s">
        <v>229</v>
      </c>
      <c r="G205" s="60" t="s">
        <v>229</v>
      </c>
      <c r="H205" s="60">
        <f>Model!H554</f>
        <v>0.48520710059171601</v>
      </c>
      <c r="I205" s="60">
        <f>Model!I554</f>
        <v>0.48309178743961345</v>
      </c>
      <c r="J205" s="60">
        <f>Model!J554</f>
        <v>0.16959064327485374</v>
      </c>
      <c r="K205" s="60">
        <f>Model!K554</f>
        <v>0.68108108108108101</v>
      </c>
      <c r="L205" s="60">
        <f>Model!L554</f>
        <v>0.19123505976095623</v>
      </c>
      <c r="M205" s="60">
        <f>Model!M554</f>
        <v>0.29967426710097711</v>
      </c>
      <c r="N205" s="60">
        <f>Model!N554</f>
        <v>0.5</v>
      </c>
      <c r="O205" s="60">
        <f>Model!O554</f>
        <v>-0.18971061093247588</v>
      </c>
      <c r="P205" s="60">
        <f>Model!P554</f>
        <v>-0.22742474916387956</v>
      </c>
      <c r="Q205" s="60">
        <f>Model!Q554</f>
        <v>-0.25814536340852134</v>
      </c>
      <c r="R205" s="60">
        <f>Model!R554</f>
        <v>-0.42333333333333334</v>
      </c>
      <c r="S205" s="60">
        <f>Model!S554</f>
        <v>-0.18253968253968256</v>
      </c>
      <c r="T205" s="60">
        <f>Model!T554</f>
        <v>-0.48917748917748916</v>
      </c>
      <c r="U205" s="60">
        <f>Model!U554</f>
        <v>-0.41216216216216217</v>
      </c>
      <c r="V205" s="60">
        <f>Model!V554</f>
        <v>-0.15606936416184969</v>
      </c>
      <c r="W205" s="60">
        <f>Model!W554</f>
        <v>-7.7669902912621325E-2</v>
      </c>
      <c r="X205" s="60">
        <f>Model!X554</f>
        <v>1.1186440677966103</v>
      </c>
      <c r="Y205" s="60">
        <f>Model!Y554</f>
        <v>0.77586206896551735</v>
      </c>
      <c r="Z205" s="60">
        <f>Model!Z554</f>
        <v>1.1301369863013697</v>
      </c>
      <c r="AA205" s="60">
        <f>Model!AA554</f>
        <v>0.32105263157894748</v>
      </c>
      <c r="AB205" s="60">
        <f>Model!AB554</f>
        <v>-0.13600000000000001</v>
      </c>
      <c r="AC205" s="60">
        <f>Model!AC554</f>
        <v>-0.33762158427184463</v>
      </c>
      <c r="AD205" s="60">
        <f>Model!AD554</f>
        <v>-0.34188125254019286</v>
      </c>
      <c r="AE205" s="60">
        <f>Model!AE554</f>
        <v>-0.14379013154183251</v>
      </c>
      <c r="AF205" s="60">
        <f>Model!AF554</f>
        <v>7.355666004363659E-2</v>
      </c>
      <c r="AG205" s="60">
        <f>Model!AG554</f>
        <v>0.15561785123966954</v>
      </c>
      <c r="AH205" s="60">
        <f>Model!AH554</f>
        <v>0.17873020826446284</v>
      </c>
      <c r="AI205" s="60">
        <f>Model!AI554</f>
        <v>0.14505220231404947</v>
      </c>
      <c r="AJ205" s="60"/>
      <c r="AK205" s="60"/>
      <c r="AL205" s="60"/>
      <c r="AM205" s="60"/>
      <c r="AN205" s="60"/>
      <c r="AO205" s="60"/>
      <c r="AP205" s="60"/>
      <c r="AQ205" s="60"/>
      <c r="AS205" s="10"/>
      <c r="AT205" s="895" t="s">
        <v>264</v>
      </c>
      <c r="AU205" s="60"/>
      <c r="AV205" s="60">
        <f>Model!AV554</f>
        <v>0.46038251366120209</v>
      </c>
      <c r="AW205" s="60">
        <f>Model!AW554</f>
        <v>0.16931711880261924</v>
      </c>
      <c r="AX205" s="60">
        <f>Model!AX554</f>
        <v>-0.2752</v>
      </c>
      <c r="AY205" s="60">
        <f>Model!AY554</f>
        <v>-0.30684326710816778</v>
      </c>
      <c r="AZ205" s="60">
        <f>Model!AZ554</f>
        <v>0.78503184713375807</v>
      </c>
      <c r="BA205" s="60">
        <f>Model!BA554</f>
        <v>-0.25043841400267608</v>
      </c>
      <c r="BB205" s="60">
        <f>Model!BB554</f>
        <v>0.13745041089244503</v>
      </c>
      <c r="BC205" s="60">
        <f>Model!BC554</f>
        <v>0.1375000000000004</v>
      </c>
      <c r="BD205" s="60">
        <f>Model!BD554</f>
        <v>0.14490384615384588</v>
      </c>
      <c r="BE205" s="60">
        <f>Model!BE554</f>
        <v>5.6481481481481577E-2</v>
      </c>
      <c r="BG205" s="256"/>
      <c r="BH205" s="256"/>
    </row>
    <row r="206" spans="1:60" s="70" customFormat="1" x14ac:dyDescent="0.2">
      <c r="A206" s="411"/>
      <c r="B206" s="10"/>
      <c r="C206" s="895" t="s">
        <v>265</v>
      </c>
      <c r="D206" s="60" t="s">
        <v>229</v>
      </c>
      <c r="E206" s="60" t="s">
        <v>229</v>
      </c>
      <c r="F206" s="60" t="s">
        <v>229</v>
      </c>
      <c r="G206" s="60" t="s">
        <v>229</v>
      </c>
      <c r="H206" s="60">
        <f>Model!H564</f>
        <v>5.4093567251461971E-2</v>
      </c>
      <c r="I206" s="60">
        <f>Model!I564</f>
        <v>0.10843373493975905</v>
      </c>
      <c r="J206" s="60">
        <f>Model!J564</f>
        <v>-0.14890510948905111</v>
      </c>
      <c r="K206" s="60">
        <f>Model!K564</f>
        <v>-0.19640387275242044</v>
      </c>
      <c r="L206" s="60">
        <f>Model!L564</f>
        <v>-0.18585298196948685</v>
      </c>
      <c r="M206" s="60">
        <f>Model!M564</f>
        <v>0.17391304347826098</v>
      </c>
      <c r="N206" s="60">
        <f>Model!N564</f>
        <v>9.9485420240137179E-2</v>
      </c>
      <c r="O206" s="60">
        <f>Model!O564</f>
        <v>-3.9586919104991347E-2</v>
      </c>
      <c r="P206" s="60">
        <f>Model!P564</f>
        <v>0.14821124361158433</v>
      </c>
      <c r="Q206" s="60">
        <f>Model!Q564</f>
        <v>-2.777777777777779E-2</v>
      </c>
      <c r="R206" s="60">
        <f>Model!R564</f>
        <v>-0.17628705148205925</v>
      </c>
      <c r="S206" s="60">
        <f>Model!S564</f>
        <v>0.11290322580645151</v>
      </c>
      <c r="T206" s="60">
        <f>Model!T564</f>
        <v>-0.21661721068249262</v>
      </c>
      <c r="U206" s="60">
        <f>Model!U564</f>
        <v>9.2517006802721014E-2</v>
      </c>
      <c r="V206" s="60">
        <f>Model!V564</f>
        <v>0.32196969696969702</v>
      </c>
      <c r="W206" s="60">
        <f>Model!W564</f>
        <v>3.8647342995169032E-2</v>
      </c>
      <c r="X206" s="60">
        <f>Model!X564</f>
        <v>0.44507575757575757</v>
      </c>
      <c r="Y206" s="60">
        <f>Model!Y564</f>
        <v>0.13075965130759659</v>
      </c>
      <c r="Z206" s="60">
        <f>Model!Z564</f>
        <v>4.4412607449856756E-2</v>
      </c>
      <c r="AA206" s="60">
        <f>Model!AA564</f>
        <v>0.12558139534883717</v>
      </c>
      <c r="AB206" s="60">
        <f>Model!AB564</f>
        <v>-8.3879423328964586E-2</v>
      </c>
      <c r="AC206" s="60">
        <f>Model!AC564</f>
        <v>-9.9287818396775807E-2</v>
      </c>
      <c r="AD206" s="60">
        <f>Model!AD564</f>
        <v>6.578097098894542E-2</v>
      </c>
      <c r="AE206" s="60">
        <f>Model!AE564</f>
        <v>1.6675773358669543E-2</v>
      </c>
      <c r="AF206" s="60">
        <f>Model!AF564</f>
        <v>0.14042223229623141</v>
      </c>
      <c r="AG206" s="60">
        <f>Model!AG564</f>
        <v>1.3687999999999922E-2</v>
      </c>
      <c r="AH206" s="60">
        <f>Model!AH564</f>
        <v>1.8599771428571499E-2</v>
      </c>
      <c r="AI206" s="60">
        <f>Model!AI564</f>
        <v>8.8293439999999945E-2</v>
      </c>
      <c r="AJ206" s="60"/>
      <c r="AK206" s="60"/>
      <c r="AL206" s="60"/>
      <c r="AM206" s="60"/>
      <c r="AN206" s="60"/>
      <c r="AO206" s="60"/>
      <c r="AP206" s="60"/>
      <c r="AQ206" s="60"/>
      <c r="AS206" s="10"/>
      <c r="AT206" s="895" t="s">
        <v>265</v>
      </c>
      <c r="AU206" s="60"/>
      <c r="AV206" s="60">
        <f>Model!AV564</f>
        <v>-5.3872053872053849E-2</v>
      </c>
      <c r="AW206" s="60">
        <f>Model!AW564</f>
        <v>5.1403716884144135E-3</v>
      </c>
      <c r="AX206" s="60">
        <f>Model!AX564</f>
        <v>6.2942564909520549E-3</v>
      </c>
      <c r="AY206" s="60">
        <f>Model!AY564</f>
        <v>4.5347928068803833E-2</v>
      </c>
      <c r="AZ206" s="60">
        <f>Model!AZ564</f>
        <v>0.16903515332834695</v>
      </c>
      <c r="BA206" s="60">
        <f>Model!BA564</f>
        <v>-3.0099935954874368E-2</v>
      </c>
      <c r="BB206" s="60">
        <f>Model!BB564</f>
        <v>6.2327417292498577E-2</v>
      </c>
      <c r="BC206" s="60">
        <f>Model!BC564</f>
        <v>3.9985152743484909E-2</v>
      </c>
      <c r="BD206" s="60">
        <f>Model!BD564</f>
        <v>4.0000000000000036E-2</v>
      </c>
      <c r="BE206" s="60">
        <f>Model!BE564</f>
        <v>4.0000000000000258E-2</v>
      </c>
      <c r="BG206" s="256"/>
      <c r="BH206" s="256"/>
    </row>
    <row r="207" spans="1:60" s="70" customFormat="1" x14ac:dyDescent="0.2">
      <c r="A207" s="411"/>
      <c r="B207" s="10"/>
      <c r="C207" s="1079" t="s">
        <v>1146</v>
      </c>
      <c r="D207" s="60" t="str">
        <f>Model!D570</f>
        <v>NA</v>
      </c>
      <c r="E207" s="60" t="str">
        <f>Model!E570</f>
        <v>NA</v>
      </c>
      <c r="F207" s="60" t="str">
        <f>Model!F570</f>
        <v>NA</v>
      </c>
      <c r="G207" s="60" t="str">
        <f>Model!G570</f>
        <v>NA</v>
      </c>
      <c r="H207" s="60">
        <f>Model!H570</f>
        <v>0.21748178980228938</v>
      </c>
      <c r="I207" s="60">
        <f>Model!I570</f>
        <v>0.17682926829268286</v>
      </c>
      <c r="J207" s="60">
        <f>Model!J570</f>
        <v>-9.914204003813154E-2</v>
      </c>
      <c r="K207" s="60">
        <f>Model!K570</f>
        <v>3.5166816952209246E-2</v>
      </c>
      <c r="L207" s="60">
        <f>Model!L570</f>
        <v>-9.4017094017094016E-2</v>
      </c>
      <c r="M207" s="60">
        <f>Model!M570</f>
        <v>0.16148531951640765</v>
      </c>
      <c r="N207" s="60">
        <f>Model!N570</f>
        <v>0.32804232804232814</v>
      </c>
      <c r="O207" s="60">
        <f>Model!O570</f>
        <v>-6.7944250871080136E-2</v>
      </c>
      <c r="P207" s="60">
        <f>Model!P570</f>
        <v>0.13207547169811318</v>
      </c>
      <c r="Q207" s="60">
        <f>Model!Q570</f>
        <v>-4.2379182156133788E-2</v>
      </c>
      <c r="R207" s="60">
        <f>Model!R570</f>
        <v>-0.25099601593625498</v>
      </c>
      <c r="S207" s="60">
        <f>Model!S570</f>
        <v>5.5140186915887845E-2</v>
      </c>
      <c r="T207" s="60">
        <f>Model!T570</f>
        <v>-0.27249999999999996</v>
      </c>
      <c r="U207" s="60">
        <f>Model!U570</f>
        <v>-5.6677018633540355E-2</v>
      </c>
      <c r="V207" s="60">
        <f>Model!V570</f>
        <v>0.15212765957446805</v>
      </c>
      <c r="W207" s="60">
        <f>Model!W570</f>
        <v>1.771479185119551E-3</v>
      </c>
      <c r="X207" s="60">
        <f>Model!X570</f>
        <v>0.44558991981672391</v>
      </c>
      <c r="Y207" s="60">
        <f>Model!Y570</f>
        <v>0.26337448559670773</v>
      </c>
      <c r="Z207" s="60">
        <f>Model!Z570</f>
        <v>0.18190212373037862</v>
      </c>
      <c r="AA207" s="60">
        <f>Model!AA570</f>
        <v>0.14323607427055696</v>
      </c>
      <c r="AB207" s="60">
        <f>Model!AB570</f>
        <v>-0.10459587955625993</v>
      </c>
      <c r="AC207" s="60">
        <f>Model!AC570</f>
        <v>-0.15244804180604066</v>
      </c>
      <c r="AD207" s="60">
        <f>Model!AD570</f>
        <v>6.2085853360478449E-3</v>
      </c>
      <c r="AE207" s="60">
        <f>Model!AE570</f>
        <v>-2.3474149632526364E-3</v>
      </c>
      <c r="AF207" s="60">
        <f>Model!AF570</f>
        <v>0.2194927378877447</v>
      </c>
      <c r="AG207" s="60">
        <f>Model!AG570</f>
        <v>7.9238754469116213E-2</v>
      </c>
      <c r="AH207" s="60">
        <f>Model!AH570</f>
        <v>5.936476403951052E-2</v>
      </c>
      <c r="AI207" s="60">
        <f>Model!AI570</f>
        <v>6.550737406102014E-2</v>
      </c>
      <c r="AJ207" s="60"/>
      <c r="AK207" s="60"/>
      <c r="AL207" s="60"/>
      <c r="AM207" s="60"/>
      <c r="AN207" s="60"/>
      <c r="AO207" s="60"/>
      <c r="AP207" s="60"/>
      <c r="AQ207" s="60"/>
      <c r="AS207" s="10"/>
      <c r="AT207" s="1079" t="s">
        <v>1146</v>
      </c>
      <c r="AU207" s="60"/>
      <c r="AV207" s="60">
        <f>Model!AV570</f>
        <v>7.7504265171825404E-2</v>
      </c>
      <c r="AW207" s="60">
        <f>Model!AW570</f>
        <v>6.9893689210585919E-2</v>
      </c>
      <c r="AX207" s="60">
        <f>Model!AX570</f>
        <v>-3.6575052854122658E-2</v>
      </c>
      <c r="AY207" s="60">
        <f>Model!AY570</f>
        <v>-5.5957867017774832E-2</v>
      </c>
      <c r="AZ207" s="60">
        <f>Model!AZ570</f>
        <v>0.24825662482566258</v>
      </c>
      <c r="BA207" s="60">
        <f>Model!BA570</f>
        <v>-6.7243195994342031E-2</v>
      </c>
      <c r="BB207" s="60">
        <f>Model!BB570</f>
        <v>0.10223327721990194</v>
      </c>
      <c r="BC207" s="60">
        <f>Model!BC570</f>
        <v>6.8121139399424324E-2</v>
      </c>
      <c r="BD207" s="60">
        <f>Model!BD570</f>
        <v>6.1815991346446442E-2</v>
      </c>
      <c r="BE207" s="60">
        <f>Model!BE570</f>
        <v>4.572490063464274E-2</v>
      </c>
      <c r="BG207" s="256"/>
      <c r="BH207" s="256"/>
    </row>
    <row r="208" spans="1:60" s="70" customFormat="1" x14ac:dyDescent="0.2">
      <c r="A208" s="411"/>
      <c r="B208" s="10"/>
      <c r="C208" s="895"/>
      <c r="D208" s="895"/>
      <c r="E208" s="895"/>
      <c r="F208" s="895"/>
      <c r="G208" s="895"/>
      <c r="H208" s="895"/>
      <c r="I208" s="895"/>
      <c r="J208" s="895"/>
      <c r="K208" s="895"/>
      <c r="L208" s="895"/>
      <c r="M208" s="895"/>
      <c r="N208" s="895"/>
      <c r="O208" s="895"/>
      <c r="P208" s="895"/>
      <c r="Q208" s="895"/>
      <c r="R208" s="895"/>
      <c r="S208" s="895"/>
      <c r="T208" s="895"/>
      <c r="U208" s="895"/>
      <c r="V208" s="895"/>
      <c r="W208" s="895"/>
      <c r="X208" s="895"/>
      <c r="Y208" s="1215"/>
      <c r="Z208" s="1688"/>
      <c r="AA208" s="1742"/>
      <c r="AB208" s="1785"/>
      <c r="AC208" s="895"/>
      <c r="AD208" s="895"/>
      <c r="AE208" s="895"/>
      <c r="AF208" s="1707"/>
      <c r="AG208" s="1707"/>
      <c r="AH208" s="1707"/>
      <c r="AI208" s="1707"/>
      <c r="AJ208" s="1740"/>
      <c r="AK208" s="1740"/>
      <c r="AL208" s="1740"/>
      <c r="AM208" s="1740"/>
      <c r="AN208" s="1740"/>
      <c r="AO208" s="1740"/>
      <c r="AP208" s="1740"/>
      <c r="AQ208" s="1740"/>
    </row>
    <row r="209" spans="1:60" s="160" customFormat="1" x14ac:dyDescent="0.2">
      <c r="A209" s="411"/>
      <c r="B209" s="337" t="s">
        <v>465</v>
      </c>
      <c r="C209" s="11"/>
      <c r="D209" s="158"/>
      <c r="E209" s="158"/>
      <c r="F209" s="158"/>
      <c r="G209" s="158"/>
      <c r="H209" s="158"/>
      <c r="I209" s="158"/>
      <c r="J209" s="158"/>
      <c r="K209" s="158"/>
      <c r="L209" s="158"/>
      <c r="M209" s="158"/>
      <c r="N209" s="158"/>
      <c r="O209" s="158"/>
      <c r="P209" s="158"/>
      <c r="Q209" s="158"/>
      <c r="R209" s="158"/>
      <c r="S209" s="158"/>
      <c r="T209" s="158"/>
      <c r="U209" s="158"/>
      <c r="V209" s="158"/>
      <c r="W209" s="158"/>
      <c r="X209" s="158"/>
      <c r="Y209" s="158"/>
      <c r="Z209" s="158"/>
      <c r="AA209" s="158"/>
      <c r="AB209" s="158"/>
      <c r="AC209" s="158"/>
      <c r="AD209" s="158"/>
      <c r="AE209" s="158"/>
      <c r="AF209" s="158"/>
      <c r="AG209" s="158"/>
      <c r="AH209" s="158"/>
      <c r="AI209" s="158"/>
      <c r="AJ209" s="158"/>
      <c r="AK209" s="158"/>
      <c r="AL209" s="158"/>
      <c r="AM209" s="158"/>
      <c r="AN209" s="158"/>
      <c r="AO209" s="158"/>
      <c r="AP209" s="158"/>
      <c r="AQ209" s="158"/>
      <c r="AR209" s="70"/>
      <c r="AS209" s="337" t="s">
        <v>465</v>
      </c>
      <c r="AT209" s="337"/>
      <c r="AU209" s="337"/>
      <c r="AV209" s="337"/>
      <c r="AW209" s="337"/>
      <c r="AX209" s="337"/>
      <c r="AY209" s="337"/>
      <c r="AZ209" s="337"/>
      <c r="BA209" s="337"/>
      <c r="BB209" s="337"/>
      <c r="BC209" s="337"/>
      <c r="BD209" s="337"/>
      <c r="BE209" s="337"/>
      <c r="BG209" s="450"/>
      <c r="BH209" s="450"/>
    </row>
    <row r="210" spans="1:60" s="70" customFormat="1" x14ac:dyDescent="0.2">
      <c r="A210" s="411"/>
      <c r="B210" s="329" t="s">
        <v>466</v>
      </c>
      <c r="C210" s="9"/>
      <c r="D210" s="68">
        <f>Model!D1510</f>
        <v>0.54029882154882158</v>
      </c>
      <c r="E210" s="68">
        <f>Model!E1510</f>
        <v>0.61965547155781386</v>
      </c>
      <c r="F210" s="68">
        <f>Model!F1510</f>
        <v>0.59120639534883723</v>
      </c>
      <c r="G210" s="68">
        <f>Model!G1510</f>
        <v>0.69836631690795592</v>
      </c>
      <c r="H210" s="68">
        <f>Model!H1510</f>
        <v>0.50247449752550244</v>
      </c>
      <c r="I210" s="68">
        <f>Model!I1510</f>
        <v>0.53788874288217259</v>
      </c>
      <c r="J210" s="68">
        <f>Model!J1510</f>
        <v>0.62472262106774568</v>
      </c>
      <c r="K210" s="68">
        <f>Model!K1510</f>
        <v>0.71262619278108141</v>
      </c>
      <c r="L210" s="68">
        <f>Model!L1510</f>
        <v>0.52701391135554831</v>
      </c>
      <c r="M210" s="68">
        <f>Model!M1510</f>
        <v>0.56086087263318829</v>
      </c>
      <c r="N210" s="68">
        <f>Model!N1510</f>
        <v>0.56641431520991048</v>
      </c>
      <c r="O210" s="68">
        <f>Model!O1510</f>
        <v>0.68034946609346836</v>
      </c>
      <c r="P210" s="68">
        <f>Model!P1510</f>
        <v>0.5153360646661499</v>
      </c>
      <c r="Q210" s="68">
        <f>Model!Q1510</f>
        <v>0.5725253957004488</v>
      </c>
      <c r="R210" s="68">
        <f>Model!R1510</f>
        <v>0.57118644067796609</v>
      </c>
      <c r="S210" s="68">
        <f>Model!S1510</f>
        <v>0.66630166986038875</v>
      </c>
      <c r="T210" s="68">
        <f>Model!T1510</f>
        <v>0.61709943001899936</v>
      </c>
      <c r="U210" s="68">
        <f>Model!U1510</f>
        <v>0.54816434572447925</v>
      </c>
      <c r="V210" s="68">
        <f>Model!V1510</f>
        <v>0.55408440714032392</v>
      </c>
      <c r="W210" s="68">
        <f>Model!W1510</f>
        <v>0.5662267839687195</v>
      </c>
      <c r="X210" s="68">
        <f>Model!X1510</f>
        <v>0.55134671102049582</v>
      </c>
      <c r="Y210" s="68">
        <f>Model!Y1510</f>
        <v>0.55482432862753428</v>
      </c>
      <c r="Z210" s="68">
        <f>Model!Z1510</f>
        <v>0.54485683987274658</v>
      </c>
      <c r="AA210" s="68">
        <f>Model!AA1510</f>
        <v>0.59152215799614638</v>
      </c>
      <c r="AB210" s="68">
        <f>Model!AB1510</f>
        <v>0.5587936636880585</v>
      </c>
      <c r="AC210" s="271">
        <v>0.56000000000000005</v>
      </c>
      <c r="AD210" s="271">
        <v>0.55000000000000004</v>
      </c>
      <c r="AE210" s="271">
        <v>0.54</v>
      </c>
      <c r="AF210" s="271">
        <v>0.54500000000000004</v>
      </c>
      <c r="AG210" s="271">
        <v>0.53500000000000003</v>
      </c>
      <c r="AH210" s="271">
        <v>0.53500000000000003</v>
      </c>
      <c r="AI210" s="271">
        <v>0.53</v>
      </c>
      <c r="AJ210" s="271"/>
      <c r="AK210" s="271"/>
      <c r="AL210" s="271"/>
      <c r="AM210" s="271"/>
      <c r="AN210" s="271"/>
      <c r="AO210" s="271"/>
      <c r="AP210" s="271"/>
      <c r="AQ210" s="271"/>
      <c r="AS210" s="329" t="s">
        <v>466</v>
      </c>
      <c r="AT210" s="9"/>
      <c r="AU210" s="68">
        <f>Model!AU1510</f>
        <v>0.60777025001498886</v>
      </c>
      <c r="AV210" s="68">
        <f>Model!AV1510</f>
        <v>0.58440677966101695</v>
      </c>
      <c r="AW210" s="68">
        <f>Model!AW1510</f>
        <v>0.57854917668001782</v>
      </c>
      <c r="AX210" s="68">
        <f>Model!AX1510</f>
        <v>0.57729183679641893</v>
      </c>
      <c r="AY210" s="68">
        <f>Model!AY1510</f>
        <v>0.5704998946639781</v>
      </c>
      <c r="AZ210" s="68">
        <f>Model!AZ1510</f>
        <v>0.55971376871195921</v>
      </c>
      <c r="BA210" s="68">
        <f>Model!BA1510</f>
        <v>0.55240575543448467</v>
      </c>
      <c r="BB210" s="68">
        <f>Model!BB1510</f>
        <v>0.53639496527965291</v>
      </c>
      <c r="BC210" s="271">
        <v>0.52500000000000002</v>
      </c>
      <c r="BD210" s="271">
        <v>0.52</v>
      </c>
      <c r="BE210" s="271">
        <v>0.51500000000000001</v>
      </c>
      <c r="BG210" s="853"/>
      <c r="BH210" s="1710"/>
    </row>
    <row r="211" spans="1:60" s="70" customFormat="1" x14ac:dyDescent="0.2">
      <c r="A211" s="411"/>
      <c r="B211" s="10"/>
      <c r="C211" s="9"/>
      <c r="D211" s="9"/>
      <c r="E211" s="9"/>
      <c r="F211" s="9"/>
      <c r="G211" s="9"/>
      <c r="H211" s="9"/>
      <c r="I211" s="9"/>
      <c r="J211" s="9"/>
      <c r="K211" s="9"/>
      <c r="L211" s="9"/>
      <c r="M211" s="9"/>
      <c r="N211" s="9"/>
      <c r="O211" s="9"/>
      <c r="P211" s="9"/>
      <c r="Q211" s="9"/>
      <c r="R211" s="9"/>
      <c r="S211" s="9"/>
      <c r="T211" s="9"/>
      <c r="U211" s="9"/>
      <c r="V211" s="9"/>
      <c r="W211" s="9"/>
      <c r="X211" s="9"/>
      <c r="Y211" s="1215"/>
      <c r="Z211" s="1688"/>
      <c r="AA211" s="1742"/>
      <c r="AB211" s="1785"/>
      <c r="AC211" s="1740"/>
      <c r="AD211" s="1740"/>
      <c r="AE211" s="1740"/>
      <c r="AF211" s="1707"/>
      <c r="AG211" s="1707"/>
      <c r="AH211" s="1707"/>
      <c r="AI211" s="1707"/>
      <c r="AJ211" s="1740"/>
      <c r="AK211" s="1740"/>
      <c r="AL211" s="1740"/>
      <c r="AM211" s="1740"/>
      <c r="AN211" s="1740"/>
      <c r="AO211" s="1740"/>
      <c r="AP211" s="1740"/>
      <c r="AQ211" s="1740"/>
    </row>
    <row r="212" spans="1:60" s="160" customFormat="1" x14ac:dyDescent="0.2">
      <c r="A212" s="411"/>
      <c r="B212" s="337" t="s">
        <v>554</v>
      </c>
      <c r="C212" s="11"/>
      <c r="D212" s="158"/>
      <c r="E212" s="158"/>
      <c r="F212" s="158"/>
      <c r="G212" s="158"/>
      <c r="H212" s="158"/>
      <c r="I212" s="158"/>
      <c r="J212" s="158"/>
      <c r="K212" s="158"/>
      <c r="L212" s="158"/>
      <c r="M212" s="158"/>
      <c r="N212" s="158"/>
      <c r="O212" s="158"/>
      <c r="P212" s="158"/>
      <c r="Q212" s="158"/>
      <c r="R212" s="158"/>
      <c r="S212" s="158"/>
      <c r="T212" s="158"/>
      <c r="U212" s="158"/>
      <c r="V212" s="158"/>
      <c r="W212" s="158"/>
      <c r="X212" s="158"/>
      <c r="Y212" s="158"/>
      <c r="Z212" s="158"/>
      <c r="AA212" s="158"/>
      <c r="AB212" s="158"/>
      <c r="AC212" s="158"/>
      <c r="AD212" s="158"/>
      <c r="AE212" s="158"/>
      <c r="AF212" s="158"/>
      <c r="AG212" s="158"/>
      <c r="AH212" s="158"/>
      <c r="AI212" s="158"/>
      <c r="AJ212" s="158"/>
      <c r="AK212" s="158"/>
      <c r="AL212" s="158"/>
      <c r="AM212" s="158"/>
      <c r="AN212" s="158"/>
      <c r="AO212" s="158"/>
      <c r="AP212" s="158"/>
      <c r="AQ212" s="158"/>
      <c r="AR212" s="70"/>
      <c r="AS212" s="337" t="s">
        <v>554</v>
      </c>
      <c r="AT212" s="11"/>
      <c r="AU212" s="11"/>
      <c r="AV212" s="11"/>
      <c r="AW212" s="11"/>
      <c r="AX212" s="11"/>
      <c r="AY212" s="11"/>
      <c r="AZ212" s="11"/>
      <c r="BA212" s="11"/>
      <c r="BB212" s="11"/>
      <c r="BC212" s="11"/>
      <c r="BD212" s="11"/>
      <c r="BE212" s="11"/>
      <c r="BG212" s="16"/>
      <c r="BH212" s="16"/>
    </row>
    <row r="213" spans="1:60" s="70" customFormat="1" x14ac:dyDescent="0.2">
      <c r="A213" s="411"/>
      <c r="B213" s="329" t="s">
        <v>466</v>
      </c>
      <c r="C213" s="9"/>
      <c r="D213" s="68">
        <f>Model!D502</f>
        <v>0.29231129864041255</v>
      </c>
      <c r="E213" s="68">
        <f>Model!E502</f>
        <v>0.26482617586912066</v>
      </c>
      <c r="F213" s="68">
        <f>Model!F502</f>
        <v>0.26484420928865371</v>
      </c>
      <c r="G213" s="68">
        <f>Model!G502</f>
        <v>0.21159153633854647</v>
      </c>
      <c r="H213" s="68">
        <f>Model!H502</f>
        <v>0.33100185147089078</v>
      </c>
      <c r="I213" s="68">
        <f>Model!I502</f>
        <v>0.32305882352941179</v>
      </c>
      <c r="J213" s="68">
        <f>Model!J502</f>
        <v>0.27682167704137678</v>
      </c>
      <c r="K213" s="68">
        <f>Model!K502</f>
        <v>0.27222478120681715</v>
      </c>
      <c r="L213" s="68">
        <f>Model!L502</f>
        <v>0.30963302752293576</v>
      </c>
      <c r="M213" s="68">
        <f>Model!M502</f>
        <v>0.31919875130072839</v>
      </c>
      <c r="N213" s="68">
        <f>Model!N502</f>
        <v>0.32423924449108082</v>
      </c>
      <c r="O213" s="68">
        <f>Model!O502</f>
        <v>0.207749766573296</v>
      </c>
      <c r="P213" s="68">
        <f>Model!P502</f>
        <v>0.31274761127942202</v>
      </c>
      <c r="Q213" s="68">
        <f>Model!Q502</f>
        <v>0.31057744198596871</v>
      </c>
      <c r="R213" s="68">
        <f>Model!R502</f>
        <v>0.32672654072468255</v>
      </c>
      <c r="S213" s="68">
        <f>Model!S502</f>
        <v>0.29530201342281881</v>
      </c>
      <c r="T213" s="68">
        <f>Model!T502</f>
        <v>0.29016331181162175</v>
      </c>
      <c r="U213" s="68">
        <f>Model!U502</f>
        <v>0.31971904266389178</v>
      </c>
      <c r="V213" s="68">
        <f>Model!V502</f>
        <v>0.31123770067322631</v>
      </c>
      <c r="W213" s="68">
        <f>Model!W502</f>
        <v>0.30905397562391179</v>
      </c>
      <c r="X213" s="68">
        <f>Model!X502</f>
        <v>0.31349749202006383</v>
      </c>
      <c r="Y213" s="68">
        <f>Model!Y502</f>
        <v>0.32310689067445825</v>
      </c>
      <c r="Z213" s="68">
        <f>Model!Z502</f>
        <v>0.31283662477558349</v>
      </c>
      <c r="AA213" s="68">
        <f>Model!AA502</f>
        <v>0.93184</v>
      </c>
      <c r="AB213" s="68">
        <f>Model!AB502</f>
        <v>0.24099407204742362</v>
      </c>
      <c r="AC213" s="271">
        <v>0.25</v>
      </c>
      <c r="AD213" s="271">
        <v>0.25</v>
      </c>
      <c r="AE213" s="271">
        <v>0.25</v>
      </c>
      <c r="AF213" s="271">
        <v>0.24</v>
      </c>
      <c r="AG213" s="271">
        <v>0.24</v>
      </c>
      <c r="AH213" s="271">
        <v>0.24</v>
      </c>
      <c r="AI213" s="271">
        <v>0.24</v>
      </c>
      <c r="AJ213" s="271"/>
      <c r="AK213" s="271"/>
      <c r="AL213" s="271"/>
      <c r="AM213" s="271"/>
      <c r="AN213" s="271"/>
      <c r="AO213" s="271"/>
      <c r="AP213" s="271"/>
      <c r="AQ213" s="271"/>
      <c r="AS213" s="329" t="s">
        <v>466</v>
      </c>
      <c r="AT213" s="9"/>
      <c r="AU213" s="68">
        <f>Model!AU502</f>
        <v>0.26494990607388852</v>
      </c>
      <c r="AV213" s="68">
        <f>Model!AV502</f>
        <v>0.30892742453436095</v>
      </c>
      <c r="AW213" s="68">
        <f>Model!AW502</f>
        <v>0.30074869331826531</v>
      </c>
      <c r="AX213" s="68">
        <f>Model!AX502</f>
        <v>0.31320116797295222</v>
      </c>
      <c r="AY213" s="68">
        <f>Model!AY502</f>
        <v>0.30903155603917304</v>
      </c>
      <c r="AZ213" s="68">
        <f>Model!AZ502</f>
        <v>0.43598357596117954</v>
      </c>
      <c r="BA213" s="68">
        <f>Model!BA502</f>
        <v>0.24768277738239425</v>
      </c>
      <c r="BB213" s="68">
        <f>Model!BB502</f>
        <v>0.24000000000000005</v>
      </c>
      <c r="BC213" s="271">
        <v>0.24</v>
      </c>
      <c r="BD213" s="271">
        <v>0.24</v>
      </c>
      <c r="BE213" s="271">
        <v>0.24</v>
      </c>
      <c r="BG213" s="853"/>
      <c r="BH213" s="1710"/>
    </row>
    <row r="214" spans="1:60" s="70" customFormat="1" x14ac:dyDescent="0.2">
      <c r="A214" s="411"/>
      <c r="B214" s="10"/>
      <c r="C214" s="9"/>
      <c r="D214" s="9"/>
      <c r="E214" s="9"/>
      <c r="F214" s="9"/>
      <c r="G214" s="9"/>
      <c r="H214" s="9"/>
      <c r="I214" s="9"/>
      <c r="J214" s="9"/>
      <c r="K214" s="9"/>
      <c r="L214" s="9"/>
      <c r="M214" s="9"/>
      <c r="N214" s="9"/>
      <c r="O214" s="9"/>
      <c r="P214" s="9"/>
      <c r="Q214" s="9"/>
      <c r="R214" s="9"/>
      <c r="S214" s="9"/>
      <c r="T214" s="9"/>
      <c r="U214" s="9"/>
      <c r="V214" s="9"/>
      <c r="W214" s="9"/>
      <c r="X214" s="9"/>
      <c r="Y214" s="1215"/>
      <c r="Z214" s="1688"/>
      <c r="AA214" s="1742"/>
      <c r="AB214" s="1785"/>
      <c r="AC214" s="1740"/>
      <c r="AD214" s="1740"/>
      <c r="AE214" s="1740"/>
      <c r="AF214" s="1707"/>
      <c r="AG214" s="1707"/>
      <c r="AH214" s="1707"/>
      <c r="AI214" s="1707"/>
      <c r="AJ214" s="1740"/>
      <c r="AK214" s="1740"/>
      <c r="AL214" s="1740"/>
      <c r="AM214" s="1740"/>
      <c r="AN214" s="1740"/>
      <c r="AO214" s="1740"/>
      <c r="AP214" s="1740"/>
      <c r="AQ214" s="1740"/>
    </row>
    <row r="215" spans="1:60" s="160" customFormat="1" x14ac:dyDescent="0.2">
      <c r="A215" s="411"/>
      <c r="B215" s="337" t="s">
        <v>482</v>
      </c>
      <c r="C215" s="11"/>
      <c r="D215" s="158"/>
      <c r="E215" s="158"/>
      <c r="F215" s="158"/>
      <c r="G215" s="158"/>
      <c r="H215" s="158"/>
      <c r="I215" s="158"/>
      <c r="J215" s="158"/>
      <c r="K215" s="158"/>
      <c r="L215" s="158"/>
      <c r="M215" s="158"/>
      <c r="N215" s="158"/>
      <c r="O215" s="158"/>
      <c r="P215" s="158"/>
      <c r="Q215" s="158"/>
      <c r="R215" s="158"/>
      <c r="S215" s="158"/>
      <c r="T215" s="158"/>
      <c r="U215" s="158"/>
      <c r="V215" s="158"/>
      <c r="W215" s="158"/>
      <c r="X215" s="158"/>
      <c r="Y215" s="158"/>
      <c r="Z215" s="158"/>
      <c r="AA215" s="158"/>
      <c r="AB215" s="158"/>
      <c r="AC215" s="158"/>
      <c r="AD215" s="158"/>
      <c r="AE215" s="158"/>
      <c r="AF215" s="158"/>
      <c r="AG215" s="158"/>
      <c r="AH215" s="158"/>
      <c r="AI215" s="158"/>
      <c r="AJ215" s="158"/>
      <c r="AK215" s="158"/>
      <c r="AL215" s="158"/>
      <c r="AM215" s="158"/>
      <c r="AN215" s="158"/>
      <c r="AO215" s="158"/>
      <c r="AP215" s="158"/>
      <c r="AQ215" s="158"/>
      <c r="AR215" s="70"/>
      <c r="AS215" s="337" t="s">
        <v>482</v>
      </c>
      <c r="AT215" s="11"/>
      <c r="AU215" s="11"/>
      <c r="AV215" s="11"/>
      <c r="AW215" s="11"/>
      <c r="AX215" s="11"/>
      <c r="AY215" s="11"/>
      <c r="AZ215" s="11"/>
      <c r="BA215" s="11"/>
      <c r="BB215" s="11"/>
      <c r="BC215" s="11"/>
      <c r="BD215" s="11"/>
      <c r="BE215" s="11"/>
      <c r="BG215" s="16"/>
      <c r="BH215" s="16"/>
    </row>
    <row r="216" spans="1:60" s="70" customFormat="1" x14ac:dyDescent="0.2">
      <c r="A216" s="411"/>
      <c r="B216" s="362" t="s">
        <v>57</v>
      </c>
      <c r="C216" s="318"/>
      <c r="D216" s="67">
        <f>Model!D1269</f>
        <v>-9.6958398744113026E-4</v>
      </c>
      <c r="E216" s="67">
        <f>Model!E1269</f>
        <v>2.2000563539025077E-3</v>
      </c>
      <c r="F216" s="67">
        <f>Model!F1269</f>
        <v>2.3707187222715173E-3</v>
      </c>
      <c r="G216" s="67">
        <f>Model!G1269</f>
        <v>1.2880434782608695E-3</v>
      </c>
      <c r="H216" s="67">
        <f>Model!H1269</f>
        <v>6.7868480725623574E-4</v>
      </c>
      <c r="I216" s="67">
        <f>Model!I1269</f>
        <v>8.7398982340616588E-4</v>
      </c>
      <c r="J216" s="67">
        <f>Model!J1269</f>
        <v>1.0408745247148287E-3</v>
      </c>
      <c r="K216" s="67">
        <f>Model!K1269</f>
        <v>4.0991496871490451E-4</v>
      </c>
      <c r="L216" s="67">
        <f>Model!L1269</f>
        <v>1.9396135265700482E-3</v>
      </c>
      <c r="M216" s="67">
        <f>Model!M1269</f>
        <v>1.2755795441307807E-4</v>
      </c>
      <c r="N216" s="67">
        <f>Model!N1269</f>
        <v>2.2430480872637882E-4</v>
      </c>
      <c r="O216" s="67">
        <f>Model!O1269</f>
        <v>1.6660219712207951E-3</v>
      </c>
      <c r="P216" s="67">
        <f>Model!P1269</f>
        <v>-1.4588329336530774E-5</v>
      </c>
      <c r="Q216" s="67">
        <f>Model!Q1269</f>
        <v>1.138066086162972E-3</v>
      </c>
      <c r="R216" s="67">
        <f>Model!R1269</f>
        <v>5.0271739130434783E-4</v>
      </c>
      <c r="S216" s="67">
        <f>Model!S1269</f>
        <v>1.2954747116237799E-3</v>
      </c>
      <c r="T216" s="67">
        <f>Model!T1269</f>
        <v>2.8767368224995342E-3</v>
      </c>
      <c r="U216" s="67">
        <f>Model!U1269</f>
        <v>1.8654569115095429E-3</v>
      </c>
      <c r="V216" s="67">
        <f>Model!V1269</f>
        <v>5.8313270075060195E-4</v>
      </c>
      <c r="W216" s="67">
        <f>Model!W1269</f>
        <v>1.5572797482837528E-3</v>
      </c>
      <c r="X216" s="67">
        <f>Model!X1269</f>
        <v>3.3572479764532742E-4</v>
      </c>
      <c r="Y216" s="67">
        <f>Model!Y1269</f>
        <v>9.098409577642804E-4</v>
      </c>
      <c r="Z216" s="67">
        <f>Model!Z1269</f>
        <v>5.4381687660842466E-4</v>
      </c>
      <c r="AA216" s="67">
        <f>Model!AA1269</f>
        <v>2.721533669141039E-3</v>
      </c>
      <c r="AB216" s="67">
        <f>Model!AB1269</f>
        <v>1.2561455260570304E-3</v>
      </c>
      <c r="AC216" s="272">
        <v>2E-3</v>
      </c>
      <c r="AD216" s="272">
        <v>2.2000000000000001E-3</v>
      </c>
      <c r="AE216" s="272">
        <v>2.5000000000000001E-3</v>
      </c>
      <c r="AF216" s="272">
        <v>2.7000000000000001E-3</v>
      </c>
      <c r="AG216" s="272">
        <v>2.8999999999999998E-3</v>
      </c>
      <c r="AH216" s="272">
        <v>3.0999999999999999E-3</v>
      </c>
      <c r="AI216" s="272">
        <v>3.3E-3</v>
      </c>
      <c r="AJ216" s="272"/>
      <c r="AK216" s="272"/>
      <c r="AL216" s="272"/>
      <c r="AM216" s="272"/>
      <c r="AN216" s="272"/>
      <c r="AO216" s="272"/>
      <c r="AP216" s="272"/>
      <c r="AQ216" s="272"/>
      <c r="AS216" s="363" t="s">
        <v>57</v>
      </c>
      <c r="AT216" s="318"/>
      <c r="AU216" s="67">
        <f>Model!AU1269</f>
        <v>1.2629355860612459E-3</v>
      </c>
      <c r="AV216" s="67">
        <f>Model!AV1269</f>
        <v>7.4903474903474903E-4</v>
      </c>
      <c r="AW216" s="67">
        <f>Model!AW1269</f>
        <v>9.7951914514692777E-4</v>
      </c>
      <c r="AX216" s="67">
        <f>Model!AX1269</f>
        <v>7.424111014744146E-4</v>
      </c>
      <c r="AY216" s="67">
        <f>Model!AY1269</f>
        <v>1.7057851239669422E-3</v>
      </c>
      <c r="AZ216" s="67">
        <f>Model!AZ1269</f>
        <v>1.1550632911392405E-3</v>
      </c>
      <c r="BA216" s="67">
        <f>Model!BA1269</f>
        <v>2.0014945076959807E-3</v>
      </c>
      <c r="BB216" s="67">
        <f>Model!BB1269</f>
        <v>3.0083767915270324E-3</v>
      </c>
      <c r="BC216" s="272">
        <v>3.5000000000000001E-3</v>
      </c>
      <c r="BD216" s="272">
        <v>4.0000000000000001E-3</v>
      </c>
      <c r="BE216" s="272">
        <v>5.0000000000000001E-3</v>
      </c>
      <c r="BG216" s="355"/>
      <c r="BH216" s="1710"/>
    </row>
    <row r="217" spans="1:60" s="70" customFormat="1" x14ac:dyDescent="0.2">
      <c r="A217" s="411"/>
      <c r="B217" s="10"/>
      <c r="C217" s="9"/>
      <c r="D217" s="9"/>
      <c r="E217" s="9"/>
      <c r="F217" s="9"/>
      <c r="G217" s="9"/>
      <c r="H217" s="9"/>
      <c r="I217" s="9"/>
      <c r="J217" s="9"/>
      <c r="K217" s="9"/>
      <c r="L217" s="9"/>
      <c r="M217" s="9"/>
      <c r="N217" s="9"/>
      <c r="O217" s="9"/>
      <c r="P217" s="9"/>
      <c r="Q217" s="9"/>
      <c r="R217" s="9"/>
      <c r="S217" s="9"/>
      <c r="T217" s="9"/>
      <c r="U217" s="9"/>
      <c r="V217" s="9"/>
      <c r="W217" s="9"/>
      <c r="X217" s="9"/>
      <c r="Y217" s="1215"/>
      <c r="Z217" s="1688"/>
      <c r="AA217" s="1742"/>
      <c r="AB217" s="1785"/>
      <c r="AC217" s="1740"/>
      <c r="AD217" s="1740"/>
      <c r="AE217" s="1740"/>
      <c r="AF217" s="1707"/>
      <c r="AG217" s="1707"/>
      <c r="AH217" s="1707"/>
      <c r="AI217" s="1707"/>
      <c r="AJ217" s="1740"/>
      <c r="AK217" s="1740"/>
      <c r="AL217" s="1740"/>
      <c r="AM217" s="1740"/>
      <c r="AN217" s="1740"/>
      <c r="AO217" s="1740"/>
      <c r="AP217" s="1740"/>
      <c r="AQ217" s="1740"/>
    </row>
    <row r="218" spans="1:60" s="160" customFormat="1" x14ac:dyDescent="0.2">
      <c r="A218" s="411"/>
      <c r="B218" s="337" t="s">
        <v>288</v>
      </c>
      <c r="C218" s="11"/>
      <c r="D218" s="158"/>
      <c r="E218" s="158"/>
      <c r="F218" s="158"/>
      <c r="G218" s="158"/>
      <c r="H218" s="158"/>
      <c r="I218" s="158"/>
      <c r="J218" s="158"/>
      <c r="K218" s="158"/>
      <c r="L218" s="158"/>
      <c r="M218" s="158"/>
      <c r="N218" s="158"/>
      <c r="O218" s="158"/>
      <c r="P218" s="158"/>
      <c r="Q218" s="158"/>
      <c r="R218" s="158"/>
      <c r="S218" s="158"/>
      <c r="T218" s="158"/>
      <c r="U218" s="158"/>
      <c r="V218" s="158"/>
      <c r="W218" s="158"/>
      <c r="X218" s="158"/>
      <c r="Y218" s="158"/>
      <c r="Z218" s="158"/>
      <c r="AA218" s="158"/>
      <c r="AB218" s="158"/>
      <c r="AC218" s="158"/>
      <c r="AD218" s="158"/>
      <c r="AE218" s="158"/>
      <c r="AF218" s="158"/>
      <c r="AG218" s="158"/>
      <c r="AH218" s="158"/>
      <c r="AI218" s="158"/>
      <c r="AJ218" s="158"/>
      <c r="AK218" s="158"/>
      <c r="AL218" s="158"/>
      <c r="AM218" s="158"/>
      <c r="AN218" s="158"/>
      <c r="AO218" s="158"/>
      <c r="AP218" s="158"/>
      <c r="AQ218" s="158"/>
      <c r="AR218" s="70"/>
      <c r="AS218" s="337" t="s">
        <v>288</v>
      </c>
      <c r="AT218" s="11"/>
      <c r="AU218" s="11"/>
      <c r="AV218" s="11"/>
      <c r="AW218" s="11"/>
      <c r="AX218" s="11"/>
      <c r="AY218" s="11"/>
      <c r="AZ218" s="11"/>
      <c r="BA218" s="11"/>
      <c r="BB218" s="11"/>
      <c r="BC218" s="11"/>
      <c r="BD218" s="11"/>
      <c r="BE218" s="11"/>
      <c r="BG218" s="16"/>
      <c r="BH218" s="16"/>
    </row>
    <row r="219" spans="1:60" s="70" customFormat="1" x14ac:dyDescent="0.2">
      <c r="A219" s="411"/>
      <c r="B219" s="363" t="s">
        <v>57</v>
      </c>
      <c r="C219" s="318"/>
      <c r="D219" s="194">
        <f>Model!D1232</f>
        <v>-1.9074074074074074</v>
      </c>
      <c r="E219" s="194">
        <f>Model!E1232</f>
        <v>1.0546875</v>
      </c>
      <c r="F219" s="194">
        <f>Model!F1232</f>
        <v>-0.18493150684931506</v>
      </c>
      <c r="G219" s="194">
        <f>Model!G1232</f>
        <v>1.2278481012658229</v>
      </c>
      <c r="H219" s="194">
        <f>Model!H1232</f>
        <v>1.5853658536585367</v>
      </c>
      <c r="I219" s="194">
        <f>Model!I1232</f>
        <v>-0.5357142857142857</v>
      </c>
      <c r="J219" s="194">
        <f>Model!J1232</f>
        <v>2.0869565217391304</v>
      </c>
      <c r="K219" s="194">
        <f>Model!K1232</f>
        <v>-3.3214285714285716</v>
      </c>
      <c r="L219" s="194">
        <f>Model!L1232</f>
        <v>0.19696969696969696</v>
      </c>
      <c r="M219" s="194">
        <f>Model!M1232</f>
        <v>-12.222222222222221</v>
      </c>
      <c r="N219" s="194">
        <f>Model!N1232</f>
        <v>-2</v>
      </c>
      <c r="O219" s="194">
        <f>Model!O1232</f>
        <v>1.3813559322033899</v>
      </c>
      <c r="P219" s="194">
        <f>Model!P1232</f>
        <v>-86</v>
      </c>
      <c r="Q219" s="194">
        <f>Model!Q1232</f>
        <v>-1.0609756097560976</v>
      </c>
      <c r="R219" s="194">
        <f>Model!R1232</f>
        <v>8.4594594594594597</v>
      </c>
      <c r="S219" s="194">
        <f>Model!S1232</f>
        <v>6.770833333333333</v>
      </c>
      <c r="T219" s="194">
        <f>Model!T1232</f>
        <v>1.8483412322274881</v>
      </c>
      <c r="U219" s="194">
        <f>Model!U1232</f>
        <v>0.58156028368794321</v>
      </c>
      <c r="V219" s="194">
        <f>Model!V1232</f>
        <v>-2</v>
      </c>
      <c r="W219" s="194">
        <f>Model!W1232</f>
        <v>0.87394957983193278</v>
      </c>
      <c r="X219" s="194">
        <f>Model!X1232</f>
        <v>-8.1999999999999993</v>
      </c>
      <c r="Y219" s="194">
        <f>Model!Y1232</f>
        <v>1.2253521126760563</v>
      </c>
      <c r="Z219" s="194">
        <f>Model!Z1232</f>
        <v>-3.7272727272727271</v>
      </c>
      <c r="AA219" s="194">
        <f>Model!AA1232</f>
        <v>1.1866666666666668</v>
      </c>
      <c r="AB219" s="194">
        <f>Model!AB1232</f>
        <v>-0.39047619047619048</v>
      </c>
      <c r="AC219" s="273">
        <v>1</v>
      </c>
      <c r="AD219" s="273">
        <v>1</v>
      </c>
      <c r="AE219" s="273">
        <v>1</v>
      </c>
      <c r="AF219" s="273">
        <v>1</v>
      </c>
      <c r="AG219" s="273">
        <v>1</v>
      </c>
      <c r="AH219" s="273">
        <v>1</v>
      </c>
      <c r="AI219" s="273">
        <v>1</v>
      </c>
      <c r="AJ219" s="273"/>
      <c r="AK219" s="273"/>
      <c r="AL219" s="273"/>
      <c r="AM219" s="273"/>
      <c r="AN219" s="273"/>
      <c r="AO219" s="273"/>
      <c r="AP219" s="273"/>
      <c r="AQ219" s="273"/>
      <c r="AS219" s="363" t="s">
        <v>57</v>
      </c>
      <c r="AT219" s="318"/>
      <c r="AU219" s="194">
        <f>Model!AU1232</f>
        <v>1.0301003344481605</v>
      </c>
      <c r="AV219" s="194">
        <f>Model!AV1232</f>
        <v>0.44329896907216493</v>
      </c>
      <c r="AW219" s="194">
        <f>Model!AW1232</f>
        <v>0.1709090909090909</v>
      </c>
      <c r="AX219" s="194">
        <f>Model!AX1232</f>
        <v>4.4953271028037385</v>
      </c>
      <c r="AY219" s="194">
        <f>Model!AY1232</f>
        <v>0.94186046511627908</v>
      </c>
      <c r="AZ219" s="194">
        <f>Model!AZ1232</f>
        <v>-4.1095890410958902E-2</v>
      </c>
      <c r="BA219" s="194">
        <f>Model!BA1232</f>
        <v>0.79038319164462478</v>
      </c>
      <c r="BB219" s="194">
        <f>Model!BB1232</f>
        <v>1</v>
      </c>
      <c r="BC219" s="273">
        <v>1</v>
      </c>
      <c r="BD219" s="273">
        <v>1</v>
      </c>
      <c r="BE219" s="273">
        <v>1</v>
      </c>
      <c r="BG219" s="1718"/>
      <c r="BH219" s="1710"/>
    </row>
    <row r="220" spans="1:60" s="70" customFormat="1" x14ac:dyDescent="0.2">
      <c r="A220" s="411"/>
      <c r="B220" s="363"/>
      <c r="C220" s="318"/>
      <c r="D220" s="194"/>
      <c r="E220" s="194"/>
      <c r="F220" s="194"/>
      <c r="G220" s="194"/>
      <c r="H220" s="194"/>
      <c r="I220" s="194"/>
      <c r="J220" s="194"/>
      <c r="K220" s="194"/>
      <c r="L220" s="194"/>
      <c r="M220" s="194"/>
      <c r="N220" s="194"/>
      <c r="O220" s="194"/>
      <c r="P220" s="194"/>
      <c r="Q220" s="194"/>
      <c r="R220" s="194"/>
      <c r="S220" s="194"/>
      <c r="T220" s="194"/>
      <c r="U220" s="194"/>
      <c r="V220" s="194"/>
      <c r="W220" s="194"/>
      <c r="X220" s="194"/>
      <c r="Y220" s="194"/>
      <c r="Z220" s="194"/>
      <c r="AA220" s="194"/>
      <c r="AB220" s="194"/>
      <c r="AC220" s="194"/>
      <c r="AD220" s="194"/>
      <c r="AE220" s="194"/>
      <c r="AF220" s="194"/>
      <c r="AG220" s="194"/>
      <c r="AH220" s="194"/>
      <c r="AI220" s="194"/>
      <c r="AJ220" s="194"/>
      <c r="AK220" s="194"/>
      <c r="AL220" s="194"/>
      <c r="AM220" s="194"/>
      <c r="AN220" s="194"/>
      <c r="AO220" s="194"/>
      <c r="AP220" s="194"/>
      <c r="AQ220" s="194"/>
      <c r="AS220" s="194"/>
      <c r="AT220" s="194"/>
      <c r="AU220" s="194"/>
      <c r="AV220" s="194"/>
      <c r="AW220" s="194"/>
      <c r="AX220" s="194"/>
      <c r="AY220" s="194"/>
      <c r="AZ220" s="194"/>
      <c r="BA220" s="194"/>
      <c r="BB220" s="194"/>
      <c r="BC220" s="194"/>
      <c r="BD220" s="194"/>
      <c r="BE220" s="194"/>
      <c r="BF220" s="194"/>
      <c r="BG220" s="1724"/>
      <c r="BH220" s="1724"/>
    </row>
    <row r="221" spans="1:60" s="160" customFormat="1" x14ac:dyDescent="0.2">
      <c r="A221" s="411"/>
      <c r="B221" s="337" t="s">
        <v>562</v>
      </c>
      <c r="C221" s="11"/>
      <c r="D221" s="158"/>
      <c r="E221" s="158"/>
      <c r="F221" s="158"/>
      <c r="G221" s="158"/>
      <c r="H221" s="158"/>
      <c r="I221" s="158"/>
      <c r="J221" s="158"/>
      <c r="K221" s="158"/>
      <c r="L221" s="158"/>
      <c r="M221" s="158"/>
      <c r="N221" s="158"/>
      <c r="O221" s="158"/>
      <c r="P221" s="158"/>
      <c r="Q221" s="158"/>
      <c r="R221" s="158"/>
      <c r="S221" s="158"/>
      <c r="T221" s="158"/>
      <c r="U221" s="158"/>
      <c r="V221" s="158"/>
      <c r="W221" s="158"/>
      <c r="X221" s="158"/>
      <c r="Y221" s="158"/>
      <c r="Z221" s="158"/>
      <c r="AA221" s="158"/>
      <c r="AB221" s="158"/>
      <c r="AC221" s="158"/>
      <c r="AD221" s="158"/>
      <c r="AE221" s="158"/>
      <c r="AF221" s="158"/>
      <c r="AG221" s="158"/>
      <c r="AH221" s="158"/>
      <c r="AI221" s="158"/>
      <c r="AJ221" s="158"/>
      <c r="AK221" s="158"/>
      <c r="AL221" s="158"/>
      <c r="AM221" s="158"/>
      <c r="AN221" s="158"/>
      <c r="AO221" s="158"/>
      <c r="AP221" s="158"/>
      <c r="AQ221" s="158"/>
      <c r="AR221" s="70"/>
      <c r="AS221" s="337" t="s">
        <v>562</v>
      </c>
      <c r="AT221" s="11"/>
      <c r="AU221" s="11"/>
      <c r="AV221" s="11"/>
      <c r="AW221" s="11"/>
      <c r="AX221" s="11"/>
      <c r="AY221" s="11"/>
      <c r="AZ221" s="11"/>
      <c r="BA221" s="11"/>
      <c r="BB221" s="11"/>
      <c r="BC221" s="11"/>
      <c r="BD221" s="11"/>
      <c r="BE221" s="11"/>
      <c r="BG221" s="16"/>
      <c r="BH221" s="16"/>
    </row>
    <row r="222" spans="1:60" s="70" customFormat="1" x14ac:dyDescent="0.2">
      <c r="A222" s="411"/>
      <c r="B222" s="322" t="s">
        <v>645</v>
      </c>
      <c r="C222" s="387"/>
      <c r="D222" s="377">
        <f>Model!D491/(Model!D607*1000)*Model!D1</f>
        <v>3.806514913657771E-3</v>
      </c>
      <c r="E222" s="377">
        <f>Model!E491/(Model!E607*1000)*Model!E1</f>
        <v>3.8672865595942522E-3</v>
      </c>
      <c r="F222" s="377">
        <f>Model!F491/(Model!F607*1000)*Model!F1</f>
        <v>4.7414374445430346E-3</v>
      </c>
      <c r="G222" s="377">
        <f>Model!G491/(Model!G607*1000)*Model!G1</f>
        <v>3.4565217391304345E-3</v>
      </c>
      <c r="H222" s="377">
        <f>Model!H491/(Model!H607*1000)*Model!H1</f>
        <v>3.3437641723356006E-3</v>
      </c>
      <c r="I222" s="377">
        <f>Model!I491/(Model!I607*1000)*Model!I1</f>
        <v>3.4647453713601574E-3</v>
      </c>
      <c r="J222" s="377">
        <f>Model!J491/(Model!J607*1000)*Model!J1</f>
        <v>3.5902628533641921E-3</v>
      </c>
      <c r="K222" s="377">
        <f>Model!K491/(Model!K607*1000)*Model!K1</f>
        <v>2.7083667575806191E-3</v>
      </c>
      <c r="L222" s="377">
        <f>Model!L491/(Model!L607*1000)*Model!L1</f>
        <v>2.4832930756843799E-3</v>
      </c>
      <c r="M222" s="377">
        <f>Model!M491/(Model!M607*1000)*Model!M1</f>
        <v>2.3952549217566886E-3</v>
      </c>
      <c r="N222" s="377">
        <f>Model!N491/(Model!N607*1000)*Model!N1</f>
        <v>2.3832385927177752E-3</v>
      </c>
      <c r="O222" s="377">
        <f>Model!O491/(Model!O607*1000)*Model!O1</f>
        <v>2.4143199752436947E-3</v>
      </c>
      <c r="P222" s="377">
        <f>Model!P491/(Model!P607*1000)*Model!P1</f>
        <v>2.3924860111910469E-3</v>
      </c>
      <c r="Q222" s="377">
        <f>Model!Q491/(Model!Q607*1000)*Model!Q1</f>
        <v>2.2344956081980301E-3</v>
      </c>
      <c r="R222" s="377">
        <f>Model!R491/(Model!R607*1000)*Model!R1</f>
        <v>2.2010869565217387E-3</v>
      </c>
      <c r="S222" s="377">
        <f>Model!S491/(Model!S607*1000)*Model!S1</f>
        <v>2.3345533865720197E-3</v>
      </c>
      <c r="T222" s="377">
        <f>Model!T491/(Model!T607*1000)*Model!T1</f>
        <v>2.2632147513503447E-3</v>
      </c>
      <c r="U222" s="377">
        <f>Model!U491/(Model!U607*1000)*Model!U1</f>
        <v>1.9051474840948524E-3</v>
      </c>
      <c r="V222" s="377">
        <f>Model!V491/(Model!V607*1000)*Model!V1</f>
        <v>2.0992777227021669E-3</v>
      </c>
      <c r="W222" s="377">
        <f>Model!W491/(Model!W607*1000)*Model!W1</f>
        <v>2.2115989702517162E-3</v>
      </c>
      <c r="X222" s="377">
        <f>Model!X491/(Model!X607*1000)*Model!X1</f>
        <v>2.5380794701986755E-3</v>
      </c>
      <c r="Y222" s="377">
        <f>Model!Y491/(Model!Y607*1000)*Model!Y1</f>
        <v>2.26819506372222E-3</v>
      </c>
      <c r="Z222" s="377">
        <f>Model!Z491/(Model!Z607*1000)*Model!Z1</f>
        <v>2.1752675064336986E-3</v>
      </c>
      <c r="AA222" s="377">
        <f>Model!AA491/(Model!AA607*1000)*Model!AA1</f>
        <v>2.104652704135737E-3</v>
      </c>
      <c r="AB222" s="377">
        <f>Model!AB491/(Model!AB607*1000)*Model!AB1</f>
        <v>1.1484759095378564E-3</v>
      </c>
      <c r="AC222" s="272">
        <v>1.1000000000000001E-3</v>
      </c>
      <c r="AD222" s="272">
        <v>1.1000000000000001E-3</v>
      </c>
      <c r="AE222" s="272">
        <v>1.1000000000000001E-3</v>
      </c>
      <c r="AF222" s="272">
        <v>1.1000000000000001E-3</v>
      </c>
      <c r="AG222" s="272">
        <v>1.1000000000000001E-3</v>
      </c>
      <c r="AH222" s="272">
        <v>1.1000000000000001E-3</v>
      </c>
      <c r="AI222" s="272">
        <v>1.1000000000000001E-3</v>
      </c>
      <c r="AJ222" s="272"/>
      <c r="AK222" s="272"/>
      <c r="AL222" s="272"/>
      <c r="AM222" s="272"/>
      <c r="AN222" s="272"/>
      <c r="AO222" s="272"/>
      <c r="AP222" s="272"/>
      <c r="AQ222" s="272"/>
      <c r="AS222" s="322" t="s">
        <v>645</v>
      </c>
      <c r="AT222" s="387"/>
      <c r="AU222" s="377">
        <f>Model!AU491/(Model!AU607*1000)*Model!AU1</f>
        <v>3.9746568109820489E-3</v>
      </c>
      <c r="AV222" s="377">
        <f>Model!AV491/(Model!AV607*1000)*Model!AV1</f>
        <v>3.2702702702702702E-3</v>
      </c>
      <c r="AW222" s="377">
        <f>Model!AW491/(Model!AW607*1000)*Model!AW1</f>
        <v>2.4185218165627782E-3</v>
      </c>
      <c r="AX222" s="377">
        <f>Model!AX491/(Model!AX607*1000)*Model!AX1</f>
        <v>2.289679098005204E-3</v>
      </c>
      <c r="AY222" s="377">
        <f>Model!AY491/(Model!AY607*1000)*Model!AY1</f>
        <v>2.1190082644628101E-3</v>
      </c>
      <c r="AZ222" s="377">
        <f>Model!AZ491/(Model!AZ607*1000)*Model!AZ1</f>
        <v>2.2658227848101264E-3</v>
      </c>
      <c r="BA222" s="377">
        <f>Model!BA491/(Model!BA607*1000)*Model!BA1</f>
        <v>1.1118189860009127E-3</v>
      </c>
      <c r="BB222" s="377">
        <f>Model!BB491/(Model!BB607*1000)*Model!BB1</f>
        <v>1.1002414175011735E-3</v>
      </c>
      <c r="BC222" s="272">
        <v>1.1999999999999999E-3</v>
      </c>
      <c r="BD222" s="272">
        <v>1.1999999999999999E-3</v>
      </c>
      <c r="BE222" s="272">
        <v>1.1999999999999999E-3</v>
      </c>
      <c r="BG222" s="355"/>
      <c r="BH222" s="1710"/>
    </row>
    <row r="223" spans="1:60" s="70" customFormat="1" x14ac:dyDescent="0.2">
      <c r="A223" s="411"/>
      <c r="B223" s="10"/>
      <c r="C223" s="9"/>
      <c r="D223" s="9"/>
      <c r="E223" s="9"/>
      <c r="F223" s="9"/>
      <c r="G223" s="9"/>
      <c r="H223" s="9"/>
      <c r="I223" s="9"/>
      <c r="J223" s="9"/>
      <c r="K223" s="9"/>
      <c r="L223" s="9"/>
      <c r="M223" s="9"/>
      <c r="N223" s="9"/>
      <c r="O223" s="9"/>
      <c r="P223" s="9"/>
      <c r="Q223" s="9"/>
      <c r="R223" s="9"/>
      <c r="S223" s="9"/>
      <c r="T223" s="9"/>
      <c r="U223" s="9"/>
      <c r="V223" s="9"/>
      <c r="W223" s="9"/>
      <c r="X223" s="9"/>
      <c r="Y223" s="1215"/>
      <c r="Z223" s="1688"/>
      <c r="AA223" s="1742"/>
      <c r="AB223" s="1785"/>
      <c r="AC223" s="9"/>
      <c r="AD223" s="9"/>
      <c r="AE223" s="9"/>
      <c r="AF223" s="1707"/>
      <c r="AG223" s="1707"/>
      <c r="AH223" s="1707"/>
      <c r="AI223" s="1707"/>
      <c r="AJ223" s="1740"/>
      <c r="AK223" s="1740"/>
      <c r="AL223" s="1740"/>
      <c r="AM223" s="1740"/>
      <c r="AN223" s="1740"/>
      <c r="AO223" s="1740"/>
      <c r="AP223" s="1740"/>
      <c r="AQ223" s="1740"/>
    </row>
    <row r="224" spans="1:60" s="70" customFormat="1" x14ac:dyDescent="0.2">
      <c r="A224" s="411"/>
      <c r="B224" s="10"/>
      <c r="C224" s="9"/>
      <c r="D224" s="9"/>
      <c r="E224" s="9"/>
      <c r="F224" s="9"/>
      <c r="G224" s="9"/>
      <c r="H224" s="9"/>
      <c r="I224" s="9"/>
      <c r="J224" s="9"/>
      <c r="K224" s="9"/>
      <c r="L224" s="9"/>
      <c r="M224" s="9"/>
      <c r="N224" s="9"/>
      <c r="O224" s="9"/>
      <c r="P224" s="9"/>
      <c r="Q224" s="9"/>
      <c r="R224" s="9"/>
      <c r="S224" s="9"/>
      <c r="T224" s="9"/>
      <c r="U224" s="9"/>
      <c r="V224" s="9"/>
      <c r="W224" s="9"/>
      <c r="X224" s="9"/>
      <c r="Y224" s="1215"/>
      <c r="Z224" s="1688"/>
      <c r="AA224" s="1742"/>
      <c r="AB224" s="1785"/>
      <c r="AC224" s="9"/>
      <c r="AD224" s="9"/>
      <c r="AE224" s="9"/>
      <c r="AF224" s="1707"/>
      <c r="AG224" s="1707"/>
      <c r="AH224" s="1707"/>
      <c r="AI224" s="1707"/>
      <c r="AJ224" s="1740"/>
      <c r="AK224" s="1740"/>
      <c r="AL224" s="1740"/>
      <c r="AM224" s="1740"/>
      <c r="AN224" s="1740"/>
      <c r="AO224" s="1740"/>
      <c r="AP224" s="1740"/>
      <c r="AQ224" s="1740"/>
    </row>
    <row r="225" spans="1:75" s="70" customFormat="1" x14ac:dyDescent="0.2">
      <c r="A225" s="411" t="s">
        <v>194</v>
      </c>
      <c r="B225" s="13" t="s">
        <v>139</v>
      </c>
      <c r="C225" s="13"/>
      <c r="D225" s="14"/>
      <c r="E225" s="14"/>
      <c r="F225" s="14"/>
      <c r="G225" s="14"/>
      <c r="H225" s="14"/>
      <c r="I225" s="14"/>
      <c r="J225" s="14"/>
      <c r="K225" s="14"/>
      <c r="L225" s="14"/>
      <c r="M225" s="14"/>
      <c r="N225" s="14"/>
      <c r="O225" s="14"/>
      <c r="P225" s="14"/>
      <c r="Q225" s="14"/>
      <c r="R225" s="14"/>
      <c r="S225" s="14"/>
      <c r="T225" s="14"/>
      <c r="U225" s="14"/>
      <c r="V225" s="14"/>
      <c r="W225" s="14"/>
      <c r="X225" s="14"/>
      <c r="Y225" s="14"/>
      <c r="Z225" s="14"/>
      <c r="AA225" s="14"/>
      <c r="AB225" s="14"/>
      <c r="AC225" s="14"/>
      <c r="AD225" s="14"/>
      <c r="AE225" s="14"/>
      <c r="AF225" s="14"/>
      <c r="AG225" s="14"/>
      <c r="AH225" s="14"/>
      <c r="AI225" s="14"/>
      <c r="AJ225" s="14"/>
      <c r="AK225" s="14"/>
      <c r="AL225" s="14"/>
      <c r="AM225" s="14"/>
      <c r="AN225" s="14"/>
      <c r="AO225" s="14"/>
      <c r="AP225" s="14"/>
      <c r="AQ225" s="14"/>
      <c r="AS225" s="13" t="s">
        <v>139</v>
      </c>
      <c r="AT225" s="13"/>
      <c r="AU225" s="14"/>
      <c r="AV225" s="14"/>
      <c r="AW225" s="14"/>
      <c r="AX225" s="14"/>
      <c r="AY225" s="14"/>
      <c r="AZ225" s="14"/>
      <c r="BA225" s="14"/>
      <c r="BB225" s="14"/>
      <c r="BC225" s="14"/>
      <c r="BD225" s="14"/>
      <c r="BE225" s="14"/>
      <c r="BF225" s="15"/>
      <c r="BG225" s="15"/>
      <c r="BH225" s="15"/>
      <c r="BI225" s="15"/>
      <c r="BJ225" s="15"/>
      <c r="BK225" s="15"/>
      <c r="BL225" s="15"/>
      <c r="BM225" s="15"/>
      <c r="BN225" s="15"/>
      <c r="BO225" s="15"/>
      <c r="BP225" s="15"/>
      <c r="BQ225" s="15"/>
      <c r="BR225" s="15"/>
      <c r="BS225" s="15"/>
      <c r="BT225" s="15"/>
      <c r="BU225" s="15"/>
      <c r="BV225" s="15"/>
      <c r="BW225" s="15"/>
    </row>
    <row r="226" spans="1:75" s="70" customFormat="1" x14ac:dyDescent="0.2">
      <c r="A226" s="411"/>
      <c r="B226" s="10"/>
      <c r="C226" s="9"/>
      <c r="D226" s="9"/>
      <c r="E226" s="9"/>
      <c r="F226" s="9"/>
      <c r="G226" s="9"/>
      <c r="H226" s="9"/>
      <c r="I226" s="9"/>
      <c r="J226" s="9"/>
      <c r="K226" s="9"/>
      <c r="L226" s="9"/>
      <c r="M226" s="9"/>
      <c r="N226" s="9"/>
      <c r="O226" s="9"/>
      <c r="P226" s="9"/>
      <c r="Q226" s="9"/>
      <c r="R226" s="9"/>
      <c r="S226" s="9"/>
      <c r="T226" s="9"/>
      <c r="U226" s="9"/>
      <c r="V226" s="9"/>
      <c r="W226" s="9"/>
      <c r="X226" s="9"/>
      <c r="Y226" s="1215"/>
      <c r="Z226" s="1688"/>
      <c r="AA226" s="1742"/>
      <c r="AB226" s="1785"/>
      <c r="AC226" s="9"/>
      <c r="AD226" s="9"/>
      <c r="AE226" s="9"/>
      <c r="AF226" s="1707"/>
      <c r="AG226" s="1707"/>
      <c r="AH226" s="1707"/>
      <c r="AI226" s="1707"/>
      <c r="AJ226" s="1740"/>
      <c r="AK226" s="1740"/>
      <c r="AL226" s="1740"/>
      <c r="AM226" s="1740"/>
      <c r="AN226" s="1740"/>
      <c r="AO226" s="1740"/>
      <c r="AP226" s="1740"/>
      <c r="AQ226" s="1740"/>
      <c r="AS226" s="10"/>
      <c r="AT226" s="9"/>
    </row>
    <row r="227" spans="1:75" s="70" customFormat="1" x14ac:dyDescent="0.2">
      <c r="A227" s="411"/>
      <c r="B227" s="326" t="s">
        <v>44</v>
      </c>
      <c r="C227" s="388"/>
      <c r="D227" s="12"/>
      <c r="E227" s="12"/>
      <c r="F227" s="12"/>
      <c r="G227" s="12"/>
      <c r="H227" s="12"/>
      <c r="I227" s="12"/>
      <c r="J227" s="12"/>
      <c r="K227" s="12"/>
      <c r="L227" s="12"/>
      <c r="M227" s="12"/>
      <c r="N227" s="12"/>
      <c r="O227" s="12"/>
      <c r="P227" s="12"/>
      <c r="Q227" s="12"/>
      <c r="R227" s="12"/>
      <c r="S227" s="12"/>
      <c r="T227" s="12"/>
      <c r="U227" s="12"/>
      <c r="V227" s="12"/>
      <c r="W227" s="12"/>
      <c r="X227" s="12"/>
      <c r="Y227" s="12"/>
      <c r="Z227" s="12"/>
      <c r="AA227" s="12"/>
      <c r="AB227" s="12"/>
      <c r="AC227" s="12"/>
      <c r="AD227" s="12"/>
      <c r="AE227" s="12"/>
      <c r="AF227" s="12"/>
      <c r="AG227" s="12"/>
      <c r="AH227" s="12"/>
      <c r="AI227" s="12"/>
      <c r="AJ227" s="12"/>
      <c r="AK227" s="12"/>
      <c r="AL227" s="12"/>
      <c r="AM227" s="12"/>
      <c r="AN227" s="12"/>
      <c r="AO227" s="12"/>
      <c r="AP227" s="12"/>
      <c r="AQ227" s="12"/>
      <c r="AS227" s="326" t="s">
        <v>302</v>
      </c>
      <c r="AT227" s="388"/>
      <c r="AU227" s="389"/>
      <c r="AV227" s="389"/>
      <c r="AW227" s="389"/>
      <c r="AX227" s="389"/>
      <c r="AY227" s="389"/>
      <c r="AZ227" s="389"/>
      <c r="BA227" s="389"/>
      <c r="BB227" s="389"/>
      <c r="BC227" s="389"/>
      <c r="BD227" s="389"/>
      <c r="BE227" s="389"/>
      <c r="BF227" s="390"/>
      <c r="BG227" s="390"/>
      <c r="BH227" s="390"/>
      <c r="BI227" s="390"/>
      <c r="BJ227" s="390"/>
      <c r="BK227" s="390"/>
      <c r="BL227" s="390"/>
      <c r="BM227" s="390"/>
      <c r="BN227" s="390"/>
      <c r="BO227" s="390"/>
      <c r="BP227" s="390"/>
      <c r="BQ227" s="390"/>
      <c r="BR227" s="390"/>
      <c r="BS227" s="390"/>
      <c r="BT227" s="390"/>
      <c r="BU227" s="390"/>
      <c r="BV227" s="390"/>
      <c r="BW227" s="390"/>
    </row>
    <row r="228" spans="1:75" s="70" customFormat="1" x14ac:dyDescent="0.2">
      <c r="A228" s="411"/>
      <c r="B228" s="35" t="s">
        <v>972</v>
      </c>
      <c r="C228" s="9"/>
      <c r="D228" s="80" t="str">
        <f>Model!D676</f>
        <v>NA</v>
      </c>
      <c r="E228" s="67">
        <f>Model!E676</f>
        <v>2.9350683481192529E-2</v>
      </c>
      <c r="F228" s="67">
        <f>Model!F676</f>
        <v>3.0787669657234871E-2</v>
      </c>
      <c r="G228" s="67">
        <f>Model!G676</f>
        <v>3.023243900877249E-2</v>
      </c>
      <c r="H228" s="67">
        <f>Model!H676</f>
        <v>3.7630800874148343E-2</v>
      </c>
      <c r="I228" s="67">
        <f>Model!I676</f>
        <v>4.0438659700954782E-2</v>
      </c>
      <c r="J228" s="67">
        <f>Model!J676</f>
        <v>4.0219803546961537E-2</v>
      </c>
      <c r="K228" s="67">
        <f>Model!K676</f>
        <v>4.7236067739610858E-2</v>
      </c>
      <c r="L228" s="67">
        <f>Model!L676</f>
        <v>5.3581548950676454E-2</v>
      </c>
      <c r="M228" s="67">
        <f>Model!M676</f>
        <v>5.8290634902329046E-2</v>
      </c>
      <c r="N228" s="67">
        <f>Model!N676</f>
        <v>5.468793087599963E-2</v>
      </c>
      <c r="O228" s="67">
        <f>Model!O676</f>
        <v>5.3554194733619102E-2</v>
      </c>
      <c r="P228" s="67">
        <f>Model!P676</f>
        <v>6.9955854387394739E-2</v>
      </c>
      <c r="Q228" s="67">
        <f>Model!Q676</f>
        <v>8.5745896798129967E-2</v>
      </c>
      <c r="R228" s="67">
        <f>Model!R676</f>
        <v>8.504754886479278E-2</v>
      </c>
      <c r="S228" s="67">
        <f>Model!S676</f>
        <v>7.3132591667612656E-2</v>
      </c>
      <c r="T228" s="67">
        <f>Model!T676</f>
        <v>7.7228919947366553E-2</v>
      </c>
      <c r="U228" s="67">
        <f>Model!U676</f>
        <v>7.581659719590754E-2</v>
      </c>
      <c r="V228" s="67">
        <f>Model!V676</f>
        <v>6.8671202296162442E-2</v>
      </c>
      <c r="W228" s="67">
        <f>Model!W676</f>
        <v>6.5707704928377603E-2</v>
      </c>
      <c r="X228" s="67">
        <f>Model!X676</f>
        <v>7.1388012618296512E-2</v>
      </c>
      <c r="Y228" s="67">
        <f>Model!Y676</f>
        <v>7.1707249584947438E-2</v>
      </c>
      <c r="Z228" s="67">
        <f>Model!Z676</f>
        <v>7.9347826086956535E-2</v>
      </c>
      <c r="AA228" s="67">
        <f>Model!AA676</f>
        <v>7.2119104642593954E-2</v>
      </c>
      <c r="AB228" s="67">
        <f>Model!AB676</f>
        <v>9.7842551071250616E-2</v>
      </c>
      <c r="AC228" s="262">
        <v>7.1999999999999995E-2</v>
      </c>
      <c r="AD228" s="262">
        <v>7.1999999999999995E-2</v>
      </c>
      <c r="AE228" s="262">
        <v>7.1999999999999995E-2</v>
      </c>
      <c r="AF228" s="262">
        <v>7.1999999999999995E-2</v>
      </c>
      <c r="AG228" s="262">
        <v>7.1999999999999995E-2</v>
      </c>
      <c r="AH228" s="262">
        <v>7.1999999999999995E-2</v>
      </c>
      <c r="AI228" s="262">
        <v>7.1999999999999995E-2</v>
      </c>
      <c r="AJ228" s="262"/>
      <c r="AK228" s="262"/>
      <c r="AL228" s="262"/>
      <c r="AM228" s="262"/>
      <c r="AN228" s="262"/>
      <c r="AO228" s="262"/>
      <c r="AP228" s="262"/>
      <c r="AQ228" s="262"/>
      <c r="AS228" s="35" t="s">
        <v>560</v>
      </c>
      <c r="AT228" s="9"/>
      <c r="AU228" s="67">
        <f>Model!AU676</f>
        <v>3.1641896673743806E-2</v>
      </c>
      <c r="AV228" s="67">
        <f>Model!AV676</f>
        <v>4.1175724254599283E-2</v>
      </c>
      <c r="AW228" s="67">
        <f>Model!AW676</f>
        <v>5.5032241423781263E-2</v>
      </c>
      <c r="AX228" s="67">
        <f>Model!AX676</f>
        <v>7.797942001870907E-2</v>
      </c>
      <c r="AY228" s="67">
        <f>Model!AY676</f>
        <v>7.2276029055690069E-2</v>
      </c>
      <c r="AZ228" s="67">
        <f>Model!AZ676</f>
        <v>7.3461891643709837E-2</v>
      </c>
      <c r="BA228" s="67">
        <f>Model!BA676</f>
        <v>7.8870573178984077E-2</v>
      </c>
      <c r="BB228" s="67">
        <f>Model!BB676</f>
        <v>7.1958046525156527E-2</v>
      </c>
      <c r="BC228" s="262">
        <v>7.1999999999999995E-2</v>
      </c>
      <c r="BD228" s="262">
        <v>7.1999999999999995E-2</v>
      </c>
      <c r="BE228" s="262">
        <v>7.1999999999999995E-2</v>
      </c>
      <c r="BG228" s="1719"/>
      <c r="BH228" s="1710"/>
    </row>
    <row r="229" spans="1:75" s="70" customFormat="1" x14ac:dyDescent="0.2">
      <c r="A229" s="411"/>
      <c r="B229" s="35" t="s">
        <v>970</v>
      </c>
      <c r="C229" s="9"/>
      <c r="D229" s="108" t="str">
        <f>Model!D683</f>
        <v>NA</v>
      </c>
      <c r="E229" s="66">
        <f>Model!E683</f>
        <v>2.8416298426547824E-2</v>
      </c>
      <c r="F229" s="66">
        <f>Model!F683</f>
        <v>2.6072693811824244E-2</v>
      </c>
      <c r="G229" s="66">
        <f>Model!G683</f>
        <v>2.9382884036626752E-2</v>
      </c>
      <c r="H229" s="66">
        <f>Model!H683</f>
        <v>2.3147791061404636E-2</v>
      </c>
      <c r="I229" s="66">
        <f>Model!I683</f>
        <v>3.3041343901999642E-2</v>
      </c>
      <c r="J229" s="66">
        <f>Model!J683</f>
        <v>4.0783303421524919E-2</v>
      </c>
      <c r="K229" s="66">
        <f>Model!K683</f>
        <v>3.5728441028104727E-2</v>
      </c>
      <c r="L229" s="66">
        <f>Model!L683</f>
        <v>4.6504740598700328E-2</v>
      </c>
      <c r="M229" s="66">
        <f>Model!M683</f>
        <v>4.0891642091042381E-2</v>
      </c>
      <c r="N229" s="66">
        <f>Model!N683</f>
        <v>5.108121150841069E-2</v>
      </c>
      <c r="O229" s="66">
        <f>Model!O683</f>
        <v>3.7639926515615429E-2</v>
      </c>
      <c r="P229" s="66">
        <f>Model!P683</f>
        <v>5.5776283618581904E-2</v>
      </c>
      <c r="Q229" s="66">
        <f>Model!Q683</f>
        <v>7.0503531290813659E-2</v>
      </c>
      <c r="R229" s="66">
        <f>Model!R683</f>
        <v>5.2001965119135345E-2</v>
      </c>
      <c r="S229" s="66">
        <f>Model!S683</f>
        <v>0.17009024860937674</v>
      </c>
      <c r="T229" s="66">
        <f>Model!T683</f>
        <v>9.1633415128560755E-2</v>
      </c>
      <c r="U229" s="66">
        <f>Model!U683</f>
        <v>3.3747631678666158E-2</v>
      </c>
      <c r="V229" s="66">
        <f>Model!V683</f>
        <v>4.1922504517912192E-2</v>
      </c>
      <c r="W229" s="66">
        <f>Model!W683</f>
        <v>3.3719946993121731E-2</v>
      </c>
      <c r="X229" s="66">
        <f>Model!X683</f>
        <v>8.2262530669470729E-2</v>
      </c>
      <c r="Y229" s="66">
        <f>Model!Y683</f>
        <v>2.366194956123014E-2</v>
      </c>
      <c r="Z229" s="66">
        <f>Model!Z683</f>
        <v>4.6132457027300307E-4</v>
      </c>
      <c r="AA229" s="66">
        <f>Model!AA683</f>
        <v>5.413135593220339E-2</v>
      </c>
      <c r="AB229" s="66">
        <f>Model!AB683</f>
        <v>9.6387643248629796E-3</v>
      </c>
      <c r="AC229" s="262">
        <v>3.0200000000000001E-2</v>
      </c>
      <c r="AD229" s="262">
        <v>3.0300000000000001E-2</v>
      </c>
      <c r="AE229" s="262">
        <v>3.0499999999999999E-2</v>
      </c>
      <c r="AF229" s="262">
        <v>3.0700000000000002E-2</v>
      </c>
      <c r="AG229" s="262">
        <v>3.09E-2</v>
      </c>
      <c r="AH229" s="262">
        <v>3.1099999999999999E-2</v>
      </c>
      <c r="AI229" s="262">
        <v>3.1300000000000001E-2</v>
      </c>
      <c r="AJ229" s="262"/>
      <c r="AK229" s="262"/>
      <c r="AL229" s="262"/>
      <c r="AM229" s="262"/>
      <c r="AN229" s="262"/>
      <c r="AO229" s="262"/>
      <c r="AP229" s="262"/>
      <c r="AQ229" s="262"/>
      <c r="AS229" s="35" t="s">
        <v>561</v>
      </c>
      <c r="AT229" s="9"/>
      <c r="AU229" s="66">
        <f>Model!AU683</f>
        <v>2.56758669497523E-2</v>
      </c>
      <c r="AV229" s="66">
        <f>Model!AV683</f>
        <v>3.2827236202156905E-2</v>
      </c>
      <c r="AW229" s="66">
        <f>Model!AW683</f>
        <v>4.4116584988393083E-2</v>
      </c>
      <c r="AX229" s="66">
        <f>Model!AX683</f>
        <v>8.3232927970065484E-2</v>
      </c>
      <c r="AY229" s="66">
        <f>Model!AY683</f>
        <v>5.1912832929782084E-2</v>
      </c>
      <c r="AZ229" s="66">
        <f>Model!AZ683</f>
        <v>4.1579430670339763E-2</v>
      </c>
      <c r="BA229" s="66">
        <f>Model!BA683</f>
        <v>2.4780906143768315E-2</v>
      </c>
      <c r="BB229" s="66">
        <f>Model!BB683</f>
        <v>3.0968974939554538E-2</v>
      </c>
      <c r="BC229" s="262">
        <v>3.15E-2</v>
      </c>
      <c r="BD229" s="262">
        <v>3.2000000000000001E-2</v>
      </c>
      <c r="BE229" s="262">
        <v>3.2000000000000001E-2</v>
      </c>
      <c r="BG229" s="1719"/>
      <c r="BH229" s="1710"/>
    </row>
    <row r="230" spans="1:75" s="70" customFormat="1" x14ac:dyDescent="0.2">
      <c r="A230" s="411"/>
      <c r="B230" s="35"/>
      <c r="C230" s="9"/>
      <c r="D230" s="9"/>
      <c r="E230" s="9"/>
      <c r="F230" s="9"/>
      <c r="G230" s="9"/>
      <c r="H230" s="9"/>
      <c r="I230" s="9"/>
      <c r="J230" s="9"/>
      <c r="K230" s="9"/>
      <c r="L230" s="9"/>
      <c r="M230" s="9"/>
      <c r="N230" s="9"/>
      <c r="O230" s="9"/>
      <c r="P230" s="9"/>
      <c r="Q230" s="9"/>
      <c r="R230" s="9"/>
      <c r="S230" s="9"/>
      <c r="T230" s="9"/>
      <c r="U230" s="9"/>
      <c r="V230" s="9"/>
      <c r="W230" s="9"/>
      <c r="X230" s="9"/>
      <c r="Y230" s="1215"/>
      <c r="Z230" s="1688"/>
      <c r="AA230" s="1742"/>
      <c r="AB230" s="1785"/>
      <c r="AC230" s="1740"/>
      <c r="AD230" s="1740"/>
      <c r="AE230" s="1740"/>
      <c r="AF230" s="1707"/>
      <c r="AG230" s="1707"/>
      <c r="AH230" s="1707"/>
      <c r="AI230" s="1707"/>
      <c r="AJ230" s="1740"/>
      <c r="AK230" s="1740"/>
      <c r="AL230" s="1740"/>
      <c r="AM230" s="1740"/>
      <c r="AN230" s="1740"/>
      <c r="AO230" s="1740"/>
      <c r="AP230" s="1740"/>
      <c r="AQ230" s="1740"/>
      <c r="AS230" s="10"/>
      <c r="AT230" s="9"/>
    </row>
    <row r="231" spans="1:75" s="70" customFormat="1" x14ac:dyDescent="0.2">
      <c r="A231" s="411"/>
      <c r="B231" s="48" t="s">
        <v>309</v>
      </c>
      <c r="C231" s="12"/>
      <c r="D231" s="12"/>
      <c r="E231" s="12"/>
      <c r="F231" s="12"/>
      <c r="G231" s="12"/>
      <c r="H231" s="12"/>
      <c r="I231" s="12"/>
      <c r="J231" s="12"/>
      <c r="K231" s="12"/>
      <c r="L231" s="12"/>
      <c r="M231" s="12"/>
      <c r="N231" s="12"/>
      <c r="O231" s="12"/>
      <c r="P231" s="12"/>
      <c r="Q231" s="12"/>
      <c r="R231" s="12"/>
      <c r="S231" s="12"/>
      <c r="T231" s="12"/>
      <c r="U231" s="12"/>
      <c r="V231" s="12"/>
      <c r="W231" s="12"/>
      <c r="X231" s="12"/>
      <c r="Y231" s="12"/>
      <c r="Z231" s="12"/>
      <c r="AA231" s="12"/>
      <c r="AB231" s="12"/>
      <c r="AC231" s="12"/>
      <c r="AD231" s="12"/>
      <c r="AE231" s="12"/>
      <c r="AF231" s="12"/>
      <c r="AG231" s="12"/>
      <c r="AH231" s="12"/>
      <c r="AI231" s="12"/>
      <c r="AJ231" s="12"/>
      <c r="AK231" s="12"/>
      <c r="AL231" s="12"/>
      <c r="AM231" s="12"/>
      <c r="AN231" s="12"/>
      <c r="AO231" s="12"/>
      <c r="AP231" s="12"/>
      <c r="AQ231" s="12"/>
      <c r="AS231" s="48" t="s">
        <v>309</v>
      </c>
      <c r="AT231" s="12"/>
      <c r="AU231" s="389"/>
      <c r="AV231" s="389"/>
      <c r="AW231" s="389"/>
      <c r="AX231" s="389"/>
      <c r="AY231" s="389"/>
      <c r="AZ231" s="389"/>
      <c r="BA231" s="389"/>
      <c r="BB231" s="389"/>
      <c r="BC231" s="389"/>
      <c r="BD231" s="389"/>
      <c r="BE231" s="389"/>
      <c r="BF231" s="390"/>
      <c r="BG231" s="390"/>
      <c r="BH231" s="390"/>
      <c r="BI231" s="390"/>
      <c r="BJ231" s="390"/>
      <c r="BK231" s="390"/>
      <c r="BL231" s="390"/>
      <c r="BM231" s="390"/>
      <c r="BN231" s="390"/>
      <c r="BO231" s="390"/>
      <c r="BP231" s="390"/>
      <c r="BQ231" s="390"/>
      <c r="BR231" s="390"/>
      <c r="BS231" s="390"/>
      <c r="BT231" s="390"/>
      <c r="BU231" s="390"/>
      <c r="BV231" s="390"/>
      <c r="BW231" s="390"/>
    </row>
    <row r="232" spans="1:75" s="70" customFormat="1" x14ac:dyDescent="0.2">
      <c r="A232" s="411"/>
      <c r="B232" s="319" t="s">
        <v>297</v>
      </c>
      <c r="C232" s="9"/>
      <c r="D232" s="9"/>
      <c r="E232" s="15"/>
      <c r="F232" s="26"/>
      <c r="G232" s="15"/>
      <c r="H232" s="15"/>
      <c r="I232" s="15"/>
      <c r="J232" s="15"/>
      <c r="K232" s="15"/>
      <c r="L232" s="15"/>
      <c r="M232" s="15"/>
      <c r="N232" s="15"/>
      <c r="O232" s="15"/>
      <c r="P232" s="15"/>
      <c r="Q232" s="15"/>
      <c r="R232" s="15"/>
      <c r="S232" s="15"/>
      <c r="T232" s="15"/>
      <c r="U232" s="15"/>
      <c r="V232" s="15"/>
      <c r="W232" s="15"/>
      <c r="X232" s="15"/>
      <c r="Y232" s="15"/>
      <c r="Z232" s="15"/>
      <c r="AA232" s="15"/>
      <c r="AB232" s="15"/>
      <c r="AC232" s="15"/>
      <c r="AD232" s="15"/>
      <c r="AE232" s="15"/>
      <c r="AF232" s="15"/>
      <c r="AG232" s="15"/>
      <c r="AH232" s="15"/>
      <c r="AI232" s="15"/>
      <c r="AJ232" s="15"/>
      <c r="AK232" s="15"/>
      <c r="AL232" s="15"/>
      <c r="AM232" s="15"/>
      <c r="AN232" s="15"/>
      <c r="AO232" s="15"/>
      <c r="AP232" s="15"/>
      <c r="AQ232" s="15"/>
      <c r="AS232" s="319" t="s">
        <v>297</v>
      </c>
      <c r="AT232" s="9"/>
    </row>
    <row r="233" spans="1:75" s="70" customFormat="1" x14ac:dyDescent="0.2">
      <c r="A233" s="411"/>
      <c r="C233" s="382" t="s">
        <v>298</v>
      </c>
      <c r="D233" s="9"/>
      <c r="E233" s="26">
        <f>Model!E690/Model!D690-1</f>
        <v>-4.6728971962616828E-2</v>
      </c>
      <c r="F233" s="26">
        <f>Model!F690/Model!E690-1</f>
        <v>-2.9411764705882359E-2</v>
      </c>
      <c r="G233" s="26">
        <f>Model!G690/Model!F690-1</f>
        <v>-5.0505050505050497E-2</v>
      </c>
      <c r="H233" s="26">
        <f>Model!H690/Model!G690-1</f>
        <v>-3.1914893617021267E-2</v>
      </c>
      <c r="I233" s="26">
        <f>Model!I690/Model!H690-1</f>
        <v>-6.5934065934065922E-2</v>
      </c>
      <c r="J233" s="26">
        <f>Model!J690/Model!I690-1</f>
        <v>-7.0588235294117618E-2</v>
      </c>
      <c r="K233" s="26">
        <f>Model!K690/Model!J690-1</f>
        <v>-5.0632911392405111E-2</v>
      </c>
      <c r="L233" s="26">
        <f>Model!L690/Model!K690-1</f>
        <v>-4.0000000000000036E-2</v>
      </c>
      <c r="M233" s="26">
        <f>Model!M690/Model!L690-1</f>
        <v>-4.166666666666663E-2</v>
      </c>
      <c r="N233" s="26">
        <f>Model!N690/Model!M690-1</f>
        <v>-5.7971014492753659E-2</v>
      </c>
      <c r="O233" s="26">
        <f>Model!O690/Model!N690-1</f>
        <v>-4.6153846153846101E-2</v>
      </c>
      <c r="P233" s="26">
        <f>Model!P690/Model!O690-1</f>
        <v>-8.064516129032262E-2</v>
      </c>
      <c r="Q233" s="26">
        <f>Model!Q690/Model!P690-1</f>
        <v>-8.7719298245614086E-2</v>
      </c>
      <c r="R233" s="26">
        <f>Model!R690/Model!Q690-1</f>
        <v>-3.8461538461538436E-2</v>
      </c>
      <c r="S233" s="26">
        <f>Model!S690/Model!R690-1</f>
        <v>-6.0000000000000053E-2</v>
      </c>
      <c r="T233" s="26">
        <f>Model!T690/Model!S690-1</f>
        <v>-0.21914893617021269</v>
      </c>
      <c r="U233" s="26">
        <f>Model!U690/Model!T690-1</f>
        <v>-5.9945504087193568E-2</v>
      </c>
      <c r="V233" s="26">
        <f>Model!V690/Model!U690-1</f>
        <v>-6.6666666666666541E-2</v>
      </c>
      <c r="W233" s="26">
        <f>Model!W690/Model!V690-1</f>
        <v>-8.3850931677018736E-2</v>
      </c>
      <c r="X233" s="26">
        <f>Model!X690/Model!W690-1</f>
        <v>-8.4745762711864403E-2</v>
      </c>
      <c r="Y233" s="26">
        <f>Model!Y690/Model!X690-1</f>
        <v>-9.9999999999999978E-2</v>
      </c>
      <c r="Z233" s="26">
        <f>Model!Z690/Model!Y690-1</f>
        <v>-9.0534979423868234E-2</v>
      </c>
      <c r="AA233" s="26">
        <f>Model!AA690/Model!Z690-1</f>
        <v>-7.2398190045248945E-2</v>
      </c>
      <c r="AB233" s="26">
        <f>Model!AB690/Model!AA690-1</f>
        <v>-5.85365853658536E-2</v>
      </c>
      <c r="AC233" s="267">
        <v>-0.05</v>
      </c>
      <c r="AD233" s="267">
        <v>-0.05</v>
      </c>
      <c r="AE233" s="267">
        <v>-0.05</v>
      </c>
      <c r="AF233" s="267">
        <v>-0.06</v>
      </c>
      <c r="AG233" s="267">
        <v>-0.06</v>
      </c>
      <c r="AH233" s="267">
        <v>-0.05</v>
      </c>
      <c r="AI233" s="267">
        <v>-0.05</v>
      </c>
      <c r="AJ233" s="267"/>
      <c r="AK233" s="267"/>
      <c r="AL233" s="267"/>
      <c r="AM233" s="267"/>
      <c r="AN233" s="267"/>
      <c r="AO233" s="267"/>
      <c r="AP233" s="267"/>
      <c r="AQ233" s="267"/>
      <c r="AT233" s="382" t="s">
        <v>298</v>
      </c>
      <c r="AU233" s="26"/>
      <c r="AV233" s="26">
        <f>Model!AV690/Model!AU690-1</f>
        <v>-0.17910447761194026</v>
      </c>
      <c r="AW233" s="26">
        <f>Model!AW690/Model!AV690-1</f>
        <v>-0.18787878787878787</v>
      </c>
      <c r="AX233" s="26">
        <f>Model!AX690/Model!AW690-1</f>
        <v>-0.23134328358208955</v>
      </c>
      <c r="AY233" s="26">
        <f>Model!AY690/Model!AX690-1</f>
        <v>-0.35485436893203881</v>
      </c>
      <c r="AZ233" s="26">
        <f>Model!AZ690/Model!AY690-1</f>
        <v>-0.2934537246049661</v>
      </c>
      <c r="BA233" s="26">
        <f>Model!BA690/Model!AZ690-1</f>
        <v>-0.23748043130990415</v>
      </c>
      <c r="BB233" s="26">
        <f>Model!BB690/Model!BA690-1</f>
        <v>-0.20026426527174102</v>
      </c>
      <c r="BC233" s="267">
        <v>-0.2</v>
      </c>
      <c r="BD233" s="267">
        <v>-0.2</v>
      </c>
      <c r="BE233" s="267">
        <v>-0.2</v>
      </c>
      <c r="BG233" s="339"/>
      <c r="BH233" s="1710"/>
    </row>
    <row r="234" spans="1:75" s="70" customFormat="1" x14ac:dyDescent="0.2">
      <c r="A234" s="411"/>
      <c r="B234" s="157"/>
      <c r="C234" s="25" t="s">
        <v>16</v>
      </c>
      <c r="D234" s="25"/>
      <c r="E234" s="64">
        <f>Model!E691/Model!D691-1</f>
        <v>0</v>
      </c>
      <c r="F234" s="64">
        <f>Model!F691/Model!E691-1</f>
        <v>-6.6666666666666652E-2</v>
      </c>
      <c r="G234" s="64">
        <f>Model!G691/Model!F691-1</f>
        <v>0</v>
      </c>
      <c r="H234" s="64">
        <f>Model!H691/Model!G691-1</f>
        <v>-0.1428571428571429</v>
      </c>
      <c r="I234" s="64">
        <f>Model!I691/Model!H691-1</f>
        <v>0</v>
      </c>
      <c r="J234" s="64">
        <f>Model!J691/Model!I691-1</f>
        <v>0</v>
      </c>
      <c r="K234" s="64">
        <f>Model!K691/Model!J691-1</f>
        <v>0</v>
      </c>
      <c r="L234" s="64">
        <f>Model!L691/Model!K691-1</f>
        <v>0</v>
      </c>
      <c r="M234" s="64">
        <f>Model!M691/Model!L691-1</f>
        <v>0</v>
      </c>
      <c r="N234" s="64">
        <f>Model!N691/Model!M691-1</f>
        <v>0</v>
      </c>
      <c r="O234" s="64">
        <f>Model!O691/Model!N691-1</f>
        <v>0</v>
      </c>
      <c r="P234" s="64">
        <f>Model!P691/Model!O691-1</f>
        <v>0</v>
      </c>
      <c r="Q234" s="64">
        <f>Model!Q691/Model!P691-1</f>
        <v>-0.66666666666666674</v>
      </c>
      <c r="R234" s="64">
        <f>Model!R691/Model!Q691-1</f>
        <v>-0.25</v>
      </c>
      <c r="S234" s="64">
        <f>Model!S691/Model!R691-1</f>
        <v>-0.33333333333333337</v>
      </c>
      <c r="T234" s="64">
        <f>Model!T691/Model!S691-1</f>
        <v>0.34999999999999787</v>
      </c>
      <c r="U234" s="64">
        <f>Model!U691/Model!T691-1</f>
        <v>2.6645352591003757E-15</v>
      </c>
      <c r="V234" s="64">
        <f>Model!V691/Model!U691-1</f>
        <v>0.18518518518518245</v>
      </c>
      <c r="W234" s="64">
        <f>Model!W691/Model!V691-1</f>
        <v>-0.218749999999999</v>
      </c>
      <c r="X234" s="64">
        <f>Model!X691/Model!W691-1</f>
        <v>4.000000000000048E-2</v>
      </c>
      <c r="Y234" s="64">
        <f>Model!Y691/Model!X691-1</f>
        <v>-0.3846153846153858</v>
      </c>
      <c r="Z234" s="64">
        <f>Model!Z691/Model!Y691-1</f>
        <v>0.12499999999999978</v>
      </c>
      <c r="AA234" s="64">
        <f>Model!AA691/Model!Z691-1</f>
        <v>-0.22222222222222177</v>
      </c>
      <c r="AB234" s="64">
        <f>Model!AB691/Model!AA691-1</f>
        <v>-7.1428571428569954E-2</v>
      </c>
      <c r="AC234" s="268">
        <v>-0.05</v>
      </c>
      <c r="AD234" s="268">
        <v>-0.05</v>
      </c>
      <c r="AE234" s="268">
        <v>-0.05</v>
      </c>
      <c r="AF234" s="268">
        <v>-0.06</v>
      </c>
      <c r="AG234" s="268">
        <v>-0.06</v>
      </c>
      <c r="AH234" s="268">
        <v>-0.05</v>
      </c>
      <c r="AI234" s="268">
        <v>-0.05</v>
      </c>
      <c r="AJ234" s="267"/>
      <c r="AK234" s="267"/>
      <c r="AL234" s="267"/>
      <c r="AM234" s="267"/>
      <c r="AN234" s="267"/>
      <c r="AO234" s="267"/>
      <c r="AP234" s="267"/>
      <c r="AQ234" s="267"/>
      <c r="AS234" s="157"/>
      <c r="AT234" s="25" t="s">
        <v>16</v>
      </c>
      <c r="AU234" s="64"/>
      <c r="AV234" s="64">
        <f>Model!AV691/Model!AU691-1</f>
        <v>-0.17241379310344829</v>
      </c>
      <c r="AW234" s="64">
        <f>Model!AW691/Model!AV691-1</f>
        <v>0</v>
      </c>
      <c r="AX234" s="64">
        <f>Model!AX691/Model!AW691-1</f>
        <v>-0.5625</v>
      </c>
      <c r="AY234" s="64">
        <f>Model!AY691/Model!AX691-1</f>
        <v>-0.47142857142857175</v>
      </c>
      <c r="AZ234" s="64">
        <f>Model!AZ691/Model!AY691-1</f>
        <v>-0.33333333333333348</v>
      </c>
      <c r="BA234" s="64">
        <f>Model!BA691/Model!AZ691-1</f>
        <v>-0.348265202702702</v>
      </c>
      <c r="BB234" s="64">
        <f>Model!BB691/Model!BA691-1</f>
        <v>-0.20026426527174102</v>
      </c>
      <c r="BC234" s="268">
        <v>-0.2</v>
      </c>
      <c r="BD234" s="268">
        <v>-0.2</v>
      </c>
      <c r="BE234" s="268">
        <v>-0.2</v>
      </c>
      <c r="BG234" s="1725"/>
      <c r="BH234" s="1710"/>
    </row>
    <row r="235" spans="1:75" s="70" customFormat="1" x14ac:dyDescent="0.2">
      <c r="A235" s="411"/>
      <c r="B235" s="35" t="s">
        <v>559</v>
      </c>
      <c r="C235" s="9"/>
      <c r="D235" s="9"/>
      <c r="E235" s="26">
        <f>Model!E692/Model!D692-1</f>
        <v>-4.0983606557377095E-2</v>
      </c>
      <c r="F235" s="26">
        <f>Model!F692/Model!E692-1</f>
        <v>-3.4188034188034178E-2</v>
      </c>
      <c r="G235" s="26">
        <f>Model!G692/Model!F692-1</f>
        <v>-4.4247787610619427E-2</v>
      </c>
      <c r="H235" s="26">
        <f>Model!H692/Model!G692-1</f>
        <v>-4.629629629629628E-2</v>
      </c>
      <c r="I235" s="26">
        <f>Model!I692/Model!H692-1</f>
        <v>-5.8252427184465994E-2</v>
      </c>
      <c r="J235" s="26">
        <f>Model!J692/Model!I692-1</f>
        <v>-6.1855670103092786E-2</v>
      </c>
      <c r="K235" s="26">
        <f>Model!K692/Model!J692-1</f>
        <v>-4.3956043956043911E-2</v>
      </c>
      <c r="L235" s="26">
        <f>Model!L692/Model!K692-1</f>
        <v>-3.4482758620689613E-2</v>
      </c>
      <c r="M235" s="26">
        <f>Model!M692/Model!L692-1</f>
        <v>-3.5714285714285698E-2</v>
      </c>
      <c r="N235" s="26">
        <f>Model!N692/Model!M692-1</f>
        <v>-4.9382716049382713E-2</v>
      </c>
      <c r="O235" s="26">
        <f>Model!O692/Model!N692-1</f>
        <v>-3.8961038961038974E-2</v>
      </c>
      <c r="P235" s="26">
        <f>Model!P692/Model!O692-1</f>
        <v>-6.7567567567567544E-2</v>
      </c>
      <c r="Q235" s="26">
        <f>Model!Q692/Model!P692-1</f>
        <v>-0.18840579710144922</v>
      </c>
      <c r="R235" s="26">
        <f>Model!R692/Model!Q692-1</f>
        <v>-5.3571428571428603E-2</v>
      </c>
      <c r="S235" s="26">
        <f>Model!S692/Model!R692-1</f>
        <v>-7.547169811320753E-2</v>
      </c>
      <c r="T235" s="26">
        <f>Model!T692/Model!S692-1</f>
        <v>-0.19591836734693879</v>
      </c>
      <c r="U235" s="26">
        <f>Model!U692/Model!T692-1</f>
        <v>-5.5837563451776595E-2</v>
      </c>
      <c r="V235" s="26">
        <f>Model!V692/Model!U692-1</f>
        <v>-4.8387096774193616E-2</v>
      </c>
      <c r="W235" s="26">
        <f>Model!W692/Model!V692-1</f>
        <v>-9.6045197740112997E-2</v>
      </c>
      <c r="X235" s="26">
        <f>Model!X692/Model!W692-1</f>
        <v>-7.4999999999999956E-2</v>
      </c>
      <c r="Y235" s="26">
        <f>Model!Y692/Model!X692-1</f>
        <v>-0.12500000000000011</v>
      </c>
      <c r="Z235" s="26">
        <f>Model!Z692/Model!Y692-1</f>
        <v>-7.7220077220077177E-2</v>
      </c>
      <c r="AA235" s="26">
        <f>Model!AA692/Model!Z692-1</f>
        <v>-8.3682008368200833E-2</v>
      </c>
      <c r="AB235" s="26">
        <f>Model!AB692/Model!AA692-1</f>
        <v>-5.9360730593607136E-2</v>
      </c>
      <c r="AC235" s="26">
        <f>Model!AC692/Model!AB692-1</f>
        <v>-5.0000000000000044E-2</v>
      </c>
      <c r="AD235" s="26">
        <f>Model!AD692/Model!AC692-1</f>
        <v>-5.0000000000000044E-2</v>
      </c>
      <c r="AE235" s="26">
        <f>Model!AE692/Model!AD692-1</f>
        <v>-5.0000000000000044E-2</v>
      </c>
      <c r="AF235" s="26">
        <f>Model!AF692/Model!AE692-1</f>
        <v>-5.9999999999999942E-2</v>
      </c>
      <c r="AG235" s="26">
        <f>Model!AG692/Model!AF692-1</f>
        <v>-6.0000000000000053E-2</v>
      </c>
      <c r="AH235" s="26">
        <f>Model!AH692/Model!AG692-1</f>
        <v>-5.0000000000000044E-2</v>
      </c>
      <c r="AI235" s="26">
        <f>Model!AI692/Model!AH692-1</f>
        <v>-5.0000000000000044E-2</v>
      </c>
      <c r="AJ235" s="26"/>
      <c r="AK235" s="26"/>
      <c r="AL235" s="26"/>
      <c r="AM235" s="26"/>
      <c r="AN235" s="26"/>
      <c r="AO235" s="26"/>
      <c r="AP235" s="26"/>
      <c r="AQ235" s="26"/>
      <c r="AS235" s="35" t="s">
        <v>559</v>
      </c>
      <c r="AT235" s="9"/>
      <c r="AU235" s="26"/>
      <c r="AV235" s="26">
        <f>Model!AV692/Model!AU692-1</f>
        <v>-0.17826086956521736</v>
      </c>
      <c r="AW235" s="26">
        <f>Model!AW692/Model!AV692-1</f>
        <v>-0.16402116402116407</v>
      </c>
      <c r="AX235" s="26">
        <f>Model!AX692/Model!AW692-1</f>
        <v>-0.28164556962025311</v>
      </c>
      <c r="AY235" s="26">
        <f>Model!AY692/Model!AX692-1</f>
        <v>-0.36563876651982374</v>
      </c>
      <c r="AZ235" s="26">
        <f>Model!AZ692/Model!AY692-1</f>
        <v>-0.29652777777777772</v>
      </c>
      <c r="BA235" s="26">
        <f>Model!BA692/Model!AZ692-1</f>
        <v>-0.24557329713721632</v>
      </c>
      <c r="BB235" s="26">
        <f>Model!BB692/Model!BA692-1</f>
        <v>-0.2002642652717409</v>
      </c>
      <c r="BC235" s="26">
        <f>Model!BC692/Model!BB692-1</f>
        <v>-0.19999999999999996</v>
      </c>
      <c r="BD235" s="26">
        <f>Model!BD692/Model!BC692-1</f>
        <v>-0.19999999999999984</v>
      </c>
      <c r="BE235" s="26">
        <f>Model!BE692/Model!BD692-1</f>
        <v>-0.20000000000000007</v>
      </c>
      <c r="BG235" s="23"/>
      <c r="BH235" s="23"/>
    </row>
    <row r="236" spans="1:75" s="70" customFormat="1" x14ac:dyDescent="0.2">
      <c r="A236" s="411"/>
      <c r="B236" s="63"/>
      <c r="C236" s="15"/>
      <c r="D236" s="15"/>
      <c r="E236" s="23"/>
      <c r="F236" s="23"/>
      <c r="G236" s="23"/>
      <c r="H236" s="23"/>
      <c r="I236" s="23"/>
      <c r="J236" s="23"/>
      <c r="K236" s="23"/>
      <c r="L236" s="23"/>
      <c r="M236" s="23"/>
      <c r="N236" s="23"/>
      <c r="O236" s="23"/>
      <c r="P236" s="23"/>
      <c r="Q236" s="23"/>
      <c r="R236" s="23"/>
      <c r="S236" s="23"/>
      <c r="T236" s="23"/>
      <c r="U236" s="23"/>
      <c r="V236" s="23"/>
      <c r="W236" s="23"/>
      <c r="X236" s="23"/>
      <c r="Y236" s="23"/>
      <c r="Z236" s="23"/>
      <c r="AA236" s="23"/>
      <c r="AB236" s="23"/>
      <c r="AC236" s="202"/>
      <c r="AD236" s="202"/>
      <c r="AE236" s="202"/>
      <c r="AF236" s="202"/>
      <c r="AG236" s="202"/>
      <c r="AH236" s="202"/>
      <c r="AI236" s="202"/>
      <c r="AJ236" s="202"/>
      <c r="AK236" s="202"/>
      <c r="AL236" s="202"/>
      <c r="AM236" s="202"/>
      <c r="AN236" s="202"/>
      <c r="AO236" s="202"/>
      <c r="AP236" s="202"/>
      <c r="AQ236" s="202"/>
      <c r="AS236" s="63"/>
      <c r="AT236" s="15"/>
      <c r="AU236" s="23"/>
      <c r="AV236" s="23"/>
      <c r="AW236" s="23"/>
      <c r="AX236" s="23"/>
      <c r="AY236" s="23"/>
      <c r="AZ236" s="23"/>
      <c r="BA236" s="23"/>
      <c r="BB236" s="23"/>
      <c r="BC236" s="202"/>
      <c r="BD236" s="202"/>
      <c r="BE236" s="202"/>
      <c r="BG236" s="202"/>
      <c r="BH236" s="202"/>
    </row>
    <row r="237" spans="1:75" s="70" customFormat="1" x14ac:dyDescent="0.2">
      <c r="A237" s="411"/>
      <c r="B237" s="364" t="s">
        <v>301</v>
      </c>
      <c r="C237" s="71"/>
      <c r="D237" s="71"/>
      <c r="E237" s="176">
        <f>Model!E694/Model!D694-1</f>
        <v>-5.6666666666666643E-2</v>
      </c>
      <c r="F237" s="176">
        <f>Model!F694/Model!E694-1</f>
        <v>-2.1201413427561877E-2</v>
      </c>
      <c r="G237" s="176">
        <f>Model!G694/Model!F694-1</f>
        <v>-3.2490974729241784E-2</v>
      </c>
      <c r="H237" s="176">
        <f>Model!H694/Model!G694-1</f>
        <v>-3.7313432835820892E-2</v>
      </c>
      <c r="I237" s="176">
        <f>Model!I694/Model!H694-1</f>
        <v>-6.2015503875968991E-2</v>
      </c>
      <c r="J237" s="176">
        <f>Model!J694/Model!I694-1</f>
        <v>-0.14049586776859502</v>
      </c>
      <c r="K237" s="176">
        <f>Model!K694/Model!J694-1</f>
        <v>0</v>
      </c>
      <c r="L237" s="176">
        <f>Model!L694/Model!K694-1</f>
        <v>-5.2884615384615419E-2</v>
      </c>
      <c r="M237" s="176">
        <f>Model!M694/Model!L694-1</f>
        <v>1.0152284263959421E-2</v>
      </c>
      <c r="N237" s="176">
        <f>Model!N694/Model!M694-1</f>
        <v>-6.5326633165828984E-2</v>
      </c>
      <c r="O237" s="176">
        <f>Model!O694/Model!N694-1</f>
        <v>-0.20430107526881724</v>
      </c>
      <c r="P237" s="176">
        <f>Model!P694/Model!O694-1</f>
        <v>-0.1283783783783784</v>
      </c>
      <c r="Q237" s="176">
        <f>Model!Q694/Model!P694-1</f>
        <v>-0.23255813953488369</v>
      </c>
      <c r="R237" s="176">
        <f>Model!R694/Model!Q694-1</f>
        <v>-0.11111111111111105</v>
      </c>
      <c r="S237" s="176">
        <f>Model!S694/Model!R694-1</f>
        <v>-5.6818181818181768E-2</v>
      </c>
      <c r="T237" s="176">
        <f>Model!T694/Model!S694-1</f>
        <v>-0.19277108433734946</v>
      </c>
      <c r="U237" s="176">
        <f>Model!U694/Model!T694-1</f>
        <v>-8.9552238805970186E-2</v>
      </c>
      <c r="V237" s="176">
        <f>Model!V694/Model!U694-1</f>
        <v>-0.11475409836065564</v>
      </c>
      <c r="W237" s="176">
        <f>Model!W694/Model!V694-1</f>
        <v>-0.55555555555555558</v>
      </c>
      <c r="X237" s="176">
        <f>Model!X694/Model!W694-1</f>
        <v>-0.12499999999999989</v>
      </c>
      <c r="Y237" s="176">
        <f>Model!Y694/Model!X694-1</f>
        <v>-9.5238095238095344E-2</v>
      </c>
      <c r="Z237" s="176">
        <f>Model!Z694/Model!Y694-1</f>
        <v>0</v>
      </c>
      <c r="AA237" s="176">
        <f>Model!AA694/Model!Z694-1</f>
        <v>-0.10526315789473684</v>
      </c>
      <c r="AB237" s="176">
        <f>Model!AB694/Model!AA694-1</f>
        <v>0</v>
      </c>
      <c r="AC237" s="269">
        <v>-0.1</v>
      </c>
      <c r="AD237" s="269">
        <v>-0.1</v>
      </c>
      <c r="AE237" s="269">
        <v>-0.1</v>
      </c>
      <c r="AF237" s="269">
        <v>-0.13</v>
      </c>
      <c r="AG237" s="269">
        <v>-0.13</v>
      </c>
      <c r="AH237" s="269">
        <v>-0.14399999999999999</v>
      </c>
      <c r="AI237" s="269">
        <v>-0.14399999999999999</v>
      </c>
      <c r="AJ237" s="269"/>
      <c r="AK237" s="269"/>
      <c r="AL237" s="269"/>
      <c r="AM237" s="269"/>
      <c r="AN237" s="269"/>
      <c r="AO237" s="269"/>
      <c r="AP237" s="269"/>
      <c r="AQ237" s="269"/>
      <c r="AS237" s="364" t="s">
        <v>301</v>
      </c>
      <c r="AT237" s="71"/>
      <c r="AU237" s="176"/>
      <c r="AV237" s="176">
        <f>Model!AV694/Model!AU694-1</f>
        <v>-0.18794326241134751</v>
      </c>
      <c r="AW237" s="176">
        <f>Model!AW694/Model!AV694-1</f>
        <v>-0.20305676855895194</v>
      </c>
      <c r="AX237" s="176">
        <f>Model!AX694/Model!AW694-1</f>
        <v>-0.45342465753424654</v>
      </c>
      <c r="AY237" s="176">
        <f>Model!AY694/Model!AX694-1</f>
        <v>-0.48370927318295742</v>
      </c>
      <c r="AZ237" s="176">
        <f>Model!AZ694/Model!AY694-1</f>
        <v>-0.63106796116504849</v>
      </c>
      <c r="BA237" s="176">
        <f>Model!BA694/Model!AZ694-1</f>
        <v>-0.23075000000000001</v>
      </c>
      <c r="BB237" s="176">
        <f>Model!BB694/Model!BA694-1</f>
        <v>-0.40022011952497816</v>
      </c>
      <c r="BC237" s="269">
        <v>-0.4</v>
      </c>
      <c r="BD237" s="269">
        <v>-0.4</v>
      </c>
      <c r="BE237" s="269">
        <v>-0.4</v>
      </c>
      <c r="BG237" s="921"/>
      <c r="BH237" s="1710"/>
    </row>
    <row r="238" spans="1:75" s="70" customFormat="1" x14ac:dyDescent="0.2">
      <c r="A238" s="411"/>
      <c r="B238" s="364"/>
      <c r="E238" s="209"/>
      <c r="F238" s="209"/>
      <c r="G238" s="209"/>
      <c r="H238" s="209"/>
      <c r="I238" s="209"/>
      <c r="J238" s="209"/>
      <c r="K238" s="209"/>
      <c r="L238" s="209"/>
      <c r="M238" s="209"/>
      <c r="N238" s="209"/>
      <c r="O238" s="209"/>
      <c r="P238" s="209"/>
      <c r="Q238" s="209"/>
      <c r="R238" s="209"/>
      <c r="S238" s="209"/>
      <c r="T238" s="209"/>
      <c r="U238" s="209"/>
      <c r="V238" s="209"/>
      <c r="W238" s="209"/>
      <c r="X238" s="209"/>
      <c r="Y238" s="209"/>
      <c r="Z238" s="209"/>
      <c r="AA238" s="209"/>
      <c r="AB238" s="209"/>
      <c r="AC238" s="211"/>
      <c r="AD238" s="211"/>
      <c r="AE238" s="211"/>
      <c r="AF238" s="211"/>
      <c r="AG238" s="211"/>
      <c r="AH238" s="211"/>
      <c r="AI238" s="211"/>
      <c r="AJ238" s="211"/>
      <c r="AK238" s="211"/>
      <c r="AL238" s="211"/>
      <c r="AM238" s="211"/>
      <c r="AN238" s="211"/>
      <c r="AO238" s="211"/>
      <c r="AP238" s="211"/>
      <c r="AQ238" s="211"/>
      <c r="AS238" s="364"/>
      <c r="AU238" s="209"/>
      <c r="AV238" s="209"/>
      <c r="AW238" s="209"/>
      <c r="AX238" s="209"/>
      <c r="AY238" s="209"/>
      <c r="AZ238" s="209"/>
      <c r="BA238" s="209"/>
      <c r="BB238" s="209"/>
      <c r="BC238" s="211"/>
      <c r="BD238" s="211"/>
      <c r="BE238" s="211"/>
      <c r="BG238" s="211"/>
      <c r="BH238" s="211"/>
    </row>
    <row r="239" spans="1:75" s="70" customFormat="1" x14ac:dyDescent="0.2">
      <c r="A239" s="411"/>
      <c r="B239" s="364" t="s">
        <v>563</v>
      </c>
      <c r="C239" s="71"/>
      <c r="D239" s="71"/>
      <c r="E239" s="208" t="s">
        <v>229</v>
      </c>
      <c r="F239" s="176">
        <f>Model!F696/Model!E696-1</f>
        <v>6.6613381477509392E-15</v>
      </c>
      <c r="G239" s="176">
        <f>Model!G696/Model!F696-1</f>
        <v>-4.7619047619044674E-2</v>
      </c>
      <c r="H239" s="176">
        <f>Model!H696/Model!G696-1</f>
        <v>-0.15000000000000457</v>
      </c>
      <c r="I239" s="176">
        <f>Model!I696/Model!H696-1</f>
        <v>-5.8823529411769604E-2</v>
      </c>
      <c r="J239" s="176">
        <f>Model!J696/Model!I696-1</f>
        <v>6.2500000000005551E-2</v>
      </c>
      <c r="K239" s="176">
        <f>Model!K696/Model!J696-1</f>
        <v>-5.8823529411761277E-2</v>
      </c>
      <c r="L239" s="176">
        <f>Model!L696/Model!K696-1</f>
        <v>-0.24999999999999334</v>
      </c>
      <c r="M239" s="176">
        <f>Model!M696/Model!L696-1</f>
        <v>-2.4166666666666252</v>
      </c>
      <c r="N239" s="176">
        <f>Model!N696/Model!M696-1</f>
        <v>0.17647058823530348</v>
      </c>
      <c r="O239" s="176">
        <f>Model!O696/Model!N696-1</f>
        <v>-0.95000000000000251</v>
      </c>
      <c r="P239" s="176">
        <f>Model!P696/Model!O696-1</f>
        <v>1.0000000000002132</v>
      </c>
      <c r="Q239" s="176">
        <f>Model!Q696/Model!P696-1</f>
        <v>-2.4999999999998757</v>
      </c>
      <c r="R239" s="176">
        <f>Model!R696/Model!Q696-1</f>
        <v>7.1054273576010019E-14</v>
      </c>
      <c r="S239" s="176">
        <f>Model!S696/Model!R696-1</f>
        <v>0</v>
      </c>
      <c r="T239" s="176">
        <f>Model!T696/Model!S696-1</f>
        <v>0.66666666666660346</v>
      </c>
      <c r="U239" s="176">
        <f>Model!U696/Model!T696-1</f>
        <v>-0.20000000000000284</v>
      </c>
      <c r="V239" s="176">
        <f>Model!V696/Model!U696-1</f>
        <v>-0.49999999999999112</v>
      </c>
      <c r="W239" s="176">
        <f>Model!W696/Model!V696-1</f>
        <v>-0.5</v>
      </c>
      <c r="X239" s="176">
        <f>Model!X696/Model!W696-1</f>
        <v>-1</v>
      </c>
      <c r="Y239" s="208" t="str">
        <f>IFERROR(Model!Y696/Model!X696-1,"NA")</f>
        <v>NA</v>
      </c>
      <c r="Z239" s="208" t="str">
        <f>IFERROR(Model!Z696/Model!Y696-1,"NA")</f>
        <v>NA</v>
      </c>
      <c r="AA239" s="208" t="str">
        <f>IFERROR(Model!AA696/Model!Z696-1,"NA")</f>
        <v>NA</v>
      </c>
      <c r="AB239" s="208" t="str">
        <f>IFERROR(Model!AB696/Model!AA696-1,"NA")</f>
        <v>NA</v>
      </c>
      <c r="AC239" s="269">
        <v>-1</v>
      </c>
      <c r="AD239" s="269">
        <v>-1</v>
      </c>
      <c r="AE239" s="269">
        <v>-1</v>
      </c>
      <c r="AF239" s="269">
        <v>-1</v>
      </c>
      <c r="AG239" s="269">
        <v>-1</v>
      </c>
      <c r="AH239" s="269">
        <v>-1</v>
      </c>
      <c r="AI239" s="269">
        <v>-1</v>
      </c>
      <c r="AJ239" s="269"/>
      <c r="AK239" s="269"/>
      <c r="AL239" s="269"/>
      <c r="AM239" s="269"/>
      <c r="AN239" s="269"/>
      <c r="AO239" s="269"/>
      <c r="AP239" s="269"/>
      <c r="AQ239" s="269"/>
      <c r="AS239" s="364" t="s">
        <v>563</v>
      </c>
      <c r="AT239" s="71"/>
      <c r="AU239" s="176"/>
      <c r="AV239" s="176">
        <f>Model!AV696/Model!AU696-1</f>
        <v>-0.2016129032258076</v>
      </c>
      <c r="AW239" s="176">
        <f>Model!AW696/Model!AV696-1</f>
        <v>-1.3939393939393838</v>
      </c>
      <c r="AX239" s="176">
        <f>Model!AX696/Model!AW696-1</f>
        <v>-1.2692307692307767</v>
      </c>
      <c r="AY239" s="176">
        <f>Model!AY696/Model!AX696-1</f>
        <v>0.7142857142857113</v>
      </c>
      <c r="AZ239" s="176">
        <f>Model!AZ696/Model!AY696-1</f>
        <v>-1</v>
      </c>
      <c r="BA239" s="208" t="str">
        <f>IFERROR(Model!BA696/Model!AZ696-1,"NA")</f>
        <v>NA</v>
      </c>
      <c r="BB239" s="208" t="str">
        <f>IFERROR(Model!BB696/Model!BA696-1,"NA")</f>
        <v>NA</v>
      </c>
      <c r="BC239" s="269">
        <v>-1</v>
      </c>
      <c r="BD239" s="269">
        <v>-1</v>
      </c>
      <c r="BE239" s="269">
        <v>-1</v>
      </c>
      <c r="BG239" s="921"/>
      <c r="BH239" s="1710"/>
    </row>
    <row r="240" spans="1:75" s="70" customFormat="1" x14ac:dyDescent="0.2">
      <c r="A240" s="411"/>
      <c r="B240" s="15"/>
      <c r="E240" s="209"/>
      <c r="F240" s="209"/>
      <c r="G240" s="209"/>
      <c r="H240" s="209"/>
      <c r="I240" s="209"/>
      <c r="J240" s="209"/>
      <c r="K240" s="209"/>
      <c r="L240" s="209"/>
      <c r="M240" s="209"/>
      <c r="N240" s="209"/>
      <c r="O240" s="209"/>
      <c r="P240" s="209"/>
      <c r="Q240" s="209"/>
      <c r="R240" s="209"/>
      <c r="S240" s="209"/>
      <c r="T240" s="209"/>
      <c r="U240" s="209"/>
      <c r="V240" s="209"/>
      <c r="W240" s="209"/>
      <c r="X240" s="209"/>
      <c r="Y240" s="209"/>
      <c r="Z240" s="209"/>
      <c r="AA240" s="209"/>
      <c r="AB240" s="209"/>
      <c r="AC240" s="210"/>
      <c r="AD240" s="210"/>
      <c r="AE240" s="210"/>
      <c r="AF240" s="210"/>
      <c r="AG240" s="210"/>
      <c r="AH240" s="210"/>
      <c r="AI240" s="210"/>
      <c r="AJ240" s="210"/>
      <c r="AK240" s="210"/>
      <c r="AL240" s="210"/>
      <c r="AM240" s="210"/>
      <c r="AN240" s="210"/>
      <c r="AO240" s="210"/>
      <c r="AP240" s="210"/>
      <c r="AQ240" s="210"/>
      <c r="AS240" s="15"/>
      <c r="AU240" s="209"/>
      <c r="AV240" s="209"/>
      <c r="AW240" s="209"/>
      <c r="AX240" s="209"/>
      <c r="AY240" s="209"/>
      <c r="AZ240" s="209"/>
      <c r="BA240" s="209"/>
      <c r="BB240" s="209"/>
      <c r="BC240" s="210"/>
      <c r="BD240" s="210"/>
      <c r="BE240" s="210"/>
      <c r="BG240" s="210"/>
      <c r="BH240" s="210"/>
    </row>
    <row r="241" spans="1:75" s="70" customFormat="1" x14ac:dyDescent="0.2">
      <c r="A241" s="411"/>
      <c r="B241" s="364" t="s">
        <v>258</v>
      </c>
      <c r="C241" s="382"/>
      <c r="D241" s="9"/>
      <c r="E241" s="60" t="str">
        <f>IFERROR(Model!E698/Model!D698-1,"NA")</f>
        <v>NA</v>
      </c>
      <c r="F241" s="60">
        <f>IFERROR(Model!F698/Model!E698-1,"NA")</f>
        <v>-3.1431499829176812E-2</v>
      </c>
      <c r="G241" s="60">
        <f>IFERROR(Model!G698/Model!F698-1,"NA")</f>
        <v>-4.1975308641975184E-2</v>
      </c>
      <c r="H241" s="60">
        <f>IFERROR(Model!H698/Model!G698-1,"NA")</f>
        <v>-4.5287187039764421E-2</v>
      </c>
      <c r="I241" s="60">
        <f>IFERROR(Model!I698/Model!H698-1,"NA")</f>
        <v>-5.90050134978789E-2</v>
      </c>
      <c r="J241" s="60">
        <f>IFERROR(Model!J698/Model!I698-1,"NA")</f>
        <v>-7.6639344262295017E-2</v>
      </c>
      <c r="K241" s="60">
        <f>IFERROR(Model!K698/Model!J698-1,"NA")</f>
        <v>-3.5952063914780341E-2</v>
      </c>
      <c r="L241" s="60">
        <f>IFERROR(Model!L698/Model!K698-1,"NA")</f>
        <v>-3.9594843462246621E-2</v>
      </c>
      <c r="M241" s="60">
        <f>IFERROR(Model!M698/Model!L698-1,"NA")</f>
        <v>-4.0747842761265529E-2</v>
      </c>
      <c r="N241" s="60">
        <f>IFERROR(Model!N698/Model!M698-1,"NA")</f>
        <v>-5.4472763618191089E-2</v>
      </c>
      <c r="O241" s="60">
        <f>IFERROR(Model!O698/Model!N698-1,"NA")</f>
        <v>-6.1839323467230423E-2</v>
      </c>
      <c r="P241" s="60">
        <f>IFERROR(Model!P698/Model!O698-1,"NA")</f>
        <v>-7.8309859154929606E-2</v>
      </c>
      <c r="Q241" s="60">
        <f>IFERROR(Model!Q698/Model!P698-1,"NA")</f>
        <v>-0.19254278728606355</v>
      </c>
      <c r="R241" s="60">
        <f>IFERROR(Model!R698/Model!Q698-1,"NA")</f>
        <v>-6.2074186222558558E-2</v>
      </c>
      <c r="S241" s="60">
        <f>IFERROR(Model!S698/Model!R698-1,"NA")</f>
        <v>-7.2639225181598044E-2</v>
      </c>
      <c r="T241" s="60">
        <f>IFERROR(Model!T698/Model!S698-1,"NA")</f>
        <v>-0.19321148825065271</v>
      </c>
      <c r="U241" s="60">
        <f>IFERROR(Model!U698/Model!T698-1,"NA")</f>
        <v>-6.1488673139158623E-2</v>
      </c>
      <c r="V241" s="60">
        <f>IFERROR(Model!V698/Model!U698-1,"NA")</f>
        <v>-5.9770114942528818E-2</v>
      </c>
      <c r="W241" s="60">
        <f>IFERROR(Model!W698/Model!V698-1,"NA")</f>
        <v>-0.15770171149144241</v>
      </c>
      <c r="X241" s="60">
        <f>IFERROR(Model!X698/Model!W698-1,"NA")</f>
        <v>-7.9825834542815666E-2</v>
      </c>
      <c r="Y241" s="60">
        <f>IFERROR(Model!Y698/Model!X698-1,"NA")</f>
        <v>-0.12302839116719255</v>
      </c>
      <c r="Z241" s="60">
        <f>IFERROR(Model!Z698/Model!Y698-1,"NA")</f>
        <v>-7.1942446043165464E-2</v>
      </c>
      <c r="AA241" s="60">
        <f>IFERROR(Model!AA698/Model!Z698-1,"NA")</f>
        <v>-8.5271317829457294E-2</v>
      </c>
      <c r="AB241" s="60">
        <f>IFERROR(Model!AB698/Model!AA698-1,"NA")</f>
        <v>-5.5084745762711718E-2</v>
      </c>
      <c r="AC241" s="60">
        <f>IFERROR(Model!AC698/Model!AB698-1,"NA")</f>
        <v>-5.3811659192825045E-2</v>
      </c>
      <c r="AD241" s="60">
        <f>IFERROR(Model!AD698/Model!AC698-1,"NA")</f>
        <v>-5.3625592417061774E-2</v>
      </c>
      <c r="AE241" s="60">
        <f>IFERROR(Model!AE698/Model!AD698-1,"NA")</f>
        <v>-5.3447930490522544E-2</v>
      </c>
      <c r="AF241" s="60">
        <f>IFERROR(Model!AF698/Model!AE698-1,"NA")</f>
        <v>-6.4589702519281089E-2</v>
      </c>
      <c r="AG241" s="60">
        <f>IFERROR(Model!AG698/Model!AF698-1,"NA")</f>
        <v>-6.4268759070248427E-2</v>
      </c>
      <c r="AH241" s="60">
        <f>IFERROR(Model!AH698/Model!AG698-1,"NA")</f>
        <v>-5.532966093399172E-2</v>
      </c>
      <c r="AI241" s="60">
        <f>IFERROR(Model!AI698/Model!AH698-1,"NA")</f>
        <v>-5.4829398755133485E-2</v>
      </c>
      <c r="AJ241" s="60"/>
      <c r="AK241" s="60"/>
      <c r="AL241" s="60"/>
      <c r="AM241" s="60"/>
      <c r="AN241" s="60"/>
      <c r="AO241" s="60"/>
      <c r="AP241" s="60"/>
      <c r="AQ241" s="60"/>
      <c r="AS241" s="364" t="s">
        <v>258</v>
      </c>
      <c r="AT241" s="382"/>
      <c r="AU241" s="60"/>
      <c r="AV241" s="60">
        <f>IFERROR(Model!AV698/Model!AU698-1,"NA")</f>
        <v>-0.16330502476999298</v>
      </c>
      <c r="AW241" s="60">
        <f>IFERROR(Model!AW698/Model!AV698-1,"NA")</f>
        <v>-0.18016493973355874</v>
      </c>
      <c r="AX241" s="60">
        <f>IFERROR(Model!AX698/Model!AW698-1,"NA")</f>
        <v>-0.31067835955635814</v>
      </c>
      <c r="AY241" s="60">
        <f>IFERROR(Model!AY698/Model!AX698-1,"NA")</f>
        <v>-0.38185219831618344</v>
      </c>
      <c r="AZ241" s="60">
        <f>IFERROR(Model!AZ698/Model!AY698-1,"NA")</f>
        <v>-0.34079903147699764</v>
      </c>
      <c r="BA241" s="60">
        <f>IFERROR(Model!BA698/Model!AZ698-1,"NA")</f>
        <v>-0.24453879706152415</v>
      </c>
      <c r="BB241" s="60">
        <f>IFERROR(Model!BB698/Model!BA698-1,"NA")</f>
        <v>-0.21447364679964442</v>
      </c>
      <c r="BC241" s="60">
        <f>IFERROR(Model!BC698/Model!BB698-1,"NA")</f>
        <v>-0.21085180999454323</v>
      </c>
      <c r="BD241" s="60">
        <f>IFERROR(Model!BD698/Model!BC698-1,"NA")</f>
        <v>-0.20825077733078345</v>
      </c>
      <c r="BE241" s="60">
        <f>IFERROR(Model!BE698/Model!BD698-1,"NA")</f>
        <v>-0.20625256868807618</v>
      </c>
      <c r="BG241" s="256"/>
      <c r="BH241" s="256"/>
    </row>
    <row r="242" spans="1:75" s="70" customFormat="1" x14ac:dyDescent="0.2">
      <c r="A242" s="411"/>
      <c r="B242" s="364"/>
      <c r="C242" s="382"/>
      <c r="D242" s="9"/>
      <c r="E242" s="60"/>
      <c r="F242" s="60"/>
      <c r="G242" s="60"/>
      <c r="H242" s="60"/>
      <c r="I242" s="60"/>
      <c r="J242" s="60"/>
      <c r="K242" s="60"/>
      <c r="L242" s="60"/>
      <c r="M242" s="60"/>
      <c r="N242" s="60"/>
      <c r="O242" s="60"/>
      <c r="P242" s="60"/>
      <c r="Q242" s="60"/>
      <c r="R242" s="60"/>
      <c r="S242" s="60"/>
      <c r="T242" s="60"/>
      <c r="U242" s="60"/>
      <c r="V242" s="60"/>
      <c r="W242" s="60"/>
      <c r="X242" s="60"/>
      <c r="Y242" s="60"/>
      <c r="Z242" s="60"/>
      <c r="AA242" s="60"/>
      <c r="AB242" s="60"/>
      <c r="AC242" s="60"/>
      <c r="AD242" s="60"/>
      <c r="AE242" s="60"/>
      <c r="AF242" s="60"/>
      <c r="AG242" s="60"/>
      <c r="AH242" s="60"/>
      <c r="AI242" s="60"/>
      <c r="AJ242" s="60"/>
      <c r="AK242" s="60"/>
      <c r="AL242" s="60"/>
      <c r="AM242" s="60"/>
      <c r="AN242" s="60"/>
      <c r="AO242" s="60"/>
      <c r="AP242" s="60"/>
      <c r="AQ242" s="60"/>
      <c r="AS242" s="364"/>
      <c r="AT242" s="382"/>
      <c r="AU242" s="60"/>
      <c r="AV242" s="60"/>
      <c r="AW242" s="60"/>
      <c r="AX242" s="60"/>
      <c r="AY242" s="60"/>
      <c r="AZ242" s="60"/>
      <c r="BA242" s="60"/>
      <c r="BB242" s="60"/>
      <c r="BC242" s="60"/>
      <c r="BD242" s="60"/>
      <c r="BE242" s="60"/>
      <c r="BG242" s="256"/>
      <c r="BH242" s="256"/>
    </row>
    <row r="243" spans="1:75" s="160" customFormat="1" x14ac:dyDescent="0.2">
      <c r="A243" s="411"/>
      <c r="B243" s="337" t="s">
        <v>465</v>
      </c>
      <c r="C243" s="11"/>
      <c r="D243" s="158"/>
      <c r="E243" s="158"/>
      <c r="F243" s="158"/>
      <c r="G243" s="158"/>
      <c r="H243" s="158"/>
      <c r="I243" s="158"/>
      <c r="J243" s="158"/>
      <c r="K243" s="158"/>
      <c r="L243" s="158"/>
      <c r="M243" s="158"/>
      <c r="N243" s="158"/>
      <c r="O243" s="158"/>
      <c r="P243" s="158"/>
      <c r="Q243" s="158"/>
      <c r="R243" s="158"/>
      <c r="S243" s="158"/>
      <c r="T243" s="158"/>
      <c r="U243" s="158"/>
      <c r="V243" s="158"/>
      <c r="W243" s="158"/>
      <c r="X243" s="158"/>
      <c r="Y243" s="158"/>
      <c r="Z243" s="158"/>
      <c r="AA243" s="158"/>
      <c r="AB243" s="158"/>
      <c r="AC243" s="158"/>
      <c r="AD243" s="158"/>
      <c r="AE243" s="158"/>
      <c r="AF243" s="158"/>
      <c r="AG243" s="158"/>
      <c r="AH243" s="158"/>
      <c r="AI243" s="158"/>
      <c r="AJ243" s="158"/>
      <c r="AK243" s="158"/>
      <c r="AL243" s="158"/>
      <c r="AM243" s="158"/>
      <c r="AN243" s="158"/>
      <c r="AO243" s="158"/>
      <c r="AP243" s="158"/>
      <c r="AQ243" s="158"/>
      <c r="AR243" s="70"/>
      <c r="AS243" s="158" t="s">
        <v>465</v>
      </c>
      <c r="AT243" s="389"/>
      <c r="AU243" s="389"/>
      <c r="AV243" s="389"/>
      <c r="AW243" s="389"/>
      <c r="AX243" s="389"/>
      <c r="AY243" s="389"/>
      <c r="AZ243" s="389"/>
      <c r="BA243" s="389"/>
      <c r="BB243" s="389"/>
      <c r="BC243" s="389"/>
      <c r="BD243" s="389"/>
      <c r="BE243" s="389"/>
      <c r="BG243" s="390"/>
      <c r="BH243" s="390"/>
    </row>
    <row r="244" spans="1:75" s="70" customFormat="1" x14ac:dyDescent="0.2">
      <c r="A244" s="411"/>
      <c r="B244" s="329" t="s">
        <v>183</v>
      </c>
      <c r="C244" s="9"/>
      <c r="D244" s="68">
        <f>Model!D1511</f>
        <v>1.3455578512396693</v>
      </c>
      <c r="E244" s="68">
        <f>Model!E1511</f>
        <v>1.1527117031398668</v>
      </c>
      <c r="F244" s="68">
        <f>Model!F1511</f>
        <v>1.2566633761105628</v>
      </c>
      <c r="G244" s="68">
        <f>Model!G1511</f>
        <v>1.6692874692874693</v>
      </c>
      <c r="H244" s="68">
        <f>Model!H1511</f>
        <v>1.3818836850231602</v>
      </c>
      <c r="I244" s="68">
        <f>Model!I1511</f>
        <v>1.178076062639821</v>
      </c>
      <c r="J244" s="68">
        <f>Model!J1511</f>
        <v>1.0282608695652173</v>
      </c>
      <c r="K244" s="68">
        <f>Model!K1511</f>
        <v>1.0933509467195068</v>
      </c>
      <c r="L244" s="68">
        <f>Model!L1511</f>
        <v>1.052059052059052</v>
      </c>
      <c r="M244" s="68">
        <f>Model!M1511</f>
        <v>2.4037995149555376</v>
      </c>
      <c r="N244" s="68">
        <f>Model!N1511</f>
        <v>1.3413957176843774</v>
      </c>
      <c r="O244" s="68">
        <f>Model!O1511</f>
        <v>2.3769607843137255</v>
      </c>
      <c r="P244" s="68">
        <f>Model!P1511</f>
        <v>0.76104100946372244</v>
      </c>
      <c r="Q244" s="68">
        <f>Model!Q1511</f>
        <v>0.6789739603575593</v>
      </c>
      <c r="R244" s="68">
        <f>Model!R1511</f>
        <v>0.80654205607476637</v>
      </c>
      <c r="S244" s="68">
        <f>Model!S1511</f>
        <v>0.54684838160136284</v>
      </c>
      <c r="T244" s="68">
        <f>Model!T1511</f>
        <v>0.64234326824254884</v>
      </c>
      <c r="U244" s="68">
        <f>Model!U1511</f>
        <v>1.1046413502109704</v>
      </c>
      <c r="V244" s="68">
        <f>Model!V1511</f>
        <v>1.1328056288478452</v>
      </c>
      <c r="W244" s="68">
        <f>Model!W1511</f>
        <v>1.3124274099883857</v>
      </c>
      <c r="X244" s="68">
        <f>Model!X1511</f>
        <v>0.94421315570358033</v>
      </c>
      <c r="Y244" s="68">
        <f>Model!Y1511</f>
        <v>1.5068078668683813</v>
      </c>
      <c r="Z244" s="68">
        <f>Model!Z1511</f>
        <v>1.5934489402697496</v>
      </c>
      <c r="AA244" s="68">
        <f>Model!AA1511</f>
        <v>1.1411451398135819</v>
      </c>
      <c r="AB244" s="68">
        <f>Model!AB1511</f>
        <v>1.2538071065989849</v>
      </c>
      <c r="AC244" s="271">
        <v>1.32</v>
      </c>
      <c r="AD244" s="271">
        <v>1.33</v>
      </c>
      <c r="AE244" s="271">
        <v>1.36</v>
      </c>
      <c r="AF244" s="271">
        <v>1.3</v>
      </c>
      <c r="AG244" s="271">
        <v>1.3</v>
      </c>
      <c r="AH244" s="271">
        <v>1.3</v>
      </c>
      <c r="AI244" s="271">
        <v>1.3</v>
      </c>
      <c r="AJ244" s="271"/>
      <c r="AK244" s="271"/>
      <c r="AL244" s="271"/>
      <c r="AM244" s="271"/>
      <c r="AN244" s="271"/>
      <c r="AO244" s="271"/>
      <c r="AP244" s="271"/>
      <c r="AQ244" s="271"/>
      <c r="AS244" s="329" t="s">
        <v>183</v>
      </c>
      <c r="AT244" s="9"/>
      <c r="AU244" s="68">
        <f>Model!AU1511</f>
        <v>1.3546116804543771</v>
      </c>
      <c r="AV244" s="68">
        <f>Model!AV1511</f>
        <v>1.161961367013373</v>
      </c>
      <c r="AW244" s="68">
        <f>Model!AW1511</f>
        <v>1.7572320499479708</v>
      </c>
      <c r="AX244" s="68">
        <f>Model!AX1511</f>
        <v>0.68043821372203139</v>
      </c>
      <c r="AY244" s="68">
        <f>Model!AY1511</f>
        <v>0.97036459348800941</v>
      </c>
      <c r="AZ244" s="68">
        <f>Model!AZ1511</f>
        <v>1.2177522349936143</v>
      </c>
      <c r="BA244" s="68">
        <f>Model!BA1511</f>
        <v>1.3132274196891496</v>
      </c>
      <c r="BB244" s="68">
        <f>Model!BB1511</f>
        <v>1.3</v>
      </c>
      <c r="BC244" s="271">
        <v>1.3</v>
      </c>
      <c r="BD244" s="271">
        <v>1.3</v>
      </c>
      <c r="BE244" s="271">
        <v>1.3</v>
      </c>
      <c r="BG244" s="853"/>
      <c r="BH244" s="1710"/>
    </row>
    <row r="245" spans="1:75" s="70" customFormat="1" x14ac:dyDescent="0.2">
      <c r="A245" s="411"/>
      <c r="B245" s="329"/>
      <c r="C245" s="15"/>
      <c r="D245" s="21"/>
      <c r="E245" s="21"/>
      <c r="F245" s="21"/>
      <c r="G245" s="21"/>
      <c r="H245" s="21"/>
      <c r="I245" s="21"/>
      <c r="J245" s="21"/>
      <c r="K245" s="21"/>
      <c r="L245" s="21"/>
      <c r="M245" s="21"/>
      <c r="N245" s="21"/>
      <c r="O245" s="21"/>
      <c r="P245" s="21"/>
      <c r="Q245" s="21"/>
      <c r="R245" s="21"/>
      <c r="S245" s="21"/>
      <c r="T245" s="21"/>
      <c r="U245" s="21"/>
      <c r="V245" s="21"/>
      <c r="W245" s="21"/>
      <c r="X245" s="21"/>
      <c r="Y245" s="21"/>
      <c r="Z245" s="21"/>
      <c r="AA245" s="21"/>
      <c r="AB245" s="21"/>
      <c r="AC245" s="1730"/>
      <c r="AD245" s="1730"/>
      <c r="AE245" s="1730"/>
      <c r="AF245" s="853"/>
      <c r="AG245" s="853"/>
      <c r="AH245" s="853"/>
      <c r="AI245" s="853"/>
      <c r="AJ245" s="853"/>
      <c r="AK245" s="853"/>
      <c r="AL245" s="853"/>
      <c r="AM245" s="853"/>
      <c r="AN245" s="853"/>
      <c r="AO245" s="853"/>
      <c r="AP245" s="853"/>
      <c r="AQ245" s="853"/>
      <c r="AS245" s="329"/>
      <c r="AT245" s="15"/>
      <c r="AU245" s="21"/>
      <c r="AV245" s="21"/>
      <c r="AW245" s="21"/>
      <c r="AX245" s="21"/>
      <c r="AY245" s="21"/>
      <c r="AZ245" s="21"/>
      <c r="BA245" s="21"/>
      <c r="BB245" s="21"/>
      <c r="BC245" s="853"/>
      <c r="BD245" s="853"/>
      <c r="BE245" s="853"/>
      <c r="BG245" s="853"/>
      <c r="BH245" s="853"/>
    </row>
    <row r="246" spans="1:75" s="160" customFormat="1" x14ac:dyDescent="0.2">
      <c r="A246" s="411"/>
      <c r="B246" s="337" t="s">
        <v>554</v>
      </c>
      <c r="C246" s="11"/>
      <c r="D246" s="158"/>
      <c r="E246" s="158"/>
      <c r="F246" s="158"/>
      <c r="G246" s="158"/>
      <c r="H246" s="158"/>
      <c r="I246" s="158"/>
      <c r="J246" s="158"/>
      <c r="K246" s="158"/>
      <c r="L246" s="158"/>
      <c r="M246" s="158"/>
      <c r="N246" s="158"/>
      <c r="O246" s="158"/>
      <c r="P246" s="158"/>
      <c r="Q246" s="158"/>
      <c r="R246" s="158"/>
      <c r="S246" s="158"/>
      <c r="T246" s="158"/>
      <c r="U246" s="158"/>
      <c r="V246" s="158"/>
      <c r="W246" s="158"/>
      <c r="X246" s="158"/>
      <c r="Y246" s="158"/>
      <c r="Z246" s="158"/>
      <c r="AA246" s="158"/>
      <c r="AB246" s="158"/>
      <c r="AC246" s="158"/>
      <c r="AD246" s="158"/>
      <c r="AE246" s="158"/>
      <c r="AF246" s="158"/>
      <c r="AG246" s="158"/>
      <c r="AH246" s="158"/>
      <c r="AI246" s="158"/>
      <c r="AJ246" s="158"/>
      <c r="AK246" s="158"/>
      <c r="AL246" s="158"/>
      <c r="AM246" s="158"/>
      <c r="AN246" s="158"/>
      <c r="AO246" s="158"/>
      <c r="AP246" s="158"/>
      <c r="AQ246" s="158"/>
      <c r="AR246" s="70"/>
      <c r="AS246" s="158" t="s">
        <v>554</v>
      </c>
      <c r="AT246" s="389"/>
      <c r="AU246" s="389"/>
      <c r="AV246" s="389"/>
      <c r="AW246" s="389"/>
      <c r="AX246" s="389"/>
      <c r="AY246" s="389"/>
      <c r="AZ246" s="389"/>
      <c r="BA246" s="389"/>
      <c r="BB246" s="389"/>
      <c r="BC246" s="389"/>
      <c r="BD246" s="389"/>
      <c r="BE246" s="389"/>
      <c r="BG246" s="390"/>
      <c r="BH246" s="390"/>
    </row>
    <row r="247" spans="1:75" s="70" customFormat="1" x14ac:dyDescent="0.2">
      <c r="A247" s="411"/>
      <c r="B247" s="329" t="s">
        <v>183</v>
      </c>
      <c r="C247" s="9"/>
      <c r="D247" s="68">
        <f>Model!D654</f>
        <v>0.32381370826010547</v>
      </c>
      <c r="E247" s="68">
        <f>Model!E654</f>
        <v>0.47146118721461189</v>
      </c>
      <c r="F247" s="68">
        <f>Model!F654</f>
        <v>0.378625134264232</v>
      </c>
      <c r="G247" s="68">
        <f>Model!G654</f>
        <v>0.35722041259500542</v>
      </c>
      <c r="H247" s="68">
        <f>Model!H654</f>
        <v>0.44137101623571856</v>
      </c>
      <c r="I247" s="68">
        <f>Model!I654</f>
        <v>0.27606752730883816</v>
      </c>
      <c r="J247" s="68">
        <f>Model!J654</f>
        <v>0.39117647058823529</v>
      </c>
      <c r="K247" s="68">
        <f>Model!K654</f>
        <v>0.11354309165526676</v>
      </c>
      <c r="L247" s="68">
        <f>Model!L654</f>
        <v>0.26224328593996843</v>
      </c>
      <c r="M247" s="68">
        <f>Model!M654</f>
        <v>2.281947261663286E-2</v>
      </c>
      <c r="N247" s="68">
        <f>Model!N654</f>
        <v>1.224177505738332E-2</v>
      </c>
      <c r="O247" s="68">
        <f>Model!O654</f>
        <v>7.8033794162826423E-2</v>
      </c>
      <c r="P247" s="68">
        <f>Model!P654</f>
        <v>-0.66442953020134232</v>
      </c>
      <c r="Q247" s="68">
        <f>Model!Q654</f>
        <v>-5.1383399209486168E-2</v>
      </c>
      <c r="R247" s="68">
        <f>Model!R654</f>
        <v>-0.80102040816326525</v>
      </c>
      <c r="S247" s="68">
        <f>Model!S654</f>
        <v>0.16459074733096085</v>
      </c>
      <c r="T247" s="68">
        <f>Model!T654</f>
        <v>0.15399239543726237</v>
      </c>
      <c r="U247" s="68">
        <f>Model!U654</f>
        <v>6.6538461538461542</v>
      </c>
      <c r="V247" s="68">
        <f>Model!V654</f>
        <v>0.86390532544378695</v>
      </c>
      <c r="W247" s="68">
        <f>Model!W654</f>
        <v>0.93951612903225812</v>
      </c>
      <c r="X247" s="68">
        <f>Model!X654</f>
        <v>-6.2666666666666666</v>
      </c>
      <c r="Y247" s="68">
        <f>Model!Y654</f>
        <v>0.87684729064039413</v>
      </c>
      <c r="Z247" s="68">
        <f>Model!Z654</f>
        <v>0.63178294573643412</v>
      </c>
      <c r="AA247" s="68">
        <f>Model!AA654</f>
        <v>50.73770491803279</v>
      </c>
      <c r="AB247" s="68">
        <f>Model!AB654</f>
        <v>0.4825174825174825</v>
      </c>
      <c r="AC247" s="68">
        <f>Model!AC654</f>
        <v>0.23634956766432444</v>
      </c>
      <c r="AD247" s="68">
        <f>Model!AD654</f>
        <v>0.37100172031365131</v>
      </c>
      <c r="AE247" s="68">
        <f>Model!AE654</f>
        <v>0.38268130948186213</v>
      </c>
      <c r="AF247" s="68">
        <f>Model!AF654</f>
        <v>0.14865452217988812</v>
      </c>
      <c r="AG247" s="68">
        <f>Model!AG654</f>
        <v>0.19158204583099811</v>
      </c>
      <c r="AH247" s="68">
        <f>Model!AH654</f>
        <v>0.19732548110155354</v>
      </c>
      <c r="AI247" s="68">
        <f>Model!AI654</f>
        <v>0.23148682449298164</v>
      </c>
      <c r="AJ247" s="68"/>
      <c r="AK247" s="68"/>
      <c r="AL247" s="68"/>
      <c r="AM247" s="68"/>
      <c r="AN247" s="68"/>
      <c r="AO247" s="68"/>
      <c r="AP247" s="68"/>
      <c r="AQ247" s="68"/>
      <c r="AS247" s="329" t="s">
        <v>183</v>
      </c>
      <c r="AT247" s="9"/>
      <c r="AU247" s="68">
        <f>Model!AU654</f>
        <v>0.37617011441118686</v>
      </c>
      <c r="AV247" s="68">
        <f>Model!AV654</f>
        <v>0.32825447741245656</v>
      </c>
      <c r="AW247" s="68">
        <f>Model!AW654</f>
        <v>5.7555531239741768E-2</v>
      </c>
      <c r="AX247" s="68">
        <f>Model!AX654</f>
        <v>-4.9113924050632911E-2</v>
      </c>
      <c r="AY247" s="68">
        <f>Model!AY654</f>
        <v>-5.6746987951807233</v>
      </c>
      <c r="AZ247" s="68">
        <f>Model!AZ654</f>
        <v>6.9625246548323467</v>
      </c>
      <c r="BA247" s="68">
        <f>Model!BA654</f>
        <v>0.35658995899608997</v>
      </c>
      <c r="BB247" s="68">
        <f>Model!BB654</f>
        <v>0.1906414255938558</v>
      </c>
      <c r="BC247" s="68">
        <f>Model!BC654</f>
        <v>0.15119654727701448</v>
      </c>
      <c r="BD247" s="68">
        <f>Model!BD654</f>
        <v>0.10999730726282385</v>
      </c>
      <c r="BE247" s="68">
        <f>Model!BE654</f>
        <v>7.7758696343388542E-2</v>
      </c>
      <c r="BG247" s="21"/>
      <c r="BH247" s="21"/>
    </row>
    <row r="248" spans="1:75" s="70" customFormat="1" x14ac:dyDescent="0.2">
      <c r="A248" s="411"/>
      <c r="B248" s="329"/>
      <c r="C248" s="15"/>
      <c r="D248" s="21"/>
      <c r="E248" s="21"/>
      <c r="F248" s="21"/>
      <c r="G248" s="21"/>
      <c r="H248" s="21"/>
      <c r="I248" s="21"/>
      <c r="J248" s="21"/>
      <c r="K248" s="21"/>
      <c r="L248" s="21"/>
      <c r="M248" s="21"/>
      <c r="N248" s="21"/>
      <c r="O248" s="21"/>
      <c r="P248" s="21"/>
      <c r="Q248" s="21"/>
      <c r="R248" s="21"/>
      <c r="S248" s="21"/>
      <c r="T248" s="21"/>
      <c r="U248" s="21"/>
      <c r="V248" s="21"/>
      <c r="W248" s="21"/>
      <c r="X248" s="21"/>
      <c r="Y248" s="21"/>
      <c r="Z248" s="21"/>
      <c r="AA248" s="21"/>
      <c r="AB248" s="21"/>
      <c r="AC248" s="853"/>
      <c r="AD248" s="853"/>
      <c r="AE248" s="853"/>
      <c r="AF248" s="853"/>
      <c r="AG248" s="853"/>
      <c r="AH248" s="853"/>
      <c r="AI248" s="853"/>
      <c r="AJ248" s="853"/>
      <c r="AK248" s="853"/>
      <c r="AL248" s="853"/>
      <c r="AM248" s="853"/>
      <c r="AN248" s="853"/>
      <c r="AO248" s="853"/>
      <c r="AP248" s="853"/>
      <c r="AQ248" s="853"/>
      <c r="AS248" s="329"/>
      <c r="AT248" s="15"/>
      <c r="AU248" s="21"/>
      <c r="AV248" s="21"/>
      <c r="AW248" s="21"/>
      <c r="AX248" s="21"/>
      <c r="AY248" s="21"/>
      <c r="AZ248" s="21"/>
      <c r="BA248" s="21"/>
      <c r="BB248" s="21"/>
      <c r="BC248" s="853"/>
      <c r="BD248" s="853"/>
      <c r="BE248" s="853"/>
      <c r="BG248" s="853"/>
      <c r="BH248" s="853"/>
    </row>
    <row r="249" spans="1:75" s="160" customFormat="1" x14ac:dyDescent="0.2">
      <c r="A249" s="411"/>
      <c r="B249" s="337" t="s">
        <v>482</v>
      </c>
      <c r="C249" s="11"/>
      <c r="D249" s="158"/>
      <c r="E249" s="158"/>
      <c r="F249" s="158"/>
      <c r="G249" s="158"/>
      <c r="H249" s="158"/>
      <c r="I249" s="158"/>
      <c r="J249" s="158"/>
      <c r="K249" s="158"/>
      <c r="L249" s="158"/>
      <c r="M249" s="158"/>
      <c r="N249" s="158"/>
      <c r="O249" s="158"/>
      <c r="P249" s="158"/>
      <c r="Q249" s="158"/>
      <c r="R249" s="158"/>
      <c r="S249" s="158"/>
      <c r="T249" s="158"/>
      <c r="U249" s="158"/>
      <c r="V249" s="158"/>
      <c r="W249" s="158"/>
      <c r="X249" s="158"/>
      <c r="Y249" s="158"/>
      <c r="Z249" s="158"/>
      <c r="AA249" s="158"/>
      <c r="AB249" s="158"/>
      <c r="AC249" s="158"/>
      <c r="AD249" s="158"/>
      <c r="AE249" s="158"/>
      <c r="AF249" s="158"/>
      <c r="AG249" s="158"/>
      <c r="AH249" s="158"/>
      <c r="AI249" s="158"/>
      <c r="AJ249" s="158"/>
      <c r="AK249" s="158"/>
      <c r="AL249" s="158"/>
      <c r="AM249" s="158"/>
      <c r="AN249" s="158"/>
      <c r="AO249" s="158"/>
      <c r="AP249" s="158"/>
      <c r="AQ249" s="158"/>
      <c r="AR249" s="70"/>
      <c r="AS249" s="854" t="s">
        <v>482</v>
      </c>
      <c r="AT249" s="855"/>
      <c r="AU249" s="856"/>
      <c r="AV249" s="856"/>
      <c r="AW249" s="856"/>
      <c r="AX249" s="856"/>
      <c r="AY249" s="856"/>
      <c r="AZ249" s="856"/>
      <c r="BA249" s="856"/>
      <c r="BB249" s="856"/>
      <c r="BC249" s="856"/>
      <c r="BD249" s="856"/>
      <c r="BE249" s="856"/>
    </row>
    <row r="250" spans="1:75" s="70" customFormat="1" x14ac:dyDescent="0.2">
      <c r="A250" s="411"/>
      <c r="B250" s="362" t="s">
        <v>17</v>
      </c>
      <c r="C250" s="321"/>
      <c r="D250" s="80" t="str">
        <f>Model!D1271</f>
        <v>NA</v>
      </c>
      <c r="E250" s="80">
        <f>Model!E1271</f>
        <v>4.0700713703788513E-2</v>
      </c>
      <c r="F250" s="80">
        <f>Model!F1271</f>
        <v>5.5148378191856452E-2</v>
      </c>
      <c r="G250" s="80">
        <f>Model!G1271</f>
        <v>3.3367003905999872E-2</v>
      </c>
      <c r="H250" s="80">
        <f>Model!H1271</f>
        <v>3.4033509020011142E-2</v>
      </c>
      <c r="I250" s="80">
        <f>Model!I1271</f>
        <v>2.9326247522968835E-2</v>
      </c>
      <c r="J250" s="80">
        <f>Model!J1271</f>
        <v>2.7858025048727298E-2</v>
      </c>
      <c r="K250" s="80">
        <f>Model!K1271</f>
        <v>3.2732804868284088E-2</v>
      </c>
      <c r="L250" s="80">
        <f>Model!L1271</f>
        <v>2.5779801853627354E-2</v>
      </c>
      <c r="M250" s="80">
        <f>Model!M1271</f>
        <v>2.1207528104079824E-2</v>
      </c>
      <c r="N250" s="80">
        <f>Model!N1271</f>
        <v>2.0340219689309675E-2</v>
      </c>
      <c r="O250" s="80">
        <f>Model!O1271</f>
        <v>2.2575015309246781E-2</v>
      </c>
      <c r="P250" s="80">
        <f>Model!P1271</f>
        <v>2.320293398533007E-2</v>
      </c>
      <c r="Q250" s="80">
        <f>Model!Q1271</f>
        <v>2.028266963921771E-2</v>
      </c>
      <c r="R250" s="80">
        <f>Model!R1271</f>
        <v>1.7483419307295502E-2</v>
      </c>
      <c r="S250" s="80">
        <f>Model!S1271</f>
        <v>1.802417981609717E-2</v>
      </c>
      <c r="T250" s="80">
        <f>Model!T1271</f>
        <v>1.232191756463601E-2</v>
      </c>
      <c r="U250" s="80">
        <f>Model!U1271</f>
        <v>9.3383857521788551E-3</v>
      </c>
      <c r="V250" s="80">
        <f>Model!V1271</f>
        <v>1.2742106941639205E-2</v>
      </c>
      <c r="W250" s="80">
        <f>Model!W1271</f>
        <v>7.0442355019877572E-3</v>
      </c>
      <c r="X250" s="80">
        <f>Model!X1271</f>
        <v>1.0362776025236591E-2</v>
      </c>
      <c r="Y250" s="80">
        <f>Model!Y1271</f>
        <v>3.4627243260336791E-3</v>
      </c>
      <c r="Z250" s="80">
        <f>Model!Z1271</f>
        <v>4.4594708459723626E-3</v>
      </c>
      <c r="AA250" s="80">
        <f>Model!AA1271</f>
        <v>2.521647015475313E-3</v>
      </c>
      <c r="AB250" s="80">
        <f>Model!AB1271</f>
        <v>4.7284504235176874E-3</v>
      </c>
      <c r="AC250" s="272">
        <v>0.01</v>
      </c>
      <c r="AD250" s="272">
        <v>0.01</v>
      </c>
      <c r="AE250" s="272">
        <v>0.01</v>
      </c>
      <c r="AF250" s="272">
        <v>0.01</v>
      </c>
      <c r="AG250" s="272">
        <v>0.01</v>
      </c>
      <c r="AH250" s="272">
        <v>0.01</v>
      </c>
      <c r="AI250" s="272">
        <v>0.01</v>
      </c>
      <c r="AJ250" s="272"/>
      <c r="AK250" s="272"/>
      <c r="AL250" s="272"/>
      <c r="AM250" s="272"/>
      <c r="AN250" s="272"/>
      <c r="AO250" s="272"/>
      <c r="AP250" s="272"/>
      <c r="AQ250" s="272"/>
      <c r="AS250" s="362" t="s">
        <v>17</v>
      </c>
      <c r="AT250" s="321"/>
      <c r="AU250" s="80">
        <f>Model!AU1271</f>
        <v>4.5718329794762917E-2</v>
      </c>
      <c r="AV250" s="80">
        <f>Model!AV1271</f>
        <v>3.1017128356946502E-2</v>
      </c>
      <c r="AW250" s="80">
        <f>Model!AW1271</f>
        <v>2.2512251741036882E-2</v>
      </c>
      <c r="AX250" s="80">
        <f>Model!AX1271</f>
        <v>1.9996258185219832E-2</v>
      </c>
      <c r="AY250" s="80">
        <f>Model!AY1271</f>
        <v>1.0532687651331718E-2</v>
      </c>
      <c r="AZ250" s="80">
        <f>Model!AZ1271</f>
        <v>5.4729109274563826E-3</v>
      </c>
      <c r="BA250" s="80">
        <f>Model!BA1271</f>
        <v>8.5853446055159099E-3</v>
      </c>
      <c r="BB250" s="80">
        <f>Model!BB1271</f>
        <v>9.9941731284939658E-3</v>
      </c>
      <c r="BC250" s="272">
        <v>0.01</v>
      </c>
      <c r="BD250" s="272">
        <v>0.01</v>
      </c>
      <c r="BE250" s="272">
        <v>0.01</v>
      </c>
      <c r="BG250" s="355"/>
      <c r="BH250" s="1710"/>
    </row>
    <row r="251" spans="1:75" s="15" customFormat="1" x14ac:dyDescent="0.2">
      <c r="A251" s="411"/>
      <c r="AR251" s="70"/>
    </row>
    <row r="252" spans="1:75" s="160" customFormat="1" x14ac:dyDescent="0.2">
      <c r="A252" s="411"/>
      <c r="B252" s="337" t="s">
        <v>288</v>
      </c>
      <c r="C252" s="11"/>
      <c r="D252" s="158"/>
      <c r="E252" s="158"/>
      <c r="F252" s="158"/>
      <c r="G252" s="158"/>
      <c r="H252" s="158"/>
      <c r="I252" s="158"/>
      <c r="J252" s="158"/>
      <c r="K252" s="158"/>
      <c r="L252" s="158"/>
      <c r="M252" s="158"/>
      <c r="N252" s="158"/>
      <c r="O252" s="158"/>
      <c r="P252" s="158"/>
      <c r="Q252" s="158"/>
      <c r="R252" s="158"/>
      <c r="S252" s="158"/>
      <c r="T252" s="158"/>
      <c r="U252" s="158"/>
      <c r="V252" s="158"/>
      <c r="W252" s="158"/>
      <c r="X252" s="158"/>
      <c r="Y252" s="158"/>
      <c r="Z252" s="158"/>
      <c r="AA252" s="158"/>
      <c r="AB252" s="158"/>
      <c r="AC252" s="158"/>
      <c r="AD252" s="158"/>
      <c r="AE252" s="158"/>
      <c r="AF252" s="158"/>
      <c r="AG252" s="158"/>
      <c r="AH252" s="158"/>
      <c r="AI252" s="158"/>
      <c r="AJ252" s="158"/>
      <c r="AK252" s="158"/>
      <c r="AL252" s="158"/>
      <c r="AM252" s="158"/>
      <c r="AN252" s="158"/>
      <c r="AO252" s="158"/>
      <c r="AP252" s="158"/>
      <c r="AQ252" s="158"/>
      <c r="AR252" s="70"/>
      <c r="AS252" s="337" t="s">
        <v>288</v>
      </c>
      <c r="AT252" s="11"/>
      <c r="AU252" s="856"/>
      <c r="AV252" s="856"/>
      <c r="AW252" s="856"/>
      <c r="AX252" s="856"/>
      <c r="AY252" s="856"/>
      <c r="AZ252" s="856"/>
      <c r="BA252" s="856"/>
      <c r="BB252" s="856"/>
      <c r="BC252" s="856"/>
      <c r="BD252" s="856"/>
      <c r="BE252" s="856"/>
      <c r="BH252" s="1710"/>
    </row>
    <row r="253" spans="1:75" s="70" customFormat="1" x14ac:dyDescent="0.2">
      <c r="A253" s="411"/>
      <c r="B253" s="362" t="s">
        <v>17</v>
      </c>
      <c r="C253" s="321"/>
      <c r="D253" s="194">
        <f>Model!D1237</f>
        <v>0.81013333333333337</v>
      </c>
      <c r="E253" s="194">
        <f>Model!E1237</f>
        <v>0.95205941931127613</v>
      </c>
      <c r="F253" s="194">
        <f>Model!F1237</f>
        <v>0.67124681933842234</v>
      </c>
      <c r="G253" s="194">
        <f>Model!G1237</f>
        <v>1.2080772607550483</v>
      </c>
      <c r="H253" s="194">
        <f>Model!H1237</f>
        <v>0.85477941176470584</v>
      </c>
      <c r="I253" s="194">
        <f>Model!I1237</f>
        <v>0.6659192825112108</v>
      </c>
      <c r="J253" s="194">
        <f>Model!J1237</f>
        <v>0.3527180783817952</v>
      </c>
      <c r="K253" s="194">
        <f>Model!K1237</f>
        <v>0.578125</v>
      </c>
      <c r="L253" s="194">
        <f>Model!L1237</f>
        <v>0.73152337858220207</v>
      </c>
      <c r="M253" s="194">
        <f>Model!M1237</f>
        <v>0.89224952741020791</v>
      </c>
      <c r="N253" s="194">
        <f>Model!N1237</f>
        <v>1.0329896907216496</v>
      </c>
      <c r="O253" s="194">
        <f>Model!O1237</f>
        <v>0.89306930693069309</v>
      </c>
      <c r="P253" s="194">
        <f>Model!P1237</f>
        <v>0.9850427350427351</v>
      </c>
      <c r="Q253" s="194">
        <f>Model!Q1237</f>
        <v>0.93113772455089816</v>
      </c>
      <c r="R253" s="194">
        <f>Model!R1237</f>
        <v>0.89010989010989006</v>
      </c>
      <c r="S253" s="194">
        <f>Model!S1237</f>
        <v>1.789272030651341</v>
      </c>
      <c r="T253" s="194">
        <f>Model!T1237</f>
        <v>1.1971830985915493</v>
      </c>
      <c r="U253" s="194">
        <f>Model!U1237</f>
        <v>-0.97029702970297027</v>
      </c>
      <c r="V253" s="194">
        <f>Model!V1237</f>
        <v>0.13740458015267176</v>
      </c>
      <c r="W253" s="194">
        <f>Model!W1237</f>
        <v>-0.34426229508196721</v>
      </c>
      <c r="X253" s="194">
        <f>Model!X1237</f>
        <v>0.64197530864197527</v>
      </c>
      <c r="Y253" s="194">
        <f>Model!Y1237</f>
        <v>-5.5</v>
      </c>
      <c r="Z253" s="194">
        <f>Model!Z1237</f>
        <v>-1.7241379310344827</v>
      </c>
      <c r="AA253" s="194">
        <f>Model!AA1237</f>
        <v>-3</v>
      </c>
      <c r="AB253" s="194">
        <f>Model!AB1237</f>
        <v>-0.26923076923076922</v>
      </c>
      <c r="AC253" s="273">
        <v>1</v>
      </c>
      <c r="AD253" s="273">
        <v>1</v>
      </c>
      <c r="AE253" s="273">
        <v>1</v>
      </c>
      <c r="AF253" s="273">
        <v>1</v>
      </c>
      <c r="AG253" s="273">
        <v>1</v>
      </c>
      <c r="AH253" s="273">
        <v>1</v>
      </c>
      <c r="AI253" s="273">
        <v>1</v>
      </c>
      <c r="AJ253" s="273"/>
      <c r="AK253" s="273"/>
      <c r="AL253" s="273"/>
      <c r="AM253" s="273"/>
      <c r="AN253" s="273"/>
      <c r="AO253" s="273"/>
      <c r="AP253" s="273"/>
      <c r="AQ253" s="273"/>
      <c r="AS253" s="362" t="s">
        <v>17</v>
      </c>
      <c r="AT253" s="321"/>
      <c r="AU253" s="194">
        <f>Model!AU1237</f>
        <v>0.87058823529411766</v>
      </c>
      <c r="AV253" s="194">
        <f>Model!AV1237</f>
        <v>0.63294245977638397</v>
      </c>
      <c r="AW253" s="194">
        <f>Model!AW1237</f>
        <v>0.87488542621448218</v>
      </c>
      <c r="AX253" s="194">
        <f>Model!AX1237</f>
        <v>1.1092814371257484</v>
      </c>
      <c r="AY253" s="194">
        <f>Model!AY1237</f>
        <v>0.15862068965517243</v>
      </c>
      <c r="AZ253" s="194">
        <f>Model!AZ1237</f>
        <v>-1.174496644295302</v>
      </c>
      <c r="BA253" s="194">
        <f>Model!BA1237</f>
        <v>0.81311426466933168</v>
      </c>
      <c r="BB253" s="194">
        <f>Model!BB1237</f>
        <v>1</v>
      </c>
      <c r="BC253" s="273">
        <v>1</v>
      </c>
      <c r="BD253" s="273">
        <v>1</v>
      </c>
      <c r="BE253" s="273">
        <v>1</v>
      </c>
      <c r="BG253" s="1718"/>
      <c r="BH253" s="1710"/>
    </row>
    <row r="254" spans="1:75" s="70" customFormat="1" x14ac:dyDescent="0.2">
      <c r="A254" s="411"/>
      <c r="B254" s="364"/>
      <c r="C254" s="382"/>
      <c r="D254" s="9"/>
      <c r="E254" s="60"/>
      <c r="F254" s="60"/>
      <c r="G254" s="60"/>
      <c r="H254" s="60"/>
      <c r="I254" s="60"/>
      <c r="J254" s="60"/>
      <c r="K254" s="60"/>
      <c r="L254" s="60"/>
      <c r="M254" s="60"/>
      <c r="N254" s="60"/>
      <c r="O254" s="60"/>
      <c r="P254" s="60"/>
      <c r="Q254" s="60"/>
      <c r="R254" s="60"/>
      <c r="S254" s="60"/>
      <c r="T254" s="60"/>
      <c r="U254" s="60"/>
      <c r="V254" s="60"/>
      <c r="W254" s="60"/>
      <c r="X254" s="60"/>
      <c r="Y254" s="60"/>
      <c r="Z254" s="60"/>
      <c r="AA254" s="60"/>
      <c r="AB254" s="60"/>
      <c r="AC254" s="60"/>
      <c r="AD254" s="60"/>
      <c r="AE254" s="60"/>
      <c r="AF254" s="60"/>
      <c r="AG254" s="60"/>
      <c r="AH254" s="60"/>
      <c r="AI254" s="60"/>
      <c r="AJ254" s="60"/>
      <c r="AK254" s="60"/>
      <c r="AL254" s="60"/>
      <c r="AM254" s="60"/>
      <c r="AN254" s="60"/>
      <c r="AO254" s="60"/>
      <c r="AP254" s="60"/>
      <c r="AQ254" s="60"/>
      <c r="AS254" s="364"/>
      <c r="AT254" s="382"/>
      <c r="AU254" s="60"/>
      <c r="AV254" s="60"/>
      <c r="AW254" s="60"/>
      <c r="AX254" s="60"/>
      <c r="AY254" s="60"/>
      <c r="AZ254" s="60"/>
      <c r="BA254" s="60"/>
      <c r="BB254" s="60"/>
      <c r="BC254" s="60"/>
      <c r="BD254" s="60"/>
      <c r="BE254" s="60"/>
      <c r="BG254" s="256"/>
      <c r="BH254" s="256"/>
    </row>
    <row r="255" spans="1:75" s="70" customFormat="1" x14ac:dyDescent="0.2">
      <c r="A255" s="411"/>
      <c r="B255" s="364"/>
      <c r="C255" s="382"/>
      <c r="D255" s="9"/>
      <c r="E255" s="60"/>
      <c r="F255" s="60"/>
      <c r="G255" s="60"/>
      <c r="H255" s="60"/>
      <c r="I255" s="60"/>
      <c r="J255" s="60"/>
      <c r="K255" s="60"/>
      <c r="L255" s="60"/>
      <c r="M255" s="60"/>
      <c r="N255" s="60"/>
      <c r="O255" s="60"/>
      <c r="P255" s="60"/>
      <c r="Q255" s="60"/>
      <c r="R255" s="60"/>
      <c r="S255" s="60"/>
      <c r="T255" s="60"/>
      <c r="U255" s="60"/>
      <c r="V255" s="60"/>
      <c r="W255" s="60"/>
      <c r="X255" s="60"/>
      <c r="Y255" s="60"/>
      <c r="Z255" s="60"/>
      <c r="AA255" s="60"/>
      <c r="AB255" s="60"/>
      <c r="AC255" s="60"/>
      <c r="AD255" s="60"/>
      <c r="AE255" s="60"/>
      <c r="AF255" s="60"/>
      <c r="AG255" s="60"/>
      <c r="AH255" s="60"/>
      <c r="AI255" s="60"/>
      <c r="AJ255" s="60"/>
      <c r="AK255" s="60"/>
      <c r="AL255" s="60"/>
      <c r="AM255" s="60"/>
      <c r="AN255" s="60"/>
      <c r="AO255" s="60"/>
      <c r="AP255" s="60"/>
      <c r="AQ255" s="60"/>
      <c r="AS255" s="364"/>
      <c r="AT255" s="382"/>
      <c r="AU255" s="60"/>
      <c r="AV255" s="60"/>
      <c r="AW255" s="60"/>
      <c r="AX255" s="60"/>
      <c r="AY255" s="60"/>
      <c r="AZ255" s="60"/>
      <c r="BA255" s="60"/>
      <c r="BB255" s="60"/>
      <c r="BC255" s="60"/>
      <c r="BD255" s="60"/>
      <c r="BE255" s="60"/>
      <c r="BG255" s="256"/>
      <c r="BH255" s="256"/>
    </row>
    <row r="256" spans="1:75" s="70" customFormat="1" x14ac:dyDescent="0.2">
      <c r="A256" s="411" t="s">
        <v>194</v>
      </c>
      <c r="B256" s="13" t="s">
        <v>847</v>
      </c>
      <c r="C256" s="13"/>
      <c r="D256" s="14"/>
      <c r="E256" s="14"/>
      <c r="F256" s="14"/>
      <c r="G256" s="14"/>
      <c r="H256" s="14"/>
      <c r="I256" s="14"/>
      <c r="J256" s="14"/>
      <c r="K256" s="14"/>
      <c r="L256" s="14"/>
      <c r="M256" s="14"/>
      <c r="N256" s="14"/>
      <c r="O256" s="14"/>
      <c r="P256" s="14"/>
      <c r="Q256" s="14"/>
      <c r="R256" s="14"/>
      <c r="S256" s="14"/>
      <c r="T256" s="14"/>
      <c r="U256" s="14"/>
      <c r="V256" s="14"/>
      <c r="W256" s="14"/>
      <c r="X256" s="14"/>
      <c r="Y256" s="14"/>
      <c r="Z256" s="14"/>
      <c r="AA256" s="14"/>
      <c r="AB256" s="14"/>
      <c r="AC256" s="14"/>
      <c r="AD256" s="14"/>
      <c r="AE256" s="14"/>
      <c r="AF256" s="14"/>
      <c r="AG256" s="14"/>
      <c r="AH256" s="14"/>
      <c r="AI256" s="14"/>
      <c r="AJ256" s="14"/>
      <c r="AK256" s="14"/>
      <c r="AL256" s="14"/>
      <c r="AM256" s="14"/>
      <c r="AN256" s="14"/>
      <c r="AO256" s="14"/>
      <c r="AP256" s="14"/>
      <c r="AQ256" s="14"/>
      <c r="AS256" s="13" t="s">
        <v>847</v>
      </c>
      <c r="AT256" s="13"/>
      <c r="AU256" s="14"/>
      <c r="AV256" s="14"/>
      <c r="AW256" s="14"/>
      <c r="AX256" s="14"/>
      <c r="AY256" s="14"/>
      <c r="AZ256" s="14"/>
      <c r="BA256" s="14"/>
      <c r="BB256" s="14"/>
      <c r="BC256" s="14"/>
      <c r="BD256" s="14"/>
      <c r="BE256" s="14"/>
      <c r="BF256" s="15"/>
      <c r="BG256" s="15"/>
      <c r="BH256" s="15"/>
      <c r="BI256" s="15"/>
      <c r="BJ256" s="15"/>
      <c r="BK256" s="15"/>
      <c r="BL256" s="15"/>
      <c r="BM256" s="15"/>
      <c r="BN256" s="15"/>
      <c r="BO256" s="15"/>
      <c r="BP256" s="15"/>
      <c r="BQ256" s="15"/>
      <c r="BR256" s="15"/>
      <c r="BS256" s="15"/>
      <c r="BT256" s="15"/>
      <c r="BU256" s="15"/>
      <c r="BV256" s="15"/>
      <c r="BW256" s="15"/>
    </row>
    <row r="257" spans="1:60" s="70" customFormat="1" x14ac:dyDescent="0.2">
      <c r="A257" s="411"/>
      <c r="B257" s="365" t="s">
        <v>985</v>
      </c>
      <c r="C257" s="382"/>
      <c r="D257" s="9"/>
      <c r="E257" s="60"/>
      <c r="F257" s="60"/>
      <c r="G257" s="60"/>
      <c r="H257" s="60"/>
      <c r="I257" s="60"/>
      <c r="J257" s="60"/>
      <c r="K257" s="60"/>
      <c r="L257" s="60"/>
      <c r="M257" s="60"/>
      <c r="N257" s="60"/>
      <c r="O257" s="60"/>
      <c r="P257" s="60"/>
      <c r="Q257" s="60"/>
      <c r="R257" s="60"/>
      <c r="S257" s="60"/>
      <c r="T257" s="60"/>
      <c r="U257" s="60"/>
      <c r="V257" s="60"/>
      <c r="W257" s="60"/>
      <c r="X257" s="60"/>
      <c r="Y257" s="60"/>
      <c r="Z257" s="60"/>
      <c r="AA257" s="60"/>
      <c r="AB257" s="60"/>
      <c r="AC257" s="60"/>
      <c r="AD257" s="60"/>
      <c r="AE257" s="60"/>
      <c r="AF257" s="60"/>
      <c r="AG257" s="60"/>
      <c r="AH257" s="60"/>
      <c r="AI257" s="60"/>
      <c r="AJ257" s="60"/>
      <c r="AK257" s="60"/>
      <c r="AL257" s="60"/>
      <c r="AM257" s="60"/>
      <c r="AN257" s="60"/>
      <c r="AO257" s="60"/>
      <c r="AP257" s="60"/>
      <c r="AQ257" s="60"/>
      <c r="AS257" s="365" t="s">
        <v>26</v>
      </c>
      <c r="AT257" s="382"/>
      <c r="AU257" s="60"/>
      <c r="AV257" s="60"/>
      <c r="AW257" s="60"/>
      <c r="AX257" s="60"/>
      <c r="AY257" s="60"/>
      <c r="AZ257" s="60"/>
      <c r="BA257" s="60"/>
      <c r="BB257" s="60"/>
      <c r="BC257" s="60"/>
      <c r="BD257" s="60"/>
      <c r="BE257" s="60"/>
      <c r="BG257" s="256"/>
      <c r="BH257" s="256"/>
    </row>
    <row r="258" spans="1:60" s="70" customFormat="1" x14ac:dyDescent="0.2">
      <c r="A258" s="411"/>
      <c r="B258" s="362" t="s">
        <v>572</v>
      </c>
      <c r="C258" s="9"/>
      <c r="D258" s="9"/>
      <c r="E258" s="26">
        <f>Model!E888/Model!D888-1</f>
        <v>2.784174654423488E-3</v>
      </c>
      <c r="F258" s="26">
        <f>Model!F888/Model!E888-1</f>
        <v>-1.1353968191119779E-2</v>
      </c>
      <c r="G258" s="26">
        <f>Model!G888/Model!F888-1</f>
        <v>-7.0203371949909554E-3</v>
      </c>
      <c r="H258" s="26">
        <f>Model!H888/Model!G888-1</f>
        <v>-4.9057943855361774E-3</v>
      </c>
      <c r="I258" s="26">
        <f>Model!I888/Model!H888-1</f>
        <v>1.1898383298766468E-2</v>
      </c>
      <c r="J258" s="26">
        <f>Model!J888/Model!I888-1</f>
        <v>-2.5869429719754367E-2</v>
      </c>
      <c r="K258" s="26">
        <f>Model!K888/Model!J888-1</f>
        <v>1.1820018011837963E-2</v>
      </c>
      <c r="L258" s="26">
        <f>Model!L888/Model!K888-1</f>
        <v>-2.7286928044975012E-3</v>
      </c>
      <c r="M258" s="26">
        <f>Model!M888/Model!L888-1</f>
        <v>1.6298681614661747E-2</v>
      </c>
      <c r="N258" s="26">
        <f>Model!N888/Model!M888-1</f>
        <v>-5.5869910048760296E-3</v>
      </c>
      <c r="O258" s="26">
        <f>Model!O888/Model!N888-1</f>
        <v>-7.1967987128764843E-3</v>
      </c>
      <c r="P258" s="26">
        <f>Model!P888/Model!O888-1</f>
        <v>-1.8892090621016044E-2</v>
      </c>
      <c r="Q258" s="26">
        <f>Model!Q888/Model!P888-1</f>
        <v>5.5520162027198339E-3</v>
      </c>
      <c r="R258" s="26">
        <f>Model!R888/Model!Q888-1</f>
        <v>-1.7070134042873608E-2</v>
      </c>
      <c r="S258" s="26">
        <f>Model!S888/Model!R888-1</f>
        <v>-3.1670699903672217E-2</v>
      </c>
      <c r="T258" s="26">
        <f>Model!T888/Model!S888-1</f>
        <v>2.5771537378223019E-3</v>
      </c>
      <c r="U258" s="26">
        <f>Model!U888/Model!T888-1</f>
        <v>2.5490641716856777E-2</v>
      </c>
      <c r="V258" s="26">
        <f>Model!V888/Model!U888-1</f>
        <v>6.3204509682801557E-4</v>
      </c>
      <c r="W258" s="26">
        <f>Model!W888/Model!V888-1</f>
        <v>4.786563169713709E-3</v>
      </c>
      <c r="X258" s="26">
        <f>Model!X888/Model!W888-1</f>
        <v>2.2289054575068024E-2</v>
      </c>
      <c r="Y258" s="26">
        <f>Model!Y888/Model!X888-1</f>
        <v>2.6513892341218703E-2</v>
      </c>
      <c r="Z258" s="26">
        <f>Model!Z888/Model!Y888-1</f>
        <v>1.2062639368510597E-2</v>
      </c>
      <c r="AA258" s="26">
        <f>Model!AA888/Model!Z888-1</f>
        <v>1.7048091530436738E-2</v>
      </c>
      <c r="AB258" s="26">
        <f>Model!AB888/Model!AA888-1</f>
        <v>1.7629635928178011E-3</v>
      </c>
      <c r="AC258" s="271">
        <v>0</v>
      </c>
      <c r="AD258" s="271">
        <v>0</v>
      </c>
      <c r="AE258" s="271">
        <v>0</v>
      </c>
      <c r="AF258" s="271">
        <v>5.0000000000000001E-3</v>
      </c>
      <c r="AG258" s="271">
        <v>5.0000000000000001E-3</v>
      </c>
      <c r="AH258" s="271">
        <v>5.0000000000000001E-3</v>
      </c>
      <c r="AI258" s="271">
        <v>5.0000000000000001E-3</v>
      </c>
      <c r="AJ258" s="271"/>
      <c r="AK258" s="271"/>
      <c r="AL258" s="271"/>
      <c r="AM258" s="271"/>
      <c r="AN258" s="271"/>
      <c r="AO258" s="271"/>
      <c r="AP258" s="271"/>
      <c r="AQ258" s="271"/>
      <c r="AS258" s="362" t="s">
        <v>572</v>
      </c>
      <c r="AT258" s="424"/>
      <c r="AU258" s="60" t="s">
        <v>229</v>
      </c>
      <c r="AV258" s="26">
        <f>Model!AV888/Model!AU888-1</f>
        <v>-1.6360092415268923E-2</v>
      </c>
      <c r="AW258" s="26">
        <f>Model!AW888/Model!AV888-1</f>
        <v>3.4333878221259884E-3</v>
      </c>
      <c r="AX258" s="26">
        <f>Model!AX888/Model!AW888-1</f>
        <v>-3.4963119036328094E-2</v>
      </c>
      <c r="AY258" s="26">
        <f>Model!AY888/Model!AX888-1</f>
        <v>-8.4749552487098923E-3</v>
      </c>
      <c r="AZ258" s="26">
        <f>Model!AZ888/Model!AY888-1</f>
        <v>6.4187540108192165E-2</v>
      </c>
      <c r="BA258" s="26">
        <f>Model!BA888/Model!AZ888-1</f>
        <v>2.7138036407175603E-2</v>
      </c>
      <c r="BB258" s="26">
        <f>Model!BB888/Model!BA888-1</f>
        <v>1.2562656406249761E-2</v>
      </c>
      <c r="BC258" s="271">
        <v>0.01</v>
      </c>
      <c r="BD258" s="271">
        <v>0.02</v>
      </c>
      <c r="BE258" s="271">
        <v>0.02</v>
      </c>
      <c r="BG258" s="853"/>
      <c r="BH258" s="1710"/>
    </row>
    <row r="259" spans="1:60" s="70" customFormat="1" x14ac:dyDescent="0.2">
      <c r="A259" s="411"/>
      <c r="B259" s="364"/>
      <c r="C259" s="382"/>
      <c r="D259" s="9"/>
      <c r="E259" s="60"/>
      <c r="F259" s="60"/>
      <c r="G259" s="60"/>
      <c r="H259" s="60"/>
      <c r="I259" s="60"/>
      <c r="J259" s="60"/>
      <c r="K259" s="60"/>
      <c r="L259" s="60"/>
      <c r="M259" s="60"/>
      <c r="N259" s="60"/>
      <c r="O259" s="60"/>
      <c r="P259" s="60"/>
      <c r="Q259" s="60"/>
      <c r="R259" s="60"/>
      <c r="S259" s="60"/>
      <c r="T259" s="60"/>
      <c r="U259" s="60"/>
      <c r="V259" s="60"/>
      <c r="W259" s="60"/>
      <c r="X259" s="60"/>
      <c r="Y259" s="60"/>
      <c r="Z259" s="60"/>
      <c r="AA259" s="60"/>
      <c r="AB259" s="60"/>
      <c r="AC259" s="60"/>
      <c r="AD259" s="60"/>
      <c r="AE259" s="60"/>
      <c r="AF259" s="60"/>
      <c r="AG259" s="60"/>
      <c r="AH259" s="60"/>
      <c r="AI259" s="60"/>
      <c r="AJ259" s="60"/>
      <c r="AK259" s="60"/>
      <c r="AL259" s="60"/>
      <c r="AM259" s="60"/>
      <c r="AN259" s="60"/>
      <c r="AO259" s="60"/>
      <c r="AP259" s="60"/>
      <c r="AQ259" s="60"/>
      <c r="AS259" s="364"/>
      <c r="AT259" s="382"/>
      <c r="AU259" s="60"/>
      <c r="AV259" s="60"/>
      <c r="AW259" s="60"/>
      <c r="AX259" s="60"/>
      <c r="AY259" s="60"/>
      <c r="AZ259" s="60"/>
      <c r="BA259" s="60"/>
      <c r="BB259" s="60"/>
      <c r="BC259" s="60"/>
      <c r="BD259" s="60"/>
      <c r="BE259" s="60"/>
      <c r="BG259" s="256"/>
      <c r="BH259" s="256"/>
    </row>
    <row r="260" spans="1:60" s="70" customFormat="1" x14ac:dyDescent="0.2">
      <c r="A260" s="411"/>
      <c r="B260" s="365" t="s">
        <v>984</v>
      </c>
      <c r="C260" s="382"/>
      <c r="D260" s="9"/>
      <c r="E260" s="60"/>
      <c r="F260" s="60"/>
      <c r="G260" s="60"/>
      <c r="H260" s="60"/>
      <c r="I260" s="60"/>
      <c r="J260" s="60"/>
      <c r="K260" s="60"/>
      <c r="L260" s="60"/>
      <c r="M260" s="60"/>
      <c r="N260" s="60"/>
      <c r="O260" s="60"/>
      <c r="P260" s="60"/>
      <c r="Q260" s="60"/>
      <c r="R260" s="60"/>
      <c r="S260" s="60"/>
      <c r="T260" s="60"/>
      <c r="U260" s="60"/>
      <c r="V260" s="60"/>
      <c r="W260" s="60"/>
      <c r="X260" s="60"/>
      <c r="Y260" s="60"/>
      <c r="Z260" s="60"/>
      <c r="AA260" s="60"/>
      <c r="AB260" s="60"/>
      <c r="AC260" s="60"/>
      <c r="AD260" s="60"/>
      <c r="AE260" s="60"/>
      <c r="AF260" s="60"/>
      <c r="AG260" s="60"/>
      <c r="AH260" s="60"/>
      <c r="AI260" s="60"/>
      <c r="AJ260" s="60"/>
      <c r="AK260" s="60"/>
      <c r="AL260" s="60"/>
      <c r="AM260" s="60"/>
      <c r="AN260" s="60"/>
      <c r="AO260" s="60"/>
      <c r="AP260" s="60"/>
      <c r="AQ260" s="60"/>
      <c r="AS260" s="365" t="s">
        <v>31</v>
      </c>
      <c r="AT260" s="382"/>
      <c r="AU260" s="60"/>
      <c r="AV260" s="60"/>
      <c r="AW260" s="60"/>
      <c r="AX260" s="60"/>
      <c r="AY260" s="60"/>
      <c r="AZ260" s="60"/>
      <c r="BA260" s="60"/>
      <c r="BB260" s="60"/>
      <c r="BC260" s="60"/>
      <c r="BD260" s="60"/>
      <c r="BE260" s="60"/>
      <c r="BG260" s="256"/>
      <c r="BH260" s="256"/>
    </row>
    <row r="261" spans="1:60" s="70" customFormat="1" ht="11.25" customHeight="1" x14ac:dyDescent="0.2">
      <c r="A261" s="411"/>
      <c r="B261" s="65" t="s">
        <v>986</v>
      </c>
      <c r="C261" s="9"/>
      <c r="D261" s="77"/>
      <c r="E261" s="77"/>
      <c r="F261" s="77"/>
      <c r="G261" s="77"/>
      <c r="H261" s="77"/>
      <c r="I261" s="77"/>
      <c r="J261" s="77"/>
      <c r="K261" s="77"/>
      <c r="L261" s="77"/>
      <c r="M261" s="77"/>
      <c r="N261" s="77"/>
      <c r="O261" s="77"/>
      <c r="P261" s="77"/>
      <c r="Q261" s="77"/>
      <c r="R261" s="77"/>
      <c r="S261" s="77"/>
      <c r="T261" s="77"/>
      <c r="U261" s="77"/>
      <c r="V261" s="77"/>
      <c r="W261" s="77"/>
      <c r="X261" s="77"/>
      <c r="Y261" s="77"/>
      <c r="Z261" s="77"/>
      <c r="AA261" s="77"/>
      <c r="AB261" s="77"/>
      <c r="AC261" s="9"/>
      <c r="AD261" s="9"/>
      <c r="AE261" s="9"/>
      <c r="AF261" s="1707"/>
      <c r="AG261" s="1707"/>
      <c r="AH261" s="1707"/>
      <c r="AI261" s="1707"/>
      <c r="AJ261" s="1740"/>
      <c r="AK261" s="1740"/>
      <c r="AL261" s="1740"/>
      <c r="AM261" s="1740"/>
      <c r="AN261" s="1740"/>
      <c r="AO261" s="1740"/>
      <c r="AP261" s="1740"/>
      <c r="AQ261" s="1740"/>
      <c r="AS261" s="110" t="s">
        <v>573</v>
      </c>
      <c r="AT261" s="424"/>
      <c r="BC261" s="9"/>
      <c r="BD261" s="9"/>
      <c r="BE261" s="1702"/>
      <c r="BG261" s="15"/>
      <c r="BH261" s="15"/>
    </row>
    <row r="262" spans="1:60" s="70" customFormat="1" ht="11.25" customHeight="1" x14ac:dyDescent="0.2">
      <c r="A262" s="411"/>
      <c r="B262" s="9" t="s">
        <v>350</v>
      </c>
      <c r="C262" s="9"/>
      <c r="D262" s="32" t="s">
        <v>229</v>
      </c>
      <c r="E262" s="32" t="s">
        <v>229</v>
      </c>
      <c r="F262" s="26">
        <f>Model!F952/Model!E952-1</f>
        <v>2.4276435820133058E-2</v>
      </c>
      <c r="G262" s="26">
        <f>Model!G952/Model!F952-1</f>
        <v>2.9623682041963528E-2</v>
      </c>
      <c r="H262" s="26">
        <f>Model!H952/Model!G952-1</f>
        <v>4.2371072667200194E-2</v>
      </c>
      <c r="I262" s="26">
        <f>Model!I952/Model!H952-1</f>
        <v>4.522411243914104E-2</v>
      </c>
      <c r="J262" s="26">
        <f>Model!J952/Model!I952-1</f>
        <v>1.1491633201986096E-2</v>
      </c>
      <c r="K262" s="26">
        <f>Model!K952/Model!J952-1</f>
        <v>2.5096413654147387E-2</v>
      </c>
      <c r="L262" s="26">
        <f>Model!L952/Model!K952-1</f>
        <v>2.5844435644139852E-2</v>
      </c>
      <c r="M262" s="26">
        <f>Model!M952/Model!L952-1</f>
        <v>8.6256204479089327E-3</v>
      </c>
      <c r="N262" s="26">
        <f>Model!N952/Model!M952-1</f>
        <v>8.8748981712971631E-3</v>
      </c>
      <c r="O262" s="26">
        <f>Model!O952/Model!N952-1</f>
        <v>-7.0600846792507888E-3</v>
      </c>
      <c r="P262" s="26">
        <f>Model!P952/Model!O952-1</f>
        <v>-1.7843184678100643E-2</v>
      </c>
      <c r="Q262" s="26">
        <f>Model!Q952/Model!P952-1</f>
        <v>-2.8606301559062075E-2</v>
      </c>
      <c r="R262" s="26">
        <f>Model!R952/Model!Q952-1</f>
        <v>-1.5368223818358784E-2</v>
      </c>
      <c r="S262" s="26">
        <f>Model!S952/Model!R952-1</f>
        <v>2.1057678674039737E-2</v>
      </c>
      <c r="T262" s="26">
        <f>Model!T952/Model!S952-1</f>
        <v>3.2728475344925956E-2</v>
      </c>
      <c r="U262" s="26">
        <f>Model!U952/Model!T952-1</f>
        <v>2.7167230181014634E-2</v>
      </c>
      <c r="V262" s="26">
        <f>Model!V952/Model!U952-1</f>
        <v>5.3827524553964334E-3</v>
      </c>
      <c r="W262" s="26">
        <f>Model!W952/Model!V952-1</f>
        <v>9.2224717869118233E-3</v>
      </c>
      <c r="X262" s="26">
        <f>Model!X952/Model!W952-1</f>
        <v>3.815871226653722E-2</v>
      </c>
      <c r="Y262" s="26">
        <f>Model!Y952/Model!X952-1</f>
        <v>1.698814803186699E-2</v>
      </c>
      <c r="Z262" s="26">
        <f>Model!Z952/Model!Y952-1</f>
        <v>8.0137249510801034E-3</v>
      </c>
      <c r="AA262" s="26">
        <f>Model!AA952/Model!Z952-1</f>
        <v>1.1567719490777728E-2</v>
      </c>
      <c r="AB262" s="26">
        <f>Model!AB952/Model!AA952-1</f>
        <v>1.9420690699166965E-2</v>
      </c>
      <c r="AC262" s="269">
        <v>0.01</v>
      </c>
      <c r="AD262" s="269">
        <v>0.01</v>
      </c>
      <c r="AE262" s="269">
        <v>0.01</v>
      </c>
      <c r="AF262" s="269">
        <v>0.01</v>
      </c>
      <c r="AG262" s="269">
        <v>0.01</v>
      </c>
      <c r="AH262" s="269">
        <v>0.01</v>
      </c>
      <c r="AI262" s="269">
        <v>8.0000000000000002E-3</v>
      </c>
      <c r="AJ262" s="269"/>
      <c r="AK262" s="269"/>
      <c r="AL262" s="269"/>
      <c r="AM262" s="269"/>
      <c r="AN262" s="269"/>
      <c r="AO262" s="269"/>
      <c r="AP262" s="269"/>
      <c r="AQ262" s="269"/>
      <c r="AS262" s="424" t="s">
        <v>350</v>
      </c>
      <c r="AT262" s="424"/>
      <c r="AV262" s="26">
        <f>Model!AV952/Model!AU952-1</f>
        <v>0.12100409598393935</v>
      </c>
      <c r="AW262" s="26">
        <f>Model!AW952/Model!AV952-1</f>
        <v>7.2038338177337513E-2</v>
      </c>
      <c r="AX262" s="26">
        <f>Model!AX952/Model!AW952-1</f>
        <v>-4.011900761476761E-2</v>
      </c>
      <c r="AY262" s="26">
        <f>Model!AY952/Model!AX952-1</f>
        <v>5.9616117612540043E-2</v>
      </c>
      <c r="AZ262" s="26">
        <f>Model!AZ952/Model!AY952-1</f>
        <v>7.5933681545474974E-2</v>
      </c>
      <c r="BA262" s="26">
        <f>Model!BA952/Model!AZ952-1</f>
        <v>5.2283843095965343E-2</v>
      </c>
      <c r="BB262" s="26">
        <f>Model!BB952/Model!BA952-1</f>
        <v>4.0081145312201416E-2</v>
      </c>
      <c r="BC262" s="269">
        <v>0.04</v>
      </c>
      <c r="BD262" s="269">
        <v>0.04</v>
      </c>
      <c r="BE262" s="269">
        <v>0.04</v>
      </c>
      <c r="BG262" s="921"/>
      <c r="BH262" s="1710"/>
    </row>
    <row r="263" spans="1:60" s="70" customFormat="1" ht="11.25" customHeight="1" x14ac:dyDescent="0.2">
      <c r="A263" s="411"/>
      <c r="B263" s="9" t="s">
        <v>352</v>
      </c>
      <c r="C263" s="9"/>
      <c r="D263" s="32" t="s">
        <v>229</v>
      </c>
      <c r="E263" s="32" t="s">
        <v>229</v>
      </c>
      <c r="F263" s="26">
        <f>Model!F953/Model!E953-1</f>
        <v>1.2698929463566211E-2</v>
      </c>
      <c r="G263" s="26">
        <f>Model!G953/Model!F953-1</f>
        <v>-1.2283695824734098E-2</v>
      </c>
      <c r="H263" s="26">
        <f>Model!H953/Model!G953-1</f>
        <v>-2.3893476382777945E-2</v>
      </c>
      <c r="I263" s="26">
        <f>Model!I953/Model!H953-1</f>
        <v>-8.6006123446625837E-3</v>
      </c>
      <c r="J263" s="26">
        <f>Model!J953/Model!I953-1</f>
        <v>9.6800848733233913E-3</v>
      </c>
      <c r="K263" s="26">
        <f>Model!K953/Model!J953-1</f>
        <v>6.6807657074587912E-3</v>
      </c>
      <c r="L263" s="26">
        <f>Model!L953/Model!K953-1</f>
        <v>-1.2274023863774408E-2</v>
      </c>
      <c r="M263" s="26">
        <f>Model!M953/Model!L953-1</f>
        <v>-1.4742695603351397E-2</v>
      </c>
      <c r="N263" s="26">
        <f>Model!N953/Model!M953-1</f>
        <v>-2.4388554517166705E-2</v>
      </c>
      <c r="O263" s="26">
        <f>Model!O953/Model!N953-1</f>
        <v>-6.1933508744376753E-2</v>
      </c>
      <c r="P263" s="26">
        <f>Model!P953/Model!O953-1</f>
        <v>-4.7677257408110352E-2</v>
      </c>
      <c r="Q263" s="26">
        <f>Model!Q953/Model!P953-1</f>
        <v>2.0442542451660106E-2</v>
      </c>
      <c r="R263" s="26">
        <f>Model!R953/Model!Q953-1</f>
        <v>7.7526606258060404E-3</v>
      </c>
      <c r="S263" s="26">
        <f>Model!S953/Model!R953-1</f>
        <v>-1.7120187911070062E-2</v>
      </c>
      <c r="T263" s="26">
        <f>Model!T953/Model!S953-1</f>
        <v>1.3141529664045803E-2</v>
      </c>
      <c r="U263" s="26">
        <f>Model!U953/Model!T953-1</f>
        <v>1.0250096715665347E-2</v>
      </c>
      <c r="V263" s="26">
        <f>Model!V953/Model!U953-1</f>
        <v>8.1359672605874067E-4</v>
      </c>
      <c r="W263" s="26">
        <f>Model!W953/Model!V953-1</f>
        <v>-1.3286084617379568E-2</v>
      </c>
      <c r="X263" s="26">
        <f>Model!X953/Model!W953-1</f>
        <v>-3.9885764530193102E-3</v>
      </c>
      <c r="Y263" s="26">
        <f>Model!Y953/Model!X953-1</f>
        <v>2.8357271084529678E-2</v>
      </c>
      <c r="Z263" s="26">
        <f>Model!Z953/Model!Y953-1</f>
        <v>7.0943450072613601E-3</v>
      </c>
      <c r="AA263" s="26">
        <f>Model!AA953/Model!Z953-1</f>
        <v>-1.2790701660368886E-2</v>
      </c>
      <c r="AB263" s="26">
        <f>Model!AB953/Model!AA953-1</f>
        <v>2.3674350934577815E-2</v>
      </c>
      <c r="AC263" s="269">
        <v>0.01</v>
      </c>
      <c r="AD263" s="269">
        <v>0.01</v>
      </c>
      <c r="AE263" s="269">
        <v>0.01</v>
      </c>
      <c r="AF263" s="269">
        <v>0.01</v>
      </c>
      <c r="AG263" s="269">
        <v>0.01</v>
      </c>
      <c r="AH263" s="269">
        <v>0.01</v>
      </c>
      <c r="AI263" s="269">
        <v>8.0000000000000002E-3</v>
      </c>
      <c r="AJ263" s="269"/>
      <c r="AK263" s="269"/>
      <c r="AL263" s="269"/>
      <c r="AM263" s="269"/>
      <c r="AN263" s="269"/>
      <c r="AO263" s="269"/>
      <c r="AP263" s="269"/>
      <c r="AQ263" s="269"/>
      <c r="AS263" s="424" t="s">
        <v>352</v>
      </c>
      <c r="AT263" s="424"/>
      <c r="AV263" s="26">
        <f>Model!AV953/Model!AU953-1</f>
        <v>-2.7820308273931449E-2</v>
      </c>
      <c r="AW263" s="26">
        <f>Model!AW953/Model!AV953-1</f>
        <v>-4.2480440735344516E-2</v>
      </c>
      <c r="AX263" s="26">
        <f>Model!AX953/Model!AW953-1</f>
        <v>-9.4129643586942979E-2</v>
      </c>
      <c r="AY263" s="26">
        <f>Model!AY953/Model!AX953-1</f>
        <v>1.3793600538182682E-2</v>
      </c>
      <c r="AZ263" s="26">
        <f>Model!AZ953/Model!AY953-1</f>
        <v>1.0337495892884574E-2</v>
      </c>
      <c r="BA263" s="26">
        <f>Model!BA953/Model!AZ953-1</f>
        <v>3.9947884349821328E-2</v>
      </c>
      <c r="BB263" s="26">
        <f>Model!BB953/Model!BA953-1</f>
        <v>4.0081145312201416E-2</v>
      </c>
      <c r="BC263" s="269">
        <v>0.04</v>
      </c>
      <c r="BD263" s="269">
        <v>0.04</v>
      </c>
      <c r="BE263" s="269">
        <v>0.04</v>
      </c>
      <c r="BG263" s="921"/>
      <c r="BH263" s="1710"/>
    </row>
    <row r="264" spans="1:60" s="70" customFormat="1" ht="11.25" customHeight="1" x14ac:dyDescent="0.2">
      <c r="A264" s="411"/>
      <c r="B264" s="9" t="s">
        <v>349</v>
      </c>
      <c r="C264" s="9"/>
      <c r="D264" s="32" t="s">
        <v>229</v>
      </c>
      <c r="E264" s="32" t="s">
        <v>229</v>
      </c>
      <c r="F264" s="26">
        <f>Model!F954/Model!E954-1</f>
        <v>4.8122854234242451E-2</v>
      </c>
      <c r="G264" s="26">
        <f>Model!G954/Model!F954-1</f>
        <v>3.6700025559859073E-2</v>
      </c>
      <c r="H264" s="26">
        <f>Model!H954/Model!G954-1</f>
        <v>-3.6011500618271963E-2</v>
      </c>
      <c r="I264" s="26">
        <f>Model!I954/Model!H954-1</f>
        <v>-2.1704230672374814E-2</v>
      </c>
      <c r="J264" s="26">
        <f>Model!J954/Model!I954-1</f>
        <v>2.3271715172868745E-2</v>
      </c>
      <c r="K264" s="26">
        <f>Model!K954/Model!J954-1</f>
        <v>1.6736500349823658E-2</v>
      </c>
      <c r="L264" s="26">
        <f>Model!L954/Model!K954-1</f>
        <v>2.0717356343168181E-2</v>
      </c>
      <c r="M264" s="26">
        <f>Model!M954/Model!L954-1</f>
        <v>8.5368763516406876E-3</v>
      </c>
      <c r="N264" s="26">
        <f>Model!N954/Model!M954-1</f>
        <v>-2.7748464990517752E-2</v>
      </c>
      <c r="O264" s="26">
        <f>Model!O954/Model!N954-1</f>
        <v>-6.5470304678326707E-3</v>
      </c>
      <c r="P264" s="26">
        <f>Model!P954/Model!O954-1</f>
        <v>3.236768130761547E-2</v>
      </c>
      <c r="Q264" s="26">
        <f>Model!Q954/Model!P954-1</f>
        <v>2.2803793225522284E-2</v>
      </c>
      <c r="R264" s="26">
        <f>Model!R954/Model!Q954-1</f>
        <v>1.7884167154550434E-2</v>
      </c>
      <c r="S264" s="26">
        <f>Model!S954/Model!R954-1</f>
        <v>1.5323508345451708E-2</v>
      </c>
      <c r="T264" s="26">
        <f>Model!T954/Model!S954-1</f>
        <v>-1.1657652650405748E-2</v>
      </c>
      <c r="U264" s="26">
        <f>Model!U954/Model!T954-1</f>
        <v>3.2299695027433462E-3</v>
      </c>
      <c r="V264" s="26">
        <f>Model!V954/Model!U954-1</f>
        <v>1.3460391379025216E-2</v>
      </c>
      <c r="W264" s="26">
        <f>Model!W954/Model!V954-1</f>
        <v>-1.2221497355022648E-2</v>
      </c>
      <c r="X264" s="26">
        <f>Model!X954/Model!W954-1</f>
        <v>-4.4734867927508026E-2</v>
      </c>
      <c r="Y264" s="26">
        <f>Model!Y954/Model!X954-1</f>
        <v>-3.924714617448366E-2</v>
      </c>
      <c r="Z264" s="26">
        <f>Model!Z954/Model!Y954-1</f>
        <v>-8.6667787820359221E-3</v>
      </c>
      <c r="AA264" s="26">
        <f>Model!AA954/Model!Z954-1</f>
        <v>2.4736362452804084E-3</v>
      </c>
      <c r="AB264" s="26">
        <f>Model!AB954/Model!AA954-1</f>
        <v>-7.4301456119638676E-3</v>
      </c>
      <c r="AC264" s="269">
        <v>-0.01</v>
      </c>
      <c r="AD264" s="269">
        <v>-0.01</v>
      </c>
      <c r="AE264" s="269">
        <v>-0.01</v>
      </c>
      <c r="AF264" s="269">
        <v>-0.01</v>
      </c>
      <c r="AG264" s="269">
        <v>-0.01</v>
      </c>
      <c r="AH264" s="269">
        <v>-0.01</v>
      </c>
      <c r="AI264" s="269">
        <v>-1.2E-2</v>
      </c>
      <c r="AJ264" s="269"/>
      <c r="AK264" s="269"/>
      <c r="AL264" s="269"/>
      <c r="AM264" s="269"/>
      <c r="AN264" s="269"/>
      <c r="AO264" s="269"/>
      <c r="AP264" s="269"/>
      <c r="AQ264" s="269"/>
      <c r="AS264" s="424" t="s">
        <v>349</v>
      </c>
      <c r="AT264" s="424"/>
      <c r="AV264" s="26">
        <f>Model!AV954/Model!AU954-1</f>
        <v>1.7375080860195791E-3</v>
      </c>
      <c r="AW264" s="26">
        <f>Model!AW954/Model!AV954-1</f>
        <v>3.0078022715773312E-2</v>
      </c>
      <c r="AX264" s="26">
        <f>Model!AX954/Model!AW954-1</f>
        <v>4.5685594502361981E-2</v>
      </c>
      <c r="AY264" s="26">
        <f>Model!AY954/Model!AX954-1</f>
        <v>2.0217159453454814E-2</v>
      </c>
      <c r="AZ264" s="26">
        <f>Model!AZ954/Model!AY954-1</f>
        <v>-7.7883908232341148E-2</v>
      </c>
      <c r="BA264" s="26">
        <f>Model!BA954/Model!AZ954-1</f>
        <v>-3.4564042809569928E-2</v>
      </c>
      <c r="BB264" s="26">
        <f>Model!BB954/Model!BA954-1</f>
        <v>-3.988185031282665E-2</v>
      </c>
      <c r="BC264" s="269">
        <v>-0.02</v>
      </c>
      <c r="BD264" s="269">
        <v>0</v>
      </c>
      <c r="BE264" s="269">
        <v>0</v>
      </c>
      <c r="BG264" s="921"/>
      <c r="BH264" s="1710"/>
    </row>
    <row r="265" spans="1:60" s="70" customFormat="1" ht="11.25" customHeight="1" x14ac:dyDescent="0.2">
      <c r="A265" s="411"/>
      <c r="B265" s="9" t="s">
        <v>351</v>
      </c>
      <c r="C265" s="9"/>
      <c r="D265" s="32" t="s">
        <v>229</v>
      </c>
      <c r="E265" s="32" t="s">
        <v>229</v>
      </c>
      <c r="F265" s="26">
        <f>Model!F955/Model!E955-1</f>
        <v>0.23090109991255892</v>
      </c>
      <c r="G265" s="26">
        <f>Model!G955/Model!F955-1</f>
        <v>4.1379632658785193E-2</v>
      </c>
      <c r="H265" s="26">
        <f>Model!H955/Model!G955-1</f>
        <v>-3.9205830610707704E-2</v>
      </c>
      <c r="I265" s="26">
        <f>Model!I955/Model!H955-1</f>
        <v>-8.3890736519554032E-3</v>
      </c>
      <c r="J265" s="26">
        <f>Model!J955/Model!I955-1</f>
        <v>-0.24505869274395597</v>
      </c>
      <c r="K265" s="26">
        <f>Model!K955/Model!J955-1</f>
        <v>0.55366011930017156</v>
      </c>
      <c r="L265" s="26">
        <f>Model!L955/Model!K955-1</f>
        <v>-4.4722532349137589E-2</v>
      </c>
      <c r="M265" s="26">
        <f>Model!M955/Model!L955-1</f>
        <v>9.5288944195470293E-2</v>
      </c>
      <c r="N265" s="26">
        <f>Model!N955/Model!M955-1</f>
        <v>0.11494173460458157</v>
      </c>
      <c r="O265" s="26">
        <f>Model!O955/Model!N955-1</f>
        <v>0.22257795771108113</v>
      </c>
      <c r="P265" s="26">
        <f>Model!P955/Model!O955-1</f>
        <v>-0.19692396066814644</v>
      </c>
      <c r="Q265" s="26">
        <f>Model!Q955/Model!P955-1</f>
        <v>4.7679156235317155E-2</v>
      </c>
      <c r="R265" s="26">
        <f>Model!R955/Model!Q955-1</f>
        <v>-6.4666193657211379E-2</v>
      </c>
      <c r="S265" s="26">
        <f>Model!S955/Model!R955-1</f>
        <v>7.5126845431060296E-2</v>
      </c>
      <c r="T265" s="26">
        <f>Model!T955/Model!S955-1</f>
        <v>-0.13226611641761166</v>
      </c>
      <c r="U265" s="26">
        <f>Model!U955/Model!T955-1</f>
        <v>0.17514037617747125</v>
      </c>
      <c r="V265" s="26">
        <f>Model!V955/Model!U955-1</f>
        <v>6.2860649103110511E-2</v>
      </c>
      <c r="W265" s="26">
        <f>Model!W955/Model!V955-1</f>
        <v>-5.3504968493975125E-2</v>
      </c>
      <c r="X265" s="26">
        <f>Model!X955/Model!W955-1</f>
        <v>3.2242366040722059E-2</v>
      </c>
      <c r="Y265" s="26">
        <f>Model!Y955/Model!X955-1</f>
        <v>8.984618092442398E-2</v>
      </c>
      <c r="Z265" s="26">
        <f>Model!Z955/Model!Y955-1</f>
        <v>1.6536314138058117E-2</v>
      </c>
      <c r="AA265" s="26">
        <f>Model!AA955/Model!Z955-1</f>
        <v>0.10278422405429</v>
      </c>
      <c r="AB265" s="26">
        <f>Model!AB955/Model!AA955-1</f>
        <v>-7.0395867419916991E-2</v>
      </c>
      <c r="AC265" s="269">
        <v>0.01</v>
      </c>
      <c r="AD265" s="269">
        <v>0.01</v>
      </c>
      <c r="AE265" s="269">
        <v>0.01</v>
      </c>
      <c r="AF265" s="269">
        <v>0</v>
      </c>
      <c r="AG265" s="269">
        <v>0</v>
      </c>
      <c r="AH265" s="269">
        <v>0</v>
      </c>
      <c r="AI265" s="269">
        <v>0</v>
      </c>
      <c r="AJ265" s="269"/>
      <c r="AK265" s="269"/>
      <c r="AL265" s="269"/>
      <c r="AM265" s="269"/>
      <c r="AN265" s="269"/>
      <c r="AO265" s="269"/>
      <c r="AP265" s="269"/>
      <c r="AQ265" s="269"/>
      <c r="AS265" s="424" t="s">
        <v>351</v>
      </c>
      <c r="AT265" s="424"/>
      <c r="AV265" s="26">
        <f>Model!AV955/Model!AU955-1</f>
        <v>2.6385217792887827E-2</v>
      </c>
      <c r="AW265" s="26">
        <f>Model!AW955/Model!AV955-1</f>
        <v>0.36900376952073333</v>
      </c>
      <c r="AX265" s="26">
        <f>Model!AX955/Model!AW955-1</f>
        <v>1.7421206844706383E-2</v>
      </c>
      <c r="AY265" s="26">
        <f>Model!AY955/Model!AX955-1</f>
        <v>3.1841902231906527E-2</v>
      </c>
      <c r="AZ265" s="26">
        <f>Model!AZ955/Model!AY955-1</f>
        <v>0.17079100749375509</v>
      </c>
      <c r="BA265" s="26">
        <f>Model!BA955/Model!AZ955-1</f>
        <v>4.346287809859728E-2</v>
      </c>
      <c r="BB265" s="26">
        <f>Model!BB955/Model!BA955-1</f>
        <v>1.497462935311078E-2</v>
      </c>
      <c r="BC265" s="269">
        <v>0.01</v>
      </c>
      <c r="BD265" s="269">
        <v>0.01</v>
      </c>
      <c r="BE265" s="269">
        <v>0.01</v>
      </c>
      <c r="BG265" s="921"/>
      <c r="BH265" s="1710"/>
    </row>
    <row r="266" spans="1:60" s="70" customFormat="1" ht="11.25" customHeight="1" x14ac:dyDescent="0.2">
      <c r="A266" s="411"/>
      <c r="B266" s="9"/>
      <c r="C266" s="9"/>
      <c r="D266" s="9"/>
      <c r="E266" s="83"/>
      <c r="F266" s="9"/>
      <c r="G266" s="9"/>
      <c r="H266" s="9"/>
      <c r="I266" s="9"/>
      <c r="J266" s="9"/>
      <c r="K266" s="9"/>
      <c r="L266" s="9"/>
      <c r="M266" s="9"/>
      <c r="N266" s="9"/>
      <c r="O266" s="9"/>
      <c r="P266" s="9"/>
      <c r="Q266" s="9"/>
      <c r="R266" s="9"/>
      <c r="S266" s="9"/>
      <c r="T266" s="9"/>
      <c r="U266" s="9"/>
      <c r="V266" s="9"/>
      <c r="W266" s="9"/>
      <c r="X266" s="9"/>
      <c r="Y266" s="1215"/>
      <c r="Z266" s="1688"/>
      <c r="AA266" s="1742"/>
      <c r="AB266" s="1785"/>
      <c r="AC266" s="9"/>
      <c r="AD266" s="9"/>
      <c r="AE266" s="9"/>
      <c r="AF266" s="1707"/>
      <c r="AG266" s="1707"/>
      <c r="AH266" s="1707"/>
      <c r="AI266" s="1707"/>
      <c r="AJ266" s="1740"/>
      <c r="AK266" s="1740"/>
      <c r="AL266" s="1740"/>
      <c r="AM266" s="1740"/>
      <c r="AN266" s="1740"/>
      <c r="AO266" s="1740"/>
      <c r="AP266" s="1740"/>
      <c r="AQ266" s="1740"/>
      <c r="AS266" s="424"/>
      <c r="AT266" s="424"/>
      <c r="BC266" s="9"/>
      <c r="BD266" s="9"/>
      <c r="BE266" s="1702"/>
      <c r="BG266" s="15"/>
      <c r="BH266" s="15"/>
    </row>
    <row r="267" spans="1:60" s="70" customFormat="1" ht="11.25" customHeight="1" x14ac:dyDescent="0.2">
      <c r="A267" s="411"/>
      <c r="B267" s="65" t="s">
        <v>987</v>
      </c>
      <c r="C267" s="9"/>
      <c r="D267" s="9"/>
      <c r="E267" s="83"/>
      <c r="F267" s="9"/>
      <c r="G267" s="9"/>
      <c r="H267" s="9"/>
      <c r="I267" s="9"/>
      <c r="J267" s="9"/>
      <c r="K267" s="9"/>
      <c r="L267" s="9"/>
      <c r="M267" s="9"/>
      <c r="N267" s="9"/>
      <c r="O267" s="9"/>
      <c r="P267" s="9"/>
      <c r="Q267" s="9"/>
      <c r="R267" s="9"/>
      <c r="S267" s="9"/>
      <c r="T267" s="9"/>
      <c r="U267" s="9"/>
      <c r="V267" s="9"/>
      <c r="W267" s="9"/>
      <c r="X267" s="9"/>
      <c r="Y267" s="1215"/>
      <c r="Z267" s="1688"/>
      <c r="AA267" s="1742"/>
      <c r="AB267" s="1785"/>
      <c r="AC267" s="9"/>
      <c r="AD267" s="9"/>
      <c r="AE267" s="9"/>
      <c r="AF267" s="1707"/>
      <c r="AG267" s="1707"/>
      <c r="AH267" s="1707"/>
      <c r="AI267" s="1707"/>
      <c r="AJ267" s="1740"/>
      <c r="AK267" s="1740"/>
      <c r="AL267" s="1740"/>
      <c r="AM267" s="1740"/>
      <c r="AN267" s="1740"/>
      <c r="AO267" s="1740"/>
      <c r="AP267" s="1740"/>
      <c r="AQ267" s="1740"/>
      <c r="AS267" s="110" t="s">
        <v>577</v>
      </c>
      <c r="AT267" s="424"/>
      <c r="BC267" s="9"/>
      <c r="BD267" s="9"/>
      <c r="BE267" s="1702"/>
      <c r="BG267" s="15"/>
      <c r="BH267" s="15"/>
    </row>
    <row r="268" spans="1:60" s="70" customFormat="1" ht="11.25" customHeight="1" x14ac:dyDescent="0.2">
      <c r="A268" s="411"/>
      <c r="B268" s="9" t="s">
        <v>575</v>
      </c>
      <c r="C268" s="9"/>
      <c r="D268" s="9"/>
      <c r="E268" s="26">
        <f>Model!E903/Model!D903-1</f>
        <v>-3.2410486761974666E-2</v>
      </c>
      <c r="F268" s="26">
        <f>Model!F903/Model!E903-1</f>
        <v>-1.9533447010614879E-2</v>
      </c>
      <c r="G268" s="26">
        <f>Model!G903/Model!F903-1</f>
        <v>-4.421579786023222E-2</v>
      </c>
      <c r="H268" s="26">
        <f>Model!H903/Model!G903-1</f>
        <v>3.5591460335908653E-2</v>
      </c>
      <c r="I268" s="26">
        <f>Model!I903/Model!H903-1</f>
        <v>2.8775125339220775E-2</v>
      </c>
      <c r="J268" s="26">
        <f>Model!J903/Model!I903-1</f>
        <v>3.8825749108045038E-2</v>
      </c>
      <c r="K268" s="26">
        <f>Model!K903/Model!J903-1</f>
        <v>-7.9965569184420326E-3</v>
      </c>
      <c r="L268" s="26">
        <f>Model!L903/Model!K903-1</f>
        <v>-3.843951200041662E-3</v>
      </c>
      <c r="M268" s="26">
        <f>Model!M903/Model!L903-1</f>
        <v>3.1096748342813729E-3</v>
      </c>
      <c r="N268" s="26">
        <f>Model!N903/Model!M903-1</f>
        <v>8.5385550538381372E-2</v>
      </c>
      <c r="O268" s="26">
        <f>Model!O903/Model!N903-1</f>
        <v>-5.5683118254622244E-2</v>
      </c>
      <c r="P268" s="26">
        <f>Model!P903/Model!O903-1</f>
        <v>9.4083857904145418E-2</v>
      </c>
      <c r="Q268" s="26">
        <f>Model!Q903/Model!P903-1</f>
        <v>-0.11506295590763371</v>
      </c>
      <c r="R268" s="26">
        <f>Model!R903/Model!Q903-1</f>
        <v>0.15525162103273571</v>
      </c>
      <c r="S268" s="26">
        <f>Model!S903/Model!R903-1</f>
        <v>-0.31844933760538097</v>
      </c>
      <c r="T268" s="26">
        <f>Model!T903/Model!S903-1</f>
        <v>-0.11672723635514959</v>
      </c>
      <c r="U268" s="26">
        <f>Model!U903/Model!T903-1</f>
        <v>-0.18116160853591023</v>
      </c>
      <c r="V268" s="26">
        <f>Model!V903/Model!U903-1</f>
        <v>0.24933157134515493</v>
      </c>
      <c r="W268" s="26">
        <f>Model!W903/Model!V903-1</f>
        <v>0.16765472793466496</v>
      </c>
      <c r="X268" s="26">
        <f>Model!X903/Model!W903-1</f>
        <v>7.1417285511139461E-3</v>
      </c>
      <c r="Y268" s="26">
        <f>Model!Y903/Model!X903-1</f>
        <v>-4.2431468524154692E-2</v>
      </c>
      <c r="Z268" s="26">
        <f>Model!Z903/Model!Y903-1</f>
        <v>7.1901349993446662E-2</v>
      </c>
      <c r="AA268" s="26">
        <f>Model!AA903/Model!Z903-1</f>
        <v>7.3365328768379534E-2</v>
      </c>
      <c r="AB268" s="26">
        <f>Model!AB903/Model!AA903-1</f>
        <v>6.9727261508083505E-2</v>
      </c>
      <c r="AC268" s="269">
        <v>0.03</v>
      </c>
      <c r="AD268" s="269">
        <v>0.03</v>
      </c>
      <c r="AE268" s="269">
        <v>0.03</v>
      </c>
      <c r="AF268" s="269">
        <v>0.03</v>
      </c>
      <c r="AG268" s="269">
        <v>0.03</v>
      </c>
      <c r="AH268" s="269">
        <v>0.03</v>
      </c>
      <c r="AI268" s="269">
        <v>0.03</v>
      </c>
      <c r="AJ268" s="269"/>
      <c r="AK268" s="269"/>
      <c r="AL268" s="269"/>
      <c r="AM268" s="269"/>
      <c r="AN268" s="269"/>
      <c r="AO268" s="269"/>
      <c r="AP268" s="269"/>
      <c r="AQ268" s="269"/>
      <c r="AS268" s="424" t="s">
        <v>575</v>
      </c>
      <c r="AT268" s="424"/>
      <c r="AW268" s="26">
        <f>Model!AW903/Model!AV903-1</f>
        <v>4.6530769383948511E-2</v>
      </c>
      <c r="AX268" s="26">
        <f>Model!AX903/Model!AW903-1</f>
        <v>-1.6008828957967292E-2</v>
      </c>
      <c r="AY268" s="26">
        <f>Model!AY903/Model!AX903-1</f>
        <v>-0.31074069060648835</v>
      </c>
      <c r="AZ268" s="26">
        <f>Model!AZ903/Model!AY903-1</f>
        <v>0.21775412805142258</v>
      </c>
      <c r="BA268" s="26">
        <f>Model!BA903/Model!AZ903-1</f>
        <v>0.20678726540329251</v>
      </c>
      <c r="BB268" s="26">
        <f>Model!BB903/Model!BA903-1</f>
        <v>0.12550881000000014</v>
      </c>
      <c r="BC268" s="269">
        <v>0.05</v>
      </c>
      <c r="BD268" s="269">
        <v>0.05</v>
      </c>
      <c r="BE268" s="269">
        <v>0.05</v>
      </c>
      <c r="BG268" s="921"/>
      <c r="BH268" s="1710"/>
    </row>
    <row r="269" spans="1:60" s="70" customFormat="1" ht="11.25" customHeight="1" x14ac:dyDescent="0.2">
      <c r="A269" s="411"/>
      <c r="B269" s="9" t="s">
        <v>576</v>
      </c>
      <c r="C269" s="9"/>
      <c r="D269" s="9"/>
      <c r="E269" s="26">
        <f>Model!E904/Model!D904-1</f>
        <v>-0.11518324607329844</v>
      </c>
      <c r="F269" s="26">
        <f>Model!F904/Model!E904-1</f>
        <v>-6.5324862604930645E-2</v>
      </c>
      <c r="G269" s="26">
        <f>Model!G904/Model!F904-1</f>
        <v>-8.6636327953458214E-2</v>
      </c>
      <c r="H269" s="26">
        <f>Model!H904/Model!G904-1</f>
        <v>-8.205544965620537E-2</v>
      </c>
      <c r="I269" s="26">
        <f>Model!I904/Model!H904-1</f>
        <v>-4.8943399199959159E-2</v>
      </c>
      <c r="J269" s="26">
        <f>Model!J904/Model!I904-1</f>
        <v>-3.7732722487571868E-2</v>
      </c>
      <c r="K269" s="26">
        <f>Model!K904/Model!J904-1</f>
        <v>7.7897871736949398E-3</v>
      </c>
      <c r="L269" s="26">
        <f>Model!L904/Model!K904-1</f>
        <v>-2.5128658732711529E-3</v>
      </c>
      <c r="M269" s="26">
        <f>Model!M904/Model!L904-1</f>
        <v>2.817469114653659E-2</v>
      </c>
      <c r="N269" s="26">
        <f>Model!N904/Model!M904-1</f>
        <v>-3.3322225924692361E-4</v>
      </c>
      <c r="O269" s="26">
        <f>Model!O904/Model!N904-1</f>
        <v>-1.138235294117651E-2</v>
      </c>
      <c r="P269" s="26">
        <f>Model!P904/Model!O904-1</f>
        <v>-1.5450371384087558E-2</v>
      </c>
      <c r="Q269" s="26">
        <f>Model!Q904/Model!P904-1</f>
        <v>-5.3645712674126989E-2</v>
      </c>
      <c r="R269" s="26">
        <f>Model!R904/Model!Q904-1</f>
        <v>-1.4581448565802457E-3</v>
      </c>
      <c r="S269" s="26">
        <f>Model!S904/Model!R904-1</f>
        <v>-9.0014709330832332E-3</v>
      </c>
      <c r="T269" s="26">
        <f>Model!T904/Model!S904-1</f>
        <v>-3.5838168940612092E-2</v>
      </c>
      <c r="U269" s="26">
        <f>Model!U904/Model!T904-1</f>
        <v>1.6381921319924331E-2</v>
      </c>
      <c r="V269" s="26">
        <f>Model!V904/Model!U904-1</f>
        <v>-1.5750192075513203E-3</v>
      </c>
      <c r="W269" s="26">
        <f>Model!W904/Model!V904-1</f>
        <v>9.3660853171222413E-3</v>
      </c>
      <c r="X269" s="26">
        <f>Model!X904/Model!W904-1</f>
        <v>3.2128601534542334E-4</v>
      </c>
      <c r="Y269" s="26">
        <f>Model!Y904/Model!X904-1</f>
        <v>4.5989025346224288E-2</v>
      </c>
      <c r="Z269" s="26">
        <f>Model!Z904/Model!Y904-1</f>
        <v>5.6832375718211425E-2</v>
      </c>
      <c r="AA269" s="26">
        <f>Model!AA904/Model!Z904-1</f>
        <v>2.2327936020170913E-2</v>
      </c>
      <c r="AB269" s="26">
        <f>Model!AB904/Model!AA904-1</f>
        <v>-1.5997263942812534E-2</v>
      </c>
      <c r="AC269" s="269">
        <v>0.02</v>
      </c>
      <c r="AD269" s="269">
        <v>0.02</v>
      </c>
      <c r="AE269" s="269">
        <v>0.02</v>
      </c>
      <c r="AF269" s="269">
        <v>0.02</v>
      </c>
      <c r="AG269" s="269">
        <v>0.02</v>
      </c>
      <c r="AH269" s="269">
        <v>0.02</v>
      </c>
      <c r="AI269" s="269">
        <v>0.02</v>
      </c>
      <c r="AJ269" s="269"/>
      <c r="AK269" s="269"/>
      <c r="AL269" s="269"/>
      <c r="AM269" s="269"/>
      <c r="AN269" s="269"/>
      <c r="AO269" s="269"/>
      <c r="AP269" s="269"/>
      <c r="AQ269" s="269"/>
      <c r="AS269" s="424" t="s">
        <v>576</v>
      </c>
      <c r="AT269" s="424"/>
      <c r="AW269" s="26">
        <f>Model!AW904/Model!AV904-1</f>
        <v>-1.1147231299849625E-2</v>
      </c>
      <c r="AX269" s="26">
        <f>Model!AX904/Model!AW904-1</f>
        <v>-5.9596249545298186E-2</v>
      </c>
      <c r="AY269" s="26">
        <f>Model!AY904/Model!AX904-1</f>
        <v>-4.3394228049285943E-2</v>
      </c>
      <c r="AZ269" s="26">
        <f>Model!AZ904/Model!AY904-1</f>
        <v>8.1737322112084954E-2</v>
      </c>
      <c r="BA269" s="26">
        <f>Model!BA904/Model!AZ904-1</f>
        <v>7.049914356988296E-2</v>
      </c>
      <c r="BB269" s="26">
        <f>Model!BB904/Model!BA904-1</f>
        <v>8.2432160000000199E-2</v>
      </c>
      <c r="BC269" s="269">
        <v>0.05</v>
      </c>
      <c r="BD269" s="269">
        <v>0.05</v>
      </c>
      <c r="BE269" s="269">
        <v>0.05</v>
      </c>
      <c r="BG269" s="921"/>
      <c r="BH269" s="1710"/>
    </row>
    <row r="270" spans="1:60" s="70" customFormat="1" ht="11.25" customHeight="1" x14ac:dyDescent="0.2">
      <c r="A270" s="411"/>
      <c r="B270" s="9" t="s">
        <v>574</v>
      </c>
      <c r="C270" s="9"/>
      <c r="D270" s="9"/>
      <c r="E270" s="26">
        <f>Model!E905/Model!D905-1</f>
        <v>3.3742170092907919E-2</v>
      </c>
      <c r="F270" s="26">
        <f>Model!F905/Model!E905-1</f>
        <v>-1.4482734079921955E-2</v>
      </c>
      <c r="G270" s="26">
        <f>Model!G905/Model!F905-1</f>
        <v>-7.2867449329784284E-3</v>
      </c>
      <c r="H270" s="26">
        <f>Model!H905/Model!G905-1</f>
        <v>4.0899533398225829E-2</v>
      </c>
      <c r="I270" s="26">
        <f>Model!I905/Model!H905-1</f>
        <v>5.3316250124796127E-2</v>
      </c>
      <c r="J270" s="26">
        <f>Model!J905/Model!I905-1</f>
        <v>-0.11905115462021854</v>
      </c>
      <c r="K270" s="26">
        <f>Model!K905/Model!J905-1</f>
        <v>6.8733636983107083E-3</v>
      </c>
      <c r="L270" s="26">
        <f>Model!L905/Model!K905-1</f>
        <v>-5.6130708664221984E-2</v>
      </c>
      <c r="M270" s="26">
        <f>Model!M905/Model!L905-1</f>
        <v>2.2723670505834237E-2</v>
      </c>
      <c r="N270" s="26">
        <f>Model!N905/Model!M905-1</f>
        <v>-4.4087015399829177E-2</v>
      </c>
      <c r="O270" s="26">
        <f>Model!O905/Model!N905-1</f>
        <v>6.8412326802709034E-2</v>
      </c>
      <c r="P270" s="26">
        <f>Model!P905/Model!O905-1</f>
        <v>-8.4950566234742175E-2</v>
      </c>
      <c r="Q270" s="26">
        <f>Model!Q905/Model!P905-1</f>
        <v>3.1855143590968638E-2</v>
      </c>
      <c r="R270" s="26">
        <f>Model!R905/Model!Q905-1</f>
        <v>-5.6459126921112213E-2</v>
      </c>
      <c r="S270" s="26">
        <f>Model!S905/Model!R905-1</f>
        <v>-6.8917551589820158E-2</v>
      </c>
      <c r="T270" s="26">
        <f>Model!T905/Model!S905-1</f>
        <v>-3.2568856289785564E-2</v>
      </c>
      <c r="U270" s="26">
        <f>Model!U905/Model!T905-1</f>
        <v>6.5331610486554226E-2</v>
      </c>
      <c r="V270" s="26">
        <f>Model!V905/Model!U905-1</f>
        <v>2.9849043207789583E-2</v>
      </c>
      <c r="W270" s="26">
        <f>Model!W905/Model!V905-1</f>
        <v>-4.8231953284336049E-2</v>
      </c>
      <c r="X270" s="26">
        <f>Model!X905/Model!W905-1</f>
        <v>5.1105165920403817E-2</v>
      </c>
      <c r="Y270" s="26">
        <f>Model!Y905/Model!X905-1</f>
        <v>5.8682494723866885E-2</v>
      </c>
      <c r="Z270" s="26">
        <f>Model!Z905/Model!Y905-1</f>
        <v>-1.4798957738020313E-2</v>
      </c>
      <c r="AA270" s="26">
        <f>Model!AA905/Model!Z905-1</f>
        <v>3.5839432421059358E-2</v>
      </c>
      <c r="AB270" s="26">
        <f>Model!AB905/Model!AA905-1</f>
        <v>-1.0953505501431371E-2</v>
      </c>
      <c r="AC270" s="269">
        <v>0.01</v>
      </c>
      <c r="AD270" s="269">
        <v>0.01</v>
      </c>
      <c r="AE270" s="269">
        <v>0.01</v>
      </c>
      <c r="AF270" s="269">
        <v>0.01</v>
      </c>
      <c r="AG270" s="269">
        <v>0.01</v>
      </c>
      <c r="AH270" s="269">
        <v>0.01</v>
      </c>
      <c r="AI270" s="269">
        <v>0.01</v>
      </c>
      <c r="AJ270" s="269"/>
      <c r="AK270" s="269"/>
      <c r="AL270" s="269"/>
      <c r="AM270" s="269"/>
      <c r="AN270" s="269"/>
      <c r="AO270" s="269"/>
      <c r="AP270" s="269"/>
      <c r="AQ270" s="269"/>
      <c r="AS270" s="424" t="s">
        <v>574</v>
      </c>
      <c r="AT270" s="424"/>
      <c r="AW270" s="26">
        <f>Model!AW905/Model!AV905-1</f>
        <v>-8.9015810688203745E-2</v>
      </c>
      <c r="AX270" s="26">
        <f>Model!AX905/Model!AW905-1</f>
        <v>-7.5624379865157576E-2</v>
      </c>
      <c r="AY270" s="26">
        <f>Model!AY905/Model!AX905-1</f>
        <v>-5.6953267405877805E-2</v>
      </c>
      <c r="AZ270" s="26">
        <f>Model!AZ905/Model!AY905-1</f>
        <v>9.1164784357165241E-2</v>
      </c>
      <c r="BA270" s="26">
        <f>Model!BA905/Model!AZ905-1</f>
        <v>3.7468462088710908E-2</v>
      </c>
      <c r="BB270" s="26">
        <f>Model!BB905/Model!BA905-1</f>
        <v>4.0604009999998913E-2</v>
      </c>
      <c r="BC270" s="269">
        <v>0.02</v>
      </c>
      <c r="BD270" s="269">
        <v>0.02</v>
      </c>
      <c r="BE270" s="269">
        <v>0.02</v>
      </c>
      <c r="BG270" s="921"/>
      <c r="BH270" s="1710"/>
    </row>
    <row r="271" spans="1:60" s="70" customFormat="1" ht="11.25" customHeight="1" x14ac:dyDescent="0.2">
      <c r="A271" s="411"/>
      <c r="B271" s="15"/>
      <c r="C271" s="15"/>
      <c r="D271" s="15"/>
      <c r="E271" s="23"/>
      <c r="F271" s="23"/>
      <c r="G271" s="23"/>
      <c r="H271" s="23"/>
      <c r="I271" s="23"/>
      <c r="J271" s="23"/>
      <c r="K271" s="23"/>
      <c r="L271" s="23"/>
      <c r="M271" s="23"/>
      <c r="N271" s="23"/>
      <c r="O271" s="23"/>
      <c r="P271" s="23"/>
      <c r="Q271" s="23"/>
      <c r="R271" s="23"/>
      <c r="S271" s="23"/>
      <c r="T271" s="23"/>
      <c r="U271" s="23"/>
      <c r="V271" s="23"/>
      <c r="W271" s="23"/>
      <c r="X271" s="23"/>
      <c r="Y271" s="23"/>
      <c r="Z271" s="23"/>
      <c r="AA271" s="23"/>
      <c r="AB271" s="23"/>
      <c r="AC271" s="921"/>
      <c r="AD271" s="921"/>
      <c r="AE271" s="921"/>
      <c r="AF271" s="921"/>
      <c r="AG271" s="921"/>
      <c r="AH271" s="921"/>
      <c r="AI271" s="921"/>
      <c r="AJ271" s="921"/>
      <c r="AK271" s="921"/>
      <c r="AL271" s="921"/>
      <c r="AM271" s="921"/>
      <c r="AN271" s="921"/>
      <c r="AO271" s="921"/>
      <c r="AP271" s="921"/>
      <c r="AQ271" s="921"/>
      <c r="AS271" s="15"/>
      <c r="AT271" s="15"/>
      <c r="AW271" s="23"/>
      <c r="AX271" s="23"/>
      <c r="AY271" s="23"/>
      <c r="AZ271" s="23"/>
      <c r="BA271" s="23"/>
      <c r="BB271" s="23"/>
      <c r="BC271" s="921"/>
      <c r="BD271" s="921"/>
      <c r="BE271" s="921"/>
      <c r="BG271" s="921"/>
      <c r="BH271" s="921"/>
    </row>
    <row r="272" spans="1:60" s="70" customFormat="1" ht="11.25" customHeight="1" x14ac:dyDescent="0.2">
      <c r="A272" s="411"/>
      <c r="B272" s="365" t="s">
        <v>988</v>
      </c>
      <c r="C272" s="15"/>
      <c r="D272" s="15"/>
      <c r="E272" s="23"/>
      <c r="F272" s="23"/>
      <c r="G272" s="23"/>
      <c r="H272" s="23"/>
      <c r="I272" s="23"/>
      <c r="J272" s="23"/>
      <c r="K272" s="23"/>
      <c r="L272" s="23"/>
      <c r="M272" s="23"/>
      <c r="N272" s="23"/>
      <c r="O272" s="23"/>
      <c r="P272" s="23"/>
      <c r="Q272" s="23"/>
      <c r="R272" s="23"/>
      <c r="S272" s="23"/>
      <c r="T272" s="23"/>
      <c r="U272" s="23"/>
      <c r="V272" s="23"/>
      <c r="W272" s="23"/>
      <c r="X272" s="23"/>
      <c r="Y272" s="23"/>
      <c r="Z272" s="23"/>
      <c r="AA272" s="23"/>
      <c r="AB272" s="23"/>
      <c r="AC272" s="921"/>
      <c r="AD272" s="921"/>
      <c r="AE272" s="921"/>
      <c r="AF272" s="921"/>
      <c r="AG272" s="921"/>
      <c r="AH272" s="921"/>
      <c r="AI272" s="921"/>
      <c r="AJ272" s="921"/>
      <c r="AK272" s="921"/>
      <c r="AL272" s="921"/>
      <c r="AM272" s="921"/>
      <c r="AN272" s="921"/>
      <c r="AO272" s="921"/>
      <c r="AP272" s="921"/>
      <c r="AQ272" s="921"/>
      <c r="AS272" s="15"/>
      <c r="AT272" s="15"/>
      <c r="AW272" s="23"/>
      <c r="AX272" s="23"/>
      <c r="AY272" s="23"/>
      <c r="AZ272" s="23"/>
      <c r="BA272" s="23"/>
      <c r="BB272" s="23"/>
      <c r="BC272" s="921"/>
      <c r="BD272" s="921"/>
      <c r="BE272" s="921"/>
      <c r="BG272" s="921"/>
      <c r="BH272" s="921"/>
    </row>
    <row r="273" spans="1:75" s="70" customFormat="1" x14ac:dyDescent="0.2">
      <c r="A273" s="411"/>
      <c r="B273" s="914" t="s">
        <v>982</v>
      </c>
      <c r="C273" s="9"/>
      <c r="D273" s="32" t="s">
        <v>229</v>
      </c>
      <c r="E273" s="26">
        <f>Model!E905/Model!E896</f>
        <v>0.15399796461562548</v>
      </c>
      <c r="F273" s="26">
        <f>Model!F905/Model!F896</f>
        <v>0.15230019901539751</v>
      </c>
      <c r="G273" s="26">
        <f>Model!G905/Model!G896</f>
        <v>0.15150781988034009</v>
      </c>
      <c r="H273" s="26">
        <f>Model!H905/Model!H896</f>
        <v>0.15925906296374814</v>
      </c>
      <c r="I273" s="26">
        <f>Model!I905/Model!I896</f>
        <v>0.16668123650534519</v>
      </c>
      <c r="J273" s="26">
        <f>Model!J905/Model!J896</f>
        <v>0.1501426956006677</v>
      </c>
      <c r="K273" s="26">
        <f>Model!K905/Model!K896</f>
        <v>0.14870047669491526</v>
      </c>
      <c r="L273" s="26">
        <f>Model!L905/Model!L896</f>
        <v>0.14033151511941958</v>
      </c>
      <c r="M273" s="26">
        <f>Model!M905/Model!M896</f>
        <v>0.14238927126569642</v>
      </c>
      <c r="N273" s="26">
        <f>Model!N905/Model!N896</f>
        <v>0.13667906510499103</v>
      </c>
      <c r="O273" s="26">
        <f>Model!O905/Model!O896</f>
        <v>0.1456607199242185</v>
      </c>
      <c r="P273" s="26">
        <f>Model!P905/Model!P896</f>
        <v>0.13667449139280125</v>
      </c>
      <c r="Q273" s="26">
        <f>Model!Q905/Model!Q896</f>
        <v>0.14205549817905094</v>
      </c>
      <c r="R273" s="26">
        <f>Model!R905/Model!R896</f>
        <v>0.13560520237571491</v>
      </c>
      <c r="S273" s="26">
        <f>Model!S905/Model!S896</f>
        <v>0.12867258869024267</v>
      </c>
      <c r="T273" s="26">
        <f>Model!T905/Model!T896</f>
        <v>0.12495105760576057</v>
      </c>
      <c r="U273" s="26">
        <f>Model!U905/Model!U896</f>
        <v>0.13092679687932274</v>
      </c>
      <c r="V273" s="26">
        <f>Model!V905/Model!V896</f>
        <v>0.13314774341602012</v>
      </c>
      <c r="W273" s="26">
        <f>Model!W905/Model!W896</f>
        <v>0.12744999450489064</v>
      </c>
      <c r="X273" s="26">
        <f>Model!X905/Model!X896</f>
        <v>0.13317300338686769</v>
      </c>
      <c r="Y273" s="26">
        <f>Model!Y905/Model!Y896</f>
        <v>0.13807644981810399</v>
      </c>
      <c r="Z273" s="26">
        <f>Model!Z905/Model!Z896</f>
        <v>0.13437245679860488</v>
      </c>
      <c r="AA273" s="26">
        <f>Model!AA905/Model!AA896</f>
        <v>0.13792009216107243</v>
      </c>
      <c r="AB273" s="26">
        <f>Model!AB905/Model!AB896</f>
        <v>0.13680338199768932</v>
      </c>
      <c r="AC273" s="26">
        <f>Model!AC905/Model!AC896</f>
        <v>0.13761064034465673</v>
      </c>
      <c r="AD273" s="26">
        <f>Model!AD905/Model!AD896</f>
        <v>0.13837527392693802</v>
      </c>
      <c r="AE273" s="26">
        <f>Model!AE905/Model!AE896</f>
        <v>0.13894297150248783</v>
      </c>
      <c r="AF273" s="26">
        <f>Model!AF905/Model!AF896</f>
        <v>0.13948907443404207</v>
      </c>
      <c r="AG273" s="26">
        <f>Model!AG905/Model!AG896</f>
        <v>0.13982843467950451</v>
      </c>
      <c r="AH273" s="26">
        <f>Model!AH905/Model!AH896</f>
        <v>0.13982358129303965</v>
      </c>
      <c r="AI273" s="26">
        <f>Model!AI905/Model!AI896</f>
        <v>0.13960865526742774</v>
      </c>
      <c r="AJ273" s="26"/>
      <c r="AK273" s="26"/>
      <c r="AL273" s="26"/>
      <c r="AM273" s="26"/>
      <c r="AN273" s="26"/>
      <c r="AO273" s="26"/>
      <c r="AP273" s="26"/>
      <c r="AQ273" s="26"/>
      <c r="AS273" s="914" t="s">
        <v>982</v>
      </c>
      <c r="AT273" s="9"/>
      <c r="AU273" s="26">
        <f>Model!AU905/Model!AU896</f>
        <v>0.1477528883771442</v>
      </c>
      <c r="AV273" s="26">
        <f>Model!AV905/Model!AV896</f>
        <v>0.15623539331810699</v>
      </c>
      <c r="AW273" s="26">
        <f>Model!AW905/Model!AW896</f>
        <v>0.14126996784057361</v>
      </c>
      <c r="AX273" s="26">
        <f>Model!AX905/Model!AX896</f>
        <v>0.13580782674251252</v>
      </c>
      <c r="AY273" s="26">
        <f>Model!AY905/Model!AY896</f>
        <v>0.12914587623878698</v>
      </c>
      <c r="AZ273" s="26">
        <f>Model!AZ905/Model!AZ896</f>
        <v>0.13590578261217306</v>
      </c>
      <c r="BA273" s="26">
        <f>Model!BA905/Model!BA896</f>
        <v>0.13793729549853462</v>
      </c>
      <c r="BB273" s="26">
        <f>Model!BB905/Model!BB896</f>
        <v>0.13968772029096524</v>
      </c>
      <c r="BC273" s="26">
        <f>Model!BC905/Model!BC896</f>
        <v>0.13885021070186354</v>
      </c>
      <c r="BD273" s="26">
        <f>Model!BD905/Model!BD896</f>
        <v>0.13707730863965281</v>
      </c>
      <c r="BE273" s="26">
        <f>Model!BE905/Model!BE896</f>
        <v>0.13551744757781861</v>
      </c>
      <c r="BG273" s="23"/>
      <c r="BH273" s="23"/>
    </row>
    <row r="274" spans="1:75" s="70" customFormat="1" x14ac:dyDescent="0.2">
      <c r="A274" s="411"/>
      <c r="B274" s="914" t="s">
        <v>983</v>
      </c>
      <c r="C274" s="9"/>
      <c r="D274" s="32" t="s">
        <v>229</v>
      </c>
      <c r="E274" s="26">
        <f>Model!E912/Model!E896</f>
        <v>8.1339700433171541E-2</v>
      </c>
      <c r="F274" s="26">
        <f>Model!F912/Model!F896</f>
        <v>7.5047397088090537E-2</v>
      </c>
      <c r="G274" s="26">
        <f>Model!G912/Model!G896</f>
        <v>8.306917182743781E-2</v>
      </c>
      <c r="H274" s="26">
        <f>Model!H912/Model!H896</f>
        <v>7.8782859868560554E-2</v>
      </c>
      <c r="I274" s="26">
        <f>Model!I912/Model!I896</f>
        <v>7.6179630312286056E-2</v>
      </c>
      <c r="J274" s="26">
        <f>Model!J912/Model!J896</f>
        <v>7.6801733886166609E-2</v>
      </c>
      <c r="K274" s="26">
        <f>Model!K912/Model!K896</f>
        <v>7.0202595338983056E-2</v>
      </c>
      <c r="L274" s="26">
        <f>Model!L912/Model!L896</f>
        <v>7.6678493883387169E-2</v>
      </c>
      <c r="M274" s="26">
        <f>Model!M912/Model!M896</f>
        <v>7.4732307045657573E-2</v>
      </c>
      <c r="N274" s="26">
        <f>Model!N912/Model!N896</f>
        <v>7.3860662656958898E-2</v>
      </c>
      <c r="O274" s="26">
        <f>Model!O912/Model!O896</f>
        <v>8.0193137564466901E-2</v>
      </c>
      <c r="P274" s="26">
        <f>Model!P912/Model!P896</f>
        <v>8.5677513355998061E-2</v>
      </c>
      <c r="Q274" s="26">
        <f>Model!Q912/Model!Q896</f>
        <v>8.2267489264554031E-2</v>
      </c>
      <c r="R274" s="26">
        <f>Model!R912/Model!R896</f>
        <v>7.0159205895292592E-2</v>
      </c>
      <c r="S274" s="26">
        <f>Model!S912/Model!S896</f>
        <v>8.2592052905901506E-2</v>
      </c>
      <c r="T274" s="26">
        <f>Model!T912/Model!T896</f>
        <v>8.9503544104410443E-2</v>
      </c>
      <c r="U274" s="26">
        <f>Model!U912/Model!U896</f>
        <v>8.6807392242571821E-2</v>
      </c>
      <c r="V274" s="26">
        <f>Model!V912/Model!V896</f>
        <v>7.9893181073106764E-2</v>
      </c>
      <c r="W274" s="26">
        <f>Model!W912/Model!W896</f>
        <v>7.9557094186174307E-2</v>
      </c>
      <c r="X274" s="26">
        <f>Model!X912/Model!X896</f>
        <v>7.5950234895662661E-2</v>
      </c>
      <c r="Y274" s="26">
        <f>Model!Y912/Model!Y896</f>
        <v>7.3483575861331057E-2</v>
      </c>
      <c r="Z274" s="26">
        <f>Model!Z912/Model!Z896</f>
        <v>7.4543941235533484E-2</v>
      </c>
      <c r="AA274" s="26">
        <f>Model!AA912/Model!AA896</f>
        <v>7.5735979473215628E-2</v>
      </c>
      <c r="AB274" s="26">
        <f>Model!AB912/Model!AB896</f>
        <v>7.4714840878059033E-2</v>
      </c>
      <c r="AC274" s="26">
        <f>Model!AC912/Model!AC896</f>
        <v>6.8914390070748843E-2</v>
      </c>
      <c r="AD274" s="26">
        <f>Model!AD912/Model!AD896</f>
        <v>6.3991442024417283E-2</v>
      </c>
      <c r="AE274" s="26">
        <f>Model!AE912/Model!AE896</f>
        <v>6.1228100658761178E-2</v>
      </c>
      <c r="AF274" s="26">
        <f>Model!AF912/Model!AF896</f>
        <v>5.8216642622961556E-2</v>
      </c>
      <c r="AG274" s="26">
        <f>Model!AG912/Model!AG896</f>
        <v>5.6311832476521786E-2</v>
      </c>
      <c r="AH274" s="26">
        <f>Model!AH912/Model!AH896</f>
        <v>5.7225465599801829E-2</v>
      </c>
      <c r="AI274" s="26">
        <f>Model!AI912/Model!AI896</f>
        <v>6.0377850828762222E-2</v>
      </c>
      <c r="AJ274" s="26"/>
      <c r="AK274" s="26"/>
      <c r="AL274" s="26"/>
      <c r="AM274" s="26"/>
      <c r="AN274" s="26"/>
      <c r="AO274" s="26"/>
      <c r="AP274" s="26"/>
      <c r="AQ274" s="26"/>
      <c r="AS274" s="914" t="s">
        <v>983</v>
      </c>
      <c r="AU274" s="26">
        <f>Model!AU912/Model!AU896</f>
        <v>7.4771481282792734E-2</v>
      </c>
      <c r="AV274" s="26">
        <f>Model!AV912/Model!AV896</f>
        <v>7.5507051043713816E-2</v>
      </c>
      <c r="AW274" s="26">
        <f>Model!AW912/Model!AW896</f>
        <v>7.768102857444116E-2</v>
      </c>
      <c r="AX274" s="26">
        <f>Model!AX912/Model!AX896</f>
        <v>8.1127544376670552E-2</v>
      </c>
      <c r="AY274" s="26">
        <f>Model!AY912/Model!AY896</f>
        <v>8.6747087036448331E-2</v>
      </c>
      <c r="AZ274" s="26">
        <f>Model!AZ912/Model!AZ896</f>
        <v>8.1073209096483509E-2</v>
      </c>
      <c r="BA274" s="26">
        <f>Model!BA912/Model!BA896</f>
        <v>6.7950834299273066E-2</v>
      </c>
      <c r="BB274" s="26">
        <f>Model!BB912/Model!BB896</f>
        <v>5.8502072082136349E-2</v>
      </c>
      <c r="BC274" s="26">
        <f>Model!BC912/Model!BC896</f>
        <v>5.4979905596775784E-2</v>
      </c>
      <c r="BD274" s="26">
        <f>Model!BD912/Model!BD896</f>
        <v>5.5677214740161386E-2</v>
      </c>
      <c r="BE274" s="26">
        <f>Model!BE912/Model!BE896</f>
        <v>5.4116830856967127E-2</v>
      </c>
      <c r="BG274" s="23"/>
      <c r="BH274" s="23"/>
    </row>
    <row r="275" spans="1:75" s="70" customFormat="1" ht="11.25" customHeight="1" x14ac:dyDescent="0.2">
      <c r="A275" s="411"/>
      <c r="B275" s="15"/>
      <c r="C275" s="15"/>
      <c r="D275" s="15"/>
      <c r="E275" s="23"/>
      <c r="F275" s="23"/>
      <c r="G275" s="23"/>
      <c r="H275" s="23"/>
      <c r="I275" s="23"/>
      <c r="J275" s="23"/>
      <c r="K275" s="23"/>
      <c r="L275" s="23"/>
      <c r="M275" s="23"/>
      <c r="N275" s="23"/>
      <c r="O275" s="23"/>
      <c r="P275" s="23"/>
      <c r="Q275" s="23"/>
      <c r="R275" s="23"/>
      <c r="S275" s="23"/>
      <c r="T275" s="23"/>
      <c r="U275" s="23"/>
      <c r="V275" s="23"/>
      <c r="W275" s="23"/>
      <c r="X275" s="23"/>
      <c r="Y275" s="23"/>
      <c r="Z275" s="23"/>
      <c r="AA275" s="23"/>
      <c r="AB275" s="23"/>
      <c r="AC275" s="15"/>
      <c r="AD275" s="15"/>
      <c r="AE275" s="15"/>
      <c r="AF275" s="15"/>
      <c r="AG275" s="15"/>
      <c r="AH275" s="15"/>
      <c r="AI275" s="15"/>
      <c r="AJ275" s="15"/>
      <c r="AK275" s="15"/>
      <c r="AL275" s="15"/>
      <c r="AM275" s="15"/>
      <c r="AN275" s="15"/>
      <c r="AO275" s="15"/>
      <c r="AP275" s="15"/>
      <c r="AQ275" s="15"/>
      <c r="AS275" s="15"/>
      <c r="AT275" s="15"/>
      <c r="AW275" s="23"/>
      <c r="AX275" s="23"/>
      <c r="AY275" s="23"/>
      <c r="AZ275" s="23"/>
      <c r="BA275" s="23"/>
      <c r="BB275" s="23"/>
      <c r="BC275" s="15"/>
      <c r="BD275" s="15"/>
      <c r="BE275" s="15"/>
      <c r="BG275" s="15"/>
      <c r="BH275" s="15"/>
    </row>
    <row r="276" spans="1:75" s="70" customFormat="1" ht="11.25" customHeight="1" x14ac:dyDescent="0.2">
      <c r="A276" s="411"/>
      <c r="B276" s="15"/>
      <c r="C276" s="15"/>
      <c r="D276" s="15"/>
      <c r="E276" s="23"/>
      <c r="F276" s="23"/>
      <c r="G276" s="23"/>
      <c r="H276" s="23"/>
      <c r="I276" s="23"/>
      <c r="J276" s="23"/>
      <c r="K276" s="23"/>
      <c r="L276" s="23"/>
      <c r="M276" s="23"/>
      <c r="N276" s="23"/>
      <c r="O276" s="23"/>
      <c r="P276" s="23"/>
      <c r="Q276" s="23"/>
      <c r="R276" s="23"/>
      <c r="S276" s="23"/>
      <c r="T276" s="23"/>
      <c r="U276" s="23"/>
      <c r="V276" s="23"/>
      <c r="W276" s="23"/>
      <c r="X276" s="23"/>
      <c r="Y276" s="23"/>
      <c r="Z276" s="23"/>
      <c r="AA276" s="23"/>
      <c r="AB276" s="23"/>
      <c r="AC276" s="9"/>
      <c r="AD276" s="9"/>
      <c r="AE276" s="9"/>
      <c r="AF276" s="1707"/>
      <c r="AG276" s="1707"/>
      <c r="AH276" s="1707"/>
      <c r="AI276" s="1707"/>
      <c r="AJ276" s="1740"/>
      <c r="AK276" s="1740"/>
      <c r="AL276" s="1740"/>
      <c r="AM276" s="1740"/>
      <c r="AN276" s="1740"/>
      <c r="AO276" s="1740"/>
      <c r="AP276" s="1740"/>
      <c r="AQ276" s="1740"/>
      <c r="AS276" s="15"/>
      <c r="AT276" s="15"/>
      <c r="AW276" s="23"/>
      <c r="AX276" s="23"/>
      <c r="AY276" s="23"/>
      <c r="AZ276" s="23"/>
      <c r="BA276" s="23"/>
      <c r="BB276" s="23"/>
      <c r="BC276" s="9"/>
      <c r="BD276" s="9"/>
      <c r="BE276" s="1702"/>
      <c r="BG276" s="15"/>
      <c r="BH276" s="15"/>
    </row>
    <row r="277" spans="1:75" s="70" customFormat="1" x14ac:dyDescent="0.2">
      <c r="A277" s="411" t="s">
        <v>194</v>
      </c>
      <c r="B277" s="13" t="s">
        <v>848</v>
      </c>
      <c r="C277" s="13"/>
      <c r="D277" s="14"/>
      <c r="E277" s="14"/>
      <c r="F277" s="14"/>
      <c r="G277" s="14"/>
      <c r="H277" s="14"/>
      <c r="I277" s="14"/>
      <c r="J277" s="14"/>
      <c r="K277" s="14"/>
      <c r="L277" s="14"/>
      <c r="M277" s="14"/>
      <c r="N277" s="14"/>
      <c r="O277" s="14"/>
      <c r="P277" s="14"/>
      <c r="Q277" s="14"/>
      <c r="R277" s="14"/>
      <c r="S277" s="14"/>
      <c r="T277" s="14"/>
      <c r="U277" s="14"/>
      <c r="V277" s="14"/>
      <c r="W277" s="14"/>
      <c r="X277" s="14"/>
      <c r="Y277" s="14"/>
      <c r="Z277" s="14"/>
      <c r="AA277" s="14"/>
      <c r="AB277" s="14"/>
      <c r="AC277" s="14"/>
      <c r="AD277" s="14"/>
      <c r="AE277" s="14"/>
      <c r="AF277" s="14"/>
      <c r="AG277" s="14"/>
      <c r="AH277" s="14"/>
      <c r="AI277" s="14"/>
      <c r="AJ277" s="14"/>
      <c r="AK277" s="14"/>
      <c r="AL277" s="14"/>
      <c r="AM277" s="14"/>
      <c r="AN277" s="14"/>
      <c r="AO277" s="14"/>
      <c r="AP277" s="14"/>
      <c r="AQ277" s="14"/>
      <c r="AS277" s="13" t="s">
        <v>848</v>
      </c>
      <c r="AT277" s="13"/>
      <c r="AU277" s="14"/>
      <c r="AV277" s="14"/>
      <c r="AW277" s="14"/>
      <c r="AX277" s="14"/>
      <c r="AY277" s="14"/>
      <c r="AZ277" s="14"/>
      <c r="BA277" s="14"/>
      <c r="BB277" s="14"/>
      <c r="BC277" s="14"/>
      <c r="BD277" s="14"/>
      <c r="BE277" s="14"/>
      <c r="BF277" s="15"/>
      <c r="BG277" s="15"/>
      <c r="BH277" s="15"/>
      <c r="BI277" s="15"/>
      <c r="BJ277" s="15"/>
      <c r="BK277" s="15"/>
      <c r="BL277" s="15"/>
      <c r="BM277" s="15"/>
      <c r="BN277" s="15"/>
      <c r="BO277" s="15"/>
      <c r="BP277" s="15"/>
      <c r="BQ277" s="15"/>
      <c r="BR277" s="15"/>
      <c r="BS277" s="15"/>
      <c r="BT277" s="15"/>
      <c r="BU277" s="15"/>
      <c r="BV277" s="15"/>
      <c r="BW277" s="15"/>
    </row>
    <row r="278" spans="1:75" s="70" customFormat="1" x14ac:dyDescent="0.2">
      <c r="A278" s="411"/>
      <c r="B278" s="65" t="s">
        <v>389</v>
      </c>
      <c r="C278" s="9"/>
      <c r="D278" s="9"/>
      <c r="E278" s="9"/>
      <c r="F278" s="9"/>
      <c r="G278" s="9"/>
      <c r="H278" s="9"/>
      <c r="I278" s="9"/>
      <c r="J278" s="9"/>
      <c r="K278" s="9"/>
      <c r="L278" s="9"/>
      <c r="M278" s="9"/>
      <c r="N278" s="9"/>
      <c r="O278" s="9"/>
      <c r="P278" s="9"/>
      <c r="Q278" s="9"/>
      <c r="R278" s="9"/>
      <c r="S278" s="9"/>
      <c r="T278" s="9"/>
      <c r="U278" s="9"/>
      <c r="V278" s="9"/>
      <c r="W278" s="9"/>
      <c r="X278" s="9"/>
      <c r="Y278" s="1215"/>
      <c r="Z278" s="1688"/>
      <c r="AA278" s="1742"/>
      <c r="AB278" s="1785"/>
      <c r="AC278" s="9"/>
      <c r="AD278" s="9"/>
      <c r="AE278" s="9"/>
      <c r="AF278" s="1707"/>
      <c r="AG278" s="1707"/>
      <c r="AH278" s="1707"/>
      <c r="AI278" s="1707"/>
      <c r="AJ278" s="1740"/>
      <c r="AK278" s="1740"/>
      <c r="AL278" s="1740"/>
      <c r="AM278" s="1740"/>
      <c r="AN278" s="1740"/>
      <c r="AO278" s="1740"/>
      <c r="AP278" s="1740"/>
      <c r="AQ278" s="1740"/>
    </row>
    <row r="279" spans="1:75" s="70" customFormat="1" x14ac:dyDescent="0.2">
      <c r="A279" s="411"/>
      <c r="B279" s="9" t="s">
        <v>623</v>
      </c>
      <c r="C279" s="9"/>
      <c r="D279" s="300">
        <f>Model!D754</f>
        <v>3.2087072291688419E-4</v>
      </c>
      <c r="E279" s="300">
        <f>Model!E754</f>
        <v>5.1657858455964934E-4</v>
      </c>
      <c r="F279" s="300">
        <f>Model!F754</f>
        <v>4.0077163993857919E-4</v>
      </c>
      <c r="G279" s="300">
        <f>Model!G754</f>
        <v>3.1756861773323827E-4</v>
      </c>
      <c r="H279" s="300">
        <f>Model!H754</f>
        <v>3.1128159578706498E-4</v>
      </c>
      <c r="I279" s="300">
        <f>Model!I754</f>
        <v>3.4187875880293281E-4</v>
      </c>
      <c r="J279" s="300">
        <f>Model!J754</f>
        <v>3.0191839710520438E-4</v>
      </c>
      <c r="K279" s="300">
        <f>Model!K754</f>
        <v>3.0202756633712483E-4</v>
      </c>
      <c r="L279" s="300">
        <f>Model!L754</f>
        <v>3.1180447563557021E-4</v>
      </c>
      <c r="M279" s="300">
        <f>Model!M754</f>
        <v>2.8758146527200671E-4</v>
      </c>
      <c r="N279" s="300">
        <f>Model!N754</f>
        <v>2.9354012740238206E-4</v>
      </c>
      <c r="O279" s="300">
        <f>Model!O754</f>
        <v>2.9629830585453502E-4</v>
      </c>
      <c r="P279" s="300">
        <f>Model!P754</f>
        <v>3.0691467587431207E-4</v>
      </c>
      <c r="Q279" s="300">
        <f>Model!Q754</f>
        <v>3.1386514920467366E-4</v>
      </c>
      <c r="R279" s="300">
        <f>Model!R754</f>
        <v>2.8724916038305173E-4</v>
      </c>
      <c r="S279" s="300">
        <f>Model!S754</f>
        <v>3.2286138333497891E-4</v>
      </c>
      <c r="T279" s="300">
        <f>Model!T754</f>
        <v>3.0628875497903826E-4</v>
      </c>
      <c r="U279" s="300">
        <f>Model!U754</f>
        <v>2.8993824997240107E-4</v>
      </c>
      <c r="V279" s="300">
        <f>Model!V754</f>
        <v>2.8151549200182668E-4</v>
      </c>
      <c r="W279" s="300">
        <f>Model!W754</f>
        <v>2.7992789098680112E-4</v>
      </c>
      <c r="X279" s="300">
        <f>Model!X754</f>
        <v>3.0695981380164341E-4</v>
      </c>
      <c r="Y279" s="300">
        <f>Model!Y754</f>
        <v>2.9431776299835102E-4</v>
      </c>
      <c r="Z279" s="300">
        <f>Model!Z754</f>
        <v>2.8926033680302265E-4</v>
      </c>
      <c r="AA279" s="300">
        <f>Model!AA754</f>
        <v>2.9655879069825068E-4</v>
      </c>
      <c r="AB279" s="300">
        <f>Model!AB754</f>
        <v>1.50185249905427E-4</v>
      </c>
      <c r="AC279" s="1778">
        <f t="shared" ref="AC279:AE279" si="5">Y279*21/35</f>
        <v>1.7659065779901062E-4</v>
      </c>
      <c r="AD279" s="1778">
        <f t="shared" si="5"/>
        <v>1.7355620208181358E-4</v>
      </c>
      <c r="AE279" s="1778">
        <f t="shared" si="5"/>
        <v>1.779352744189504E-4</v>
      </c>
      <c r="AF279" s="1778">
        <f t="shared" ref="AF279:AI279" si="6">AB279</f>
        <v>1.50185249905427E-4</v>
      </c>
      <c r="AG279" s="1778">
        <f t="shared" si="6"/>
        <v>1.7659065779901062E-4</v>
      </c>
      <c r="AH279" s="1778">
        <f t="shared" si="6"/>
        <v>1.7355620208181358E-4</v>
      </c>
      <c r="AI279" s="1778">
        <f t="shared" si="6"/>
        <v>1.779352744189504E-4</v>
      </c>
      <c r="AJ279" s="301"/>
      <c r="AK279" s="301"/>
      <c r="AL279" s="301"/>
      <c r="AM279" s="301"/>
      <c r="AN279" s="301"/>
      <c r="AO279" s="301"/>
      <c r="AP279" s="301"/>
      <c r="AQ279" s="301"/>
      <c r="AS279" s="9" t="s">
        <v>623</v>
      </c>
      <c r="AU279" s="300">
        <f>Model!AU754</f>
        <v>3.8895945738962566E-4</v>
      </c>
      <c r="AV279" s="300">
        <f>Model!AV754</f>
        <v>3.1426097926676763E-4</v>
      </c>
      <c r="AW279" s="300">
        <f>Model!AW754</f>
        <v>2.9721454060843163E-4</v>
      </c>
      <c r="AX279" s="300">
        <f>Model!AX754</f>
        <v>3.076282144891021E-4</v>
      </c>
      <c r="AY279" s="300">
        <f>Model!AY754</f>
        <v>2.8926320551633089E-4</v>
      </c>
      <c r="AZ279" s="300">
        <f>Model!AZ754</f>
        <v>2.9668957835984498E-4</v>
      </c>
      <c r="BA279" s="300">
        <f>Model!BA754</f>
        <v>1.6970746370465565E-4</v>
      </c>
      <c r="BB279" s="300">
        <f>Model!BB754</f>
        <v>1.6976187297235943E-4</v>
      </c>
      <c r="BC279" s="1778">
        <f>BB279</f>
        <v>1.6976187297235943E-4</v>
      </c>
      <c r="BD279" s="1778">
        <f t="shared" ref="BD279:BE279" si="7">BC279</f>
        <v>1.6976187297235943E-4</v>
      </c>
      <c r="BE279" s="1778">
        <f t="shared" si="7"/>
        <v>1.6976187297235943E-4</v>
      </c>
      <c r="BG279" s="1726"/>
      <c r="BH279" s="1710"/>
    </row>
    <row r="280" spans="1:75" s="70" customFormat="1" x14ac:dyDescent="0.2">
      <c r="A280" s="411"/>
      <c r="B280" s="1097"/>
      <c r="C280" s="1097"/>
      <c r="D280" s="300"/>
      <c r="E280" s="300"/>
      <c r="F280" s="300"/>
      <c r="G280" s="300"/>
      <c r="H280" s="300"/>
      <c r="I280" s="300"/>
      <c r="J280" s="300"/>
      <c r="K280" s="300"/>
      <c r="L280" s="300"/>
      <c r="M280" s="300"/>
      <c r="N280" s="300"/>
      <c r="O280" s="300"/>
      <c r="P280" s="300"/>
      <c r="Q280" s="300"/>
      <c r="R280" s="300"/>
      <c r="S280" s="300"/>
      <c r="T280" s="300"/>
      <c r="U280" s="300"/>
      <c r="V280" s="300"/>
      <c r="W280" s="300"/>
      <c r="X280" s="300"/>
      <c r="Y280" s="300"/>
      <c r="Z280" s="300"/>
      <c r="AA280" s="300"/>
      <c r="AB280" s="300"/>
      <c r="AC280" s="300"/>
      <c r="AD280" s="300"/>
      <c r="AE280" s="300"/>
      <c r="AF280" s="300"/>
      <c r="AG280" s="300"/>
      <c r="AH280" s="300"/>
      <c r="AI280" s="300"/>
      <c r="AJ280" s="300"/>
      <c r="AK280" s="300"/>
      <c r="AL280" s="300"/>
      <c r="AM280" s="300"/>
      <c r="AN280" s="300"/>
      <c r="AO280" s="300"/>
      <c r="AP280" s="300"/>
      <c r="AQ280" s="300"/>
      <c r="AS280" s="1097"/>
      <c r="AU280" s="300"/>
      <c r="AV280" s="300"/>
      <c r="AW280" s="300"/>
      <c r="AX280" s="300"/>
      <c r="AY280" s="300"/>
      <c r="AZ280" s="300"/>
      <c r="BA280" s="300"/>
      <c r="BB280" s="300"/>
      <c r="BC280" s="300"/>
      <c r="BD280" s="300"/>
      <c r="BE280" s="300"/>
      <c r="BG280" s="1727"/>
      <c r="BH280" s="1727"/>
    </row>
    <row r="281" spans="1:75" x14ac:dyDescent="0.2">
      <c r="B281" s="9" t="s">
        <v>1155</v>
      </c>
      <c r="Y281" s="1215"/>
      <c r="Z281" s="1688"/>
      <c r="AA281" s="1742"/>
      <c r="AB281" s="1785"/>
      <c r="AR281" s="70"/>
      <c r="AS281" s="1097" t="s">
        <v>1155</v>
      </c>
      <c r="AT281" s="1097"/>
      <c r="BB281" s="1707"/>
    </row>
    <row r="282" spans="1:75" s="1097" customFormat="1" x14ac:dyDescent="0.2">
      <c r="A282" s="411"/>
      <c r="C282" s="1097" t="s">
        <v>1156</v>
      </c>
      <c r="T282" s="314">
        <f>Model!T1075</f>
        <v>2.920295978144679E-2</v>
      </c>
      <c r="U282" s="314">
        <f>Model!U1075</f>
        <v>2.8618165873362824E-2</v>
      </c>
      <c r="V282" s="314">
        <f>Model!V1075</f>
        <v>2.8628149989273478E-2</v>
      </c>
      <c r="W282" s="314">
        <f>Model!W1075</f>
        <v>2.793085814934675E-2</v>
      </c>
      <c r="X282" s="314">
        <f>Model!X1075</f>
        <v>2.7646348108086229E-2</v>
      </c>
      <c r="Y282" s="314">
        <f>Model!Y1075</f>
        <v>2.7453574941977331E-2</v>
      </c>
      <c r="Z282" s="314">
        <f>Model!Z1075</f>
        <v>2.741623582479381E-2</v>
      </c>
      <c r="AA282" s="314">
        <f>Model!AA1075</f>
        <v>2.6507258784208485E-2</v>
      </c>
      <c r="AB282" s="314">
        <f>Model!AB1075</f>
        <v>2.6366897936521527E-2</v>
      </c>
      <c r="AC282" s="314">
        <f>Model!AC1075</f>
        <v>2.6504270143807476E-2</v>
      </c>
      <c r="AD282" s="314">
        <f>Model!AD1075</f>
        <v>2.6976647531188856E-2</v>
      </c>
      <c r="AE282" s="314">
        <f>Model!AE1075</f>
        <v>2.7505173411769803E-2</v>
      </c>
      <c r="AF282" s="314">
        <f>Model!AF1075</f>
        <v>2.76137605636942E-2</v>
      </c>
      <c r="AG282" s="314">
        <f>Model!AG1075</f>
        <v>2.7878678964346846E-2</v>
      </c>
      <c r="AH282" s="314">
        <f>Model!AH1075</f>
        <v>2.8370106514149743E-2</v>
      </c>
      <c r="AI282" s="314">
        <f>Model!AI1075</f>
        <v>2.883686139312585E-2</v>
      </c>
      <c r="AJ282" s="314"/>
      <c r="AK282" s="314"/>
      <c r="AL282" s="314"/>
      <c r="AM282" s="314"/>
      <c r="AN282" s="314"/>
      <c r="AO282" s="314"/>
      <c r="AP282" s="314"/>
      <c r="AQ282" s="314"/>
      <c r="AR282" s="70"/>
      <c r="AT282" s="1097" t="s">
        <v>1156</v>
      </c>
      <c r="AY282" s="314">
        <f>Model!AY1075</f>
        <v>2.8590624640675959E-2</v>
      </c>
      <c r="AZ282" s="314">
        <f>Model!AZ1075</f>
        <v>2.725057887366826E-2</v>
      </c>
      <c r="BA282" s="314">
        <f>Model!BA1075</f>
        <v>2.6845353044412511E-2</v>
      </c>
      <c r="BB282" s="314">
        <f>Model!BB1075</f>
        <v>2.8186531909965604E-2</v>
      </c>
      <c r="BC282" s="314">
        <f>Model!BC1075</f>
        <v>2.9211172906330306E-2</v>
      </c>
      <c r="BD282" s="314">
        <f>Model!BD1075</f>
        <v>2.9903763252624723E-2</v>
      </c>
      <c r="BE282" s="314">
        <f>Model!BE1075</f>
        <v>3.0491246511116343E-2</v>
      </c>
      <c r="BG282" s="1728"/>
      <c r="BH282" s="1728"/>
    </row>
    <row r="283" spans="1:75" s="1097" customFormat="1" x14ac:dyDescent="0.2">
      <c r="A283" s="411"/>
      <c r="C283" s="1125" t="s">
        <v>1149</v>
      </c>
      <c r="T283" s="314">
        <f>Model!T1076</f>
        <v>2.4322930542453037E-2</v>
      </c>
      <c r="U283" s="314">
        <f>Model!U1076</f>
        <v>2.3749724476000159E-2</v>
      </c>
      <c r="V283" s="314">
        <f>Model!V1076</f>
        <v>2.4570869696650663E-2</v>
      </c>
      <c r="W283" s="314">
        <f>Model!W1076</f>
        <v>2.4598973075211812E-2</v>
      </c>
      <c r="X283" s="314">
        <f>Model!X1076</f>
        <v>2.4781389845937554E-2</v>
      </c>
      <c r="Y283" s="314">
        <f>Model!Y1076</f>
        <v>2.4486272905190679E-2</v>
      </c>
      <c r="Z283" s="314">
        <f>Model!Z1076</f>
        <v>2.4669438480192749E-2</v>
      </c>
      <c r="AA283" s="314">
        <f>Model!AA1076</f>
        <v>2.4581943510222186E-2</v>
      </c>
      <c r="AB283" s="314">
        <f>Model!AB1076</f>
        <v>2.506216357796813E-2</v>
      </c>
      <c r="AC283" s="314">
        <f>Model!AC1076</f>
        <v>2.4904270143807479E-2</v>
      </c>
      <c r="AD283" s="314">
        <f>Model!AD1076</f>
        <v>2.527664753118886E-2</v>
      </c>
      <c r="AE283" s="314">
        <f>Model!AE1076</f>
        <v>2.5605173411769808E-2</v>
      </c>
      <c r="AF283" s="314">
        <f>Model!AF1076</f>
        <v>2.5713760563694198E-2</v>
      </c>
      <c r="AG283" s="314">
        <f>Model!AG1076</f>
        <v>2.5978678964346844E-2</v>
      </c>
      <c r="AH283" s="314">
        <f>Model!AH1076</f>
        <v>2.647010651414974E-2</v>
      </c>
      <c r="AI283" s="314">
        <f>Model!AI1076</f>
        <v>2.6936861393125847E-2</v>
      </c>
      <c r="AJ283" s="314"/>
      <c r="AK283" s="314"/>
      <c r="AL283" s="314"/>
      <c r="AM283" s="314"/>
      <c r="AN283" s="314"/>
      <c r="AO283" s="314"/>
      <c r="AP283" s="314"/>
      <c r="AQ283" s="314"/>
      <c r="AR283" s="70"/>
      <c r="AT283" s="1125" t="s">
        <v>1149</v>
      </c>
      <c r="AY283" s="314">
        <f>Model!AY1076</f>
        <v>2.431442345717532E-2</v>
      </c>
      <c r="AZ283" s="314">
        <f>Model!AZ1076</f>
        <v>2.463241297753713E-2</v>
      </c>
      <c r="BA283" s="314">
        <f>Model!BA1076</f>
        <v>2.5216131448239327E-2</v>
      </c>
      <c r="BB283" s="314">
        <f>Model!BB1076</f>
        <v>2.6286356844917418E-2</v>
      </c>
      <c r="BC283" s="314">
        <f>Model!BC1076</f>
        <v>2.7311172906330308E-2</v>
      </c>
      <c r="BD283" s="314">
        <f>Model!BD1076</f>
        <v>2.8003763252624724E-2</v>
      </c>
      <c r="BE283" s="314">
        <f>Model!BE1076</f>
        <v>2.8591246511116341E-2</v>
      </c>
      <c r="BG283" s="1728"/>
      <c r="BH283" s="1728"/>
    </row>
    <row r="284" spans="1:75" s="1097" customFormat="1" x14ac:dyDescent="0.2">
      <c r="A284" s="411"/>
      <c r="C284" s="1125" t="s">
        <v>1150</v>
      </c>
      <c r="T284" s="314">
        <f>Model!T1077</f>
        <v>3.1658417531446811E-3</v>
      </c>
      <c r="U284" s="314">
        <f>Model!U1077</f>
        <v>3.2019267605647773E-3</v>
      </c>
      <c r="V284" s="314">
        <f>Model!V1077</f>
        <v>2.7657662372109286E-3</v>
      </c>
      <c r="W284" s="314">
        <f>Model!W1077</f>
        <v>2.3286036949344518E-3</v>
      </c>
      <c r="X284" s="314">
        <f>Model!X1077</f>
        <v>1.8467500992944404E-3</v>
      </c>
      <c r="Y284" s="314">
        <f>Model!Y1077</f>
        <v>2.1711966122829173E-3</v>
      </c>
      <c r="Z284" s="314">
        <f>Model!Z1077</f>
        <v>1.7402654409287544E-3</v>
      </c>
      <c r="AA284" s="314">
        <f>Model!AA1077</f>
        <v>1.1584327761650418E-3</v>
      </c>
      <c r="AB284" s="314">
        <f>Model!AB1077</f>
        <v>6.1012757774079717E-4</v>
      </c>
      <c r="AC284" s="1127">
        <v>1E-3</v>
      </c>
      <c r="AD284" s="1127">
        <v>1.1999999999999999E-3</v>
      </c>
      <c r="AE284" s="1127">
        <v>1.5E-3</v>
      </c>
      <c r="AF284" s="1127">
        <v>1.5E-3</v>
      </c>
      <c r="AG284" s="1127">
        <v>1.5E-3</v>
      </c>
      <c r="AH284" s="1127">
        <v>1.5E-3</v>
      </c>
      <c r="AI284" s="1127">
        <v>1.5E-3</v>
      </c>
      <c r="AJ284" s="1127"/>
      <c r="AK284" s="1127"/>
      <c r="AL284" s="1127"/>
      <c r="AM284" s="1127"/>
      <c r="AN284" s="1127"/>
      <c r="AO284" s="1127"/>
      <c r="AP284" s="1127"/>
      <c r="AQ284" s="1127"/>
      <c r="AR284" s="70"/>
      <c r="AT284" s="1125" t="s">
        <v>1150</v>
      </c>
      <c r="AY284" s="314">
        <f>Model!AY1077</f>
        <v>2.8612586055411474E-3</v>
      </c>
      <c r="AZ284" s="314">
        <f>Model!AZ1077</f>
        <v>1.7227136807990999E-3</v>
      </c>
      <c r="BA284" s="314">
        <f>Model!BA1077</f>
        <v>1.0820815461525968E-3</v>
      </c>
      <c r="BB284" s="314">
        <f>Model!BB1077</f>
        <v>1.5001382092485697E-3</v>
      </c>
      <c r="BC284" s="1127">
        <v>1.5E-3</v>
      </c>
      <c r="BD284" s="1127">
        <v>1.5E-3</v>
      </c>
      <c r="BE284" s="1127">
        <v>1.5E-3</v>
      </c>
      <c r="BG284" s="1729"/>
      <c r="BH284" s="1710"/>
    </row>
    <row r="285" spans="1:75" s="1097" customFormat="1" x14ac:dyDescent="0.2">
      <c r="A285" s="411"/>
      <c r="C285" s="1125" t="s">
        <v>1151</v>
      </c>
      <c r="T285" s="314">
        <f>Model!T1078</f>
        <v>1.595790151991628E-3</v>
      </c>
      <c r="U285" s="314">
        <f>Model!U1078</f>
        <v>1.4118732172569098E-3</v>
      </c>
      <c r="V285" s="314">
        <f>Model!V1078</f>
        <v>1.1853283873761123E-3</v>
      </c>
      <c r="W285" s="314">
        <f>Model!W1078</f>
        <v>1.0156675690671543E-3</v>
      </c>
      <c r="X285" s="314">
        <f>Model!X1078</f>
        <v>1.0231993793388115E-3</v>
      </c>
      <c r="Y285" s="314">
        <f>Model!Y1078</f>
        <v>6.9960779729116222E-4</v>
      </c>
      <c r="Z285" s="314">
        <f>Model!Z1078</f>
        <v>7.2903011714582958E-4</v>
      </c>
      <c r="AA285" s="314">
        <f>Model!AA1078</f>
        <v>6.4872235465242333E-4</v>
      </c>
      <c r="AB285" s="314">
        <f>Model!AB1078</f>
        <v>6.1012757774079717E-4</v>
      </c>
      <c r="AC285" s="1127">
        <v>5.0000000000000001E-4</v>
      </c>
      <c r="AD285" s="1127">
        <v>4.0000000000000002E-4</v>
      </c>
      <c r="AE285" s="1127">
        <v>2.9999999999999997E-4</v>
      </c>
      <c r="AF285" s="1127">
        <v>2.9999999999999997E-4</v>
      </c>
      <c r="AG285" s="1127">
        <v>2.9999999999999997E-4</v>
      </c>
      <c r="AH285" s="1127">
        <v>2.9999999999999997E-4</v>
      </c>
      <c r="AI285" s="1127">
        <v>2.9999999999999997E-4</v>
      </c>
      <c r="AJ285" s="1127"/>
      <c r="AK285" s="1127"/>
      <c r="AL285" s="1127"/>
      <c r="AM285" s="1127"/>
      <c r="AN285" s="1127"/>
      <c r="AO285" s="1127"/>
      <c r="AP285" s="1127"/>
      <c r="AQ285" s="1127"/>
      <c r="AR285" s="70"/>
      <c r="AT285" s="1125" t="s">
        <v>1151</v>
      </c>
      <c r="AY285" s="314">
        <f>Model!AY1078</f>
        <v>1.2988608143574944E-3</v>
      </c>
      <c r="AZ285" s="314">
        <f>Model!AZ1078</f>
        <v>7.7163216952459679E-4</v>
      </c>
      <c r="BA285" s="314">
        <f>Model!BA1078</f>
        <v>4.5093648561502772E-4</v>
      </c>
      <c r="BB285" s="314">
        <f>Model!BB1078</f>
        <v>3.0002764184971391E-4</v>
      </c>
      <c r="BC285" s="1127">
        <v>2.9999999999999997E-4</v>
      </c>
      <c r="BD285" s="1127">
        <v>2.9999999999999997E-4</v>
      </c>
      <c r="BE285" s="1127">
        <v>2.9999999999999997E-4</v>
      </c>
      <c r="BG285" s="1729"/>
      <c r="BH285" s="1710"/>
    </row>
    <row r="286" spans="1:75" s="1097" customFormat="1" x14ac:dyDescent="0.2">
      <c r="A286" s="411"/>
      <c r="C286" s="1125" t="s">
        <v>1152</v>
      </c>
      <c r="T286" s="314">
        <f>Model!T1079</f>
        <v>1.1839733385744336E-4</v>
      </c>
      <c r="U286" s="314">
        <f>Model!U1079</f>
        <v>2.546414195409784E-4</v>
      </c>
      <c r="V286" s="314">
        <f>Model!V1079</f>
        <v>1.0618566803577672E-4</v>
      </c>
      <c r="W286" s="314">
        <f>Model!W1079</f>
        <v>-1.2386189866672616E-5</v>
      </c>
      <c r="X286" s="314">
        <f>Model!X1079</f>
        <v>-4.9912164845795677E-6</v>
      </c>
      <c r="Y286" s="314">
        <f>Model!Y1079</f>
        <v>9.6497627212574109E-5</v>
      </c>
      <c r="Z286" s="314">
        <f>Model!Z1079</f>
        <v>2.7750178652647707E-4</v>
      </c>
      <c r="AA286" s="314">
        <f>Model!AA1079</f>
        <v>1.1816014316883427E-4</v>
      </c>
      <c r="AB286" s="314">
        <f>Model!AB1079</f>
        <v>8.4479203071802689E-5</v>
      </c>
      <c r="AC286" s="1127">
        <v>1E-4</v>
      </c>
      <c r="AD286" s="1127">
        <v>1E-4</v>
      </c>
      <c r="AE286" s="1127">
        <v>1E-4</v>
      </c>
      <c r="AF286" s="1127">
        <v>1E-4</v>
      </c>
      <c r="AG286" s="1127">
        <v>1E-4</v>
      </c>
      <c r="AH286" s="1127">
        <v>1E-4</v>
      </c>
      <c r="AI286" s="1127">
        <v>1E-4</v>
      </c>
      <c r="AJ286" s="1127"/>
      <c r="AK286" s="1127"/>
      <c r="AL286" s="1127"/>
      <c r="AM286" s="1127"/>
      <c r="AN286" s="1127"/>
      <c r="AO286" s="1127"/>
      <c r="AP286" s="1127"/>
      <c r="AQ286" s="1127"/>
      <c r="AR286" s="70"/>
      <c r="AT286" s="1125" t="s">
        <v>1152</v>
      </c>
      <c r="AY286" s="314">
        <f>Model!AY1079</f>
        <v>1.160817636019983E-4</v>
      </c>
      <c r="AZ286" s="314">
        <f>Model!AZ1079</f>
        <v>1.2382004580743531E-4</v>
      </c>
      <c r="BA286" s="314">
        <f>Model!BA1079</f>
        <v>9.6203564405565809E-5</v>
      </c>
      <c r="BB286" s="314">
        <f>Model!BB1079</f>
        <v>1.0000921394990464E-4</v>
      </c>
      <c r="BC286" s="1127">
        <v>1E-4</v>
      </c>
      <c r="BD286" s="1127">
        <v>1E-4</v>
      </c>
      <c r="BE286" s="1127">
        <v>1E-4</v>
      </c>
      <c r="BG286" s="1729"/>
      <c r="BH286" s="1710"/>
    </row>
    <row r="287" spans="1:75" s="1097" customFormat="1" x14ac:dyDescent="0.2">
      <c r="A287" s="411"/>
      <c r="C287" s="1125"/>
      <c r="T287" s="314"/>
      <c r="Y287" s="1215"/>
      <c r="Z287" s="1688"/>
      <c r="AA287" s="1742"/>
      <c r="AB287" s="1785"/>
      <c r="AF287" s="1707"/>
      <c r="AG287" s="1707"/>
      <c r="AH287" s="1707"/>
      <c r="AI287" s="1707"/>
      <c r="AJ287" s="1740"/>
      <c r="AK287" s="1740"/>
      <c r="AL287" s="1740"/>
      <c r="AM287" s="1740"/>
      <c r="AN287" s="1740"/>
      <c r="AO287" s="1740"/>
      <c r="AP287" s="1740"/>
      <c r="AQ287" s="1740"/>
      <c r="AR287" s="70"/>
      <c r="BB287" s="1707"/>
      <c r="BE287" s="1702"/>
      <c r="BG287" s="15"/>
      <c r="BH287" s="15"/>
    </row>
    <row r="288" spans="1:75" s="160" customFormat="1" x14ac:dyDescent="0.2">
      <c r="A288" s="411"/>
      <c r="B288" s="59" t="s">
        <v>626</v>
      </c>
      <c r="C288" s="59"/>
      <c r="D288" s="306">
        <f>Model!D9</f>
        <v>3508</v>
      </c>
      <c r="E288" s="306">
        <f>Model!E9</f>
        <v>3082</v>
      </c>
      <c r="F288" s="306">
        <f>Model!F9</f>
        <v>3311</v>
      </c>
      <c r="G288" s="306">
        <f>Model!G9</f>
        <v>1594</v>
      </c>
      <c r="H288" s="306">
        <f>Model!H9</f>
        <v>4094</v>
      </c>
      <c r="I288" s="306">
        <f>Model!I9</f>
        <v>3901</v>
      </c>
      <c r="J288" s="306">
        <f>Model!J9</f>
        <v>3233</v>
      </c>
      <c r="K288" s="306">
        <f>Model!K9</f>
        <v>2425</v>
      </c>
      <c r="L288" s="306">
        <f>Model!L9</f>
        <v>4158</v>
      </c>
      <c r="M288" s="306">
        <f>Model!M9</f>
        <v>273</v>
      </c>
      <c r="N288" s="306">
        <f>Model!N9</f>
        <v>3144</v>
      </c>
      <c r="O288" s="306">
        <f>Model!O9</f>
        <v>379</v>
      </c>
      <c r="P288" s="306">
        <f>Model!P9</f>
        <v>4864</v>
      </c>
      <c r="Q288" s="306">
        <f>Model!Q9</f>
        <v>4662</v>
      </c>
      <c r="R288" s="306">
        <f>Model!R9</f>
        <v>4179</v>
      </c>
      <c r="S288" s="306">
        <f>Model!S9</f>
        <v>3519</v>
      </c>
      <c r="T288" s="306">
        <f>Model!T9</f>
        <v>3508</v>
      </c>
      <c r="U288" s="306">
        <f>Model!U9</f>
        <v>4047</v>
      </c>
      <c r="V288" s="306">
        <f>Model!V9</f>
        <v>3887</v>
      </c>
      <c r="W288" s="306">
        <f>Model!W9</f>
        <v>3591</v>
      </c>
      <c r="X288" s="306">
        <f>Model!X9</f>
        <v>4118</v>
      </c>
      <c r="Y288" s="306">
        <f>Model!Y9</f>
        <v>3883</v>
      </c>
      <c r="Z288" s="306">
        <f>Model!Z9</f>
        <v>4137</v>
      </c>
      <c r="AA288" s="306">
        <f>Model!AA9</f>
        <v>3829</v>
      </c>
      <c r="AB288" s="306">
        <f>Model!AB9</f>
        <v>4649</v>
      </c>
      <c r="AC288" s="306">
        <f>Model!AC9</f>
        <v>4467.0525558026438</v>
      </c>
      <c r="AD288" s="306">
        <f>Model!AD9</f>
        <v>4550.8924405375792</v>
      </c>
      <c r="AE288" s="306">
        <f>Model!AE9</f>
        <v>4372.2385801382998</v>
      </c>
      <c r="AF288" s="306">
        <f>Model!AF9</f>
        <v>4943.6346358956571</v>
      </c>
      <c r="AG288" s="306">
        <f>Model!AG9</f>
        <v>5074.6575558654513</v>
      </c>
      <c r="AH288" s="306">
        <f>Model!AH9</f>
        <v>4995.4284213712617</v>
      </c>
      <c r="AI288" s="306">
        <f>Model!AI9</f>
        <v>4743.8843676904662</v>
      </c>
      <c r="AJ288" s="306"/>
      <c r="AK288" s="306"/>
      <c r="AL288" s="306"/>
      <c r="AM288" s="306"/>
      <c r="AN288" s="306"/>
      <c r="AO288" s="306"/>
      <c r="AP288" s="306"/>
      <c r="AQ288" s="306"/>
      <c r="AR288" s="70"/>
      <c r="AS288" s="59" t="s">
        <v>626</v>
      </c>
      <c r="AT288" s="59"/>
      <c r="AU288" s="306">
        <f>Model!AU9</f>
        <v>11495</v>
      </c>
      <c r="AV288" s="306">
        <f>Model!AV9</f>
        <v>13653</v>
      </c>
      <c r="AW288" s="306">
        <f>Model!AW9</f>
        <v>7954</v>
      </c>
      <c r="AX288" s="306">
        <f>Model!AX9</f>
        <v>17224</v>
      </c>
      <c r="AY288" s="306">
        <f>Model!AY9</f>
        <v>15033</v>
      </c>
      <c r="AZ288" s="306">
        <f>Model!AZ9</f>
        <v>15967</v>
      </c>
      <c r="BA288" s="306">
        <f>Model!BA9</f>
        <v>18039.183576478525</v>
      </c>
      <c r="BB288" s="306">
        <f>Model!BB9</f>
        <v>19757.604980822834</v>
      </c>
      <c r="BC288" s="306">
        <f>Model!BC9</f>
        <v>21263.842032634446</v>
      </c>
      <c r="BD288" s="306">
        <f>Model!BD9</f>
        <v>22436.902116171961</v>
      </c>
      <c r="BE288" s="306">
        <f>Model!BE9</f>
        <v>22996.411588841434</v>
      </c>
      <c r="BG288" s="306"/>
      <c r="BH288" s="306"/>
    </row>
    <row r="289" spans="1:60" s="70" customFormat="1" x14ac:dyDescent="0.2">
      <c r="A289" s="411"/>
      <c r="B289" s="10"/>
      <c r="C289" s="9" t="s">
        <v>397</v>
      </c>
      <c r="D289" s="846">
        <f>Model!D11</f>
        <v>4</v>
      </c>
      <c r="E289" s="846">
        <f>Model!E11</f>
        <v>9</v>
      </c>
      <c r="F289" s="846">
        <f>Model!F11</f>
        <v>4</v>
      </c>
      <c r="G289" s="846">
        <f>Model!G11</f>
        <v>9</v>
      </c>
      <c r="H289" s="846">
        <f>Model!H11</f>
        <v>4</v>
      </c>
      <c r="I289" s="846">
        <f>Model!I11</f>
        <v>9</v>
      </c>
      <c r="J289" s="846">
        <f>Model!J11</f>
        <v>110</v>
      </c>
      <c r="K289" s="846">
        <f>Model!K11</f>
        <v>71</v>
      </c>
      <c r="L289" s="846">
        <f>Model!L11</f>
        <v>124</v>
      </c>
      <c r="M289" s="846">
        <f>Model!M11</f>
        <v>100</v>
      </c>
      <c r="N289" s="846">
        <f>Model!N11</f>
        <v>128</v>
      </c>
      <c r="O289" s="846">
        <f>Model!O11</f>
        <v>159</v>
      </c>
      <c r="P289" s="846">
        <f>Model!P11</f>
        <v>128</v>
      </c>
      <c r="Q289" s="846">
        <f>Model!Q11</f>
        <v>202</v>
      </c>
      <c r="R289" s="846">
        <f>Model!R11</f>
        <v>174</v>
      </c>
      <c r="S289" s="846">
        <f>Model!S11</f>
        <v>265</v>
      </c>
      <c r="T289" s="846">
        <f>Model!T11</f>
        <v>210</v>
      </c>
      <c r="U289" s="846">
        <f>Model!U11</f>
        <v>322</v>
      </c>
      <c r="V289" s="846">
        <f>Model!V11</f>
        <v>225</v>
      </c>
      <c r="W289" s="846">
        <f>Model!W11</f>
        <v>320</v>
      </c>
      <c r="X289" s="846">
        <f>Model!X11</f>
        <v>301</v>
      </c>
      <c r="Y289" s="846">
        <f>Model!Y11</f>
        <v>320</v>
      </c>
      <c r="Z289" s="846">
        <f>Model!Z11</f>
        <v>272</v>
      </c>
      <c r="AA289" s="846">
        <f>Model!AA11</f>
        <v>320</v>
      </c>
      <c r="AB289" s="846">
        <f>Model!AB11</f>
        <v>301</v>
      </c>
      <c r="AC289" s="845">
        <v>318</v>
      </c>
      <c r="AD289" s="845">
        <v>270</v>
      </c>
      <c r="AE289" s="845">
        <v>313</v>
      </c>
      <c r="AF289" s="845">
        <f>AD289+2000*7%/4</f>
        <v>305</v>
      </c>
      <c r="AG289" s="845">
        <f>AE289+2000*7%/4</f>
        <v>348</v>
      </c>
      <c r="AH289" s="845">
        <f>AF289</f>
        <v>305</v>
      </c>
      <c r="AI289" s="845">
        <f>AG289</f>
        <v>348</v>
      </c>
      <c r="AJ289" s="845"/>
      <c r="AK289" s="845"/>
      <c r="AL289" s="845"/>
      <c r="AM289" s="845"/>
      <c r="AN289" s="845"/>
      <c r="AO289" s="845"/>
      <c r="AP289" s="845"/>
      <c r="AQ289" s="845"/>
      <c r="AS289" s="10"/>
      <c r="AT289" s="9" t="s">
        <v>397</v>
      </c>
      <c r="AU289" s="847">
        <f>Model!AU11</f>
        <v>26</v>
      </c>
      <c r="AV289" s="847">
        <f>Model!AV11</f>
        <v>194</v>
      </c>
      <c r="AW289" s="847">
        <f>Model!AW11</f>
        <v>511</v>
      </c>
      <c r="AX289" s="847">
        <f>Model!AX11</f>
        <v>769</v>
      </c>
      <c r="AY289" s="847">
        <f>Model!AY11</f>
        <v>1077</v>
      </c>
      <c r="AZ289" s="847">
        <f>Model!AZ11</f>
        <v>1213</v>
      </c>
      <c r="BA289" s="847">
        <f>Model!BA11</f>
        <v>1202</v>
      </c>
      <c r="BB289" s="847">
        <f>Model!BB11</f>
        <v>1306</v>
      </c>
      <c r="BC289" s="845">
        <f>BB289</f>
        <v>1306</v>
      </c>
      <c r="BD289" s="845">
        <f>BC289</f>
        <v>1306</v>
      </c>
      <c r="BE289" s="845">
        <f>BD289</f>
        <v>1306</v>
      </c>
      <c r="BG289" s="1730"/>
      <c r="BH289" s="1710"/>
    </row>
    <row r="290" spans="1:60" s="70" customFormat="1" x14ac:dyDescent="0.2">
      <c r="A290" s="411"/>
      <c r="B290" s="10"/>
      <c r="C290" s="9" t="s">
        <v>396</v>
      </c>
      <c r="D290" s="846">
        <f>Model!D12</f>
        <v>126</v>
      </c>
      <c r="E290" s="846">
        <f>Model!E12</f>
        <v>40</v>
      </c>
      <c r="F290" s="846">
        <f>Model!F12</f>
        <v>25</v>
      </c>
      <c r="G290" s="846">
        <f>Model!G12</f>
        <v>28</v>
      </c>
      <c r="H290" s="846">
        <f>Model!H12</f>
        <v>90</v>
      </c>
      <c r="I290" s="846">
        <f>Model!I12</f>
        <v>36</v>
      </c>
      <c r="J290" s="846">
        <f>Model!J12</f>
        <v>51</v>
      </c>
      <c r="K290" s="846">
        <f>Model!K12</f>
        <v>50</v>
      </c>
      <c r="L290" s="846">
        <f>Model!L12</f>
        <v>45</v>
      </c>
      <c r="M290" s="846">
        <f>Model!M12</f>
        <v>50</v>
      </c>
      <c r="N290" s="846">
        <f>Model!N12</f>
        <v>59</v>
      </c>
      <c r="O290" s="846">
        <f>Model!O12</f>
        <v>38</v>
      </c>
      <c r="P290" s="846">
        <f>Model!P12</f>
        <v>42</v>
      </c>
      <c r="Q290" s="846">
        <f>Model!Q12</f>
        <v>18</v>
      </c>
      <c r="R290" s="846">
        <f>Model!R12</f>
        <v>5</v>
      </c>
      <c r="S290" s="846">
        <f>Model!S12</f>
        <v>25</v>
      </c>
      <c r="T290" s="846">
        <f>Model!T12</f>
        <v>5</v>
      </c>
      <c r="U290" s="846">
        <f>Model!U12</f>
        <v>26</v>
      </c>
      <c r="V290" s="846">
        <f>Model!V12</f>
        <v>17</v>
      </c>
      <c r="W290" s="846">
        <f>Model!W12</f>
        <v>15</v>
      </c>
      <c r="X290" s="846">
        <f>Model!X12</f>
        <v>10</v>
      </c>
      <c r="Y290" s="846">
        <f>Model!Y12</f>
        <v>32</v>
      </c>
      <c r="Z290" s="846">
        <f>Model!Z12</f>
        <v>-1</v>
      </c>
      <c r="AA290" s="846">
        <f>Model!AA12</f>
        <v>19</v>
      </c>
      <c r="AB290" s="846">
        <f>Model!AB12</f>
        <v>22</v>
      </c>
      <c r="AC290" s="857">
        <f t="shared" ref="AC290:AE291" si="8">SUM(Y290:AB290)/SUM(Y$288:AB$288)*AC$288</f>
        <v>19.494955995744352</v>
      </c>
      <c r="AD290" s="857">
        <f t="shared" si="8"/>
        <v>15.850270019171404</v>
      </c>
      <c r="AE290" s="857">
        <f t="shared" si="8"/>
        <v>19.078680383461229</v>
      </c>
      <c r="AF290" s="857">
        <f t="shared" ref="AF290:AF291" si="9">SUM(AB290:AE290)/SUM(AB$288:AE$288)*AF$288</f>
        <v>20.943956198444425</v>
      </c>
      <c r="AG290" s="857">
        <f t="shared" ref="AG290:AG291" si="10">SUM(AC290:AF290)/SUM(AC$288:AF$288)*AG$288</f>
        <v>20.861235175673784</v>
      </c>
      <c r="AH290" s="857">
        <f t="shared" ref="AH290:AH291" si="11">SUM(AD290:AG290)/SUM(AD$288:AG$288)*AH$288</f>
        <v>20.237123072643467</v>
      </c>
      <c r="AI290" s="857">
        <f t="shared" ref="AI290:AI291" si="12">SUM(AE290:AH290)/SUM(AE$288:AH$288)*AI$288</f>
        <v>19.850893908833608</v>
      </c>
      <c r="AJ290" s="857"/>
      <c r="AK290" s="857"/>
      <c r="AL290" s="857"/>
      <c r="AM290" s="857"/>
      <c r="AN290" s="857"/>
      <c r="AO290" s="857"/>
      <c r="AP290" s="857"/>
      <c r="AQ290" s="857"/>
      <c r="AS290" s="10"/>
      <c r="AT290" s="9" t="s">
        <v>396</v>
      </c>
      <c r="AU290" s="847">
        <f>Model!AU12</f>
        <v>219</v>
      </c>
      <c r="AV290" s="847">
        <f>Model!AV12</f>
        <v>227</v>
      </c>
      <c r="AW290" s="847">
        <f>Model!AW12</f>
        <v>192</v>
      </c>
      <c r="AX290" s="847">
        <f>Model!AX12</f>
        <v>90</v>
      </c>
      <c r="AY290" s="847">
        <f>Model!AY12</f>
        <v>63</v>
      </c>
      <c r="AZ290" s="847">
        <f>Model!AZ12</f>
        <v>60</v>
      </c>
      <c r="BA290" s="847">
        <f>Model!BA12</f>
        <v>76.423906398376985</v>
      </c>
      <c r="BB290" s="847">
        <f>Model!BB12</f>
        <v>81.893208355595291</v>
      </c>
      <c r="BC290" s="857">
        <f t="shared" ref="BC290:BE291" si="13">BB290/BB$288*BC$288</f>
        <v>88.136403562537268</v>
      </c>
      <c r="BD290" s="857">
        <f t="shared" si="13"/>
        <v>92.998615046571558</v>
      </c>
      <c r="BE290" s="857">
        <f t="shared" si="13"/>
        <v>95.317723352802204</v>
      </c>
      <c r="BG290" s="1731"/>
      <c r="BH290" s="1710"/>
    </row>
    <row r="291" spans="1:60" s="70" customFormat="1" x14ac:dyDescent="0.2">
      <c r="A291" s="411"/>
      <c r="B291" s="10"/>
      <c r="C291" s="9" t="s">
        <v>395</v>
      </c>
      <c r="D291" s="846">
        <f>Model!D13</f>
        <v>49</v>
      </c>
      <c r="E291" s="846">
        <f>Model!E13</f>
        <v>65</v>
      </c>
      <c r="F291" s="846">
        <f>Model!F13</f>
        <v>10</v>
      </c>
      <c r="G291" s="846">
        <f>Model!G13</f>
        <v>26</v>
      </c>
      <c r="H291" s="846">
        <f>Model!H13</f>
        <v>71</v>
      </c>
      <c r="I291" s="846">
        <f>Model!I13</f>
        <v>83</v>
      </c>
      <c r="J291" s="846">
        <f>Model!J13</f>
        <v>62</v>
      </c>
      <c r="K291" s="846">
        <f>Model!K13</f>
        <v>47</v>
      </c>
      <c r="L291" s="846">
        <f>Model!L13</f>
        <v>62</v>
      </c>
      <c r="M291" s="846">
        <f>Model!M13</f>
        <v>1</v>
      </c>
      <c r="N291" s="846">
        <f>Model!N13</f>
        <v>44</v>
      </c>
      <c r="O291" s="846">
        <f>Model!O13</f>
        <v>3</v>
      </c>
      <c r="P291" s="846">
        <f>Model!P13</f>
        <v>62</v>
      </c>
      <c r="Q291" s="846">
        <f>Model!Q13</f>
        <v>64</v>
      </c>
      <c r="R291" s="846">
        <f>Model!R13</f>
        <v>56</v>
      </c>
      <c r="S291" s="846">
        <f>Model!S13</f>
        <v>42</v>
      </c>
      <c r="T291" s="846">
        <f>Model!T13</f>
        <v>40</v>
      </c>
      <c r="U291" s="846">
        <f>Model!U13</f>
        <v>53</v>
      </c>
      <c r="V291" s="846">
        <f>Model!V13</f>
        <v>53</v>
      </c>
      <c r="W291" s="846">
        <f>Model!W13</f>
        <v>49</v>
      </c>
      <c r="X291" s="846">
        <f>Model!X13</f>
        <v>55</v>
      </c>
      <c r="Y291" s="846">
        <f>Model!Y13</f>
        <v>48</v>
      </c>
      <c r="Z291" s="846">
        <f>Model!Z13</f>
        <v>53</v>
      </c>
      <c r="AA291" s="846">
        <f>Model!AA13</f>
        <v>12</v>
      </c>
      <c r="AB291" s="846">
        <f>Model!AB13</f>
        <v>22</v>
      </c>
      <c r="AC291" s="857">
        <f t="shared" si="8"/>
        <v>36.553042492020666</v>
      </c>
      <c r="AD291" s="857">
        <f t="shared" si="8"/>
        <v>32.916220415874676</v>
      </c>
      <c r="AE291" s="857">
        <f t="shared" si="8"/>
        <v>25.85698018820953</v>
      </c>
      <c r="AF291" s="857">
        <f t="shared" si="9"/>
        <v>32.153233355067655</v>
      </c>
      <c r="AG291" s="857">
        <f t="shared" si="10"/>
        <v>35.285322506039009</v>
      </c>
      <c r="AH291" s="857">
        <f t="shared" si="11"/>
        <v>33.285872359550396</v>
      </c>
      <c r="AI291" s="857">
        <f t="shared" si="12"/>
        <v>30.975385772993292</v>
      </c>
      <c r="AJ291" s="857"/>
      <c r="AK291" s="857"/>
      <c r="AL291" s="857"/>
      <c r="AM291" s="857"/>
      <c r="AN291" s="857"/>
      <c r="AO291" s="857"/>
      <c r="AP291" s="857"/>
      <c r="AQ291" s="857"/>
      <c r="AS291" s="10"/>
      <c r="AT291" s="9" t="s">
        <v>395</v>
      </c>
      <c r="AU291" s="847">
        <f>Model!AU13</f>
        <v>150</v>
      </c>
      <c r="AV291" s="847">
        <f>Model!AV13</f>
        <v>263</v>
      </c>
      <c r="AW291" s="847">
        <f>Model!AW13</f>
        <v>110</v>
      </c>
      <c r="AX291" s="847">
        <f>Model!AX13</f>
        <v>224</v>
      </c>
      <c r="AY291" s="847">
        <f>Model!AY13</f>
        <v>195</v>
      </c>
      <c r="AZ291" s="847">
        <f>Model!AZ13</f>
        <v>168</v>
      </c>
      <c r="BA291" s="847">
        <f>Model!BA13</f>
        <v>117.32624309610488</v>
      </c>
      <c r="BB291" s="847">
        <f>Model!BB13</f>
        <v>131.69981399365037</v>
      </c>
      <c r="BC291" s="857">
        <f t="shared" si="13"/>
        <v>141.74005620653381</v>
      </c>
      <c r="BD291" s="857">
        <f t="shared" si="13"/>
        <v>149.55941462346846</v>
      </c>
      <c r="BE291" s="857">
        <f t="shared" si="13"/>
        <v>153.28898070952886</v>
      </c>
      <c r="BG291" s="1731"/>
      <c r="BH291" s="1710"/>
    </row>
    <row r="292" spans="1:60" x14ac:dyDescent="0.2">
      <c r="Y292" s="1215"/>
      <c r="Z292" s="1688"/>
      <c r="AA292" s="1742"/>
      <c r="AB292" s="1785"/>
      <c r="AR292" s="70"/>
      <c r="BB292" s="1707"/>
    </row>
    <row r="293" spans="1:60" s="70" customFormat="1" x14ac:dyDescent="0.2">
      <c r="A293" s="411"/>
      <c r="B293" s="318" t="s">
        <v>672</v>
      </c>
      <c r="C293" s="9"/>
      <c r="D293" s="33">
        <f>Model!D16</f>
        <v>12</v>
      </c>
      <c r="E293" s="33">
        <f>Model!E16</f>
        <v>7</v>
      </c>
      <c r="F293" s="33">
        <f>Model!F16</f>
        <v>8</v>
      </c>
      <c r="G293" s="33">
        <f>Model!G16</f>
        <v>-85</v>
      </c>
      <c r="H293" s="33">
        <f>Model!H16</f>
        <v>-33</v>
      </c>
      <c r="I293" s="33">
        <f>Model!I16</f>
        <v>30</v>
      </c>
      <c r="J293" s="33">
        <f>Model!J16</f>
        <v>92</v>
      </c>
      <c r="K293" s="33">
        <f>Model!K16</f>
        <v>181</v>
      </c>
      <c r="L293" s="33">
        <f>Model!L16</f>
        <v>37</v>
      </c>
      <c r="M293" s="33">
        <f>Model!M16</f>
        <v>-22</v>
      </c>
      <c r="N293" s="33">
        <f>Model!N16</f>
        <v>-16</v>
      </c>
      <c r="O293" s="33">
        <f>Model!O16</f>
        <v>-1</v>
      </c>
      <c r="P293" s="33">
        <f>Model!P16</f>
        <v>-5</v>
      </c>
      <c r="Q293" s="33">
        <f>Model!Q16</f>
        <v>6</v>
      </c>
      <c r="R293" s="33">
        <f>Model!R16</f>
        <v>-10</v>
      </c>
      <c r="S293" s="33">
        <f>Model!S16</f>
        <v>-45</v>
      </c>
      <c r="T293" s="33">
        <f>Model!T16</f>
        <v>-2</v>
      </c>
      <c r="U293" s="33">
        <f>Model!U16</f>
        <v>-23</v>
      </c>
      <c r="V293" s="33">
        <f>Model!V16</f>
        <v>-30</v>
      </c>
      <c r="W293" s="33">
        <f>Model!W16</f>
        <v>-3</v>
      </c>
      <c r="X293" s="33">
        <f>Model!X16</f>
        <v>-18</v>
      </c>
      <c r="Y293" s="33">
        <f>Model!Y16</f>
        <v>21</v>
      </c>
      <c r="Z293" s="33">
        <f>Model!Z16</f>
        <v>-5</v>
      </c>
      <c r="AA293" s="33">
        <f>Model!AA16</f>
        <v>-109</v>
      </c>
      <c r="AB293" s="33">
        <f>Model!AB16</f>
        <v>-7</v>
      </c>
      <c r="AC293" s="9">
        <v>0</v>
      </c>
      <c r="AD293" s="9">
        <v>0</v>
      </c>
      <c r="AE293" s="9">
        <v>0</v>
      </c>
      <c r="AF293" s="1707">
        <v>0</v>
      </c>
      <c r="AG293" s="1707">
        <v>0</v>
      </c>
      <c r="AH293" s="1707">
        <v>0</v>
      </c>
      <c r="AI293" s="1707">
        <v>0</v>
      </c>
      <c r="AJ293" s="1740"/>
      <c r="AK293" s="1740"/>
      <c r="AL293" s="1740"/>
      <c r="AM293" s="1740"/>
      <c r="AN293" s="1740"/>
      <c r="AO293" s="1740"/>
      <c r="AP293" s="1740"/>
      <c r="AQ293" s="1740"/>
      <c r="AS293" s="318" t="s">
        <v>672</v>
      </c>
      <c r="AT293" s="9"/>
      <c r="AU293" s="232">
        <f>Model!AU16</f>
        <v>-58</v>
      </c>
      <c r="AV293" s="232">
        <f>Model!AV16</f>
        <v>270</v>
      </c>
      <c r="AW293" s="232">
        <f>Model!AW16</f>
        <v>-2</v>
      </c>
      <c r="AX293" s="232">
        <f>Model!AX16</f>
        <v>-54</v>
      </c>
      <c r="AY293" s="232">
        <f>Model!AY16</f>
        <v>-58</v>
      </c>
      <c r="AZ293" s="232">
        <f>Model!AZ16</f>
        <v>-111</v>
      </c>
      <c r="BA293" s="232">
        <f>Model!BA16</f>
        <v>-7</v>
      </c>
      <c r="BB293" s="232">
        <f>Model!BB16</f>
        <v>0</v>
      </c>
      <c r="BC293" s="9">
        <f>BB293</f>
        <v>0</v>
      </c>
      <c r="BD293" s="9">
        <f>BC293</f>
        <v>0</v>
      </c>
      <c r="BE293" s="1702">
        <f>BD293</f>
        <v>0</v>
      </c>
      <c r="BG293" s="15"/>
      <c r="BH293" s="15"/>
    </row>
    <row r="294" spans="1:60" x14ac:dyDescent="0.2">
      <c r="Y294" s="1215"/>
      <c r="Z294" s="1688"/>
      <c r="AA294" s="1742"/>
      <c r="AB294" s="1785"/>
      <c r="AR294" s="70"/>
      <c r="BB294" s="1707"/>
    </row>
    <row r="295" spans="1:60" x14ac:dyDescent="0.2">
      <c r="B295" s="59" t="s">
        <v>843</v>
      </c>
      <c r="Y295" s="1215"/>
      <c r="Z295" s="1688"/>
      <c r="AA295" s="1742"/>
      <c r="AB295" s="1785"/>
      <c r="AR295" s="70"/>
      <c r="AS295" s="59" t="s">
        <v>843</v>
      </c>
      <c r="BB295" s="1707"/>
    </row>
    <row r="296" spans="1:60" s="895" customFormat="1" x14ac:dyDescent="0.2">
      <c r="A296" s="411"/>
      <c r="B296" s="59"/>
      <c r="C296" s="895" t="s">
        <v>976</v>
      </c>
      <c r="D296" s="33">
        <f>Model!D1581</f>
        <v>545</v>
      </c>
      <c r="E296" s="33">
        <f>Model!E1581</f>
        <v>480</v>
      </c>
      <c r="F296" s="33">
        <f>Model!F1581</f>
        <v>529</v>
      </c>
      <c r="G296" s="33">
        <f>Model!G1581</f>
        <v>1286</v>
      </c>
      <c r="H296" s="33">
        <f>Model!H1581</f>
        <v>710</v>
      </c>
      <c r="I296" s="33">
        <f>Model!I1581</f>
        <v>832</v>
      </c>
      <c r="J296" s="33">
        <f>Model!J1581</f>
        <v>677</v>
      </c>
      <c r="K296" s="33">
        <f>Model!K1581</f>
        <v>809</v>
      </c>
      <c r="L296" s="33">
        <f>Model!L1581</f>
        <v>945</v>
      </c>
      <c r="M296" s="33">
        <f>Model!M1581</f>
        <v>4151</v>
      </c>
      <c r="N296" s="33">
        <f>Model!N1581</f>
        <v>1551</v>
      </c>
      <c r="O296" s="33">
        <f>Model!O1581</f>
        <v>2851</v>
      </c>
      <c r="P296" s="33">
        <f>Model!P1581</f>
        <v>388</v>
      </c>
      <c r="Q296" s="33">
        <f>Model!Q1581</f>
        <v>360</v>
      </c>
      <c r="R296" s="33">
        <f>Model!R1581</f>
        <v>376</v>
      </c>
      <c r="S296" s="33">
        <f>Model!S1581</f>
        <v>411</v>
      </c>
      <c r="T296" s="33">
        <f>Model!T1581</f>
        <v>166</v>
      </c>
      <c r="U296" s="33">
        <f>Model!U1581</f>
        <v>325</v>
      </c>
      <c r="V296" s="33">
        <f>Model!V1581</f>
        <v>306</v>
      </c>
      <c r="W296" s="33">
        <f>Model!W1581</f>
        <v>280</v>
      </c>
      <c r="X296" s="33">
        <f>Model!X1581</f>
        <v>250</v>
      </c>
      <c r="Y296" s="33">
        <f>Model!Y1581</f>
        <v>250</v>
      </c>
      <c r="Z296" s="33">
        <f>Model!Z1581</f>
        <v>250</v>
      </c>
      <c r="AA296" s="33">
        <f>Model!AA1581</f>
        <v>250</v>
      </c>
      <c r="AB296" s="33">
        <f>Model!AB1581</f>
        <v>250</v>
      </c>
      <c r="AC296" s="908">
        <v>250</v>
      </c>
      <c r="AD296" s="908">
        <v>250</v>
      </c>
      <c r="AE296" s="908">
        <v>250</v>
      </c>
      <c r="AF296" s="908">
        <v>250</v>
      </c>
      <c r="AG296" s="908">
        <v>250</v>
      </c>
      <c r="AH296" s="908">
        <v>250</v>
      </c>
      <c r="AI296" s="908">
        <v>250</v>
      </c>
      <c r="AJ296" s="908"/>
      <c r="AK296" s="908"/>
      <c r="AL296" s="908"/>
      <c r="AM296" s="908"/>
      <c r="AN296" s="908"/>
      <c r="AO296" s="908"/>
      <c r="AP296" s="908"/>
      <c r="AQ296" s="908"/>
      <c r="AR296" s="70"/>
      <c r="AT296" s="895" t="s">
        <v>976</v>
      </c>
      <c r="AU296" s="207">
        <f>Model!AU1581</f>
        <v>2840</v>
      </c>
      <c r="AV296" s="207">
        <f>Model!AV1581</f>
        <v>3028</v>
      </c>
      <c r="AW296" s="207">
        <f>Model!AW1581</f>
        <v>9498</v>
      </c>
      <c r="AX296" s="207">
        <f>Model!AX1581</f>
        <v>1535</v>
      </c>
      <c r="AY296" s="207">
        <f>Model!AY1581</f>
        <v>1077</v>
      </c>
      <c r="AZ296" s="207">
        <f>Model!AZ1581</f>
        <v>1000</v>
      </c>
      <c r="BA296" s="207">
        <f>Model!BA1581</f>
        <v>1000</v>
      </c>
      <c r="BB296" s="207">
        <f>Model!BB1581</f>
        <v>1000</v>
      </c>
      <c r="BC296" s="908">
        <v>1000</v>
      </c>
      <c r="BD296" s="908">
        <v>1000</v>
      </c>
      <c r="BE296" s="908">
        <v>1000</v>
      </c>
      <c r="BG296" s="1732"/>
      <c r="BH296" s="1710"/>
    </row>
    <row r="297" spans="1:60" s="70" customFormat="1" x14ac:dyDescent="0.2">
      <c r="A297" s="411"/>
      <c r="B297" s="10"/>
      <c r="C297" s="9" t="s">
        <v>689</v>
      </c>
      <c r="D297" s="68">
        <f>Model!D1582</f>
        <v>4.5991561181434597E-2</v>
      </c>
      <c r="E297" s="68">
        <f>Model!E1582</f>
        <v>4.152608357124319E-2</v>
      </c>
      <c r="F297" s="68">
        <f>Model!F1582</f>
        <v>4.4528619528619529E-2</v>
      </c>
      <c r="G297" s="68">
        <f>Model!G1582</f>
        <v>0.10673084903311478</v>
      </c>
      <c r="H297" s="68">
        <f>Model!H1582</f>
        <v>6.0389555158628899E-2</v>
      </c>
      <c r="I297" s="68">
        <f>Model!I1582</f>
        <v>7.0365358592692828E-2</v>
      </c>
      <c r="J297" s="68">
        <f>Model!J1582</f>
        <v>5.8181505672052249E-2</v>
      </c>
      <c r="K297" s="68">
        <f>Model!K1582</f>
        <v>6.687608497974705E-2</v>
      </c>
      <c r="L297" s="68">
        <f>Model!L1582</f>
        <v>7.949861192899807E-2</v>
      </c>
      <c r="M297" s="68">
        <f>Model!M1582</f>
        <v>0.34399602220933123</v>
      </c>
      <c r="N297" s="68">
        <f>Model!N1582</f>
        <v>0.12598489156039314</v>
      </c>
      <c r="O297" s="68">
        <f>Model!O1582</f>
        <v>0.23321063394683025</v>
      </c>
      <c r="P297" s="68">
        <f>Model!P1582</f>
        <v>3.3176571184266777E-2</v>
      </c>
      <c r="Q297" s="68">
        <f>Model!Q1582</f>
        <v>3.0128044187798141E-2</v>
      </c>
      <c r="R297" s="68">
        <f>Model!R1582</f>
        <v>3.1625872655395744E-2</v>
      </c>
      <c r="S297" s="68">
        <f>Model!S1582</f>
        <v>3.545854542317315E-2</v>
      </c>
      <c r="T297" s="68">
        <f>Model!T1582</f>
        <v>1.463070685704213E-2</v>
      </c>
      <c r="U297" s="68">
        <f>Model!U1582</f>
        <v>2.8631838604528236E-2</v>
      </c>
      <c r="V297" s="68">
        <f>Model!V1582</f>
        <v>2.6395238505994997E-2</v>
      </c>
      <c r="W297" s="68">
        <f>Model!W1582</f>
        <v>2.483370288248337E-2</v>
      </c>
      <c r="X297" s="68">
        <f>Model!X1582</f>
        <v>2.2567250406210507E-2</v>
      </c>
      <c r="Y297" s="68">
        <f>Model!Y1582</f>
        <v>2.1968365553602813E-2</v>
      </c>
      <c r="Z297" s="68">
        <f>Model!Z1582</f>
        <v>2.1444501629782124E-2</v>
      </c>
      <c r="AA297" s="68">
        <f>Model!AA1582</f>
        <v>2.1851236780001747E-2</v>
      </c>
      <c r="AB297" s="68">
        <f>Model!AB1582</f>
        <v>2.2249911000355997E-2</v>
      </c>
      <c r="AC297" s="68">
        <f>Model!AC1582</f>
        <v>2.1802469851940478E-2</v>
      </c>
      <c r="AD297" s="68">
        <f>Model!AD1582</f>
        <v>2.1091637873173814E-2</v>
      </c>
      <c r="AE297" s="68">
        <f>Model!AE1582</f>
        <v>2.0562252926375715E-2</v>
      </c>
      <c r="AF297" s="68">
        <f>Model!AF1582</f>
        <v>2.080738559590813E-2</v>
      </c>
      <c r="AG297" s="68">
        <f>Model!AG1582</f>
        <v>2.0227037941300832E-2</v>
      </c>
      <c r="AH297" s="68">
        <f>Model!AH1582</f>
        <v>1.9461490113973204E-2</v>
      </c>
      <c r="AI297" s="68">
        <f>Model!AI1582</f>
        <v>1.8923813097891696E-2</v>
      </c>
      <c r="AJ297" s="68"/>
      <c r="AK297" s="68"/>
      <c r="AL297" s="68"/>
      <c r="AM297" s="68"/>
      <c r="AN297" s="68"/>
      <c r="AO297" s="68"/>
      <c r="AP297" s="68"/>
      <c r="AQ297" s="68"/>
      <c r="AS297" s="10"/>
      <c r="AT297" s="9" t="s">
        <v>689</v>
      </c>
      <c r="AU297" s="347">
        <f>Model!AU1582</f>
        <v>5.9994085090202376E-2</v>
      </c>
      <c r="AV297" s="347">
        <f>Model!AV1582</f>
        <v>6.3997971002240348E-2</v>
      </c>
      <c r="AW297" s="347">
        <f>Model!AW1582</f>
        <v>0.19587543823468756</v>
      </c>
      <c r="AX297" s="347">
        <f>Model!AX1582</f>
        <v>3.2573635514811988E-2</v>
      </c>
      <c r="AY297" s="347">
        <f>Model!AY1582</f>
        <v>2.3636563151541754E-2</v>
      </c>
      <c r="AZ297" s="347">
        <f>Model!AZ1582</f>
        <v>2.1950523519985953E-2</v>
      </c>
      <c r="BA297" s="347">
        <f>Model!BA1582</f>
        <v>2.1406936526727174E-2</v>
      </c>
      <c r="BB297" s="347">
        <f>Model!BB1582</f>
        <v>1.9828912793408565E-2</v>
      </c>
      <c r="BC297" s="347">
        <f>Model!BC1582</f>
        <v>1.8632980221362727E-2</v>
      </c>
      <c r="BD297" s="347">
        <f>Model!BD1582</f>
        <v>1.7603550138000475E-2</v>
      </c>
      <c r="BE297" s="347">
        <f>Model!BE1582</f>
        <v>1.6720699068459809E-2</v>
      </c>
      <c r="BG297" s="347"/>
      <c r="BH297" s="347"/>
    </row>
    <row r="298" spans="1:60" s="70" customFormat="1" x14ac:dyDescent="0.2">
      <c r="A298" s="411"/>
      <c r="B298" s="65"/>
      <c r="C298" s="9" t="s">
        <v>841</v>
      </c>
      <c r="D298" s="26">
        <f>Model!D1588</f>
        <v>5.569620253164557E-3</v>
      </c>
      <c r="E298" s="26">
        <f>Model!E1588</f>
        <v>1.6177870057963492E-2</v>
      </c>
      <c r="F298" s="26">
        <f>Model!F1588</f>
        <v>7.9124579124579125E-3</v>
      </c>
      <c r="G298" s="26">
        <f>Model!G1588</f>
        <v>8.5318283674993778E-2</v>
      </c>
      <c r="H298" s="26">
        <f>Model!H1588</f>
        <v>1.258824530067194E-2</v>
      </c>
      <c r="I298" s="26">
        <f>Model!I1588</f>
        <v>6.3430311231393779E-3</v>
      </c>
      <c r="J298" s="26">
        <f>Model!J1588</f>
        <v>1.1430044688896529E-2</v>
      </c>
      <c r="K298" s="26">
        <f>Model!K1588</f>
        <v>1.9343638918740184E-2</v>
      </c>
      <c r="L298" s="26">
        <f>Model!L1588</f>
        <v>1.7750483721712795E-2</v>
      </c>
      <c r="M298" s="26">
        <f>Model!M1588</f>
        <v>3.2899643656252586E-2</v>
      </c>
      <c r="N298" s="26">
        <f>Model!N1588</f>
        <v>3.102916091300463E-2</v>
      </c>
      <c r="O298" s="26">
        <f>Model!O1588</f>
        <v>5.3578732106339469E-2</v>
      </c>
      <c r="P298" s="26">
        <f>Model!P1588</f>
        <v>1.3681060282171868E-3</v>
      </c>
      <c r="Q298" s="26">
        <f>Model!Q1588</f>
        <v>5.10502970959913E-3</v>
      </c>
      <c r="R298" s="26">
        <f>Model!R1588</f>
        <v>6.8971318025065186E-3</v>
      </c>
      <c r="S298" s="26">
        <f>Model!S1588</f>
        <v>2.7003709774825295E-2</v>
      </c>
      <c r="T298" s="26">
        <f>Model!T1588</f>
        <v>4.3275163053058348E-2</v>
      </c>
      <c r="U298" s="26">
        <f>Model!U1588</f>
        <v>1.1100343582063254E-2</v>
      </c>
      <c r="V298" s="26">
        <f>Model!V1588</f>
        <v>8.2808591391356854E-3</v>
      </c>
      <c r="W298" s="26">
        <f>Model!W1588</f>
        <v>9.0465631929046563E-3</v>
      </c>
      <c r="X298" s="26">
        <f>Model!X1588</f>
        <v>0</v>
      </c>
      <c r="Y298" s="26">
        <f>Model!Y1588</f>
        <v>0</v>
      </c>
      <c r="Z298" s="26">
        <f>Model!Z1588</f>
        <v>0</v>
      </c>
      <c r="AA298" s="26">
        <f>Model!AA1588</f>
        <v>0</v>
      </c>
      <c r="AB298" s="26">
        <f>Model!AB1588</f>
        <v>0</v>
      </c>
      <c r="AC298" s="267">
        <v>0</v>
      </c>
      <c r="AD298" s="267">
        <v>0</v>
      </c>
      <c r="AE298" s="267">
        <v>0</v>
      </c>
      <c r="AF298" s="267">
        <v>0</v>
      </c>
      <c r="AG298" s="267">
        <v>0</v>
      </c>
      <c r="AH298" s="267">
        <v>0</v>
      </c>
      <c r="AI298" s="267">
        <v>0</v>
      </c>
      <c r="AJ298" s="267"/>
      <c r="AK298" s="267"/>
      <c r="AL298" s="267"/>
      <c r="AM298" s="267"/>
      <c r="AN298" s="267"/>
      <c r="AO298" s="267"/>
      <c r="AP298" s="267"/>
      <c r="AQ298" s="267"/>
      <c r="AS298" s="65"/>
      <c r="AT298" s="9" t="s">
        <v>841</v>
      </c>
      <c r="AU298" s="26">
        <f>Model!AU1588</f>
        <v>2.904643204191136E-2</v>
      </c>
      <c r="AV298" s="26">
        <f>Model!AV1588</f>
        <v>1.246988206450522E-2</v>
      </c>
      <c r="AW298" s="26">
        <f>Model!AW1588</f>
        <v>3.392452051969478E-2</v>
      </c>
      <c r="AX298" s="26">
        <f>Model!AX1588</f>
        <v>1.0016127663186486E-2</v>
      </c>
      <c r="AY298" s="26">
        <f>Model!AY1588</f>
        <v>1.7886535718204762E-2</v>
      </c>
      <c r="AZ298" s="26">
        <f>Model!AZ1588</f>
        <v>0</v>
      </c>
      <c r="BA298" s="26">
        <f>Model!BA1588</f>
        <v>0</v>
      </c>
      <c r="BB298" s="26">
        <f>Model!BB1588</f>
        <v>0</v>
      </c>
      <c r="BC298" s="267">
        <v>0</v>
      </c>
      <c r="BD298" s="267">
        <v>0</v>
      </c>
      <c r="BE298" s="267">
        <v>0</v>
      </c>
      <c r="BG298" s="339"/>
      <c r="BH298" s="1710"/>
    </row>
    <row r="299" spans="1:60" x14ac:dyDescent="0.2">
      <c r="Y299" s="1215"/>
      <c r="Z299" s="1688"/>
      <c r="AB299" s="1785"/>
      <c r="AR299" s="70"/>
      <c r="BB299" s="1707"/>
    </row>
    <row r="300" spans="1:60" s="160" customFormat="1" x14ac:dyDescent="0.2">
      <c r="A300" s="411"/>
      <c r="B300" s="9" t="s">
        <v>465</v>
      </c>
      <c r="C300" s="16"/>
      <c r="D300" s="19"/>
      <c r="E300" s="19"/>
      <c r="F300" s="19"/>
      <c r="G300" s="19"/>
      <c r="H300" s="19"/>
      <c r="I300" s="19"/>
      <c r="J300" s="19"/>
      <c r="K300" s="19"/>
      <c r="L300" s="19"/>
      <c r="M300" s="19"/>
      <c r="N300" s="19"/>
      <c r="O300" s="19"/>
      <c r="P300" s="19"/>
      <c r="Q300" s="19"/>
      <c r="R300" s="19"/>
      <c r="S300" s="19"/>
      <c r="T300" s="19"/>
      <c r="U300" s="19"/>
      <c r="V300" s="19"/>
      <c r="W300" s="19"/>
      <c r="X300" s="19"/>
      <c r="Y300" s="19"/>
      <c r="Z300" s="19"/>
      <c r="AA300" s="19"/>
      <c r="AB300" s="19"/>
      <c r="AC300" s="19"/>
      <c r="AD300" s="19"/>
      <c r="AE300" s="19"/>
      <c r="AF300" s="19"/>
      <c r="AG300" s="19"/>
      <c r="AH300" s="19"/>
      <c r="AI300" s="19"/>
      <c r="AJ300" s="19"/>
      <c r="AK300" s="19"/>
      <c r="AL300" s="19"/>
      <c r="AM300" s="19"/>
      <c r="AN300" s="19"/>
      <c r="AO300" s="19"/>
      <c r="AP300" s="19"/>
      <c r="AQ300" s="19"/>
      <c r="AR300" s="70"/>
      <c r="AS300" s="9" t="s">
        <v>465</v>
      </c>
      <c r="AT300" s="16"/>
    </row>
    <row r="301" spans="1:60" s="70" customFormat="1" x14ac:dyDescent="0.2">
      <c r="A301" s="411"/>
      <c r="B301" s="35" t="s">
        <v>81</v>
      </c>
      <c r="C301" s="9"/>
      <c r="D301" s="68">
        <f>Model!D1497</f>
        <v>0.60455332838406339</v>
      </c>
      <c r="E301" s="68">
        <f>Model!E1497</f>
        <v>0.63421470121628765</v>
      </c>
      <c r="F301" s="68">
        <f>Model!F1497</f>
        <v>0.62448368442792235</v>
      </c>
      <c r="G301" s="68">
        <f>Model!G1497</f>
        <v>0.73595927116827442</v>
      </c>
      <c r="H301" s="68">
        <f>Model!H1497</f>
        <v>0.59179348873049509</v>
      </c>
      <c r="I301" s="68">
        <f>Model!I1497</f>
        <v>0.59974329861282516</v>
      </c>
      <c r="J301" s="68">
        <f>Model!J1497</f>
        <v>0.63465927616563422</v>
      </c>
      <c r="K301" s="68">
        <f>Model!K1497</f>
        <v>0.67672318872495041</v>
      </c>
      <c r="L301" s="68">
        <f>Model!L1497</f>
        <v>0.59767796526787031</v>
      </c>
      <c r="M301" s="68">
        <f>Model!M1497</f>
        <v>0.79273711629807442</v>
      </c>
      <c r="N301" s="68">
        <f>Model!N1497</f>
        <v>0.64184502576298053</v>
      </c>
      <c r="O301" s="68">
        <f>Model!O1497</f>
        <v>0.80073268206039072</v>
      </c>
      <c r="P301" s="68">
        <f>Model!P1497</f>
        <v>0.54605659241420834</v>
      </c>
      <c r="Q301" s="68">
        <f>Model!Q1497</f>
        <v>0.56665802437127299</v>
      </c>
      <c r="R301" s="68">
        <f>Model!R1497</f>
        <v>0.5732323232323232</v>
      </c>
      <c r="S301" s="68">
        <f>Model!S1497</f>
        <v>0.5933386624034106</v>
      </c>
      <c r="T301" s="68">
        <f>Model!T1497</f>
        <v>0.59539436460337214</v>
      </c>
      <c r="U301" s="68">
        <f>Model!U1497</f>
        <v>0.58704636811413691</v>
      </c>
      <c r="V301" s="68">
        <f>Model!V1497</f>
        <v>0.58207452165156093</v>
      </c>
      <c r="W301" s="68">
        <f>Model!W1497</f>
        <v>0.59094890510948905</v>
      </c>
      <c r="X301" s="68">
        <f>Model!X1497</f>
        <v>0.57996646654767703</v>
      </c>
      <c r="Y301" s="68">
        <f>Model!Y1497</f>
        <v>0.58871806095092194</v>
      </c>
      <c r="Z301" s="68">
        <f>Model!Z1497</f>
        <v>0.56180563046057597</v>
      </c>
      <c r="AA301" s="68">
        <f>Model!AA1497</f>
        <v>0.58598003629764062</v>
      </c>
      <c r="AB301" s="68">
        <f>Model!AB1497</f>
        <v>0.57694338825517533</v>
      </c>
      <c r="AC301" s="68">
        <f>Model!AC1497</f>
        <v>0.56984924745973697</v>
      </c>
      <c r="AD301" s="68">
        <f>Model!AD1497</f>
        <v>0.56150372900345413</v>
      </c>
      <c r="AE301" s="68">
        <f>Model!AE1497</f>
        <v>0.55649865646265517</v>
      </c>
      <c r="AF301" s="68">
        <f>Model!AF1497</f>
        <v>0.5535819993500094</v>
      </c>
      <c r="AG301" s="68">
        <f>Model!AG1497</f>
        <v>0.54456025695188559</v>
      </c>
      <c r="AH301" s="68">
        <f>Model!AH1497</f>
        <v>0.54117824397828829</v>
      </c>
      <c r="AI301" s="68">
        <f>Model!AI1497</f>
        <v>0.53798384291471413</v>
      </c>
      <c r="AJ301" s="68"/>
      <c r="AK301" s="68"/>
      <c r="AL301" s="68"/>
      <c r="AM301" s="68"/>
      <c r="AN301" s="68"/>
      <c r="AO301" s="68"/>
      <c r="AP301" s="68"/>
      <c r="AQ301" s="68"/>
      <c r="AS301" s="35" t="s">
        <v>81</v>
      </c>
      <c r="AT301" s="9"/>
      <c r="AU301" s="68">
        <f>Model!AU1497</f>
        <v>0.64861361367849324</v>
      </c>
      <c r="AV301" s="68">
        <f>Model!AV1497</f>
        <v>0.62391895549512155</v>
      </c>
      <c r="AW301" s="68">
        <f>Model!AW1497</f>
        <v>0.70482421324866207</v>
      </c>
      <c r="AX301" s="68">
        <f>Model!AX1497</f>
        <v>0.56943102592892392</v>
      </c>
      <c r="AY301" s="68">
        <f>Model!AY1497</f>
        <v>0.5888307552320291</v>
      </c>
      <c r="AZ301" s="68">
        <f>Model!AZ1497</f>
        <v>0.5789964354263778</v>
      </c>
      <c r="BA301" s="68">
        <f>Model!BA1497</f>
        <v>0.56622010871879858</v>
      </c>
      <c r="BB301" s="68">
        <f>Model!BB1497</f>
        <v>0.54435333801517327</v>
      </c>
      <c r="BC301" s="68">
        <f>Model!BC1497</f>
        <v>0.52826300232049883</v>
      </c>
      <c r="BD301" s="68">
        <f>Model!BD1497</f>
        <v>0.51836296122826386</v>
      </c>
      <c r="BE301" s="68">
        <f>Model!BE1497</f>
        <v>0.51380594105829758</v>
      </c>
      <c r="BG301" s="21"/>
      <c r="BH301" s="21"/>
    </row>
    <row r="302" spans="1:60" s="70" customFormat="1" x14ac:dyDescent="0.2">
      <c r="A302" s="411"/>
      <c r="B302" s="35" t="s">
        <v>666</v>
      </c>
      <c r="C302" s="9"/>
      <c r="D302" s="60">
        <f>Model!D1498</f>
        <v>0.31487255629794603</v>
      </c>
      <c r="E302" s="60">
        <f>Model!E1498</f>
        <v>0.32284505552617665</v>
      </c>
      <c r="F302" s="60">
        <f>Model!F1498</f>
        <v>0.3156237092110698</v>
      </c>
      <c r="G302" s="60">
        <f>Model!G1498</f>
        <v>0.35042872454448015</v>
      </c>
      <c r="H302" s="60">
        <f>Model!H1498</f>
        <v>0.30509535734925836</v>
      </c>
      <c r="I302" s="60">
        <f>Model!I1498</f>
        <v>0.29989633213210248</v>
      </c>
      <c r="J302" s="60">
        <f>Model!J1498</f>
        <v>0.31670470601021627</v>
      </c>
      <c r="K302" s="60">
        <f>Model!K1498</f>
        <v>0.3154040960140938</v>
      </c>
      <c r="L302" s="60">
        <f>Model!L1498</f>
        <v>0.2956658631376986</v>
      </c>
      <c r="M302" s="60">
        <f>Model!M1498</f>
        <v>0.30788089279329894</v>
      </c>
      <c r="N302" s="60">
        <f>Model!N1498</f>
        <v>0.30291319857312721</v>
      </c>
      <c r="O302" s="60">
        <f>Model!O1498</f>
        <v>0.3223246003552398</v>
      </c>
      <c r="P302" s="60">
        <f>Model!P1498</f>
        <v>0.2769416014449127</v>
      </c>
      <c r="Q302" s="60">
        <f>Model!Q1498</f>
        <v>0.28431423386051335</v>
      </c>
      <c r="R302" s="60">
        <f>Model!R1498</f>
        <v>0.28589082312486569</v>
      </c>
      <c r="S302" s="60">
        <f>Model!S1498</f>
        <v>0.29016786570743403</v>
      </c>
      <c r="T302" s="60">
        <f>Model!T1498</f>
        <v>0.31436007694919088</v>
      </c>
      <c r="U302" s="60">
        <f>Model!U1498</f>
        <v>0.29604257487403046</v>
      </c>
      <c r="V302" s="60">
        <f>Model!V1498</f>
        <v>0.29109320801163702</v>
      </c>
      <c r="W302" s="60">
        <f>Model!W1498</f>
        <v>0.29091970802919709</v>
      </c>
      <c r="X302" s="60">
        <f>Model!X1498</f>
        <v>0.2993131050895127</v>
      </c>
      <c r="Y302" s="60">
        <f>Model!Y1498</f>
        <v>0.29890025715379986</v>
      </c>
      <c r="Z302" s="60">
        <f>Model!Z1498</f>
        <v>0.28605328443533601</v>
      </c>
      <c r="AA302" s="60">
        <f>Model!AA1498</f>
        <v>0.27676950998185118</v>
      </c>
      <c r="AB302" s="60">
        <f>Model!AB1498</f>
        <v>0.30666455428812844</v>
      </c>
      <c r="AC302" s="269">
        <v>0.28999999999999998</v>
      </c>
      <c r="AD302" s="269">
        <v>0.28999999999999998</v>
      </c>
      <c r="AE302" s="269">
        <v>0.28000000000000003</v>
      </c>
      <c r="AF302" s="269">
        <v>0.28999999999999998</v>
      </c>
      <c r="AG302" s="269">
        <v>0.27500000000000002</v>
      </c>
      <c r="AH302" s="269">
        <v>0.27500000000000002</v>
      </c>
      <c r="AI302" s="269">
        <v>0.27500000000000002</v>
      </c>
      <c r="AJ302" s="269"/>
      <c r="AK302" s="269"/>
      <c r="AL302" s="269"/>
      <c r="AM302" s="269"/>
      <c r="AN302" s="269"/>
      <c r="AO302" s="269"/>
      <c r="AP302" s="269"/>
      <c r="AQ302" s="269"/>
      <c r="AS302" s="35" t="s">
        <v>666</v>
      </c>
      <c r="AT302" s="9"/>
      <c r="AU302" s="60">
        <f>Model!AU1498</f>
        <v>0.32561606367395618</v>
      </c>
      <c r="AV302" s="60">
        <f>Model!AV1498</f>
        <v>0.30890484230605642</v>
      </c>
      <c r="AW302" s="60">
        <f>Model!AW1498</f>
        <v>0.30674980155173737</v>
      </c>
      <c r="AX302" s="60">
        <f>Model!AX1498</f>
        <v>0.2842128626263154</v>
      </c>
      <c r="AY302" s="60">
        <f>Model!AY1498</f>
        <v>0.2981403548680619</v>
      </c>
      <c r="AZ302" s="60">
        <f>Model!AZ1498</f>
        <v>0.29038936111872771</v>
      </c>
      <c r="BA302" s="60">
        <f>Model!BA1498</f>
        <v>0.2916894088390104</v>
      </c>
      <c r="BB302" s="60">
        <f>Model!BB1498</f>
        <v>0.27875398090450626</v>
      </c>
      <c r="BC302" s="269">
        <v>0.28000000000000003</v>
      </c>
      <c r="BD302" s="269">
        <v>0.28000000000000003</v>
      </c>
      <c r="BE302" s="269">
        <v>0.28000000000000003</v>
      </c>
      <c r="BG302" s="921"/>
      <c r="BH302" s="1710"/>
    </row>
    <row r="303" spans="1:60" x14ac:dyDescent="0.2">
      <c r="Y303" s="1215"/>
      <c r="Z303" s="1688"/>
      <c r="AA303" s="1742"/>
      <c r="AB303" s="1785"/>
      <c r="AR303" s="70"/>
      <c r="BB303" s="1707"/>
    </row>
    <row r="304" spans="1:60" x14ac:dyDescent="0.2">
      <c r="B304" s="59" t="s">
        <v>191</v>
      </c>
      <c r="Y304" s="1215"/>
      <c r="Z304" s="1688"/>
      <c r="AA304" s="1742"/>
      <c r="AB304" s="1785"/>
      <c r="AR304" s="70"/>
      <c r="AS304" s="59" t="s">
        <v>191</v>
      </c>
      <c r="BB304" s="1707"/>
    </row>
    <row r="305" spans="1:75" s="70" customFormat="1" x14ac:dyDescent="0.2">
      <c r="A305" s="411"/>
      <c r="B305" s="35" t="s">
        <v>1169</v>
      </c>
      <c r="C305" s="9"/>
      <c r="D305" s="68">
        <f>Model!D791</f>
        <v>0.31080550098231829</v>
      </c>
      <c r="E305" s="68">
        <f>Model!E791</f>
        <v>0.26984126984126983</v>
      </c>
      <c r="F305" s="68">
        <f>Model!F791</f>
        <v>0.28841607565011823</v>
      </c>
      <c r="G305" s="68">
        <f>Model!G791</f>
        <v>0.12127894156560089</v>
      </c>
      <c r="H305" s="68">
        <f>Model!H791</f>
        <v>0.31959448230014958</v>
      </c>
      <c r="I305" s="68">
        <f>Model!I791</f>
        <v>0.35880999342537806</v>
      </c>
      <c r="J305" s="68">
        <f>Model!J791</f>
        <v>0.32136859781696053</v>
      </c>
      <c r="K305" s="68">
        <f>Model!K791</f>
        <v>0.36184210526315791</v>
      </c>
      <c r="L305" s="68">
        <f>Model!L791</f>
        <v>0.32978723404255317</v>
      </c>
      <c r="M305" s="68">
        <f>Model!M791</f>
        <v>0.88273195876288657</v>
      </c>
      <c r="N305" s="68">
        <f>Model!N791</f>
        <v>0.42617265924438769</v>
      </c>
      <c r="O305" s="68">
        <f>Model!O791</f>
        <v>0.75967025998731774</v>
      </c>
      <c r="P305" s="68">
        <f>Model!P791</f>
        <v>0.31809897658769104</v>
      </c>
      <c r="Q305" s="68">
        <f>Model!Q791</f>
        <v>0.30511253540020866</v>
      </c>
      <c r="R305" s="68">
        <f>Model!R791</f>
        <v>0.31570329130505975</v>
      </c>
      <c r="S305" s="68">
        <f>Model!S791</f>
        <v>0.3122923588039867</v>
      </c>
      <c r="T305" s="68">
        <f>Model!T791</f>
        <v>0.31296513905209555</v>
      </c>
      <c r="U305" s="68">
        <f>Model!U791</f>
        <v>0.31231945624468987</v>
      </c>
      <c r="V305" s="68">
        <f>Model!V791</f>
        <v>0.32211370770840597</v>
      </c>
      <c r="W305" s="68">
        <f>Model!W791</f>
        <v>0.31114521388835603</v>
      </c>
      <c r="X305" s="68">
        <f>Model!X791</f>
        <v>0.32536041939711663</v>
      </c>
      <c r="Y305" s="68">
        <f>Model!Y791</f>
        <v>0.33051724137931032</v>
      </c>
      <c r="Z305" s="68">
        <f>Model!Z791</f>
        <v>0.32468168462291869</v>
      </c>
      <c r="AA305" s="68">
        <f>Model!AA791</f>
        <v>0.26745743256169885</v>
      </c>
      <c r="AB305" s="68">
        <f>Model!AB791</f>
        <v>0.24455638609034774</v>
      </c>
      <c r="AC305" s="269">
        <v>0.26</v>
      </c>
      <c r="AD305" s="269">
        <v>0.255</v>
      </c>
      <c r="AE305" s="269">
        <v>0.255</v>
      </c>
      <c r="AF305" s="269">
        <v>0.25</v>
      </c>
      <c r="AG305" s="269">
        <v>0.25</v>
      </c>
      <c r="AH305" s="269">
        <v>0.25</v>
      </c>
      <c r="AI305" s="269">
        <v>0.25</v>
      </c>
      <c r="AJ305" s="269"/>
      <c r="AK305" s="269"/>
      <c r="AL305" s="269"/>
      <c r="AM305" s="269"/>
      <c r="AN305" s="269"/>
      <c r="AO305" s="269"/>
      <c r="AP305" s="269"/>
      <c r="AQ305" s="269"/>
      <c r="AS305" s="35" t="s">
        <v>1169</v>
      </c>
      <c r="AT305" s="9"/>
      <c r="AU305" s="68">
        <f>Model!AU791</f>
        <v>0.27145392318418049</v>
      </c>
      <c r="AV305" s="68">
        <f>Model!AV791</f>
        <v>0.33931768691023467</v>
      </c>
      <c r="AW305" s="68">
        <f>Model!AW791</f>
        <v>0.48973569412368489</v>
      </c>
      <c r="AX305" s="68">
        <f>Model!AX791</f>
        <v>0.31285406526769327</v>
      </c>
      <c r="AY305" s="68">
        <f>Model!AY791</f>
        <v>0.31475066095359649</v>
      </c>
      <c r="AZ305" s="68">
        <f>Model!AZ791</f>
        <v>0.31345401384529387</v>
      </c>
      <c r="BA305" s="68">
        <f>Model!BA791</f>
        <v>0.25358956748856687</v>
      </c>
      <c r="BB305" s="68">
        <f>Model!BB791</f>
        <v>0.24999999999999981</v>
      </c>
      <c r="BC305" s="269">
        <v>0.25</v>
      </c>
      <c r="BD305" s="269">
        <v>0.25</v>
      </c>
      <c r="BE305" s="269">
        <v>0.25</v>
      </c>
      <c r="BG305" s="921"/>
      <c r="BH305" s="1710"/>
    </row>
    <row r="306" spans="1:75" s="70" customFormat="1" x14ac:dyDescent="0.2">
      <c r="A306" s="411"/>
      <c r="B306" s="35" t="s">
        <v>1177</v>
      </c>
      <c r="C306" s="1097"/>
      <c r="D306" s="68">
        <f>(Model!D790-Model!D753)/(Model!D789-Model!D753)</f>
        <v>0.29217110573042776</v>
      </c>
      <c r="E306" s="68">
        <f>(Model!E790-Model!E753)/(Model!E789-Model!E753)</f>
        <v>0.23046192259675405</v>
      </c>
      <c r="F306" s="68">
        <f>(Model!F790-Model!F753)/(Model!F789-Model!F753)</f>
        <v>0.26159678858162355</v>
      </c>
      <c r="G306" s="68">
        <f>(Model!G790-Model!G753)/(Model!G789-Model!G753)</f>
        <v>5.1754907792980372E-2</v>
      </c>
      <c r="H306" s="68">
        <f>(Model!H790-Model!H753)/(Model!H789-Model!H753)</f>
        <v>0.30492359932088287</v>
      </c>
      <c r="I306" s="68">
        <f>(Model!I790-Model!I753)/(Model!I789-Model!I753)</f>
        <v>0.34348704140020198</v>
      </c>
      <c r="J306" s="68">
        <f>(Model!J790-Model!J753)/(Model!J789-Model!J753)</f>
        <v>0.30308256089674501</v>
      </c>
      <c r="K306" s="68">
        <f>(Model!K790-Model!K753)/(Model!K789-Model!K753)</f>
        <v>0.3397767492512932</v>
      </c>
      <c r="L306" s="68">
        <f>(Model!L790-Model!L753)/(Model!L789-Model!L753)</f>
        <v>0.31566820276497698</v>
      </c>
      <c r="M306" s="68">
        <f>(Model!M790-Model!M753)/(Model!M789-Model!M753)</f>
        <v>0.87630267331218847</v>
      </c>
      <c r="N306" s="68">
        <f>(Model!N790-Model!N753)/(Model!N789-Model!N753)</f>
        <v>0.41288515406162463</v>
      </c>
      <c r="O306" s="68">
        <f>(Model!O790-Model!O753)/(Model!O789-Model!O753)</f>
        <v>0.73916035788024781</v>
      </c>
      <c r="P306" s="68">
        <f>(Model!P790-Model!P753)/(Model!P789-Model!P753)</f>
        <v>0.30613409415121257</v>
      </c>
      <c r="Q306" s="68">
        <f>(Model!Q790-Model!Q753)/(Model!Q789-Model!Q753)</f>
        <v>0.2917046490428441</v>
      </c>
      <c r="R306" s="68">
        <f>(Model!R790-Model!R753)/(Model!R789-Model!R753)</f>
        <v>0.3024536805207812</v>
      </c>
      <c r="S306" s="68">
        <f>(Model!S790-Model!S753)/(Model!S789-Model!S753)</f>
        <v>0.29464822609741431</v>
      </c>
      <c r="T306" s="68">
        <f>(Model!T790-Model!T753)/(Model!T789-Model!T753)</f>
        <v>0.2965710848205334</v>
      </c>
      <c r="U306" s="68">
        <f>(Model!U790-Model!U753)/(Model!U789-Model!U753)</f>
        <v>0.29861351819757365</v>
      </c>
      <c r="V306" s="68">
        <f>(Model!V790-Model!V753)/(Model!V789-Model!V753)</f>
        <v>0.30836298932384343</v>
      </c>
      <c r="W306" s="68">
        <f>(Model!W790-Model!W753)/(Model!W789-Model!W753)</f>
        <v>0.29588235294117649</v>
      </c>
      <c r="X306" s="68">
        <f>(Model!X790-Model!X753)/(Model!X789-Model!X753)</f>
        <v>0.31148637351613445</v>
      </c>
      <c r="Y306" s="68">
        <f>(Model!Y790-Model!Y753)/(Model!Y789-Model!Y753)</f>
        <v>0.31613244100035226</v>
      </c>
      <c r="Z306" s="68">
        <f>(Model!Z790-Model!Z753)/(Model!Z789-Model!Z753)</f>
        <v>0.31084457771114443</v>
      </c>
      <c r="AA306" s="68">
        <f>(Model!AA790-Model!AA753)/(Model!AA789-Model!AA753)</f>
        <v>0.2490684447930967</v>
      </c>
      <c r="AB306" s="68">
        <f>(Model!AB790-Model!AB753)/(Model!AB789-Model!AB753)</f>
        <v>0.23661740558292282</v>
      </c>
      <c r="AC306" s="68">
        <f>(Model!AC790-Model!AC753)/(Model!AC789-Model!AC753)</f>
        <v>0.25051450324395541</v>
      </c>
      <c r="AD306" s="68">
        <f>(Model!AD790-Model!AD753)/(Model!AD789-Model!AD753)</f>
        <v>0.24558211155299828</v>
      </c>
      <c r="AE306" s="68">
        <f>(Model!AE790-Model!AE753)/(Model!AE789-Model!AE753)</f>
        <v>0.24487988525793467</v>
      </c>
      <c r="AF306" s="68">
        <f>(Model!AF790-Model!AF753)/(Model!AF789-Model!AF753)</f>
        <v>0.24249021743570684</v>
      </c>
      <c r="AG306" s="68">
        <f>(Model!AG790-Model!AG753)/(Model!AG789-Model!AG753)</f>
        <v>0.24122042675099173</v>
      </c>
      <c r="AH306" s="68">
        <f>(Model!AH790-Model!AH753)/(Model!AH789-Model!AH753)</f>
        <v>0.24104537454389932</v>
      </c>
      <c r="AI306" s="68">
        <f>(Model!AI790-Model!AI753)/(Model!AI789-Model!AI753)</f>
        <v>0.2402080936120507</v>
      </c>
      <c r="AJ306" s="68"/>
      <c r="AK306" s="68"/>
      <c r="AL306" s="68"/>
      <c r="AM306" s="68"/>
      <c r="AN306" s="68"/>
      <c r="AO306" s="68"/>
      <c r="AP306" s="68"/>
      <c r="AQ306" s="68"/>
      <c r="AS306" s="35" t="s">
        <v>1170</v>
      </c>
      <c r="AT306" s="1097"/>
      <c r="AU306" s="68">
        <f>(Model!AU790-Model!AU753)/(Model!AU789-Model!AU753)</f>
        <v>0.24005024461192648</v>
      </c>
      <c r="AV306" s="68">
        <f>(Model!AV790-Model!AV753)/(Model!AV789-Model!AV753)</f>
        <v>0.32222994440031771</v>
      </c>
      <c r="AW306" s="68">
        <f>(Model!AW790-Model!AW753)/(Model!AW789-Model!AW753)</f>
        <v>0.47293088595851834</v>
      </c>
      <c r="AX306" s="68">
        <f>(Model!AX790-Model!AX753)/(Model!AX789-Model!AX753)</f>
        <v>0.29903955721959952</v>
      </c>
      <c r="AY306" s="68">
        <f>(Model!AY790-Model!AY753)/(Model!AY789-Model!AY753)</f>
        <v>0.30004190529403546</v>
      </c>
      <c r="AZ306" s="68">
        <f>(Model!AZ790-Model!AZ753)/(Model!AZ789-Model!AZ753)</f>
        <v>0.2984930363340802</v>
      </c>
      <c r="BA306" s="68">
        <f>(Model!BA790-Model!BA753)/(Model!BA789-Model!BA753)</f>
        <v>0.2443563048841528</v>
      </c>
      <c r="BB306" s="68">
        <f>(Model!BB790-Model!BB753)/(Model!BB789-Model!BB753)</f>
        <v>0.24125168694362847</v>
      </c>
      <c r="BC306" s="68">
        <f>(Model!BC790-Model!BC753)/(Model!BC789-Model!BC753)</f>
        <v>0.24165754765406142</v>
      </c>
      <c r="BD306" s="68">
        <f>(Model!BD790-Model!BD753)/(Model!BD789-Model!BD753)</f>
        <v>0.2418270145283917</v>
      </c>
      <c r="BE306" s="68">
        <f>(Model!BE790-Model!BE753)/(Model!BE789-Model!BE753)</f>
        <v>0.24176592082269385</v>
      </c>
      <c r="BG306" s="21"/>
      <c r="BH306" s="21"/>
    </row>
    <row r="307" spans="1:75" x14ac:dyDescent="0.2">
      <c r="T307" s="68"/>
      <c r="U307" s="68"/>
      <c r="V307" s="68"/>
      <c r="W307" s="68"/>
      <c r="X307" s="68"/>
      <c r="Y307" s="68"/>
      <c r="Z307" s="68"/>
      <c r="AA307" s="68"/>
      <c r="AB307" s="68"/>
      <c r="AC307" s="68"/>
      <c r="AD307" s="68"/>
      <c r="AE307" s="68"/>
      <c r="AF307" s="68"/>
      <c r="AG307" s="68"/>
      <c r="AH307" s="68"/>
      <c r="AI307" s="68"/>
      <c r="AJ307" s="68"/>
      <c r="AK307" s="68"/>
      <c r="AL307" s="68"/>
      <c r="AM307" s="68"/>
      <c r="AN307" s="68"/>
      <c r="AO307" s="68"/>
      <c r="AP307" s="68"/>
      <c r="AQ307" s="68"/>
      <c r="AR307" s="70"/>
      <c r="BB307" s="1707"/>
    </row>
    <row r="308" spans="1:75" s="70" customFormat="1" x14ac:dyDescent="0.2">
      <c r="A308" s="411"/>
      <c r="B308" s="35" t="s">
        <v>1119</v>
      </c>
      <c r="C308" s="1078"/>
      <c r="D308" s="67">
        <f>Model!D1283</f>
        <v>1.8086715013115259E-2</v>
      </c>
      <c r="E308" s="67">
        <f>Model!E1283</f>
        <v>1.6667175572519084E-2</v>
      </c>
      <c r="F308" s="67">
        <f>Model!F1283</f>
        <v>1.8511769172361428E-2</v>
      </c>
      <c r="G308" s="67">
        <f>Model!G1283</f>
        <v>1.7592310039670427E-2</v>
      </c>
      <c r="H308" s="67">
        <f>Model!H1283</f>
        <v>1.6510908246944143E-2</v>
      </c>
      <c r="I308" s="67">
        <f>Model!I1283</f>
        <v>1.5120397700792295E-2</v>
      </c>
      <c r="J308" s="67">
        <f>Model!J1283</f>
        <v>1.4321776155717765E-2</v>
      </c>
      <c r="K308" s="67">
        <f>Model!K1283</f>
        <v>1.3528174305033809E-2</v>
      </c>
      <c r="L308" s="67">
        <f>Model!L1283</f>
        <v>1.2937368262571514E-2</v>
      </c>
      <c r="M308" s="67">
        <f>Model!M1283</f>
        <v>1.1886142322097379E-2</v>
      </c>
      <c r="N308" s="67">
        <f>Model!N1283</f>
        <v>1.1657999388192107E-2</v>
      </c>
      <c r="O308" s="67">
        <f>Model!O1283</f>
        <v>1.1025442134657152E-2</v>
      </c>
      <c r="P308" s="67">
        <f>Model!P1283</f>
        <v>1.0876006441223832E-2</v>
      </c>
      <c r="Q308" s="67">
        <f>Model!Q1283</f>
        <v>1.0257870590096503E-2</v>
      </c>
      <c r="R308" s="67">
        <f>Model!R1283</f>
        <v>1.0294023136246786E-2</v>
      </c>
      <c r="S308" s="67">
        <f>Model!S1283</f>
        <v>8.5057471264367822E-3</v>
      </c>
      <c r="T308" s="67">
        <f>Model!T1283</f>
        <v>9.5782840523509459E-3</v>
      </c>
      <c r="U308" s="67">
        <f>Model!U1283</f>
        <v>9.7316495659037095E-3</v>
      </c>
      <c r="V308" s="67">
        <f>Model!V1283</f>
        <v>9.3453406421299921E-3</v>
      </c>
      <c r="W308" s="67">
        <f>Model!W1283</f>
        <v>8.9349775784753338E-3</v>
      </c>
      <c r="X308" s="67">
        <f>Model!X1283</f>
        <v>8.4218899140948138E-3</v>
      </c>
      <c r="Y308" s="67">
        <f>Model!Y1283</f>
        <v>7.6729754886751475E-3</v>
      </c>
      <c r="Z308" s="67">
        <f>Model!Z1283</f>
        <v>7.4062165058949641E-3</v>
      </c>
      <c r="AA308" s="67">
        <f>Model!AA1283</f>
        <v>6.9445277361319339E-3</v>
      </c>
      <c r="AB308" s="67">
        <f>Model!AB1283</f>
        <v>6.3055431713478971E-3</v>
      </c>
      <c r="AC308" s="1082">
        <v>6.4999999999999997E-3</v>
      </c>
      <c r="AD308" s="1082">
        <v>6.7000000000000002E-3</v>
      </c>
      <c r="AE308" s="1082">
        <v>7.0000000000000001E-3</v>
      </c>
      <c r="AF308" s="1082">
        <v>7.1999999999999998E-3</v>
      </c>
      <c r="AG308" s="1082">
        <v>7.4999999999999997E-3</v>
      </c>
      <c r="AH308" s="1082">
        <v>7.7000000000000002E-3</v>
      </c>
      <c r="AI308" s="1082">
        <v>7.7000000000000002E-3</v>
      </c>
      <c r="AJ308" s="1082"/>
      <c r="AK308" s="1082"/>
      <c r="AL308" s="1082"/>
      <c r="AM308" s="1082"/>
      <c r="AN308" s="1082"/>
      <c r="AO308" s="1082"/>
      <c r="AP308" s="1082"/>
      <c r="AQ308" s="1082"/>
      <c r="AS308" s="35" t="s">
        <v>1119</v>
      </c>
      <c r="AT308" s="1078"/>
      <c r="AU308" s="67">
        <f>Model!AU1283</f>
        <v>1.7592310039670427E-2</v>
      </c>
      <c r="AV308" s="67">
        <f>Model!AV1283</f>
        <v>1.3528174305033809E-2</v>
      </c>
      <c r="AW308" s="67">
        <f>Model!AW1283</f>
        <v>1.1025442134657152E-2</v>
      </c>
      <c r="AX308" s="67">
        <f>Model!AX1283</f>
        <v>8.5057471264367822E-3</v>
      </c>
      <c r="AY308" s="67">
        <f>Model!AY1283</f>
        <v>8.9349775784753338E-3</v>
      </c>
      <c r="AZ308" s="67">
        <f>Model!AZ1283</f>
        <v>6.9445277361319339E-3</v>
      </c>
      <c r="BA308" s="67">
        <f>Model!BA1283</f>
        <v>6.9999999999999993E-3</v>
      </c>
      <c r="BB308" s="67">
        <f>Model!BB1283</f>
        <v>7.7000000000000002E-3</v>
      </c>
      <c r="BC308" s="1082">
        <v>8.0000000000000002E-3</v>
      </c>
      <c r="BD308" s="1082">
        <v>8.5000000000000006E-3</v>
      </c>
      <c r="BE308" s="1082">
        <v>8.5000000000000006E-3</v>
      </c>
      <c r="BG308" s="1733"/>
      <c r="BH308" s="1710"/>
    </row>
    <row r="309" spans="1:75" s="1078" customFormat="1" x14ac:dyDescent="0.2">
      <c r="A309" s="411"/>
      <c r="Y309" s="1215"/>
      <c r="Z309" s="1688"/>
      <c r="AA309" s="1742"/>
      <c r="AB309" s="1785"/>
      <c r="AF309" s="1707"/>
      <c r="AG309" s="1707"/>
      <c r="AH309" s="1707"/>
      <c r="AI309" s="1707"/>
      <c r="AJ309" s="1740"/>
      <c r="AK309" s="1740"/>
      <c r="AL309" s="1740"/>
      <c r="AM309" s="1740"/>
      <c r="AN309" s="1740"/>
      <c r="AO309" s="1740"/>
      <c r="AP309" s="1740"/>
      <c r="AQ309" s="1740"/>
      <c r="AR309" s="70"/>
      <c r="BB309" s="1707"/>
      <c r="BE309" s="1702"/>
      <c r="BG309" s="15"/>
      <c r="BH309" s="15"/>
    </row>
    <row r="310" spans="1:75" x14ac:dyDescent="0.2">
      <c r="Y310" s="1215"/>
      <c r="AA310" s="1742"/>
      <c r="AB310" s="1785"/>
      <c r="AR310" s="70"/>
      <c r="BB310" s="1707"/>
    </row>
    <row r="311" spans="1:75" s="70" customFormat="1" x14ac:dyDescent="0.2">
      <c r="A311" s="411" t="s">
        <v>194</v>
      </c>
      <c r="B311" s="13" t="s">
        <v>849</v>
      </c>
      <c r="C311" s="13"/>
      <c r="D311" s="14"/>
      <c r="E311" s="14"/>
      <c r="F311" s="14"/>
      <c r="G311" s="14"/>
      <c r="H311" s="14"/>
      <c r="I311" s="14"/>
      <c r="J311" s="14"/>
      <c r="K311" s="14"/>
      <c r="L311" s="14"/>
      <c r="M311" s="14"/>
      <c r="N311" s="14"/>
      <c r="O311" s="14"/>
      <c r="P311" s="14"/>
      <c r="Q311" s="14"/>
      <c r="R311" s="14"/>
      <c r="S311" s="14"/>
      <c r="T311" s="14"/>
      <c r="U311" s="14"/>
      <c r="V311" s="14"/>
      <c r="W311" s="14"/>
      <c r="X311" s="14"/>
      <c r="Y311" s="14"/>
      <c r="Z311" s="14"/>
      <c r="AA311" s="14"/>
      <c r="AB311" s="14"/>
      <c r="AC311" s="14"/>
      <c r="AD311" s="14"/>
      <c r="AE311" s="14"/>
      <c r="AF311" s="14"/>
      <c r="AG311" s="14"/>
      <c r="AH311" s="14"/>
      <c r="AI311" s="14"/>
      <c r="AJ311" s="14"/>
      <c r="AK311" s="14"/>
      <c r="AL311" s="14"/>
      <c r="AM311" s="14"/>
      <c r="AN311" s="14"/>
      <c r="AO311" s="14"/>
      <c r="AP311" s="14"/>
      <c r="AQ311" s="14"/>
      <c r="AS311" s="13" t="s">
        <v>849</v>
      </c>
      <c r="AT311" s="13"/>
      <c r="AU311" s="14"/>
      <c r="AV311" s="14"/>
      <c r="AW311" s="14"/>
      <c r="AX311" s="14"/>
      <c r="AY311" s="14"/>
      <c r="AZ311" s="14"/>
      <c r="BA311" s="14"/>
      <c r="BB311" s="14"/>
      <c r="BC311" s="14"/>
      <c r="BD311" s="14"/>
      <c r="BE311" s="14"/>
      <c r="BF311" s="15"/>
      <c r="BG311" s="15"/>
      <c r="BH311" s="15"/>
      <c r="BI311" s="15"/>
      <c r="BJ311" s="15"/>
      <c r="BK311" s="15"/>
      <c r="BL311" s="15"/>
      <c r="BM311" s="15"/>
      <c r="BN311" s="15"/>
      <c r="BO311" s="15"/>
      <c r="BP311" s="15"/>
      <c r="BQ311" s="15"/>
      <c r="BR311" s="15"/>
      <c r="BS311" s="15"/>
      <c r="BT311" s="15"/>
      <c r="BU311" s="15"/>
      <c r="BV311" s="15"/>
      <c r="BW311" s="15"/>
    </row>
    <row r="312" spans="1:75" x14ac:dyDescent="0.2">
      <c r="Y312" s="1215"/>
      <c r="Z312" s="1688"/>
      <c r="AA312" s="1742"/>
      <c r="AB312" s="1785"/>
      <c r="AR312" s="70"/>
      <c r="BB312" s="1707"/>
    </row>
    <row r="313" spans="1:75" s="70" customFormat="1" x14ac:dyDescent="0.2">
      <c r="A313" s="411"/>
      <c r="B313" s="9" t="s">
        <v>578</v>
      </c>
      <c r="C313" s="15"/>
      <c r="D313" s="60" t="s">
        <v>229</v>
      </c>
      <c r="E313" s="60" t="s">
        <v>229</v>
      </c>
      <c r="F313" s="60" t="s">
        <v>229</v>
      </c>
      <c r="G313" s="60">
        <f>Model!G1389</f>
        <v>0.64678532962010982</v>
      </c>
      <c r="H313" s="60">
        <f>Model!H1389</f>
        <v>0.63317417601137893</v>
      </c>
      <c r="I313" s="60">
        <f>Model!I1389</f>
        <v>0.61976123723008858</v>
      </c>
      <c r="J313" s="60">
        <f>Model!J1389</f>
        <v>0.61012213795122483</v>
      </c>
      <c r="K313" s="60">
        <f>Model!K1389</f>
        <v>0.63054304840069464</v>
      </c>
      <c r="L313" s="60">
        <f>Model!L1389</f>
        <v>0.66519196152851312</v>
      </c>
      <c r="M313" s="60">
        <f>Model!M1389</f>
        <v>0.67082109325122596</v>
      </c>
      <c r="N313" s="60">
        <f>Model!N1389</f>
        <v>0.69145101872239378</v>
      </c>
      <c r="O313" s="60">
        <f>Model!O1389</f>
        <v>0.70167100844053865</v>
      </c>
      <c r="P313" s="60">
        <f>Model!P1389</f>
        <v>0.70081739228224027</v>
      </c>
      <c r="Q313" s="60">
        <f>Model!Q1389</f>
        <v>0.69892531308592576</v>
      </c>
      <c r="R313" s="60">
        <f>Model!R1389</f>
        <v>0.69370909267865399</v>
      </c>
      <c r="S313" s="60">
        <f>Model!S1389</f>
        <v>0.7025589038880321</v>
      </c>
      <c r="T313" s="60">
        <f>Model!T1389</f>
        <v>0.68828301684594995</v>
      </c>
      <c r="U313" s="60">
        <f>Model!U1389</f>
        <v>0.67785114233732557</v>
      </c>
      <c r="V313" s="60">
        <f>Model!V1389</f>
        <v>0.67557973441753194</v>
      </c>
      <c r="W313" s="60">
        <f>Model!W1389</f>
        <v>0.66385540353455796</v>
      </c>
      <c r="X313" s="60">
        <f>Model!X1389</f>
        <v>0.65408220462602096</v>
      </c>
      <c r="Y313" s="60">
        <f>Model!Y1389</f>
        <v>0.63740710480278828</v>
      </c>
      <c r="Z313" s="60">
        <f>Model!Z1389</f>
        <v>0.62616978264632506</v>
      </c>
      <c r="AA313" s="60">
        <f>Model!AA1389</f>
        <v>0.61575022828894788</v>
      </c>
      <c r="AB313" s="60">
        <f>Model!AB1389</f>
        <v>0.61339032643394942</v>
      </c>
      <c r="AC313" s="264">
        <v>0.61</v>
      </c>
      <c r="AD313" s="264">
        <f t="shared" ref="AD313:AE313" si="14">AC313</f>
        <v>0.61</v>
      </c>
      <c r="AE313" s="264">
        <f t="shared" si="14"/>
        <v>0.61</v>
      </c>
      <c r="AF313" s="264">
        <v>0.60499999999999998</v>
      </c>
      <c r="AG313" s="264">
        <f t="shared" ref="AG313" si="15">AF313</f>
        <v>0.60499999999999998</v>
      </c>
      <c r="AH313" s="264">
        <f t="shared" ref="AH313" si="16">AG313</f>
        <v>0.60499999999999998</v>
      </c>
      <c r="AI313" s="264">
        <f t="shared" ref="AI313" si="17">AH313</f>
        <v>0.60499999999999998</v>
      </c>
      <c r="AJ313" s="264"/>
      <c r="AK313" s="264"/>
      <c r="AL313" s="264"/>
      <c r="AM313" s="264"/>
      <c r="AN313" s="264"/>
      <c r="AO313" s="264"/>
      <c r="AP313" s="264"/>
      <c r="AQ313" s="264"/>
      <c r="AS313" s="9" t="s">
        <v>578</v>
      </c>
      <c r="AT313" s="15"/>
      <c r="AU313" s="60">
        <f>Model!AU1389</f>
        <v>0.64678532962010982</v>
      </c>
      <c r="AV313" s="60">
        <f>Model!AV1389</f>
        <v>0.63054304840069464</v>
      </c>
      <c r="AW313" s="60">
        <f>Model!AW1389</f>
        <v>0.70167100844053865</v>
      </c>
      <c r="AX313" s="60">
        <f>Model!AX1389</f>
        <v>0.7025589038880321</v>
      </c>
      <c r="AY313" s="60">
        <f>Model!AY1389</f>
        <v>0.66385540353455796</v>
      </c>
      <c r="AZ313" s="60">
        <f>Model!AZ1389</f>
        <v>0.61575022828894788</v>
      </c>
      <c r="BA313" s="60">
        <f>Model!BA1389</f>
        <v>0.61</v>
      </c>
      <c r="BB313" s="60">
        <f>Model!BB1389</f>
        <v>0.60499999999999998</v>
      </c>
      <c r="BC313" s="264">
        <f>BB313</f>
        <v>0.60499999999999998</v>
      </c>
      <c r="BD313" s="264">
        <f>BC313</f>
        <v>0.60499999999999998</v>
      </c>
      <c r="BE313" s="264">
        <f>BD313</f>
        <v>0.60499999999999998</v>
      </c>
      <c r="BG313" s="1720"/>
      <c r="BH313" s="1710"/>
    </row>
    <row r="314" spans="1:75" s="70" customFormat="1" x14ac:dyDescent="0.2">
      <c r="A314" s="411"/>
      <c r="B314" s="9" t="s">
        <v>373</v>
      </c>
      <c r="C314" s="15"/>
      <c r="D314" s="229">
        <f>Model!D1330</f>
        <v>0.01</v>
      </c>
      <c r="E314" s="229">
        <f>Model!E1330</f>
        <v>0.01</v>
      </c>
      <c r="F314" s="229">
        <f>Model!F1330</f>
        <v>0.01</v>
      </c>
      <c r="G314" s="229">
        <f>Model!G1330</f>
        <v>0.01</v>
      </c>
      <c r="H314" s="229">
        <f>Model!H1330</f>
        <v>0.01</v>
      </c>
      <c r="I314" s="229">
        <f>Model!I1330</f>
        <v>0.01</v>
      </c>
      <c r="J314" s="229">
        <f>Model!J1330</f>
        <v>0.01</v>
      </c>
      <c r="K314" s="229">
        <f>Model!K1330</f>
        <v>0.01</v>
      </c>
      <c r="L314" s="229">
        <f>Model!L1330</f>
        <v>0.01</v>
      </c>
      <c r="M314" s="229">
        <f>Model!M1330</f>
        <v>0.01</v>
      </c>
      <c r="N314" s="229">
        <f>Model!N1330</f>
        <v>0.01</v>
      </c>
      <c r="O314" s="229">
        <f>Model!O1330</f>
        <v>0.01</v>
      </c>
      <c r="P314" s="229">
        <f>Model!P1330</f>
        <v>0.01</v>
      </c>
      <c r="Q314" s="229">
        <f>Model!Q1330</f>
        <v>0.05</v>
      </c>
      <c r="R314" s="229">
        <f>Model!R1330</f>
        <v>0.05</v>
      </c>
      <c r="S314" s="229">
        <f>Model!S1330</f>
        <v>0.05</v>
      </c>
      <c r="T314" s="229">
        <f>Model!T1330</f>
        <v>0.05</v>
      </c>
      <c r="U314" s="229">
        <f>Model!U1330</f>
        <v>0.05</v>
      </c>
      <c r="V314" s="229">
        <f>Model!V1330</f>
        <v>0.16</v>
      </c>
      <c r="W314" s="229">
        <f>Model!W1330</f>
        <v>0.16</v>
      </c>
      <c r="X314" s="229">
        <f>Model!X1330</f>
        <v>0.16</v>
      </c>
      <c r="Y314" s="229">
        <f>Model!Y1330</f>
        <v>0.16</v>
      </c>
      <c r="Z314" s="229">
        <f>Model!Z1330</f>
        <v>0.32</v>
      </c>
      <c r="AA314" s="229">
        <f>Model!AA1330</f>
        <v>0.32</v>
      </c>
      <c r="AB314" s="229">
        <f>Model!AB1330</f>
        <v>0.32</v>
      </c>
      <c r="AC314" s="270">
        <v>0.32</v>
      </c>
      <c r="AD314" s="270">
        <v>0.4</v>
      </c>
      <c r="AE314" s="270">
        <v>0.4</v>
      </c>
      <c r="AF314" s="270">
        <v>0.4</v>
      </c>
      <c r="AG314" s="270">
        <v>0.4</v>
      </c>
      <c r="AH314" s="270">
        <v>0.45</v>
      </c>
      <c r="AI314" s="270">
        <v>0.45</v>
      </c>
      <c r="AJ314" s="270"/>
      <c r="AK314" s="270"/>
      <c r="AL314" s="270"/>
      <c r="AM314" s="270"/>
      <c r="AN314" s="270"/>
      <c r="AO314" s="270"/>
      <c r="AP314" s="270"/>
      <c r="AQ314" s="270"/>
      <c r="AS314" s="9" t="s">
        <v>373</v>
      </c>
      <c r="AT314" s="15"/>
      <c r="AU314" s="229">
        <f>Model!AU1330</f>
        <v>0.04</v>
      </c>
      <c r="AV314" s="229">
        <f>Model!AV1330</f>
        <v>0.04</v>
      </c>
      <c r="AW314" s="229">
        <f>Model!AW1330</f>
        <v>0.04</v>
      </c>
      <c r="AX314" s="229">
        <f>Model!AX1330</f>
        <v>0.16000000000000003</v>
      </c>
      <c r="AY314" s="229">
        <f>Model!AY1330</f>
        <v>0.42000000000000004</v>
      </c>
      <c r="AZ314" s="229">
        <f>Model!AZ1330</f>
        <v>0.96</v>
      </c>
      <c r="BA314" s="229">
        <f>Model!BA1330</f>
        <v>1.44</v>
      </c>
      <c r="BB314" s="229">
        <f>Model!BB1330</f>
        <v>1.7</v>
      </c>
      <c r="BC314" s="270">
        <f>0.45*2+0.5*2</f>
        <v>1.9</v>
      </c>
      <c r="BD314" s="270">
        <f>0.5*2+0.55*2</f>
        <v>2.1</v>
      </c>
      <c r="BE314" s="270">
        <f>0.55*2+0.6*2</f>
        <v>2.2999999999999998</v>
      </c>
      <c r="BG314" s="1734"/>
      <c r="BH314" s="1710"/>
    </row>
    <row r="315" spans="1:75" s="70" customFormat="1" x14ac:dyDescent="0.2">
      <c r="A315" s="411"/>
      <c r="B315" s="35"/>
      <c r="C315" s="15"/>
      <c r="D315" s="60"/>
      <c r="E315" s="60"/>
      <c r="F315" s="60"/>
      <c r="G315" s="60"/>
      <c r="H315" s="60"/>
      <c r="I315" s="60"/>
      <c r="J315" s="60"/>
      <c r="K315" s="60"/>
      <c r="L315" s="60"/>
      <c r="M315" s="60"/>
      <c r="N315" s="60"/>
      <c r="O315" s="60"/>
      <c r="P315" s="60"/>
      <c r="Q315" s="60"/>
      <c r="R315" s="60"/>
      <c r="S315" s="60"/>
      <c r="T315" s="60"/>
      <c r="U315" s="60"/>
      <c r="V315" s="60"/>
      <c r="W315" s="60"/>
      <c r="X315" s="60"/>
      <c r="Y315" s="60"/>
      <c r="Z315" s="60"/>
      <c r="AA315" s="60"/>
      <c r="AB315" s="60"/>
      <c r="AC315" s="9"/>
      <c r="AD315" s="9"/>
      <c r="AE315" s="9"/>
      <c r="AF315" s="1707"/>
      <c r="AG315" s="1707"/>
      <c r="AH315" s="1707"/>
      <c r="AI315" s="1707"/>
      <c r="AJ315" s="1740"/>
      <c r="AK315" s="1740"/>
      <c r="AL315" s="1740"/>
      <c r="AM315" s="1740"/>
      <c r="AN315" s="1740"/>
      <c r="AO315" s="1740"/>
      <c r="AP315" s="1740"/>
      <c r="AQ315" s="1740"/>
      <c r="AS315" s="35"/>
      <c r="AT315" s="15"/>
      <c r="AU315" s="60"/>
      <c r="AV315" s="60"/>
      <c r="AW315" s="60"/>
      <c r="AX315" s="60"/>
      <c r="AY315" s="60"/>
      <c r="AZ315" s="60"/>
      <c r="BA315" s="60"/>
      <c r="BB315" s="60"/>
      <c r="BC315" s="9"/>
      <c r="BD315" s="9"/>
      <c r="BE315" s="1702"/>
      <c r="BG315" s="15"/>
      <c r="BH315" s="15"/>
      <c r="BI315" s="1707"/>
    </row>
    <row r="316" spans="1:75" s="70" customFormat="1" x14ac:dyDescent="0.2">
      <c r="A316" s="411"/>
      <c r="B316" s="9" t="s">
        <v>579</v>
      </c>
      <c r="C316" s="15"/>
      <c r="D316" s="60">
        <f>Model!D1338</f>
        <v>0</v>
      </c>
      <c r="E316" s="60">
        <f>Model!E1338</f>
        <v>0</v>
      </c>
      <c r="F316" s="60">
        <f>Model!F1338</f>
        <v>0</v>
      </c>
      <c r="G316" s="60">
        <f>Model!G1338</f>
        <v>0</v>
      </c>
      <c r="H316" s="60">
        <f>Model!H1338</f>
        <v>0</v>
      </c>
      <c r="I316" s="60">
        <f>Model!I1338</f>
        <v>-1.4459890236287753E-3</v>
      </c>
      <c r="J316" s="60">
        <f>Model!J1338</f>
        <v>-4.077606050641237E-3</v>
      </c>
      <c r="K316" s="60">
        <f>Model!K1338</f>
        <v>-1.945268710847346E-3</v>
      </c>
      <c r="L316" s="60">
        <f>Model!L1338</f>
        <v>-2.2778291298032488E-3</v>
      </c>
      <c r="M316" s="60">
        <f>Model!M1338</f>
        <v>-2.0738692474817299E-3</v>
      </c>
      <c r="N316" s="60">
        <f>Model!N1338</f>
        <v>-3.5292565472656505E-3</v>
      </c>
      <c r="O316" s="60">
        <f>Model!O1338</f>
        <v>-3.5319359630302028E-3</v>
      </c>
      <c r="P316" s="60">
        <f>Model!P1338</f>
        <v>-1.9511227223122458E-3</v>
      </c>
      <c r="Q316" s="60">
        <f>Model!Q1338</f>
        <v>-9.3932302824560835E-3</v>
      </c>
      <c r="R316" s="60">
        <f>Model!R1338</f>
        <v>-1.19609276363878E-2</v>
      </c>
      <c r="S316" s="60">
        <f>Model!S1338</f>
        <v>-1.0406176569318564E-2</v>
      </c>
      <c r="T316" s="60">
        <f>Model!T1338</f>
        <v>-1.0496732468763755E-2</v>
      </c>
      <c r="U316" s="60">
        <f>Model!U1338</f>
        <v>-1.0221813349688235E-2</v>
      </c>
      <c r="V316" s="60">
        <f>Model!V1338</f>
        <v>-1.9274454464101327E-2</v>
      </c>
      <c r="W316" s="60">
        <f>Model!W1338</f>
        <v>-2.772221637365337E-2</v>
      </c>
      <c r="X316" s="60">
        <f>Model!X1338</f>
        <v>-1.0820949357957004E-2</v>
      </c>
      <c r="Y316" s="60">
        <f>Model!Y1338</f>
        <v>-1.053281516725384E-2</v>
      </c>
      <c r="Z316" s="60">
        <f>Model!Z1338</f>
        <v>-2.9729134551860825E-2</v>
      </c>
      <c r="AA316" s="60">
        <f>Model!AA1338</f>
        <v>-2.7987897125567322E-2</v>
      </c>
      <c r="AB316" s="60">
        <f>Model!AB1338</f>
        <v>-1.1673605976886259E-2</v>
      </c>
      <c r="AC316" s="264">
        <v>-1.2E-2</v>
      </c>
      <c r="AD316" s="264">
        <v>-2.7E-2</v>
      </c>
      <c r="AE316" s="264">
        <v>-2.7E-2</v>
      </c>
      <c r="AF316" s="264">
        <v>-2.5000000000000001E-2</v>
      </c>
      <c r="AG316" s="264">
        <v>-2.5000000000000001E-2</v>
      </c>
      <c r="AH316" s="264">
        <v>-2.3E-2</v>
      </c>
      <c r="AI316" s="264">
        <v>-2.3E-2</v>
      </c>
      <c r="AJ316" s="264"/>
      <c r="AK316" s="264"/>
      <c r="AL316" s="264"/>
      <c r="AM316" s="264"/>
      <c r="AN316" s="264"/>
      <c r="AO316" s="264"/>
      <c r="AP316" s="264"/>
      <c r="AQ316" s="264"/>
      <c r="AS316" s="9" t="s">
        <v>579</v>
      </c>
      <c r="AT316" s="15"/>
      <c r="AU316" s="60">
        <f>Model!AU1338</f>
        <v>0</v>
      </c>
      <c r="AV316" s="60">
        <f>Model!AV1338</f>
        <v>-7.4944699395820269E-3</v>
      </c>
      <c r="AW316" s="60">
        <f>Model!AW1338</f>
        <v>-1.14221576653902E-2</v>
      </c>
      <c r="AX316" s="60">
        <f>Model!AX1338</f>
        <v>-3.3532854922451137E-2</v>
      </c>
      <c r="AY316" s="60">
        <f>Model!AY1338</f>
        <v>-6.6366437544441811E-2</v>
      </c>
      <c r="AZ316" s="60">
        <f>Model!AZ1338</f>
        <v>-7.7189438753426626E-2</v>
      </c>
      <c r="BA316" s="60">
        <f>Model!BA1338</f>
        <v>-7.5882815425663663E-2</v>
      </c>
      <c r="BB316" s="60">
        <f>Model!BB1338</f>
        <v>-9.2935399099687205E-2</v>
      </c>
      <c r="BC316" s="264">
        <v>-7.0000000000000007E-2</v>
      </c>
      <c r="BD316" s="264">
        <v>-0.06</v>
      </c>
      <c r="BE316" s="264">
        <v>-0.06</v>
      </c>
      <c r="BG316" s="1720"/>
      <c r="BH316" s="1710"/>
    </row>
    <row r="317" spans="1:75" s="70" customFormat="1" x14ac:dyDescent="0.2">
      <c r="A317" s="411"/>
      <c r="B317" s="9" t="s">
        <v>580</v>
      </c>
      <c r="C317" s="15"/>
      <c r="D317" s="229">
        <f>Model!D1335</f>
        <v>32.44</v>
      </c>
      <c r="E317" s="229">
        <f>Model!E1335</f>
        <v>31.98</v>
      </c>
      <c r="F317" s="229">
        <f>Model!F1335</f>
        <v>30.09</v>
      </c>
      <c r="G317" s="229">
        <f>Model!G1335</f>
        <v>36.659999999999997</v>
      </c>
      <c r="H317" s="229">
        <f>Model!H1335</f>
        <v>43.48</v>
      </c>
      <c r="I317" s="229">
        <f>Model!I1335</f>
        <v>45.454545454545453</v>
      </c>
      <c r="J317" s="229">
        <f>Model!J1335</f>
        <v>48.387096774193544</v>
      </c>
      <c r="K317" s="229">
        <f>Model!K1335</f>
        <v>50.847457627118644</v>
      </c>
      <c r="L317" s="229">
        <f>Model!L1335</f>
        <v>57.971014492753618</v>
      </c>
      <c r="M317" s="229">
        <f>Model!M1335</f>
        <v>47.61904761904762</v>
      </c>
      <c r="N317" s="229">
        <f>Model!N1335</f>
        <v>47.570093457943926</v>
      </c>
      <c r="O317" s="229">
        <f>Model!O1335</f>
        <v>53.271028037383182</v>
      </c>
      <c r="P317" s="229">
        <f>Model!P1335</f>
        <v>50.847457627118644</v>
      </c>
      <c r="Q317" s="229">
        <f>Model!Q1335</f>
        <v>54.350877192982459</v>
      </c>
      <c r="R317" s="229">
        <f>Model!R1335</f>
        <v>54.166666666666664</v>
      </c>
      <c r="S317" s="229">
        <f>Model!S1335</f>
        <v>53.29032258064516</v>
      </c>
      <c r="T317" s="229">
        <f>Model!T1335</f>
        <v>43.645161290322584</v>
      </c>
      <c r="U317" s="229">
        <f>Model!U1335</f>
        <v>45.133333333333333</v>
      </c>
      <c r="V317" s="229">
        <f>Model!V1335</f>
        <v>45.339285714285715</v>
      </c>
      <c r="W317" s="229">
        <f>Model!W1335</f>
        <v>54.22784810126582</v>
      </c>
      <c r="X317" s="229">
        <f>Model!X1335</f>
        <v>59.466666666666669</v>
      </c>
      <c r="Y317" s="229">
        <f>Model!Y1335</f>
        <v>61.379310344827587</v>
      </c>
      <c r="Z317" s="229">
        <f>Model!Z1335</f>
        <v>67.777777777777771</v>
      </c>
      <c r="AA317" s="229">
        <f>Model!AA1335</f>
        <v>74.121621621621628</v>
      </c>
      <c r="AB317" s="229">
        <f>Model!AB1335</f>
        <v>75.833333333333329</v>
      </c>
      <c r="AC317" s="229">
        <f>Model!AC1335</f>
        <v>74.316666666666663</v>
      </c>
      <c r="AD317" s="229">
        <f>Model!AD1335</f>
        <v>78.775666666666666</v>
      </c>
      <c r="AE317" s="229">
        <f>Model!AE1335</f>
        <v>83.502206666666666</v>
      </c>
      <c r="AF317" s="229">
        <f>Model!AF1335</f>
        <v>88.512339066666669</v>
      </c>
      <c r="AG317" s="229">
        <f>Model!AG1335</f>
        <v>92.937956020000001</v>
      </c>
      <c r="AH317" s="229">
        <f>Model!AH1335</f>
        <v>94.796715140399996</v>
      </c>
      <c r="AI317" s="229">
        <f>Model!AI1335</f>
        <v>96.692649443207998</v>
      </c>
      <c r="AJ317" s="229"/>
      <c r="AK317" s="229"/>
      <c r="AL317" s="229"/>
      <c r="AM317" s="229"/>
      <c r="AN317" s="229"/>
      <c r="AO317" s="229"/>
      <c r="AP317" s="229"/>
      <c r="AQ317" s="229"/>
      <c r="AS317" s="9" t="s">
        <v>580</v>
      </c>
      <c r="AT317" s="15"/>
      <c r="AU317" s="229">
        <f>Model!AU1335</f>
        <v>36.659999999999997</v>
      </c>
      <c r="AV317" s="229">
        <f>Model!AV1335</f>
        <v>48.458149779735677</v>
      </c>
      <c r="AW317" s="229">
        <f>Model!AW1335</f>
        <v>51.416184971098275</v>
      </c>
      <c r="AX317" s="229">
        <f>Model!AX1335</f>
        <v>53.757396449704139</v>
      </c>
      <c r="AY317" s="229">
        <f>Model!AY1335</f>
        <v>48.622448979591837</v>
      </c>
      <c r="AZ317" s="229">
        <f>Model!AZ1335</f>
        <v>67.939252336448604</v>
      </c>
      <c r="BA317" s="229">
        <f>Model!BA1335</f>
        <v>79.230822227976887</v>
      </c>
      <c r="BB317" s="229">
        <f>Model!BB1335</f>
        <v>93.0552615180532</v>
      </c>
      <c r="BC317" s="229">
        <f>Model!BC1335</f>
        <v>100.49968243949746</v>
      </c>
      <c r="BD317" s="229">
        <f>Model!BD1335</f>
        <v>108.53965703465727</v>
      </c>
      <c r="BE317" s="229">
        <f>Model!BE1335</f>
        <v>117.22282959742985</v>
      </c>
      <c r="BG317" s="1735"/>
      <c r="BH317" s="1735"/>
    </row>
    <row r="318" spans="1:75" s="70" customFormat="1" x14ac:dyDescent="0.2">
      <c r="A318" s="411"/>
      <c r="B318" s="35"/>
      <c r="C318" s="9" t="s">
        <v>571</v>
      </c>
      <c r="D318" s="60" t="s">
        <v>229</v>
      </c>
      <c r="E318" s="60">
        <f t="shared" ref="E318:AB318" si="18">E317/D317-1</f>
        <v>-1.4180024660912394E-2</v>
      </c>
      <c r="F318" s="60">
        <f t="shared" si="18"/>
        <v>-5.9099437148217637E-2</v>
      </c>
      <c r="G318" s="60">
        <f t="shared" si="18"/>
        <v>0.21834496510468582</v>
      </c>
      <c r="H318" s="60">
        <f t="shared" si="18"/>
        <v>0.1860338243316968</v>
      </c>
      <c r="I318" s="60">
        <f t="shared" si="18"/>
        <v>4.5412728945387615E-2</v>
      </c>
      <c r="J318" s="60">
        <f t="shared" si="18"/>
        <v>6.4516129032258007E-2</v>
      </c>
      <c r="K318" s="60">
        <f t="shared" si="18"/>
        <v>5.0847457627118731E-2</v>
      </c>
      <c r="L318" s="60">
        <f t="shared" si="18"/>
        <v>0.14009661835748788</v>
      </c>
      <c r="M318" s="60">
        <f t="shared" si="18"/>
        <v>-0.17857142857142849</v>
      </c>
      <c r="N318" s="60">
        <f t="shared" si="18"/>
        <v>-1.0280373831775824E-3</v>
      </c>
      <c r="O318" s="60">
        <f t="shared" si="18"/>
        <v>0.11984282907662092</v>
      </c>
      <c r="P318" s="60">
        <f t="shared" si="18"/>
        <v>-4.5495093666369391E-2</v>
      </c>
      <c r="Q318" s="60">
        <f t="shared" si="18"/>
        <v>6.8900584795321684E-2</v>
      </c>
      <c r="R318" s="60">
        <f t="shared" si="18"/>
        <v>-3.3892834086508561E-3</v>
      </c>
      <c r="S318" s="60">
        <f t="shared" si="18"/>
        <v>-1.6178660049627758E-2</v>
      </c>
      <c r="T318" s="60">
        <f t="shared" si="18"/>
        <v>-0.18099273607748179</v>
      </c>
      <c r="U318" s="60">
        <f t="shared" si="18"/>
        <v>3.4097068243409634E-2</v>
      </c>
      <c r="V318" s="60">
        <f t="shared" si="18"/>
        <v>4.563198987128203E-3</v>
      </c>
      <c r="W318" s="60">
        <f t="shared" si="18"/>
        <v>0.19604548785777309</v>
      </c>
      <c r="X318" s="60">
        <f t="shared" si="18"/>
        <v>9.6607531901649724E-2</v>
      </c>
      <c r="Y318" s="60">
        <f t="shared" si="18"/>
        <v>3.2163290552033486E-2</v>
      </c>
      <c r="Z318" s="60">
        <f t="shared" si="18"/>
        <v>0.1042446941323345</v>
      </c>
      <c r="AA318" s="60">
        <f t="shared" si="18"/>
        <v>9.3597696056712643E-2</v>
      </c>
      <c r="AB318" s="60">
        <f t="shared" si="18"/>
        <v>2.3093284715891782E-2</v>
      </c>
      <c r="AC318" s="267">
        <v>-0.02</v>
      </c>
      <c r="AD318" s="267">
        <v>0.06</v>
      </c>
      <c r="AE318" s="267">
        <v>0.06</v>
      </c>
      <c r="AF318" s="267">
        <v>0.06</v>
      </c>
      <c r="AG318" s="267">
        <v>0.05</v>
      </c>
      <c r="AH318" s="267">
        <v>0.02</v>
      </c>
      <c r="AI318" s="267">
        <v>0.02</v>
      </c>
      <c r="AJ318" s="267"/>
      <c r="AK318" s="267"/>
      <c r="AL318" s="267"/>
      <c r="AM318" s="267"/>
      <c r="AN318" s="267"/>
      <c r="AO318" s="267"/>
      <c r="AP318" s="267"/>
      <c r="AQ318" s="267"/>
      <c r="AS318" s="35"/>
      <c r="AT318" s="9" t="s">
        <v>571</v>
      </c>
      <c r="AU318" s="60"/>
      <c r="AV318" s="60">
        <f t="shared" ref="AV318:BB318" si="19">AV317/AU317-1</f>
        <v>0.3218262351264507</v>
      </c>
      <c r="AW318" s="60">
        <f t="shared" si="19"/>
        <v>6.1043089858119126E-2</v>
      </c>
      <c r="AX318" s="60">
        <f t="shared" si="19"/>
        <v>4.553452341751707E-2</v>
      </c>
      <c r="AY318" s="60">
        <f t="shared" si="19"/>
        <v>-9.5520761964664747E-2</v>
      </c>
      <c r="AZ318" s="60">
        <f t="shared" si="19"/>
        <v>0.39728158005707526</v>
      </c>
      <c r="BA318" s="60">
        <f t="shared" si="19"/>
        <v>0.16620097371119424</v>
      </c>
      <c r="BB318" s="60">
        <f t="shared" si="19"/>
        <v>0.17448309762958414</v>
      </c>
      <c r="BC318" s="915">
        <v>0.08</v>
      </c>
      <c r="BD318" s="915">
        <v>0.08</v>
      </c>
      <c r="BE318" s="915">
        <v>0.08</v>
      </c>
      <c r="BG318" s="1736"/>
      <c r="BH318" s="1710"/>
    </row>
    <row r="319" spans="1:75" s="70" customFormat="1" x14ac:dyDescent="0.2">
      <c r="A319" s="411"/>
      <c r="C319" s="9" t="s">
        <v>378</v>
      </c>
      <c r="D319" s="60" t="s">
        <v>229</v>
      </c>
      <c r="E319" s="60" t="s">
        <v>229</v>
      </c>
      <c r="F319" s="60" t="s">
        <v>229</v>
      </c>
      <c r="G319" s="60" t="s">
        <v>229</v>
      </c>
      <c r="H319" s="137">
        <f>Model!H1336</f>
        <v>11.242632943909573</v>
      </c>
      <c r="I319" s="137">
        <f>Model!I1336</f>
        <v>11.028149413361231</v>
      </c>
      <c r="J319" s="137">
        <f>Model!J1336</f>
        <v>12.017908526807462</v>
      </c>
      <c r="K319" s="137">
        <f>Model!K1336</f>
        <v>11.929165122231311</v>
      </c>
      <c r="L319" s="137">
        <f>Model!L1336</f>
        <v>13.59979202768111</v>
      </c>
      <c r="M319" s="137">
        <f>Model!M1336</f>
        <v>15.540835142702951</v>
      </c>
      <c r="N319" s="137">
        <f>Model!N1336</f>
        <v>15.6783801311199</v>
      </c>
      <c r="O319" s="137">
        <f>Model!O1336</f>
        <v>22.673346321421366</v>
      </c>
      <c r="P319" s="137">
        <f>Model!P1336</f>
        <v>19.684033588884795</v>
      </c>
      <c r="Q319" s="137">
        <f>Model!Q1336</f>
        <v>13.62075794364088</v>
      </c>
      <c r="R319" s="137">
        <f>Model!R1336</f>
        <v>12.462197639599912</v>
      </c>
      <c r="S319" s="137">
        <f>Model!S1336</f>
        <v>9.9412878463461585</v>
      </c>
      <c r="T319" s="137">
        <f>Model!T1336</f>
        <v>8.8320956744661974</v>
      </c>
      <c r="U319" s="137">
        <f>Model!U1336</f>
        <v>9.512319568316423</v>
      </c>
      <c r="V319" s="137">
        <f>Model!V1336</f>
        <v>9.6962439034098207</v>
      </c>
      <c r="W319" s="137">
        <f>Model!W1336</f>
        <v>11.434301933755144</v>
      </c>
      <c r="X319" s="137">
        <f>Model!X1336</f>
        <v>11.908348700569727</v>
      </c>
      <c r="Y319" s="137">
        <f>Model!Y1336</f>
        <v>12.239409081340657</v>
      </c>
      <c r="Z319" s="137">
        <f>Model!Z1336</f>
        <v>13.063155417247682</v>
      </c>
      <c r="AA319" s="137">
        <f>Model!AA1336</f>
        <v>13.768755793298036</v>
      </c>
      <c r="AB319" s="137">
        <f>Model!AB1336</f>
        <v>13.289799143976669</v>
      </c>
      <c r="AC319" s="137">
        <f>Model!AC1336</f>
        <v>12.288361348046303</v>
      </c>
      <c r="AD319" s="137">
        <f>Model!AD1336</f>
        <v>12.452243397018833</v>
      </c>
      <c r="AE319" s="137">
        <f>Model!AE1336</f>
        <v>12.563284916082546</v>
      </c>
      <c r="AF319" s="137">
        <f>Model!AF1336</f>
        <v>12.821773392101139</v>
      </c>
      <c r="AG319" s="137">
        <f>Model!AG1336</f>
        <v>12.718105777016884</v>
      </c>
      <c r="AH319" s="137">
        <f>Model!AH1336</f>
        <v>12.378748179218672</v>
      </c>
      <c r="AI319" s="137">
        <f>Model!AI1336</f>
        <v>12.136755003617404</v>
      </c>
      <c r="AJ319" s="137"/>
      <c r="AK319" s="137"/>
      <c r="AL319" s="137"/>
      <c r="AM319" s="137"/>
      <c r="AN319" s="137"/>
      <c r="AO319" s="137"/>
      <c r="AP319" s="137"/>
      <c r="AQ319" s="137"/>
      <c r="AS319" s="9" t="s">
        <v>378</v>
      </c>
      <c r="AT319" s="9"/>
      <c r="AU319" s="137" t="str">
        <f>Model!AU1336</f>
        <v>NA</v>
      </c>
      <c r="AV319" s="137">
        <f>Model!AV1336</f>
        <v>13.164464023494858</v>
      </c>
      <c r="AW319" s="137">
        <f>Model!AW1336</f>
        <v>12.05915495688474</v>
      </c>
      <c r="AX319" s="137">
        <f>Model!AX1336</f>
        <v>22.862514076145004</v>
      </c>
      <c r="AY319" s="137">
        <f>Model!AY1336</f>
        <v>9.0604157684385935</v>
      </c>
      <c r="AZ319" s="137">
        <f>Model!AZ1336</f>
        <v>14.325123781628534</v>
      </c>
      <c r="BA319" s="137">
        <f>Model!BA1336</f>
        <v>14.720236972209026</v>
      </c>
      <c r="BB319" s="137">
        <f>Model!BB1336</f>
        <v>14.001046343413666</v>
      </c>
      <c r="BC319" s="137">
        <f>Model!BC1336</f>
        <v>12.61680835023949</v>
      </c>
      <c r="BD319" s="137">
        <f>Model!BD1336</f>
        <v>11.668012615650465</v>
      </c>
      <c r="BE319" s="137">
        <f>Model!BE1336</f>
        <v>11.224806353890896</v>
      </c>
      <c r="BG319" s="137"/>
      <c r="BH319" s="137"/>
    </row>
    <row r="320" spans="1:75" x14ac:dyDescent="0.2">
      <c r="Y320" s="1215"/>
      <c r="Z320" s="1688"/>
      <c r="AA320" s="1742"/>
      <c r="AB320" s="1785"/>
      <c r="AR320" s="70"/>
      <c r="BB320" s="1707"/>
    </row>
    <row r="321" spans="1:75" s="369" customFormat="1" x14ac:dyDescent="0.2">
      <c r="A321" s="411"/>
      <c r="B321" s="345" t="s">
        <v>681</v>
      </c>
      <c r="C321" s="9"/>
      <c r="D321" s="9"/>
      <c r="E321" s="9"/>
      <c r="F321" s="9"/>
      <c r="G321" s="9"/>
      <c r="H321" s="9"/>
      <c r="I321" s="9"/>
      <c r="J321" s="9"/>
      <c r="K321" s="9"/>
      <c r="L321" s="9"/>
      <c r="M321" s="9"/>
      <c r="N321" s="9"/>
      <c r="O321" s="9"/>
      <c r="P321" s="9"/>
      <c r="Q321" s="9"/>
      <c r="R321" s="9"/>
      <c r="S321" s="9"/>
      <c r="T321" s="9"/>
      <c r="U321" s="9"/>
      <c r="V321" s="9"/>
      <c r="W321" s="9"/>
      <c r="X321" s="9"/>
      <c r="Y321" s="1215"/>
      <c r="Z321" s="1688"/>
      <c r="AA321" s="1742"/>
      <c r="AB321" s="1785"/>
      <c r="AC321" s="9"/>
      <c r="AD321" s="9"/>
      <c r="AE321" s="9"/>
      <c r="AF321" s="1707"/>
      <c r="AG321" s="1707"/>
      <c r="AH321" s="1707"/>
      <c r="AI321" s="1707"/>
      <c r="AJ321" s="1740"/>
      <c r="AK321" s="1740"/>
      <c r="AL321" s="1740"/>
      <c r="AM321" s="1740"/>
      <c r="AN321" s="1740"/>
      <c r="AO321" s="1740"/>
      <c r="AP321" s="1740"/>
      <c r="AQ321" s="1740"/>
      <c r="AR321" s="70"/>
      <c r="AS321" s="342" t="s">
        <v>681</v>
      </c>
      <c r="AT321" s="9"/>
      <c r="AU321" s="9"/>
      <c r="AV321" s="9"/>
      <c r="AX321" s="9"/>
      <c r="AY321" s="382"/>
      <c r="AZ321" s="9"/>
    </row>
    <row r="322" spans="1:75" s="369" customFormat="1" x14ac:dyDescent="0.2">
      <c r="A322" s="411"/>
      <c r="B322" s="321"/>
      <c r="C322" s="9" t="s">
        <v>682</v>
      </c>
      <c r="D322" s="9"/>
      <c r="E322" s="9"/>
      <c r="F322" s="9"/>
      <c r="G322" s="9"/>
      <c r="H322" s="9"/>
      <c r="I322" s="343">
        <f>Model!I1405</f>
        <v>-1.4262475811611663E-3</v>
      </c>
      <c r="J322" s="343">
        <f>Model!J1405</f>
        <v>-1.4274347082389172E-3</v>
      </c>
      <c r="K322" s="343">
        <f>Model!K1405</f>
        <v>-8.9949495673768975E-3</v>
      </c>
      <c r="L322" s="343">
        <f>Model!L1405</f>
        <v>-4.12765954069928E-2</v>
      </c>
      <c r="M322" s="343">
        <f>Model!M1405</f>
        <v>-3.9427096955525487E-2</v>
      </c>
      <c r="N322" s="343">
        <f>Model!N1405</f>
        <v>-3.9362045388196654E-2</v>
      </c>
      <c r="O322" s="343">
        <f>Model!O1405</f>
        <v>-4.9678749501974706E-2</v>
      </c>
      <c r="P322" s="343">
        <f>Model!P1405</f>
        <v>-6.2966696215330353E-2</v>
      </c>
      <c r="Q322" s="343">
        <f>Model!Q1405</f>
        <v>-5.2115880503021628E-2</v>
      </c>
      <c r="R322" s="343">
        <f>Model!R1405</f>
        <v>-4.9894258385792312E-2</v>
      </c>
      <c r="S322" s="343">
        <f>Model!S1405</f>
        <v>-4.3898717150780642E-2</v>
      </c>
      <c r="T322" s="343">
        <f>Model!T1405</f>
        <v>-5.0468910715366189E-2</v>
      </c>
      <c r="U322" s="343">
        <f>Model!U1405</f>
        <v>-4.3280804895300062E-2</v>
      </c>
      <c r="V322" s="343">
        <f>Model!V1405</f>
        <v>-5.0398808743587598E-2</v>
      </c>
      <c r="W322" s="343">
        <f>Model!W1405</f>
        <v>-5.0003362248671857E-2</v>
      </c>
      <c r="X322" s="343">
        <f>Model!X1405</f>
        <v>-4.097542632724438E-2</v>
      </c>
      <c r="Y322" s="343">
        <f>Model!Y1405</f>
        <v>1.1134798391134737E-3</v>
      </c>
      <c r="Z322" s="343">
        <f>Model!Z1405</f>
        <v>1.0186673970637994E-3</v>
      </c>
      <c r="AA322" s="343">
        <f>Model!AA1405</f>
        <v>2.9104809034385948E-3</v>
      </c>
      <c r="AB322" s="343">
        <f>Model!AB1405</f>
        <v>1.3587786259541934E-2</v>
      </c>
      <c r="AC322" s="271">
        <v>0.01</v>
      </c>
      <c r="AD322" s="271">
        <v>0.01</v>
      </c>
      <c r="AE322" s="271">
        <v>0.01</v>
      </c>
      <c r="AF322" s="271">
        <v>0.01</v>
      </c>
      <c r="AG322" s="271">
        <v>0.01</v>
      </c>
      <c r="AH322" s="271">
        <v>0.01</v>
      </c>
      <c r="AI322" s="271">
        <v>0.01</v>
      </c>
      <c r="AJ322" s="271"/>
      <c r="AK322" s="271"/>
      <c r="AL322" s="271"/>
      <c r="AM322" s="271"/>
      <c r="AN322" s="271"/>
      <c r="AO322" s="271"/>
      <c r="AP322" s="271"/>
      <c r="AQ322" s="271"/>
      <c r="AR322" s="70"/>
      <c r="AS322" s="321"/>
      <c r="AT322" s="9" t="s">
        <v>682</v>
      </c>
      <c r="AU322" s="9"/>
      <c r="AV322" s="344">
        <f>Model!AV1405</f>
        <v>-8.9949495673768975E-3</v>
      </c>
      <c r="AW322" s="344">
        <f>Model!AW1405</f>
        <v>-4.9678749501974706E-2</v>
      </c>
      <c r="AX322" s="344">
        <f>Model!AX1405</f>
        <v>-4.3898717150780642E-2</v>
      </c>
      <c r="AY322" s="344">
        <f>Model!AY1405</f>
        <v>-5.0003362248671857E-2</v>
      </c>
      <c r="AZ322" s="344">
        <f>Model!AZ1405</f>
        <v>2.9104809034385948E-3</v>
      </c>
      <c r="BA322" s="344">
        <f>Model!BA1405</f>
        <v>1.0000000000000009E-2</v>
      </c>
      <c r="BB322" s="344">
        <f>Model!BB1405</f>
        <v>1.0000000000000009E-2</v>
      </c>
      <c r="BC322" s="271">
        <v>0.01</v>
      </c>
      <c r="BD322" s="271">
        <v>0.01</v>
      </c>
      <c r="BE322" s="271">
        <v>0.01</v>
      </c>
      <c r="BG322" s="853"/>
      <c r="BH322" s="1710"/>
    </row>
    <row r="323" spans="1:75" s="369" customFormat="1" x14ac:dyDescent="0.2">
      <c r="A323" s="411"/>
      <c r="B323" s="321"/>
      <c r="C323" s="1203"/>
      <c r="D323" s="1203"/>
      <c r="E323" s="1203"/>
      <c r="F323" s="1203"/>
      <c r="G323" s="1203"/>
      <c r="H323" s="1203"/>
      <c r="I323" s="343"/>
      <c r="J323" s="343"/>
      <c r="K323" s="343"/>
      <c r="L323" s="343"/>
      <c r="M323" s="343"/>
      <c r="N323" s="343"/>
      <c r="O323" s="343"/>
      <c r="P323" s="343"/>
      <c r="Q323" s="343"/>
      <c r="R323" s="343"/>
      <c r="S323" s="343"/>
      <c r="T323" s="343"/>
      <c r="U323" s="343"/>
      <c r="V323" s="343"/>
      <c r="W323" s="343"/>
      <c r="X323" s="343"/>
      <c r="Y323" s="343"/>
      <c r="Z323" s="343"/>
      <c r="AA323" s="343"/>
      <c r="AB323" s="343"/>
      <c r="AC323" s="343"/>
      <c r="AD323" s="343"/>
      <c r="AE323" s="343"/>
      <c r="AF323" s="343"/>
      <c r="AG323" s="343"/>
      <c r="AH323" s="343"/>
      <c r="AI323" s="343"/>
      <c r="AJ323" s="343"/>
      <c r="AK323" s="343"/>
      <c r="AL323" s="343"/>
      <c r="AM323" s="343"/>
      <c r="AN323" s="343"/>
      <c r="AO323" s="343"/>
      <c r="AP323" s="343"/>
      <c r="AQ323" s="343"/>
      <c r="AR323" s="70"/>
      <c r="AS323" s="321"/>
      <c r="AT323" s="1203"/>
      <c r="AU323" s="1203"/>
      <c r="AV323" s="344"/>
      <c r="AW323" s="344"/>
      <c r="AX323" s="344"/>
      <c r="AY323" s="344"/>
      <c r="AZ323" s="344"/>
      <c r="BA323" s="344"/>
      <c r="BB323" s="344"/>
      <c r="BC323" s="344"/>
      <c r="BD323" s="344"/>
      <c r="BE323" s="344"/>
      <c r="BG323" s="344"/>
      <c r="BH323" s="344"/>
    </row>
    <row r="324" spans="1:75" s="369" customFormat="1" x14ac:dyDescent="0.2">
      <c r="A324" s="411"/>
      <c r="B324" s="318" t="s">
        <v>1248</v>
      </c>
      <c r="C324" s="15"/>
      <c r="D324" s="1204">
        <f>Model!D1333</f>
        <v>0</v>
      </c>
      <c r="E324" s="1204">
        <f>Model!E1333</f>
        <v>0</v>
      </c>
      <c r="F324" s="1204">
        <f>Model!F1333</f>
        <v>0</v>
      </c>
      <c r="G324" s="1204">
        <f>Model!G1333</f>
        <v>0</v>
      </c>
      <c r="H324" s="1204">
        <f>Model!H1333</f>
        <v>0</v>
      </c>
      <c r="I324" s="1204">
        <f>Model!I1333</f>
        <v>-200</v>
      </c>
      <c r="J324" s="1204">
        <f>Model!J1333</f>
        <v>-600</v>
      </c>
      <c r="K324" s="1204">
        <f>Model!K1333</f>
        <v>-300</v>
      </c>
      <c r="L324" s="1204">
        <f>Model!L1333</f>
        <v>-400</v>
      </c>
      <c r="M324" s="1204">
        <f>Model!M1333</f>
        <v>-300</v>
      </c>
      <c r="N324" s="1204">
        <f>Model!N1333</f>
        <v>-509</v>
      </c>
      <c r="O324" s="1204">
        <f>Model!O1333</f>
        <v>-570</v>
      </c>
      <c r="P324" s="1204">
        <f>Model!P1333</f>
        <v>-300</v>
      </c>
      <c r="Q324" s="1204">
        <f>Model!Q1333</f>
        <v>-1549</v>
      </c>
      <c r="R324" s="1204">
        <f>Model!R1333</f>
        <v>-1950</v>
      </c>
      <c r="S324" s="1204">
        <f>Model!S1333</f>
        <v>-1652</v>
      </c>
      <c r="T324" s="1204">
        <f>Model!T1333</f>
        <v>-1353</v>
      </c>
      <c r="U324" s="1204">
        <f>Model!U1333</f>
        <v>-1354</v>
      </c>
      <c r="V324" s="1204">
        <f>Model!V1333</f>
        <v>-2539</v>
      </c>
      <c r="W324" s="1204">
        <f>Model!W1333</f>
        <v>-4284</v>
      </c>
      <c r="X324" s="1204">
        <f>Model!X1333</f>
        <v>-1784</v>
      </c>
      <c r="Y324" s="1204">
        <f>Model!Y1333</f>
        <v>-1780</v>
      </c>
      <c r="Z324" s="1204">
        <f>Model!Z1333</f>
        <v>-5490</v>
      </c>
      <c r="AA324" s="1204">
        <f>Model!AA1333</f>
        <v>-5485</v>
      </c>
      <c r="AB324" s="1204">
        <f>Model!AB1333</f>
        <v>-2275</v>
      </c>
      <c r="AC324" s="1204">
        <f>Model!AC1333</f>
        <v>-2274.0008199999997</v>
      </c>
      <c r="AD324" s="1204">
        <f>Model!AD1333</f>
        <v>-5363.9217666882432</v>
      </c>
      <c r="AE324" s="1204">
        <f>Model!AE1333</f>
        <v>-5537.9788855391325</v>
      </c>
      <c r="AF324" s="1204">
        <f>Model!AF1333</f>
        <v>-5294.1912997375139</v>
      </c>
      <c r="AG324" s="1204">
        <f>Model!AG1333</f>
        <v>-5440.8393832107795</v>
      </c>
      <c r="AH324" s="1204">
        <f>Model!AH1333</f>
        <v>-4983.6916312711564</v>
      </c>
      <c r="AI324" s="1204">
        <f>Model!AI1333</f>
        <v>-4972.1073702986787</v>
      </c>
      <c r="AJ324" s="1204"/>
      <c r="AK324" s="1204"/>
      <c r="AL324" s="1204"/>
      <c r="AM324" s="1204"/>
      <c r="AN324" s="1204"/>
      <c r="AO324" s="1204"/>
      <c r="AP324" s="1204"/>
      <c r="AQ324" s="1204"/>
      <c r="AR324" s="70"/>
      <c r="AS324" s="321"/>
      <c r="AT324" s="15"/>
      <c r="AU324" s="1204">
        <f>Model!AU1333</f>
        <v>0</v>
      </c>
      <c r="AV324" s="1204">
        <f>Model!AV1333</f>
        <v>-1100</v>
      </c>
      <c r="AW324" s="1204">
        <f>Model!AW1333</f>
        <v>-1779</v>
      </c>
      <c r="AX324" s="1204">
        <f>Model!AX1333</f>
        <v>-5451</v>
      </c>
      <c r="AY324" s="1204">
        <f>Model!AY1333</f>
        <v>-9530</v>
      </c>
      <c r="AZ324" s="1204">
        <f>Model!AZ1333</f>
        <v>-14539</v>
      </c>
      <c r="BA324" s="1204">
        <f>Model!BA1333</f>
        <v>-15450.901472227375</v>
      </c>
      <c r="BB324" s="1204">
        <f>Model!BB1333</f>
        <v>-20690.829684518128</v>
      </c>
      <c r="BC324" s="1204">
        <f>Model!BC1333</f>
        <v>-15384.116316666281</v>
      </c>
      <c r="BD324" s="1204">
        <f>Model!BD1333</f>
        <v>-13362.807232427307</v>
      </c>
      <c r="BE324" s="1204">
        <f>Model!BE1333</f>
        <v>-13684.588844537262</v>
      </c>
      <c r="BG324" s="1204"/>
      <c r="BH324" s="1204"/>
    </row>
    <row r="325" spans="1:75" s="369" customFormat="1" x14ac:dyDescent="0.2">
      <c r="A325" s="411"/>
      <c r="B325" s="318"/>
      <c r="C325" s="15"/>
      <c r="D325" s="1204"/>
      <c r="E325" s="1204"/>
      <c r="F325" s="1204"/>
      <c r="G325" s="1204"/>
      <c r="H325" s="1204"/>
      <c r="I325" s="1204"/>
      <c r="J325" s="1204"/>
      <c r="K325" s="1204"/>
      <c r="L325" s="1204"/>
      <c r="M325" s="1204"/>
      <c r="N325" s="1204"/>
      <c r="O325" s="1204"/>
      <c r="P325" s="1204"/>
      <c r="Q325" s="1204"/>
      <c r="R325" s="1204"/>
      <c r="S325" s="1204"/>
      <c r="T325" s="1204"/>
      <c r="U325" s="1204"/>
      <c r="V325" s="1204">
        <f>SUM(V324:Y324)</f>
        <v>-10387</v>
      </c>
      <c r="W325" s="1204"/>
      <c r="X325" s="1204"/>
      <c r="Y325" s="1204"/>
      <c r="Z325" s="1204">
        <f>SUM(Z324:AC324)</f>
        <v>-15524.000819999999</v>
      </c>
      <c r="AA325" s="1204"/>
      <c r="AB325" s="1204"/>
      <c r="AC325" s="1205" t="s">
        <v>1430</v>
      </c>
      <c r="AD325" s="1204">
        <f>SUM(AD324:AG324)</f>
        <v>-21636.931335175668</v>
      </c>
      <c r="AE325" s="1204"/>
      <c r="AF325" s="1204"/>
      <c r="AG325" s="1205" t="s">
        <v>1431</v>
      </c>
      <c r="AH325" s="1204">
        <f>SUM(AH324:AI324)*2</f>
        <v>-19911.598003139668</v>
      </c>
      <c r="AI325" s="1204"/>
      <c r="AJ325" s="1204"/>
      <c r="AK325" s="1204"/>
      <c r="AL325" s="1204"/>
      <c r="AM325" s="1204"/>
      <c r="AN325" s="1204"/>
      <c r="AO325" s="1204"/>
      <c r="AP325" s="1204"/>
      <c r="AQ325" s="1204"/>
      <c r="AR325" s="70"/>
      <c r="AS325" s="321"/>
      <c r="AT325" s="15"/>
      <c r="AU325" s="1204"/>
      <c r="AV325" s="1204"/>
      <c r="AW325" s="1204"/>
      <c r="AX325" s="1204"/>
      <c r="AY325" s="1204"/>
      <c r="AZ325" s="1204"/>
      <c r="BA325" s="1204"/>
      <c r="BB325" s="1204"/>
      <c r="BC325" s="1204"/>
      <c r="BD325" s="1204"/>
      <c r="BE325" s="1204"/>
      <c r="BG325" s="1204"/>
      <c r="BH325" s="1204"/>
    </row>
    <row r="326" spans="1:75" s="369" customFormat="1" x14ac:dyDescent="0.2">
      <c r="A326" s="411"/>
      <c r="B326" s="318"/>
      <c r="C326" s="15"/>
      <c r="D326" s="1204"/>
      <c r="E326" s="1204"/>
      <c r="F326" s="1204"/>
      <c r="G326" s="1204"/>
      <c r="H326" s="1204"/>
      <c r="I326" s="1204"/>
      <c r="J326" s="1204"/>
      <c r="K326" s="1204"/>
      <c r="L326" s="1204"/>
      <c r="M326" s="1204"/>
      <c r="N326" s="1204"/>
      <c r="O326" s="1204"/>
      <c r="P326" s="1204"/>
      <c r="Q326" s="1204"/>
      <c r="R326" s="1204"/>
      <c r="S326" s="1204"/>
      <c r="T326" s="1204"/>
      <c r="U326" s="1205" t="s">
        <v>1250</v>
      </c>
      <c r="V326" s="1206">
        <f>-8600-1750</f>
        <v>-10350</v>
      </c>
      <c r="W326" s="1204"/>
      <c r="X326" s="1204"/>
      <c r="Y326" s="1205" t="s">
        <v>1249</v>
      </c>
      <c r="Z326" s="1206">
        <v>-15600</v>
      </c>
      <c r="AA326" s="1204"/>
      <c r="AB326" s="1204"/>
      <c r="AC326" s="1204"/>
      <c r="AD326" s="1206"/>
      <c r="AE326" s="1204"/>
      <c r="AF326" s="1204"/>
      <c r="AG326" s="1205" t="s">
        <v>1432</v>
      </c>
      <c r="AH326" s="1204">
        <f>AH325+AD325+Z325+SUM(Model!Z1293:AI1293,Model!AH1293,Model!AI1293)</f>
        <v>-68134.764550384542</v>
      </c>
      <c r="AJ326" s="1204"/>
      <c r="AK326" s="1204"/>
      <c r="AL326" s="1204"/>
      <c r="AM326" s="1204"/>
      <c r="AN326" s="1204"/>
      <c r="AO326" s="1204"/>
      <c r="AP326" s="1204"/>
      <c r="AQ326" s="1204"/>
      <c r="AR326" s="70"/>
      <c r="AS326" s="321"/>
      <c r="AT326" s="15"/>
      <c r="AU326" s="1204"/>
      <c r="AV326" s="1204"/>
      <c r="AW326" s="1204"/>
      <c r="AX326" s="1204"/>
      <c r="AY326" s="1204"/>
      <c r="AZ326" s="1204"/>
      <c r="BA326" s="1204"/>
      <c r="BB326" s="1204"/>
      <c r="BC326" s="1204"/>
      <c r="BD326" s="1204"/>
      <c r="BE326" s="1204"/>
      <c r="BG326" s="1204"/>
      <c r="BH326" s="1204"/>
    </row>
    <row r="327" spans="1:75" x14ac:dyDescent="0.2">
      <c r="AA327" s="1742"/>
      <c r="AB327" s="1785"/>
      <c r="AD327" s="49">
        <f>AD325/Z325-1</f>
        <v>0.39377288020367862</v>
      </c>
      <c r="AH327" s="49">
        <f>AH325/AD325-1</f>
        <v>-7.9740204620933675E-2</v>
      </c>
      <c r="AR327" s="70"/>
      <c r="BB327" s="1707"/>
    </row>
    <row r="328" spans="1:75" s="70" customFormat="1" x14ac:dyDescent="0.2">
      <c r="A328" s="411" t="s">
        <v>194</v>
      </c>
      <c r="B328" s="13" t="s">
        <v>882</v>
      </c>
      <c r="C328" s="13"/>
      <c r="D328" s="14"/>
      <c r="E328" s="14"/>
      <c r="F328" s="14"/>
      <c r="G328" s="14"/>
      <c r="H328" s="14"/>
      <c r="I328" s="14"/>
      <c r="J328" s="14"/>
      <c r="K328" s="14"/>
      <c r="L328" s="14"/>
      <c r="M328" s="14"/>
      <c r="N328" s="14"/>
      <c r="O328" s="14"/>
      <c r="P328" s="14"/>
      <c r="Q328" s="14"/>
      <c r="R328" s="14"/>
      <c r="S328" s="14"/>
      <c r="T328" s="14"/>
      <c r="U328" s="14"/>
      <c r="V328" s="14"/>
      <c r="W328" s="14"/>
      <c r="X328" s="14"/>
      <c r="Y328" s="14"/>
      <c r="Z328" s="14"/>
      <c r="AA328" s="14"/>
      <c r="AB328" s="14"/>
      <c r="AC328" s="14"/>
      <c r="AD328" s="14"/>
      <c r="AE328" s="14"/>
      <c r="AF328" s="14"/>
      <c r="AG328" s="14"/>
      <c r="AH328" s="14"/>
      <c r="AI328" s="14"/>
      <c r="AJ328" s="14"/>
      <c r="AK328" s="14"/>
      <c r="AL328" s="14"/>
      <c r="AM328" s="14"/>
      <c r="AN328" s="14"/>
      <c r="AO328" s="14"/>
      <c r="AP328" s="14"/>
      <c r="AQ328" s="14"/>
      <c r="AS328" s="13" t="s">
        <v>882</v>
      </c>
      <c r="AT328" s="13"/>
      <c r="AU328" s="14"/>
      <c r="AV328" s="14"/>
      <c r="AW328" s="14"/>
      <c r="AX328" s="14"/>
      <c r="AY328" s="14"/>
      <c r="AZ328" s="14"/>
      <c r="BA328" s="14"/>
      <c r="BB328" s="14"/>
      <c r="BC328" s="14"/>
      <c r="BD328" s="14"/>
      <c r="BE328" s="14"/>
      <c r="BF328" s="15"/>
      <c r="BG328" s="15"/>
      <c r="BH328" s="15"/>
      <c r="BI328" s="15"/>
      <c r="BJ328" s="15"/>
      <c r="BK328" s="15"/>
      <c r="BL328" s="15"/>
      <c r="BM328" s="15"/>
      <c r="BN328" s="15"/>
      <c r="BO328" s="15"/>
      <c r="BP328" s="15"/>
      <c r="BQ328" s="15"/>
      <c r="BR328" s="15"/>
      <c r="BS328" s="15"/>
      <c r="BT328" s="15"/>
      <c r="BU328" s="15"/>
      <c r="BV328" s="15"/>
      <c r="BW328" s="15"/>
    </row>
    <row r="329" spans="1:75" s="70" customFormat="1" x14ac:dyDescent="0.2">
      <c r="A329" s="411"/>
      <c r="B329" s="16"/>
      <c r="C329" s="16"/>
      <c r="D329" s="15"/>
      <c r="E329" s="15"/>
      <c r="F329" s="15"/>
      <c r="G329" s="15"/>
      <c r="H329" s="15"/>
      <c r="I329" s="15"/>
      <c r="J329" s="15"/>
      <c r="K329" s="15"/>
      <c r="L329" s="15"/>
      <c r="M329" s="15"/>
      <c r="N329" s="15"/>
      <c r="O329" s="15"/>
      <c r="P329" s="15"/>
      <c r="Q329" s="15"/>
      <c r="R329" s="15"/>
      <c r="S329" s="15"/>
      <c r="T329" s="15"/>
      <c r="U329" s="15"/>
      <c r="V329" s="15"/>
      <c r="W329" s="15"/>
      <c r="X329" s="15"/>
      <c r="Y329" s="15"/>
      <c r="Z329" s="15"/>
      <c r="AA329" s="15"/>
      <c r="AB329" s="15"/>
      <c r="AC329" s="15"/>
      <c r="AD329" s="15"/>
      <c r="AE329" s="15"/>
      <c r="AF329" s="15"/>
      <c r="AJ329" s="15"/>
      <c r="AK329" s="15"/>
      <c r="AL329" s="15"/>
      <c r="AM329" s="15"/>
      <c r="AN329" s="15"/>
      <c r="AO329" s="15"/>
      <c r="AP329" s="15"/>
      <c r="AQ329" s="15"/>
      <c r="AS329" s="16"/>
      <c r="AT329" s="16"/>
      <c r="AU329" s="15"/>
      <c r="AV329" s="15"/>
      <c r="AW329" s="15"/>
      <c r="AX329" s="15"/>
      <c r="AY329" s="15"/>
      <c r="AZ329" s="15"/>
      <c r="BA329" s="15"/>
      <c r="BB329" s="15"/>
      <c r="BC329" s="15"/>
      <c r="BD329" s="15"/>
      <c r="BE329" s="15"/>
      <c r="BF329" s="15"/>
      <c r="BG329" s="15"/>
      <c r="BH329" s="15"/>
      <c r="BI329" s="15"/>
      <c r="BJ329" s="15"/>
      <c r="BK329" s="15"/>
      <c r="BL329" s="15"/>
      <c r="BM329" s="15"/>
      <c r="BN329" s="15"/>
      <c r="BO329" s="15"/>
      <c r="BP329" s="15"/>
      <c r="BQ329" s="15"/>
      <c r="BR329" s="15"/>
      <c r="BS329" s="15"/>
      <c r="BT329" s="15"/>
      <c r="BU329" s="15"/>
      <c r="BV329" s="15"/>
      <c r="BW329" s="15"/>
    </row>
    <row r="330" spans="1:75" s="70" customFormat="1" x14ac:dyDescent="0.2">
      <c r="A330" s="411"/>
      <c r="B330" s="65" t="s">
        <v>977</v>
      </c>
      <c r="C330" s="914"/>
      <c r="D330" s="32"/>
      <c r="E330" s="32"/>
      <c r="F330" s="32"/>
      <c r="G330" s="32"/>
      <c r="H330" s="51"/>
      <c r="I330" s="51"/>
      <c r="J330" s="51"/>
      <c r="K330" s="51"/>
      <c r="L330" s="51"/>
      <c r="M330" s="51"/>
      <c r="N330" s="51"/>
      <c r="O330" s="51"/>
      <c r="P330" s="51"/>
      <c r="Q330" s="51"/>
      <c r="R330" s="51"/>
      <c r="S330" s="51"/>
      <c r="T330" s="51"/>
      <c r="U330" s="51"/>
      <c r="V330" s="51"/>
      <c r="W330" s="51"/>
      <c r="X330" s="51"/>
      <c r="Y330" s="51"/>
      <c r="Z330" s="51"/>
      <c r="AA330" s="51"/>
      <c r="AB330" s="51"/>
      <c r="AC330" s="51"/>
      <c r="AD330" s="51"/>
      <c r="AE330" s="51"/>
      <c r="AF330" s="51"/>
      <c r="AG330" s="51"/>
      <c r="AH330" s="51"/>
      <c r="AI330" s="51"/>
      <c r="AJ330" s="51"/>
      <c r="AK330" s="51"/>
      <c r="AL330" s="51"/>
      <c r="AM330" s="51"/>
      <c r="AN330" s="51"/>
      <c r="AO330" s="51"/>
      <c r="AP330" s="51"/>
      <c r="AQ330" s="51"/>
      <c r="AS330" s="65" t="s">
        <v>977</v>
      </c>
      <c r="AT330" s="914"/>
      <c r="AU330" s="51"/>
      <c r="AV330" s="51"/>
      <c r="AW330" s="51"/>
      <c r="AX330" s="51"/>
      <c r="AY330" s="51"/>
      <c r="AZ330" s="51"/>
      <c r="BA330" s="51"/>
      <c r="BB330" s="51"/>
      <c r="BC330" s="51"/>
      <c r="BD330" s="51"/>
      <c r="BE330" s="51"/>
      <c r="BG330" s="1737"/>
      <c r="BH330" s="1737"/>
    </row>
    <row r="331" spans="1:75" s="70" customFormat="1" x14ac:dyDescent="0.2">
      <c r="A331" s="411"/>
      <c r="B331" s="35" t="s">
        <v>980</v>
      </c>
      <c r="C331" s="914"/>
      <c r="D331" s="917">
        <f>Model!D1416</f>
        <v>0.60247734831976141</v>
      </c>
      <c r="E331" s="917">
        <f>Model!E1416</f>
        <v>0.60697565543071164</v>
      </c>
      <c r="F331" s="917">
        <f>Model!F1416</f>
        <v>0.61006711409395975</v>
      </c>
      <c r="G331" s="917">
        <f>Model!G1416</f>
        <v>0.60068980863373389</v>
      </c>
      <c r="H331" s="917">
        <f>Model!H1416</f>
        <v>0.59050546448087426</v>
      </c>
      <c r="I331" s="917">
        <f>Model!I1416</f>
        <v>0.58541595344060249</v>
      </c>
      <c r="J331" s="917">
        <f>Model!J1416</f>
        <v>0.57904234841193458</v>
      </c>
      <c r="K331" s="917">
        <f>Model!K1416</f>
        <v>0.57931115276476097</v>
      </c>
      <c r="L331" s="917">
        <f>Model!L1416</f>
        <v>0.58044465694477643</v>
      </c>
      <c r="M331" s="917">
        <f>Model!M1416</f>
        <v>0.5726415094339623</v>
      </c>
      <c r="N331" s="917">
        <f>Model!N1416</f>
        <v>0.57843696520250998</v>
      </c>
      <c r="O331" s="917">
        <f>Model!O1416</f>
        <v>0.59807781380268643</v>
      </c>
      <c r="P331" s="917">
        <f>Model!P1416</f>
        <v>0.60791454236465159</v>
      </c>
      <c r="Q331" s="917">
        <f>Model!Q1416</f>
        <v>0.59645669291338588</v>
      </c>
      <c r="R331" s="917">
        <f>Model!R1416</f>
        <v>0.59967785900136295</v>
      </c>
      <c r="S331" s="917">
        <f>Model!S1416</f>
        <v>0.6167135909905298</v>
      </c>
      <c r="T331" s="917">
        <f>Model!T1416</f>
        <v>0.62613430127041747</v>
      </c>
      <c r="U331" s="917">
        <f>Model!U1416</f>
        <v>0.61363044044826687</v>
      </c>
      <c r="V331" s="917">
        <f>Model!V1416</f>
        <v>0.63216560509554143</v>
      </c>
      <c r="W331" s="917">
        <f>Model!W1416</f>
        <v>0.63499435170076568</v>
      </c>
      <c r="X331" s="917">
        <f>Model!X1416</f>
        <v>0.63025745602854955</v>
      </c>
      <c r="Y331" s="917">
        <f>Model!Y1416</f>
        <v>0.61265948222469957</v>
      </c>
      <c r="Z331" s="917">
        <f>Model!Z1416</f>
        <v>0.61357733175914997</v>
      </c>
      <c r="AA331" s="917">
        <f>Model!AA1416</f>
        <v>0.61332702094922475</v>
      </c>
      <c r="AB331" s="917">
        <f>Model!AB1416</f>
        <v>0.61152614727854859</v>
      </c>
      <c r="AC331" s="917">
        <f>Model!AC1416</f>
        <v>0.59616692863256027</v>
      </c>
      <c r="AD331" s="917">
        <f>Model!AD1416</f>
        <v>0.59943356811463766</v>
      </c>
      <c r="AE331" s="917">
        <f>Model!AE1416</f>
        <v>0.59547710312675783</v>
      </c>
      <c r="AF331" s="917">
        <f>Model!AF1416</f>
        <v>0.59961854909167911</v>
      </c>
      <c r="AG331" s="917">
        <f>Model!AG1416</f>
        <v>0.59672679837368647</v>
      </c>
      <c r="AH331" s="917">
        <f>Model!AH1416</f>
        <v>0.59630634914626468</v>
      </c>
      <c r="AI331" s="917">
        <f>Model!AI1416</f>
        <v>0.59231513252214008</v>
      </c>
      <c r="AJ331" s="917"/>
      <c r="AK331" s="917"/>
      <c r="AL331" s="917"/>
      <c r="AM331" s="917"/>
      <c r="AN331" s="917"/>
      <c r="AO331" s="917"/>
      <c r="AP331" s="917"/>
      <c r="AQ331" s="917"/>
      <c r="AS331" s="35" t="s">
        <v>980</v>
      </c>
      <c r="AT331" s="914"/>
      <c r="AU331" s="917">
        <f>Model!AU1416</f>
        <v>0.6050410616350772</v>
      </c>
      <c r="AV331" s="917">
        <f>Model!AV1416</f>
        <v>0.58366041575810435</v>
      </c>
      <c r="AW331" s="917">
        <f>Model!AW1416</f>
        <v>0.58244517767979676</v>
      </c>
      <c r="AX331" s="917">
        <f>Model!AX1416</f>
        <v>0.605097516356082</v>
      </c>
      <c r="AY331" s="917">
        <f>Model!AY1416</f>
        <v>0.62689171610774452</v>
      </c>
      <c r="AZ331" s="917">
        <f>Model!AZ1416</f>
        <v>0.61727267190450086</v>
      </c>
      <c r="BA331" s="917">
        <f>Model!BA1416</f>
        <v>0.6005968948142566</v>
      </c>
      <c r="BB331" s="917">
        <f>Model!BB1416</f>
        <v>0.59618270562151776</v>
      </c>
      <c r="BC331" s="917">
        <f>Model!BC1416</f>
        <v>0.59484601879693622</v>
      </c>
      <c r="BD331" s="917">
        <f>Model!BD1416</f>
        <v>0.59293015785864012</v>
      </c>
      <c r="BE331" s="917">
        <f>Model!BE1416</f>
        <v>0.5931590553178161</v>
      </c>
      <c r="BG331" s="1738"/>
      <c r="BH331" s="1738"/>
    </row>
    <row r="332" spans="1:75" s="70" customFormat="1" x14ac:dyDescent="0.2">
      <c r="A332" s="411"/>
      <c r="B332" s="35" t="s">
        <v>979</v>
      </c>
      <c r="C332" s="914"/>
      <c r="D332" s="917">
        <f>Model!D1420</f>
        <v>0.28703703703703703</v>
      </c>
      <c r="E332" s="917">
        <f>Model!E1420</f>
        <v>0.32618664022803323</v>
      </c>
      <c r="F332" s="917">
        <f>Model!F1420</f>
        <v>0.30038759689922478</v>
      </c>
      <c r="G332" s="917">
        <f>Model!G1420</f>
        <v>0.32142382786558638</v>
      </c>
      <c r="H332" s="917">
        <f>Model!H1420</f>
        <v>0.37390162609837391</v>
      </c>
      <c r="I332" s="917">
        <f>Model!I1420</f>
        <v>0.34417433201927289</v>
      </c>
      <c r="J332" s="917">
        <f>Model!J1420</f>
        <v>0.33076621850933297</v>
      </c>
      <c r="K332" s="917">
        <f>Model!K1420</f>
        <v>0.32443645415571842</v>
      </c>
      <c r="L332" s="917">
        <f>Model!L1420</f>
        <v>0.40321363097163809</v>
      </c>
      <c r="M332" s="917">
        <f>Model!M1420</f>
        <v>0.39127366811713515</v>
      </c>
      <c r="N332" s="917">
        <f>Model!N1420</f>
        <v>0.38804771736636845</v>
      </c>
      <c r="O332" s="917">
        <f>Model!O1420</f>
        <v>0.35279434197753434</v>
      </c>
      <c r="P332" s="917">
        <f>Model!P1420</f>
        <v>0.35965009412025245</v>
      </c>
      <c r="Q332" s="917">
        <f>Model!Q1420</f>
        <v>0.39038506969052683</v>
      </c>
      <c r="R332" s="917">
        <f>Model!R1420</f>
        <v>0.39733656174334142</v>
      </c>
      <c r="S332" s="917">
        <f>Model!S1420</f>
        <v>0.37024363536819055</v>
      </c>
      <c r="T332" s="917">
        <f>Model!T1420</f>
        <v>0.37745408486383786</v>
      </c>
      <c r="U332" s="917">
        <f>Model!U1420</f>
        <v>0.39049372770169177</v>
      </c>
      <c r="V332" s="917">
        <f>Model!V1420</f>
        <v>0.37723135122354889</v>
      </c>
      <c r="W332" s="917">
        <f>Model!W1420</f>
        <v>0.36033724340175954</v>
      </c>
      <c r="X332" s="917">
        <f>Model!X1420</f>
        <v>0.3779375469470973</v>
      </c>
      <c r="Y332" s="917">
        <f>Model!Y1420</f>
        <v>0.3870077486466405</v>
      </c>
      <c r="Z332" s="917">
        <f>Model!Z1420</f>
        <v>0.39331919406150584</v>
      </c>
      <c r="AA332" s="917">
        <f>Model!AA1420</f>
        <v>0.36681117533718688</v>
      </c>
      <c r="AB332" s="917">
        <f>Model!AB1420</f>
        <v>0.33153939886271322</v>
      </c>
      <c r="AC332" s="918">
        <f t="shared" ref="AC332:AE332" si="20">AB332</f>
        <v>0.33153939886271322</v>
      </c>
      <c r="AD332" s="918">
        <f t="shared" si="20"/>
        <v>0.33153939886271322</v>
      </c>
      <c r="AE332" s="918">
        <f t="shared" si="20"/>
        <v>0.33153939886271322</v>
      </c>
      <c r="AF332" s="918">
        <f t="shared" ref="AF332" si="21">AE332</f>
        <v>0.33153939886271322</v>
      </c>
      <c r="AG332" s="918">
        <f t="shared" ref="AG332" si="22">AF332</f>
        <v>0.33153939886271322</v>
      </c>
      <c r="AH332" s="918">
        <f t="shared" ref="AH332" si="23">AG332</f>
        <v>0.33153939886271322</v>
      </c>
      <c r="AI332" s="918">
        <f t="shared" ref="AI332" si="24">AH332</f>
        <v>0.33153939886271322</v>
      </c>
      <c r="AJ332" s="918"/>
      <c r="AK332" s="918"/>
      <c r="AL332" s="918"/>
      <c r="AM332" s="918"/>
      <c r="AN332" s="918"/>
      <c r="AO332" s="918"/>
      <c r="AP332" s="918"/>
      <c r="AQ332" s="918"/>
      <c r="AS332" s="35" t="s">
        <v>979</v>
      </c>
      <c r="AT332" s="914"/>
      <c r="AU332" s="917">
        <f>Model!AU1420</f>
        <v>0.3075723964266443</v>
      </c>
      <c r="AV332" s="917">
        <f>Model!AV1420</f>
        <v>0.3456153279292557</v>
      </c>
      <c r="AW332" s="917">
        <f>Model!AW1420</f>
        <v>0.38549176680017799</v>
      </c>
      <c r="AX332" s="917">
        <f>Model!AX1420</f>
        <v>0.37927592777424918</v>
      </c>
      <c r="AY332" s="917">
        <f>Model!AY1420</f>
        <v>0.3765913263309959</v>
      </c>
      <c r="AZ332" s="917">
        <f>Model!AZ1420</f>
        <v>0.38172396775785489</v>
      </c>
      <c r="BA332" s="917">
        <f>Model!BA1420</f>
        <v>0.33153939886271322</v>
      </c>
      <c r="BB332" s="917">
        <f>Model!BB1420</f>
        <v>0.33153939886271322</v>
      </c>
      <c r="BC332" s="918">
        <f t="shared" ref="BC332:BE333" si="25">BB332</f>
        <v>0.33153939886271322</v>
      </c>
      <c r="BD332" s="918">
        <f t="shared" si="25"/>
        <v>0.33153939886271322</v>
      </c>
      <c r="BE332" s="918">
        <f t="shared" si="25"/>
        <v>0.33153939886271322</v>
      </c>
      <c r="BG332" s="919"/>
      <c r="BH332" s="1710"/>
    </row>
    <row r="333" spans="1:75" s="70" customFormat="1" x14ac:dyDescent="0.2">
      <c r="A333" s="411"/>
      <c r="B333" s="35" t="s">
        <v>978</v>
      </c>
      <c r="C333" s="914"/>
      <c r="D333" s="918">
        <v>1</v>
      </c>
      <c r="E333" s="918">
        <v>1</v>
      </c>
      <c r="F333" s="918">
        <v>1</v>
      </c>
      <c r="G333" s="918">
        <v>1</v>
      </c>
      <c r="H333" s="918">
        <v>1</v>
      </c>
      <c r="I333" s="918">
        <v>1</v>
      </c>
      <c r="J333" s="918">
        <v>1</v>
      </c>
      <c r="K333" s="918">
        <v>1</v>
      </c>
      <c r="L333" s="918">
        <v>1</v>
      </c>
      <c r="M333" s="918">
        <v>1</v>
      </c>
      <c r="N333" s="918">
        <v>1</v>
      </c>
      <c r="O333" s="918">
        <v>1</v>
      </c>
      <c r="P333" s="918">
        <v>1</v>
      </c>
      <c r="Q333" s="918">
        <v>1</v>
      </c>
      <c r="R333" s="918">
        <v>1</v>
      </c>
      <c r="S333" s="918">
        <v>1</v>
      </c>
      <c r="T333" s="918">
        <v>1</v>
      </c>
      <c r="U333" s="918">
        <v>1</v>
      </c>
      <c r="V333" s="918">
        <v>1</v>
      </c>
      <c r="W333" s="918">
        <v>1</v>
      </c>
      <c r="X333" s="918">
        <v>1</v>
      </c>
      <c r="Y333" s="918">
        <v>1</v>
      </c>
      <c r="Z333" s="918">
        <v>1</v>
      </c>
      <c r="AA333" s="918">
        <v>1</v>
      </c>
      <c r="AB333" s="918">
        <v>1</v>
      </c>
      <c r="AC333" s="918">
        <v>1</v>
      </c>
      <c r="AD333" s="918">
        <v>1</v>
      </c>
      <c r="AE333" s="918">
        <v>1</v>
      </c>
      <c r="AF333" s="918">
        <v>1</v>
      </c>
      <c r="AG333" s="918">
        <v>1</v>
      </c>
      <c r="AH333" s="918">
        <v>1</v>
      </c>
      <c r="AI333" s="918">
        <v>1</v>
      </c>
      <c r="AJ333" s="918"/>
      <c r="AK333" s="918"/>
      <c r="AL333" s="918"/>
      <c r="AM333" s="918"/>
      <c r="AN333" s="918"/>
      <c r="AO333" s="918"/>
      <c r="AP333" s="918"/>
      <c r="AQ333" s="918"/>
      <c r="AS333" s="35" t="s">
        <v>978</v>
      </c>
      <c r="AT333" s="914"/>
      <c r="AU333" s="23">
        <v>1</v>
      </c>
      <c r="AV333" s="23">
        <v>1</v>
      </c>
      <c r="AW333" s="23">
        <v>1</v>
      </c>
      <c r="AX333" s="23">
        <v>1</v>
      </c>
      <c r="AY333" s="23">
        <v>1</v>
      </c>
      <c r="AZ333" s="23">
        <v>1</v>
      </c>
      <c r="BA333" s="23">
        <v>1</v>
      </c>
      <c r="BB333" s="23">
        <v>1</v>
      </c>
      <c r="BC333" s="918">
        <f t="shared" si="25"/>
        <v>1</v>
      </c>
      <c r="BD333" s="918">
        <f t="shared" si="25"/>
        <v>1</v>
      </c>
      <c r="BE333" s="918">
        <f t="shared" si="25"/>
        <v>1</v>
      </c>
      <c r="BG333" s="919"/>
      <c r="BH333" s="1710"/>
    </row>
    <row r="334" spans="1:75" s="70" customFormat="1" x14ac:dyDescent="0.2">
      <c r="A334" s="411"/>
      <c r="B334" s="914"/>
      <c r="C334" s="914"/>
      <c r="D334" s="32"/>
      <c r="E334" s="32"/>
      <c r="F334" s="32"/>
      <c r="G334" s="32"/>
      <c r="H334" s="51"/>
      <c r="I334" s="51"/>
      <c r="J334" s="51"/>
      <c r="K334" s="51"/>
      <c r="L334" s="51"/>
      <c r="M334" s="51"/>
      <c r="N334" s="51"/>
      <c r="O334" s="51"/>
      <c r="P334" s="51"/>
      <c r="Q334" s="51"/>
      <c r="R334" s="51"/>
      <c r="S334" s="51"/>
      <c r="T334" s="51"/>
      <c r="U334" s="51"/>
      <c r="V334" s="51"/>
      <c r="W334" s="51"/>
      <c r="X334" s="51"/>
      <c r="Y334" s="51"/>
      <c r="Z334" s="51"/>
      <c r="AA334" s="51"/>
      <c r="AB334" s="51"/>
      <c r="AC334" s="51"/>
      <c r="AD334" s="51"/>
      <c r="AE334" s="51"/>
      <c r="AF334" s="51"/>
      <c r="AG334" s="51"/>
      <c r="AH334" s="51"/>
      <c r="AI334" s="51"/>
      <c r="AJ334" s="51"/>
      <c r="AK334" s="51"/>
      <c r="AL334" s="51"/>
      <c r="AM334" s="51"/>
      <c r="AN334" s="51"/>
      <c r="AO334" s="51"/>
      <c r="AP334" s="51"/>
      <c r="AQ334" s="51"/>
      <c r="AS334" s="914"/>
      <c r="AT334" s="914"/>
      <c r="AU334" s="51"/>
      <c r="AV334" s="51"/>
      <c r="AW334" s="51"/>
      <c r="AX334" s="51"/>
      <c r="AY334" s="51"/>
      <c r="AZ334" s="51"/>
      <c r="BA334" s="51"/>
      <c r="BB334" s="51"/>
      <c r="BC334" s="51"/>
      <c r="BD334" s="51"/>
      <c r="BE334" s="51"/>
      <c r="BG334" s="1737"/>
      <c r="BH334" s="1737"/>
    </row>
    <row r="335" spans="1:75" s="70" customFormat="1" x14ac:dyDescent="0.2">
      <c r="A335" s="411"/>
      <c r="B335" s="914" t="s">
        <v>604</v>
      </c>
      <c r="C335" s="914"/>
      <c r="D335" s="917">
        <f>Model!D1428</f>
        <v>0.49193908427997418</v>
      </c>
      <c r="E335" s="917">
        <f>Model!E1428</f>
        <v>0.53005610472882714</v>
      </c>
      <c r="F335" s="917">
        <f>Model!F1428</f>
        <v>0.51815627926334407</v>
      </c>
      <c r="G335" s="917">
        <f>Model!G1428</f>
        <v>0.53115567054764989</v>
      </c>
      <c r="H335" s="917">
        <f>Model!H1428</f>
        <v>0.52511149893348841</v>
      </c>
      <c r="I335" s="917">
        <f>Model!I1428</f>
        <v>0.52200695479384007</v>
      </c>
      <c r="J335" s="917">
        <f>Model!J1428</f>
        <v>0.52793739396924422</v>
      </c>
      <c r="K335" s="917">
        <f>Model!K1428</f>
        <v>0.53010311564474999</v>
      </c>
      <c r="L335" s="917">
        <f>Model!L1428</f>
        <v>0.55256518082422201</v>
      </c>
      <c r="M335" s="917">
        <f>Model!M1428</f>
        <v>0.54772061468880096</v>
      </c>
      <c r="N335" s="917">
        <f>Model!N1428</f>
        <v>0.54861284678830291</v>
      </c>
      <c r="O335" s="917">
        <f>Model!O1428</f>
        <v>0.54503270531671044</v>
      </c>
      <c r="P335" s="917">
        <f>Model!P1428</f>
        <v>0.54491290078263066</v>
      </c>
      <c r="Q335" s="917">
        <f>Model!Q1428</f>
        <v>0.55960765899723486</v>
      </c>
      <c r="R335" s="917">
        <f>Model!R1428</f>
        <v>0.55557360186237892</v>
      </c>
      <c r="S335" s="917">
        <f>Model!S1428</f>
        <v>0.59253299002252979</v>
      </c>
      <c r="T335" s="917">
        <f>Model!T1428</f>
        <v>0.55573910566790086</v>
      </c>
      <c r="U335" s="917">
        <f>Model!U1428</f>
        <v>0.52923410075222244</v>
      </c>
      <c r="V335" s="917">
        <f>Model!V1428</f>
        <v>0.53429054054054059</v>
      </c>
      <c r="W335" s="917">
        <f>Model!W1428</f>
        <v>0.52133787914413354</v>
      </c>
      <c r="X335" s="917">
        <f>Model!X1428</f>
        <v>0.52640749210497662</v>
      </c>
      <c r="Y335" s="917">
        <f>Model!Y1428</f>
        <v>0.50966675846874143</v>
      </c>
      <c r="Z335" s="917">
        <f>Model!Z1428</f>
        <v>0.51169987512894299</v>
      </c>
      <c r="AA335" s="917">
        <f>Model!AA1428</f>
        <v>0.51296846435100552</v>
      </c>
      <c r="AB335" s="917">
        <f>Model!AB1428</f>
        <v>0.47758584145824501</v>
      </c>
      <c r="AC335" s="917">
        <f>Model!AC1428</f>
        <v>0.46656126518867014</v>
      </c>
      <c r="AD335" s="917">
        <f>Model!AD1428</f>
        <v>0.47110727700630528</v>
      </c>
      <c r="AE335" s="917">
        <f>Model!AE1428</f>
        <v>0.47343977202678583</v>
      </c>
      <c r="AF335" s="917">
        <f>Model!AF1428</f>
        <v>0.46217353221866736</v>
      </c>
      <c r="AG335" s="917">
        <f>Model!AG1428</f>
        <v>0.46125498256370934</v>
      </c>
      <c r="AH335" s="917">
        <f>Model!AH1428</f>
        <v>0.46456115905375756</v>
      </c>
      <c r="AI335" s="917">
        <f>Model!AI1428</f>
        <v>0.46721258542879324</v>
      </c>
      <c r="AJ335" s="917"/>
      <c r="AK335" s="917"/>
      <c r="AL335" s="917"/>
      <c r="AM335" s="917"/>
      <c r="AN335" s="917"/>
      <c r="AO335" s="917"/>
      <c r="AP335" s="917"/>
      <c r="AQ335" s="917"/>
      <c r="AS335" s="59" t="s">
        <v>604</v>
      </c>
      <c r="AT335" s="914"/>
      <c r="AU335" s="23">
        <f>Model!AU1428</f>
        <v>0.51731291096962739</v>
      </c>
      <c r="AV335" s="23">
        <f>Model!AV1428</f>
        <v>0.52613891447923289</v>
      </c>
      <c r="AW335" s="23">
        <f>Model!AW1428</f>
        <v>0.54859338335782981</v>
      </c>
      <c r="AX335" s="23">
        <f>Model!AX1428</f>
        <v>0.56287047381218369</v>
      </c>
      <c r="AY335" s="23">
        <f>Model!AY1428</f>
        <v>0.53525581395348842</v>
      </c>
      <c r="AZ335" s="23">
        <f>Model!AZ1428</f>
        <v>0.5152255535310033</v>
      </c>
      <c r="BA335" s="23">
        <f>Model!BA1428</f>
        <v>0.47215075054687411</v>
      </c>
      <c r="BB335" s="23">
        <f>Model!BB1428</f>
        <v>0.4637783446847677</v>
      </c>
      <c r="BC335" s="23">
        <f>Model!BC1428</f>
        <v>0.45918496099002404</v>
      </c>
      <c r="BD335" s="23">
        <f>Model!BD1428</f>
        <v>0.45542251299810682</v>
      </c>
      <c r="BE335" s="23">
        <f>Model!BE1428</f>
        <v>0.45293254536124328</v>
      </c>
      <c r="BG335" s="23"/>
      <c r="BH335" s="23"/>
    </row>
    <row r="336" spans="1:75" s="70" customFormat="1" x14ac:dyDescent="0.2">
      <c r="A336" s="411"/>
      <c r="C336" s="914"/>
      <c r="D336" s="917"/>
      <c r="E336" s="917"/>
      <c r="F336" s="917"/>
      <c r="G336" s="917"/>
      <c r="H336" s="917"/>
      <c r="I336" s="917"/>
      <c r="J336" s="917"/>
      <c r="K336" s="917"/>
      <c r="L336" s="917"/>
      <c r="M336" s="917"/>
      <c r="N336" s="917"/>
      <c r="O336" s="917"/>
      <c r="P336" s="917"/>
      <c r="Q336" s="917"/>
      <c r="R336" s="917"/>
      <c r="S336" s="917"/>
      <c r="T336" s="917"/>
      <c r="U336" s="917"/>
      <c r="V336" s="917"/>
      <c r="W336" s="917"/>
      <c r="X336" s="917"/>
      <c r="Y336" s="917"/>
      <c r="Z336" s="917"/>
      <c r="AA336" s="917"/>
      <c r="AB336" s="917"/>
      <c r="AC336" s="917"/>
      <c r="AD336" s="917"/>
      <c r="AE336" s="917"/>
      <c r="AF336" s="917"/>
      <c r="AG336" s="917"/>
      <c r="AH336" s="917"/>
      <c r="AI336" s="917"/>
      <c r="AJ336" s="917"/>
      <c r="AK336" s="917"/>
      <c r="AL336" s="917"/>
      <c r="AM336" s="917"/>
      <c r="AN336" s="917"/>
      <c r="AO336" s="917"/>
      <c r="AP336" s="917"/>
      <c r="AQ336" s="917"/>
      <c r="AS336" s="59"/>
      <c r="AT336" s="914"/>
      <c r="AU336" s="23"/>
      <c r="AV336" s="23"/>
      <c r="AW336" s="23"/>
      <c r="AX336" s="23"/>
      <c r="AY336" s="23"/>
      <c r="AZ336" s="23"/>
      <c r="BA336" s="23"/>
      <c r="BB336" s="23"/>
      <c r="BC336" s="23"/>
      <c r="BD336" s="23"/>
      <c r="BE336" s="23"/>
      <c r="BG336" s="23"/>
      <c r="BH336" s="23"/>
    </row>
    <row r="337" spans="1:75" s="70" customFormat="1" x14ac:dyDescent="0.2">
      <c r="A337" s="411"/>
      <c r="B337" s="914" t="s">
        <v>869</v>
      </c>
      <c r="C337" s="914"/>
      <c r="D337" s="917" t="s">
        <v>229</v>
      </c>
      <c r="E337" s="917" t="s">
        <v>229</v>
      </c>
      <c r="F337" s="917" t="s">
        <v>229</v>
      </c>
      <c r="G337" s="917" t="s">
        <v>229</v>
      </c>
      <c r="H337" s="917">
        <f>Model!H1439</f>
        <v>0.63299234149231065</v>
      </c>
      <c r="I337" s="917">
        <f>Model!I1439</f>
        <v>0.53978114649837305</v>
      </c>
      <c r="J337" s="917">
        <f>Model!J1439</f>
        <v>0.56799927695958075</v>
      </c>
      <c r="K337" s="917">
        <f>Model!K1439</f>
        <v>0.99427385657198852</v>
      </c>
      <c r="L337" s="917">
        <f>Model!L1439</f>
        <v>0.83261099145680895</v>
      </c>
      <c r="M337" s="917">
        <f>Model!M1439</f>
        <v>2.6888782539441465</v>
      </c>
      <c r="N337" s="917">
        <f>Model!N1439</f>
        <v>0.66536924375987683</v>
      </c>
      <c r="O337" s="917">
        <f>Model!O1439</f>
        <v>1.3063821848684618</v>
      </c>
      <c r="P337" s="917">
        <f>Model!P1439</f>
        <v>1.0342528805392657</v>
      </c>
      <c r="Q337" s="917">
        <f>Model!Q1439</f>
        <v>0.15220205269962125</v>
      </c>
      <c r="R337" s="917">
        <f>Model!R1439</f>
        <v>0.5894683254839147</v>
      </c>
      <c r="S337" s="917">
        <f>Model!S1439</f>
        <v>-0.61157355834214988</v>
      </c>
      <c r="T337" s="917">
        <f>Model!T1439</f>
        <v>1.6603545742804531</v>
      </c>
      <c r="U337" s="917">
        <f>Model!U1439</f>
        <v>0.73388439922304471</v>
      </c>
      <c r="V337" s="917">
        <f>Model!V1439</f>
        <v>0</v>
      </c>
      <c r="W337" s="917">
        <f>Model!W1439</f>
        <v>-1.3330431372821172</v>
      </c>
      <c r="X337" s="917">
        <f>Model!X1439</f>
        <v>0.71135330880766645</v>
      </c>
      <c r="Y337" s="917">
        <f>Model!Y1439</f>
        <v>0.77322812092895965</v>
      </c>
      <c r="Z337" s="917">
        <f>Model!Z1439</f>
        <v>0.72917142186621065</v>
      </c>
      <c r="AA337" s="917">
        <f>Model!AA1439</f>
        <v>0.85246935486295738</v>
      </c>
      <c r="AB337" s="917">
        <f>Model!AB1439</f>
        <v>1.2961693783758443</v>
      </c>
      <c r="AC337" s="918">
        <v>0.3</v>
      </c>
      <c r="AD337" s="918">
        <v>0.3</v>
      </c>
      <c r="AE337" s="918">
        <v>0.3</v>
      </c>
      <c r="AF337" s="918">
        <v>0.3</v>
      </c>
      <c r="AG337" s="918">
        <v>0.3</v>
      </c>
      <c r="AH337" s="918">
        <v>0.3</v>
      </c>
      <c r="AI337" s="918">
        <v>0.3</v>
      </c>
      <c r="AJ337" s="918"/>
      <c r="AK337" s="918"/>
      <c r="AL337" s="918"/>
      <c r="AM337" s="918"/>
      <c r="AN337" s="918"/>
      <c r="AO337" s="918"/>
      <c r="AP337" s="918"/>
      <c r="AQ337" s="918"/>
      <c r="AS337" s="914" t="s">
        <v>869</v>
      </c>
      <c r="AT337" s="914"/>
      <c r="AU337" s="917" t="s">
        <v>229</v>
      </c>
      <c r="AV337" s="917">
        <f>Model!AV1439</f>
        <v>0.65768364853738481</v>
      </c>
      <c r="AW337" s="917">
        <f>Model!AW1439</f>
        <v>1.0976988605286924</v>
      </c>
      <c r="AX337" s="917">
        <f>Model!AX1439</f>
        <v>0.33677606075890082</v>
      </c>
      <c r="AY337" s="917">
        <f>Model!AY1439</f>
        <v>0.28757701334565539</v>
      </c>
      <c r="AZ337" s="917">
        <f>Model!AZ1439</f>
        <v>0.76284445091870434</v>
      </c>
      <c r="BA337" s="917">
        <f>Model!BA1439</f>
        <v>0.55655951013845539</v>
      </c>
      <c r="BB337" s="917">
        <f>Model!BB1439</f>
        <v>0.3000000000000001</v>
      </c>
      <c r="BC337" s="918">
        <v>0.3</v>
      </c>
      <c r="BD337" s="918">
        <v>0.3</v>
      </c>
      <c r="BE337" s="918">
        <v>0.3</v>
      </c>
      <c r="BG337" s="919"/>
      <c r="BH337" s="1710"/>
    </row>
    <row r="338" spans="1:75" s="70" customFormat="1" x14ac:dyDescent="0.2">
      <c r="A338" s="411"/>
      <c r="B338" s="59"/>
      <c r="C338" s="914"/>
      <c r="D338" s="917"/>
      <c r="E338" s="917"/>
      <c r="F338" s="917"/>
      <c r="G338" s="917"/>
      <c r="H338" s="917"/>
      <c r="I338" s="917"/>
      <c r="J338" s="917"/>
      <c r="K338" s="917"/>
      <c r="L338" s="917"/>
      <c r="M338" s="917"/>
      <c r="N338" s="917"/>
      <c r="O338" s="917"/>
      <c r="P338" s="917"/>
      <c r="Q338" s="917"/>
      <c r="R338" s="917"/>
      <c r="S338" s="917"/>
      <c r="T338" s="917"/>
      <c r="U338" s="917"/>
      <c r="V338" s="917"/>
      <c r="W338" s="917"/>
      <c r="X338" s="917"/>
      <c r="Y338" s="917"/>
      <c r="Z338" s="917"/>
      <c r="AA338" s="917"/>
      <c r="AB338" s="917"/>
      <c r="AC338" s="919"/>
      <c r="AD338" s="919"/>
      <c r="AE338" s="919"/>
      <c r="AF338" s="919"/>
      <c r="AG338" s="919"/>
      <c r="AH338" s="919"/>
      <c r="AI338" s="919"/>
      <c r="AJ338" s="919"/>
      <c r="AK338" s="919"/>
      <c r="AL338" s="919"/>
      <c r="AM338" s="919"/>
      <c r="AN338" s="919"/>
      <c r="AO338" s="919"/>
      <c r="AP338" s="919"/>
      <c r="AQ338" s="919"/>
      <c r="AS338" s="59"/>
      <c r="AT338" s="914"/>
      <c r="AU338" s="917"/>
      <c r="AV338" s="917"/>
      <c r="AW338" s="917"/>
      <c r="AX338" s="917"/>
      <c r="AY338" s="917"/>
      <c r="AZ338" s="917"/>
      <c r="BA338" s="917"/>
      <c r="BB338" s="917"/>
      <c r="BC338" s="23"/>
      <c r="BD338" s="23"/>
      <c r="BE338" s="23"/>
      <c r="BG338" s="919"/>
      <c r="BH338" s="919"/>
    </row>
    <row r="339" spans="1:75" s="70" customFormat="1" x14ac:dyDescent="0.2">
      <c r="A339" s="411"/>
      <c r="B339" s="35" t="s">
        <v>981</v>
      </c>
      <c r="C339" s="914"/>
      <c r="D339" s="917" t="s">
        <v>229</v>
      </c>
      <c r="E339" s="917" t="s">
        <v>229</v>
      </c>
      <c r="F339" s="917" t="s">
        <v>229</v>
      </c>
      <c r="G339" s="917" t="s">
        <v>229</v>
      </c>
      <c r="H339" s="917" t="s">
        <v>229</v>
      </c>
      <c r="I339" s="60">
        <f>Model!I1442</f>
        <v>0.51749999999999996</v>
      </c>
      <c r="J339" s="60">
        <f>Model!J1442</f>
        <v>0.52342056074766352</v>
      </c>
      <c r="K339" s="60">
        <f>Model!K1442</f>
        <v>0.50072918047690296</v>
      </c>
      <c r="L339" s="60">
        <f>Model!L1442</f>
        <v>0.51137065637065637</v>
      </c>
      <c r="M339" s="60">
        <f>Model!M1442</f>
        <v>0.49681818181818183</v>
      </c>
      <c r="N339" s="60">
        <f>Model!N1442</f>
        <v>0.49406813627254509</v>
      </c>
      <c r="O339" s="60">
        <f>Model!O1442</f>
        <v>0.47722544286666529</v>
      </c>
      <c r="P339" s="60">
        <f>Model!P1442</f>
        <v>0.48212058212058212</v>
      </c>
      <c r="Q339" s="60">
        <f>Model!Q1442</f>
        <v>0.49603340292275572</v>
      </c>
      <c r="R339" s="60">
        <f>Model!R1442</f>
        <v>0.49353813559322035</v>
      </c>
      <c r="S339" s="60">
        <f>Model!S1442</f>
        <v>0.49445129469790383</v>
      </c>
      <c r="T339" s="60">
        <f>Model!T1442</f>
        <v>0.5067965367965368</v>
      </c>
      <c r="U339" s="60">
        <f>Model!U1442</f>
        <v>0.50533039647577094</v>
      </c>
      <c r="V339" s="60">
        <f>Model!V1442</f>
        <v>0.49566079295154186</v>
      </c>
      <c r="W339" s="60">
        <f>Model!W1442</f>
        <v>0.45720836547527216</v>
      </c>
      <c r="X339" s="60">
        <f>Model!X1442</f>
        <v>0.4595142583064446</v>
      </c>
      <c r="Y339" s="60">
        <f>Model!Y1442</f>
        <v>0.46223484512292534</v>
      </c>
      <c r="Z339" s="60">
        <f>Model!Z1442</f>
        <v>0.45332971898436791</v>
      </c>
      <c r="AA339" s="60">
        <f>Model!AA1442</f>
        <v>0.30072697156528944</v>
      </c>
      <c r="AB339" s="60">
        <f>Model!AB1442</f>
        <v>0.30024842973657073</v>
      </c>
      <c r="AC339" s="918">
        <v>0.3</v>
      </c>
      <c r="AD339" s="918">
        <v>0.3</v>
      </c>
      <c r="AE339" s="918">
        <v>0.3</v>
      </c>
      <c r="AF339" s="918">
        <v>0.3</v>
      </c>
      <c r="AG339" s="918">
        <v>0.3</v>
      </c>
      <c r="AH339" s="918">
        <v>0.3</v>
      </c>
      <c r="AI339" s="918">
        <v>0.3</v>
      </c>
      <c r="AJ339" s="918"/>
      <c r="AK339" s="918"/>
      <c r="AL339" s="918"/>
      <c r="AM339" s="918"/>
      <c r="AN339" s="918"/>
      <c r="AO339" s="918"/>
      <c r="AP339" s="918"/>
      <c r="AQ339" s="918"/>
      <c r="AS339" s="35" t="s">
        <v>981</v>
      </c>
      <c r="AT339" s="914"/>
      <c r="AU339" s="917" t="s">
        <v>229</v>
      </c>
      <c r="AV339" s="60">
        <f>Model!AV1442</f>
        <v>0.50072918047690296</v>
      </c>
      <c r="AW339" s="60">
        <f>Model!AW1442</f>
        <v>0.47722544286666529</v>
      </c>
      <c r="AX339" s="60">
        <f>Model!AX1442</f>
        <v>0.49445129469790383</v>
      </c>
      <c r="AY339" s="60">
        <f>Model!AY1442</f>
        <v>0.45720836547527216</v>
      </c>
      <c r="AZ339" s="60">
        <f>Model!AZ1442</f>
        <v>0.30072697156528944</v>
      </c>
      <c r="BA339" s="60">
        <f>Model!BA1442</f>
        <v>0.3</v>
      </c>
      <c r="BB339" s="60">
        <f>Model!BB1442</f>
        <v>0.3</v>
      </c>
      <c r="BC339" s="918">
        <v>0.3</v>
      </c>
      <c r="BD339" s="918">
        <v>0.3</v>
      </c>
      <c r="BE339" s="918">
        <v>0.3</v>
      </c>
      <c r="BG339" s="919"/>
      <c r="BH339" s="1710"/>
    </row>
    <row r="340" spans="1:75" x14ac:dyDescent="0.2">
      <c r="Y340" s="1215"/>
      <c r="Z340" s="1688"/>
      <c r="AA340" s="1742"/>
      <c r="AB340" s="1785"/>
      <c r="AR340" s="70"/>
      <c r="BB340" s="1707"/>
    </row>
    <row r="341" spans="1:75" x14ac:dyDescent="0.2">
      <c r="Y341" s="1215"/>
      <c r="Z341" s="1688"/>
      <c r="AA341" s="1742"/>
      <c r="AB341" s="1785"/>
      <c r="AR341" s="70"/>
      <c r="BB341" s="1707"/>
    </row>
    <row r="342" spans="1:75" s="70" customFormat="1" x14ac:dyDescent="0.2">
      <c r="A342" s="411" t="s">
        <v>194</v>
      </c>
      <c r="B342" s="13" t="s">
        <v>468</v>
      </c>
      <c r="C342" s="13"/>
      <c r="D342" s="14"/>
      <c r="E342" s="14"/>
      <c r="F342" s="14"/>
      <c r="G342" s="14"/>
      <c r="H342" s="14"/>
      <c r="I342" s="14"/>
      <c r="J342" s="14"/>
      <c r="K342" s="14"/>
      <c r="L342" s="14"/>
      <c r="M342" s="14"/>
      <c r="N342" s="14"/>
      <c r="O342" s="14"/>
      <c r="P342" s="14"/>
      <c r="Q342" s="14"/>
      <c r="R342" s="14"/>
      <c r="S342" s="14"/>
      <c r="T342" s="14"/>
      <c r="U342" s="14"/>
      <c r="V342" s="14"/>
      <c r="W342" s="14"/>
      <c r="X342" s="14"/>
      <c r="Y342" s="14"/>
      <c r="Z342" s="14"/>
      <c r="AA342" s="14"/>
      <c r="AB342" s="14"/>
      <c r="AC342" s="14"/>
      <c r="AD342" s="14"/>
      <c r="AE342" s="14"/>
      <c r="AF342" s="14"/>
      <c r="AG342" s="14"/>
      <c r="AH342" s="14"/>
      <c r="AI342" s="14"/>
      <c r="AJ342" s="14"/>
      <c r="AK342" s="14"/>
      <c r="AL342" s="14"/>
      <c r="AM342" s="14"/>
      <c r="AN342" s="14"/>
      <c r="AO342" s="14"/>
      <c r="AP342" s="14"/>
      <c r="AQ342" s="14"/>
      <c r="AS342" s="13" t="s">
        <v>139</v>
      </c>
      <c r="AT342" s="13"/>
      <c r="AU342" s="14"/>
      <c r="AV342" s="14"/>
      <c r="AW342" s="14"/>
      <c r="AX342" s="14"/>
      <c r="AY342" s="14"/>
      <c r="AZ342" s="14"/>
      <c r="BA342" s="14"/>
      <c r="BB342" s="14"/>
      <c r="BC342" s="14"/>
      <c r="BD342" s="14"/>
      <c r="BE342" s="14"/>
      <c r="BF342" s="15"/>
      <c r="BG342" s="15"/>
      <c r="BH342" s="15"/>
      <c r="BI342" s="15"/>
      <c r="BJ342" s="15"/>
      <c r="BK342" s="15"/>
      <c r="BL342" s="15"/>
      <c r="BM342" s="15"/>
      <c r="BN342" s="15"/>
      <c r="BO342" s="15"/>
      <c r="BP342" s="15"/>
      <c r="BQ342" s="15"/>
      <c r="BR342" s="15"/>
      <c r="BS342" s="15"/>
      <c r="BT342" s="15"/>
      <c r="BU342" s="15"/>
      <c r="BV342" s="15"/>
      <c r="BW342" s="15"/>
    </row>
    <row r="343" spans="1:75" x14ac:dyDescent="0.2">
      <c r="Y343" s="1215"/>
      <c r="Z343" s="1688"/>
      <c r="AA343" s="1742"/>
      <c r="AB343" s="1785"/>
      <c r="AR343" s="70"/>
      <c r="BB343" s="1707"/>
    </row>
    <row r="344" spans="1:75" s="70" customFormat="1" x14ac:dyDescent="0.2">
      <c r="A344" s="411"/>
      <c r="B344" s="342" t="s">
        <v>426</v>
      </c>
      <c r="C344" s="15"/>
      <c r="D344" s="15"/>
      <c r="E344" s="15"/>
      <c r="F344" s="15"/>
      <c r="G344" s="15"/>
      <c r="H344" s="15"/>
      <c r="I344" s="404">
        <f>Model!I1470</f>
        <v>0.27994608274355803</v>
      </c>
      <c r="J344" s="404">
        <f>Model!J1470</f>
        <v>0.28069719097455503</v>
      </c>
      <c r="K344" s="404">
        <f>Model!K1470</f>
        <v>0.30641450824053806</v>
      </c>
      <c r="L344" s="404">
        <f>Model!L1470</f>
        <v>0.29573160753593508</v>
      </c>
      <c r="M344" s="404">
        <f>Model!M1470</f>
        <v>0.3083175645985663</v>
      </c>
      <c r="N344" s="404">
        <f>Model!N1470</f>
        <v>0.32009317372331014</v>
      </c>
      <c r="O344" s="404">
        <f>Model!O1470</f>
        <v>0.35308962582938386</v>
      </c>
      <c r="P344" s="404">
        <f>Model!P1470</f>
        <v>0.31361758182247956</v>
      </c>
      <c r="Q344" s="404">
        <f>Model!Q1470</f>
        <v>0.30437746327970827</v>
      </c>
      <c r="R344" s="404">
        <f>Model!R1470</f>
        <v>0.306991543700466</v>
      </c>
      <c r="S344" s="404">
        <f>Model!S1470</f>
        <v>0.33886068125761759</v>
      </c>
      <c r="T344" s="404">
        <f>Model!T1470</f>
        <v>0.27732879058861148</v>
      </c>
      <c r="U344" s="404">
        <f>Model!U1470</f>
        <v>0.2793963616090207</v>
      </c>
      <c r="V344" s="404">
        <f>Model!V1470</f>
        <v>0.29833228554597979</v>
      </c>
      <c r="W344" s="404">
        <f>Model!W1470</f>
        <v>0.30875570636752769</v>
      </c>
      <c r="X344" s="404">
        <f>Model!X1470</f>
        <v>0.30233562945276882</v>
      </c>
      <c r="Y344" s="404">
        <f>Model!Y1470</f>
        <v>0.29751945079109454</v>
      </c>
      <c r="Z344" s="404">
        <f>Model!Z1470</f>
        <v>0.2866124301465276</v>
      </c>
      <c r="AA344" s="404">
        <f>Model!AA1470</f>
        <v>0.31981179115806935</v>
      </c>
      <c r="AB344" s="404">
        <f>Model!AB1470</f>
        <v>0.26832783241697644</v>
      </c>
      <c r="AC344" s="404">
        <f>Model!AC1470</f>
        <v>0.26832783241697644</v>
      </c>
      <c r="AD344" s="404">
        <f>Model!AD1470</f>
        <v>0.26832783241697644</v>
      </c>
      <c r="AE344" s="404">
        <f>Model!AE1470</f>
        <v>0.26832783241697644</v>
      </c>
      <c r="AF344" s="404">
        <f>Model!AF1470</f>
        <v>0.26832783241697644</v>
      </c>
      <c r="AG344" s="404">
        <f>Model!AG1470</f>
        <v>0.26832783241697644</v>
      </c>
      <c r="AH344" s="404">
        <f>Model!AH1470</f>
        <v>0.26832783241697644</v>
      </c>
      <c r="AI344" s="404">
        <f>Model!AI1470</f>
        <v>0.26832783241697644</v>
      </c>
      <c r="AJ344" s="404"/>
      <c r="AK344" s="404"/>
      <c r="AL344" s="404"/>
      <c r="AM344" s="404"/>
      <c r="AN344" s="404"/>
      <c r="AO344" s="404"/>
      <c r="AP344" s="404"/>
      <c r="AQ344" s="404"/>
      <c r="AS344" s="342" t="s">
        <v>426</v>
      </c>
      <c r="AT344" s="15"/>
      <c r="AV344" s="404">
        <f>Model!AV1470</f>
        <v>0.30641450824053806</v>
      </c>
      <c r="AW344" s="404">
        <f>Model!AW1470</f>
        <v>0.35308962582938386</v>
      </c>
      <c r="AX344" s="404">
        <f>Model!AX1470</f>
        <v>0.33886068125761759</v>
      </c>
      <c r="AY344" s="404">
        <f>Model!AY1470</f>
        <v>0.30875570636752769</v>
      </c>
      <c r="AZ344" s="404">
        <f>Model!AZ1470</f>
        <v>0.31981179115806935</v>
      </c>
      <c r="BA344" s="404">
        <f>Model!BA1470</f>
        <v>0.26832783241697644</v>
      </c>
      <c r="BB344" s="404">
        <f>Model!BB1470</f>
        <v>0.26832783241697644</v>
      </c>
      <c r="BC344" s="404">
        <f>Model!BC1470</f>
        <v>0.26832783241697644</v>
      </c>
      <c r="BD344" s="404">
        <f>Model!BD1470</f>
        <v>0.26832783241697644</v>
      </c>
      <c r="BE344" s="404">
        <f>Model!BE1470</f>
        <v>0.26832783241697644</v>
      </c>
      <c r="BG344" s="1739"/>
      <c r="BH344" s="1739"/>
    </row>
    <row r="345" spans="1:75" s="70" customFormat="1" x14ac:dyDescent="0.2">
      <c r="A345" s="411"/>
      <c r="B345" s="334" t="s">
        <v>850</v>
      </c>
      <c r="C345" s="15"/>
      <c r="D345" s="15"/>
      <c r="E345" s="15"/>
      <c r="F345" s="15"/>
      <c r="G345" s="15"/>
      <c r="H345" s="15"/>
      <c r="I345" s="404">
        <f>Model!I1474</f>
        <v>1.2657815047752154</v>
      </c>
      <c r="J345" s="404">
        <f>Model!J1474</f>
        <v>1.2134274270455845</v>
      </c>
      <c r="K345" s="404">
        <f>Model!K1474</f>
        <v>1.1598397150489759</v>
      </c>
      <c r="L345" s="404">
        <f>Model!L1474</f>
        <v>1.1469936270435024</v>
      </c>
      <c r="M345" s="404">
        <f>Model!M1474</f>
        <v>1.116413916146298</v>
      </c>
      <c r="N345" s="404">
        <f>Model!N1474</f>
        <v>1.1161909009812667</v>
      </c>
      <c r="O345" s="404">
        <f>Model!O1474</f>
        <v>1.0956247611769201</v>
      </c>
      <c r="P345" s="404">
        <f>Model!P1474</f>
        <v>1.0828877005347595</v>
      </c>
      <c r="Q345" s="404">
        <f>Model!Q1474</f>
        <v>1.0707331042382588</v>
      </c>
      <c r="R345" s="404">
        <f>Model!R1474</f>
        <v>1.0216848468918387</v>
      </c>
      <c r="S345" s="404">
        <f>Model!S1474</f>
        <v>1.0270965426486423</v>
      </c>
      <c r="T345" s="404">
        <f>Model!T1474</f>
        <v>1.0206162338759646</v>
      </c>
      <c r="U345" s="404">
        <f>Model!U1474</f>
        <v>1.0124655897782164</v>
      </c>
      <c r="V345" s="404">
        <f>Model!V1474</f>
        <v>1.0194774840284631</v>
      </c>
      <c r="W345" s="404">
        <f>Model!W1474</f>
        <v>1.0322547135511349</v>
      </c>
      <c r="X345" s="404">
        <f>Model!X1474</f>
        <v>1.0279436970861684</v>
      </c>
      <c r="Y345" s="404">
        <f>Model!Y1474</f>
        <v>1.036461850101283</v>
      </c>
      <c r="Z345" s="404">
        <f>Model!Z1474</f>
        <v>1.0032202773593726</v>
      </c>
      <c r="AA345" s="404">
        <f>Model!AA1474</f>
        <v>1.015685867137589</v>
      </c>
      <c r="AB345" s="404">
        <f>Model!AB1474</f>
        <v>1.0101273752349134</v>
      </c>
      <c r="AC345" s="404">
        <f>Model!AC1474</f>
        <v>1.0101273752349134</v>
      </c>
      <c r="AD345" s="404">
        <f>Model!AD1474</f>
        <v>1.0101273752349134</v>
      </c>
      <c r="AE345" s="404">
        <f>Model!AE1474</f>
        <v>1.0101273752349134</v>
      </c>
      <c r="AF345" s="404">
        <f>Model!AF1474</f>
        <v>1.0101273752349134</v>
      </c>
      <c r="AG345" s="404">
        <f>Model!AG1474</f>
        <v>1.0101273752349134</v>
      </c>
      <c r="AH345" s="404">
        <f>Model!AH1474</f>
        <v>1.0101273752349134</v>
      </c>
      <c r="AI345" s="404">
        <f>Model!AI1474</f>
        <v>1.0101273752349134</v>
      </c>
      <c r="AJ345" s="404"/>
      <c r="AK345" s="404"/>
      <c r="AL345" s="404"/>
      <c r="AM345" s="404"/>
      <c r="AN345" s="404"/>
      <c r="AO345" s="404"/>
      <c r="AP345" s="404"/>
      <c r="AQ345" s="404"/>
      <c r="AS345" s="334" t="s">
        <v>850</v>
      </c>
      <c r="AT345" s="15"/>
      <c r="AV345" s="404">
        <f>Model!AV1474</f>
        <v>1.1598397150489759</v>
      </c>
      <c r="AW345" s="404">
        <f>Model!AW1474</f>
        <v>1.0956247611769201</v>
      </c>
      <c r="AX345" s="404">
        <f>Model!AX1474</f>
        <v>1.0270965426486423</v>
      </c>
      <c r="AY345" s="404">
        <f>Model!AY1474</f>
        <v>1.0322547135511349</v>
      </c>
      <c r="AZ345" s="404">
        <f>Model!AZ1474</f>
        <v>1.015685867137589</v>
      </c>
      <c r="BA345" s="404">
        <f>Model!BA1474</f>
        <v>1.0101273752349134</v>
      </c>
      <c r="BB345" s="404">
        <f>Model!BB1474</f>
        <v>1.0101273752349134</v>
      </c>
      <c r="BC345" s="404">
        <f>Model!BC1474</f>
        <v>1.0101273752349134</v>
      </c>
      <c r="BD345" s="404">
        <f>Model!BD1474</f>
        <v>1.0101273752349134</v>
      </c>
      <c r="BE345" s="404">
        <f>Model!BE1474</f>
        <v>1.0101273752349134</v>
      </c>
      <c r="BG345" s="1739"/>
      <c r="BH345" s="1739"/>
    </row>
    <row r="346" spans="1:75" x14ac:dyDescent="0.2">
      <c r="Y346" s="1215"/>
      <c r="Z346" s="1688"/>
      <c r="AA346" s="1742"/>
      <c r="AB346" s="1785"/>
      <c r="AR346" s="70"/>
      <c r="BB346" s="1707"/>
    </row>
    <row r="347" spans="1:75" x14ac:dyDescent="0.2">
      <c r="AA347" s="1742"/>
      <c r="AB347" s="1785"/>
      <c r="BB347" s="1707"/>
    </row>
    <row r="348" spans="1:75" x14ac:dyDescent="0.2">
      <c r="AB348" s="1785"/>
      <c r="BB348" s="1707"/>
    </row>
    <row r="349" spans="1:75" x14ac:dyDescent="0.2">
      <c r="AB349" s="1785"/>
      <c r="BB349" s="1707"/>
    </row>
    <row r="350" spans="1:75" x14ac:dyDescent="0.2">
      <c r="AB350" s="1785"/>
      <c r="BB350" s="1707"/>
    </row>
    <row r="351" spans="1:75" x14ac:dyDescent="0.2">
      <c r="AB351" s="1785"/>
      <c r="BB351" s="1707"/>
    </row>
    <row r="352" spans="1:75" x14ac:dyDescent="0.2">
      <c r="AB352" s="1785"/>
      <c r="BB352" s="1707"/>
    </row>
    <row r="353" spans="28:54" x14ac:dyDescent="0.2">
      <c r="AB353" s="1785"/>
      <c r="BB353" s="1707"/>
    </row>
    <row r="354" spans="28:54" x14ac:dyDescent="0.2">
      <c r="AB354" s="1785"/>
      <c r="BB354" s="1707"/>
    </row>
    <row r="355" spans="28:54" x14ac:dyDescent="0.2">
      <c r="AB355" s="1785"/>
      <c r="BB355" s="1707"/>
    </row>
    <row r="356" spans="28:54" x14ac:dyDescent="0.2">
      <c r="AB356" s="1785"/>
      <c r="BB356" s="1707"/>
    </row>
    <row r="357" spans="28:54" x14ac:dyDescent="0.2">
      <c r="AB357" s="1785"/>
      <c r="BB357" s="1707"/>
    </row>
    <row r="358" spans="28:54" x14ac:dyDescent="0.2">
      <c r="BB358" s="1707"/>
    </row>
    <row r="359" spans="28:54" x14ac:dyDescent="0.2">
      <c r="BB359" s="1707"/>
    </row>
    <row r="360" spans="28:54" x14ac:dyDescent="0.2">
      <c r="BB360" s="1707"/>
    </row>
    <row r="361" spans="28:54" x14ac:dyDescent="0.2">
      <c r="BB361" s="1707"/>
    </row>
    <row r="362" spans="28:54" x14ac:dyDescent="0.2">
      <c r="BB362" s="1707"/>
    </row>
    <row r="363" spans="28:54" x14ac:dyDescent="0.2">
      <c r="BB363" s="1707"/>
    </row>
    <row r="364" spans="28:54" x14ac:dyDescent="0.2">
      <c r="BB364" s="1707"/>
    </row>
    <row r="365" spans="28:54" x14ac:dyDescent="0.2">
      <c r="BB365" s="1707"/>
    </row>
    <row r="366" spans="28:54" x14ac:dyDescent="0.2">
      <c r="BB366" s="1707"/>
    </row>
    <row r="367" spans="28:54" x14ac:dyDescent="0.2">
      <c r="BB367" s="1707"/>
    </row>
    <row r="368" spans="28:54" x14ac:dyDescent="0.2">
      <c r="BB368" s="1707"/>
    </row>
    <row r="369" spans="54:54" x14ac:dyDescent="0.2">
      <c r="BB369" s="1707"/>
    </row>
    <row r="370" spans="54:54" x14ac:dyDescent="0.2">
      <c r="BB370" s="1707"/>
    </row>
    <row r="371" spans="54:54" x14ac:dyDescent="0.2">
      <c r="BB371" s="1707"/>
    </row>
    <row r="372" spans="54:54" x14ac:dyDescent="0.2">
      <c r="BB372" s="1707"/>
    </row>
    <row r="373" spans="54:54" x14ac:dyDescent="0.2">
      <c r="BB373" s="1707"/>
    </row>
    <row r="374" spans="54:54" x14ac:dyDescent="0.2">
      <c r="BB374" s="1707"/>
    </row>
    <row r="375" spans="54:54" x14ac:dyDescent="0.2">
      <c r="BB375" s="1707"/>
    </row>
    <row r="376" spans="54:54" x14ac:dyDescent="0.2">
      <c r="BB376" s="1707"/>
    </row>
    <row r="377" spans="54:54" x14ac:dyDescent="0.2">
      <c r="BB377" s="1707"/>
    </row>
    <row r="378" spans="54:54" x14ac:dyDescent="0.2">
      <c r="BB378" s="1707"/>
    </row>
    <row r="379" spans="54:54" x14ac:dyDescent="0.2">
      <c r="BB379" s="1707"/>
    </row>
    <row r="380" spans="54:54" x14ac:dyDescent="0.2">
      <c r="BB380" s="1707"/>
    </row>
    <row r="381" spans="54:54" x14ac:dyDescent="0.2">
      <c r="BB381" s="1707"/>
    </row>
    <row r="382" spans="54:54" x14ac:dyDescent="0.2">
      <c r="BB382" s="1707"/>
    </row>
    <row r="383" spans="54:54" x14ac:dyDescent="0.2">
      <c r="BB383" s="1707"/>
    </row>
    <row r="384" spans="54:54" x14ac:dyDescent="0.2">
      <c r="BB384" s="1707"/>
    </row>
    <row r="385" spans="54:54" x14ac:dyDescent="0.2">
      <c r="BB385" s="1707"/>
    </row>
    <row r="386" spans="54:54" x14ac:dyDescent="0.2">
      <c r="BB386" s="1707"/>
    </row>
    <row r="387" spans="54:54" x14ac:dyDescent="0.2">
      <c r="BB387" s="1707"/>
    </row>
    <row r="388" spans="54:54" x14ac:dyDescent="0.2">
      <c r="BB388" s="1707"/>
    </row>
    <row r="389" spans="54:54" x14ac:dyDescent="0.2">
      <c r="BB389" s="1707"/>
    </row>
    <row r="390" spans="54:54" x14ac:dyDescent="0.2">
      <c r="BB390" s="1707"/>
    </row>
    <row r="391" spans="54:54" x14ac:dyDescent="0.2">
      <c r="BB391" s="1707"/>
    </row>
    <row r="392" spans="54:54" x14ac:dyDescent="0.2">
      <c r="BB392" s="1707"/>
    </row>
    <row r="393" spans="54:54" x14ac:dyDescent="0.2">
      <c r="BB393" s="1707"/>
    </row>
    <row r="394" spans="54:54" x14ac:dyDescent="0.2">
      <c r="BB394" s="1707"/>
    </row>
    <row r="395" spans="54:54" x14ac:dyDescent="0.2">
      <c r="BB395" s="1707"/>
    </row>
    <row r="396" spans="54:54" x14ac:dyDescent="0.2">
      <c r="BB396" s="1707"/>
    </row>
    <row r="397" spans="54:54" x14ac:dyDescent="0.2">
      <c r="BB397" s="1707"/>
    </row>
    <row r="398" spans="54:54" x14ac:dyDescent="0.2">
      <c r="BB398" s="1707"/>
    </row>
    <row r="399" spans="54:54" x14ac:dyDescent="0.2">
      <c r="BB399" s="1707"/>
    </row>
    <row r="400" spans="54:54" x14ac:dyDescent="0.2">
      <c r="BB400" s="1707"/>
    </row>
    <row r="401" spans="54:54" x14ac:dyDescent="0.2">
      <c r="BB401" s="1707"/>
    </row>
    <row r="402" spans="54:54" x14ac:dyDescent="0.2">
      <c r="BB402" s="1707"/>
    </row>
    <row r="403" spans="54:54" x14ac:dyDescent="0.2">
      <c r="BB403" s="1707"/>
    </row>
    <row r="404" spans="54:54" x14ac:dyDescent="0.2">
      <c r="BB404" s="1707"/>
    </row>
    <row r="405" spans="54:54" x14ac:dyDescent="0.2">
      <c r="BB405" s="1707"/>
    </row>
    <row r="406" spans="54:54" x14ac:dyDescent="0.2">
      <c r="BB406" s="1707"/>
    </row>
    <row r="407" spans="54:54" x14ac:dyDescent="0.2">
      <c r="BB407" s="1707"/>
    </row>
    <row r="408" spans="54:54" x14ac:dyDescent="0.2">
      <c r="BB408" s="1707"/>
    </row>
    <row r="409" spans="54:54" x14ac:dyDescent="0.2">
      <c r="BB409" s="1707"/>
    </row>
  </sheetData>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BV1686"/>
  <sheetViews>
    <sheetView workbookViewId="0">
      <pane xSplit="3" ySplit="2" topLeftCell="X3" activePane="bottomRight" state="frozen"/>
      <selection pane="topRight" activeCell="D1" sqref="D1"/>
      <selection pane="bottomLeft" activeCell="A3" sqref="A3"/>
      <selection pane="bottomRight" activeCell="X3" sqref="X3"/>
    </sheetView>
  </sheetViews>
  <sheetFormatPr defaultRowHeight="11.25" outlineLevelRow="1" outlineLevelCol="1" x14ac:dyDescent="0.2"/>
  <cols>
    <col min="1" max="1" width="2.83203125" style="411" customWidth="1"/>
    <col min="2" max="2" width="2.83203125" style="10" customWidth="1"/>
    <col min="3" max="3" width="35.83203125" style="1217" customWidth="1"/>
    <col min="4" max="19" width="12.83203125" style="1217" hidden="1" customWidth="1" outlineLevel="1"/>
    <col min="20" max="20" width="12.83203125" style="1217" hidden="1" customWidth="1" outlineLevel="1" collapsed="1"/>
    <col min="21" max="23" width="12.83203125" style="1217" hidden="1" customWidth="1" outlineLevel="1"/>
    <col min="24" max="24" width="12.83203125" style="1217" customWidth="1" collapsed="1"/>
    <col min="25" max="30" width="12.83203125" style="1217" customWidth="1"/>
    <col min="31" max="34" width="12.83203125" style="1740" customWidth="1"/>
    <col min="35" max="35" width="12.83203125" style="1707" customWidth="1"/>
    <col min="36" max="43" width="12.83203125" style="1740" hidden="1" customWidth="1"/>
    <col min="44" max="44" width="9.33203125" style="70"/>
    <col min="45" max="45" width="2.83203125" style="70" hidden="1" customWidth="1" outlineLevel="1"/>
    <col min="46" max="46" width="18.6640625" style="70" hidden="1" customWidth="1" outlineLevel="1"/>
    <col min="47" max="49" width="12.83203125" style="70" hidden="1" customWidth="1" outlineLevel="1"/>
    <col min="50" max="50" width="12.83203125" style="70" customWidth="1" collapsed="1"/>
    <col min="51" max="57" width="12.83203125" style="70" customWidth="1"/>
    <col min="58" max="64" width="9.33203125" style="70"/>
    <col min="65" max="65" width="35.83203125" style="70" customWidth="1"/>
    <col min="66" max="66" width="12.6640625" style="70" bestFit="1" customWidth="1"/>
    <col min="67" max="67" width="11.1640625" style="70" bestFit="1" customWidth="1"/>
    <col min="68" max="68" width="11.5" style="70" bestFit="1" customWidth="1"/>
    <col min="69" max="69" width="17.83203125" style="70" bestFit="1" customWidth="1"/>
    <col min="70" max="70" width="9.6640625" style="70" bestFit="1" customWidth="1"/>
    <col min="71" max="16384" width="9.33203125" style="70"/>
  </cols>
  <sheetData>
    <row r="1" spans="1:70" ht="18" x14ac:dyDescent="0.25">
      <c r="A1" s="165"/>
      <c r="B1" s="4" t="s">
        <v>149</v>
      </c>
      <c r="D1" s="170"/>
      <c r="E1" s="170"/>
      <c r="F1" s="170"/>
      <c r="G1" s="170"/>
      <c r="H1" s="170"/>
      <c r="I1" s="170"/>
      <c r="J1" s="170"/>
      <c r="K1" s="170"/>
      <c r="L1" s="170"/>
      <c r="M1" s="170"/>
      <c r="N1" s="170"/>
      <c r="O1" s="170"/>
      <c r="P1" s="170"/>
      <c r="Q1" s="170"/>
      <c r="R1" s="170"/>
      <c r="S1" s="170"/>
      <c r="T1" s="170"/>
      <c r="U1" s="170"/>
      <c r="V1" s="170"/>
      <c r="W1" s="170"/>
      <c r="X1" s="170"/>
      <c r="Y1" s="170"/>
      <c r="Z1" s="170"/>
      <c r="AA1" s="170"/>
      <c r="AB1" s="170"/>
      <c r="AC1" s="170"/>
      <c r="AD1" s="170"/>
      <c r="AE1" s="170"/>
      <c r="AF1" s="170"/>
      <c r="AG1" s="170"/>
      <c r="AH1" s="170"/>
      <c r="AI1" s="170"/>
      <c r="AJ1" s="170"/>
      <c r="AK1" s="170"/>
      <c r="AL1" s="170"/>
      <c r="AM1" s="170"/>
      <c r="AN1" s="170"/>
      <c r="AO1" s="170"/>
      <c r="AP1" s="170"/>
      <c r="AQ1" s="170"/>
      <c r="AU1" s="170"/>
      <c r="AV1" s="170"/>
      <c r="AW1" s="170"/>
      <c r="AX1" s="170"/>
      <c r="AY1" s="170"/>
      <c r="AZ1" s="170"/>
      <c r="BA1" s="170"/>
      <c r="BB1" s="170"/>
      <c r="BC1" s="170"/>
      <c r="BD1" s="170"/>
      <c r="BE1" s="170"/>
      <c r="BM1" s="1071"/>
      <c r="BN1" s="1071"/>
      <c r="BO1" s="1071"/>
      <c r="BP1" s="1071"/>
      <c r="BQ1" s="1071"/>
      <c r="BR1" s="1071"/>
    </row>
    <row r="2" spans="1:70" x14ac:dyDescent="0.2">
      <c r="A2" s="828"/>
      <c r="B2" s="171" t="s">
        <v>948</v>
      </c>
      <c r="C2" s="168"/>
      <c r="D2" s="169" t="s">
        <v>150</v>
      </c>
      <c r="E2" s="169" t="s">
        <v>151</v>
      </c>
      <c r="F2" s="169" t="s">
        <v>152</v>
      </c>
      <c r="G2" s="169" t="s">
        <v>153</v>
      </c>
      <c r="H2" s="169" t="s">
        <v>154</v>
      </c>
      <c r="I2" s="169" t="s">
        <v>155</v>
      </c>
      <c r="J2" s="169" t="s">
        <v>156</v>
      </c>
      <c r="K2" s="169" t="s">
        <v>157</v>
      </c>
      <c r="L2" s="169" t="s">
        <v>158</v>
      </c>
      <c r="M2" s="169" t="s">
        <v>159</v>
      </c>
      <c r="N2" s="169" t="s">
        <v>160</v>
      </c>
      <c r="O2" s="169" t="s">
        <v>161</v>
      </c>
      <c r="P2" s="169" t="s">
        <v>162</v>
      </c>
      <c r="Q2" s="169" t="s">
        <v>163</v>
      </c>
      <c r="R2" s="169" t="s">
        <v>164</v>
      </c>
      <c r="S2" s="169" t="s">
        <v>165</v>
      </c>
      <c r="T2" s="169" t="s">
        <v>166</v>
      </c>
      <c r="U2" s="169" t="s">
        <v>167</v>
      </c>
      <c r="V2" s="169" t="s">
        <v>168</v>
      </c>
      <c r="W2" s="169" t="s">
        <v>169</v>
      </c>
      <c r="X2" s="169" t="s">
        <v>887</v>
      </c>
      <c r="Y2" s="169" t="s">
        <v>888</v>
      </c>
      <c r="Z2" s="169" t="s">
        <v>889</v>
      </c>
      <c r="AA2" s="169" t="s">
        <v>171</v>
      </c>
      <c r="AB2" s="169" t="s">
        <v>1426</v>
      </c>
      <c r="AC2" s="169" t="s">
        <v>173</v>
      </c>
      <c r="AD2" s="169" t="s">
        <v>174</v>
      </c>
      <c r="AE2" s="169" t="s">
        <v>175</v>
      </c>
      <c r="AF2" s="169" t="s">
        <v>1422</v>
      </c>
      <c r="AG2" s="169" t="s">
        <v>1423</v>
      </c>
      <c r="AH2" s="169" t="s">
        <v>1424</v>
      </c>
      <c r="AI2" s="169" t="s">
        <v>1425</v>
      </c>
      <c r="AJ2" s="169"/>
      <c r="AK2" s="169"/>
      <c r="AL2" s="169"/>
      <c r="AM2" s="169"/>
      <c r="AN2" s="169"/>
      <c r="AO2" s="169"/>
      <c r="AP2" s="169"/>
      <c r="AQ2" s="169"/>
      <c r="AR2" s="241"/>
      <c r="AS2" s="171" t="s">
        <v>948</v>
      </c>
      <c r="AT2" s="169"/>
      <c r="AU2" s="169">
        <v>2012</v>
      </c>
      <c r="AV2" s="169">
        <f>AU2+1</f>
        <v>2013</v>
      </c>
      <c r="AW2" s="169">
        <f>AV2+1</f>
        <v>2014</v>
      </c>
      <c r="AX2" s="169">
        <f>AW2+1</f>
        <v>2015</v>
      </c>
      <c r="AY2" s="169">
        <f>AX2+1</f>
        <v>2016</v>
      </c>
      <c r="AZ2" s="169">
        <v>2017</v>
      </c>
      <c r="BA2" s="169" t="s">
        <v>584</v>
      </c>
      <c r="BB2" s="169" t="s">
        <v>585</v>
      </c>
      <c r="BC2" s="169" t="s">
        <v>586</v>
      </c>
      <c r="BD2" s="169" t="s">
        <v>587</v>
      </c>
      <c r="BE2" s="169" t="s">
        <v>1420</v>
      </c>
      <c r="BF2" s="231"/>
    </row>
    <row r="3" spans="1:70" ht="5.0999999999999996" customHeight="1" x14ac:dyDescent="0.2">
      <c r="B3" s="5"/>
      <c r="D3" s="1237"/>
      <c r="E3" s="1237"/>
      <c r="F3" s="1237"/>
      <c r="G3" s="1237"/>
      <c r="H3" s="1237"/>
      <c r="I3" s="1237"/>
      <c r="J3" s="1238"/>
      <c r="K3" s="1237"/>
      <c r="L3" s="1237"/>
      <c r="M3" s="1237"/>
      <c r="N3" s="1237"/>
      <c r="O3" s="1237"/>
      <c r="P3" s="1237"/>
      <c r="Q3" s="1237"/>
      <c r="R3" s="1237"/>
      <c r="S3" s="1237"/>
      <c r="T3" s="1237"/>
      <c r="U3" s="1237"/>
      <c r="V3" s="1237"/>
      <c r="W3" s="1237"/>
      <c r="X3" s="1237"/>
      <c r="Y3" s="1237"/>
      <c r="Z3" s="1237"/>
      <c r="AA3" s="1237"/>
      <c r="AB3" s="1237"/>
      <c r="AC3" s="1237"/>
      <c r="AD3" s="1237"/>
      <c r="AE3" s="1237"/>
      <c r="AF3" s="1237"/>
      <c r="AG3" s="1237"/>
      <c r="AH3" s="1237"/>
      <c r="AI3" s="1237"/>
      <c r="AJ3" s="1237"/>
      <c r="AK3" s="1237"/>
      <c r="AL3" s="1237"/>
      <c r="AM3" s="1237"/>
      <c r="AN3" s="1237"/>
      <c r="AO3" s="1237"/>
      <c r="AP3" s="1237"/>
      <c r="AQ3" s="1237"/>
      <c r="AR3" s="1236"/>
      <c r="AS3" s="1236"/>
      <c r="AT3" s="1236"/>
      <c r="AU3" s="1236"/>
      <c r="AV3" s="1236"/>
      <c r="AW3" s="1236"/>
      <c r="AX3" s="1236"/>
      <c r="AY3" s="1236"/>
      <c r="AZ3" s="1236"/>
      <c r="BA3" s="1236"/>
      <c r="BB3" s="1236"/>
      <c r="BC3" s="1236"/>
      <c r="BD3" s="1236"/>
      <c r="BE3" s="1236"/>
    </row>
    <row r="4" spans="1:70" x14ac:dyDescent="0.2">
      <c r="A4" s="411" t="s">
        <v>194</v>
      </c>
      <c r="B4" s="13" t="s">
        <v>393</v>
      </c>
      <c r="C4" s="13"/>
      <c r="D4" s="1369"/>
      <c r="E4" s="1369"/>
      <c r="F4" s="1369"/>
      <c r="G4" s="1369"/>
      <c r="H4" s="1369"/>
      <c r="I4" s="1369"/>
      <c r="J4" s="1369"/>
      <c r="K4" s="1369"/>
      <c r="L4" s="1369"/>
      <c r="M4" s="1369"/>
      <c r="N4" s="1369"/>
      <c r="O4" s="1369"/>
      <c r="P4" s="1369"/>
      <c r="Q4" s="1369"/>
      <c r="R4" s="1369"/>
      <c r="S4" s="1369"/>
      <c r="T4" s="1369"/>
      <c r="U4" s="1369"/>
      <c r="V4" s="1369"/>
      <c r="W4" s="1369"/>
      <c r="X4" s="1369"/>
      <c r="Y4" s="1369"/>
      <c r="Z4" s="1369"/>
      <c r="AA4" s="1369"/>
      <c r="AB4" s="1369"/>
      <c r="AC4" s="1369"/>
      <c r="AD4" s="1369"/>
      <c r="AE4" s="1369"/>
      <c r="AF4" s="1369"/>
      <c r="AG4" s="1369"/>
      <c r="AH4" s="1369"/>
      <c r="AI4" s="1369"/>
      <c r="AJ4" s="1369"/>
      <c r="AK4" s="1369"/>
      <c r="AL4" s="1369"/>
      <c r="AM4" s="1369"/>
      <c r="AN4" s="1369"/>
      <c r="AO4" s="1369"/>
      <c r="AP4" s="1369"/>
      <c r="AQ4" s="1369"/>
      <c r="AR4" s="1236"/>
      <c r="AS4" s="1370"/>
      <c r="AT4" s="1370"/>
      <c r="AU4" s="1370"/>
      <c r="AV4" s="1370"/>
      <c r="AW4" s="1370"/>
      <c r="AX4" s="1370"/>
      <c r="AY4" s="1370"/>
      <c r="AZ4" s="1370"/>
      <c r="BA4" s="1370"/>
      <c r="BB4" s="1370"/>
      <c r="BC4" s="1370"/>
      <c r="BD4" s="1370"/>
      <c r="BE4" s="1370"/>
    </row>
    <row r="5" spans="1:70" x14ac:dyDescent="0.2">
      <c r="B5" s="16"/>
      <c r="C5" s="16"/>
      <c r="D5" s="1250"/>
      <c r="E5" s="1250"/>
      <c r="F5" s="1250"/>
      <c r="G5" s="1250"/>
      <c r="H5" s="1250"/>
      <c r="I5" s="1250"/>
      <c r="J5" s="1250"/>
      <c r="K5" s="1250"/>
      <c r="L5" s="1250"/>
      <c r="M5" s="1250"/>
      <c r="N5" s="1250"/>
      <c r="O5" s="1250"/>
      <c r="P5" s="1250"/>
      <c r="Q5" s="1250"/>
      <c r="R5" s="1250"/>
      <c r="S5" s="1250"/>
      <c r="T5" s="1250"/>
      <c r="U5" s="1250"/>
      <c r="V5" s="1250"/>
      <c r="W5" s="1250"/>
      <c r="X5" s="1250"/>
      <c r="Y5" s="1250"/>
      <c r="Z5" s="1250"/>
      <c r="AA5" s="1250"/>
      <c r="AB5" s="1250"/>
      <c r="AC5" s="1250"/>
      <c r="AD5" s="1250"/>
      <c r="AE5" s="1250"/>
      <c r="AF5" s="1250"/>
      <c r="AG5" s="1250"/>
      <c r="AH5" s="1250"/>
      <c r="AI5" s="1250"/>
      <c r="AJ5" s="1250"/>
      <c r="AK5" s="1250"/>
      <c r="AL5" s="1250"/>
      <c r="AM5" s="1250"/>
      <c r="AN5" s="1250"/>
      <c r="AO5" s="1250"/>
      <c r="AP5" s="1250"/>
      <c r="AQ5" s="1250"/>
      <c r="AR5" s="1236"/>
      <c r="AS5" s="1371"/>
      <c r="AT5" s="1371"/>
      <c r="AU5" s="1236"/>
      <c r="AV5" s="1236"/>
      <c r="AW5" s="1236"/>
      <c r="AX5" s="1236"/>
      <c r="AY5" s="1236"/>
      <c r="AZ5" s="1236"/>
      <c r="BA5" s="1236"/>
      <c r="BB5" s="1236"/>
      <c r="BC5" s="1236"/>
      <c r="BD5" s="1236"/>
      <c r="BE5" s="1236"/>
    </row>
    <row r="6" spans="1:70" x14ac:dyDescent="0.2">
      <c r="B6" s="17" t="s">
        <v>100</v>
      </c>
      <c r="D6" s="407"/>
      <c r="E6" s="407"/>
      <c r="F6" s="407"/>
      <c r="G6" s="407"/>
      <c r="H6" s="407">
        <f>IFERROR(Model!H6/Model!D6-1,"NA")</f>
        <v>-0.12672583826429984</v>
      </c>
      <c r="I6" s="407">
        <f>IFERROR(Model!I6/Model!E6-1,"NA")</f>
        <v>-5.2944354403025362E-2</v>
      </c>
      <c r="J6" s="407">
        <f>IFERROR(Model!J6/Model!F6-1,"NA")</f>
        <v>-0.25521098118962893</v>
      </c>
      <c r="K6" s="407">
        <f>IFERROR(Model!K6/Model!G6-1,"NA")</f>
        <v>-9.8429951690821249E-2</v>
      </c>
      <c r="L6" s="407">
        <f>IFERROR(Model!L6/Model!H6-1,"NA")</f>
        <v>-8.8085827216262014E-2</v>
      </c>
      <c r="M6" s="407">
        <f>IFERROR(Model!M6/Model!I6-1,"NA")</f>
        <v>-0.13861950941243584</v>
      </c>
      <c r="N6" s="407">
        <f>IFERROR(Model!N6/Model!J6-1,"NA")</f>
        <v>0.26894197952218435</v>
      </c>
      <c r="O6" s="407">
        <f>IFERROR(Model!O6/Model!K6-1,"NA")</f>
        <v>0.12726054922973873</v>
      </c>
      <c r="P6" s="407">
        <f>IFERROR(Model!P6/Model!L6-1,"NA")</f>
        <v>3.2198142414860742E-2</v>
      </c>
      <c r="Q6" s="407">
        <f>IFERROR(Model!Q6/Model!M6-1,"NA")</f>
        <v>4.3046357615894149E-2</v>
      </c>
      <c r="R6" s="407">
        <f>IFERROR(Model!R6/Model!N6-1,"NA")</f>
        <v>-0.11135018827326515</v>
      </c>
      <c r="S6" s="407">
        <f>IFERROR(Model!S6/Model!O6-1,"NA")</f>
        <v>-0.21568627450980393</v>
      </c>
      <c r="T6" s="407">
        <f>IFERROR(Model!T6/Model!P6-1,"NA")</f>
        <v>-0.28374325134973011</v>
      </c>
      <c r="U6" s="407">
        <f>IFERROR(Model!U6/Model!Q6-1,"NA")</f>
        <v>-0.18412698412698414</v>
      </c>
      <c r="V6" s="407">
        <f>IFERROR(Model!V6/Model!R6-1,"NA")</f>
        <v>-0.2433414043583535</v>
      </c>
      <c r="W6" s="407">
        <f>IFERROR(Model!W6/Model!S6-1,"NA")</f>
        <v>-7.1969696969697017E-2</v>
      </c>
      <c r="X6" s="407">
        <f>IFERROR(Model!X6/Model!T6-1,"NA")</f>
        <v>-0.16415410385259632</v>
      </c>
      <c r="Y6" s="407">
        <f>IFERROR(Model!Y6/Model!U6-1,"NA")</f>
        <v>-0.12217898832684826</v>
      </c>
      <c r="Z6" s="407">
        <f>IFERROR(Model!Z6/Model!V6-1,"NA")</f>
        <v>-6.3999999999999946E-2</v>
      </c>
      <c r="AA6" s="407">
        <f>IFERROR(Model!AA6/Model!W6-1,"NA")</f>
        <v>-0.52489795918367355</v>
      </c>
      <c r="AB6" s="407">
        <f>IFERROR(Model!AB6/Model!X6-1,"NA")</f>
        <v>0.39679358717434865</v>
      </c>
      <c r="AC6" s="407">
        <f>IFERROR(Model!AC6/Model!Y6-1,"NA")</f>
        <v>0.25376158232840229</v>
      </c>
      <c r="AD6" s="407">
        <f>IFERROR(Model!AD6/Model!Z6-1,"NA")</f>
        <v>0.26583465963182884</v>
      </c>
      <c r="AE6" s="407">
        <f>IFERROR(Model!AE6/Model!AA6-1,"NA")</f>
        <v>1.4875095307767427</v>
      </c>
      <c r="AF6" s="407">
        <f>IFERROR(Model!AF6/Model!AB6-1,"NA")</f>
        <v>6.7957388439214395E-2</v>
      </c>
      <c r="AG6" s="407">
        <f>IFERROR(Model!AG6/Model!AC6-1,"NA")</f>
        <v>8.4165996910012364E-2</v>
      </c>
      <c r="AH6" s="407">
        <f>IFERROR(Model!AH6/Model!AD6-1,"NA")</f>
        <v>6.4238704979321604E-2</v>
      </c>
      <c r="AI6" s="407">
        <f>IFERROR(Model!AI6/Model!AE6-1,"NA")</f>
        <v>5.4755936171451802E-2</v>
      </c>
      <c r="AJ6" s="407"/>
      <c r="AK6" s="407"/>
      <c r="AL6" s="407"/>
      <c r="AM6" s="407"/>
      <c r="AN6" s="407"/>
      <c r="AO6" s="407"/>
      <c r="AP6" s="407"/>
      <c r="AQ6" s="407"/>
      <c r="AR6" s="1236"/>
      <c r="AS6" s="1372"/>
      <c r="AT6" s="407"/>
      <c r="AU6" s="1236"/>
      <c r="AV6" s="1236">
        <f>IFERROR(Model!AV6/Model!AU6-1,"NA")</f>
        <v>-0.1359637430018662</v>
      </c>
      <c r="AW6" s="1236">
        <f>IFERROR(Model!AW6/Model!AV6-1,"NA")</f>
        <v>2.8540573896945309E-2</v>
      </c>
      <c r="AX6" s="1236">
        <f>IFERROR(Model!AX6/Model!AW6-1,"NA")</f>
        <v>-6.7946602669866518E-2</v>
      </c>
      <c r="AY6" s="1236">
        <f>IFERROR(Model!AY6/Model!AX6-1,"NA")</f>
        <v>-0.20276794335371739</v>
      </c>
      <c r="AZ6" s="1236">
        <f>IFERROR(Model!AZ6/Model!AY6-1,"NA")</f>
        <v>-0.2171982236576504</v>
      </c>
      <c r="BA6" s="1236">
        <f>IFERROR(Model!BA6/Model!AZ6-1,"NA")</f>
        <v>0.47937085186893813</v>
      </c>
      <c r="BB6" s="1256">
        <f>IFERROR(Model!BB6/Model!BA6-1,"NA")</f>
        <v>6.766164110018047E-2</v>
      </c>
      <c r="BC6" s="1256">
        <f>IFERROR(Model!BC6/Model!BB6-1,"NA")</f>
        <v>3.3749576483791177E-2</v>
      </c>
      <c r="BD6" s="1256">
        <f>IFERROR(Model!BD6/Model!BC6-1,"NA")</f>
        <v>2.2240784598826391E-2</v>
      </c>
      <c r="BE6" s="1256">
        <f>IFERROR(Model!BE6/Model!BD6-1,"NA")</f>
        <v>-4.9079071443510092E-2</v>
      </c>
    </row>
    <row r="7" spans="1:70" x14ac:dyDescent="0.2">
      <c r="B7" s="17" t="s">
        <v>182</v>
      </c>
      <c r="C7" s="327"/>
      <c r="D7" s="407"/>
      <c r="E7" s="407"/>
      <c r="F7" s="407"/>
      <c r="G7" s="407"/>
      <c r="H7" s="407">
        <f>IFERROR(Model!H7/Model!D7-1,"NA")</f>
        <v>7.7177873468035729E-2</v>
      </c>
      <c r="I7" s="407">
        <f>IFERROR(Model!I7/Model!E7-1,"NA")</f>
        <v>0.33379694019471495</v>
      </c>
      <c r="J7" s="407">
        <f>IFERROR(Model!J7/Model!F7-1,"NA")</f>
        <v>-0.21031587365053983</v>
      </c>
      <c r="K7" s="407">
        <f>IFERROR(Model!K7/Model!G7-1,"NA")</f>
        <v>-7.817969661610269E-2</v>
      </c>
      <c r="L7" s="407">
        <f>IFERROR(Model!L7/Model!H7-1,"NA")</f>
        <v>-7.4415744157441566E-2</v>
      </c>
      <c r="M7" s="407">
        <f>IFERROR(Model!M7/Model!I7-1,"NA")</f>
        <v>-9.0371915189433438E-2</v>
      </c>
      <c r="N7" s="407">
        <f>IFERROR(Model!N7/Model!J7-1,"NA")</f>
        <v>0.30430379746835445</v>
      </c>
      <c r="O7" s="407">
        <f>IFERROR(Model!O7/Model!K7-1,"NA")</f>
        <v>7.4050632911392356E-2</v>
      </c>
      <c r="P7" s="407">
        <f>IFERROR(Model!P7/Model!L7-1,"NA")</f>
        <v>-2.0265780730897021E-2</v>
      </c>
      <c r="Q7" s="407">
        <f>IFERROR(Model!Q7/Model!M7-1,"NA")</f>
        <v>-2.3691249522353797E-2</v>
      </c>
      <c r="R7" s="407">
        <f>IFERROR(Model!R7/Model!N7-1,"NA")</f>
        <v>-0.15605590062111796</v>
      </c>
      <c r="S7" s="407">
        <f>IFERROR(Model!S7/Model!O7-1,"NA")</f>
        <v>-0.25751325869180908</v>
      </c>
      <c r="T7" s="407">
        <f>IFERROR(Model!T7/Model!P7-1,"NA")</f>
        <v>-0.36622583926754837</v>
      </c>
      <c r="U7" s="407">
        <f>IFERROR(Model!U7/Model!Q7-1,"NA")</f>
        <v>2.3483365949119372E-2</v>
      </c>
      <c r="V7" s="407">
        <f>IFERROR(Model!V7/Model!R7-1,"NA")</f>
        <v>0.2235510579576816</v>
      </c>
      <c r="W7" s="407">
        <f>IFERROR(Model!W7/Model!S7-1,"NA")</f>
        <v>0.88968253968253963</v>
      </c>
      <c r="X7" s="407">
        <f>IFERROR(Model!X7/Model!T7-1,"NA")</f>
        <v>0.61102193686463346</v>
      </c>
      <c r="Y7" s="407">
        <f>IFERROR(Model!Y7/Model!U7-1,"NA")</f>
        <v>6.3097514340344274E-2</v>
      </c>
      <c r="Z7" s="407">
        <f>IFERROR(Model!Z7/Model!V7-1,"NA")</f>
        <v>0.15112781954887211</v>
      </c>
      <c r="AA7" s="407">
        <f>IFERROR(Model!AA7/Model!W7-1,"NA")</f>
        <v>-0.91054178916421669</v>
      </c>
      <c r="AB7" s="407">
        <f>IFERROR(Model!AB7/Model!X7-1,"NA")</f>
        <v>0.1056127532381268</v>
      </c>
      <c r="AC7" s="407">
        <f>IFERROR(Model!AC7/Model!Y7-1,"NA")</f>
        <v>0.15984202933325098</v>
      </c>
      <c r="AD7" s="407">
        <f>IFERROR(Model!AD7/Model!Z7-1,"NA")</f>
        <v>4.7811942773357652E-2</v>
      </c>
      <c r="AE7" s="407">
        <f>IFERROR(Model!AE7/Model!AA7-1,"NA")</f>
        <v>13.377655944540317</v>
      </c>
      <c r="AF7" s="407">
        <f>IFERROR(Model!AF7/Model!AB7-1,"NA")</f>
        <v>8.3318622102418471E-2</v>
      </c>
      <c r="AG7" s="407">
        <f>IFERROR(Model!AG7/Model!AC7-1,"NA")</f>
        <v>0.14058679004806263</v>
      </c>
      <c r="AH7" s="407">
        <f>IFERROR(Model!AH7/Model!AD7-1,"NA")</f>
        <v>0.10605970183421176</v>
      </c>
      <c r="AI7" s="407">
        <f>IFERROR(Model!AI7/Model!AE7-1,"NA")</f>
        <v>8.8730022157444743E-2</v>
      </c>
      <c r="AJ7" s="407"/>
      <c r="AK7" s="407"/>
      <c r="AL7" s="407"/>
      <c r="AM7" s="407"/>
      <c r="AN7" s="407"/>
      <c r="AO7" s="407"/>
      <c r="AP7" s="407"/>
      <c r="AQ7" s="407"/>
      <c r="AR7" s="1236"/>
      <c r="AS7" s="1372"/>
      <c r="AT7" s="1284"/>
      <c r="AU7" s="1236"/>
      <c r="AV7" s="1236">
        <f>IFERROR(Model!AV7/Model!AU7-1,"NA")</f>
        <v>3.1200085187945925E-2</v>
      </c>
      <c r="AW7" s="1236">
        <f>IFERROR(Model!AW7/Model!AV7-1,"NA")</f>
        <v>2.2304832713754719E-2</v>
      </c>
      <c r="AX7" s="1236">
        <f>IFERROR(Model!AX7/Model!AW7-1,"NA")</f>
        <v>-9.7171717171717131E-2</v>
      </c>
      <c r="AY7" s="1236">
        <f>IFERROR(Model!AY7/Model!AX7-1,"NA")</f>
        <v>6.5674647572163902E-2</v>
      </c>
      <c r="AZ7" s="1236">
        <f>IFERROR(Model!AZ7/Model!AY7-1,"NA")</f>
        <v>-4.8188976377952719E-2</v>
      </c>
      <c r="BA7" s="1236">
        <f>IFERROR(Model!BA7/Model!AZ7-1,"NA")</f>
        <v>0.41453802410164875</v>
      </c>
      <c r="BB7" s="1256">
        <f>IFERROR(Model!BB7/Model!BA7-1,"NA")</f>
        <v>0.10469911969190737</v>
      </c>
      <c r="BC7" s="1256">
        <f>IFERROR(Model!BC7/Model!BB7-1,"NA")</f>
        <v>8.5361229416109685E-2</v>
      </c>
      <c r="BD7" s="1256">
        <f>IFERROR(Model!BD7/Model!BC7-1,"NA")</f>
        <v>6.2313224400985634E-2</v>
      </c>
      <c r="BE7" s="1256">
        <f>IFERROR(Model!BE7/Model!BD7-1,"NA")</f>
        <v>4.9679623527387307E-2</v>
      </c>
    </row>
    <row r="8" spans="1:70" x14ac:dyDescent="0.2">
      <c r="B8" s="29" t="s">
        <v>183</v>
      </c>
      <c r="C8" s="425"/>
      <c r="D8" s="1307"/>
      <c r="E8" s="1307"/>
      <c r="F8" s="1307"/>
      <c r="G8" s="1307"/>
      <c r="H8" s="1307">
        <f>IFERROR(Model!H8/Model!D8-1,"NA")</f>
        <v>-0.39636127355425599</v>
      </c>
      <c r="I8" s="1307">
        <f>IFERROR(Model!I8/Model!E8-1,"NA")</f>
        <v>-0.21274298056155505</v>
      </c>
      <c r="J8" s="1307">
        <f>IFERROR(Model!J8/Model!F8-1,"NA")</f>
        <v>-0.82108902333621436</v>
      </c>
      <c r="K8" s="1307">
        <f>IFERROR(Model!K8/Model!G8-1,"NA")</f>
        <v>-0.63513513513513509</v>
      </c>
      <c r="L8" s="1307">
        <f>IFERROR(Model!L8/Model!H8-1,"NA")</f>
        <v>-0.49730893433799783</v>
      </c>
      <c r="M8" s="1307">
        <f>IFERROR(Model!M8/Model!I8-1,"NA")</f>
        <v>4.2866941015089166</v>
      </c>
      <c r="N8" s="1307">
        <f>IFERROR(Model!N8/Model!J8-1,"NA")</f>
        <v>5.2367149758454108</v>
      </c>
      <c r="O8" s="1307">
        <f>IFERROR(Model!O8/Model!K8-1,"NA")</f>
        <v>3.6311728395061724</v>
      </c>
      <c r="P8" s="1307">
        <f>IFERROR(Model!P8/Model!L8-1,"NA")</f>
        <v>-1.5310492505353319</v>
      </c>
      <c r="Q8" s="1307">
        <f>IFERROR(Model!Q8/Model!M8-1,"NA")</f>
        <v>-1.1380384016606124</v>
      </c>
      <c r="R8" s="1307">
        <f>IFERROR(Model!R8/Model!N8-1,"NA")</f>
        <v>-1.273431448489543</v>
      </c>
      <c r="S8" s="1307">
        <f>IFERROR(Model!S8/Model!O8-1,"NA")</f>
        <v>-1.3128957014328557</v>
      </c>
      <c r="T8" s="1307">
        <f>IFERROR(Model!T8/Model!P8-1,"NA")</f>
        <v>0.79435483870967749</v>
      </c>
      <c r="U8" s="1307">
        <f>IFERROR(Model!U8/Model!Q8-1,"NA")</f>
        <v>-0.72368421052631571</v>
      </c>
      <c r="V8" s="1307">
        <f>IFERROR(Model!V8/Model!R8-1,"NA")</f>
        <v>-1.065155807365439</v>
      </c>
      <c r="W8" s="1307">
        <f>IFERROR(Model!W8/Model!S8-1,"NA")</f>
        <v>-1.0159744408945688</v>
      </c>
      <c r="X8" s="1307">
        <f>IFERROR(Model!X8/Model!T8-1,"NA")</f>
        <v>-0.75505617977528083</v>
      </c>
      <c r="Y8" s="1307">
        <f>IFERROR(Model!Y8/Model!U8-1,"NA")</f>
        <v>-1.1700680272108843</v>
      </c>
      <c r="Z8" s="1307">
        <f>IFERROR(Model!Z8/Model!V8-1,"NA")</f>
        <v>3.1304347826086953</v>
      </c>
      <c r="AA8" s="1307">
        <f>IFERROR(Model!AA8/Model!W8-1,"NA")</f>
        <v>-203.26666666666668</v>
      </c>
      <c r="AB8" s="1307">
        <f>IFERROR(Model!AB8/Model!X8-1,"NA")</f>
        <v>-1.6788990825688073</v>
      </c>
      <c r="AC8" s="1307">
        <f>IFERROR(Model!AC8/Model!Y8-1,"NA")</f>
        <v>5.8620540244092743</v>
      </c>
      <c r="AD8" s="1307">
        <f>IFERROR(Model!AD8/Model!Z8-1,"NA")</f>
        <v>0.45825557898612335</v>
      </c>
      <c r="AE8" s="1307">
        <f>IFERROR(Model!AE8/Model!AA8-1,"NA")</f>
        <v>-1.0454623213450402</v>
      </c>
      <c r="AF8" s="1307">
        <f>IFERROR(Model!AF8/Model!AB8-1,"NA")</f>
        <v>1.0468331968589055</v>
      </c>
      <c r="AG8" s="1307">
        <f>IFERROR(Model!AG8/Model!AC8-1,"NA")</f>
        <v>-0.20560189028010978</v>
      </c>
      <c r="AH8" s="1307">
        <f>IFERROR(Model!AH8/Model!AD8-1,"NA")</f>
        <v>-6.5794457826604313E-2</v>
      </c>
      <c r="AI8" s="1307">
        <f>IFERROR(Model!AI8/Model!AE8-1,"NA")</f>
        <v>-0.14966368438368016</v>
      </c>
      <c r="AJ8" s="1318"/>
      <c r="AK8" s="1318"/>
      <c r="AL8" s="1318"/>
      <c r="AM8" s="1318"/>
      <c r="AN8" s="1318"/>
      <c r="AO8" s="1318"/>
      <c r="AP8" s="1318"/>
      <c r="AQ8" s="1318"/>
      <c r="AR8" s="1236"/>
      <c r="AS8" s="1373"/>
      <c r="AT8" s="1270"/>
      <c r="AU8" s="1236"/>
      <c r="AV8" s="1236">
        <f>IFERROR(Model!AV8/Model!AU8-1,"NA")</f>
        <v>-0.53445720637273064</v>
      </c>
      <c r="AW8" s="1236">
        <f>IFERROR(Model!AW8/Model!AV8-1,"NA")</f>
        <v>2.4273776362912853</v>
      </c>
      <c r="AX8" s="1236">
        <f>IFERROR(Model!AX8/Model!AW8-1,"NA")</f>
        <v>-1.2405665853941716</v>
      </c>
      <c r="AY8" s="1236">
        <f>IFERROR(Model!AY8/Model!AX8-1,"NA")</f>
        <v>-0.73262548262548255</v>
      </c>
      <c r="AZ8" s="1236">
        <f>IFERROR(Model!AZ8/Model!AY8-1,"NA")</f>
        <v>4.4566787003610111</v>
      </c>
      <c r="BA8" s="1236">
        <f>IFERROR(Model!BA8/Model!AZ8-1,"NA")</f>
        <v>-1.1726822075999885</v>
      </c>
      <c r="BB8" s="1257">
        <f>IFERROR(Model!BB8/Model!BA8-1,"NA")</f>
        <v>2.3823059280696945E-2</v>
      </c>
      <c r="BC8" s="1257">
        <f>IFERROR(Model!BC8/Model!BB8-1,"NA")</f>
        <v>-0.16879330730364328</v>
      </c>
      <c r="BD8" s="1257">
        <f>IFERROR(Model!BD8/Model!BC8-1,"NA")</f>
        <v>-0.16678729534615655</v>
      </c>
      <c r="BE8" s="1257">
        <f>IFERROR(Model!BE8/Model!BD8-1,"NA")</f>
        <v>-0.1775006167949118</v>
      </c>
    </row>
    <row r="9" spans="1:70" s="160" customFormat="1" x14ac:dyDescent="0.2">
      <c r="A9" s="829"/>
      <c r="B9" s="59" t="s">
        <v>626</v>
      </c>
      <c r="C9" s="59"/>
      <c r="D9" s="1329"/>
      <c r="E9" s="1329"/>
      <c r="F9" s="1329"/>
      <c r="G9" s="1329"/>
      <c r="H9" s="1329">
        <f>IFERROR(Model!H9/Model!D9-1,"NA")</f>
        <v>0.16704675028506277</v>
      </c>
      <c r="I9" s="1329">
        <f>IFERROR(Model!I9/Model!E9-1,"NA")</f>
        <v>0.26573653471771586</v>
      </c>
      <c r="J9" s="1329">
        <f>IFERROR(Model!J9/Model!F9-1,"NA")</f>
        <v>-2.3557837511325896E-2</v>
      </c>
      <c r="K9" s="1329">
        <f>IFERROR(Model!K9/Model!G9-1,"NA")</f>
        <v>0.52132998745294845</v>
      </c>
      <c r="L9" s="1329">
        <f>IFERROR(Model!L9/Model!H9-1,"NA")</f>
        <v>1.5632633121641426E-2</v>
      </c>
      <c r="M9" s="1329">
        <f>IFERROR(Model!M9/Model!I9-1,"NA")</f>
        <v>-0.93001794411689309</v>
      </c>
      <c r="N9" s="1329">
        <f>IFERROR(Model!N9/Model!J9-1,"NA")</f>
        <v>-2.752861119703065E-2</v>
      </c>
      <c r="O9" s="1329">
        <f>IFERROR(Model!O9/Model!K9-1,"NA")</f>
        <v>-0.84371134020618554</v>
      </c>
      <c r="P9" s="1329">
        <f>IFERROR(Model!P9/Model!L9-1,"NA")</f>
        <v>0.16979316979316983</v>
      </c>
      <c r="Q9" s="1329">
        <f>IFERROR(Model!Q9/Model!M9-1,"NA")</f>
        <v>16.076923076923077</v>
      </c>
      <c r="R9" s="1329">
        <f>IFERROR(Model!R9/Model!N9-1,"NA")</f>
        <v>0.32919847328244267</v>
      </c>
      <c r="S9" s="1329">
        <f>IFERROR(Model!S9/Model!O9-1,"NA")</f>
        <v>8.2849604221635875</v>
      </c>
      <c r="T9" s="1329">
        <f>IFERROR(Model!T9/Model!P9-1,"NA")</f>
        <v>-0.27878289473684215</v>
      </c>
      <c r="U9" s="1329">
        <f>IFERROR(Model!U9/Model!Q9-1,"NA")</f>
        <v>-0.13191763191763195</v>
      </c>
      <c r="V9" s="1329">
        <f>IFERROR(Model!V9/Model!R9-1,"NA")</f>
        <v>-6.9873175400813614E-2</v>
      </c>
      <c r="W9" s="1329">
        <f>IFERROR(Model!W9/Model!S9-1,"NA")</f>
        <v>2.0460358056265893E-2</v>
      </c>
      <c r="X9" s="1329">
        <f>IFERROR(Model!X9/Model!T9-1,"NA")</f>
        <v>0.17388825541619157</v>
      </c>
      <c r="Y9" s="1329">
        <f>IFERROR(Model!Y9/Model!U9-1,"NA")</f>
        <v>-4.0523844823325939E-2</v>
      </c>
      <c r="Z9" s="1329">
        <f>IFERROR(Model!Z9/Model!V9-1,"NA")</f>
        <v>6.4316953949060895E-2</v>
      </c>
      <c r="AA9" s="1329">
        <f>IFERROR(Model!AA9/Model!W9-1,"NA")</f>
        <v>6.6276803118908489E-2</v>
      </c>
      <c r="AB9" s="1329">
        <f>IFERROR(Model!AB9/Model!X9-1,"NA")</f>
        <v>0.12894609033511406</v>
      </c>
      <c r="AC9" s="1329">
        <f>IFERROR(Model!AC9/Model!Y9-1,"NA")</f>
        <v>0.15041271073980012</v>
      </c>
      <c r="AD9" s="1329">
        <f>IFERROR(Model!AD9/Model!Z9-1,"NA")</f>
        <v>0.10004651692955746</v>
      </c>
      <c r="AE9" s="1329">
        <f>IFERROR(Model!AE9/Model!AA9-1,"NA")</f>
        <v>0.14187479241010692</v>
      </c>
      <c r="AF9" s="1329">
        <f>IFERROR(Model!AF9/Model!AB9-1,"NA")</f>
        <v>6.3375916518747522E-2</v>
      </c>
      <c r="AG9" s="1329">
        <f>IFERROR(Model!AG9/Model!AC9-1,"NA")</f>
        <v>0.13601921904266301</v>
      </c>
      <c r="AH9" s="1329">
        <f>IFERROR(Model!AH9/Model!AD9-1,"NA")</f>
        <v>9.7681056329507854E-2</v>
      </c>
      <c r="AI9" s="1329">
        <f>IFERROR(Model!AI9/Model!AE9-1,"NA")</f>
        <v>8.500125982155593E-2</v>
      </c>
      <c r="AJ9" s="1329"/>
      <c r="AK9" s="1329"/>
      <c r="AL9" s="1329"/>
      <c r="AM9" s="1329"/>
      <c r="AN9" s="1329"/>
      <c r="AO9" s="1329"/>
      <c r="AP9" s="1329"/>
      <c r="AQ9" s="1329"/>
      <c r="AR9" s="1236"/>
      <c r="AS9" s="1342"/>
      <c r="AT9" s="1329"/>
      <c r="AU9" s="1374"/>
      <c r="AV9" s="1374">
        <f>IFERROR(Model!AV9/Model!AU9-1,"NA")</f>
        <v>0.18773379730317519</v>
      </c>
      <c r="AW9" s="1374">
        <f>IFERROR(Model!AW9/Model!AV9-1,"NA")</f>
        <v>-0.41741741741741745</v>
      </c>
      <c r="AX9" s="1374">
        <f>IFERROR(Model!AX9/Model!AW9-1,"NA")</f>
        <v>1.1654513452351019</v>
      </c>
      <c r="AY9" s="1374">
        <f>IFERROR(Model!AY9/Model!AX9-1,"NA")</f>
        <v>-0.12720622387366465</v>
      </c>
      <c r="AZ9" s="1374">
        <f>IFERROR(Model!AZ9/Model!AY9-1,"NA")</f>
        <v>6.2129980709106691E-2</v>
      </c>
      <c r="BA9" s="1374">
        <f>IFERROR(Model!BA9/Model!AZ9-1,"NA")</f>
        <v>0.1297791430123707</v>
      </c>
      <c r="BB9" s="1322">
        <f>IFERROR(Model!BB9/Model!BA9-1,"NA")</f>
        <v>9.5260486543580436E-2</v>
      </c>
      <c r="BC9" s="1322">
        <f>IFERROR(Model!BC9/Model!BB9-1,"NA")</f>
        <v>7.6235811641826023E-2</v>
      </c>
      <c r="BD9" s="1322">
        <f>IFERROR(Model!BD9/Model!BC9-1,"NA")</f>
        <v>5.5166892311237836E-2</v>
      </c>
      <c r="BE9" s="1322">
        <f>IFERROR(Model!BE9/Model!BD9-1,"NA")</f>
        <v>2.4937019815502559E-2</v>
      </c>
    </row>
    <row r="10" spans="1:70" x14ac:dyDescent="0.2">
      <c r="B10" s="35"/>
      <c r="D10" s="407"/>
      <c r="E10" s="407"/>
      <c r="F10" s="407"/>
      <c r="G10" s="407"/>
      <c r="H10" s="407"/>
      <c r="I10" s="407"/>
      <c r="J10" s="407"/>
      <c r="K10" s="407"/>
      <c r="L10" s="407"/>
      <c r="M10" s="407"/>
      <c r="N10" s="407"/>
      <c r="O10" s="407"/>
      <c r="P10" s="407"/>
      <c r="Q10" s="407"/>
      <c r="R10" s="407"/>
      <c r="S10" s="407"/>
      <c r="T10" s="407"/>
      <c r="U10" s="407"/>
      <c r="V10" s="407"/>
      <c r="W10" s="407"/>
      <c r="X10" s="407"/>
      <c r="Y10" s="407"/>
      <c r="Z10" s="407"/>
      <c r="AA10" s="407"/>
      <c r="AB10" s="407"/>
      <c r="AC10" s="407"/>
      <c r="AD10" s="407"/>
      <c r="AE10" s="407"/>
      <c r="AF10" s="407"/>
      <c r="AG10" s="407"/>
      <c r="AH10" s="407"/>
      <c r="AI10" s="407"/>
      <c r="AJ10" s="407"/>
      <c r="AK10" s="407"/>
      <c r="AL10" s="407"/>
      <c r="AM10" s="407"/>
      <c r="AN10" s="407"/>
      <c r="AO10" s="407"/>
      <c r="AP10" s="407"/>
      <c r="AQ10" s="407"/>
      <c r="AR10" s="1236"/>
      <c r="AS10" s="407"/>
      <c r="AT10" s="407"/>
      <c r="AU10" s="1236"/>
      <c r="AV10" s="1236"/>
      <c r="AW10" s="1236"/>
      <c r="AX10" s="1236"/>
      <c r="AY10" s="1236"/>
      <c r="AZ10" s="1236"/>
      <c r="BA10" s="1236"/>
      <c r="BB10" s="1236"/>
      <c r="BC10" s="1236"/>
      <c r="BD10" s="1236"/>
      <c r="BE10" s="1236"/>
    </row>
    <row r="11" spans="1:70" x14ac:dyDescent="0.2">
      <c r="B11" s="35"/>
      <c r="C11" s="1217" t="s">
        <v>397</v>
      </c>
      <c r="D11" s="1344"/>
      <c r="E11" s="1344"/>
      <c r="F11" s="1344"/>
      <c r="G11" s="1344"/>
      <c r="H11" s="1344">
        <f>IFERROR(Model!H11/Model!D11-1,"NA")</f>
        <v>0</v>
      </c>
      <c r="I11" s="1344">
        <f>IFERROR(Model!I11/Model!E11-1,"NA")</f>
        <v>0</v>
      </c>
      <c r="J11" s="1344">
        <f>IFERROR(Model!J11/Model!F11-1,"NA")</f>
        <v>26.5</v>
      </c>
      <c r="K11" s="1344">
        <f>IFERROR(Model!K11/Model!G11-1,"NA")</f>
        <v>6.8888888888888893</v>
      </c>
      <c r="L11" s="1344">
        <f>IFERROR(Model!L11/Model!H11-1,"NA")</f>
        <v>30</v>
      </c>
      <c r="M11" s="1344">
        <f>IFERROR(Model!M11/Model!I11-1,"NA")</f>
        <v>10.111111111111111</v>
      </c>
      <c r="N11" s="1344">
        <f>IFERROR(Model!N11/Model!J11-1,"NA")</f>
        <v>0.16363636363636358</v>
      </c>
      <c r="O11" s="1344">
        <f>IFERROR(Model!O11/Model!K11-1,"NA")</f>
        <v>1.23943661971831</v>
      </c>
      <c r="P11" s="1344">
        <f>IFERROR(Model!P11/Model!L11-1,"NA")</f>
        <v>3.2258064516129004E-2</v>
      </c>
      <c r="Q11" s="1344">
        <f>IFERROR(Model!Q11/Model!M11-1,"NA")</f>
        <v>1.02</v>
      </c>
      <c r="R11" s="1344">
        <f>IFERROR(Model!R11/Model!N11-1,"NA")</f>
        <v>0.359375</v>
      </c>
      <c r="S11" s="1344">
        <f>IFERROR(Model!S11/Model!O11-1,"NA")</f>
        <v>0.66666666666666674</v>
      </c>
      <c r="T11" s="1344">
        <f>IFERROR(Model!T11/Model!P11-1,"NA")</f>
        <v>0.640625</v>
      </c>
      <c r="U11" s="1344">
        <f>IFERROR(Model!U11/Model!Q11-1,"NA")</f>
        <v>0.59405940594059414</v>
      </c>
      <c r="V11" s="1344">
        <f>IFERROR(Model!V11/Model!R11-1,"NA")</f>
        <v>0.2931034482758621</v>
      </c>
      <c r="W11" s="1344">
        <f>IFERROR(Model!W11/Model!S11-1,"NA")</f>
        <v>0.20754716981132071</v>
      </c>
      <c r="X11" s="1344">
        <f>IFERROR(Model!X11/Model!T11-1,"NA")</f>
        <v>0.43333333333333335</v>
      </c>
      <c r="Y11" s="1344">
        <f>IFERROR(Model!Y11/Model!U11-1,"NA")</f>
        <v>-6.2111801242236142E-3</v>
      </c>
      <c r="Z11" s="1344">
        <f>IFERROR(Model!Z11/Model!V11-1,"NA")</f>
        <v>0.2088888888888889</v>
      </c>
      <c r="AA11" s="1344">
        <f>IFERROR(Model!AA11/Model!W11-1,"NA")</f>
        <v>0</v>
      </c>
      <c r="AB11" s="1344">
        <f>IFERROR(Model!AB11/Model!X11-1,"NA")</f>
        <v>0</v>
      </c>
      <c r="AC11" s="1375">
        <f>IFERROR(Model!AC11/Model!Y11-1,"NA")</f>
        <v>-6.2499999999999778E-3</v>
      </c>
      <c r="AD11" s="1375">
        <f>IFERROR(Model!AD11/Model!Z11-1,"NA")</f>
        <v>-7.3529411764705621E-3</v>
      </c>
      <c r="AE11" s="1375">
        <f>IFERROR(Model!AE11/Model!AA11-1,"NA")</f>
        <v>-2.1874999999999978E-2</v>
      </c>
      <c r="AF11" s="1375">
        <f>IFERROR(Model!AF11/Model!AB11-1,"NA")</f>
        <v>1.3289036544850585E-2</v>
      </c>
      <c r="AG11" s="1375">
        <f>IFERROR(Model!AG11/Model!AC11-1,"NA")</f>
        <v>9.4339622641509413E-2</v>
      </c>
      <c r="AH11" s="1375">
        <f>IFERROR(Model!AH11/Model!AD11-1,"NA")</f>
        <v>0.12962962962962954</v>
      </c>
      <c r="AI11" s="1375">
        <f>IFERROR(Model!AI11/Model!AE11-1,"NA")</f>
        <v>0.11182108626198084</v>
      </c>
      <c r="AJ11" s="1375"/>
      <c r="AK11" s="1375"/>
      <c r="AL11" s="1375"/>
      <c r="AM11" s="1375"/>
      <c r="AN11" s="1375"/>
      <c r="AO11" s="1375"/>
      <c r="AP11" s="1375"/>
      <c r="AQ11" s="1375"/>
      <c r="AR11" s="1236"/>
      <c r="AS11" s="407"/>
      <c r="AT11" s="407"/>
      <c r="AU11" s="1236"/>
      <c r="AV11" s="1236">
        <f>IFERROR(Model!AV11/Model!AU11-1,"NA")</f>
        <v>6.4615384615384617</v>
      </c>
      <c r="AW11" s="1236">
        <f>IFERROR(Model!AW11/Model!AV11-1,"NA")</f>
        <v>1.634020618556701</v>
      </c>
      <c r="AX11" s="1236">
        <f>IFERROR(Model!AX11/Model!AW11-1,"NA")</f>
        <v>0.50489236790606662</v>
      </c>
      <c r="AY11" s="1236">
        <f>IFERROR(Model!AY11/Model!AX11-1,"NA")</f>
        <v>0.40052015604681412</v>
      </c>
      <c r="AZ11" s="1236">
        <f>IFERROR(Model!AZ11/Model!AY11-1,"NA")</f>
        <v>0.12627669452181989</v>
      </c>
      <c r="BA11" s="1236">
        <f>IFERROR(Model!BA11/Model!AZ11-1,"NA")</f>
        <v>-9.0684253915911395E-3</v>
      </c>
      <c r="BB11" s="1375">
        <f>IFERROR(Model!BB11/Model!BA11-1,"NA")</f>
        <v>8.652246256239593E-2</v>
      </c>
      <c r="BC11" s="1375">
        <f>IFERROR(Model!BC11/Model!BB11-1,"NA")</f>
        <v>0</v>
      </c>
      <c r="BD11" s="1375">
        <f>IFERROR(Model!BD11/Model!BC11-1,"NA")</f>
        <v>0</v>
      </c>
      <c r="BE11" s="1375">
        <f>IFERROR(Model!BE11/Model!BD11-1,"NA")</f>
        <v>0</v>
      </c>
      <c r="BM11" s="1072"/>
      <c r="BN11" s="1072"/>
      <c r="BO11" s="1072"/>
      <c r="BP11" s="1072"/>
      <c r="BQ11" s="1072"/>
    </row>
    <row r="12" spans="1:70" x14ac:dyDescent="0.2">
      <c r="B12" s="35"/>
      <c r="C12" s="1217" t="s">
        <v>396</v>
      </c>
      <c r="D12" s="1344"/>
      <c r="E12" s="1344"/>
      <c r="F12" s="1344"/>
      <c r="G12" s="1344"/>
      <c r="H12" s="1344">
        <f>IFERROR(Model!H12/Model!D12-1,"NA")</f>
        <v>-0.2857142857142857</v>
      </c>
      <c r="I12" s="1344">
        <f>IFERROR(Model!I12/Model!E12-1,"NA")</f>
        <v>-9.9999999999999978E-2</v>
      </c>
      <c r="J12" s="1344">
        <f>IFERROR(Model!J12/Model!F12-1,"NA")</f>
        <v>1.04</v>
      </c>
      <c r="K12" s="1344">
        <f>IFERROR(Model!K12/Model!G12-1,"NA")</f>
        <v>0.78571428571428581</v>
      </c>
      <c r="L12" s="1344">
        <f>IFERROR(Model!L12/Model!H12-1,"NA")</f>
        <v>-0.5</v>
      </c>
      <c r="M12" s="1344">
        <f>IFERROR(Model!M12/Model!I12-1,"NA")</f>
        <v>0.38888888888888884</v>
      </c>
      <c r="N12" s="1344">
        <f>IFERROR(Model!N12/Model!J12-1,"NA")</f>
        <v>0.15686274509803932</v>
      </c>
      <c r="O12" s="1344">
        <f>IFERROR(Model!O12/Model!K12-1,"NA")</f>
        <v>-0.24</v>
      </c>
      <c r="P12" s="1344">
        <f>IFERROR(Model!P12/Model!L12-1,"NA")</f>
        <v>-6.6666666666666652E-2</v>
      </c>
      <c r="Q12" s="1344">
        <f>IFERROR(Model!Q12/Model!M12-1,"NA")</f>
        <v>-0.64</v>
      </c>
      <c r="R12" s="1344">
        <f>IFERROR(Model!R12/Model!N12-1,"NA")</f>
        <v>-0.9152542372881356</v>
      </c>
      <c r="S12" s="1344">
        <f>IFERROR(Model!S12/Model!O12-1,"NA")</f>
        <v>-0.34210526315789469</v>
      </c>
      <c r="T12" s="1344">
        <f>IFERROR(Model!T12/Model!P12-1,"NA")</f>
        <v>-0.88095238095238093</v>
      </c>
      <c r="U12" s="1344">
        <f>IFERROR(Model!U12/Model!Q12-1,"NA")</f>
        <v>0.44444444444444442</v>
      </c>
      <c r="V12" s="1344">
        <f>IFERROR(Model!V12/Model!R12-1,"NA")</f>
        <v>2.4</v>
      </c>
      <c r="W12" s="1344">
        <f>IFERROR(Model!W12/Model!S12-1,"NA")</f>
        <v>-0.4</v>
      </c>
      <c r="X12" s="1344">
        <f>IFERROR(Model!X12/Model!T12-1,"NA")</f>
        <v>1</v>
      </c>
      <c r="Y12" s="1344">
        <f>IFERROR(Model!Y12/Model!U12-1,"NA")</f>
        <v>0.23076923076923084</v>
      </c>
      <c r="Z12" s="1344">
        <f>IFERROR(Model!Z12/Model!V12-1,"NA")</f>
        <v>-1.0588235294117647</v>
      </c>
      <c r="AA12" s="1344">
        <f>IFERROR(Model!AA12/Model!W12-1,"NA")</f>
        <v>0.26666666666666661</v>
      </c>
      <c r="AB12" s="1344">
        <f>IFERROR(Model!AB12/Model!X12-1,"NA")</f>
        <v>1.2000000000000002</v>
      </c>
      <c r="AC12" s="1375">
        <f>IFERROR(Model!AC12/Model!Y12-1,"NA")</f>
        <v>-0.390782625132989</v>
      </c>
      <c r="AD12" s="1375">
        <f>IFERROR(Model!AD12/Model!Z12-1,"NA")</f>
        <v>-16.850270019171404</v>
      </c>
      <c r="AE12" s="1375">
        <f>IFERROR(Model!AE12/Model!AA12-1,"NA")</f>
        <v>4.1410728137489805E-3</v>
      </c>
      <c r="AF12" s="1375">
        <f>IFERROR(Model!AF12/Model!AB12-1,"NA")</f>
        <v>-4.8001990979798848E-2</v>
      </c>
      <c r="AG12" s="1375">
        <f>IFERROR(Model!AG12/Model!AC12-1,"NA")</f>
        <v>7.0083727310165989E-2</v>
      </c>
      <c r="AH12" s="1375">
        <f>IFERROR(Model!AH12/Model!AD12-1,"NA")</f>
        <v>0.27676834830990416</v>
      </c>
      <c r="AI12" s="1375">
        <f>IFERROR(Model!AI12/Model!AE12-1,"NA")</f>
        <v>4.0475206348222548E-2</v>
      </c>
      <c r="AJ12" s="1375"/>
      <c r="AK12" s="1375"/>
      <c r="AL12" s="1375"/>
      <c r="AM12" s="1375"/>
      <c r="AN12" s="1375"/>
      <c r="AO12" s="1375"/>
      <c r="AP12" s="1375"/>
      <c r="AQ12" s="1375"/>
      <c r="AR12" s="1236"/>
      <c r="AS12" s="407"/>
      <c r="AT12" s="407"/>
      <c r="AU12" s="1236"/>
      <c r="AV12" s="1236">
        <f>IFERROR(Model!AV12/Model!AU12-1,"NA")</f>
        <v>3.6529680365296802E-2</v>
      </c>
      <c r="AW12" s="1236">
        <f>IFERROR(Model!AW12/Model!AV12-1,"NA")</f>
        <v>-0.1541850220264317</v>
      </c>
      <c r="AX12" s="1236">
        <f>IFERROR(Model!AX12/Model!AW12-1,"NA")</f>
        <v>-0.53125</v>
      </c>
      <c r="AY12" s="1236">
        <f>IFERROR(Model!AY12/Model!AX12-1,"NA")</f>
        <v>-0.30000000000000004</v>
      </c>
      <c r="AZ12" s="1236">
        <f>IFERROR(Model!AZ12/Model!AY12-1,"NA")</f>
        <v>-4.7619047619047672E-2</v>
      </c>
      <c r="BA12" s="1236">
        <f>IFERROR(Model!BA12/Model!AZ12-1,"NA")</f>
        <v>0.27373177330628318</v>
      </c>
      <c r="BB12" s="1375">
        <f>IFERROR(Model!BB12/Model!BA12-1,"NA")</f>
        <v>7.15653283765465E-2</v>
      </c>
      <c r="BC12" s="1375">
        <f>IFERROR(Model!BC12/Model!BB12-1,"NA")</f>
        <v>7.6235811641826023E-2</v>
      </c>
      <c r="BD12" s="1375">
        <f>IFERROR(Model!BD12/Model!BC12-1,"NA")</f>
        <v>5.5166892311237836E-2</v>
      </c>
      <c r="BE12" s="1375">
        <f>IFERROR(Model!BE12/Model!BD12-1,"NA")</f>
        <v>2.4937019815502559E-2</v>
      </c>
      <c r="BM12" s="1073"/>
      <c r="BN12" s="1073"/>
      <c r="BO12" s="1073"/>
      <c r="BP12" s="1073"/>
      <c r="BQ12" s="1073"/>
    </row>
    <row r="13" spans="1:70" x14ac:dyDescent="0.2">
      <c r="B13" s="43"/>
      <c r="C13" s="25" t="s">
        <v>395</v>
      </c>
      <c r="D13" s="1376"/>
      <c r="E13" s="1376"/>
      <c r="F13" s="1376"/>
      <c r="G13" s="1376"/>
      <c r="H13" s="1376">
        <f>IFERROR(Model!H13/Model!D13-1,"NA")</f>
        <v>0.44897959183673475</v>
      </c>
      <c r="I13" s="1376">
        <f>IFERROR(Model!I13/Model!E13-1,"NA")</f>
        <v>0.27692307692307683</v>
      </c>
      <c r="J13" s="1376">
        <f>IFERROR(Model!J13/Model!F13-1,"NA")</f>
        <v>5.2</v>
      </c>
      <c r="K13" s="1376">
        <f>IFERROR(Model!K13/Model!G13-1,"NA")</f>
        <v>0.80769230769230771</v>
      </c>
      <c r="L13" s="1376">
        <f>IFERROR(Model!L13/Model!H13-1,"NA")</f>
        <v>-0.12676056338028174</v>
      </c>
      <c r="M13" s="1376">
        <f>IFERROR(Model!M13/Model!I13-1,"NA")</f>
        <v>-0.98795180722891562</v>
      </c>
      <c r="N13" s="1376">
        <f>IFERROR(Model!N13/Model!J13-1,"NA")</f>
        <v>-0.29032258064516125</v>
      </c>
      <c r="O13" s="1376">
        <f>IFERROR(Model!O13/Model!K13-1,"NA")</f>
        <v>-0.93617021276595747</v>
      </c>
      <c r="P13" s="1376">
        <f>IFERROR(Model!P13/Model!L13-1,"NA")</f>
        <v>0</v>
      </c>
      <c r="Q13" s="1376">
        <f>IFERROR(Model!Q13/Model!M13-1,"NA")</f>
        <v>63</v>
      </c>
      <c r="R13" s="1376">
        <f>IFERROR(Model!R13/Model!N13-1,"NA")</f>
        <v>0.27272727272727271</v>
      </c>
      <c r="S13" s="1376">
        <f>IFERROR(Model!S13/Model!O13-1,"NA")</f>
        <v>13</v>
      </c>
      <c r="T13" s="1376">
        <f>IFERROR(Model!T13/Model!P13-1,"NA")</f>
        <v>-0.35483870967741937</v>
      </c>
      <c r="U13" s="1376">
        <f>IFERROR(Model!U13/Model!Q13-1,"NA")</f>
        <v>-0.171875</v>
      </c>
      <c r="V13" s="1376">
        <f>IFERROR(Model!V13/Model!R13-1,"NA")</f>
        <v>-5.3571428571428603E-2</v>
      </c>
      <c r="W13" s="1376">
        <f>IFERROR(Model!W13/Model!S13-1,"NA")</f>
        <v>0.16666666666666674</v>
      </c>
      <c r="X13" s="1376">
        <f>IFERROR(Model!X13/Model!T13-1,"NA")</f>
        <v>0.375</v>
      </c>
      <c r="Y13" s="1376">
        <f>IFERROR(Model!Y13/Model!U13-1,"NA")</f>
        <v>-9.4339622641509413E-2</v>
      </c>
      <c r="Z13" s="1376">
        <f>IFERROR(Model!Z13/Model!V13-1,"NA")</f>
        <v>0</v>
      </c>
      <c r="AA13" s="1376">
        <f>IFERROR(Model!AA13/Model!W13-1,"NA")</f>
        <v>-0.75510204081632648</v>
      </c>
      <c r="AB13" s="1376">
        <f>IFERROR(Model!AB13/Model!X13-1,"NA")</f>
        <v>-0.6</v>
      </c>
      <c r="AC13" s="1377">
        <f>IFERROR(Model!AC13/Model!Y13-1,"NA")</f>
        <v>-0.23847828141623617</v>
      </c>
      <c r="AD13" s="1377">
        <f>IFERROR(Model!AD13/Model!Z13-1,"NA")</f>
        <v>-0.37893923743632685</v>
      </c>
      <c r="AE13" s="1377">
        <f>IFERROR(Model!AE13/Model!AA13-1,"NA")</f>
        <v>1.1547483490174608</v>
      </c>
      <c r="AF13" s="1377">
        <f>IFERROR(Model!AF13/Model!AB13-1,"NA")</f>
        <v>0.46151060704852975</v>
      </c>
      <c r="AG13" s="1377">
        <f>IFERROR(Model!AG13/Model!AC13-1,"NA")</f>
        <v>-3.4681654372776038E-2</v>
      </c>
      <c r="AH13" s="1377">
        <f>IFERROR(Model!AH13/Model!AD13-1,"NA")</f>
        <v>1.1230084712199995E-2</v>
      </c>
      <c r="AI13" s="1377">
        <f>IFERROR(Model!AI13/Model!AE13-1,"NA")</f>
        <v>0.1979506325768734</v>
      </c>
      <c r="AJ13" s="1743"/>
      <c r="AK13" s="1743"/>
      <c r="AL13" s="1743"/>
      <c r="AM13" s="1743"/>
      <c r="AN13" s="1743"/>
      <c r="AO13" s="1743"/>
      <c r="AP13" s="1743"/>
      <c r="AQ13" s="1743"/>
      <c r="AR13" s="1236"/>
      <c r="AS13" s="1307"/>
      <c r="AT13" s="1307"/>
      <c r="AU13" s="1246"/>
      <c r="AV13" s="1246">
        <f>IFERROR(Model!AV13/Model!AU13-1,"NA")</f>
        <v>0.75333333333333341</v>
      </c>
      <c r="AW13" s="1246">
        <f>IFERROR(Model!AW13/Model!AV13-1,"NA")</f>
        <v>-0.58174904942965777</v>
      </c>
      <c r="AX13" s="1246">
        <f>IFERROR(Model!AX13/Model!AW13-1,"NA")</f>
        <v>1.0363636363636362</v>
      </c>
      <c r="AY13" s="1246">
        <f>IFERROR(Model!AY13/Model!AX13-1,"NA")</f>
        <v>-0.1294642857142857</v>
      </c>
      <c r="AZ13" s="1246">
        <f>IFERROR(Model!AZ13/Model!AY13-1,"NA")</f>
        <v>-0.13846153846153841</v>
      </c>
      <c r="BA13" s="1246">
        <f>IFERROR(Model!BA13/Model!AZ13-1,"NA")</f>
        <v>-0.30162950538032818</v>
      </c>
      <c r="BB13" s="1377">
        <f>IFERROR(Model!BB13/Model!BA13-1,"NA")</f>
        <v>0.12250942771406859</v>
      </c>
      <c r="BC13" s="1377">
        <f>IFERROR(Model!BC13/Model!BB13-1,"NA")</f>
        <v>7.6235811641826023E-2</v>
      </c>
      <c r="BD13" s="1377">
        <f>IFERROR(Model!BD13/Model!BC13-1,"NA")</f>
        <v>5.5166892311237836E-2</v>
      </c>
      <c r="BE13" s="1377">
        <f>IFERROR(Model!BE13/Model!BD13-1,"NA")</f>
        <v>2.4937019815502559E-2</v>
      </c>
      <c r="BM13" s="1073"/>
      <c r="BN13" s="1073"/>
      <c r="BO13" s="1073"/>
      <c r="BP13" s="1073"/>
      <c r="BQ13" s="1073"/>
    </row>
    <row r="14" spans="1:70" s="160" customFormat="1" x14ac:dyDescent="0.2">
      <c r="A14" s="829"/>
      <c r="B14" s="305" t="s">
        <v>627</v>
      </c>
      <c r="C14" s="59"/>
      <c r="D14" s="1378"/>
      <c r="E14" s="1378"/>
      <c r="F14" s="1378"/>
      <c r="G14" s="1378"/>
      <c r="H14" s="1378">
        <f>IFERROR(Model!H14/Model!D14-1,"NA")</f>
        <v>0.18023430459597467</v>
      </c>
      <c r="I14" s="1378">
        <f>IFERROR(Model!I14/Model!E14-1,"NA")</f>
        <v>0.27122641509433953</v>
      </c>
      <c r="J14" s="1378">
        <f>IFERROR(Model!J14/Model!F14-1,"NA")</f>
        <v>-8.0073349633251856E-2</v>
      </c>
      <c r="K14" s="1378">
        <f>IFERROR(Model!K14/Model!G14-1,"NA")</f>
        <v>0.47419986936642711</v>
      </c>
      <c r="L14" s="1378">
        <f>IFERROR(Model!L14/Model!H14-1,"NA")</f>
        <v>-5.0903537795876641E-4</v>
      </c>
      <c r="M14" s="1378">
        <f>IFERROR(Model!M14/Model!I14-1,"NA")</f>
        <v>-0.96766498807315138</v>
      </c>
      <c r="N14" s="1378">
        <f>IFERROR(Model!N14/Model!J14-1,"NA")</f>
        <v>-3.2225913621262481E-2</v>
      </c>
      <c r="O14" s="1378">
        <f>IFERROR(Model!O14/Model!K14-1,"NA")</f>
        <v>-0.92069118298626496</v>
      </c>
      <c r="P14" s="1378">
        <f>IFERROR(Model!P14/Model!L14-1,"NA")</f>
        <v>0.17952635599694422</v>
      </c>
      <c r="Q14" s="1378">
        <f>IFERROR(Model!Q14/Model!M14-1,"NA")</f>
        <v>34.885245901639344</v>
      </c>
      <c r="R14" s="1378">
        <f>IFERROR(Model!R14/Model!N14-1,"NA")</f>
        <v>0.35393065568142812</v>
      </c>
      <c r="S14" s="1378">
        <f>IFERROR(Model!S14/Model!O14-1,"NA")</f>
        <v>16.804469273743017</v>
      </c>
      <c r="T14" s="1378">
        <f>IFERROR(Model!T14/Model!P14-1,"NA")</f>
        <v>-0.29771157167530227</v>
      </c>
      <c r="U14" s="1378">
        <f>IFERROR(Model!U14/Model!Q14-1,"NA")</f>
        <v>-0.16719963453631792</v>
      </c>
      <c r="V14" s="1378">
        <f>IFERROR(Model!V14/Model!R14-1,"NA")</f>
        <v>-8.9249492900608574E-2</v>
      </c>
      <c r="W14" s="1378">
        <f>IFERROR(Model!W14/Model!S14-1,"NA")</f>
        <v>6.2754941951679299E-3</v>
      </c>
      <c r="X14" s="1378">
        <f>IFERROR(Model!X14/Model!T14-1,"NA")</f>
        <v>0.15339686443283118</v>
      </c>
      <c r="Y14" s="1378">
        <f>IFERROR(Model!Y14/Model!U14-1,"NA")</f>
        <v>-4.4706527701590781E-2</v>
      </c>
      <c r="Z14" s="1378">
        <f>IFERROR(Model!Z14/Model!V14-1,"NA")</f>
        <v>6.1525612472160374E-2</v>
      </c>
      <c r="AA14" s="1378">
        <f>IFERROR(Model!AA14/Model!W14-1,"NA")</f>
        <v>8.4502650452136008E-2</v>
      </c>
      <c r="AB14" s="1378">
        <f>IFERROR(Model!AB14/Model!X14-1,"NA")</f>
        <v>0.14712153518123672</v>
      </c>
      <c r="AC14" s="1378">
        <f>IFERROR(Model!AC14/Model!Y14-1,"NA")</f>
        <v>0.1751376851320352</v>
      </c>
      <c r="AD14" s="1378">
        <f>IFERROR(Model!AD14/Model!Z14-1,"NA")</f>
        <v>0.10992025966497065</v>
      </c>
      <c r="AE14" s="1378">
        <f>IFERROR(Model!AE14/Model!AA14-1,"NA")</f>
        <v>0.15419865427447643</v>
      </c>
      <c r="AF14" s="1378">
        <f>IFERROR(Model!AF14/Model!AB14-1,"NA")</f>
        <v>6.5412975451241806E-2</v>
      </c>
      <c r="AG14" s="1378">
        <f>IFERROR(Model!AG14/Model!AC14-1,"NA")</f>
        <v>0.14109596820183357</v>
      </c>
      <c r="AH14" s="1378">
        <f>IFERROR(Model!AH14/Model!AD14-1,"NA")</f>
        <v>9.5644477647629511E-2</v>
      </c>
      <c r="AI14" s="1378">
        <f>IFERROR(Model!AI14/Model!AE14-1,"NA")</f>
        <v>8.239417280390926E-2</v>
      </c>
      <c r="AJ14" s="1378"/>
      <c r="AK14" s="1378"/>
      <c r="AL14" s="1378"/>
      <c r="AM14" s="1378"/>
      <c r="AN14" s="1378"/>
      <c r="AO14" s="1378"/>
      <c r="AP14" s="1378"/>
      <c r="AQ14" s="1378"/>
      <c r="AR14" s="1236"/>
      <c r="AS14" s="1379"/>
      <c r="AT14" s="1329"/>
      <c r="AU14" s="1378"/>
      <c r="AV14" s="1378">
        <f>IFERROR(Model!AV14/Model!AU14-1,"NA")</f>
        <v>0.16837837837837832</v>
      </c>
      <c r="AW14" s="1378">
        <f>IFERROR(Model!AW14/Model!AV14-1,"NA")</f>
        <v>-0.44937928907394553</v>
      </c>
      <c r="AX14" s="1378">
        <f>IFERROR(Model!AX14/Model!AW14-1,"NA")</f>
        <v>1.2603276851981513</v>
      </c>
      <c r="AY14" s="1378">
        <f>IFERROR(Model!AY14/Model!AX14-1,"NA")</f>
        <v>-0.15135369555789602</v>
      </c>
      <c r="AZ14" s="1378">
        <f>IFERROR(Model!AZ14/Model!AY14-1,"NA")</f>
        <v>6.0446780551905333E-2</v>
      </c>
      <c r="BA14" s="1378">
        <f>IFERROR(Model!BA14/Model!AZ14-1,"NA")</f>
        <v>0.14576851349194841</v>
      </c>
      <c r="BB14" s="1378">
        <f>IFERROR(Model!BB14/Model!BA14-1,"NA")</f>
        <v>9.5808268076720937E-2</v>
      </c>
      <c r="BC14" s="1378">
        <f>IFERROR(Model!BC14/Model!BB14-1,"NA")</f>
        <v>8.1694957640354948E-2</v>
      </c>
      <c r="BD14" s="1378">
        <f>IFERROR(Model!BD14/Model!BC14-1,"NA")</f>
        <v>5.8818964852238809E-2</v>
      </c>
      <c r="BE14" s="1378">
        <f>IFERROR(Model!BE14/Model!BD14-1,"NA")</f>
        <v>2.6496154792606585E-2</v>
      </c>
    </row>
    <row r="15" spans="1:70" s="160" customFormat="1" x14ac:dyDescent="0.2">
      <c r="A15" s="829"/>
      <c r="B15" s="305"/>
      <c r="C15" s="59"/>
      <c r="D15" s="1378"/>
      <c r="E15" s="1378"/>
      <c r="F15" s="1378"/>
      <c r="G15" s="1378"/>
      <c r="H15" s="1378"/>
      <c r="I15" s="1378"/>
      <c r="J15" s="1378"/>
      <c r="K15" s="1378"/>
      <c r="L15" s="1378"/>
      <c r="M15" s="1378"/>
      <c r="N15" s="1378"/>
      <c r="O15" s="1378"/>
      <c r="P15" s="1378"/>
      <c r="Q15" s="1378"/>
      <c r="R15" s="1378"/>
      <c r="S15" s="1378"/>
      <c r="T15" s="1378"/>
      <c r="U15" s="1378"/>
      <c r="V15" s="1378"/>
      <c r="W15" s="1378"/>
      <c r="X15" s="1378"/>
      <c r="Y15" s="1378"/>
      <c r="Z15" s="1378"/>
      <c r="AA15" s="1378"/>
      <c r="AB15" s="1378"/>
      <c r="AC15" s="1378"/>
      <c r="AD15" s="1378"/>
      <c r="AE15" s="1378"/>
      <c r="AF15" s="1378"/>
      <c r="AG15" s="1378"/>
      <c r="AH15" s="1378"/>
      <c r="AI15" s="1378"/>
      <c r="AJ15" s="1378"/>
      <c r="AK15" s="1378"/>
      <c r="AL15" s="1378"/>
      <c r="AM15" s="1378"/>
      <c r="AN15" s="1378"/>
      <c r="AO15" s="1378"/>
      <c r="AP15" s="1378"/>
      <c r="AQ15" s="1378"/>
      <c r="AR15" s="1236"/>
      <c r="AS15" s="1379"/>
      <c r="AT15" s="1329"/>
      <c r="AU15" s="1378"/>
      <c r="AV15" s="1378"/>
      <c r="AW15" s="1378"/>
      <c r="AX15" s="1378"/>
      <c r="AY15" s="1378"/>
      <c r="AZ15" s="1378"/>
      <c r="BA15" s="1378"/>
      <c r="BB15" s="1378"/>
      <c r="BC15" s="1378"/>
      <c r="BD15" s="1378"/>
      <c r="BE15" s="1378"/>
    </row>
    <row r="16" spans="1:70" x14ac:dyDescent="0.2">
      <c r="B16" s="321" t="s">
        <v>672</v>
      </c>
      <c r="C16" s="427"/>
      <c r="D16" s="1380"/>
      <c r="E16" s="1380"/>
      <c r="F16" s="1380"/>
      <c r="G16" s="1380"/>
      <c r="H16" s="1380">
        <f>IFERROR(Model!H16/Model!D16-1,"NA")</f>
        <v>-3.75</v>
      </c>
      <c r="I16" s="1380">
        <f>IFERROR(Model!I16/Model!E16-1,"NA")</f>
        <v>3.2857142857142856</v>
      </c>
      <c r="J16" s="1380">
        <f>IFERROR(Model!J16/Model!F16-1,"NA")</f>
        <v>10.5</v>
      </c>
      <c r="K16" s="1380">
        <f>IFERROR(Model!K16/Model!G16-1,"NA")</f>
        <v>-3.1294117647058823</v>
      </c>
      <c r="L16" s="1380">
        <f>IFERROR(Model!L16/Model!H16-1,"NA")</f>
        <v>-2.1212121212121211</v>
      </c>
      <c r="M16" s="1380">
        <f>IFERROR(Model!M16/Model!I16-1,"NA")</f>
        <v>-1.7333333333333334</v>
      </c>
      <c r="N16" s="1380">
        <f>IFERROR(Model!N16/Model!J16-1,"NA")</f>
        <v>-1.1739130434782608</v>
      </c>
      <c r="O16" s="1380">
        <f>IFERROR(Model!O16/Model!K16-1,"NA")</f>
        <v>-1.0055248618784531</v>
      </c>
      <c r="P16" s="1380">
        <f>IFERROR(Model!P16/Model!L16-1,"NA")</f>
        <v>-1.1351351351351351</v>
      </c>
      <c r="Q16" s="1380">
        <f>IFERROR(Model!Q16/Model!M16-1,"NA")</f>
        <v>-1.2727272727272727</v>
      </c>
      <c r="R16" s="1380">
        <f>IFERROR(Model!R16/Model!N16-1,"NA")</f>
        <v>-0.375</v>
      </c>
      <c r="S16" s="1380">
        <f>IFERROR(Model!S16/Model!O16-1,"NA")</f>
        <v>44</v>
      </c>
      <c r="T16" s="1380">
        <f>IFERROR(Model!T16/Model!P16-1,"NA")</f>
        <v>-0.6</v>
      </c>
      <c r="U16" s="1380">
        <f>IFERROR(Model!U16/Model!Q16-1,"NA")</f>
        <v>-4.8333333333333339</v>
      </c>
      <c r="V16" s="1380">
        <f>IFERROR(Model!V16/Model!R16-1,"NA")</f>
        <v>2</v>
      </c>
      <c r="W16" s="1380">
        <f>IFERROR(Model!W16/Model!S16-1,"NA")</f>
        <v>-0.93333333333333335</v>
      </c>
      <c r="X16" s="1380">
        <f>IFERROR(Model!X16/Model!T16-1,"NA")</f>
        <v>8</v>
      </c>
      <c r="Y16" s="1380">
        <f>IFERROR(Model!Y16/Model!U16-1,"NA")</f>
        <v>-1.9130434782608696</v>
      </c>
      <c r="Z16" s="1380">
        <f>IFERROR(Model!Z16/Model!V16-1,"NA")</f>
        <v>-0.83333333333333337</v>
      </c>
      <c r="AA16" s="1380">
        <f>IFERROR(Model!AA16/Model!W16-1,"NA")</f>
        <v>35.333333333333336</v>
      </c>
      <c r="AB16" s="1380">
        <f>IFERROR(Model!AB16/Model!X16-1,"NA")</f>
        <v>-0.61111111111111116</v>
      </c>
      <c r="AC16" s="1381">
        <f>IFERROR(Model!AC16/Model!Y16-1,"NA")</f>
        <v>-1</v>
      </c>
      <c r="AD16" s="1381">
        <f>IFERROR(Model!AD16/Model!Z16-1,"NA")</f>
        <v>-1</v>
      </c>
      <c r="AE16" s="1381">
        <f>IFERROR(Model!AE16/Model!AA16-1,"NA")</f>
        <v>-1</v>
      </c>
      <c r="AF16" s="1381">
        <f>IFERROR(Model!AF16/Model!AB16-1,"NA")</f>
        <v>-1</v>
      </c>
      <c r="AG16" s="1381" t="str">
        <f>IFERROR(Model!AG16/Model!AC16-1,"NA")</f>
        <v>NA</v>
      </c>
      <c r="AH16" s="1381" t="str">
        <f>IFERROR(Model!AH16/Model!AD16-1,"NA")</f>
        <v>NA</v>
      </c>
      <c r="AI16" s="1381" t="str">
        <f>IFERROR(Model!AI16/Model!AE16-1,"NA")</f>
        <v>NA</v>
      </c>
      <c r="AJ16" s="1381"/>
      <c r="AK16" s="1381"/>
      <c r="AL16" s="1381"/>
      <c r="AM16" s="1381"/>
      <c r="AN16" s="1381"/>
      <c r="AO16" s="1381"/>
      <c r="AP16" s="1381"/>
      <c r="AQ16" s="1381"/>
      <c r="AR16" s="1236"/>
      <c r="AS16" s="1284"/>
      <c r="AT16" s="1239"/>
      <c r="AU16" s="1236"/>
      <c r="AV16" s="1236">
        <f>IFERROR(Model!AV16/Model!AU16-1,"NA")</f>
        <v>-5.6551724137931032</v>
      </c>
      <c r="AW16" s="1236">
        <f>IFERROR(Model!AW16/Model!AV16-1,"NA")</f>
        <v>-1.0074074074074073</v>
      </c>
      <c r="AX16" s="1236">
        <f>IFERROR(Model!AX16/Model!AW16-1,"NA")</f>
        <v>26</v>
      </c>
      <c r="AY16" s="1236">
        <f>IFERROR(Model!AY16/Model!AX16-1,"NA")</f>
        <v>7.4074074074074181E-2</v>
      </c>
      <c r="AZ16" s="1236">
        <f>IFERROR(Model!AZ16/Model!AY16-1,"NA")</f>
        <v>0.9137931034482758</v>
      </c>
      <c r="BA16" s="1236">
        <f>IFERROR(Model!BA16/Model!AZ16-1,"NA")</f>
        <v>-0.93693693693693691</v>
      </c>
      <c r="BB16" s="1381">
        <f>IFERROR(Model!BB16/Model!BA16-1,"NA")</f>
        <v>-1</v>
      </c>
      <c r="BC16" s="1381" t="str">
        <f>IFERROR(Model!BC16/Model!BB16-1,"NA")</f>
        <v>NA</v>
      </c>
      <c r="BD16" s="1381" t="str">
        <f>IFERROR(Model!BD16/Model!BC16-1,"NA")</f>
        <v>NA</v>
      </c>
      <c r="BE16" s="1381" t="str">
        <f>IFERROR(Model!BE16/Model!BD16-1,"NA")</f>
        <v>NA</v>
      </c>
      <c r="BM16" s="238"/>
      <c r="BN16" s="238"/>
      <c r="BO16" s="238"/>
      <c r="BP16" s="238"/>
      <c r="BQ16" s="238"/>
    </row>
    <row r="17" spans="1:69" x14ac:dyDescent="0.2">
      <c r="B17" s="35"/>
      <c r="D17" s="407"/>
      <c r="E17" s="407"/>
      <c r="F17" s="407"/>
      <c r="G17" s="407"/>
      <c r="H17" s="407"/>
      <c r="I17" s="407"/>
      <c r="J17" s="407"/>
      <c r="K17" s="407"/>
      <c r="L17" s="407"/>
      <c r="M17" s="407"/>
      <c r="N17" s="407"/>
      <c r="O17" s="407"/>
      <c r="P17" s="407"/>
      <c r="Q17" s="407"/>
      <c r="R17" s="407"/>
      <c r="S17" s="407"/>
      <c r="T17" s="407"/>
      <c r="U17" s="407"/>
      <c r="V17" s="407"/>
      <c r="W17" s="407"/>
      <c r="X17" s="407"/>
      <c r="Y17" s="407"/>
      <c r="Z17" s="407"/>
      <c r="AA17" s="407"/>
      <c r="AB17" s="407"/>
      <c r="AC17" s="407"/>
      <c r="AD17" s="407"/>
      <c r="AE17" s="407"/>
      <c r="AF17" s="407"/>
      <c r="AG17" s="407"/>
      <c r="AH17" s="407"/>
      <c r="AI17" s="407"/>
      <c r="AJ17" s="407"/>
      <c r="AK17" s="407"/>
      <c r="AL17" s="407"/>
      <c r="AM17" s="407"/>
      <c r="AN17" s="407"/>
      <c r="AO17" s="407"/>
      <c r="AP17" s="407"/>
      <c r="AQ17" s="407"/>
      <c r="AR17" s="1236"/>
      <c r="AS17" s="407"/>
      <c r="AT17" s="407"/>
      <c r="AU17" s="1236"/>
      <c r="AV17" s="1236"/>
      <c r="AW17" s="1236"/>
      <c r="AX17" s="1236"/>
      <c r="AY17" s="1236"/>
      <c r="AZ17" s="1236"/>
      <c r="BA17" s="1236"/>
      <c r="BB17" s="1236"/>
      <c r="BC17" s="1236"/>
      <c r="BD17" s="1236"/>
      <c r="BE17" s="1236"/>
    </row>
    <row r="18" spans="1:69" x14ac:dyDescent="0.2">
      <c r="B18" s="35" t="s">
        <v>538</v>
      </c>
      <c r="D18" s="1256"/>
      <c r="E18" s="1256"/>
      <c r="F18" s="1256"/>
      <c r="G18" s="1256"/>
      <c r="H18" s="1256">
        <f>IFERROR(Model!H18/Model!D18-1,"NA")</f>
        <v>-0.75249999999999995</v>
      </c>
      <c r="I18" s="1256">
        <f>IFERROR(Model!I18/Model!E18-1,"NA")</f>
        <v>1.092857142857143</v>
      </c>
      <c r="J18" s="1256">
        <f>IFERROR(Model!J18/Model!F18-1,"NA")</f>
        <v>-0.57113402061855667</v>
      </c>
      <c r="K18" s="1256">
        <f>IFERROR(Model!K18/Model!G18-1,"NA")</f>
        <v>-0.66777408637873759</v>
      </c>
      <c r="L18" s="1256">
        <f>IFERROR(Model!L18/Model!H18-1,"NA")</f>
        <v>-1.0202020202020201</v>
      </c>
      <c r="M18" s="1256">
        <f>IFERROR(Model!M18/Model!I18-1,"NA")</f>
        <v>-1.0682593856655289</v>
      </c>
      <c r="N18" s="1256">
        <f>IFERROR(Model!N18/Model!J18-1,"NA")</f>
        <v>9.6153846153846256E-2</v>
      </c>
      <c r="O18" s="1256">
        <f>IFERROR(Model!O18/Model!K18-1,"NA")</f>
        <v>-1.04</v>
      </c>
      <c r="P18" s="1256">
        <f>IFERROR(Model!P18/Model!L18-1,"NA")</f>
        <v>-12.75</v>
      </c>
      <c r="Q18" s="1256">
        <f>IFERROR(Model!Q18/Model!M18-1,"NA")</f>
        <v>-10.8</v>
      </c>
      <c r="R18" s="1256">
        <f>IFERROR(Model!R18/Model!N18-1,"NA")</f>
        <v>-1.557017543859649</v>
      </c>
      <c r="S18" s="1256">
        <f>IFERROR(Model!S18/Model!O18-1,"NA")</f>
        <v>-29.5</v>
      </c>
      <c r="T18" s="1256">
        <f>IFERROR(Model!T18/Model!P18-1,"NA")</f>
        <v>-1</v>
      </c>
      <c r="U18" s="1256">
        <f>IFERROR(Model!U18/Model!Q18-1,"NA")</f>
        <v>-1</v>
      </c>
      <c r="V18" s="1256">
        <f>IFERROR(Model!V18/Model!R18-1,"NA")</f>
        <v>-1</v>
      </c>
      <c r="W18" s="1256">
        <f>IFERROR(Model!W18/Model!S18-1,"NA")</f>
        <v>-1</v>
      </c>
      <c r="X18" s="1256" t="str">
        <f>IFERROR(Model!X18/Model!T18-1,"NA")</f>
        <v>NA</v>
      </c>
      <c r="Y18" s="1256" t="str">
        <f>IFERROR(Model!Y18/Model!U18-1,"NA")</f>
        <v>NA</v>
      </c>
      <c r="Z18" s="1256" t="str">
        <f>IFERROR(Model!Z18/Model!V18-1,"NA")</f>
        <v>NA</v>
      </c>
      <c r="AA18" s="1256" t="str">
        <f>IFERROR(Model!AA18/Model!W18-1,"NA")</f>
        <v>NA</v>
      </c>
      <c r="AB18" s="1256" t="str">
        <f>IFERROR(Model!AB18/Model!X18-1,"NA")</f>
        <v>NA</v>
      </c>
      <c r="AC18" s="1256" t="str">
        <f>IFERROR(Model!AC18/Model!Y18-1,"NA")</f>
        <v>NA</v>
      </c>
      <c r="AD18" s="1256" t="str">
        <f>IFERROR(Model!AD18/Model!Z18-1,"NA")</f>
        <v>NA</v>
      </c>
      <c r="AE18" s="1256" t="str">
        <f>IFERROR(Model!AE18/Model!AA18-1,"NA")</f>
        <v>NA</v>
      </c>
      <c r="AF18" s="1256" t="str">
        <f>IFERROR(Model!AF18/Model!AB18-1,"NA")</f>
        <v>NA</v>
      </c>
      <c r="AG18" s="1256" t="str">
        <f>IFERROR(Model!AG18/Model!AC18-1,"NA")</f>
        <v>NA</v>
      </c>
      <c r="AH18" s="1256" t="str">
        <f>IFERROR(Model!AH18/Model!AD18-1,"NA")</f>
        <v>NA</v>
      </c>
      <c r="AI18" s="1256" t="str">
        <f>IFERROR(Model!AI18/Model!AE18-1,"NA")</f>
        <v>NA</v>
      </c>
      <c r="AJ18" s="1256"/>
      <c r="AK18" s="1256"/>
      <c r="AL18" s="1256"/>
      <c r="AM18" s="1256"/>
      <c r="AN18" s="1256"/>
      <c r="AO18" s="1256"/>
      <c r="AP18" s="1256"/>
      <c r="AQ18" s="1256"/>
      <c r="AR18" s="1236"/>
      <c r="AS18" s="407"/>
      <c r="AT18" s="407"/>
      <c r="AU18" s="1236"/>
      <c r="AV18" s="1236">
        <f>IFERROR(Model!AV18/Model!AU18-1,"NA")</f>
        <v>-0.85269709543568462</v>
      </c>
      <c r="AW18" s="1236">
        <f>IFERROR(Model!AW18/Model!AV18-1,"NA")</f>
        <v>0.12676056338028174</v>
      </c>
      <c r="AX18" s="1236">
        <f>IFERROR(Model!AX18/Model!AW18-1,"NA")</f>
        <v>-1.675</v>
      </c>
      <c r="AY18" s="1236">
        <f>IFERROR(Model!AY18/Model!AX18-1,"NA")</f>
        <v>-1</v>
      </c>
      <c r="AZ18" s="1236" t="str">
        <f>IFERROR(Model!AZ18/Model!AY18-1,"NA")</f>
        <v>NA</v>
      </c>
      <c r="BA18" s="1236" t="str">
        <f>IFERROR(Model!BA18/Model!AZ18-1,"NA")</f>
        <v>NA</v>
      </c>
      <c r="BB18" s="1236" t="str">
        <f>IFERROR(Model!BB18/Model!BA18-1,"NA")</f>
        <v>NA</v>
      </c>
      <c r="BC18" s="1236" t="str">
        <f>IFERROR(Model!BC18/Model!BB18-1,"NA")</f>
        <v>NA</v>
      </c>
      <c r="BD18" s="1236" t="str">
        <f>IFERROR(Model!BD18/Model!BC18-1,"NA")</f>
        <v>NA</v>
      </c>
      <c r="BE18" s="1236" t="str">
        <f>IFERROR(Model!BE18/Model!BD18-1,"NA")</f>
        <v>NA</v>
      </c>
    </row>
    <row r="19" spans="1:69" x14ac:dyDescent="0.2">
      <c r="B19" s="90" t="s">
        <v>403</v>
      </c>
      <c r="D19" s="1240"/>
      <c r="E19" s="1240"/>
      <c r="F19" s="1240"/>
      <c r="G19" s="1240"/>
      <c r="H19" s="1240">
        <f>IFERROR(Model!H19/Model!D19-1,"NA")</f>
        <v>-1</v>
      </c>
      <c r="I19" s="1240">
        <f>IFERROR(Model!I19/Model!E19-1,"NA")</f>
        <v>-1</v>
      </c>
      <c r="J19" s="1240">
        <f>IFERROR(Model!J19/Model!F19-1,"NA")</f>
        <v>-1.0760259179265659</v>
      </c>
      <c r="K19" s="1240" t="str">
        <f>IFERROR(Model!K19/Model!G19-1,"NA")</f>
        <v>NA</v>
      </c>
      <c r="L19" s="1240" t="str">
        <f>IFERROR(Model!L19/Model!H19-1,"NA")</f>
        <v>NA</v>
      </c>
      <c r="M19" s="1240" t="str">
        <f>IFERROR(Model!M19/Model!I19-1,"NA")</f>
        <v>NA</v>
      </c>
      <c r="N19" s="1240">
        <f>IFERROR(Model!N19/Model!J19-1,"NA")</f>
        <v>-1</v>
      </c>
      <c r="O19" s="1240" t="str">
        <f>IFERROR(Model!O19/Model!K19-1,"NA")</f>
        <v>NA</v>
      </c>
      <c r="P19" s="1240">
        <f>IFERROR(Model!P19/Model!L19-1,"NA")</f>
        <v>-1</v>
      </c>
      <c r="Q19" s="1240" t="str">
        <f>IFERROR(Model!Q19/Model!M19-1,"NA")</f>
        <v>NA</v>
      </c>
      <c r="R19" s="1240" t="str">
        <f>IFERROR(Model!R19/Model!N19-1,"NA")</f>
        <v>NA</v>
      </c>
      <c r="S19" s="1240" t="str">
        <f>IFERROR(Model!S19/Model!O19-1,"NA")</f>
        <v>NA</v>
      </c>
      <c r="T19" s="1240" t="str">
        <f>IFERROR(Model!T19/Model!P19-1,"NA")</f>
        <v>NA</v>
      </c>
      <c r="U19" s="1240" t="str">
        <f>IFERROR(Model!U19/Model!Q19-1,"NA")</f>
        <v>NA</v>
      </c>
      <c r="V19" s="1240" t="str">
        <f>IFERROR(Model!V19/Model!R19-1,"NA")</f>
        <v>NA</v>
      </c>
      <c r="W19" s="1240" t="str">
        <f>IFERROR(Model!W19/Model!S19-1,"NA")</f>
        <v>NA</v>
      </c>
      <c r="X19" s="1240" t="str">
        <f>IFERROR(Model!X19/Model!T19-1,"NA")</f>
        <v>NA</v>
      </c>
      <c r="Y19" s="1240" t="str">
        <f>IFERROR(Model!Y19/Model!U19-1,"NA")</f>
        <v>NA</v>
      </c>
      <c r="Z19" s="1240" t="str">
        <f>IFERROR(Model!Z19/Model!V19-1,"NA")</f>
        <v>NA</v>
      </c>
      <c r="AA19" s="1240" t="str">
        <f>IFERROR(Model!AA19/Model!W19-1,"NA")</f>
        <v>NA</v>
      </c>
      <c r="AB19" s="1240" t="str">
        <f>IFERROR(Model!AB19/Model!X19-1,"NA")</f>
        <v>NA</v>
      </c>
      <c r="AC19" s="1241" t="str">
        <f>IFERROR(Model!AC19/Model!Y19-1,"NA")</f>
        <v>NA</v>
      </c>
      <c r="AD19" s="1241" t="str">
        <f>IFERROR(Model!AD19/Model!Z19-1,"NA")</f>
        <v>NA</v>
      </c>
      <c r="AE19" s="1241">
        <f>IFERROR(Model!AE19/Model!AA19-1,"NA")</f>
        <v>-1</v>
      </c>
      <c r="AF19" s="1241" t="str">
        <f>IFERROR(Model!AF19/Model!AB19-1,"NA")</f>
        <v>NA</v>
      </c>
      <c r="AG19" s="1241" t="str">
        <f>IFERROR(Model!AG19/Model!AC19-1,"NA")</f>
        <v>NA</v>
      </c>
      <c r="AH19" s="1241" t="str">
        <f>IFERROR(Model!AH19/Model!AD19-1,"NA")</f>
        <v>NA</v>
      </c>
      <c r="AI19" s="1241" t="str">
        <f>IFERROR(Model!AI19/Model!AE19-1,"NA")</f>
        <v>NA</v>
      </c>
      <c r="AJ19" s="1241"/>
      <c r="AK19" s="1241"/>
      <c r="AL19" s="1241"/>
      <c r="AM19" s="1241"/>
      <c r="AN19" s="1241"/>
      <c r="AO19" s="1241"/>
      <c r="AP19" s="1241"/>
      <c r="AQ19" s="1241"/>
      <c r="AR19" s="1236"/>
      <c r="AS19" s="1238"/>
      <c r="AT19" s="407"/>
      <c r="AU19" s="1236"/>
      <c r="AV19" s="1236">
        <f>IFERROR(Model!AV19/Model!AU19-1,"NA")</f>
        <v>-1.077159140727751</v>
      </c>
      <c r="AW19" s="1236">
        <f>IFERROR(Model!AW19/Model!AV19-1,"NA")</f>
        <v>-2.1931818181818183</v>
      </c>
      <c r="AX19" s="1236">
        <f>IFERROR(Model!AX19/Model!AW19-1,"NA")</f>
        <v>-1</v>
      </c>
      <c r="AY19" s="1236" t="str">
        <f>IFERROR(Model!AY19/Model!AX19-1,"NA")</f>
        <v>NA</v>
      </c>
      <c r="AZ19" s="1236" t="str">
        <f>IFERROR(Model!AZ19/Model!AY19-1,"NA")</f>
        <v>NA</v>
      </c>
      <c r="BA19" s="1236">
        <f>IFERROR(Model!BA19/Model!AZ19-1,"NA")</f>
        <v>-1</v>
      </c>
      <c r="BB19" s="1381" t="str">
        <f>IFERROR(Model!BB19/Model!BA19-1,"NA")</f>
        <v>NA</v>
      </c>
      <c r="BC19" s="1381" t="str">
        <f>IFERROR(Model!BC19/Model!BB19-1,"NA")</f>
        <v>NA</v>
      </c>
      <c r="BD19" s="1381" t="str">
        <f>IFERROR(Model!BD19/Model!BC19-1,"NA")</f>
        <v>NA</v>
      </c>
      <c r="BE19" s="1381" t="str">
        <f>IFERROR(Model!BE19/Model!BD19-1,"NA")</f>
        <v>NA</v>
      </c>
      <c r="BM19" s="238"/>
      <c r="BN19" s="238"/>
      <c r="BO19" s="238"/>
      <c r="BP19" s="238"/>
      <c r="BQ19" s="238"/>
    </row>
    <row r="20" spans="1:69" x14ac:dyDescent="0.2">
      <c r="D20" s="1256"/>
      <c r="E20" s="1256"/>
      <c r="F20" s="1256"/>
      <c r="G20" s="1256"/>
      <c r="H20" s="1256"/>
      <c r="I20" s="1256"/>
      <c r="J20" s="1256"/>
      <c r="K20" s="1256"/>
      <c r="L20" s="1256"/>
      <c r="M20" s="1256"/>
      <c r="N20" s="1256"/>
      <c r="O20" s="1256"/>
      <c r="P20" s="1256"/>
      <c r="Q20" s="1256"/>
      <c r="R20" s="1256"/>
      <c r="S20" s="1256"/>
      <c r="T20" s="1256"/>
      <c r="U20" s="1256"/>
      <c r="V20" s="1256"/>
      <c r="W20" s="1256"/>
      <c r="X20" s="1256"/>
      <c r="Y20" s="1256"/>
      <c r="Z20" s="1256"/>
      <c r="AA20" s="1256"/>
      <c r="AB20" s="1256"/>
      <c r="AC20" s="1256"/>
      <c r="AD20" s="1256"/>
      <c r="AE20" s="1256"/>
      <c r="AF20" s="1256"/>
      <c r="AG20" s="1256"/>
      <c r="AH20" s="1256"/>
      <c r="AI20" s="1256"/>
      <c r="AJ20" s="1256"/>
      <c r="AK20" s="1256"/>
      <c r="AL20" s="1256"/>
      <c r="AM20" s="1256"/>
      <c r="AN20" s="1256"/>
      <c r="AO20" s="1256"/>
      <c r="AP20" s="1256"/>
      <c r="AQ20" s="1256"/>
      <c r="AR20" s="1236"/>
      <c r="AS20" s="1382"/>
      <c r="AT20" s="407"/>
      <c r="AU20" s="1236"/>
      <c r="AV20" s="1236"/>
      <c r="AW20" s="1236"/>
      <c r="AX20" s="1236"/>
      <c r="AY20" s="1236"/>
      <c r="AZ20" s="1236"/>
      <c r="BA20" s="1236"/>
      <c r="BB20" s="1236"/>
      <c r="BC20" s="1236"/>
      <c r="BD20" s="1236"/>
      <c r="BE20" s="1236"/>
    </row>
    <row r="21" spans="1:69" x14ac:dyDescent="0.2">
      <c r="B21" s="35" t="s">
        <v>629</v>
      </c>
      <c r="D21" s="1256"/>
      <c r="E21" s="1256"/>
      <c r="F21" s="1256"/>
      <c r="G21" s="1256"/>
      <c r="H21" s="1256">
        <f>IFERROR(Model!H21/Model!D21-1,"NA")</f>
        <v>0.30013783597518962</v>
      </c>
      <c r="I21" s="1256">
        <f>IFERROR(Model!I21/Model!E21-1,"NA")</f>
        <v>0.4367066895368783</v>
      </c>
      <c r="J21" s="1256">
        <f>IFERROR(Model!J21/Model!F21-1,"NA")</f>
        <v>5.5627530364372468</v>
      </c>
      <c r="K21" s="1256">
        <f>IFERROR(Model!K21/Model!G21-1,"NA")</f>
        <v>1.0813559322033899</v>
      </c>
      <c r="L21" s="1256">
        <f>IFERROR(Model!L21/Model!H21-1,"NA")</f>
        <v>4.5322024913861725E-2</v>
      </c>
      <c r="M21" s="1256">
        <f>IFERROR(Model!M21/Model!I21-1,"NA")</f>
        <v>-0.95678127984718242</v>
      </c>
      <c r="N21" s="1256">
        <f>IFERROR(Model!N21/Model!J21-1,"NA")</f>
        <v>-0.12368908081431218</v>
      </c>
      <c r="O21" s="1256">
        <f>IFERROR(Model!O21/Model!K21-1,"NA")</f>
        <v>-0.85993485342019538</v>
      </c>
      <c r="P21" s="1256">
        <f>IFERROR(Model!P21/Model!L21-1,"NA")</f>
        <v>0.20943204868154153</v>
      </c>
      <c r="Q21" s="1256">
        <f>IFERROR(Model!Q21/Model!M21-1,"NA")</f>
        <v>25.773480662983424</v>
      </c>
      <c r="R21" s="1256">
        <f>IFERROR(Model!R21/Model!N21-1,"NA")</f>
        <v>0.51038366772263277</v>
      </c>
      <c r="S21" s="1256">
        <f>IFERROR(Model!S21/Model!O21-1,"NA")</f>
        <v>8.6947674418604652</v>
      </c>
      <c r="T21" s="1256">
        <f>IFERROR(Model!T21/Model!P21-1,"NA")</f>
        <v>-0.26603773584905666</v>
      </c>
      <c r="U21" s="1256">
        <f>IFERROR(Model!U21/Model!Q21-1,"NA")</f>
        <v>-0.17498968221213373</v>
      </c>
      <c r="V21" s="1256">
        <f>IFERROR(Model!V21/Model!R21-1,"NA")</f>
        <v>-0.10510370542996972</v>
      </c>
      <c r="W21" s="1256">
        <f>IFERROR(Model!W21/Model!S21-1,"NA")</f>
        <v>7.1364317841079439E-2</v>
      </c>
      <c r="X21" s="1256">
        <f>IFERROR(Model!X21/Model!T21-1,"NA")</f>
        <v>0.16823764638674654</v>
      </c>
      <c r="Y21" s="1256">
        <f>IFERROR(Model!Y21/Model!U21-1,"NA")</f>
        <v>-3.1515757878939454E-2</v>
      </c>
      <c r="Z21" s="1256">
        <f>IFERROR(Model!Z21/Model!V21-1,"NA")</f>
        <v>7.6302083333333437E-2</v>
      </c>
      <c r="AA21" s="1256">
        <f>IFERROR(Model!AA21/Model!W21-1,"NA")</f>
        <v>-6.2877134061013153</v>
      </c>
      <c r="AB21" s="1256">
        <f>IFERROR(Model!AB21/Model!X21-1,"NA")</f>
        <v>0.1295843520782396</v>
      </c>
      <c r="AC21" s="1256">
        <f>IFERROR(Model!AC21/Model!Y21-1,"NA")</f>
        <v>0.14864607433029442</v>
      </c>
      <c r="AD21" s="1256">
        <f>IFERROR(Model!AD21/Model!Z21-1,"NA")</f>
        <v>9.7276111908639828E-2</v>
      </c>
      <c r="AE21" s="1256">
        <f>IFERROR(Model!AE21/Model!AA21-1,"NA")</f>
        <v>-1.2304112581249584</v>
      </c>
      <c r="AF21" s="1256">
        <f>IFERROR(Model!AF21/Model!AB21-1,"NA")</f>
        <v>6.5517463137924725E-2</v>
      </c>
      <c r="AG21" s="1256">
        <f>IFERROR(Model!AG21/Model!AC21-1,"NA")</f>
        <v>0.13630823373916479</v>
      </c>
      <c r="AH21" s="1256">
        <f>IFERROR(Model!AH21/Model!AD21-1,"NA")</f>
        <v>9.705513449060077E-2</v>
      </c>
      <c r="AI21" s="1256">
        <f>IFERROR(Model!AI21/Model!AE21-1,"NA")</f>
        <v>8.5196405040779855E-2</v>
      </c>
      <c r="AJ21" s="1256"/>
      <c r="AK21" s="1256"/>
      <c r="AL21" s="1256"/>
      <c r="AM21" s="1256"/>
      <c r="AN21" s="1256"/>
      <c r="AO21" s="1256"/>
      <c r="AP21" s="1256"/>
      <c r="AQ21" s="1256"/>
      <c r="AR21" s="1236"/>
      <c r="AS21" s="407"/>
      <c r="AT21" s="1236"/>
      <c r="AU21" s="1256"/>
      <c r="AV21" s="1256">
        <f>IFERROR(Model!AV21/Model!AU21-1,"NA")</f>
        <v>0.37975849365534176</v>
      </c>
      <c r="AW21" s="1256">
        <f>IFERROR(Model!AW21/Model!AV21-1,"NA")</f>
        <v>-0.44226062449009862</v>
      </c>
      <c r="AX21" s="1256">
        <f>IFERROR(Model!AX21/Model!AW21-1,"NA")</f>
        <v>1.2928191489361702</v>
      </c>
      <c r="AY21" s="1256">
        <f>IFERROR(Model!AY21/Model!AX21-1,"NA")</f>
        <v>-0.13513513513513509</v>
      </c>
      <c r="AZ21" s="1256">
        <f>IFERROR(Model!AZ21/Model!AY21-1,"NA")</f>
        <v>5.9281115879828317E-2</v>
      </c>
      <c r="BA21" s="1256">
        <f>IFERROR(Model!BA21/Model!AZ21-1,"NA")</f>
        <v>0.13672826475564359</v>
      </c>
      <c r="BB21" s="1256">
        <f>IFERROR(Model!BB21/Model!BA21-1,"NA")</f>
        <v>9.5788322743763477E-2</v>
      </c>
      <c r="BC21" s="1256">
        <f>IFERROR(Model!BC21/Model!BB21-1,"NA")</f>
        <v>7.6235811641826023E-2</v>
      </c>
      <c r="BD21" s="1256">
        <f>IFERROR(Model!BD21/Model!BC21-1,"NA")</f>
        <v>5.5166892311237836E-2</v>
      </c>
      <c r="BE21" s="1256">
        <f>IFERROR(Model!BE21/Model!BD21-1,"NA")</f>
        <v>2.4937019815502559E-2</v>
      </c>
    </row>
    <row r="22" spans="1:69" x14ac:dyDescent="0.2">
      <c r="B22" s="35" t="s">
        <v>630</v>
      </c>
      <c r="D22" s="1256"/>
      <c r="E22" s="1256"/>
      <c r="F22" s="1256"/>
      <c r="G22" s="1256"/>
      <c r="H22" s="1256">
        <f>IFERROR(Model!H22/Model!D22-1,"NA")</f>
        <v>0.30055210489993089</v>
      </c>
      <c r="I22" s="1256">
        <f>IFERROR(Model!I22/Model!E22-1,"NA")</f>
        <v>0.43805918788713005</v>
      </c>
      <c r="J22" s="1256">
        <f>IFERROR(Model!J22/Model!F22-1,"NA")</f>
        <v>5.3918367346938778</v>
      </c>
      <c r="K22" s="1256">
        <f>IFERROR(Model!K22/Model!G22-1,"NA")</f>
        <v>1.0367207514944492</v>
      </c>
      <c r="L22" s="1256">
        <f>IFERROR(Model!L22/Model!H22-1,"NA")</f>
        <v>1.3531440700450981E-2</v>
      </c>
      <c r="M22" s="1256">
        <f>IFERROR(Model!M22/Model!I22-1,"NA")</f>
        <v>-0.98061737257717152</v>
      </c>
      <c r="N22" s="1256">
        <f>IFERROR(Model!N22/Model!J22-1,"NA")</f>
        <v>-0.13378033205619411</v>
      </c>
      <c r="O22" s="1256">
        <f>IFERROR(Model!O22/Model!K22-1,"NA")</f>
        <v>-0.92243186582809222</v>
      </c>
      <c r="P22" s="1256">
        <f>IFERROR(Model!P22/Model!L22-1,"NA")</f>
        <v>0.21518324607329853</v>
      </c>
      <c r="Q22" s="1256">
        <f>IFERROR(Model!Q22/Model!M22-1,"NA")</f>
        <v>56.333333333333336</v>
      </c>
      <c r="R22" s="1256">
        <f>IFERROR(Model!R22/Model!N22-1,"NA")</f>
        <v>0.51750829340213778</v>
      </c>
      <c r="S22" s="1256">
        <f>IFERROR(Model!S22/Model!O22-1,"NA")</f>
        <v>15.594594594594593</v>
      </c>
      <c r="T22" s="1256">
        <f>IFERROR(Model!T22/Model!P22-1,"NA")</f>
        <v>-0.29103834554071517</v>
      </c>
      <c r="U22" s="1256">
        <f>IFERROR(Model!U22/Model!Q22-1,"NA")</f>
        <v>-0.20844099913867353</v>
      </c>
      <c r="V22" s="1256">
        <f>IFERROR(Model!V22/Model!R22-1,"NA")</f>
        <v>-0.12193344668447903</v>
      </c>
      <c r="W22" s="1256">
        <f>IFERROR(Model!W22/Model!S22-1,"NA")</f>
        <v>5.960912052117262E-2</v>
      </c>
      <c r="X22" s="1256">
        <f>IFERROR(Model!X22/Model!T22-1,"NA")</f>
        <v>0.15132178669097529</v>
      </c>
      <c r="Y22" s="1256">
        <f>IFERROR(Model!Y22/Model!U22-1,"NA")</f>
        <v>-3.3732317736670292E-2</v>
      </c>
      <c r="Z22" s="1256">
        <f>IFERROR(Model!Z22/Model!V22-1,"NA")</f>
        <v>6.8049792531120312E-2</v>
      </c>
      <c r="AA22" s="1256">
        <f>IFERROR(Model!AA22/Model!W22-1,"NA")</f>
        <v>-6.9062403934829391</v>
      </c>
      <c r="AB22" s="1256">
        <f>IFERROR(Model!AB22/Model!X22-1,"NA")</f>
        <v>0.13987859593560303</v>
      </c>
      <c r="AC22" s="1256">
        <f>IFERROR(Model!AC22/Model!Y22-1,"NA")</f>
        <v>0.16260067562131186</v>
      </c>
      <c r="AD22" s="1256">
        <f>IFERROR(Model!AD22/Model!Z22-1,"NA")</f>
        <v>0.10464702681129445</v>
      </c>
      <c r="AE22" s="1256">
        <f>IFERROR(Model!AE22/Model!AA22-1,"NA")</f>
        <v>-1.2102826159243658</v>
      </c>
      <c r="AF22" s="1256">
        <f>IFERROR(Model!AF22/Model!AB22-1,"NA")</f>
        <v>6.9157369691412951E-2</v>
      </c>
      <c r="AG22" s="1256">
        <f>IFERROR(Model!AG22/Model!AC22-1,"NA")</f>
        <v>0.13954006136391528</v>
      </c>
      <c r="AH22" s="1256">
        <f>IFERROR(Model!AH22/Model!AD22-1,"NA")</f>
        <v>9.4992994578284584E-2</v>
      </c>
      <c r="AI22" s="1256">
        <f>IFERROR(Model!AI22/Model!AE22-1,"NA")</f>
        <v>8.3133732911703673E-2</v>
      </c>
      <c r="AJ22" s="1256"/>
      <c r="AK22" s="1256"/>
      <c r="AL22" s="1256"/>
      <c r="AM22" s="1256"/>
      <c r="AN22" s="1256"/>
      <c r="AO22" s="1256"/>
      <c r="AP22" s="1256"/>
      <c r="AQ22" s="1256"/>
      <c r="AR22" s="1236"/>
      <c r="AS22" s="407"/>
      <c r="AT22" s="1236"/>
      <c r="AU22" s="1256"/>
      <c r="AV22" s="1256">
        <f>IFERROR(Model!AV22/Model!AU22-1,"NA")</f>
        <v>0.36353375743894922</v>
      </c>
      <c r="AW22" s="1256">
        <f>IFERROR(Model!AW22/Model!AV22-1,"NA")</f>
        <v>-0.4725712995710738</v>
      </c>
      <c r="AX22" s="1256">
        <f>IFERROR(Model!AX22/Model!AW22-1,"NA")</f>
        <v>1.3502639463546871</v>
      </c>
      <c r="AY22" s="1256">
        <f>IFERROR(Model!AY22/Model!AX22-1,"NA")</f>
        <v>-0.1601408365203667</v>
      </c>
      <c r="AZ22" s="1256">
        <f>IFERROR(Model!AZ22/Model!AY22-1,"NA")</f>
        <v>5.4065775207806199E-2</v>
      </c>
      <c r="BA22" s="1256">
        <f>IFERROR(Model!BA22/Model!AZ22-1,"NA")</f>
        <v>0.14885549407393173</v>
      </c>
      <c r="BB22" s="1256">
        <f>IFERROR(Model!BB22/Model!BA22-1,"NA")</f>
        <v>9.6453102718964789E-2</v>
      </c>
      <c r="BC22" s="1256">
        <f>IFERROR(Model!BC22/Model!BB22-1,"NA")</f>
        <v>8.1655818838316296E-2</v>
      </c>
      <c r="BD22" s="1256">
        <f>IFERROR(Model!BD22/Model!BC22-1,"NA")</f>
        <v>5.8792912882627668E-2</v>
      </c>
      <c r="BE22" s="1256">
        <f>IFERROR(Model!BE22/Model!BD22-1,"NA")</f>
        <v>2.648507083100915E-2</v>
      </c>
    </row>
    <row r="23" spans="1:69" x14ac:dyDescent="0.2">
      <c r="B23" s="43" t="s">
        <v>628</v>
      </c>
      <c r="C23" s="25"/>
      <c r="D23" s="1363"/>
      <c r="E23" s="1363"/>
      <c r="F23" s="1363"/>
      <c r="G23" s="1363"/>
      <c r="H23" s="1363">
        <f>IFERROR(Model!H23/Model!D23-1,"NA")</f>
        <v>0.29799929799929803</v>
      </c>
      <c r="I23" s="1363">
        <f>IFERROR(Model!I23/Model!E23-1,"NA")</f>
        <v>0.44174586413234773</v>
      </c>
      <c r="J23" s="1363">
        <f>IFERROR(Model!J23/Model!F23-1,"NA")</f>
        <v>5.395833333333333</v>
      </c>
      <c r="K23" s="1363">
        <f>IFERROR(Model!K23/Model!G23-1,"NA")</f>
        <v>1.0419213973799129</v>
      </c>
      <c r="L23" s="1363">
        <f>IFERROR(Model!L23/Model!H23-1,"NA")</f>
        <v>1.6224986479177916E-2</v>
      </c>
      <c r="M23" s="1363">
        <f>IFERROR(Model!M23/Model!I23-1,"NA")</f>
        <v>-0.98046875</v>
      </c>
      <c r="N23" s="1363">
        <f>IFERROR(Model!N23/Model!J23-1,"NA")</f>
        <v>-0.13061889250814329</v>
      </c>
      <c r="O23" s="1363">
        <f>IFERROR(Model!O23/Model!K23-1,"NA")</f>
        <v>-0.92215568862275443</v>
      </c>
      <c r="P23" s="1363">
        <f>IFERROR(Model!P23/Model!L23-1,"NA")</f>
        <v>0.21873336881319849</v>
      </c>
      <c r="Q23" s="1363">
        <f>IFERROR(Model!Q23/Model!M23-1,"NA")</f>
        <v>56.25</v>
      </c>
      <c r="R23" s="1363">
        <f>IFERROR(Model!R23/Model!N23-1,"NA")</f>
        <v>0.52154364930685659</v>
      </c>
      <c r="S23" s="1363">
        <f>IFERROR(Model!S23/Model!O23-1,"NA")</f>
        <v>15.637362637362639</v>
      </c>
      <c r="T23" s="1363">
        <f>IFERROR(Model!T23/Model!P23-1,"NA")</f>
        <v>-0.29017467248908302</v>
      </c>
      <c r="U23" s="1363">
        <f>IFERROR(Model!U23/Model!Q23-1,"NA")</f>
        <v>-0.20895196506550218</v>
      </c>
      <c r="V23" s="1363">
        <f>IFERROR(Model!V23/Model!R23-1,"NA")</f>
        <v>-0.12287613888204874</v>
      </c>
      <c r="W23" s="1363">
        <f>IFERROR(Model!W23/Model!S23-1,"NA")</f>
        <v>5.8124174372523152E-2</v>
      </c>
      <c r="X23" s="1363">
        <f>IFERROR(Model!X23/Model!T23-1,"NA")</f>
        <v>0.14856967087050132</v>
      </c>
      <c r="Y23" s="1363">
        <f>IFERROR(Model!Y23/Model!U23-1,"NA")</f>
        <v>-3.2845707976814742E-2</v>
      </c>
      <c r="Z23" s="1363">
        <f>IFERROR(Model!Z23/Model!V23-1,"NA")</f>
        <v>6.9062324536777187E-2</v>
      </c>
      <c r="AA23" s="1363">
        <f>IFERROR(Model!AA23/Model!W23-1,"NA")</f>
        <v>-7.0003121098626719</v>
      </c>
      <c r="AB23" s="1363">
        <f>IFERROR(Model!AB23/Model!X23-1,"NA")</f>
        <v>0.15077664702731663</v>
      </c>
      <c r="AC23" s="1257">
        <f>IFERROR(Model!AC23/Model!Y23-1,"NA")</f>
        <v>0.16809490790949755</v>
      </c>
      <c r="AD23" s="1257">
        <f>IFERROR(Model!AD23/Model!Z23-1,"NA")</f>
        <v>0.11137761294709381</v>
      </c>
      <c r="AE23" s="1257">
        <f>IFERROR(Model!AE23/Model!AA23-1,"NA")</f>
        <v>-1.2088063937355855</v>
      </c>
      <c r="AF23" s="1257">
        <f>IFERROR(Model!AF23/Model!AB23-1,"NA")</f>
        <v>6.7148579553675702E-2</v>
      </c>
      <c r="AG23" s="1257">
        <f>IFERROR(Model!AG23/Model!AC23-1,"NA")</f>
        <v>0.14109596820183334</v>
      </c>
      <c r="AH23" s="1257">
        <f>IFERROR(Model!AH23/Model!AD23-1,"NA")</f>
        <v>9.5644477647629733E-2</v>
      </c>
      <c r="AI23" s="1257">
        <f>IFERROR(Model!AI23/Model!AE23-1,"NA")</f>
        <v>8.239417280390926E-2</v>
      </c>
      <c r="AJ23" s="1338"/>
      <c r="AK23" s="1338"/>
      <c r="AL23" s="1338"/>
      <c r="AM23" s="1338"/>
      <c r="AN23" s="1338"/>
      <c r="AO23" s="1338"/>
      <c r="AP23" s="1338"/>
      <c r="AQ23" s="1338"/>
      <c r="AR23" s="1236"/>
      <c r="AS23" s="1307"/>
      <c r="AT23" s="1246"/>
      <c r="AU23" s="1246"/>
      <c r="AV23" s="1246">
        <f>IFERROR(Model!AV23/Model!AU23-1,"NA")</f>
        <v>0.80478468899521527</v>
      </c>
      <c r="AW23" s="1246">
        <f>IFERROR(Model!AW23/Model!AV23-1,"NA")</f>
        <v>-0.49333434328132098</v>
      </c>
      <c r="AX23" s="1246">
        <f>IFERROR(Model!AX23/Model!AW23-1,"NA")</f>
        <v>1.4292121393332335</v>
      </c>
      <c r="AY23" s="1246">
        <f>IFERROR(Model!AY23/Model!AX23-1,"NA")</f>
        <v>-0.16056372699858457</v>
      </c>
      <c r="AZ23" s="1246">
        <f>IFERROR(Model!AZ23/Model!AY23-1,"NA")</f>
        <v>-1.599633431085044</v>
      </c>
      <c r="BA23" s="1246">
        <f>IFERROR(Model!BA23/Model!AZ23-1,"NA")</f>
        <v>-3.034042477929336</v>
      </c>
      <c r="BB23" s="1257">
        <f>IFERROR(Model!BB23/Model!BA23-1,"NA")</f>
        <v>9.6269343938335972E-2</v>
      </c>
      <c r="BC23" s="1257">
        <f>IFERROR(Model!BC23/Model!BB23-1,"NA")</f>
        <v>8.1694957640354504E-2</v>
      </c>
      <c r="BD23" s="1257">
        <f>IFERROR(Model!BD23/Model!BC23-1,"NA")</f>
        <v>5.8818964852238809E-2</v>
      </c>
      <c r="BE23" s="1257">
        <f>IFERROR(Model!BE23/Model!BD23-1,"NA")</f>
        <v>2.6496154792606585E-2</v>
      </c>
    </row>
    <row r="24" spans="1:69" x14ac:dyDescent="0.2">
      <c r="C24" s="71" t="s">
        <v>631</v>
      </c>
      <c r="D24" s="1256"/>
      <c r="E24" s="1256"/>
      <c r="F24" s="1256"/>
      <c r="G24" s="1256"/>
      <c r="H24" s="1256">
        <f>IFERROR(Model!H24/Model!D24-1,"NA")</f>
        <v>0.44897959183673475</v>
      </c>
      <c r="I24" s="1256">
        <f>IFERROR(Model!I24/Model!E24-1,"NA")</f>
        <v>0.27692307692307683</v>
      </c>
      <c r="J24" s="1256">
        <f>IFERROR(Model!J24/Model!F24-1,"NA")</f>
        <v>5.2</v>
      </c>
      <c r="K24" s="1256">
        <f>IFERROR(Model!K24/Model!G24-1,"NA")</f>
        <v>0.80769230769230771</v>
      </c>
      <c r="L24" s="1256">
        <f>IFERROR(Model!L24/Model!H24-1,"NA")</f>
        <v>-0.12676056338028174</v>
      </c>
      <c r="M24" s="1256">
        <f>IFERROR(Model!M24/Model!I24-1,"NA")</f>
        <v>-0.98795180722891562</v>
      </c>
      <c r="N24" s="1256">
        <f>IFERROR(Model!N24/Model!J24-1,"NA")</f>
        <v>-0.29032258064516125</v>
      </c>
      <c r="O24" s="1256">
        <f>IFERROR(Model!O24/Model!K24-1,"NA")</f>
        <v>-0.93617021276595747</v>
      </c>
      <c r="P24" s="1256">
        <f>IFERROR(Model!P24/Model!L24-1,"NA")</f>
        <v>0</v>
      </c>
      <c r="Q24" s="1256">
        <f>IFERROR(Model!Q24/Model!M24-1,"NA")</f>
        <v>63</v>
      </c>
      <c r="R24" s="1256">
        <f>IFERROR(Model!R24/Model!N24-1,"NA")</f>
        <v>0.27272727272727271</v>
      </c>
      <c r="S24" s="1256">
        <f>IFERROR(Model!S24/Model!O24-1,"NA")</f>
        <v>13</v>
      </c>
      <c r="T24" s="1256">
        <f>IFERROR(Model!T24/Model!P24-1,"NA")</f>
        <v>-0.35483870967741937</v>
      </c>
      <c r="U24" s="1256">
        <f>IFERROR(Model!U24/Model!Q24-1,"NA")</f>
        <v>-0.171875</v>
      </c>
      <c r="V24" s="1256">
        <f>IFERROR(Model!V24/Model!R24-1,"NA")</f>
        <v>-5.3571428571428603E-2</v>
      </c>
      <c r="W24" s="1256">
        <f>IFERROR(Model!W24/Model!S24-1,"NA")</f>
        <v>0.16666666666666674</v>
      </c>
      <c r="X24" s="1256">
        <f>IFERROR(Model!X24/Model!T24-1,"NA")</f>
        <v>0.375</v>
      </c>
      <c r="Y24" s="1256">
        <f>IFERROR(Model!Y24/Model!U24-1,"NA")</f>
        <v>-9.4339622641509413E-2</v>
      </c>
      <c r="Z24" s="1256">
        <f>IFERROR(Model!Z24/Model!V24-1,"NA")</f>
        <v>0</v>
      </c>
      <c r="AA24" s="1256">
        <f>IFERROR(Model!AA24/Model!W24-1,"NA")</f>
        <v>-0.75510204081632648</v>
      </c>
      <c r="AB24" s="1256">
        <f>IFERROR(Model!AB24/Model!X24-1,"NA")</f>
        <v>-0.6</v>
      </c>
      <c r="AC24" s="1256">
        <f>IFERROR(Model!AC24/Model!Y24-1,"NA")</f>
        <v>-0.23847828141623617</v>
      </c>
      <c r="AD24" s="1256">
        <f>IFERROR(Model!AD24/Model!Z24-1,"NA")</f>
        <v>-0.37893923743632685</v>
      </c>
      <c r="AE24" s="1256">
        <f>IFERROR(Model!AE24/Model!AA24-1,"NA")</f>
        <v>1.1547483490174608</v>
      </c>
      <c r="AF24" s="1256">
        <f>IFERROR(Model!AF24/Model!AB24-1,"NA")</f>
        <v>0.46151060704852975</v>
      </c>
      <c r="AG24" s="1256">
        <f>IFERROR(Model!AG24/Model!AC24-1,"NA")</f>
        <v>-3.4681654372776038E-2</v>
      </c>
      <c r="AH24" s="1256">
        <f>IFERROR(Model!AH24/Model!AD24-1,"NA")</f>
        <v>1.1230084712199995E-2</v>
      </c>
      <c r="AI24" s="1256">
        <f>IFERROR(Model!AI24/Model!AE24-1,"NA")</f>
        <v>0.1979506325768734</v>
      </c>
      <c r="AJ24" s="1256"/>
      <c r="AK24" s="1256"/>
      <c r="AL24" s="1256"/>
      <c r="AM24" s="1256"/>
      <c r="AN24" s="1256"/>
      <c r="AO24" s="1256"/>
      <c r="AP24" s="1256"/>
      <c r="AQ24" s="1256"/>
      <c r="AR24" s="1236"/>
      <c r="AS24" s="1382"/>
      <c r="AT24" s="1318"/>
      <c r="AU24" s="1236"/>
      <c r="AV24" s="1236">
        <f>IFERROR(Model!AV24/Model!AU24-1,"NA")</f>
        <v>0.75333333333333341</v>
      </c>
      <c r="AW24" s="1236">
        <f>IFERROR(Model!AW24/Model!AV24-1,"NA")</f>
        <v>-0.58174904942965777</v>
      </c>
      <c r="AX24" s="1236">
        <f>IFERROR(Model!AX24/Model!AW24-1,"NA")</f>
        <v>1.0363636363636362</v>
      </c>
      <c r="AY24" s="1236">
        <f>IFERROR(Model!AY24/Model!AX24-1,"NA")</f>
        <v>-0.1294642857142857</v>
      </c>
      <c r="AZ24" s="1236">
        <f>IFERROR(Model!AZ24/Model!AY24-1,"NA")</f>
        <v>-0.13846153846153841</v>
      </c>
      <c r="BA24" s="1236">
        <f>IFERROR(Model!BA24/Model!AZ24-1,"NA")</f>
        <v>-0.30162950538032818</v>
      </c>
      <c r="BB24" s="1236">
        <f>IFERROR(Model!BB24/Model!BA24-1,"NA")</f>
        <v>0.12250942771406859</v>
      </c>
      <c r="BC24" s="1236">
        <f>IFERROR(Model!BC24/Model!BB24-1,"NA")</f>
        <v>7.6235811641826023E-2</v>
      </c>
      <c r="BD24" s="1236">
        <f>IFERROR(Model!BD24/Model!BC24-1,"NA")</f>
        <v>5.5166892311237836E-2</v>
      </c>
      <c r="BE24" s="1236">
        <f>IFERROR(Model!BE24/Model!BD24-1,"NA")</f>
        <v>2.4937019815502559E-2</v>
      </c>
    </row>
    <row r="25" spans="1:69" x14ac:dyDescent="0.2">
      <c r="D25" s="407"/>
      <c r="E25" s="407"/>
      <c r="F25" s="407"/>
      <c r="G25" s="407"/>
      <c r="H25" s="407"/>
      <c r="I25" s="407"/>
      <c r="J25" s="407"/>
      <c r="K25" s="407"/>
      <c r="L25" s="407"/>
      <c r="M25" s="407"/>
      <c r="N25" s="407"/>
      <c r="O25" s="407"/>
      <c r="P25" s="407"/>
      <c r="Q25" s="407"/>
      <c r="R25" s="407"/>
      <c r="S25" s="407"/>
      <c r="T25" s="407"/>
      <c r="U25" s="407"/>
      <c r="V25" s="407"/>
      <c r="W25" s="407"/>
      <c r="X25" s="407"/>
      <c r="Y25" s="407"/>
      <c r="Z25" s="407"/>
      <c r="AA25" s="407"/>
      <c r="AB25" s="407"/>
      <c r="AC25" s="407"/>
      <c r="AD25" s="407"/>
      <c r="AE25" s="407"/>
      <c r="AF25" s="407"/>
      <c r="AG25" s="407"/>
      <c r="AH25" s="407"/>
      <c r="AI25" s="407"/>
      <c r="AJ25" s="407"/>
      <c r="AK25" s="407"/>
      <c r="AL25" s="407"/>
      <c r="AM25" s="407"/>
      <c r="AN25" s="407"/>
      <c r="AO25" s="407"/>
      <c r="AP25" s="407"/>
      <c r="AQ25" s="407"/>
      <c r="AR25" s="1236"/>
      <c r="AS25" s="1236"/>
      <c r="AT25" s="1236"/>
      <c r="AU25" s="1236"/>
      <c r="AV25" s="1236"/>
      <c r="AW25" s="1236"/>
      <c r="AX25" s="1236"/>
      <c r="AY25" s="1236"/>
      <c r="AZ25" s="1236"/>
      <c r="BA25" s="1236"/>
      <c r="BB25" s="1236"/>
      <c r="BC25" s="1236"/>
      <c r="BD25" s="1236"/>
      <c r="BE25" s="1236"/>
    </row>
    <row r="26" spans="1:69" x14ac:dyDescent="0.2">
      <c r="B26" s="35" t="s">
        <v>536</v>
      </c>
      <c r="D26" s="1256"/>
      <c r="E26" s="1256"/>
      <c r="F26" s="1256"/>
      <c r="G26" s="1256"/>
      <c r="H26" s="1256">
        <f>IFERROR(Model!H26/Model!D26-1,"NA")</f>
        <v>0.31512160733168848</v>
      </c>
      <c r="I26" s="1256">
        <f>IFERROR(Model!I26/Model!E26-1,"NA")</f>
        <v>0.43472124206069163</v>
      </c>
      <c r="J26" s="1256">
        <f>IFERROR(Model!J26/Model!F26-1,"NA")</f>
        <v>5.3093220338983054</v>
      </c>
      <c r="K26" s="1256">
        <f>IFERROR(Model!K26/Model!G26-1,"NA")</f>
        <v>0.75365853658536586</v>
      </c>
      <c r="L26" s="1256">
        <f>IFERROR(Model!L26/Model!H26-1,"NA")</f>
        <v>-2.6802465826856192E-3</v>
      </c>
      <c r="M26" s="1256">
        <f>IFERROR(Model!M26/Model!I26-1,"NA")</f>
        <v>-0.97491392031480573</v>
      </c>
      <c r="N26" s="1256">
        <f>IFERROR(Model!N26/Model!J26-1,"NA")</f>
        <v>-9.8388179986568125E-2</v>
      </c>
      <c r="O26" s="1256">
        <f>IFERROR(Model!O26/Model!K26-1,"NA")</f>
        <v>-0.91515994436717663</v>
      </c>
      <c r="P26" s="1256">
        <f>IFERROR(Model!P26/Model!L26-1,"NA")</f>
        <v>0.23219564633163126</v>
      </c>
      <c r="Q26" s="1256">
        <f>IFERROR(Model!Q26/Model!M26-1,"NA")</f>
        <v>43.843137254901961</v>
      </c>
      <c r="R26" s="1256">
        <f>IFERROR(Model!R26/Model!N26-1,"NA")</f>
        <v>0.51620111731843576</v>
      </c>
      <c r="S26" s="1256">
        <f>IFERROR(Model!S26/Model!O26-1,"NA")</f>
        <v>15.792349726775956</v>
      </c>
      <c r="T26" s="1256">
        <f>IFERROR(Model!T26/Model!P26-1,"NA")</f>
        <v>-0.29051254089422029</v>
      </c>
      <c r="U26" s="1256">
        <f>IFERROR(Model!U26/Model!Q26-1,"NA")</f>
        <v>-0.20288587669435942</v>
      </c>
      <c r="V26" s="1256">
        <f>IFERROR(Model!V26/Model!R26-1,"NA")</f>
        <v>-0.1176615082289364</v>
      </c>
      <c r="W26" s="1256">
        <f>IFERROR(Model!W26/Model!S26-1,"NA")</f>
        <v>4.3605597136348928E-2</v>
      </c>
      <c r="X26" s="1256">
        <f>IFERROR(Model!X26/Model!T26-1,"NA")</f>
        <v>0.15339686443283118</v>
      </c>
      <c r="Y26" s="1256">
        <f>IFERROR(Model!Y26/Model!U26-1,"NA")</f>
        <v>-4.4706527701590781E-2</v>
      </c>
      <c r="Z26" s="1256">
        <f>IFERROR(Model!Z26/Model!V26-1,"NA")</f>
        <v>6.1525612472160374E-2</v>
      </c>
      <c r="AA26" s="1256">
        <f>IFERROR(Model!AA26/Model!W26-1,"NA")</f>
        <v>-6.9607109448082323</v>
      </c>
      <c r="AB26" s="1256">
        <f>IFERROR(Model!AB26/Model!X26-1,"NA")</f>
        <v>0.14712153518123672</v>
      </c>
      <c r="AC26" s="1256">
        <f>IFERROR(Model!AC26/Model!Y26-1,"NA")</f>
        <v>0.1751376851320352</v>
      </c>
      <c r="AD26" s="1256">
        <f>IFERROR(Model!AD26/Model!Z26-1,"NA")</f>
        <v>0.10992025966497065</v>
      </c>
      <c r="AE26" s="1256">
        <f>IFERROR(Model!AE26/Model!AA26-1,"NA")</f>
        <v>-1.2099970139969989</v>
      </c>
      <c r="AF26" s="1256">
        <f>IFERROR(Model!AF26/Model!AB26-1,"NA")</f>
        <v>6.5412975451241806E-2</v>
      </c>
      <c r="AG26" s="1256">
        <f>IFERROR(Model!AG26/Model!AC26-1,"NA")</f>
        <v>0.14109596820183357</v>
      </c>
      <c r="AH26" s="1256">
        <f>IFERROR(Model!AH26/Model!AD26-1,"NA")</f>
        <v>9.5644477647629511E-2</v>
      </c>
      <c r="AI26" s="1256">
        <f>IFERROR(Model!AI26/Model!AE26-1,"NA")</f>
        <v>8.239417280390926E-2</v>
      </c>
      <c r="AJ26" s="1256"/>
      <c r="AK26" s="1256"/>
      <c r="AL26" s="1256"/>
      <c r="AM26" s="1256"/>
      <c r="AN26" s="1256"/>
      <c r="AO26" s="1256"/>
      <c r="AP26" s="1256"/>
      <c r="AQ26" s="1256"/>
      <c r="AR26" s="1236"/>
      <c r="AS26" s="407"/>
      <c r="AT26" s="407"/>
      <c r="AU26" s="1256"/>
      <c r="AV26" s="1256">
        <f>IFERROR(Model!AV26/Model!AU26-1,"NA")</f>
        <v>0.75396717753967168</v>
      </c>
      <c r="AW26" s="1256">
        <f>IFERROR(Model!AW26/Model!AV26-1,"NA")</f>
        <v>-0.48260129910300031</v>
      </c>
      <c r="AX26" s="1256">
        <f>IFERROR(Model!AX26/Model!AW26-1,"NA")</f>
        <v>1.436556568524884</v>
      </c>
      <c r="AY26" s="1256">
        <f>IFERROR(Model!AY26/Model!AX26-1,"NA")</f>
        <v>-0.15978654235416789</v>
      </c>
      <c r="AZ26" s="1256">
        <f>IFERROR(Model!AZ26/Model!AY26-1,"NA")</f>
        <v>-1.5889910935903051</v>
      </c>
      <c r="BA26" s="1256">
        <f>IFERROR(Model!BA26/Model!AZ26-1,"NA")</f>
        <v>-3.0628945744898419</v>
      </c>
      <c r="BB26" s="1256">
        <f>IFERROR(Model!BB26/Model!BA26-1,"NA")</f>
        <v>9.5808268076720937E-2</v>
      </c>
      <c r="BC26" s="1256">
        <f>IFERROR(Model!BC26/Model!BB26-1,"NA")</f>
        <v>8.1694957640354948E-2</v>
      </c>
      <c r="BD26" s="1256">
        <f>IFERROR(Model!BD26/Model!BC26-1,"NA")</f>
        <v>5.8818964852238809E-2</v>
      </c>
      <c r="BE26" s="1256">
        <f>IFERROR(Model!BE26/Model!BD26-1,"NA")</f>
        <v>2.6496154792606585E-2</v>
      </c>
    </row>
    <row r="27" spans="1:69" x14ac:dyDescent="0.2">
      <c r="B27" s="35" t="s">
        <v>537</v>
      </c>
      <c r="D27" s="1256"/>
      <c r="E27" s="1256"/>
      <c r="F27" s="1256"/>
      <c r="G27" s="1256"/>
      <c r="H27" s="1256">
        <f>IFERROR(Model!H27/Model!D27-1,"NA")</f>
        <v>8.0285949958757152E-2</v>
      </c>
      <c r="I27" s="1256">
        <f>IFERROR(Model!I27/Model!E27-1,"NA")</f>
        <v>0.40051967334818106</v>
      </c>
      <c r="J27" s="1256">
        <f>IFERROR(Model!J27/Model!F27-1,"NA")</f>
        <v>2.3291536050156738</v>
      </c>
      <c r="K27" s="1256">
        <f>IFERROR(Model!K27/Model!G27-1,"NA")</f>
        <v>0.47419986936642711</v>
      </c>
      <c r="L27" s="1256">
        <f>IFERROR(Model!L27/Model!H27-1,"NA")</f>
        <v>-5.3957750063629462E-2</v>
      </c>
      <c r="M27" s="1256">
        <f>IFERROR(Model!M27/Model!I27-1,"NA")</f>
        <v>-0.96766498807315138</v>
      </c>
      <c r="N27" s="1256">
        <f>IFERROR(Model!N27/Model!J27-1,"NA")</f>
        <v>-8.5687382297551795E-2</v>
      </c>
      <c r="O27" s="1256">
        <f>IFERROR(Model!O27/Model!K27-1,"NA")</f>
        <v>-0.92069118298626496</v>
      </c>
      <c r="P27" s="1256">
        <f>IFERROR(Model!P27/Model!L27-1,"NA")</f>
        <v>0.24616626311541556</v>
      </c>
      <c r="Q27" s="1256">
        <f>IFERROR(Model!Q27/Model!M27-1,"NA")</f>
        <v>34.885245901639344</v>
      </c>
      <c r="R27" s="1256">
        <f>IFERROR(Model!R27/Model!N27-1,"NA")</f>
        <v>0.35393065568142812</v>
      </c>
      <c r="S27" s="1256">
        <f>IFERROR(Model!S27/Model!O27-1,"NA")</f>
        <v>16.804469273743017</v>
      </c>
      <c r="T27" s="1256">
        <f>IFERROR(Model!T27/Model!P27-1,"NA")</f>
        <v>-0.29771157167530227</v>
      </c>
      <c r="U27" s="1256">
        <f>IFERROR(Model!U27/Model!Q27-1,"NA")</f>
        <v>-0.16719963453631792</v>
      </c>
      <c r="V27" s="1256">
        <f>IFERROR(Model!V27/Model!R27-1,"NA")</f>
        <v>-8.9249492900608574E-2</v>
      </c>
      <c r="W27" s="1256">
        <f>IFERROR(Model!W27/Model!S27-1,"NA")</f>
        <v>6.2754941951679299E-3</v>
      </c>
      <c r="X27" s="1256">
        <f>IFERROR(Model!X27/Model!T27-1,"NA")</f>
        <v>0.15339686443283118</v>
      </c>
      <c r="Y27" s="1256">
        <f>IFERROR(Model!Y27/Model!U27-1,"NA")</f>
        <v>-4.4706527701590781E-2</v>
      </c>
      <c r="Z27" s="1256">
        <f>IFERROR(Model!Z27/Model!V27-1,"NA")</f>
        <v>6.1525612472160374E-2</v>
      </c>
      <c r="AA27" s="1256">
        <f>IFERROR(Model!AA27/Model!W27-1,"NA")</f>
        <v>-6.9607109448082323</v>
      </c>
      <c r="AB27" s="1256">
        <f>IFERROR(Model!AB27/Model!X27-1,"NA")</f>
        <v>0.14712153518123672</v>
      </c>
      <c r="AC27" s="1256">
        <f>IFERROR(Model!AC27/Model!Y27-1,"NA")</f>
        <v>0.1751376851320352</v>
      </c>
      <c r="AD27" s="1256">
        <f>IFERROR(Model!AD27/Model!Z27-1,"NA")</f>
        <v>0.10992025966497065</v>
      </c>
      <c r="AE27" s="1256">
        <f>IFERROR(Model!AE27/Model!AA27-1,"NA")</f>
        <v>-1.2099970139969989</v>
      </c>
      <c r="AF27" s="1256">
        <f>IFERROR(Model!AF27/Model!AB27-1,"NA")</f>
        <v>6.5412975451241806E-2</v>
      </c>
      <c r="AG27" s="1256">
        <f>IFERROR(Model!AG27/Model!AC27-1,"NA")</f>
        <v>0.14109596820183357</v>
      </c>
      <c r="AH27" s="1256">
        <f>IFERROR(Model!AH27/Model!AD27-1,"NA")</f>
        <v>9.5644477647629511E-2</v>
      </c>
      <c r="AI27" s="1256">
        <f>IFERROR(Model!AI27/Model!AE27-1,"NA")</f>
        <v>8.239417280390926E-2</v>
      </c>
      <c r="AJ27" s="1256"/>
      <c r="AK27" s="1256"/>
      <c r="AL27" s="1256"/>
      <c r="AM27" s="1256"/>
      <c r="AN27" s="1256"/>
      <c r="AO27" s="1256"/>
      <c r="AP27" s="1256"/>
      <c r="AQ27" s="1256"/>
      <c r="AR27" s="1236"/>
      <c r="AS27" s="407"/>
      <c r="AT27" s="407"/>
      <c r="AU27" s="1256"/>
      <c r="AV27" s="1256">
        <f>IFERROR(Model!AV27/Model!AU27-1,"NA")</f>
        <v>0.49053180632724791</v>
      </c>
      <c r="AW27" s="1256">
        <f>IFERROR(Model!AW27/Model!AV27-1,"NA")</f>
        <v>-0.47272727272727277</v>
      </c>
      <c r="AX27" s="1256">
        <f>IFERROR(Model!AX27/Model!AW27-1,"NA")</f>
        <v>1.3288125811571203</v>
      </c>
      <c r="AY27" s="1256">
        <f>IFERROR(Model!AY27/Model!AX27-1,"NA")</f>
        <v>-0.15135369555789602</v>
      </c>
      <c r="AZ27" s="1256">
        <f>IFERROR(Model!AZ27/Model!AY27-1,"NA")</f>
        <v>-1.5889910935903051</v>
      </c>
      <c r="BA27" s="1256">
        <f>IFERROR(Model!BA27/Model!AZ27-1,"NA")</f>
        <v>-3.0628945744898419</v>
      </c>
      <c r="BB27" s="1256">
        <f>IFERROR(Model!BB27/Model!BA27-1,"NA")</f>
        <v>9.5808268076720937E-2</v>
      </c>
      <c r="BC27" s="1256">
        <f>IFERROR(Model!BC27/Model!BB27-1,"NA")</f>
        <v>8.1694957640354948E-2</v>
      </c>
      <c r="BD27" s="1256">
        <f>IFERROR(Model!BD27/Model!BC27-1,"NA")</f>
        <v>5.8818964852238809E-2</v>
      </c>
      <c r="BE27" s="1256">
        <f>IFERROR(Model!BE27/Model!BD27-1,"NA")</f>
        <v>2.6496154792606585E-2</v>
      </c>
      <c r="BQ27" s="1074"/>
    </row>
    <row r="28" spans="1:69" x14ac:dyDescent="0.2">
      <c r="B28" s="35" t="s">
        <v>1134</v>
      </c>
      <c r="D28" s="1256"/>
      <c r="E28" s="1256"/>
      <c r="F28" s="1256"/>
      <c r="G28" s="1256"/>
      <c r="H28" s="1256">
        <f>IFERROR(Model!H28/Model!D28-1,"NA")</f>
        <v>7.2851153039832361E-2</v>
      </c>
      <c r="I28" s="1256">
        <f>IFERROR(Model!I28/Model!E28-1,"NA")</f>
        <v>0.38924501424501434</v>
      </c>
      <c r="J28" s="1256">
        <f>IFERROR(Model!J28/Model!F28-1,"NA")</f>
        <v>2.4226907630522088</v>
      </c>
      <c r="K28" s="1256">
        <f>IFERROR(Model!K28/Model!G28-1,"NA")</f>
        <v>0.52132998745294845</v>
      </c>
      <c r="L28" s="1256">
        <f>IFERROR(Model!L28/Model!H28-1,"NA")</f>
        <v>-3.5661944308744475E-2</v>
      </c>
      <c r="M28" s="1256">
        <f>IFERROR(Model!M28/Model!I28-1,"NA")</f>
        <v>-0.93001794411689309</v>
      </c>
      <c r="N28" s="1256">
        <f>IFERROR(Model!N28/Model!J28-1,"NA")</f>
        <v>-7.7735406277500751E-2</v>
      </c>
      <c r="O28" s="1256">
        <f>IFERROR(Model!O28/Model!K28-1,"NA")</f>
        <v>-0.84371134020618554</v>
      </c>
      <c r="P28" s="1256">
        <f>IFERROR(Model!P28/Model!L28-1,"NA")</f>
        <v>0.23201621073961509</v>
      </c>
      <c r="Q28" s="1256">
        <f>IFERROR(Model!Q28/Model!M28-1,"NA")</f>
        <v>16.076923076923077</v>
      </c>
      <c r="R28" s="1256">
        <f>IFERROR(Model!R28/Model!N28-1,"NA")</f>
        <v>0.32919847328244267</v>
      </c>
      <c r="S28" s="1256">
        <f>IFERROR(Model!S28/Model!O28-1,"NA")</f>
        <v>8.2849604221635875</v>
      </c>
      <c r="T28" s="1256">
        <f>IFERROR(Model!T28/Model!P28-1,"NA")</f>
        <v>-0.27878289473684215</v>
      </c>
      <c r="U28" s="1256">
        <f>IFERROR(Model!U28/Model!Q28-1,"NA")</f>
        <v>-0.13191763191763195</v>
      </c>
      <c r="V28" s="1256">
        <f>IFERROR(Model!V28/Model!R28-1,"NA")</f>
        <v>-6.9873175400813614E-2</v>
      </c>
      <c r="W28" s="1256">
        <f>IFERROR(Model!W28/Model!S28-1,"NA")</f>
        <v>2.0460358056265893E-2</v>
      </c>
      <c r="X28" s="1256">
        <f>IFERROR(Model!X28/Model!T28-1,"NA")</f>
        <v>0.17388825541619157</v>
      </c>
      <c r="Y28" s="1256">
        <f>IFERROR(Model!Y28/Model!U28-1,"NA")</f>
        <v>-4.0523844823325939E-2</v>
      </c>
      <c r="Z28" s="1256">
        <f>IFERROR(Model!Z28/Model!V28-1,"NA")</f>
        <v>6.4316953949060895E-2</v>
      </c>
      <c r="AA28" s="1256">
        <f>IFERROR(Model!AA28/Model!W28-1,"NA")</f>
        <v>-6.2255639097744364</v>
      </c>
      <c r="AB28" s="1256">
        <f>IFERROR(Model!AB28/Model!X28-1,"NA")</f>
        <v>0.12894609033511406</v>
      </c>
      <c r="AC28" s="1256">
        <f>IFERROR(Model!AC28/Model!Y28-1,"NA")</f>
        <v>0.15041271073980012</v>
      </c>
      <c r="AD28" s="1256">
        <f>IFERROR(Model!AD28/Model!Z28-1,"NA")</f>
        <v>0.10004651692955746</v>
      </c>
      <c r="AE28" s="1256">
        <f>IFERROR(Model!AE28/Model!AA28-1,"NA")</f>
        <v>-1.2329996578810711</v>
      </c>
      <c r="AF28" s="1256">
        <f>IFERROR(Model!AF28/Model!AB28-1,"NA")</f>
        <v>6.3375916518747522E-2</v>
      </c>
      <c r="AG28" s="1256">
        <f>IFERROR(Model!AG28/Model!AC28-1,"NA")</f>
        <v>0.13601921904266301</v>
      </c>
      <c r="AH28" s="1256">
        <f>IFERROR(Model!AH28/Model!AD28-1,"NA")</f>
        <v>9.7681056329507854E-2</v>
      </c>
      <c r="AI28" s="1256">
        <f>IFERROR(Model!AI28/Model!AE28-1,"NA")</f>
        <v>8.500125982155593E-2</v>
      </c>
      <c r="AJ28" s="1256"/>
      <c r="AK28" s="1256"/>
      <c r="AL28" s="1256"/>
      <c r="AM28" s="1256"/>
      <c r="AN28" s="1256"/>
      <c r="AO28" s="1256"/>
      <c r="AP28" s="1256"/>
      <c r="AQ28" s="1256"/>
      <c r="AR28" s="1236"/>
      <c r="AS28" s="407"/>
      <c r="AT28" s="407"/>
      <c r="AU28" s="1256"/>
      <c r="AV28" s="1256">
        <f>IFERROR(Model!AV28/Model!AU28-1,"NA")</f>
        <v>0.50086824397655749</v>
      </c>
      <c r="AW28" s="1256">
        <f>IFERROR(Model!AW28/Model!AV28-1,"NA")</f>
        <v>-0.44001735483404436</v>
      </c>
      <c r="AX28" s="1256">
        <f>IFERROR(Model!AX28/Model!AW28-1,"NA")</f>
        <v>1.2241735537190084</v>
      </c>
      <c r="AY28" s="1256">
        <f>IFERROR(Model!AY28/Model!AX28-1,"NA")</f>
        <v>-0.12720622387366465</v>
      </c>
      <c r="AZ28" s="1256">
        <f>IFERROR(Model!AZ28/Model!AY28-1,"NA")</f>
        <v>-1.4408301736180404</v>
      </c>
      <c r="BA28" s="1256">
        <f>IFERROR(Model!BA28/Model!AZ28-1,"NA")</f>
        <v>-3.722073876034182</v>
      </c>
      <c r="BB28" s="1256">
        <f>IFERROR(Model!BB28/Model!BA28-1,"NA")</f>
        <v>9.5260486543580436E-2</v>
      </c>
      <c r="BC28" s="1256">
        <f>IFERROR(Model!BC28/Model!BB28-1,"NA")</f>
        <v>7.6235811641826023E-2</v>
      </c>
      <c r="BD28" s="1256">
        <f>IFERROR(Model!BD28/Model!BC28-1,"NA")</f>
        <v>5.5166892311237836E-2</v>
      </c>
      <c r="BE28" s="1256">
        <f>IFERROR(Model!BE28/Model!BD28-1,"NA")</f>
        <v>2.4937019815502559E-2</v>
      </c>
      <c r="BM28" s="1074"/>
      <c r="BN28" s="1074"/>
      <c r="BO28" s="1074"/>
      <c r="BP28" s="1074"/>
      <c r="BQ28" s="160"/>
    </row>
    <row r="29" spans="1:69" ht="12" thickBot="1" x14ac:dyDescent="0.25">
      <c r="D29" s="1256"/>
      <c r="E29" s="407"/>
      <c r="F29" s="407"/>
      <c r="G29" s="407"/>
      <c r="H29" s="407"/>
      <c r="I29" s="407"/>
      <c r="J29" s="407"/>
      <c r="K29" s="407"/>
      <c r="L29" s="407"/>
      <c r="M29" s="407"/>
      <c r="N29" s="407"/>
      <c r="O29" s="407"/>
      <c r="P29" s="407"/>
      <c r="Q29" s="407"/>
      <c r="R29" s="407"/>
      <c r="S29" s="407"/>
      <c r="T29" s="407"/>
      <c r="U29" s="407"/>
      <c r="V29" s="407"/>
      <c r="W29" s="407"/>
      <c r="X29" s="407"/>
      <c r="Y29" s="407"/>
      <c r="Z29" s="407"/>
      <c r="AA29" s="407"/>
      <c r="AB29" s="407"/>
      <c r="AC29" s="407"/>
      <c r="AD29" s="407"/>
      <c r="AE29" s="407"/>
      <c r="AF29" s="407"/>
      <c r="AG29" s="407"/>
      <c r="AH29" s="407"/>
      <c r="AI29" s="407"/>
      <c r="AJ29" s="407"/>
      <c r="AK29" s="407"/>
      <c r="AL29" s="407"/>
      <c r="AM29" s="407"/>
      <c r="AN29" s="407"/>
      <c r="AO29" s="407"/>
      <c r="AP29" s="407"/>
      <c r="AQ29" s="407"/>
      <c r="AR29" s="1236"/>
      <c r="AS29" s="1382"/>
      <c r="AT29" s="407"/>
      <c r="AU29" s="1236"/>
      <c r="AV29" s="1236"/>
      <c r="AW29" s="1236"/>
      <c r="AX29" s="1236"/>
      <c r="AY29" s="1236"/>
      <c r="AZ29" s="1236"/>
      <c r="BA29" s="1236"/>
      <c r="BB29" s="407"/>
      <c r="BC29" s="407"/>
      <c r="BD29" s="407"/>
      <c r="BE29" s="407"/>
    </row>
    <row r="30" spans="1:69" x14ac:dyDescent="0.2">
      <c r="A30" s="830"/>
      <c r="B30" s="929" t="s">
        <v>398</v>
      </c>
      <c r="C30" s="930"/>
      <c r="D30" s="1383"/>
      <c r="E30" s="1383"/>
      <c r="F30" s="1383"/>
      <c r="G30" s="1383"/>
      <c r="H30" s="1383">
        <f>IFERROR(Model!H30/Model!D30-1,"NA")</f>
        <v>0.17272727272727262</v>
      </c>
      <c r="I30" s="1383">
        <f>IFERROR(Model!I30/Model!E30-1,"NA")</f>
        <v>0.26530612244897966</v>
      </c>
      <c r="J30" s="1383">
        <f>IFERROR(Model!J30/Model!F30-1,"NA")</f>
        <v>-9.1743119266055162E-2</v>
      </c>
      <c r="K30" s="1383">
        <f>IFERROR(Model!K30/Model!G30-1,"NA")</f>
        <v>0.4509803921568627</v>
      </c>
      <c r="L30" s="1383">
        <f>IFERROR(Model!L30/Model!H30-1,"NA")</f>
        <v>0</v>
      </c>
      <c r="M30" s="1383">
        <f>IFERROR(Model!M30/Model!I30-1,"NA")</f>
        <v>-0.967741935483871</v>
      </c>
      <c r="N30" s="1383">
        <f>IFERROR(Model!N30/Model!J30-1,"NA")</f>
        <v>-3.0303030303030276E-2</v>
      </c>
      <c r="O30" s="1383">
        <f>IFERROR(Model!O30/Model!K30-1,"NA")</f>
        <v>-0.91891891891891886</v>
      </c>
      <c r="P30" s="1383">
        <f>IFERROR(Model!P30/Model!L30-1,"NA")</f>
        <v>0.17829457364341073</v>
      </c>
      <c r="Q30" s="1383">
        <f>IFERROR(Model!Q30/Model!M30-1,"NA")</f>
        <v>35.25</v>
      </c>
      <c r="R30" s="1383">
        <f>IFERROR(Model!R30/Model!N30-1,"NA")</f>
        <v>0.37500000000000022</v>
      </c>
      <c r="S30" s="1383">
        <f>IFERROR(Model!S30/Model!O30-1,"NA")</f>
        <v>16.833333333333336</v>
      </c>
      <c r="T30" s="1383">
        <f>IFERROR(Model!T30/Model!P30-1,"NA")</f>
        <v>-0.26973684210526305</v>
      </c>
      <c r="U30" s="1383">
        <f>IFERROR(Model!U30/Model!Q30-1,"NA")</f>
        <v>-0.13793103448275856</v>
      </c>
      <c r="V30" s="1383">
        <f>IFERROR(Model!V30/Model!R30-1,"NA")</f>
        <v>-5.3030303030303094E-2</v>
      </c>
      <c r="W30" s="1383">
        <f>IFERROR(Model!W30/Model!S30-1,"NA")</f>
        <v>6.5420560747663448E-2</v>
      </c>
      <c r="X30" s="1383">
        <f>IFERROR(Model!X30/Model!T30-1,"NA")</f>
        <v>0.22522522522522515</v>
      </c>
      <c r="Y30" s="1383">
        <f>IFERROR(Model!Y30/Model!U30-1,"NA")</f>
        <v>1.6000000000000014E-2</v>
      </c>
      <c r="Z30" s="1383">
        <f>IFERROR(Model!Z30/Model!V30-1,"NA")</f>
        <v>0.1359999999999999</v>
      </c>
      <c r="AA30" s="1383">
        <f>IFERROR(Model!AA30/Model!W30-1,"NA")</f>
        <v>0.16666666666666674</v>
      </c>
      <c r="AB30" s="1383">
        <f>IFERROR(Model!AB30/Model!X30-1,"NA")</f>
        <v>0.23529411764705865</v>
      </c>
      <c r="AC30" s="1383">
        <f>IFERROR(Model!AC30/Model!Y30-1,"NA")</f>
        <v>0.26771653543307083</v>
      </c>
      <c r="AD30" s="1383">
        <f>IFERROR(Model!AD30/Model!Z30-1,"NA")</f>
        <v>0.19718309859154926</v>
      </c>
      <c r="AE30" s="1383">
        <f>IFERROR(Model!AE30/Model!AA30-1,"NA")</f>
        <v>0.24060150375939826</v>
      </c>
      <c r="AF30" s="1383">
        <f>IFERROR(Model!AF30/Model!AB30-1,"NA")</f>
        <v>0.15476190476190488</v>
      </c>
      <c r="AG30" s="1383">
        <f>IFERROR(Model!AG30/Model!AC30-1,"NA")</f>
        <v>0.25465838509316763</v>
      </c>
      <c r="AH30" s="1383">
        <f>IFERROR(Model!AH30/Model!AD30-1,"NA")</f>
        <v>0.20588235294117641</v>
      </c>
      <c r="AI30" s="1384">
        <f>IFERROR(Model!AI30/Model!AE30-1,"NA")</f>
        <v>0.18787878787878798</v>
      </c>
      <c r="AJ30" s="1744"/>
      <c r="AK30" s="1744"/>
      <c r="AL30" s="1744"/>
      <c r="AM30" s="1744"/>
      <c r="AN30" s="1744"/>
      <c r="AO30" s="1744"/>
      <c r="AP30" s="1744"/>
      <c r="AQ30" s="1744"/>
      <c r="AR30" s="1236"/>
      <c r="AS30" s="1385"/>
      <c r="AT30" s="1386"/>
      <c r="AU30" s="1383"/>
      <c r="AV30" s="1383">
        <f>IFERROR(Model!AV30/Model!AU30-1,"NA")</f>
        <v>0.15760869565217384</v>
      </c>
      <c r="AW30" s="1383">
        <f>IFERROR(Model!AW30/Model!AV30-1,"NA")</f>
        <v>-0.44835680751173701</v>
      </c>
      <c r="AX30" s="1383">
        <f>IFERROR(Model!AX30/Model!AW30-1,"NA")</f>
        <v>1.2851063829787233</v>
      </c>
      <c r="AY30" s="1383">
        <f>IFERROR(Model!AY30/Model!AX30-1,"NA")</f>
        <v>-0.11731843575418988</v>
      </c>
      <c r="AZ30" s="1383">
        <f>IFERROR(Model!AZ30/Model!AY30-1,"NA")</f>
        <v>0.13502109704641341</v>
      </c>
      <c r="BA30" s="1383">
        <f>IFERROR(Model!BA30/Model!AZ30-1,"NA")</f>
        <v>0.2360594795539035</v>
      </c>
      <c r="BB30" s="1383">
        <f>IFERROR(Model!BB30/Model!BA30-1,"NA")</f>
        <v>0.19849624060150362</v>
      </c>
      <c r="BC30" s="1383">
        <f>IFERROR(Model!BC30/Model!BB30-1,"NA")</f>
        <v>0.16687578419071536</v>
      </c>
      <c r="BD30" s="1383">
        <f>IFERROR(Model!BD30/Model!BC30-1,"NA")</f>
        <v>0.12258064516129008</v>
      </c>
      <c r="BE30" s="1384">
        <f>IFERROR(Model!BE30/Model!BD30-1,"NA")</f>
        <v>8.2375478927203094E-2</v>
      </c>
    </row>
    <row r="31" spans="1:69" ht="12" thickBot="1" x14ac:dyDescent="0.25">
      <c r="A31" s="830"/>
      <c r="B31" s="933" t="s">
        <v>401</v>
      </c>
      <c r="C31" s="934"/>
      <c r="D31" s="1387"/>
      <c r="E31" s="1387"/>
      <c r="F31" s="1387"/>
      <c r="G31" s="1387"/>
      <c r="H31" s="1387">
        <f>IFERROR(Model!H31/Model!D31-1,"NA")</f>
        <v>0.28723404255319163</v>
      </c>
      <c r="I31" s="1387">
        <f>IFERROR(Model!I31/Model!E31-1,"NA")</f>
        <v>0.42553191489361719</v>
      </c>
      <c r="J31" s="1387">
        <f>IFERROR(Model!J31/Model!F31-1,"NA")</f>
        <v>5.3125</v>
      </c>
      <c r="K31" s="1387">
        <f>IFERROR(Model!K31/Model!G31-1,"NA")</f>
        <v>1.0263157894736841</v>
      </c>
      <c r="L31" s="1387">
        <f>IFERROR(Model!L31/Model!H31-1,"NA")</f>
        <v>1.6528925619834656E-2</v>
      </c>
      <c r="M31" s="1387">
        <f>IFERROR(Model!M31/Model!I31-1,"NA")</f>
        <v>-0.97761194029850751</v>
      </c>
      <c r="N31" s="1387">
        <f>IFERROR(Model!N31/Model!J31-1,"NA")</f>
        <v>-0.12871287128712872</v>
      </c>
      <c r="O31" s="1387">
        <f>IFERROR(Model!O31/Model!K31-1,"NA")</f>
        <v>-0.92207792207792205</v>
      </c>
      <c r="P31" s="1387">
        <f>IFERROR(Model!P31/Model!L31-1,"NA")</f>
        <v>0.22764227642276436</v>
      </c>
      <c r="Q31" s="1387">
        <f>IFERROR(Model!Q31/Model!M31-1,"NA")</f>
        <v>49.333333333333336</v>
      </c>
      <c r="R31" s="1387">
        <f>IFERROR(Model!R31/Model!N31-1,"NA")</f>
        <v>0.54545454545454564</v>
      </c>
      <c r="S31" s="1387">
        <f>IFERROR(Model!S31/Model!O31-1,"NA")</f>
        <v>16</v>
      </c>
      <c r="T31" s="1387">
        <f>IFERROR(Model!T31/Model!P31-1,"NA")</f>
        <v>-0.27152317880794696</v>
      </c>
      <c r="U31" s="1387">
        <f>IFERROR(Model!U31/Model!Q31-1,"NA")</f>
        <v>-0.17880794701986757</v>
      </c>
      <c r="V31" s="1387">
        <f>IFERROR(Model!V31/Model!R31-1,"NA")</f>
        <v>-8.8235294117647078E-2</v>
      </c>
      <c r="W31" s="1387">
        <f>IFERROR(Model!W31/Model!S31-1,"NA")</f>
        <v>0.11764705882352922</v>
      </c>
      <c r="X31" s="1387">
        <f>IFERROR(Model!X31/Model!T31-1,"NA")</f>
        <v>0.22727272727272729</v>
      </c>
      <c r="Y31" s="1387">
        <f>IFERROR(Model!Y31/Model!U31-1,"NA")</f>
        <v>3.2258064516129004E-2</v>
      </c>
      <c r="Z31" s="1387">
        <f>IFERROR(Model!Z31/Model!V31-1,"NA")</f>
        <v>0.14516129032258052</v>
      </c>
      <c r="AA31" s="1387">
        <f>IFERROR(Model!AA31/Model!W31-1,"NA")</f>
        <v>-7.4736842105263159</v>
      </c>
      <c r="AB31" s="1387">
        <f>IFERROR(Model!AB31/Model!X31-1,"NA")</f>
        <v>0.24444444444444424</v>
      </c>
      <c r="AC31" s="1387">
        <f>IFERROR(Model!AC31/Model!Y31-1,"NA")</f>
        <v>0.2578125</v>
      </c>
      <c r="AD31" s="1387">
        <f>IFERROR(Model!AD31/Model!Z31-1,"NA")</f>
        <v>0.19718309859154926</v>
      </c>
      <c r="AE31" s="1387">
        <f>IFERROR(Model!AE31/Model!AA31-1,"NA")</f>
        <v>-1.2235772357723578</v>
      </c>
      <c r="AF31" s="1387">
        <f>IFERROR(Model!AF31/Model!AB31-1,"NA")</f>
        <v>0.15476190476190488</v>
      </c>
      <c r="AG31" s="1387">
        <f>IFERROR(Model!AG31/Model!AC31-1,"NA")</f>
        <v>0.25465838509316763</v>
      </c>
      <c r="AH31" s="1387">
        <f>IFERROR(Model!AH31/Model!AD31-1,"NA")</f>
        <v>0.20588235294117641</v>
      </c>
      <c r="AI31" s="1388">
        <f>IFERROR(Model!AI31/Model!AE31-1,"NA")</f>
        <v>0.18787878787878798</v>
      </c>
      <c r="AJ31" s="1744"/>
      <c r="AK31" s="1744"/>
      <c r="AL31" s="1744"/>
      <c r="AM31" s="1744"/>
      <c r="AN31" s="1744"/>
      <c r="AO31" s="1744"/>
      <c r="AP31" s="1744"/>
      <c r="AQ31" s="1744"/>
      <c r="AR31" s="1236"/>
      <c r="AS31" s="1389"/>
      <c r="AT31" s="1390"/>
      <c r="AU31" s="1387"/>
      <c r="AV31" s="1387">
        <f>IFERROR(Model!AV31/Model!AU31-1,"NA")</f>
        <v>0.78600823045267476</v>
      </c>
      <c r="AW31" s="1387">
        <f>IFERROR(Model!AW31/Model!AV31-1,"NA")</f>
        <v>-0.49308755760368661</v>
      </c>
      <c r="AX31" s="1387">
        <f>IFERROR(Model!AX31/Model!AW31-1,"NA")</f>
        <v>1.4545454545454546</v>
      </c>
      <c r="AY31" s="1387">
        <f>IFERROR(Model!AY31/Model!AX31-1,"NA")</f>
        <v>-0.125925925925926</v>
      </c>
      <c r="AZ31" s="1387">
        <f>IFERROR(Model!AZ31/Model!AY31-1,"NA")</f>
        <v>-1.6419491525423728</v>
      </c>
      <c r="BA31" s="1387">
        <f>IFERROR(Model!BA31/Model!AZ31-1,"NA")</f>
        <v>-3.1914191419141913</v>
      </c>
      <c r="BB31" s="1387">
        <f>IFERROR(Model!BB31/Model!BA31-1,"NA")</f>
        <v>0.20030120481927716</v>
      </c>
      <c r="BC31" s="1387">
        <f>IFERROR(Model!BC31/Model!BB31-1,"NA")</f>
        <v>0.16687578419071536</v>
      </c>
      <c r="BD31" s="1387">
        <f>IFERROR(Model!BD31/Model!BC31-1,"NA")</f>
        <v>0.12258064516129008</v>
      </c>
      <c r="BE31" s="1388">
        <f>IFERROR(Model!BE31/Model!BD31-1,"NA")</f>
        <v>8.2375478927203094E-2</v>
      </c>
    </row>
    <row r="32" spans="1:69" x14ac:dyDescent="0.2">
      <c r="C32" s="59"/>
      <c r="D32" s="407"/>
      <c r="E32" s="407"/>
      <c r="F32" s="407"/>
      <c r="G32" s="407"/>
      <c r="H32" s="407"/>
      <c r="I32" s="407"/>
      <c r="J32" s="407"/>
      <c r="K32" s="407"/>
      <c r="L32" s="407"/>
      <c r="M32" s="407"/>
      <c r="N32" s="407"/>
      <c r="O32" s="407"/>
      <c r="P32" s="407"/>
      <c r="Q32" s="407"/>
      <c r="R32" s="407"/>
      <c r="S32" s="407"/>
      <c r="T32" s="407"/>
      <c r="U32" s="407"/>
      <c r="V32" s="407"/>
      <c r="W32" s="407"/>
      <c r="X32" s="407"/>
      <c r="Y32" s="407"/>
      <c r="Z32" s="407"/>
      <c r="AA32" s="407"/>
      <c r="AB32" s="407"/>
      <c r="AC32" s="407"/>
      <c r="AD32" s="407"/>
      <c r="AE32" s="407"/>
      <c r="AF32" s="407"/>
      <c r="AG32" s="407"/>
      <c r="AH32" s="407"/>
      <c r="AI32" s="407"/>
      <c r="AJ32" s="407"/>
      <c r="AK32" s="407"/>
      <c r="AL32" s="407"/>
      <c r="AM32" s="407"/>
      <c r="AN32" s="407"/>
      <c r="AO32" s="407"/>
      <c r="AP32" s="407"/>
      <c r="AQ32" s="407"/>
      <c r="AR32" s="1236"/>
      <c r="AS32" s="1382"/>
      <c r="AT32" s="1329"/>
      <c r="AU32" s="1236"/>
      <c r="AV32" s="1236"/>
      <c r="AW32" s="1236"/>
      <c r="AX32" s="1236"/>
      <c r="AY32" s="1236"/>
      <c r="AZ32" s="1236"/>
      <c r="BA32" s="1236"/>
      <c r="BB32" s="1236"/>
      <c r="BC32" s="1236"/>
      <c r="BD32" s="1236"/>
      <c r="BE32" s="1236"/>
    </row>
    <row r="33" spans="1:57" x14ac:dyDescent="0.2">
      <c r="D33" s="407"/>
      <c r="E33" s="407"/>
      <c r="F33" s="407"/>
      <c r="G33" s="407"/>
      <c r="H33" s="407"/>
      <c r="I33" s="407"/>
      <c r="J33" s="407"/>
      <c r="K33" s="407"/>
      <c r="L33" s="407"/>
      <c r="M33" s="407"/>
      <c r="N33" s="407"/>
      <c r="O33" s="407"/>
      <c r="P33" s="407"/>
      <c r="Q33" s="407"/>
      <c r="R33" s="407"/>
      <c r="S33" s="407"/>
      <c r="T33" s="407"/>
      <c r="U33" s="407"/>
      <c r="V33" s="407"/>
      <c r="W33" s="407"/>
      <c r="X33" s="407"/>
      <c r="Y33" s="407"/>
      <c r="Z33" s="407"/>
      <c r="AA33" s="407"/>
      <c r="AB33" s="407"/>
      <c r="AC33" s="407"/>
      <c r="AD33" s="407"/>
      <c r="AE33" s="407"/>
      <c r="AF33" s="407"/>
      <c r="AG33" s="407"/>
      <c r="AH33" s="407"/>
      <c r="AI33" s="407"/>
      <c r="AJ33" s="407"/>
      <c r="AK33" s="407"/>
      <c r="AL33" s="407"/>
      <c r="AM33" s="407"/>
      <c r="AN33" s="407"/>
      <c r="AO33" s="407"/>
      <c r="AP33" s="407"/>
      <c r="AQ33" s="407"/>
      <c r="AR33" s="1236"/>
      <c r="AS33" s="1382"/>
      <c r="AT33" s="407"/>
      <c r="AU33" s="1236"/>
      <c r="AV33" s="1236"/>
      <c r="AW33" s="1236"/>
      <c r="AX33" s="1236"/>
      <c r="AY33" s="1236"/>
      <c r="AZ33" s="1236"/>
      <c r="BA33" s="1236"/>
      <c r="BB33" s="1236"/>
      <c r="BC33" s="1236"/>
      <c r="BD33" s="1236"/>
      <c r="BE33" s="1236"/>
    </row>
    <row r="34" spans="1:57" x14ac:dyDescent="0.2">
      <c r="A34" s="411" t="s">
        <v>194</v>
      </c>
      <c r="B34" s="13" t="s">
        <v>176</v>
      </c>
      <c r="C34" s="13"/>
      <c r="D34" s="1369"/>
      <c r="E34" s="1369"/>
      <c r="F34" s="1369"/>
      <c r="G34" s="1369"/>
      <c r="H34" s="1369"/>
      <c r="I34" s="1369"/>
      <c r="J34" s="1369"/>
      <c r="K34" s="1369"/>
      <c r="L34" s="1369"/>
      <c r="M34" s="1369"/>
      <c r="N34" s="1369"/>
      <c r="O34" s="1369"/>
      <c r="P34" s="1369"/>
      <c r="Q34" s="1369"/>
      <c r="R34" s="1369"/>
      <c r="S34" s="1369"/>
      <c r="T34" s="1369"/>
      <c r="U34" s="1369"/>
      <c r="V34" s="1369"/>
      <c r="W34" s="1369"/>
      <c r="X34" s="1369"/>
      <c r="Y34" s="1369"/>
      <c r="Z34" s="1369"/>
      <c r="AA34" s="1369"/>
      <c r="AB34" s="1369"/>
      <c r="AC34" s="1369"/>
      <c r="AD34" s="1369"/>
      <c r="AE34" s="1369"/>
      <c r="AF34" s="1369"/>
      <c r="AG34" s="1369"/>
      <c r="AH34" s="1369"/>
      <c r="AI34" s="1369"/>
      <c r="AJ34" s="1369"/>
      <c r="AK34" s="1369"/>
      <c r="AL34" s="1369"/>
      <c r="AM34" s="1369"/>
      <c r="AN34" s="1369"/>
      <c r="AO34" s="1369"/>
      <c r="AP34" s="1369"/>
      <c r="AQ34" s="1369"/>
      <c r="AR34" s="1236"/>
      <c r="AS34" s="1370"/>
      <c r="AT34" s="1370"/>
      <c r="AU34" s="1370"/>
      <c r="AV34" s="1370"/>
      <c r="AW34" s="1370"/>
      <c r="AX34" s="1370"/>
      <c r="AY34" s="1370"/>
      <c r="AZ34" s="1370"/>
      <c r="BA34" s="1370"/>
      <c r="BB34" s="1370"/>
      <c r="BC34" s="1370"/>
      <c r="BD34" s="1370"/>
      <c r="BE34" s="1370"/>
    </row>
    <row r="35" spans="1:57" x14ac:dyDescent="0.2">
      <c r="B35" s="16"/>
      <c r="C35" s="16"/>
      <c r="D35" s="1250"/>
      <c r="E35" s="1250"/>
      <c r="F35" s="1250"/>
      <c r="G35" s="1250"/>
      <c r="H35" s="1250"/>
      <c r="I35" s="1250"/>
      <c r="J35" s="1250"/>
      <c r="K35" s="1250"/>
      <c r="L35" s="1250"/>
      <c r="M35" s="1250"/>
      <c r="N35" s="1250"/>
      <c r="O35" s="1250"/>
      <c r="P35" s="1250"/>
      <c r="Q35" s="1250"/>
      <c r="R35" s="1250"/>
      <c r="S35" s="1250"/>
      <c r="T35" s="1250"/>
      <c r="U35" s="1250"/>
      <c r="V35" s="1250"/>
      <c r="W35" s="1250"/>
      <c r="X35" s="1250"/>
      <c r="Y35" s="1250"/>
      <c r="Z35" s="1250"/>
      <c r="AA35" s="1250"/>
      <c r="AB35" s="1250"/>
      <c r="AC35" s="1250"/>
      <c r="AD35" s="1250"/>
      <c r="AE35" s="1250"/>
      <c r="AF35" s="1250"/>
      <c r="AG35" s="1250"/>
      <c r="AH35" s="1250"/>
      <c r="AI35" s="1250"/>
      <c r="AJ35" s="1250"/>
      <c r="AK35" s="1250"/>
      <c r="AL35" s="1250"/>
      <c r="AM35" s="1250"/>
      <c r="AN35" s="1250"/>
      <c r="AO35" s="1250"/>
      <c r="AP35" s="1250"/>
      <c r="AQ35" s="1250"/>
      <c r="AR35" s="1236"/>
      <c r="AS35" s="1371"/>
      <c r="AT35" s="1371"/>
      <c r="AU35" s="1236"/>
      <c r="AV35" s="1236"/>
      <c r="AW35" s="1236"/>
      <c r="AX35" s="1236"/>
      <c r="AY35" s="1236"/>
      <c r="AZ35" s="1236"/>
      <c r="BA35" s="1236"/>
      <c r="BB35" s="1236"/>
      <c r="BC35" s="1236"/>
      <c r="BD35" s="1236"/>
      <c r="BE35" s="1236"/>
    </row>
    <row r="36" spans="1:57" x14ac:dyDescent="0.2">
      <c r="B36" s="16" t="s">
        <v>640</v>
      </c>
      <c r="C36" s="16"/>
      <c r="D36" s="1250"/>
      <c r="E36" s="1250"/>
      <c r="F36" s="1250"/>
      <c r="G36" s="1250"/>
      <c r="H36" s="1250"/>
      <c r="I36" s="1250"/>
      <c r="J36" s="1250"/>
      <c r="K36" s="1250"/>
      <c r="L36" s="1250"/>
      <c r="M36" s="1250"/>
      <c r="N36" s="1250"/>
      <c r="O36" s="1250"/>
      <c r="P36" s="1250"/>
      <c r="Q36" s="1250"/>
      <c r="R36" s="1250"/>
      <c r="S36" s="1250"/>
      <c r="T36" s="1250"/>
      <c r="U36" s="1250"/>
      <c r="V36" s="1250"/>
      <c r="W36" s="1250"/>
      <c r="X36" s="1250"/>
      <c r="Y36" s="1250"/>
      <c r="Z36" s="1250"/>
      <c r="AA36" s="1250"/>
      <c r="AB36" s="1250"/>
      <c r="AC36" s="1250"/>
      <c r="AD36" s="1250"/>
      <c r="AE36" s="1250"/>
      <c r="AF36" s="1250"/>
      <c r="AG36" s="1250"/>
      <c r="AH36" s="1250"/>
      <c r="AI36" s="1250"/>
      <c r="AJ36" s="1250"/>
      <c r="AK36" s="1250"/>
      <c r="AL36" s="1250"/>
      <c r="AM36" s="1250"/>
      <c r="AN36" s="1250"/>
      <c r="AO36" s="1250"/>
      <c r="AP36" s="1250"/>
      <c r="AQ36" s="1250"/>
      <c r="AR36" s="1236"/>
      <c r="AS36" s="1371"/>
      <c r="AT36" s="1371"/>
      <c r="AU36" s="1236"/>
      <c r="AV36" s="1236"/>
      <c r="AW36" s="1236"/>
      <c r="AX36" s="1236"/>
      <c r="AY36" s="1236"/>
      <c r="AZ36" s="1236"/>
      <c r="BA36" s="1236"/>
      <c r="BB36" s="1236"/>
      <c r="BC36" s="1236"/>
      <c r="BD36" s="1236"/>
      <c r="BE36" s="1236"/>
    </row>
    <row r="37" spans="1:57" x14ac:dyDescent="0.2">
      <c r="B37" s="16"/>
      <c r="C37" s="17" t="s">
        <v>100</v>
      </c>
      <c r="D37" s="1250"/>
      <c r="E37" s="1250"/>
      <c r="F37" s="1250"/>
      <c r="G37" s="1250"/>
      <c r="H37" s="1250">
        <f>IFERROR(Model!H37/Model!D37-1,"NA")</f>
        <v>5.9889434889435211E-3</v>
      </c>
      <c r="I37" s="1250">
        <f>IFERROR(Model!I37/Model!E37-1,"NA")</f>
        <v>1.3640639698965229E-2</v>
      </c>
      <c r="J37" s="1250">
        <f>IFERROR(Model!J37/Model!F37-1,"NA")</f>
        <v>-4.1221374045801173E-3</v>
      </c>
      <c r="K37" s="1250">
        <f>IFERROR(Model!K37/Model!G37-1,"NA")</f>
        <v>1.1549422528873476E-2</v>
      </c>
      <c r="L37" s="1250">
        <f>IFERROR(Model!L37/Model!H37-1,"NA")</f>
        <v>-4.2741566173103429E-3</v>
      </c>
      <c r="M37" s="1250">
        <f>IFERROR(Model!M37/Model!I37-1,"NA")</f>
        <v>2.6295436968290842E-2</v>
      </c>
      <c r="N37" s="1250">
        <f>IFERROR(Model!N37/Model!J37-1,"NA")</f>
        <v>4.7524145331902412E-2</v>
      </c>
      <c r="O37" s="1250">
        <f>IFERROR(Model!O37/Model!K37-1,"NA")</f>
        <v>9.3416370106762514E-3</v>
      </c>
      <c r="P37" s="1250">
        <f>IFERROR(Model!P37/Model!L37-1,"NA")</f>
        <v>-1.8856354438141931E-2</v>
      </c>
      <c r="Q37" s="1250">
        <f>IFERROR(Model!Q37/Model!M37-1,"NA")</f>
        <v>-3.4815373021853779E-2</v>
      </c>
      <c r="R37" s="1250">
        <f>IFERROR(Model!R37/Model!N37-1,"NA")</f>
        <v>-5.4588028684326106E-2</v>
      </c>
      <c r="S37" s="1250">
        <f>IFERROR(Model!S37/Model!O37-1,"NA")</f>
        <v>-4.6863522844131089E-2</v>
      </c>
      <c r="T37" s="1250">
        <f>IFERROR(Model!T37/Model!P37-1,"NA")</f>
        <v>-7.4999999999999512E-3</v>
      </c>
      <c r="U37" s="1250">
        <f>IFERROR(Model!U37/Model!Q37-1,"NA")</f>
        <v>-1.499063085571517E-2</v>
      </c>
      <c r="V37" s="1250">
        <f>IFERROR(Model!V37/Model!R37-1,"NA")</f>
        <v>3.854489164086683E-2</v>
      </c>
      <c r="W37" s="1250">
        <f>IFERROR(Model!W37/Model!S37-1,"NA")</f>
        <v>2.5893958076448786E-2</v>
      </c>
      <c r="X37" s="1250">
        <f>IFERROR(Model!X37/Model!T37-1,"NA")</f>
        <v>3.5736775818639765E-2</v>
      </c>
      <c r="Y37" s="1250">
        <f>IFERROR(Model!Y37/Model!U37-1,"NA")</f>
        <v>7.1655041217501658E-2</v>
      </c>
      <c r="Z37" s="1250">
        <f>IFERROR(Model!Z37/Model!V37-1,"NA")</f>
        <v>5.3957370696079865E-2</v>
      </c>
      <c r="AA37" s="1250">
        <f>IFERROR(Model!AA37/Model!W37-1,"NA")</f>
        <v>5.3936298076923128E-2</v>
      </c>
      <c r="AB37" s="1250">
        <f>IFERROR(Model!AB37/Model!X37-1,"NA")</f>
        <v>6.0951512387900975E-2</v>
      </c>
      <c r="AC37" s="1250">
        <f>IFERROR(Model!AC37/Model!Y37-1,"NA")</f>
        <v>4.2286543993677483E-2</v>
      </c>
      <c r="AD37" s="1250">
        <f>IFERROR(Model!AD37/Model!Z37-1,"NA")</f>
        <v>3.2509128369977436E-2</v>
      </c>
      <c r="AE37" s="1250">
        <f>IFERROR(Model!AE37/Model!AA37-1,"NA")</f>
        <v>5.8677058046440633E-2</v>
      </c>
      <c r="AF37" s="1250">
        <f>IFERROR(Model!AF37/Model!AB37-1,"NA")</f>
        <v>3.8050907765089459E-2</v>
      </c>
      <c r="AG37" s="1250">
        <f>IFERROR(Model!AG37/Model!AC37-1,"NA")</f>
        <v>5.1757550295904231E-2</v>
      </c>
      <c r="AH37" s="1250">
        <f>IFERROR(Model!AH37/Model!AD37-1,"NA")</f>
        <v>4.75672485673726E-2</v>
      </c>
      <c r="AI37" s="1250">
        <f>IFERROR(Model!AI37/Model!AE37-1,"NA")</f>
        <v>5.1181743682543024E-2</v>
      </c>
      <c r="AJ37" s="1250"/>
      <c r="AK37" s="1250"/>
      <c r="AL37" s="1250"/>
      <c r="AM37" s="1250"/>
      <c r="AN37" s="1250"/>
      <c r="AO37" s="1250"/>
      <c r="AP37" s="1250"/>
      <c r="AQ37" s="1250"/>
      <c r="AR37" s="1236"/>
      <c r="AS37" s="1371"/>
      <c r="AT37" s="1372"/>
      <c r="AU37" s="1250"/>
      <c r="AV37" s="1250">
        <f>IFERROR(Model!AV37/Model!AU37-1,"NA")</f>
        <v>6.7414869575210812E-3</v>
      </c>
      <c r="AW37" s="1250">
        <f>IFERROR(Model!AW37/Model!AV37-1,"NA")</f>
        <v>1.9594414640642155E-2</v>
      </c>
      <c r="AX37" s="1250">
        <f>IFERROR(Model!AX37/Model!AW37-1,"NA")</f>
        <v>-3.9032763639077594E-2</v>
      </c>
      <c r="AY37" s="1250">
        <f>IFERROR(Model!AY37/Model!AX37-1,"NA")</f>
        <v>1.0601118359738981E-2</v>
      </c>
      <c r="AZ37" s="1250">
        <f>IFERROR(Model!AZ37/Model!AY37-1,"NA")</f>
        <v>5.3794428434197794E-2</v>
      </c>
      <c r="BA37" s="1250">
        <f>IFERROR(Model!BA37/Model!AZ37-1,"NA")</f>
        <v>4.8435684459330997E-2</v>
      </c>
      <c r="BB37" s="1250">
        <f>IFERROR(Model!BB37/Model!BA37-1,"NA")</f>
        <v>4.7217504547256484E-2</v>
      </c>
      <c r="BC37" s="1250">
        <f>IFERROR(Model!BC37/Model!BB37-1,"NA")</f>
        <v>4.7064120306592905E-2</v>
      </c>
      <c r="BD37" s="1250">
        <f>IFERROR(Model!BD37/Model!BC37-1,"NA")</f>
        <v>4.5198756251290328E-2</v>
      </c>
      <c r="BE37" s="1250">
        <f>IFERROR(Model!BE37/Model!BD37-1,"NA")</f>
        <v>3.9889005505099995E-2</v>
      </c>
    </row>
    <row r="38" spans="1:57" x14ac:dyDescent="0.2">
      <c r="B38" s="16"/>
      <c r="C38" s="17" t="s">
        <v>182</v>
      </c>
      <c r="D38" s="1250"/>
      <c r="E38" s="1250"/>
      <c r="F38" s="1250"/>
      <c r="G38" s="1250"/>
      <c r="H38" s="1250">
        <f>IFERROR(Model!H38/Model!D38-1,"NA")</f>
        <v>-1.3740458015267132E-2</v>
      </c>
      <c r="I38" s="1250">
        <f>IFERROR(Model!I38/Model!E38-1,"NA")</f>
        <v>2.3094688221708903E-2</v>
      </c>
      <c r="J38" s="1250">
        <f>IFERROR(Model!J38/Model!F38-1,"NA")</f>
        <v>-5.3641732283464583E-2</v>
      </c>
      <c r="K38" s="1250">
        <f>IFERROR(Model!K38/Model!G38-1,"NA")</f>
        <v>-6.7346454825705448E-2</v>
      </c>
      <c r="L38" s="1250">
        <f>IFERROR(Model!L38/Model!H38-1,"NA")</f>
        <v>-4.6439628482972672E-3</v>
      </c>
      <c r="M38" s="1250">
        <f>IFERROR(Model!M38/Model!I38-1,"NA")</f>
        <v>-3.2605969400551826E-2</v>
      </c>
      <c r="N38" s="1250">
        <f>IFERROR(Model!N38/Model!J38-1,"NA")</f>
        <v>5.3042121684867327E-2</v>
      </c>
      <c r="O38" s="1250">
        <f>IFERROR(Model!O38/Model!K38-1,"NA")</f>
        <v>4.1444190185608853E-2</v>
      </c>
      <c r="P38" s="1250">
        <f>IFERROR(Model!P38/Model!L38-1,"NA")</f>
        <v>-2.5142560912389866E-2</v>
      </c>
      <c r="Q38" s="1250">
        <f>IFERROR(Model!Q38/Model!M38-1,"NA")</f>
        <v>3.8631060409644702E-2</v>
      </c>
      <c r="R38" s="1250">
        <f>IFERROR(Model!R38/Model!N38-1,"NA")</f>
        <v>-1.6049382716049387E-2</v>
      </c>
      <c r="S38" s="1250">
        <f>IFERROR(Model!S38/Model!O38-1,"NA")</f>
        <v>-4.39453125E-2</v>
      </c>
      <c r="T38" s="1250">
        <f>IFERROR(Model!T38/Model!P38-1,"NA")</f>
        <v>5.9558628024461546E-2</v>
      </c>
      <c r="U38" s="1250">
        <f>IFERROR(Model!U38/Model!Q38-1,"NA")</f>
        <v>2.546180728906644E-2</v>
      </c>
      <c r="V38" s="1250">
        <f>IFERROR(Model!V38/Model!R38-1,"NA")</f>
        <v>1.9824341279799151E-2</v>
      </c>
      <c r="W38" s="1250">
        <f>IFERROR(Model!W38/Model!S38-1,"NA")</f>
        <v>5.3626149131766887E-3</v>
      </c>
      <c r="X38" s="1250">
        <f>IFERROR(Model!X38/Model!T38-1,"NA")</f>
        <v>-4.1907151819322475E-2</v>
      </c>
      <c r="Y38" s="1250">
        <f>IFERROR(Model!Y38/Model!U38-1,"NA")</f>
        <v>-2.6046738072054487E-2</v>
      </c>
      <c r="Z38" s="1250">
        <f>IFERROR(Model!Z38/Model!V38-1,"NA")</f>
        <v>-2.8543307086614123E-2</v>
      </c>
      <c r="AA38" s="1250">
        <f>IFERROR(Model!AA38/Model!W38-1,"NA")</f>
        <v>-1.7272034544069115E-2</v>
      </c>
      <c r="AB38" s="1250">
        <f>IFERROR(Model!AB38/Model!X38-1,"NA")</f>
        <v>-4.295442640125724E-2</v>
      </c>
      <c r="AC38" s="1250">
        <f>IFERROR(Model!AC38/Model!Y38-1,"NA")</f>
        <v>-8.8538961150121942E-3</v>
      </c>
      <c r="AD38" s="1250">
        <f>IFERROR(Model!AD38/Model!Z38-1,"NA")</f>
        <v>4.1925540658700022E-2</v>
      </c>
      <c r="AE38" s="1250">
        <f>IFERROR(Model!AE38/Model!AA38-1,"NA")</f>
        <v>0.11395956011995589</v>
      </c>
      <c r="AF38" s="1250">
        <f>IFERROR(Model!AF38/Model!AB38-1,"NA")</f>
        <v>0.20145997712328745</v>
      </c>
      <c r="AG38" s="1250">
        <f>IFERROR(Model!AG38/Model!AC38-1,"NA")</f>
        <v>0.15339959684782589</v>
      </c>
      <c r="AH38" s="1250">
        <f>IFERROR(Model!AH38/Model!AD38-1,"NA")</f>
        <v>0.17551635645161268</v>
      </c>
      <c r="AI38" s="1250">
        <f>IFERROR(Model!AI38/Model!AE38-1,"NA")</f>
        <v>0.17277328906249956</v>
      </c>
      <c r="AJ38" s="1250"/>
      <c r="AK38" s="1250"/>
      <c r="AL38" s="1250"/>
      <c r="AM38" s="1250"/>
      <c r="AN38" s="1250"/>
      <c r="AO38" s="1250"/>
      <c r="AP38" s="1250"/>
      <c r="AQ38" s="1250"/>
      <c r="AR38" s="1236"/>
      <c r="AS38" s="1371"/>
      <c r="AT38" s="1372"/>
      <c r="AU38" s="1250"/>
      <c r="AV38" s="1250">
        <f>IFERROR(Model!AV38/Model!AU38-1,"NA")</f>
        <v>-2.8929724360566178E-2</v>
      </c>
      <c r="AW38" s="1250">
        <f>IFERROR(Model!AW38/Model!AV38-1,"NA")</f>
        <v>1.4000767165324168E-2</v>
      </c>
      <c r="AX38" s="1250">
        <f>IFERROR(Model!AX38/Model!AW38-1,"NA")</f>
        <v>-1.2168211335981338E-2</v>
      </c>
      <c r="AY38" s="1250">
        <f>IFERROR(Model!AY38/Model!AX38-1,"NA")</f>
        <v>2.7189175389328524E-2</v>
      </c>
      <c r="AZ38" s="1250">
        <f>IFERROR(Model!AZ38/Model!AY38-1,"NA")</f>
        <v>-2.845781036411088E-2</v>
      </c>
      <c r="BA38" s="1250">
        <f>IFERROR(Model!BA38/Model!AZ38-1,"NA")</f>
        <v>2.6030131380691657E-2</v>
      </c>
      <c r="BB38" s="1250">
        <f>IFERROR(Model!BB38/Model!BA38-1,"NA")</f>
        <v>0.17522151997129187</v>
      </c>
      <c r="BC38" s="1250">
        <f>IFERROR(Model!BC38/Model!BB38-1,"NA")</f>
        <v>0.1090565710775715</v>
      </c>
      <c r="BD38" s="1250">
        <f>IFERROR(Model!BD38/Model!BC38-1,"NA")</f>
        <v>9.057692307692311E-2</v>
      </c>
      <c r="BE38" s="1250">
        <f>IFERROR(Model!BE38/Model!BD38-1,"NA")</f>
        <v>8.0000000000000071E-2</v>
      </c>
    </row>
    <row r="39" spans="1:57" x14ac:dyDescent="0.2">
      <c r="B39" s="44"/>
      <c r="C39" s="29" t="s">
        <v>183</v>
      </c>
      <c r="D39" s="1246"/>
      <c r="E39" s="1246"/>
      <c r="F39" s="1246"/>
      <c r="G39" s="1246"/>
      <c r="H39" s="1246">
        <f>IFERROR(Model!H39/Model!D39-1,"NA")</f>
        <v>-5.5729984301412849E-2</v>
      </c>
      <c r="I39" s="1246">
        <f>IFERROR(Model!I39/Model!E39-1,"NA")</f>
        <v>0.151685393258427</v>
      </c>
      <c r="J39" s="1246">
        <f>IFERROR(Model!J39/Model!F39-1,"NA")</f>
        <v>4.1020966271649861E-2</v>
      </c>
      <c r="K39" s="1246">
        <f>IFERROR(Model!K39/Model!G39-1,"NA")</f>
        <v>0.25290697674418605</v>
      </c>
      <c r="L39" s="1246">
        <f>IFERROR(Model!L39/Model!H39-1,"NA")</f>
        <v>0.14546965918536992</v>
      </c>
      <c r="M39" s="1246">
        <f>IFERROR(Model!M39/Model!I39-1,"NA")</f>
        <v>0.1821138211382114</v>
      </c>
      <c r="N39" s="1246">
        <f>IFERROR(Model!N39/Model!J39-1,"NA")</f>
        <v>0.14185639229422065</v>
      </c>
      <c r="O39" s="1246">
        <f>IFERROR(Model!O39/Model!K39-1,"NA")</f>
        <v>-7.3472544470224332E-2</v>
      </c>
      <c r="P39" s="1246">
        <f>IFERROR(Model!P39/Model!L39-1,"NA")</f>
        <v>2.3947750362844689E-2</v>
      </c>
      <c r="Q39" s="1246">
        <f>IFERROR(Model!Q39/Model!M39-1,"NA")</f>
        <v>-2.8885832187070193E-2</v>
      </c>
      <c r="R39" s="1246">
        <f>IFERROR(Model!R39/Model!N39-1,"NA")</f>
        <v>1.8404907975460016E-2</v>
      </c>
      <c r="S39" s="1246">
        <f>IFERROR(Model!S39/Model!O39-1,"NA")</f>
        <v>-0.11602671118530883</v>
      </c>
      <c r="T39" s="1246">
        <f>IFERROR(Model!T39/Model!P39-1,"NA")</f>
        <v>-0.36924167257264351</v>
      </c>
      <c r="U39" s="1246">
        <f>IFERROR(Model!U39/Model!Q39-1,"NA")</f>
        <v>-0.41926345609065152</v>
      </c>
      <c r="V39" s="1246">
        <f>IFERROR(Model!V39/Model!R39-1,"NA")</f>
        <v>-0.46837349397590367</v>
      </c>
      <c r="W39" s="1246">
        <f>IFERROR(Model!W39/Model!S39-1,"NA")</f>
        <v>-0.46270066100094431</v>
      </c>
      <c r="X39" s="1246">
        <f>IFERROR(Model!X39/Model!T39-1,"NA")</f>
        <v>-0.37303370786516854</v>
      </c>
      <c r="Y39" s="1246">
        <f>IFERROR(Model!Y39/Model!U39-1,"NA")</f>
        <v>-0.39390243902439026</v>
      </c>
      <c r="Z39" s="1246">
        <f>IFERROR(Model!Z39/Model!V39-1,"NA")</f>
        <v>-0.26912181303116145</v>
      </c>
      <c r="AA39" s="1246">
        <f>IFERROR(Model!AA39/Model!W39-1,"NA")</f>
        <v>-0.24604569420035149</v>
      </c>
      <c r="AB39" s="1246">
        <f>IFERROR(Model!AB39/Model!X39-1,"NA")</f>
        <v>-3.5842293906810041E-2</v>
      </c>
      <c r="AC39" s="1246">
        <f>IFERROR(Model!AC39/Model!Y39-1,"NA")</f>
        <v>-0.23790854717345178</v>
      </c>
      <c r="AD39" s="1246">
        <f>IFERROR(Model!AD39/Model!Z39-1,"NA")</f>
        <v>-0.29769913985345653</v>
      </c>
      <c r="AE39" s="1246">
        <f>IFERROR(Model!AE39/Model!AA39-1,"NA")</f>
        <v>-0.20042332024140252</v>
      </c>
      <c r="AF39" s="1246">
        <f>IFERROR(Model!AF39/Model!AB39-1,"NA")</f>
        <v>-0.41656569109334418</v>
      </c>
      <c r="AG39" s="1246">
        <f>IFERROR(Model!AG39/Model!AC39-1,"NA")</f>
        <v>-0.21591928436018959</v>
      </c>
      <c r="AH39" s="1246">
        <f>IFERROR(Model!AH39/Model!AD39-1,"NA")</f>
        <v>-0.21733112226656981</v>
      </c>
      <c r="AI39" s="1246">
        <f>IFERROR(Model!AI39/Model!AE39-1,"NA")</f>
        <v>-0.21847340725132269</v>
      </c>
      <c r="AJ39" s="1236"/>
      <c r="AK39" s="1236"/>
      <c r="AL39" s="1236"/>
      <c r="AM39" s="1236"/>
      <c r="AN39" s="1236"/>
      <c r="AO39" s="1236"/>
      <c r="AP39" s="1236"/>
      <c r="AQ39" s="1236"/>
      <c r="AR39" s="1236"/>
      <c r="AS39" s="1391"/>
      <c r="AT39" s="1373"/>
      <c r="AU39" s="1246"/>
      <c r="AV39" s="1246">
        <f>IFERROR(Model!AV39/Model!AU39-1,"NA")</f>
        <v>8.8794453142473806E-2</v>
      </c>
      <c r="AW39" s="1246">
        <f>IFERROR(Model!AW39/Model!AV39-1,"NA")</f>
        <v>9.5727198027937499E-2</v>
      </c>
      <c r="AX39" s="1246">
        <f>IFERROR(Model!AX39/Model!AW39-1,"NA")</f>
        <v>-2.3247094113235889E-2</v>
      </c>
      <c r="AY39" s="1246">
        <f>IFERROR(Model!AY39/Model!AX39-1,"NA")</f>
        <v>-0.42706333973128596</v>
      </c>
      <c r="AZ39" s="1246">
        <f>IFERROR(Model!AZ39/Model!AY39-1,"NA")</f>
        <v>-0.32998324958123948</v>
      </c>
      <c r="BA39" s="1246">
        <f>IFERROR(Model!BA39/Model!AZ39-1,"NA")</f>
        <v>-0.18891745424657536</v>
      </c>
      <c r="BB39" s="1246">
        <f>IFERROR(Model!BB39/Model!BA39-1,"NA")</f>
        <v>-0.28332026011712297</v>
      </c>
      <c r="BC39" s="1246">
        <f>IFERROR(Model!BC39/Model!BB39-1,"NA")</f>
        <v>-0.21039171539309265</v>
      </c>
      <c r="BD39" s="1246">
        <f>IFERROR(Model!BD39/Model!BC39-1,"NA")</f>
        <v>-0.20825077733078334</v>
      </c>
      <c r="BE39" s="1246">
        <f>IFERROR(Model!BE39/Model!BD39-1,"NA")</f>
        <v>-0.20625256868807618</v>
      </c>
    </row>
    <row r="40" spans="1:57" x14ac:dyDescent="0.2">
      <c r="B40" s="16"/>
      <c r="C40" s="317" t="s">
        <v>641</v>
      </c>
      <c r="D40" s="1250"/>
      <c r="E40" s="1250"/>
      <c r="F40" s="1250"/>
      <c r="G40" s="1250"/>
      <c r="H40" s="1250">
        <f>IFERROR(Model!H40/Model!D40-1,"NA")</f>
        <v>-7.3403892113349523E-3</v>
      </c>
      <c r="I40" s="1250">
        <f>IFERROR(Model!I40/Model!E40-1,"NA")</f>
        <v>2.9886273472626179E-2</v>
      </c>
      <c r="J40" s="1250">
        <f>IFERROR(Model!J40/Model!F40-1,"NA")</f>
        <v>-1.7077960891469512E-2</v>
      </c>
      <c r="K40" s="1250">
        <f>IFERROR(Model!K40/Model!G40-1,"NA")</f>
        <v>4.5317220543805714E-3</v>
      </c>
      <c r="L40" s="1250">
        <f>IFERROR(Model!L40/Model!H40-1,"NA")</f>
        <v>1.1092003439380882E-2</v>
      </c>
      <c r="M40" s="1250">
        <f>IFERROR(Model!M40/Model!I40-1,"NA")</f>
        <v>2.2598870056497189E-2</v>
      </c>
      <c r="N40" s="1250">
        <f>IFERROR(Model!N40/Model!J40-1,"NA")</f>
        <v>5.8726435583354997E-2</v>
      </c>
      <c r="O40" s="1250">
        <f>IFERROR(Model!O40/Model!K40-1,"NA")</f>
        <v>1.0944026733500367E-2</v>
      </c>
      <c r="P40" s="1250">
        <f>IFERROR(Model!P40/Model!L40-1,"NA")</f>
        <v>-1.5902712815715647E-2</v>
      </c>
      <c r="Q40" s="1250">
        <f>IFERROR(Model!Q40/Model!M40-1,"NA")</f>
        <v>-1.0380043529214844E-2</v>
      </c>
      <c r="R40" s="1250">
        <f>IFERROR(Model!R40/Model!N40-1,"NA")</f>
        <v>-3.3970624435874286E-2</v>
      </c>
      <c r="S40" s="1250">
        <f>IFERROR(Model!S40/Model!O40-1,"NA")</f>
        <v>-5.2722915461532072E-2</v>
      </c>
      <c r="T40" s="1250">
        <f>IFERROR(Model!T40/Model!P40-1,"NA")</f>
        <v>-2.9813342550985111E-2</v>
      </c>
      <c r="U40" s="1250">
        <f>IFERROR(Model!U40/Model!Q40-1,"NA")</f>
        <v>-4.9568600913550975E-2</v>
      </c>
      <c r="V40" s="1250">
        <f>IFERROR(Model!V40/Model!R40-1,"NA")</f>
        <v>-2.4972394461904357E-2</v>
      </c>
      <c r="W40" s="1250">
        <f>IFERROR(Model!W40/Model!S40-1,"NA")</f>
        <v>-2.6258396580301824E-2</v>
      </c>
      <c r="X40" s="1250">
        <f>IFERROR(Model!X40/Model!T40-1,"NA")</f>
        <v>-2.4227309165404831E-2</v>
      </c>
      <c r="Y40" s="1250">
        <f>IFERROR(Model!Y40/Model!U40-1,"NA")</f>
        <v>1.9579921680312751E-3</v>
      </c>
      <c r="Z40" s="1250">
        <f>IFERROR(Model!Z40/Model!V40-1,"NA")</f>
        <v>4.878473734645894E-3</v>
      </c>
      <c r="AA40" s="1250">
        <f>IFERROR(Model!AA40/Model!W40-1,"NA")</f>
        <v>1.3528041569611071E-2</v>
      </c>
      <c r="AB40" s="1250">
        <f>IFERROR(Model!AB40/Model!X40-1,"NA")</f>
        <v>1.9808306709265144E-2</v>
      </c>
      <c r="AC40" s="1250">
        <f>IFERROR(Model!AC40/Model!Y40-1,"NA")</f>
        <v>1.1742054636337595E-2</v>
      </c>
      <c r="AD40" s="1250">
        <f>IFERROR(Model!AD40/Model!Z40-1,"NA")</f>
        <v>2.0960669706135526E-2</v>
      </c>
      <c r="AE40" s="1250">
        <f>IFERROR(Model!AE40/Model!AA40-1,"NA")</f>
        <v>6.775810977780683E-2</v>
      </c>
      <c r="AF40" s="1250">
        <f>IFERROR(Model!AF40/Model!AB40-1,"NA")</f>
        <v>6.9604166738327811E-2</v>
      </c>
      <c r="AG40" s="1250">
        <f>IFERROR(Model!AG40/Model!AC40-1,"NA")</f>
        <v>7.8243853886424963E-2</v>
      </c>
      <c r="AH40" s="1250">
        <f>IFERROR(Model!AH40/Model!AD40-1,"NA")</f>
        <v>8.4107426413785102E-2</v>
      </c>
      <c r="AI40" s="1250">
        <f>IFERROR(Model!AI40/Model!AE40-1,"NA")</f>
        <v>8.6907575638478729E-2</v>
      </c>
      <c r="AJ40" s="1250"/>
      <c r="AK40" s="1250"/>
      <c r="AL40" s="1250"/>
      <c r="AM40" s="1250"/>
      <c r="AN40" s="1250"/>
      <c r="AO40" s="1250"/>
      <c r="AP40" s="1250"/>
      <c r="AQ40" s="1250"/>
      <c r="AR40" s="1236"/>
      <c r="AS40" s="1371"/>
      <c r="AT40" s="1392"/>
      <c r="AU40" s="1250"/>
      <c r="AV40" s="1250">
        <f>IFERROR(Model!AV40/Model!AU40-1,"NA")</f>
        <v>2.2919076382641457E-3</v>
      </c>
      <c r="AW40" s="1250">
        <f>IFERROR(Model!AW40/Model!AV40-1,"NA")</f>
        <v>2.5644861410894837E-2</v>
      </c>
      <c r="AX40" s="1250">
        <f>IFERROR(Model!AX40/Model!AW40-1,"NA")</f>
        <v>-2.8399974996353605E-2</v>
      </c>
      <c r="AY40" s="1250">
        <f>IFERROR(Model!AY40/Model!AX40-1,"NA")</f>
        <v>-3.2725713060261619E-2</v>
      </c>
      <c r="AZ40" s="1250">
        <f>IFERROR(Model!AZ40/Model!AY40-1,"NA")</f>
        <v>-9.5335225257187073E-4</v>
      </c>
      <c r="BA40" s="1250">
        <f>IFERROR(Model!BA40/Model!AZ40-1,"NA")</f>
        <v>3.0126292627160822E-2</v>
      </c>
      <c r="BB40" s="1250">
        <f>IFERROR(Model!BB40/Model!BA40-1,"NA")</f>
        <v>7.9906665703024515E-2</v>
      </c>
      <c r="BC40" s="1250">
        <f>IFERROR(Model!BC40/Model!BB40-1,"NA")</f>
        <v>6.4409827906117378E-2</v>
      </c>
      <c r="BD40" s="1250">
        <f>IFERROR(Model!BD40/Model!BC40-1,"NA")</f>
        <v>5.8621852735626367E-2</v>
      </c>
      <c r="BE40" s="1250">
        <f>IFERROR(Model!BE40/Model!BD40-1,"NA")</f>
        <v>5.2915701716824914E-2</v>
      </c>
    </row>
    <row r="41" spans="1:57" x14ac:dyDescent="0.2">
      <c r="B41" s="16"/>
      <c r="C41" s="317" t="s">
        <v>638</v>
      </c>
      <c r="D41" s="1250"/>
      <c r="E41" s="1250"/>
      <c r="F41" s="1250"/>
      <c r="G41" s="1250"/>
      <c r="H41" s="1250">
        <f>IFERROR(Model!H41/Model!D41-1,"NA")</f>
        <v>-7.8481012658228044E-3</v>
      </c>
      <c r="I41" s="1250">
        <f>IFERROR(Model!I41/Model!E41-1,"NA")</f>
        <v>2.2925858638290553E-2</v>
      </c>
      <c r="J41" s="1250">
        <f>IFERROR(Model!J41/Model!F41-1,"NA")</f>
        <v>-2.0538720538720523E-2</v>
      </c>
      <c r="K41" s="1250">
        <f>IFERROR(Model!K41/Model!G41-1,"NA")</f>
        <v>3.9837330898828682E-3</v>
      </c>
      <c r="L41" s="1250">
        <f>IFERROR(Model!L41/Model!H41-1,"NA")</f>
        <v>1.1057242493833552E-2</v>
      </c>
      <c r="M41" s="1250">
        <f>IFERROR(Model!M41/Model!I41-1,"NA")</f>
        <v>2.0551420838971657E-2</v>
      </c>
      <c r="N41" s="1250">
        <f>IFERROR(Model!N41/Model!J41-1,"NA")</f>
        <v>5.8009625300790679E-2</v>
      </c>
      <c r="O41" s="1250">
        <f>IFERROR(Model!O41/Model!K41-1,"NA")</f>
        <v>1.058113581879816E-2</v>
      </c>
      <c r="P41" s="1250">
        <f>IFERROR(Model!P41/Model!L41-1,"NA")</f>
        <v>-1.6152098931605963E-2</v>
      </c>
      <c r="Q41" s="1250">
        <f>IFERROR(Model!Q41/Model!M41-1,"NA")</f>
        <v>-9.7787353940499422E-3</v>
      </c>
      <c r="R41" s="1250">
        <f>IFERROR(Model!R41/Model!N41-1,"NA")</f>
        <v>-3.4278287710177935E-2</v>
      </c>
      <c r="S41" s="1250">
        <f>IFERROR(Model!S41/Model!O41-1,"NA")</f>
        <v>-5.1860940695296565E-2</v>
      </c>
      <c r="T41" s="1250">
        <f>IFERROR(Model!T41/Model!P41-1,"NA")</f>
        <v>-2.9841812740487361E-2</v>
      </c>
      <c r="U41" s="1250">
        <f>IFERROR(Model!U41/Model!Q41-1,"NA")</f>
        <v>-5.0046028956397981E-2</v>
      </c>
      <c r="V41" s="1250">
        <f>IFERROR(Model!V41/Model!R41-1,"NA")</f>
        <v>-2.4896963579779663E-2</v>
      </c>
      <c r="W41" s="1250">
        <f>IFERROR(Model!W41/Model!S41-1,"NA")</f>
        <v>-2.7262531274264479E-2</v>
      </c>
      <c r="X41" s="1250">
        <f>IFERROR(Model!X41/Model!T41-1,"NA")</f>
        <v>-2.3620659263176469E-2</v>
      </c>
      <c r="Y41" s="1250">
        <f>IFERROR(Model!Y41/Model!U41-1,"NA")</f>
        <v>2.5548409831732677E-3</v>
      </c>
      <c r="Z41" s="1250">
        <f>IFERROR(Model!Z41/Model!V41-1,"NA")</f>
        <v>5.6068317087898389E-3</v>
      </c>
      <c r="AA41" s="1250">
        <f>IFERROR(Model!AA41/Model!W41-1,"NA")</f>
        <v>1.4722838137472216E-2</v>
      </c>
      <c r="AB41" s="1250">
        <f>IFERROR(Model!AB41/Model!X41-1,"NA")</f>
        <v>1.4262502256725096E-2</v>
      </c>
      <c r="AC41" s="1250">
        <f>IFERROR(Model!AC41/Model!Y41-1,"NA")</f>
        <v>7.6090324990207847E-3</v>
      </c>
      <c r="AD41" s="1250">
        <f>IFERROR(Model!AD41/Model!Z41-1,"NA")</f>
        <v>1.6730031054492667E-2</v>
      </c>
      <c r="AE41" s="1250">
        <f>IFERROR(Model!AE41/Model!AA41-1,"NA")</f>
        <v>6.2686898086572018E-2</v>
      </c>
      <c r="AF41" s="1250">
        <f>IFERROR(Model!AF41/Model!AB41-1,"NA")</f>
        <v>6.9327566300859456E-2</v>
      </c>
      <c r="AG41" s="1250">
        <f>IFERROR(Model!AG41/Model!AC41-1,"NA")</f>
        <v>7.7887425495100748E-2</v>
      </c>
      <c r="AH41" s="1250">
        <f>IFERROR(Model!AH41/Model!AD41-1,"NA")</f>
        <v>8.3762741170069877E-2</v>
      </c>
      <c r="AI41" s="1250">
        <f>IFERROR(Model!AI41/Model!AE41-1,"NA")</f>
        <v>8.6580850276235299E-2</v>
      </c>
      <c r="AJ41" s="1250"/>
      <c r="AK41" s="1250"/>
      <c r="AL41" s="1250"/>
      <c r="AM41" s="1250"/>
      <c r="AN41" s="1250"/>
      <c r="AO41" s="1250"/>
      <c r="AP41" s="1250"/>
      <c r="AQ41" s="1250"/>
      <c r="AR41" s="1236"/>
      <c r="AS41" s="1371"/>
      <c r="AT41" s="1392"/>
      <c r="AU41" s="1250"/>
      <c r="AV41" s="1250">
        <f>IFERROR(Model!AV41/Model!AU41-1,"NA")</f>
        <v>-5.0699226836792288E-4</v>
      </c>
      <c r="AW41" s="1250">
        <f>IFERROR(Model!AW41/Model!AV41-1,"NA")</f>
        <v>2.4855222555691725E-2</v>
      </c>
      <c r="AX41" s="1250">
        <f>IFERROR(Model!AX41/Model!AW41-1,"NA")</f>
        <v>-2.8170756857083923E-2</v>
      </c>
      <c r="AY41" s="1250">
        <f>IFERROR(Model!AY41/Model!AX41-1,"NA")</f>
        <v>-3.3082930141753675E-2</v>
      </c>
      <c r="AZ41" s="1250">
        <f>IFERROR(Model!AZ41/Model!AY41-1,"NA")</f>
        <v>-1.7557335674311947E-4</v>
      </c>
      <c r="BA41" s="1250">
        <f>IFERROR(Model!BA41/Model!AZ41-1,"NA")</f>
        <v>2.5393030552507634E-2</v>
      </c>
      <c r="BB41" s="1250">
        <f>IFERROR(Model!BB41/Model!BA41-1,"NA")</f>
        <v>7.958195942256463E-2</v>
      </c>
      <c r="BC41" s="1250">
        <f>IFERROR(Model!BC41/Model!BB41-1,"NA")</f>
        <v>6.4183644153429587E-2</v>
      </c>
      <c r="BD41" s="1250">
        <f>IFERROR(Model!BD41/Model!BC41-1,"NA")</f>
        <v>5.8478549797750023E-2</v>
      </c>
      <c r="BE41" s="1250">
        <f>IFERROR(Model!BE41/Model!BD41-1,"NA")</f>
        <v>5.2799889880560391E-2</v>
      </c>
    </row>
    <row r="42" spans="1:57" x14ac:dyDescent="0.2">
      <c r="B42" s="16"/>
      <c r="C42" s="317"/>
      <c r="D42" s="1250"/>
      <c r="E42" s="1250"/>
      <c r="F42" s="1250"/>
      <c r="G42" s="1250"/>
      <c r="H42" s="1250"/>
      <c r="I42" s="1250"/>
      <c r="J42" s="1250"/>
      <c r="K42" s="1250"/>
      <c r="L42" s="1250"/>
      <c r="M42" s="1250"/>
      <c r="N42" s="1250"/>
      <c r="O42" s="1250"/>
      <c r="P42" s="1250"/>
      <c r="Q42" s="1250"/>
      <c r="R42" s="1250"/>
      <c r="S42" s="1250"/>
      <c r="T42" s="1250"/>
      <c r="U42" s="1250"/>
      <c r="V42" s="1250"/>
      <c r="W42" s="1250"/>
      <c r="X42" s="1250"/>
      <c r="Y42" s="1250"/>
      <c r="Z42" s="1250"/>
      <c r="AA42" s="1250"/>
      <c r="AB42" s="1250"/>
      <c r="AC42" s="1250"/>
      <c r="AD42" s="1250"/>
      <c r="AE42" s="1250"/>
      <c r="AF42" s="1250"/>
      <c r="AG42" s="1250"/>
      <c r="AH42" s="1250"/>
      <c r="AI42" s="1250"/>
      <c r="AJ42" s="1250"/>
      <c r="AK42" s="1250"/>
      <c r="AL42" s="1250"/>
      <c r="AM42" s="1250"/>
      <c r="AN42" s="1250"/>
      <c r="AO42" s="1250"/>
      <c r="AP42" s="1250"/>
      <c r="AQ42" s="1250"/>
      <c r="AR42" s="1236"/>
      <c r="AS42" s="1371"/>
      <c r="AT42" s="1392"/>
      <c r="AU42" s="1250"/>
      <c r="AV42" s="1250"/>
      <c r="AW42" s="1250"/>
      <c r="AX42" s="1250"/>
      <c r="AY42" s="1250"/>
      <c r="AZ42" s="1250"/>
      <c r="BA42" s="1250"/>
      <c r="BB42" s="1250"/>
      <c r="BC42" s="1250"/>
      <c r="BD42" s="1250"/>
      <c r="BE42" s="1250"/>
    </row>
    <row r="43" spans="1:57" x14ac:dyDescent="0.2">
      <c r="B43" s="16" t="s">
        <v>637</v>
      </c>
      <c r="C43" s="16"/>
      <c r="D43" s="1250"/>
      <c r="E43" s="1250"/>
      <c r="F43" s="1250"/>
      <c r="G43" s="1250"/>
      <c r="H43" s="1250"/>
      <c r="I43" s="1250"/>
      <c r="J43" s="1250"/>
      <c r="K43" s="1250"/>
      <c r="L43" s="1250"/>
      <c r="M43" s="1250"/>
      <c r="N43" s="1250"/>
      <c r="O43" s="1250"/>
      <c r="P43" s="1250"/>
      <c r="Q43" s="1250"/>
      <c r="R43" s="1250"/>
      <c r="S43" s="1250"/>
      <c r="T43" s="1250"/>
      <c r="U43" s="1250"/>
      <c r="V43" s="1250"/>
      <c r="W43" s="1250"/>
      <c r="X43" s="1250"/>
      <c r="Y43" s="1250"/>
      <c r="Z43" s="1250"/>
      <c r="AA43" s="1250"/>
      <c r="AB43" s="1250"/>
      <c r="AC43" s="1250"/>
      <c r="AD43" s="1250"/>
      <c r="AE43" s="1250"/>
      <c r="AF43" s="1250"/>
      <c r="AG43" s="1250"/>
      <c r="AH43" s="1250"/>
      <c r="AI43" s="1250"/>
      <c r="AJ43" s="1250"/>
      <c r="AK43" s="1250"/>
      <c r="AL43" s="1250"/>
      <c r="AM43" s="1250"/>
      <c r="AN43" s="1250"/>
      <c r="AO43" s="1250"/>
      <c r="AP43" s="1250"/>
      <c r="AQ43" s="1250"/>
      <c r="AR43" s="1236"/>
      <c r="AS43" s="1371"/>
      <c r="AT43" s="1371"/>
      <c r="AU43" s="1250"/>
      <c r="AV43" s="1250"/>
      <c r="AW43" s="1250"/>
      <c r="AX43" s="1250"/>
      <c r="AY43" s="1250"/>
      <c r="AZ43" s="1250"/>
      <c r="BA43" s="1250"/>
      <c r="BB43" s="1250"/>
      <c r="BC43" s="1250"/>
      <c r="BD43" s="1250"/>
      <c r="BE43" s="1250"/>
    </row>
    <row r="44" spans="1:57" x14ac:dyDescent="0.2">
      <c r="B44" s="16"/>
      <c r="C44" s="17" t="s">
        <v>100</v>
      </c>
      <c r="D44" s="1250"/>
      <c r="E44" s="1250"/>
      <c r="F44" s="1250"/>
      <c r="G44" s="1250"/>
      <c r="H44" s="1250">
        <f>IFERROR(Model!H44/Model!D44-1,"NA")</f>
        <v>1.1780697779791627E-2</v>
      </c>
      <c r="I44" s="1250">
        <f>IFERROR(Model!I44/Model!E44-1,"NA")</f>
        <v>6.094182825484773E-2</v>
      </c>
      <c r="J44" s="1250">
        <f>IFERROR(Model!J44/Model!F44-1,"NA")</f>
        <v>-0.25146443514644357</v>
      </c>
      <c r="K44" s="1250">
        <f>IFERROR(Model!K44/Model!G44-1,"NA")</f>
        <v>-0.22791900043084878</v>
      </c>
      <c r="L44" s="1250">
        <f>IFERROR(Model!L44/Model!H44-1,"NA")</f>
        <v>-0.17465293327362297</v>
      </c>
      <c r="M44" s="1250">
        <f>IFERROR(Model!M44/Model!I44-1,"NA")</f>
        <v>-0.19712793733681466</v>
      </c>
      <c r="N44" s="1250">
        <f>IFERROR(Model!N44/Model!J44-1,"NA")</f>
        <v>7.9932923420905633E-2</v>
      </c>
      <c r="O44" s="1250">
        <f>IFERROR(Model!O44/Model!K44-1,"NA")</f>
        <v>2.0647321428571397E-2</v>
      </c>
      <c r="P44" s="1250">
        <f>IFERROR(Model!P44/Model!L44-1,"NA")</f>
        <v>-2.7129679869777323E-3</v>
      </c>
      <c r="Q44" s="1250">
        <f>IFERROR(Model!Q44/Model!M44-1,"NA")</f>
        <v>-6.5582655826558311E-2</v>
      </c>
      <c r="R44" s="1250">
        <f>IFERROR(Model!R44/Model!N44-1,"NA")</f>
        <v>-0.16614906832298137</v>
      </c>
      <c r="S44" s="1250">
        <f>IFERROR(Model!S44/Model!O44-1,"NA")</f>
        <v>-0.27501366867140509</v>
      </c>
      <c r="T44" s="1250">
        <f>IFERROR(Model!T44/Model!P44-1,"NA")</f>
        <v>-0.25897714907508163</v>
      </c>
      <c r="U44" s="1250">
        <f>IFERROR(Model!U44/Model!Q44-1,"NA")</f>
        <v>-0.20765661252900236</v>
      </c>
      <c r="V44" s="1250">
        <f>IFERROR(Model!V44/Model!R44-1,"NA")</f>
        <v>-9.6834264432029804E-2</v>
      </c>
      <c r="W44" s="1250">
        <f>IFERROR(Model!W44/Model!S44-1,"NA")</f>
        <v>-1.1312217194570096E-2</v>
      </c>
      <c r="X44" s="1250">
        <f>IFERROR(Model!X44/Model!T44-1,"NA")</f>
        <v>-6.9750367107195288E-2</v>
      </c>
      <c r="Y44" s="1250">
        <f>IFERROR(Model!Y44/Model!U44-1,"NA")</f>
        <v>-3.879941434846268E-2</v>
      </c>
      <c r="Z44" s="1250">
        <f>IFERROR(Model!Z44/Model!V44-1,"NA")</f>
        <v>-3.848797250859104E-2</v>
      </c>
      <c r="AA44" s="1250">
        <f>IFERROR(Model!AA44/Model!W44-1,"NA")</f>
        <v>9.3821510297482869E-2</v>
      </c>
      <c r="AB44" s="1250">
        <f>IFERROR(Model!AB44/Model!X44-1,"NA")</f>
        <v>0.14680347277032357</v>
      </c>
      <c r="AC44" s="1250">
        <f>IFERROR(Model!AC44/Model!Y44-1,"NA")</f>
        <v>1.1944251896211622E-2</v>
      </c>
      <c r="AD44" s="1250">
        <f>IFERROR(Model!AD44/Model!Z44-1,"NA")</f>
        <v>-8.9114272229674496E-3</v>
      </c>
      <c r="AE44" s="1250">
        <f>IFERROR(Model!AE44/Model!AA44-1,"NA")</f>
        <v>-5.4940177776504062E-2</v>
      </c>
      <c r="AF44" s="1250">
        <f>IFERROR(Model!AF44/Model!AB44-1,"NA")</f>
        <v>-2.2701671583550298E-2</v>
      </c>
      <c r="AG44" s="1250">
        <f>IFERROR(Model!AG44/Model!AC44-1,"NA")</f>
        <v>6.70065645607969E-2</v>
      </c>
      <c r="AH44" s="1250">
        <f>IFERROR(Model!AH44/Model!AD44-1,"NA")</f>
        <v>7.0719464328457438E-2</v>
      </c>
      <c r="AI44" s="1250">
        <f>IFERROR(Model!AI44/Model!AE44-1,"NA")</f>
        <v>5.1853595593133628E-2</v>
      </c>
      <c r="AJ44" s="1250"/>
      <c r="AK44" s="1250"/>
      <c r="AL44" s="1250"/>
      <c r="AM44" s="1250"/>
      <c r="AN44" s="1250"/>
      <c r="AO44" s="1250"/>
      <c r="AP44" s="1250"/>
      <c r="AQ44" s="1250"/>
      <c r="AR44" s="1236"/>
      <c r="AS44" s="1371"/>
      <c r="AT44" s="1372"/>
      <c r="AU44" s="1250"/>
      <c r="AV44" s="1250">
        <f>IFERROR(Model!AV44/Model!AU44-1,"NA")</f>
        <v>-0.10700132100396298</v>
      </c>
      <c r="AW44" s="1250">
        <f>IFERROR(Model!AW44/Model!AV44-1,"NA")</f>
        <v>-8.1730769230769273E-2</v>
      </c>
      <c r="AX44" s="1250">
        <f>IFERROR(Model!AX44/Model!AW44-1,"NA")</f>
        <v>-0.12753389716740504</v>
      </c>
      <c r="AY44" s="1250">
        <f>IFERROR(Model!AY44/Model!AX44-1,"NA")</f>
        <v>-0.15463917525773196</v>
      </c>
      <c r="AZ44" s="1250">
        <f>IFERROR(Model!AZ44/Model!AY44-1,"NA")</f>
        <v>-1.4743356388787765E-2</v>
      </c>
      <c r="BA44" s="1250">
        <f>IFERROR(Model!BA44/Model!AZ44-1,"NA")</f>
        <v>2.0401164072286537E-2</v>
      </c>
      <c r="BB44" s="1250">
        <f>IFERROR(Model!BB44/Model!BA44-1,"NA")</f>
        <v>4.0621960697776682E-2</v>
      </c>
      <c r="BC44" s="1250">
        <f>IFERROR(Model!BC44/Model!BB44-1,"NA")</f>
        <v>5.7080371763803095E-2</v>
      </c>
      <c r="BD44" s="1250">
        <f>IFERROR(Model!BD44/Model!BC44-1,"NA")</f>
        <v>6.3057675685871839E-2</v>
      </c>
      <c r="BE44" s="1250">
        <f>IFERROR(Model!BE44/Model!BD44-1,"NA")</f>
        <v>5.5947540292018871E-2</v>
      </c>
    </row>
    <row r="45" spans="1:57" x14ac:dyDescent="0.2">
      <c r="B45" s="16"/>
      <c r="C45" s="17" t="s">
        <v>182</v>
      </c>
      <c r="D45" s="1250"/>
      <c r="E45" s="1250"/>
      <c r="F45" s="1250"/>
      <c r="G45" s="1250"/>
      <c r="H45" s="1250">
        <f>IFERROR(Model!H45/Model!D45-1,"NA")</f>
        <v>8.0911374237531364E-2</v>
      </c>
      <c r="I45" s="1250">
        <f>IFERROR(Model!I45/Model!E45-1,"NA")</f>
        <v>0.23322147651006708</v>
      </c>
      <c r="J45" s="1250">
        <f>IFERROR(Model!J45/Model!F45-1,"NA")</f>
        <v>-8.9933206106870278E-2</v>
      </c>
      <c r="K45" s="1250">
        <f>IFERROR(Model!K45/Model!G45-1,"NA")</f>
        <v>-4.2270531400966371E-3</v>
      </c>
      <c r="L45" s="1250">
        <f>IFERROR(Model!L45/Model!H45-1,"NA")</f>
        <v>-0.10124481327800827</v>
      </c>
      <c r="M45" s="1250">
        <f>IFERROR(Model!M45/Model!I45-1,"NA")</f>
        <v>-9.6987366375121509E-2</v>
      </c>
      <c r="N45" s="1250">
        <f>IFERROR(Model!N45/Model!J45-1,"NA")</f>
        <v>0.22359108781127124</v>
      </c>
      <c r="O45" s="1250">
        <f>IFERROR(Model!O45/Model!K45-1,"NA")</f>
        <v>-5.5488174651303845E-2</v>
      </c>
      <c r="P45" s="1250">
        <f>IFERROR(Model!P45/Model!L45-1,"NA")</f>
        <v>-2.6777469990766356E-2</v>
      </c>
      <c r="Q45" s="1250">
        <f>IFERROR(Model!Q45/Model!M45-1,"NA")</f>
        <v>-4.0034438226431379E-2</v>
      </c>
      <c r="R45" s="1250">
        <f>IFERROR(Model!R45/Model!N45-1,"NA")</f>
        <v>-8.4190231362467838E-2</v>
      </c>
      <c r="S45" s="1250">
        <f>IFERROR(Model!S45/Model!O45-1,"NA")</f>
        <v>8.828250401284099E-2</v>
      </c>
      <c r="T45" s="1250">
        <f>IFERROR(Model!T45/Model!P45-1,"NA")</f>
        <v>-0.25806451612903225</v>
      </c>
      <c r="U45" s="1250">
        <f>IFERROR(Model!U45/Model!Q45-1,"NA")</f>
        <v>2.7130044843049372E-2</v>
      </c>
      <c r="V45" s="1250">
        <f>IFERROR(Model!V45/Model!R45-1,"NA")</f>
        <v>2.8070175438596578E-2</v>
      </c>
      <c r="W45" s="1250">
        <f>IFERROR(Model!W45/Model!S45-1,"NA")</f>
        <v>0.25280235988200594</v>
      </c>
      <c r="X45" s="1250">
        <f>IFERROR(Model!X45/Model!T45-1,"NA")</f>
        <v>0.40690537084398981</v>
      </c>
      <c r="Y45" s="1250">
        <f>IFERROR(Model!Y45/Model!U45-1,"NA")</f>
        <v>0.18314778432656631</v>
      </c>
      <c r="Z45" s="1250">
        <f>IFERROR(Model!Z45/Model!V45-1,"NA")</f>
        <v>0.2473265073947668</v>
      </c>
      <c r="AA45" s="1250">
        <f>IFERROR(Model!AA45/Model!W45-1,"NA")</f>
        <v>4.4266541087826683E-2</v>
      </c>
      <c r="AB45" s="1250">
        <f>IFERROR(Model!AB45/Model!X45-1,"NA")</f>
        <v>0.12597709507362298</v>
      </c>
      <c r="AC45" s="1250">
        <f>IFERROR(Model!AC45/Model!Y45-1,"NA")</f>
        <v>0.14337087821721717</v>
      </c>
      <c r="AD45" s="1250">
        <f>IFERROR(Model!AD45/Model!Z45-1,"NA")</f>
        <v>6.2629301129475401E-2</v>
      </c>
      <c r="AE45" s="1250">
        <f>IFERROR(Model!AE45/Model!AA45-1,"NA")</f>
        <v>0.13973352082307167</v>
      </c>
      <c r="AF45" s="1250">
        <f>IFERROR(Model!AF45/Model!AB45-1,"NA")</f>
        <v>6.0797836625818391E-2</v>
      </c>
      <c r="AG45" s="1250">
        <f>IFERROR(Model!AG45/Model!AC45-1,"NA")</f>
        <v>3.4181342267791237E-2</v>
      </c>
      <c r="AH45" s="1250">
        <f>IFERROR(Model!AH45/Model!AD45-1,"NA")</f>
        <v>3.2702991479114374E-3</v>
      </c>
      <c r="AI45" s="1250">
        <f>IFERROR(Model!AI45/Model!AE45-1,"NA")</f>
        <v>-1.7006922825420823E-2</v>
      </c>
      <c r="AJ45" s="1250"/>
      <c r="AK45" s="1250"/>
      <c r="AL45" s="1250"/>
      <c r="AM45" s="1250"/>
      <c r="AN45" s="1250"/>
      <c r="AO45" s="1250"/>
      <c r="AP45" s="1250"/>
      <c r="AQ45" s="1250"/>
      <c r="AR45" s="1236"/>
      <c r="AS45" s="1371"/>
      <c r="AT45" s="1372"/>
      <c r="AU45" s="1250"/>
      <c r="AV45" s="1250">
        <f>IFERROR(Model!AV45/Model!AU45-1,"NA")</f>
        <v>5.9884057971014482E-2</v>
      </c>
      <c r="AW45" s="1250">
        <f>IFERROR(Model!AW45/Model!AV45-1,"NA")</f>
        <v>-2.4011376688727215E-2</v>
      </c>
      <c r="AX45" s="1250">
        <f>IFERROR(Model!AX45/Model!AW45-1,"NA")</f>
        <v>-2.5162519614436274E-2</v>
      </c>
      <c r="AY45" s="1250">
        <f>IFERROR(Model!AY45/Model!AX45-1,"NA")</f>
        <v>-1.506179936763441E-2</v>
      </c>
      <c r="AZ45" s="1250">
        <f>IFERROR(Model!AZ45/Model!AY45-1,"NA")</f>
        <v>0.21624934337243906</v>
      </c>
      <c r="BA45" s="1250">
        <f>IFERROR(Model!BA45/Model!AZ45-1,"NA")</f>
        <v>0.11676370830115301</v>
      </c>
      <c r="BB45" s="1250">
        <f>IFERROR(Model!BB45/Model!BA45-1,"NA")</f>
        <v>2.2409377396404473E-2</v>
      </c>
      <c r="BC45" s="1250">
        <f>IFERROR(Model!BC45/Model!BB45-1,"NA")</f>
        <v>3.5870115975314532E-2</v>
      </c>
      <c r="BD45" s="1250">
        <f>IFERROR(Model!BD45/Model!BC45-1,"NA")</f>
        <v>3.6979305361670489E-2</v>
      </c>
      <c r="BE45" s="1250">
        <f>IFERROR(Model!BE45/Model!BD45-1,"NA")</f>
        <v>4.0376181577536752E-2</v>
      </c>
    </row>
    <row r="46" spans="1:57" x14ac:dyDescent="0.2">
      <c r="B46" s="44"/>
      <c r="C46" s="29" t="s">
        <v>183</v>
      </c>
      <c r="D46" s="1246"/>
      <c r="E46" s="1246"/>
      <c r="F46" s="1246"/>
      <c r="G46" s="1246"/>
      <c r="H46" s="1246">
        <f>IFERROR(Model!H46/Model!D46-1,"NA")</f>
        <v>0.30487804878048785</v>
      </c>
      <c r="I46" s="1246">
        <f>IFERROR(Model!I46/Model!E46-1,"NA")</f>
        <v>-2.2704837117472843E-2</v>
      </c>
      <c r="J46" s="1246">
        <f>IFERROR(Model!J46/Model!F46-1,"NA")</f>
        <v>0.28256070640176612</v>
      </c>
      <c r="K46" s="1246">
        <f>IFERROR(Model!K46/Model!G46-1,"NA")</f>
        <v>-1.0224948875255935E-3</v>
      </c>
      <c r="L46" s="1246">
        <f>IFERROR(Model!L46/Model!H46-1,"NA")</f>
        <v>0.57810413885180245</v>
      </c>
      <c r="M46" s="1246">
        <f>IFERROR(Model!M46/Model!I46-1,"NA")</f>
        <v>3.1313131313131404E-2</v>
      </c>
      <c r="N46" s="1246">
        <f>IFERROR(Model!N46/Model!J46-1,"NA")</f>
        <v>9.5524956970740149E-2</v>
      </c>
      <c r="O46" s="1246">
        <f>IFERROR(Model!O46/Model!K46-1,"NA")</f>
        <v>-0.13306038894575234</v>
      </c>
      <c r="P46" s="1246">
        <f>IFERROR(Model!P46/Model!L46-1,"NA")</f>
        <v>-4.4839255499154018E-2</v>
      </c>
      <c r="Q46" s="1246">
        <f>IFERROR(Model!Q46/Model!M46-1,"NA")</f>
        <v>0.1283055827619981</v>
      </c>
      <c r="R46" s="1246">
        <f>IFERROR(Model!R46/Model!N46-1,"NA")</f>
        <v>-0.34249803613511387</v>
      </c>
      <c r="S46" s="1246">
        <f>IFERROR(Model!S46/Model!O46-1,"NA")</f>
        <v>1.9020070838252656</v>
      </c>
      <c r="T46" s="1246">
        <f>IFERROR(Model!T46/Model!P46-1,"NA")</f>
        <v>-6.4658990256864501E-2</v>
      </c>
      <c r="U46" s="1246">
        <f>IFERROR(Model!U46/Model!Q46-1,"NA")</f>
        <v>-0.68315972222222221</v>
      </c>
      <c r="V46" s="1246">
        <f>IFERROR(Model!V46/Model!R46-1,"NA")</f>
        <v>-0.48506571087216244</v>
      </c>
      <c r="W46" s="1246">
        <f>IFERROR(Model!W46/Model!S46-1,"NA")</f>
        <v>-0.8812042310821806</v>
      </c>
      <c r="X46" s="1246">
        <f>IFERROR(Model!X46/Model!T46-1,"NA")</f>
        <v>-0.39109848484848486</v>
      </c>
      <c r="Y46" s="1246">
        <f>IFERROR(Model!Y46/Model!U46-1,"NA")</f>
        <v>-0.55068493150684938</v>
      </c>
      <c r="Z46" s="1246">
        <f>IFERROR(Model!Z46/Model!V46-1,"NA")</f>
        <v>-0.99303944315545245</v>
      </c>
      <c r="AA46" s="1246">
        <f>IFERROR(Model!AA46/Model!W46-1,"NA")</f>
        <v>0.10273972602739723</v>
      </c>
      <c r="AB46" s="1246">
        <f>IFERROR(Model!AB46/Model!X46-1,"NA")</f>
        <v>-0.91757387247278377</v>
      </c>
      <c r="AC46" s="1246">
        <f>IFERROR(Model!AC46/Model!Y46-1,"NA")</f>
        <v>-3.1289341797527626E-2</v>
      </c>
      <c r="AD46" s="1246">
        <f>IFERROR(Model!AD46/Model!Z46-1,"NA")</f>
        <v>49.834877260273977</v>
      </c>
      <c r="AE46" s="1246">
        <f>IFERROR(Model!AE46/Model!AA46-1,"NA")</f>
        <v>-0.54873787671232876</v>
      </c>
      <c r="AF46" s="1246">
        <f>IFERROR(Model!AF46/Model!AB46-1,"NA")</f>
        <v>1.5252492417420527</v>
      </c>
      <c r="AG46" s="1246">
        <f>IFERROR(Model!AG46/Model!AC46-1,"NA")</f>
        <v>-0.19774522803741257</v>
      </c>
      <c r="AH46" s="1246">
        <f>IFERROR(Model!AH46/Model!AD46-1,"NA")</f>
        <v>-0.19666659744192494</v>
      </c>
      <c r="AI46" s="1246">
        <f>IFERROR(Model!AI46/Model!AE46-1,"NA")</f>
        <v>-0.19797434908086542</v>
      </c>
      <c r="AJ46" s="1236"/>
      <c r="AK46" s="1236"/>
      <c r="AL46" s="1236"/>
      <c r="AM46" s="1236"/>
      <c r="AN46" s="1236"/>
      <c r="AO46" s="1236"/>
      <c r="AP46" s="1236"/>
      <c r="AQ46" s="1236"/>
      <c r="AR46" s="1236"/>
      <c r="AS46" s="1391"/>
      <c r="AT46" s="1373"/>
      <c r="AU46" s="1246"/>
      <c r="AV46" s="1246">
        <f>IFERROR(Model!AV46/Model!AU46-1,"NA")</f>
        <v>0.11725727456064527</v>
      </c>
      <c r="AW46" s="1246">
        <f>IFERROR(Model!AW46/Model!AV46-1,"NA")</f>
        <v>0.11474987106756052</v>
      </c>
      <c r="AX46" s="1246">
        <f>IFERROR(Model!AX46/Model!AW46-1,"NA")</f>
        <v>0.28984501503585469</v>
      </c>
      <c r="AY46" s="1246">
        <f>IFERROR(Model!AY46/Model!AX46-1,"NA")</f>
        <v>-0.61549497847919654</v>
      </c>
      <c r="AZ46" s="1246">
        <f>IFERROR(Model!AZ46/Model!AY46-1,"NA")</f>
        <v>-0.47201492537313428</v>
      </c>
      <c r="BA46" s="1246">
        <f>IFERROR(Model!BA46/Model!AZ46-1,"NA")</f>
        <v>-0.54975301817609767</v>
      </c>
      <c r="BB46" s="1246">
        <f>IFERROR(Model!BB46/Model!BA46-1,"NA")</f>
        <v>-1.8318950667629008E-2</v>
      </c>
      <c r="BC46" s="1246">
        <f>IFERROR(Model!BC46/Model!BB46-1,"NA")</f>
        <v>-0.19732028477887198</v>
      </c>
      <c r="BD46" s="1246">
        <f>IFERROR(Model!BD46/Model!BC46-1,"NA")</f>
        <v>-0.19568332935190691</v>
      </c>
      <c r="BE46" s="1246">
        <f>IFERROR(Model!BE46/Model!BD46-1,"NA")</f>
        <v>-0.20625256868807618</v>
      </c>
    </row>
    <row r="47" spans="1:57" x14ac:dyDescent="0.2">
      <c r="B47" s="16"/>
      <c r="C47" s="317" t="s">
        <v>21</v>
      </c>
      <c r="D47" s="1250"/>
      <c r="E47" s="1250"/>
      <c r="F47" s="1250"/>
      <c r="G47" s="1250"/>
      <c r="H47" s="1250">
        <f>IFERROR(Model!H47/Model!D47-1,"NA")</f>
        <v>7.8037103530819829E-2</v>
      </c>
      <c r="I47" s="1250">
        <f>IFERROR(Model!I47/Model!E47-1,"NA")</f>
        <v>0.14719085838661417</v>
      </c>
      <c r="J47" s="1250">
        <f>IFERROR(Model!J47/Model!F47-1,"NA")</f>
        <v>-9.6420940170940161E-2</v>
      </c>
      <c r="K47" s="1250">
        <f>IFERROR(Model!K47/Model!G47-1,"NA")</f>
        <v>-8.2287097262138897E-2</v>
      </c>
      <c r="L47" s="1250">
        <f>IFERROR(Model!L47/Model!H47-1,"NA")</f>
        <v>-6.2951038081492161E-2</v>
      </c>
      <c r="M47" s="1250">
        <f>IFERROR(Model!M47/Model!I47-1,"NA")</f>
        <v>-0.10921380291711136</v>
      </c>
      <c r="N47" s="1250">
        <f>IFERROR(Model!N47/Model!J47-1,"NA")</f>
        <v>0.16361217853975751</v>
      </c>
      <c r="O47" s="1250">
        <f>IFERROR(Model!O47/Model!K47-1,"NA")</f>
        <v>-4.5492005933739921E-2</v>
      </c>
      <c r="P47" s="1250">
        <f>IFERROR(Model!P47/Model!L47-1,"NA")</f>
        <v>-2.4052132701421813E-2</v>
      </c>
      <c r="Q47" s="1250">
        <f>IFERROR(Model!Q47/Model!M47-1,"NA")</f>
        <v>-2.3429179978700754E-2</v>
      </c>
      <c r="R47" s="1250">
        <f>IFERROR(Model!R47/Model!N47-1,"NA")</f>
        <v>-0.14606884288073163</v>
      </c>
      <c r="S47" s="1250">
        <f>IFERROR(Model!S47/Model!O47-1,"NA")</f>
        <v>0.23881885684683124</v>
      </c>
      <c r="T47" s="1250">
        <f>IFERROR(Model!T47/Model!P47-1,"NA")</f>
        <v>-0.23175913560762418</v>
      </c>
      <c r="U47" s="1250">
        <f>IFERROR(Model!U47/Model!Q47-1,"NA")</f>
        <v>-0.13958560523446017</v>
      </c>
      <c r="V47" s="1250">
        <f>IFERROR(Model!V47/Model!R47-1,"NA")</f>
        <v>-6.5744459318756499E-2</v>
      </c>
      <c r="W47" s="1250">
        <f>IFERROR(Model!W47/Model!S47-1,"NA")</f>
        <v>-0.18455533872316698</v>
      </c>
      <c r="X47" s="1250">
        <f>IFERROR(Model!X47/Model!T47-1,"NA")</f>
        <v>0.17114412136536039</v>
      </c>
      <c r="Y47" s="1250">
        <f>IFERROR(Model!Y47/Model!U47-1,"NA")</f>
        <v>9.2680608365018902E-2</v>
      </c>
      <c r="Z47" s="1250">
        <f>IFERROR(Model!Z47/Model!V47-1,"NA")</f>
        <v>9.6003821047603966E-2</v>
      </c>
      <c r="AA47" s="1250">
        <f>IFERROR(Model!AA47/Model!W47-1,"NA")</f>
        <v>5.829059829059835E-2</v>
      </c>
      <c r="AB47" s="1250">
        <f>IFERROR(Model!AB47/Model!X47-1,"NA")</f>
        <v>3.8996086897854498E-2</v>
      </c>
      <c r="AC47" s="1250">
        <f>IFERROR(Model!AC47/Model!Y47-1,"NA")</f>
        <v>0.11419769618997355</v>
      </c>
      <c r="AD47" s="1250">
        <f>IFERROR(Model!AD47/Model!Z47-1,"NA")</f>
        <v>6.9780850361370605E-2</v>
      </c>
      <c r="AE47" s="1250">
        <f>IFERROR(Model!AE47/Model!AA47-1,"NA")</f>
        <v>5.8833848104901554E-2</v>
      </c>
      <c r="AF47" s="1250">
        <f>IFERROR(Model!AF47/Model!AB47-1,"NA")</f>
        <v>5.5121361176850403E-2</v>
      </c>
      <c r="AG47" s="1250">
        <f>IFERROR(Model!AG47/Model!AC47-1,"NA")</f>
        <v>3.5062123564979508E-2</v>
      </c>
      <c r="AH47" s="1250">
        <f>IFERROR(Model!AH47/Model!AD47-1,"NA")</f>
        <v>1.1828963764976219E-2</v>
      </c>
      <c r="AI47" s="1250">
        <f>IFERROR(Model!AI47/Model!AE47-1,"NA")</f>
        <v>-6.7822579744879485E-3</v>
      </c>
      <c r="AJ47" s="1250"/>
      <c r="AK47" s="1250"/>
      <c r="AL47" s="1250"/>
      <c r="AM47" s="1250"/>
      <c r="AN47" s="1250"/>
      <c r="AO47" s="1250"/>
      <c r="AP47" s="1250"/>
      <c r="AQ47" s="1250"/>
      <c r="AR47" s="1236"/>
      <c r="AS47" s="1371"/>
      <c r="AT47" s="1392"/>
      <c r="AU47" s="1250"/>
      <c r="AV47" s="1250">
        <f>IFERROR(Model!AV47/Model!AU47-1,"NA")</f>
        <v>1.5702063412179168E-2</v>
      </c>
      <c r="AW47" s="1250">
        <f>IFERROR(Model!AW47/Model!AV47-1,"NA")</f>
        <v>-2.1702507184619968E-2</v>
      </c>
      <c r="AX47" s="1250">
        <f>IFERROR(Model!AX47/Model!AW47-1,"NA")</f>
        <v>-4.9297676931387979E-3</v>
      </c>
      <c r="AY47" s="1250">
        <f>IFERROR(Model!AY47/Model!AX47-1,"NA")</f>
        <v>-0.15945028842891074</v>
      </c>
      <c r="AZ47" s="1250">
        <f>IFERROR(Model!AZ47/Model!AY47-1,"NA")</f>
        <v>0.10544588430018975</v>
      </c>
      <c r="BA47" s="1250">
        <f>IFERROR(Model!BA47/Model!AZ47-1,"NA")</f>
        <v>7.0161532269195082E-2</v>
      </c>
      <c r="BB47" s="1250">
        <f>IFERROR(Model!BB47/Model!BA47-1,"NA")</f>
        <v>2.5133815138679072E-2</v>
      </c>
      <c r="BC47" s="1250">
        <f>IFERROR(Model!BC47/Model!BB47-1,"NA")</f>
        <v>3.6044454447064389E-2</v>
      </c>
      <c r="BD47" s="1250">
        <f>IFERROR(Model!BD47/Model!BC47-1,"NA")</f>
        <v>3.9068029174867736E-2</v>
      </c>
      <c r="BE47" s="1250">
        <f>IFERROR(Model!BE47/Model!BD47-1,"NA")</f>
        <v>4.1022708116847273E-2</v>
      </c>
    </row>
    <row r="48" spans="1:57" x14ac:dyDescent="0.2">
      <c r="B48" s="16"/>
      <c r="C48" s="16"/>
      <c r="D48" s="1250"/>
      <c r="E48" s="1250"/>
      <c r="F48" s="1250"/>
      <c r="G48" s="1250"/>
      <c r="H48" s="1250"/>
      <c r="I48" s="1250"/>
      <c r="J48" s="1250"/>
      <c r="K48" s="1250"/>
      <c r="L48" s="1250"/>
      <c r="M48" s="1250"/>
      <c r="N48" s="1250"/>
      <c r="O48" s="1250"/>
      <c r="P48" s="1250"/>
      <c r="Q48" s="1250"/>
      <c r="R48" s="1250"/>
      <c r="S48" s="1250"/>
      <c r="T48" s="1250"/>
      <c r="U48" s="1250"/>
      <c r="V48" s="1250"/>
      <c r="W48" s="1250"/>
      <c r="X48" s="1250"/>
      <c r="Y48" s="1250"/>
      <c r="Z48" s="1250"/>
      <c r="AA48" s="1250"/>
      <c r="AB48" s="1250"/>
      <c r="AC48" s="1250"/>
      <c r="AD48" s="1250"/>
      <c r="AE48" s="1250"/>
      <c r="AF48" s="1250"/>
      <c r="AG48" s="1250"/>
      <c r="AH48" s="1250"/>
      <c r="AI48" s="1250"/>
      <c r="AJ48" s="1250"/>
      <c r="AK48" s="1250"/>
      <c r="AL48" s="1250"/>
      <c r="AM48" s="1250"/>
      <c r="AN48" s="1250"/>
      <c r="AO48" s="1250"/>
      <c r="AP48" s="1250"/>
      <c r="AQ48" s="1250"/>
      <c r="AR48" s="1236"/>
      <c r="AS48" s="1371"/>
      <c r="AT48" s="1371"/>
      <c r="AU48" s="1236"/>
      <c r="AV48" s="1236"/>
      <c r="AW48" s="1236"/>
      <c r="AX48" s="1236"/>
      <c r="AY48" s="1236"/>
      <c r="AZ48" s="1236"/>
      <c r="BA48" s="1236"/>
      <c r="BB48" s="1236"/>
      <c r="BC48" s="1236"/>
      <c r="BD48" s="1236"/>
      <c r="BE48" s="1236"/>
    </row>
    <row r="49" spans="2:57" s="70" customFormat="1" x14ac:dyDescent="0.2">
      <c r="B49" s="16" t="s">
        <v>625</v>
      </c>
      <c r="C49" s="16"/>
      <c r="D49" s="1250"/>
      <c r="E49" s="1250"/>
      <c r="F49" s="1250"/>
      <c r="G49" s="1250"/>
      <c r="H49" s="1250"/>
      <c r="I49" s="1250"/>
      <c r="J49" s="1250"/>
      <c r="K49" s="1250"/>
      <c r="L49" s="1250"/>
      <c r="M49" s="1250"/>
      <c r="N49" s="1250"/>
      <c r="O49" s="1250"/>
      <c r="P49" s="1250"/>
      <c r="Q49" s="1250"/>
      <c r="R49" s="1250"/>
      <c r="S49" s="1250"/>
      <c r="T49" s="1250"/>
      <c r="U49" s="1250"/>
      <c r="V49" s="1250"/>
      <c r="W49" s="1250"/>
      <c r="X49" s="1250"/>
      <c r="Y49" s="1250"/>
      <c r="Z49" s="1250"/>
      <c r="AA49" s="1250"/>
      <c r="AB49" s="1250"/>
      <c r="AC49" s="1250"/>
      <c r="AD49" s="1250"/>
      <c r="AE49" s="1250"/>
      <c r="AF49" s="1250"/>
      <c r="AG49" s="1250"/>
      <c r="AH49" s="1250"/>
      <c r="AI49" s="1250"/>
      <c r="AJ49" s="1250"/>
      <c r="AK49" s="1250"/>
      <c r="AL49" s="1250"/>
      <c r="AM49" s="1250"/>
      <c r="AN49" s="1250"/>
      <c r="AO49" s="1250"/>
      <c r="AP49" s="1250"/>
      <c r="AQ49" s="1250"/>
      <c r="AR49" s="1236"/>
      <c r="AS49" s="1371"/>
      <c r="AT49" s="1371"/>
      <c r="AU49" s="1236"/>
      <c r="AV49" s="1236"/>
      <c r="AW49" s="1236"/>
      <c r="AX49" s="1236"/>
      <c r="AY49" s="1236"/>
      <c r="AZ49" s="1236"/>
      <c r="BA49" s="1236"/>
      <c r="BB49" s="1236"/>
      <c r="BC49" s="1236"/>
      <c r="BD49" s="1236"/>
      <c r="BE49" s="1236"/>
    </row>
    <row r="50" spans="2:57" s="70" customFormat="1" x14ac:dyDescent="0.2">
      <c r="B50" s="16"/>
      <c r="C50" s="17" t="s">
        <v>100</v>
      </c>
      <c r="D50" s="1250"/>
      <c r="E50" s="1250"/>
      <c r="F50" s="1250"/>
      <c r="G50" s="1250"/>
      <c r="H50" s="1250">
        <f>IFERROR(Model!H50/Model!D50-1,"NA")</f>
        <v>7.4549833696524459E-3</v>
      </c>
      <c r="I50" s="1250">
        <f>IFERROR(Model!I50/Model!E50-1,"NA")</f>
        <v>2.563202247191021E-2</v>
      </c>
      <c r="J50" s="1250">
        <f>IFERROR(Model!J50/Model!F50-1,"NA")</f>
        <v>-7.0246085011185677E-2</v>
      </c>
      <c r="K50" s="1250">
        <f>IFERROR(Model!K50/Model!G50-1,"NA")</f>
        <v>-5.0289274588339983E-2</v>
      </c>
      <c r="L50" s="1250">
        <f>IFERROR(Model!L50/Model!H50-1,"NA")</f>
        <v>-4.7586520947176636E-2</v>
      </c>
      <c r="M50" s="1250">
        <f>IFERROR(Model!M50/Model!I50-1,"NA")</f>
        <v>-3.2294876183955212E-2</v>
      </c>
      <c r="N50" s="1250">
        <f>IFERROR(Model!N50/Model!J50-1,"NA")</f>
        <v>5.4499518768046151E-2</v>
      </c>
      <c r="O50" s="1250">
        <f>IFERROR(Model!O50/Model!K50-1,"NA")</f>
        <v>1.1715089034676662E-2</v>
      </c>
      <c r="P50" s="1250">
        <f>IFERROR(Model!P50/Model!L50-1,"NA")</f>
        <v>-1.5300023906287374E-2</v>
      </c>
      <c r="Q50" s="1250">
        <f>IFERROR(Model!Q50/Model!M50-1,"NA")</f>
        <v>-4.1509433962264142E-2</v>
      </c>
      <c r="R50" s="1250">
        <f>IFERROR(Model!R50/Model!N50-1,"NA")</f>
        <v>-7.9178551055333668E-2</v>
      </c>
      <c r="S50" s="1250">
        <f>IFERROR(Model!S50/Model!O50-1,"NA")</f>
        <v>-9.518295507179253E-2</v>
      </c>
      <c r="T50" s="1250">
        <f>IFERROR(Model!T50/Model!P50-1,"NA")</f>
        <v>-6.3607671764991491E-2</v>
      </c>
      <c r="U50" s="1250">
        <f>IFERROR(Model!U50/Model!Q50-1,"NA")</f>
        <v>-5.5856299212598381E-2</v>
      </c>
      <c r="V50" s="1250">
        <f>IFERROR(Model!V50/Model!R50-1,"NA")</f>
        <v>1.1522735720480792E-2</v>
      </c>
      <c r="W50" s="1250">
        <f>IFERROR(Model!W50/Model!S50-1,"NA")</f>
        <v>1.958024059380592E-2</v>
      </c>
      <c r="X50" s="1250">
        <f>IFERROR(Model!X50/Model!T50-1,"NA")</f>
        <v>1.7111744879440005E-2</v>
      </c>
      <c r="Y50" s="1250">
        <f>IFERROR(Model!Y50/Model!U50-1,"NA")</f>
        <v>5.1993745113369849E-2</v>
      </c>
      <c r="Z50" s="1250">
        <f>IFERROR(Model!Z50/Model!V50-1,"NA")</f>
        <v>3.7481626653601108E-2</v>
      </c>
      <c r="AA50" s="1250">
        <f>IFERROR(Model!AA50/Model!W50-1,"NA")</f>
        <v>6.049956068783735E-2</v>
      </c>
      <c r="AB50" s="1250">
        <f>IFERROR(Model!AB50/Model!X50-1,"NA")</f>
        <v>7.4815192454753987E-2</v>
      </c>
      <c r="AC50" s="1250">
        <f>IFERROR(Model!AC50/Model!Y50-1,"NA")</f>
        <v>3.7351646245136427E-2</v>
      </c>
      <c r="AD50" s="1250">
        <f>IFERROR(Model!AD50/Model!Z50-1,"NA")</f>
        <v>2.5667645811001005E-2</v>
      </c>
      <c r="AE50" s="1250">
        <f>IFERROR(Model!AE50/Model!AA50-1,"NA")</f>
        <v>3.9393460440794614E-2</v>
      </c>
      <c r="AF50" s="1250">
        <f>IFERROR(Model!AF50/Model!AB50-1,"NA")</f>
        <v>2.7583280847791602E-2</v>
      </c>
      <c r="AG50" s="1250">
        <f>IFERROR(Model!AG50/Model!AC50-1,"NA")</f>
        <v>5.4176919407433077E-2</v>
      </c>
      <c r="AH50" s="1250">
        <f>IFERROR(Model!AH50/Model!AD50-1,"NA")</f>
        <v>5.1262403716309857E-2</v>
      </c>
      <c r="AI50" s="1250">
        <f>IFERROR(Model!AI50/Model!AE50-1,"NA")</f>
        <v>5.128542409540171E-2</v>
      </c>
      <c r="AJ50" s="1250"/>
      <c r="AK50" s="1250"/>
      <c r="AL50" s="1250"/>
      <c r="AM50" s="1250"/>
      <c r="AN50" s="1250"/>
      <c r="AO50" s="1250"/>
      <c r="AP50" s="1250"/>
      <c r="AQ50" s="1250"/>
      <c r="AR50" s="1236"/>
      <c r="AS50" s="1371"/>
      <c r="AT50" s="1372"/>
      <c r="AU50" s="1236"/>
      <c r="AV50" s="1236">
        <f>IFERROR(Model!AV50/Model!AU50-1,"NA")</f>
        <v>-2.261941973800119E-2</v>
      </c>
      <c r="AW50" s="1236">
        <f>IFERROR(Model!AW50/Model!AV50-1,"NA")</f>
        <v>-4.3029510103212987E-3</v>
      </c>
      <c r="AX50" s="1236">
        <f>IFERROR(Model!AX50/Model!AW50-1,"NA")</f>
        <v>-5.8282477297281532E-2</v>
      </c>
      <c r="AY50" s="1236">
        <f>IFERROR(Model!AY50/Model!AX50-1,"NA")</f>
        <v>-2.2696970636569391E-2</v>
      </c>
      <c r="AZ50" s="1236">
        <f>IFERROR(Model!AZ50/Model!AY50-1,"NA")</f>
        <v>4.1847774358323653E-2</v>
      </c>
      <c r="BA50" s="1236">
        <f>IFERROR(Model!BA50/Model!AZ50-1,"NA")</f>
        <v>4.3814487709983529E-2</v>
      </c>
      <c r="BB50" s="1250">
        <f>IFERROR(Model!BB50/Model!BA50-1,"NA")</f>
        <v>4.6154684921008826E-2</v>
      </c>
      <c r="BC50" s="1250">
        <f>IFERROR(Model!BC50/Model!BB50-1,"NA")</f>
        <v>4.8669623800388084E-2</v>
      </c>
      <c r="BD50" s="1250">
        <f>IFERROR(Model!BD50/Model!BC50-1,"NA")</f>
        <v>4.8084319078866899E-2</v>
      </c>
      <c r="BE50" s="1250">
        <f>IFERROR(Model!BE50/Model!BD50-1,"NA")</f>
        <v>4.2520738817007686E-2</v>
      </c>
    </row>
    <row r="51" spans="2:57" s="70" customFormat="1" x14ac:dyDescent="0.2">
      <c r="B51" s="16"/>
      <c r="C51" s="17" t="s">
        <v>182</v>
      </c>
      <c r="D51" s="1250"/>
      <c r="E51" s="1250"/>
      <c r="F51" s="1250"/>
      <c r="G51" s="1250"/>
      <c r="H51" s="1250">
        <f>IFERROR(Model!H51/Model!D51-1,"NA")</f>
        <v>4.1771885521885599E-2</v>
      </c>
      <c r="I51" s="1250">
        <f>IFERROR(Model!I51/Model!E51-1,"NA")</f>
        <v>0.13173875325319129</v>
      </c>
      <c r="J51" s="1250">
        <f>IFERROR(Model!J51/Model!F51-1,"NA")</f>
        <v>-7.2068798449612448E-2</v>
      </c>
      <c r="K51" s="1250">
        <f>IFERROR(Model!K51/Model!G51-1,"NA")</f>
        <v>-3.9580289547084591E-2</v>
      </c>
      <c r="L51" s="1250">
        <f>IFERROR(Model!L51/Model!H51-1,"NA")</f>
        <v>-6.342793657206347E-2</v>
      </c>
      <c r="M51" s="1250">
        <f>IFERROR(Model!M51/Model!I51-1,"NA")</f>
        <v>-6.8878668418747235E-2</v>
      </c>
      <c r="N51" s="1250">
        <f>IFERROR(Model!N51/Model!J51-1,"NA")</f>
        <v>0.13797154418483237</v>
      </c>
      <c r="O51" s="1250">
        <f>IFERROR(Model!O51/Model!K51-1,"NA")</f>
        <v>-2.7658691743880359E-3</v>
      </c>
      <c r="P51" s="1250">
        <f>IFERROR(Model!P51/Model!L51-1,"NA")</f>
        <v>-2.6097271648873099E-2</v>
      </c>
      <c r="Q51" s="1250">
        <f>IFERROR(Model!Q51/Model!M51-1,"NA")</f>
        <v>-4.3514053863342728E-3</v>
      </c>
      <c r="R51" s="1250">
        <f>IFERROR(Model!R51/Model!N51-1,"NA")</f>
        <v>-5.2534985088322994E-2</v>
      </c>
      <c r="S51" s="1250">
        <f>IFERROR(Model!S51/Model!O51-1,"NA")</f>
        <v>1.31743170156704E-2</v>
      </c>
      <c r="T51" s="1250">
        <f>IFERROR(Model!T51/Model!P51-1,"NA")</f>
        <v>-0.12578894917506367</v>
      </c>
      <c r="U51" s="1250">
        <f>IFERROR(Model!U51/Model!Q51-1,"NA")</f>
        <v>2.6340656744625601E-2</v>
      </c>
      <c r="V51" s="1250">
        <f>IFERROR(Model!V51/Model!R51-1,"NA")</f>
        <v>2.4092009685229954E-2</v>
      </c>
      <c r="W51" s="1250">
        <f>IFERROR(Model!W51/Model!S51-1,"NA")</f>
        <v>0.12017519846701341</v>
      </c>
      <c r="X51" s="1250">
        <f>IFERROR(Model!X51/Model!T51-1,"NA")</f>
        <v>0.18036732108929709</v>
      </c>
      <c r="Y51" s="1250">
        <f>IFERROR(Model!Y51/Model!U51-1,"NA")</f>
        <v>8.4244447001956546E-2</v>
      </c>
      <c r="Z51" s="1250">
        <f>IFERROR(Model!Z51/Model!V51-1,"NA")</f>
        <v>0.11478898214919031</v>
      </c>
      <c r="AA51" s="1250">
        <f>IFERROR(Model!AA51/Model!W51-1,"NA")</f>
        <v>1.4662756598240456E-2</v>
      </c>
      <c r="AB51" s="1250">
        <f>IFERROR(Model!AB51/Model!X51-1,"NA")</f>
        <v>5.676574739778939E-2</v>
      </c>
      <c r="AC51" s="1250">
        <f>IFERROR(Model!AC51/Model!Y51-1,"NA")</f>
        <v>7.8722611355604766E-2</v>
      </c>
      <c r="AD51" s="1250">
        <f>IFERROR(Model!AD51/Model!Z51-1,"NA")</f>
        <v>5.3961385292930153E-2</v>
      </c>
      <c r="AE51" s="1250">
        <f>IFERROR(Model!AE51/Model!AA51-1,"NA")</f>
        <v>0.12772491605905989</v>
      </c>
      <c r="AF51" s="1250">
        <f>IFERROR(Model!AF51/Model!AB51-1,"NA")</f>
        <v>0.11298908981202382</v>
      </c>
      <c r="AG51" s="1250">
        <f>IFERROR(Model!AG51/Model!AC51-1,"NA")</f>
        <v>8.0701609707642952E-2</v>
      </c>
      <c r="AH51" s="1250">
        <f>IFERROR(Model!AH51/Model!AD51-1,"NA")</f>
        <v>7.4559989009851835E-2</v>
      </c>
      <c r="AI51" s="1250">
        <f>IFERROR(Model!AI51/Model!AE51-1,"NA")</f>
        <v>7.0336169853118635E-2</v>
      </c>
      <c r="AJ51" s="1250"/>
      <c r="AK51" s="1250"/>
      <c r="AL51" s="1250"/>
      <c r="AM51" s="1250"/>
      <c r="AN51" s="1250"/>
      <c r="AO51" s="1250"/>
      <c r="AP51" s="1250"/>
      <c r="AQ51" s="1250"/>
      <c r="AR51" s="1236"/>
      <c r="AS51" s="1371"/>
      <c r="AT51" s="1372"/>
      <c r="AU51" s="1236"/>
      <c r="AV51" s="1236">
        <f>IFERROR(Model!AV51/Model!AU51-1,"NA")</f>
        <v>1.6997421907788191E-2</v>
      </c>
      <c r="AW51" s="1236">
        <f>IFERROR(Model!AW51/Model!AV51-1,"NA")</f>
        <v>-6.4848931466470194E-3</v>
      </c>
      <c r="AX51" s="1236">
        <f>IFERROR(Model!AX51/Model!AW51-1,"NA")</f>
        <v>-1.9047619047619091E-2</v>
      </c>
      <c r="AY51" s="1236">
        <f>IFERROR(Model!AY51/Model!AX51-1,"NA")</f>
        <v>4.9602274445754713E-3</v>
      </c>
      <c r="AZ51" s="1236">
        <f>IFERROR(Model!AZ51/Model!AY51-1,"NA")</f>
        <v>9.7721732326120359E-2</v>
      </c>
      <c r="BA51" s="1236">
        <f>IFERROR(Model!BA51/Model!AZ51-1,"NA")</f>
        <v>7.7867228377691333E-2</v>
      </c>
      <c r="BB51" s="1250">
        <f>IFERROR(Model!BB51/Model!BA51-1,"NA")</f>
        <v>8.4767779781003583E-2</v>
      </c>
      <c r="BC51" s="1250">
        <f>IFERROR(Model!BC51/Model!BB51-1,"NA")</f>
        <v>6.822581488055568E-2</v>
      </c>
      <c r="BD51" s="1250">
        <f>IFERROR(Model!BD51/Model!BC51-1,"NA")</f>
        <v>6.158049963021317E-2</v>
      </c>
      <c r="BE51" s="1250">
        <f>IFERROR(Model!BE51/Model!BD51-1,"NA")</f>
        <v>5.9060204864002985E-2</v>
      </c>
    </row>
    <row r="52" spans="2:57" s="70" customFormat="1" x14ac:dyDescent="0.2">
      <c r="B52" s="16"/>
      <c r="C52" s="29" t="s">
        <v>183</v>
      </c>
      <c r="D52" s="1246"/>
      <c r="E52" s="1246"/>
      <c r="F52" s="1246"/>
      <c r="G52" s="1246"/>
      <c r="H52" s="1246">
        <f>IFERROR(Model!H52/Model!D52-1,"NA")</f>
        <v>5.6277056277056259E-2</v>
      </c>
      <c r="I52" s="1246">
        <f>IFERROR(Model!I52/Model!E52-1,"NA")</f>
        <v>6.6794810187409848E-2</v>
      </c>
      <c r="J52" s="1246">
        <f>IFERROR(Model!J52/Model!F52-1,"NA")</f>
        <v>0.15027458811782335</v>
      </c>
      <c r="K52" s="1246">
        <f>IFERROR(Model!K52/Model!G52-1,"NA")</f>
        <v>0.12935323383084585</v>
      </c>
      <c r="L52" s="1246">
        <f>IFERROR(Model!L52/Model!H52-1,"NA")</f>
        <v>0.31147540983606548</v>
      </c>
      <c r="M52" s="1246">
        <f>IFERROR(Model!M52/Model!I52-1,"NA")</f>
        <v>0.11486486486486491</v>
      </c>
      <c r="N52" s="1246">
        <f>IFERROR(Model!N52/Model!J52-1,"NA")</f>
        <v>0.11848958333333326</v>
      </c>
      <c r="O52" s="1246">
        <f>IFERROR(Model!O52/Model!K52-1,"NA")</f>
        <v>-9.9118942731277526E-2</v>
      </c>
      <c r="P52" s="1246">
        <f>IFERROR(Model!P52/Model!L52-1,"NA")</f>
        <v>-7.8125E-3</v>
      </c>
      <c r="Q52" s="1246">
        <f>IFERROR(Model!Q52/Model!M52-1,"NA")</f>
        <v>3.5959595959595969E-2</v>
      </c>
      <c r="R52" s="1246">
        <f>IFERROR(Model!R52/Model!N52-1,"NA")</f>
        <v>-0.15987582460225069</v>
      </c>
      <c r="S52" s="1246">
        <f>IFERROR(Model!S52/Model!O52-1,"NA")</f>
        <v>0.71980440097799514</v>
      </c>
      <c r="T52" s="1246">
        <f>IFERROR(Model!T52/Model!P52-1,"NA")</f>
        <v>-0.2338582677165354</v>
      </c>
      <c r="U52" s="1246">
        <f>IFERROR(Model!U52/Model!Q52-1,"NA")</f>
        <v>-0.53783151326053047</v>
      </c>
      <c r="V52" s="1246">
        <f>IFERROR(Model!V52/Model!R52-1,"NA")</f>
        <v>-0.47482678983833715</v>
      </c>
      <c r="W52" s="1246">
        <f>IFERROR(Model!W52/Model!S52-1,"NA")</f>
        <v>-0.75518908160363951</v>
      </c>
      <c r="X52" s="1246">
        <f>IFERROR(Model!X52/Model!T52-1,"NA")</f>
        <v>-0.38283658787255914</v>
      </c>
      <c r="Y52" s="1246">
        <f>IFERROR(Model!Y52/Model!U52-1,"NA")</f>
        <v>-0.44219409282700417</v>
      </c>
      <c r="Z52" s="1246">
        <f>IFERROR(Model!Z52/Model!V52-1,"NA")</f>
        <v>-0.54353562005277045</v>
      </c>
      <c r="AA52" s="1246">
        <f>IFERROR(Model!AA52/Model!W52-1,"NA")</f>
        <v>-0.12775842044134722</v>
      </c>
      <c r="AB52" s="1246">
        <f>IFERROR(Model!AB52/Model!X52-1,"NA")</f>
        <v>-0.50791007493755203</v>
      </c>
      <c r="AC52" s="1246">
        <f>IFERROR(Model!AC52/Model!Y52-1,"NA")</f>
        <v>-0.18664447806354023</v>
      </c>
      <c r="AD52" s="1246">
        <f>IFERROR(Model!AD52/Model!Z52-1,"NA")</f>
        <v>-7.9154612400031965E-3</v>
      </c>
      <c r="AE52" s="1246">
        <f>IFERROR(Model!AE52/Model!AA52-1,"NA")</f>
        <v>-0.34976724458712583</v>
      </c>
      <c r="AF52" s="1246">
        <f>IFERROR(Model!AF52/Model!AB52-1,"NA")</f>
        <v>-0.24242661928238651</v>
      </c>
      <c r="AG52" s="1246">
        <f>IFERROR(Model!AG52/Model!AC52-1,"NA")</f>
        <v>-0.21054886849964294</v>
      </c>
      <c r="AH52" s="1246">
        <f>IFERROR(Model!AH52/Model!AD52-1,"NA")</f>
        <v>-0.21121054453258403</v>
      </c>
      <c r="AI52" s="1246">
        <f>IFERROR(Model!AI52/Model!AE52-1,"NA")</f>
        <v>-0.21237368750304031</v>
      </c>
      <c r="AJ52" s="1236"/>
      <c r="AK52" s="1236"/>
      <c r="AL52" s="1236"/>
      <c r="AM52" s="1236"/>
      <c r="AN52" s="1236"/>
      <c r="AO52" s="1236"/>
      <c r="AP52" s="1236"/>
      <c r="AQ52" s="1236"/>
      <c r="AR52" s="1236"/>
      <c r="AS52" s="1371"/>
      <c r="AT52" s="1373"/>
      <c r="AU52" s="1246"/>
      <c r="AV52" s="1246">
        <f>IFERROR(Model!AV52/Model!AU52-1,"NA")</f>
        <v>0.10123394610929237</v>
      </c>
      <c r="AW52" s="1246">
        <f>IFERROR(Model!AW52/Model!AV52-1,"NA")</f>
        <v>0.10416190258403835</v>
      </c>
      <c r="AX52" s="1246">
        <f>IFERROR(Model!AX52/Model!AW52-1,"NA")</f>
        <v>0.11691001346173757</v>
      </c>
      <c r="AY52" s="1246">
        <f>IFERROR(Model!AY52/Model!AX52-1,"NA")</f>
        <v>-0.52447617281661407</v>
      </c>
      <c r="AZ52" s="1246">
        <f>IFERROR(Model!AZ52/Model!AY52-1,"NA")</f>
        <v>-0.38935465002924552</v>
      </c>
      <c r="BA52" s="1246">
        <f>IFERROR(Model!BA52/Model!AZ52-1,"NA")</f>
        <v>-0.31933439497716898</v>
      </c>
      <c r="BB52" s="1246">
        <f>IFERROR(Model!BB52/Model!BA52-1,"NA")</f>
        <v>-0.21996397595840655</v>
      </c>
      <c r="BC52" s="1246">
        <f>IFERROR(Model!BC52/Model!BB52-1,"NA")</f>
        <v>-0.20645874617514337</v>
      </c>
      <c r="BD52" s="1246">
        <f>IFERROR(Model!BD52/Model!BC52-1,"NA")</f>
        <v>-0.20442590185895138</v>
      </c>
      <c r="BE52" s="1246">
        <f>IFERROR(Model!BE52/Model!BD52-1,"NA")</f>
        <v>-0.20625256868807618</v>
      </c>
    </row>
    <row r="53" spans="2:57" s="70" customFormat="1" x14ac:dyDescent="0.2">
      <c r="B53" s="16"/>
      <c r="C53" s="16" t="s">
        <v>391</v>
      </c>
      <c r="D53" s="1345"/>
      <c r="E53" s="1345"/>
      <c r="F53" s="1345"/>
      <c r="G53" s="1345"/>
      <c r="H53" s="1345">
        <f>IFERROR(Model!H53/Model!D53-1,"NA")</f>
        <v>2.819989038911852E-2</v>
      </c>
      <c r="I53" s="1345">
        <f>IFERROR(Model!I53/Model!E53-1,"NA")</f>
        <v>7.6013694233443951E-2</v>
      </c>
      <c r="J53" s="1345">
        <f>IFERROR(Model!J53/Model!F53-1,"NA")</f>
        <v>-4.8023334548674357E-2</v>
      </c>
      <c r="K53" s="1345">
        <f>IFERROR(Model!K53/Model!G53-1,"NA")</f>
        <v>-2.6447886867814518E-2</v>
      </c>
      <c r="L53" s="1345">
        <f>IFERROR(Model!L53/Model!H53-1,"NA")</f>
        <v>-2.1224015118476491E-2</v>
      </c>
      <c r="M53" s="1345">
        <f>IFERROR(Model!M53/Model!I53-1,"NA")</f>
        <v>-3.2662192393736023E-2</v>
      </c>
      <c r="N53" s="1345">
        <f>IFERROR(Model!N53/Model!J53-1,"NA")</f>
        <v>9.755430322262959E-2</v>
      </c>
      <c r="O53" s="1345">
        <f>IFERROR(Model!O53/Model!K53-1,"NA")</f>
        <v>-8.0390308809669131E-3</v>
      </c>
      <c r="P53" s="1345">
        <f>IFERROR(Model!P53/Model!L53-1,"NA")</f>
        <v>-1.9307886529036145E-2</v>
      </c>
      <c r="Q53" s="1345">
        <f>IFERROR(Model!Q53/Model!M53-1,"NA")</f>
        <v>-1.5417823003391895E-2</v>
      </c>
      <c r="R53" s="1345">
        <f>IFERROR(Model!R53/Model!N53-1,"NA")</f>
        <v>-7.7966101694915246E-2</v>
      </c>
      <c r="S53" s="1345">
        <f>IFERROR(Model!S53/Model!O53-1,"NA")</f>
        <v>4.1638721216185948E-2</v>
      </c>
      <c r="T53" s="1345">
        <f>IFERROR(Model!T53/Model!P53-1,"NA")</f>
        <v>-0.11378666262809833</v>
      </c>
      <c r="U53" s="1345">
        <f>IFERROR(Model!U53/Model!Q53-1,"NA")</f>
        <v>-8.4037999791209961E-2</v>
      </c>
      <c r="V53" s="1345">
        <f>IFERROR(Model!V53/Model!R53-1,"NA")</f>
        <v>-3.979238754325265E-2</v>
      </c>
      <c r="W53" s="1345">
        <f>IFERROR(Model!W53/Model!S53-1,"NA")</f>
        <v>-8.7192144658475024E-2</v>
      </c>
      <c r="X53" s="1345">
        <f>IFERROR(Model!X53/Model!T53-1,"NA")</f>
        <v>4.6197664483053291E-2</v>
      </c>
      <c r="Y53" s="1345">
        <f>IFERROR(Model!Y53/Model!U53-1,"NA")</f>
        <v>3.4590836562571337E-2</v>
      </c>
      <c r="Z53" s="1345">
        <f>IFERROR(Model!Z53/Model!V53-1,"NA")</f>
        <v>3.7105855855855907E-2</v>
      </c>
      <c r="AA53" s="1345">
        <f>IFERROR(Model!AA53/Model!W53-1,"NA")</f>
        <v>2.8920761815189211E-2</v>
      </c>
      <c r="AB53" s="1345">
        <f>IFERROR(Model!AB53/Model!X53-1,"NA")</f>
        <v>2.7550909288903469E-2</v>
      </c>
      <c r="AC53" s="1345">
        <f>IFERROR(Model!AC53/Model!Y53-1,"NA")</f>
        <v>5.0664475996592628E-2</v>
      </c>
      <c r="AD53" s="1345">
        <f>IFERROR(Model!AD53/Model!Z53-1,"NA")</f>
        <v>3.9206943859490195E-2</v>
      </c>
      <c r="AE53" s="1345">
        <f>IFERROR(Model!AE53/Model!AA53-1,"NA")</f>
        <v>6.4601682445942332E-2</v>
      </c>
      <c r="AF53" s="1345">
        <f>IFERROR(Model!AF53/Model!AB53-1,"NA")</f>
        <v>6.3695010166508359E-2</v>
      </c>
      <c r="AG53" s="1345">
        <f>IFERROR(Model!AG53/Model!AC53-1,"NA")</f>
        <v>6.0847340278552098E-2</v>
      </c>
      <c r="AH53" s="1345">
        <f>IFERROR(Model!AH53/Model!AD53-1,"NA")</f>
        <v>5.6298994515702194E-2</v>
      </c>
      <c r="AI53" s="1345">
        <f>IFERROR(Model!AI53/Model!AE53-1,"NA")</f>
        <v>5.3949895466188114E-2</v>
      </c>
      <c r="AJ53" s="1345"/>
      <c r="AK53" s="1345"/>
      <c r="AL53" s="1345"/>
      <c r="AM53" s="1345"/>
      <c r="AN53" s="1345"/>
      <c r="AO53" s="1345"/>
      <c r="AP53" s="1345"/>
      <c r="AQ53" s="1345"/>
      <c r="AR53" s="1236"/>
      <c r="AS53" s="1371"/>
      <c r="AT53" s="1371"/>
      <c r="AU53" s="1345"/>
      <c r="AV53" s="1345">
        <f>IFERROR(Model!AV53/Model!AU53-1,"NA")</f>
        <v>7.5172242486043483E-3</v>
      </c>
      <c r="AW53" s="1345">
        <f>IFERROR(Model!AW53/Model!AV53-1,"NA")</f>
        <v>7.0459087016323529E-3</v>
      </c>
      <c r="AX53" s="1345">
        <f>IFERROR(Model!AX53/Model!AW53-1,"NA")</f>
        <v>-1.944362122949661E-2</v>
      </c>
      <c r="AY53" s="1345">
        <f>IFERROR(Model!AY53/Model!AX53-1,"NA")</f>
        <v>-8.1800262812089408E-2</v>
      </c>
      <c r="AZ53" s="1345">
        <f>IFERROR(Model!AZ53/Model!AY53-1,"NA")</f>
        <v>3.6765652951699535E-2</v>
      </c>
      <c r="BA53" s="1345">
        <f>IFERROR(Model!BA53/Model!AZ53-1,"NA")</f>
        <v>4.5259153417810394E-2</v>
      </c>
      <c r="BB53" s="1345">
        <f>IFERROR(Model!BB53/Model!BA53-1,"NA")</f>
        <v>5.8709914384143636E-2</v>
      </c>
      <c r="BC53" s="1345">
        <f>IFERROR(Model!BC53/Model!BB53-1,"NA")</f>
        <v>5.378073884019674E-2</v>
      </c>
      <c r="BD53" s="1345">
        <f>IFERROR(Model!BD53/Model!BC53-1,"NA")</f>
        <v>5.1417957859198893E-2</v>
      </c>
      <c r="BE53" s="1345">
        <f>IFERROR(Model!BE53/Model!BD53-1,"NA")</f>
        <v>4.85856263874056E-2</v>
      </c>
    </row>
    <row r="54" spans="2:57" s="70" customFormat="1" x14ac:dyDescent="0.2">
      <c r="B54" s="16"/>
      <c r="C54" s="16"/>
      <c r="D54" s="1250"/>
      <c r="E54" s="1250"/>
      <c r="F54" s="1250"/>
      <c r="G54" s="1250"/>
      <c r="H54" s="1250"/>
      <c r="I54" s="1250"/>
      <c r="J54" s="1250"/>
      <c r="K54" s="1250"/>
      <c r="L54" s="1250"/>
      <c r="M54" s="1250"/>
      <c r="N54" s="1250"/>
      <c r="O54" s="1250"/>
      <c r="P54" s="1250"/>
      <c r="Q54" s="1250"/>
      <c r="R54" s="1250"/>
      <c r="S54" s="1250"/>
      <c r="T54" s="1250"/>
      <c r="U54" s="1250"/>
      <c r="V54" s="1250"/>
      <c r="W54" s="1250"/>
      <c r="X54" s="1250"/>
      <c r="Y54" s="1250"/>
      <c r="Z54" s="1250"/>
      <c r="AA54" s="1250"/>
      <c r="AB54" s="1250"/>
      <c r="AC54" s="1250"/>
      <c r="AD54" s="1250"/>
      <c r="AE54" s="1250"/>
      <c r="AF54" s="1250"/>
      <c r="AG54" s="1250"/>
      <c r="AH54" s="1250"/>
      <c r="AI54" s="1250"/>
      <c r="AJ54" s="1250"/>
      <c r="AK54" s="1250"/>
      <c r="AL54" s="1250"/>
      <c r="AM54" s="1250"/>
      <c r="AN54" s="1250"/>
      <c r="AO54" s="1250"/>
      <c r="AP54" s="1250"/>
      <c r="AQ54" s="1250"/>
      <c r="AR54" s="1236"/>
      <c r="AS54" s="1371"/>
      <c r="AT54" s="1371"/>
      <c r="AU54" s="1236"/>
      <c r="AV54" s="1236"/>
      <c r="AW54" s="1236"/>
      <c r="AX54" s="1236"/>
      <c r="AY54" s="1236"/>
      <c r="AZ54" s="1236"/>
      <c r="BA54" s="1236"/>
      <c r="BB54" s="1250"/>
      <c r="BC54" s="1250"/>
      <c r="BD54" s="1250"/>
      <c r="BE54" s="1250"/>
    </row>
    <row r="55" spans="2:57" s="70" customFormat="1" x14ac:dyDescent="0.2">
      <c r="B55" s="16" t="s">
        <v>184</v>
      </c>
      <c r="C55" s="16"/>
      <c r="D55" s="1250"/>
      <c r="E55" s="1250"/>
      <c r="F55" s="1250"/>
      <c r="G55" s="1250"/>
      <c r="H55" s="1250"/>
      <c r="I55" s="1250"/>
      <c r="J55" s="1250"/>
      <c r="K55" s="1250"/>
      <c r="L55" s="1250"/>
      <c r="M55" s="1250"/>
      <c r="N55" s="1250"/>
      <c r="O55" s="1250"/>
      <c r="P55" s="1250"/>
      <c r="Q55" s="1250"/>
      <c r="R55" s="1250"/>
      <c r="S55" s="1250"/>
      <c r="T55" s="1250"/>
      <c r="U55" s="1250"/>
      <c r="V55" s="1250"/>
      <c r="W55" s="1250"/>
      <c r="X55" s="1250"/>
      <c r="Y55" s="1250"/>
      <c r="Z55" s="1250"/>
      <c r="AA55" s="1250"/>
      <c r="AB55" s="1250"/>
      <c r="AC55" s="1250"/>
      <c r="AD55" s="1250"/>
      <c r="AE55" s="1250"/>
      <c r="AF55" s="1250"/>
      <c r="AG55" s="1250"/>
      <c r="AH55" s="1250"/>
      <c r="AI55" s="1250"/>
      <c r="AJ55" s="1250"/>
      <c r="AK55" s="1250"/>
      <c r="AL55" s="1250"/>
      <c r="AM55" s="1250"/>
      <c r="AN55" s="1250"/>
      <c r="AO55" s="1250"/>
      <c r="AP55" s="1250"/>
      <c r="AQ55" s="1250"/>
      <c r="AR55" s="1236"/>
      <c r="AS55" s="1371"/>
      <c r="AT55" s="1371"/>
      <c r="AU55" s="1236"/>
      <c r="AV55" s="1236"/>
      <c r="AW55" s="1236"/>
      <c r="AX55" s="1236"/>
      <c r="AY55" s="1236"/>
      <c r="AZ55" s="1236"/>
      <c r="BA55" s="1236"/>
      <c r="BB55" s="1250"/>
      <c r="BC55" s="1250"/>
      <c r="BD55" s="1250"/>
      <c r="BE55" s="1250"/>
    </row>
    <row r="56" spans="2:57" s="70" customFormat="1" x14ac:dyDescent="0.2">
      <c r="B56" s="16"/>
      <c r="C56" s="17" t="s">
        <v>100</v>
      </c>
      <c r="D56" s="1250"/>
      <c r="E56" s="1250"/>
      <c r="F56" s="1250"/>
      <c r="G56" s="1250"/>
      <c r="H56" s="1250">
        <f>IFERROR(Model!H56/Model!D56-1,"NA")</f>
        <v>3.4189944134078276E-2</v>
      </c>
      <c r="I56" s="1250">
        <f>IFERROR(Model!I56/Model!E56-1,"NA")</f>
        <v>7.4398249452953813E-3</v>
      </c>
      <c r="J56" s="1250">
        <f>IFERROR(Model!J56/Model!F56-1,"NA")</f>
        <v>-2.9991431019708692E-2</v>
      </c>
      <c r="K56" s="1250">
        <f>IFERROR(Model!K56/Model!G56-1,"NA")</f>
        <v>-8.3103584088223714E-2</v>
      </c>
      <c r="L56" s="1250">
        <f>IFERROR(Model!L56/Model!H56-1,"NA")</f>
        <v>-1.5989628349178941E-2</v>
      </c>
      <c r="M56" s="1250">
        <f>IFERROR(Model!M56/Model!I56-1,"NA")</f>
        <v>4.3657688966116437E-2</v>
      </c>
      <c r="N56" s="1250">
        <f>IFERROR(Model!N56/Model!J56-1,"NA")</f>
        <v>2.3409893992932806E-2</v>
      </c>
      <c r="O56" s="1250">
        <f>IFERROR(Model!O56/Model!K56-1,"NA")</f>
        <v>3.221649484536071E-3</v>
      </c>
      <c r="P56" s="1250">
        <f>IFERROR(Model!P56/Model!L56-1,"NA")</f>
        <v>-5.5775142731664507E-2</v>
      </c>
      <c r="Q56" s="1250">
        <f>IFERROR(Model!Q56/Model!M56-1,"NA")</f>
        <v>-9.8022892819979224E-2</v>
      </c>
      <c r="R56" s="1250">
        <f>IFERROR(Model!R56/Model!N56-1,"NA")</f>
        <v>-8.8260681916271011E-2</v>
      </c>
      <c r="S56" s="1250">
        <f>IFERROR(Model!S56/Model!O56-1,"NA")</f>
        <v>-7.0862770284735643E-2</v>
      </c>
      <c r="T56" s="1250">
        <f>IFERROR(Model!T56/Model!P56-1,"NA")</f>
        <v>2.3488372093023235E-2</v>
      </c>
      <c r="U56" s="1250">
        <f>IFERROR(Model!U56/Model!Q56-1,"NA")</f>
        <v>-8.5371481310567709E-3</v>
      </c>
      <c r="V56" s="1250">
        <f>IFERROR(Model!V56/Model!R56-1,"NA")</f>
        <v>4.8284023668639042E-2</v>
      </c>
      <c r="W56" s="1250">
        <f>IFERROR(Model!W56/Model!S56-1,"NA")</f>
        <v>3.6866359447005337E-3</v>
      </c>
      <c r="X56" s="1250">
        <f>IFERROR(Model!X56/Model!T56-1,"NA")</f>
        <v>1.1361054305839557E-2</v>
      </c>
      <c r="Y56" s="1250">
        <f>IFERROR(Model!Y56/Model!U56-1,"NA")</f>
        <v>5.5852920642308623E-2</v>
      </c>
      <c r="Z56" s="1250">
        <f>IFERROR(Model!Z56/Model!V56-1,"NA")</f>
        <v>5.193045834274157E-3</v>
      </c>
      <c r="AA56" s="1250">
        <f>IFERROR(Model!AA56/Model!W56-1,"NA")</f>
        <v>4.7520661157024691E-2</v>
      </c>
      <c r="AB56" s="1250">
        <f>IFERROR(Model!AB56/Model!X56-1,"NA")</f>
        <v>5.1673781172770106E-2</v>
      </c>
      <c r="AC56" s="1250">
        <f>IFERROR(Model!AC56/Model!Y56-1,"NA")</f>
        <v>-5.3882844888755166E-3</v>
      </c>
      <c r="AD56" s="1250">
        <f>IFERROR(Model!AD56/Model!Z56-1,"NA")</f>
        <v>4.2109276735516898E-2</v>
      </c>
      <c r="AE56" s="1250">
        <f>IFERROR(Model!AE56/Model!AA56-1,"NA")</f>
        <v>2.8486560087309432E-2</v>
      </c>
      <c r="AF56" s="1250">
        <f>IFERROR(Model!AF56/Model!AB56-1,"NA")</f>
        <v>-1.8762097561605628E-2</v>
      </c>
      <c r="AG56" s="1250">
        <f>IFERROR(Model!AG56/Model!AC56-1,"NA")</f>
        <v>2.7026475848586751E-2</v>
      </c>
      <c r="AH56" s="1250">
        <f>IFERROR(Model!AH56/Model!AD56-1,"NA")</f>
        <v>2.2264155656808837E-2</v>
      </c>
      <c r="AI56" s="1250">
        <f>IFERROR(Model!AI56/Model!AE56-1,"NA")</f>
        <v>2.228707256308704E-2</v>
      </c>
      <c r="AJ56" s="1250"/>
      <c r="AK56" s="1250"/>
      <c r="AL56" s="1250"/>
      <c r="AM56" s="1250"/>
      <c r="AN56" s="1250"/>
      <c r="AO56" s="1250"/>
      <c r="AP56" s="1250"/>
      <c r="AQ56" s="1250"/>
      <c r="AR56" s="1236"/>
      <c r="AS56" s="1371"/>
      <c r="AT56" s="1372"/>
      <c r="AU56" s="1236"/>
      <c r="AV56" s="1236">
        <f>IFERROR(Model!AV56/Model!AU56-1,"NA")</f>
        <v>-1.9956362088233703E-2</v>
      </c>
      <c r="AW56" s="1236">
        <f>IFERROR(Model!AW56/Model!AV56-1,"NA")</f>
        <v>1.3466550825369294E-2</v>
      </c>
      <c r="AX56" s="1236">
        <f>IFERROR(Model!AX56/Model!AW56-1,"NA")</f>
        <v>-7.8493356193741981E-2</v>
      </c>
      <c r="AY56" s="1236">
        <f>IFERROR(Model!AY56/Model!AX56-1,"NA")</f>
        <v>1.6512587941159396E-2</v>
      </c>
      <c r="AZ56" s="1236">
        <f>IFERROR(Model!AZ56/Model!AY56-1,"NA")</f>
        <v>2.9743179088257188E-2</v>
      </c>
      <c r="BA56" s="1236">
        <f>IFERROR(Model!BA56/Model!AZ56-1,"NA")</f>
        <v>2.9051159638887158E-2</v>
      </c>
      <c r="BB56" s="1250">
        <f>IFERROR(Model!BB56/Model!BA56-1,"NA")</f>
        <v>1.3063786184986492E-2</v>
      </c>
      <c r="BC56" s="1250">
        <f>IFERROR(Model!BC56/Model!BB56-1,"NA")</f>
        <v>2.0877795515864328E-2</v>
      </c>
      <c r="BD56" s="1250">
        <f>IFERROR(Model!BD56/Model!BC56-1,"NA")</f>
        <v>2.8046997796703721E-2</v>
      </c>
      <c r="BE56" s="1250">
        <f>IFERROR(Model!BE56/Model!BD56-1,"NA")</f>
        <v>4.4109450821094187E-2</v>
      </c>
    </row>
    <row r="57" spans="2:57" s="70" customFormat="1" x14ac:dyDescent="0.2">
      <c r="B57" s="16"/>
      <c r="C57" s="17" t="s">
        <v>182</v>
      </c>
      <c r="D57" s="1250"/>
      <c r="E57" s="1250"/>
      <c r="F57" s="1250"/>
      <c r="G57" s="1250"/>
      <c r="H57" s="1250">
        <f>IFERROR(Model!H57/Model!D57-1,"NA")</f>
        <v>-3.1158714703018453E-2</v>
      </c>
      <c r="I57" s="1250">
        <f>IFERROR(Model!I57/Model!E57-1,"NA")</f>
        <v>-1.7599999999999949E-2</v>
      </c>
      <c r="J57" s="1250">
        <f>IFERROR(Model!J57/Model!F57-1,"NA")</f>
        <v>-1.9463224749026842E-2</v>
      </c>
      <c r="K57" s="1250">
        <f>IFERROR(Model!K57/Model!G57-1,"NA")</f>
        <v>-1.9969570178775209E-2</v>
      </c>
      <c r="L57" s="1250">
        <f>IFERROR(Model!L57/Model!H57-1,"NA")</f>
        <v>-1.7688442211055255E-2</v>
      </c>
      <c r="M57" s="1250">
        <f>IFERROR(Model!M57/Model!I57-1,"NA")</f>
        <v>-2.9112377850162852E-2</v>
      </c>
      <c r="N57" s="1250">
        <f>IFERROR(Model!N57/Model!J57-1,"NA")</f>
        <v>3.1759297952361099E-2</v>
      </c>
      <c r="O57" s="1250">
        <f>IFERROR(Model!O57/Model!K57-1,"NA")</f>
        <v>-4.7933242771201257E-2</v>
      </c>
      <c r="P57" s="1250">
        <f>IFERROR(Model!P57/Model!L57-1,"NA")</f>
        <v>-4.7677511765909508E-2</v>
      </c>
      <c r="Q57" s="1250">
        <f>IFERROR(Model!Q57/Model!M57-1,"NA")</f>
        <v>1.63556301111345E-2</v>
      </c>
      <c r="R57" s="1250">
        <f>IFERROR(Model!R57/Model!N57-1,"NA")</f>
        <v>-4.4552450384771181E-2</v>
      </c>
      <c r="S57" s="1250">
        <f>IFERROR(Model!S57/Model!O57-1,"NA")</f>
        <v>-7.7456176110884956E-3</v>
      </c>
      <c r="T57" s="1250">
        <f>IFERROR(Model!T57/Model!P57-1,"NA")</f>
        <v>4.6841426729694824E-2</v>
      </c>
      <c r="U57" s="1250">
        <f>IFERROR(Model!U57/Model!Q57-1,"NA")</f>
        <v>-1.7330307406643319E-2</v>
      </c>
      <c r="V57" s="1250">
        <f>IFERROR(Model!V57/Model!R57-1,"NA")</f>
        <v>-6.570580754556965E-3</v>
      </c>
      <c r="W57" s="1250">
        <f>IFERROR(Model!W57/Model!S57-1,"NA")</f>
        <v>-4.8069022185702526E-2</v>
      </c>
      <c r="X57" s="1250">
        <f>IFERROR(Model!X57/Model!T57-1,"NA")</f>
        <v>5.4597701149425193E-2</v>
      </c>
      <c r="Y57" s="1250">
        <f>IFERROR(Model!Y57/Model!U57-1,"NA")</f>
        <v>9.741759395339078E-2</v>
      </c>
      <c r="Z57" s="1250">
        <f>IFERROR(Model!Z57/Model!V57-1,"NA")</f>
        <v>9.622359718369955E-2</v>
      </c>
      <c r="AA57" s="1250">
        <f>IFERROR(Model!AA57/Model!W57-1,"NA")</f>
        <v>5.9991368148467838E-2</v>
      </c>
      <c r="AB57" s="1250">
        <f>IFERROR(Model!AB57/Model!X57-1,"NA")</f>
        <v>7.1039314908524664E-2</v>
      </c>
      <c r="AC57" s="1250">
        <f>IFERROR(Model!AC57/Model!Y57-1,"NA")</f>
        <v>8.878546089256667E-2</v>
      </c>
      <c r="AD57" s="1250">
        <f>IFERROR(Model!AD57/Model!Z57-1,"NA")</f>
        <v>6.3910222814671735E-2</v>
      </c>
      <c r="AE57" s="1250">
        <f>IFERROR(Model!AE57/Model!AA57-1,"NA")</f>
        <v>2.9498973858997024E-2</v>
      </c>
      <c r="AF57" s="1250">
        <f>IFERROR(Model!AF57/Model!AB57-1,"NA")</f>
        <v>8.5515268630838026E-2</v>
      </c>
      <c r="AG57" s="1250">
        <f>IFERROR(Model!AG57/Model!AC57-1,"NA")</f>
        <v>3.2456002131408868E-2</v>
      </c>
      <c r="AH57" s="1250">
        <f>IFERROR(Model!AH57/Model!AD57-1,"NA")</f>
        <v>4.5253807491401288E-2</v>
      </c>
      <c r="AI57" s="1250">
        <f>IFERROR(Model!AI57/Model!AE57-1,"NA")</f>
        <v>5.0515129670653636E-2</v>
      </c>
      <c r="AJ57" s="1250"/>
      <c r="AK57" s="1250"/>
      <c r="AL57" s="1250"/>
      <c r="AM57" s="1250"/>
      <c r="AN57" s="1250"/>
      <c r="AO57" s="1250"/>
      <c r="AP57" s="1250"/>
      <c r="AQ57" s="1250"/>
      <c r="AR57" s="1236"/>
      <c r="AS57" s="1371"/>
      <c r="AT57" s="1372"/>
      <c r="AU57" s="1236"/>
      <c r="AV57" s="1236">
        <f>IFERROR(Model!AV57/Model!AU57-1,"NA")</f>
        <v>-2.2097267436125057E-2</v>
      </c>
      <c r="AW57" s="1236">
        <f>IFERROR(Model!AW57/Model!AV57-1,"NA")</f>
        <v>-1.6443054574800775E-2</v>
      </c>
      <c r="AX57" s="1236">
        <f>IFERROR(Model!AX57/Model!AW57-1,"NA")</f>
        <v>-2.1179487179487144E-2</v>
      </c>
      <c r="AY57" s="1236">
        <f>IFERROR(Model!AY57/Model!AX57-1,"NA")</f>
        <v>-6.8633101063551027E-3</v>
      </c>
      <c r="AZ57" s="1236">
        <f>IFERROR(Model!AZ57/Model!AY57-1,"NA")</f>
        <v>7.6967714707744328E-2</v>
      </c>
      <c r="BA57" s="1236">
        <f>IFERROR(Model!BA57/Model!AZ57-1,"NA")</f>
        <v>6.379384219949169E-2</v>
      </c>
      <c r="BB57" s="1250">
        <f>IFERROR(Model!BB57/Model!BA57-1,"NA")</f>
        <v>5.3327141956483137E-2</v>
      </c>
      <c r="BC57" s="1250">
        <f>IFERROR(Model!BC57/Model!BB57-1,"NA")</f>
        <v>4.5532842613288382E-2</v>
      </c>
      <c r="BD57" s="1250">
        <f>IFERROR(Model!BD57/Model!BC57-1,"NA")</f>
        <v>5.14702091575443E-2</v>
      </c>
      <c r="BE57" s="1250">
        <f>IFERROR(Model!BE57/Model!BD57-1,"NA")</f>
        <v>4.8876933663387634E-2</v>
      </c>
    </row>
    <row r="58" spans="2:57" s="70" customFormat="1" x14ac:dyDescent="0.2">
      <c r="B58" s="16"/>
      <c r="C58" s="29" t="s">
        <v>183</v>
      </c>
      <c r="D58" s="1246"/>
      <c r="E58" s="1246"/>
      <c r="F58" s="1246"/>
      <c r="G58" s="1246"/>
      <c r="H58" s="1246">
        <f>IFERROR(Model!H58/Model!D58-1,"NA")</f>
        <v>3.0710172744721653E-2</v>
      </c>
      <c r="I58" s="1246">
        <f>IFERROR(Model!I58/Model!E58-1,"NA")</f>
        <v>8.6669418076764426E-2</v>
      </c>
      <c r="J58" s="1246">
        <f>IFERROR(Model!J58/Model!F58-1,"NA")</f>
        <v>-7.1091908876669274E-2</v>
      </c>
      <c r="K58" s="1246">
        <f>IFERROR(Model!K58/Model!G58-1,"NA")</f>
        <v>-0.26906093612010595</v>
      </c>
      <c r="L58" s="1246">
        <f>IFERROR(Model!L58/Model!H58-1,"NA")</f>
        <v>8.566108007448836E-3</v>
      </c>
      <c r="M58" s="1246">
        <f>IFERROR(Model!M58/Model!I58-1,"NA")</f>
        <v>1.2586403342195216</v>
      </c>
      <c r="N58" s="1246">
        <f>IFERROR(Model!N58/Model!J58-1,"NA")</f>
        <v>0.43044397463002104</v>
      </c>
      <c r="O58" s="1246">
        <f>IFERROR(Model!O58/Model!K58-1,"NA")</f>
        <v>0.95287958115183247</v>
      </c>
      <c r="P58" s="1246">
        <f>IFERROR(Model!P58/Model!L58-1,"NA")</f>
        <v>-0.28729689807976366</v>
      </c>
      <c r="Q58" s="1246">
        <f>IFERROR(Model!Q58/Model!M58-1,"NA")</f>
        <v>-0.70623843954935261</v>
      </c>
      <c r="R58" s="1246">
        <f>IFERROR(Model!R58/Model!N58-1,"NA")</f>
        <v>-0.48980195093112622</v>
      </c>
      <c r="S58" s="1246">
        <f>IFERROR(Model!S58/Model!O58-1,"NA")</f>
        <v>-0.60280470200041247</v>
      </c>
      <c r="T58" s="1246">
        <f>IFERROR(Model!T58/Model!P58-1,"NA")</f>
        <v>-0.35233160621761661</v>
      </c>
      <c r="U58" s="1246">
        <f>IFERROR(Model!U58/Model!Q58-1,"NA")</f>
        <v>-0.25071551230681166</v>
      </c>
      <c r="V58" s="1246">
        <f>IFERROR(Model!V58/Model!R58-1,"NA")</f>
        <v>-0.25376593279258397</v>
      </c>
      <c r="W58" s="1246">
        <f>IFERROR(Model!W58/Model!S58-1,"NA")</f>
        <v>-0.41329179646936653</v>
      </c>
      <c r="X58" s="1246">
        <f>IFERROR(Model!X58/Model!T58-1,"NA")</f>
        <v>-9.2799999999999994E-2</v>
      </c>
      <c r="Y58" s="1246">
        <f>IFERROR(Model!Y58/Model!U58-1,"NA")</f>
        <v>-0.23911382734912145</v>
      </c>
      <c r="Z58" s="1246">
        <f>IFERROR(Model!Z58/Model!V58-1,"NA")</f>
        <v>-0.35791925465838514</v>
      </c>
      <c r="AA58" s="1246">
        <f>IFERROR(Model!AA58/Model!W58-1,"NA")</f>
        <v>-0.24159292035398228</v>
      </c>
      <c r="AB58" s="1246">
        <f>IFERROR(Model!AB58/Model!X58-1,"NA")</f>
        <v>-0.34656084656084651</v>
      </c>
      <c r="AC58" s="1246">
        <f>IFERROR(Model!AC58/Model!Y58-1,"NA")</f>
        <v>-0.28748096385542177</v>
      </c>
      <c r="AD58" s="1246">
        <f>IFERROR(Model!AD58/Model!Z58-1,"NA")</f>
        <v>-0.17193930523595757</v>
      </c>
      <c r="AE58" s="1246">
        <f>IFERROR(Model!AE58/Model!AA58-1,"NA")</f>
        <v>-0.22506216211377683</v>
      </c>
      <c r="AF58" s="1246">
        <f>IFERROR(Model!AF58/Model!AB58-1,"NA")</f>
        <v>-0.21451602104542178</v>
      </c>
      <c r="AG58" s="1246">
        <f>IFERROR(Model!AG58/Model!AC58-1,"NA")</f>
        <v>-0.22251024927995133</v>
      </c>
      <c r="AH58" s="1246">
        <f>IFERROR(Model!AH58/Model!AD58-1,"NA")</f>
        <v>-0.22900278788899198</v>
      </c>
      <c r="AI58" s="1246">
        <f>IFERROR(Model!AI58/Model!AE58-1,"NA")</f>
        <v>-0.24712190717202387</v>
      </c>
      <c r="AJ58" s="1236"/>
      <c r="AK58" s="1236"/>
      <c r="AL58" s="1236"/>
      <c r="AM58" s="1236"/>
      <c r="AN58" s="1236"/>
      <c r="AO58" s="1236"/>
      <c r="AP58" s="1236"/>
      <c r="AQ58" s="1236"/>
      <c r="AR58" s="1236"/>
      <c r="AS58" s="1371"/>
      <c r="AT58" s="1373"/>
      <c r="AU58" s="1246"/>
      <c r="AV58" s="1246">
        <f>IFERROR(Model!AV58/Model!AU58-1,"NA")</f>
        <v>-7.3375262054507284E-2</v>
      </c>
      <c r="AW58" s="1246">
        <f>IFERROR(Model!AW58/Model!AV58-1,"NA")</f>
        <v>0.66112531969309463</v>
      </c>
      <c r="AX58" s="1246">
        <f>IFERROR(Model!AX58/Model!AW58-1,"NA")</f>
        <v>-0.56599751287972999</v>
      </c>
      <c r="AY58" s="1246">
        <f>IFERROR(Model!AY58/Model!AX58-1,"NA")</f>
        <v>-0.3209169054441261</v>
      </c>
      <c r="AZ58" s="1246">
        <f>IFERROR(Model!AZ58/Model!AY58-1,"NA")</f>
        <v>-0.2336749045609805</v>
      </c>
      <c r="BA58" s="1246">
        <f>IFERROR(Model!BA58/Model!AZ58-1,"NA")</f>
        <v>-0.26596830581060393</v>
      </c>
      <c r="BB58" s="1246">
        <f>IFERROR(Model!BB58/Model!BA58-1,"NA")</f>
        <v>-0.22782085109515637</v>
      </c>
      <c r="BC58" s="1246">
        <f>IFERROR(Model!BC58/Model!BB58-1,"NA")</f>
        <v>-0.20645874617514326</v>
      </c>
      <c r="BD58" s="1246">
        <f>IFERROR(Model!BD58/Model!BC58-1,"NA")</f>
        <v>-0.20442590185895138</v>
      </c>
      <c r="BE58" s="1246">
        <f>IFERROR(Model!BE58/Model!BD58-1,"NA")</f>
        <v>-0.20625256868807629</v>
      </c>
    </row>
    <row r="59" spans="2:57" s="70" customFormat="1" x14ac:dyDescent="0.2">
      <c r="B59" s="16"/>
      <c r="C59" s="16" t="s">
        <v>404</v>
      </c>
      <c r="D59" s="1345"/>
      <c r="E59" s="1345"/>
      <c r="F59" s="1345"/>
      <c r="G59" s="1345"/>
      <c r="H59" s="1345">
        <f>IFERROR(Model!H59/Model!D59-1,"NA")</f>
        <v>5.9762586983216348E-3</v>
      </c>
      <c r="I59" s="1345">
        <f>IFERROR(Model!I59/Model!E59-1,"NA")</f>
        <v>1.3007587759526373E-2</v>
      </c>
      <c r="J59" s="1345">
        <f>IFERROR(Model!J59/Model!F59-1,"NA")</f>
        <v>-3.4394377842083546E-2</v>
      </c>
      <c r="K59" s="1345">
        <f>IFERROR(Model!K59/Model!G59-1,"NA")</f>
        <v>-0.10492973130415784</v>
      </c>
      <c r="L59" s="1345">
        <f>IFERROR(Model!L59/Model!H59-1,"NA")</f>
        <v>-1.131184895833337E-2</v>
      </c>
      <c r="M59" s="1345">
        <f>IFERROR(Model!M59/Model!I59-1,"NA")</f>
        <v>0.2775537081241255</v>
      </c>
      <c r="N59" s="1345">
        <f>IFERROR(Model!N59/Model!J59-1,"NA")</f>
        <v>0.10925592944601425</v>
      </c>
      <c r="O59" s="1345">
        <f>IFERROR(Model!O59/Model!K59-1,"NA")</f>
        <v>0.17360885128538883</v>
      </c>
      <c r="P59" s="1345">
        <f>IFERROR(Model!P59/Model!L59-1,"NA")</f>
        <v>-0.1041237961972179</v>
      </c>
      <c r="Q59" s="1345">
        <f>IFERROR(Model!Q59/Model!M59-1,"NA")</f>
        <v>-0.2959216545325688</v>
      </c>
      <c r="R59" s="1345">
        <f>IFERROR(Model!R59/Model!N59-1,"NA")</f>
        <v>-0.17645696642223085</v>
      </c>
      <c r="S59" s="1345">
        <f>IFERROR(Model!S59/Model!O59-1,"NA")</f>
        <v>-0.22819908498544295</v>
      </c>
      <c r="T59" s="1345">
        <f>IFERROR(Model!T59/Model!P59-1,"NA")</f>
        <v>-3.3167952958471192E-2</v>
      </c>
      <c r="U59" s="1345">
        <f>IFERROR(Model!U59/Model!Q59-1,"NA")</f>
        <v>-5.1153001464128822E-2</v>
      </c>
      <c r="V59" s="1345">
        <f>IFERROR(Model!V59/Model!R59-1,"NA")</f>
        <v>-2.4838316618239764E-2</v>
      </c>
      <c r="W59" s="1345">
        <f>IFERROR(Model!W59/Model!S59-1,"NA")</f>
        <v>-9.1072390874797904E-2</v>
      </c>
      <c r="X59" s="1345">
        <f>IFERROR(Model!X59/Model!T59-1,"NA")</f>
        <v>1.9005986885868964E-2</v>
      </c>
      <c r="Y59" s="1345">
        <f>IFERROR(Model!Y59/Model!U59-1,"NA")</f>
        <v>3.7708554344681344E-2</v>
      </c>
      <c r="Z59" s="1345">
        <f>IFERROR(Model!Z59/Model!V59-1,"NA")</f>
        <v>1.249519415609468E-3</v>
      </c>
      <c r="AA59" s="1345">
        <f>IFERROR(Model!AA59/Model!W59-1,"NA")</f>
        <v>2.0948616600790615E-2</v>
      </c>
      <c r="AB59" s="1345">
        <f>IFERROR(Model!AB59/Model!X59-1,"NA")</f>
        <v>1.8838011750442973E-2</v>
      </c>
      <c r="AC59" s="1345">
        <f>IFERROR(Model!AC59/Model!Y59-1,"NA")</f>
        <v>1.4247575962771375E-2</v>
      </c>
      <c r="AD59" s="1345">
        <f>IFERROR(Model!AD59/Model!Z59-1,"NA")</f>
        <v>3.5869004456001496E-2</v>
      </c>
      <c r="AE59" s="1345">
        <f>IFERROR(Model!AE59/Model!AA59-1,"NA")</f>
        <v>7.9369783529112947E-3</v>
      </c>
      <c r="AF59" s="1345">
        <f>IFERROR(Model!AF59/Model!AB59-1,"NA")</f>
        <v>2.0485928878257953E-2</v>
      </c>
      <c r="AG59" s="1345">
        <f>IFERROR(Model!AG59/Model!AC59-1,"NA")</f>
        <v>1.3631028222119257E-2</v>
      </c>
      <c r="AH59" s="1345">
        <f>IFERROR(Model!AH59/Model!AD59-1,"NA")</f>
        <v>1.7964209799543607E-2</v>
      </c>
      <c r="AI59" s="1345">
        <f>IFERROR(Model!AI59/Model!AE59-1,"NA")</f>
        <v>1.8813488214327379E-2</v>
      </c>
      <c r="AJ59" s="1345"/>
      <c r="AK59" s="1345"/>
      <c r="AL59" s="1345"/>
      <c r="AM59" s="1345"/>
      <c r="AN59" s="1345"/>
      <c r="AO59" s="1345"/>
      <c r="AP59" s="1345"/>
      <c r="AQ59" s="1345"/>
      <c r="AR59" s="1236"/>
      <c r="AS59" s="1371"/>
      <c r="AT59" s="1371"/>
      <c r="AU59" s="1345"/>
      <c r="AV59" s="1345">
        <f>IFERROR(Model!AV59/Model!AU59-1,"NA")</f>
        <v>-3.2536573666959834E-2</v>
      </c>
      <c r="AW59" s="1345">
        <f>IFERROR(Model!AW59/Model!AV59-1,"NA")</f>
        <v>0.13722938357296321</v>
      </c>
      <c r="AX59" s="1345">
        <f>IFERROR(Model!AX59/Model!AW59-1,"NA")</f>
        <v>-0.20773464605547587</v>
      </c>
      <c r="AY59" s="1345">
        <f>IFERROR(Model!AY59/Model!AX59-1,"NA")</f>
        <v>-5.0418434024991354E-2</v>
      </c>
      <c r="AZ59" s="1345">
        <f>IFERROR(Model!AZ59/Model!AY59-1,"NA")</f>
        <v>1.9702530423024944E-2</v>
      </c>
      <c r="BA59" s="1345">
        <f>IFERROR(Model!BA59/Model!AZ59-1,"NA")</f>
        <v>1.9202410426213845E-2</v>
      </c>
      <c r="BB59" s="1345">
        <f>IFERROR(Model!BB59/Model!BA59-1,"NA")</f>
        <v>1.7711086920173313E-2</v>
      </c>
      <c r="BC59" s="1345">
        <f>IFERROR(Model!BC59/Model!BB59-1,"NA")</f>
        <v>2.2533805145247499E-2</v>
      </c>
      <c r="BD59" s="1345">
        <f>IFERROR(Model!BD59/Model!BC59-1,"NA")</f>
        <v>3.1650603662271459E-2</v>
      </c>
      <c r="BE59" s="1345">
        <f>IFERROR(Model!BE59/Model!BD59-1,"NA")</f>
        <v>3.9309701637524785E-2</v>
      </c>
    </row>
    <row r="60" spans="2:57" s="70" customFormat="1" x14ac:dyDescent="0.2">
      <c r="B60" s="16"/>
      <c r="C60" s="16"/>
      <c r="D60" s="1345"/>
      <c r="E60" s="1345"/>
      <c r="F60" s="1345"/>
      <c r="G60" s="1345"/>
      <c r="H60" s="1345"/>
      <c r="I60" s="1345"/>
      <c r="J60" s="1345"/>
      <c r="K60" s="1345"/>
      <c r="L60" s="1345"/>
      <c r="M60" s="1345"/>
      <c r="N60" s="1345"/>
      <c r="O60" s="1345"/>
      <c r="P60" s="1345"/>
      <c r="Q60" s="1345"/>
      <c r="R60" s="1345"/>
      <c r="S60" s="1345"/>
      <c r="T60" s="1345"/>
      <c r="U60" s="1345"/>
      <c r="V60" s="1345"/>
      <c r="W60" s="1345"/>
      <c r="X60" s="1345"/>
      <c r="Y60" s="1345"/>
      <c r="Z60" s="1345"/>
      <c r="AA60" s="1345"/>
      <c r="AB60" s="1345"/>
      <c r="AC60" s="1345"/>
      <c r="AD60" s="1345"/>
      <c r="AE60" s="1345"/>
      <c r="AF60" s="1345"/>
      <c r="AG60" s="1345"/>
      <c r="AH60" s="1345"/>
      <c r="AI60" s="1345"/>
      <c r="AJ60" s="1345"/>
      <c r="AK60" s="1345"/>
      <c r="AL60" s="1345"/>
      <c r="AM60" s="1345"/>
      <c r="AN60" s="1345"/>
      <c r="AO60" s="1345"/>
      <c r="AP60" s="1345"/>
      <c r="AQ60" s="1345"/>
      <c r="AR60" s="1236"/>
      <c r="AS60" s="1371"/>
      <c r="AT60" s="1371"/>
      <c r="AU60" s="1236"/>
      <c r="AV60" s="1236"/>
      <c r="AW60" s="1236"/>
      <c r="AX60" s="1236"/>
      <c r="AY60" s="1236"/>
      <c r="AZ60" s="1236"/>
      <c r="BA60" s="1236"/>
      <c r="BB60" s="1345"/>
      <c r="BC60" s="1345"/>
      <c r="BD60" s="1345"/>
      <c r="BE60" s="1345"/>
    </row>
    <row r="61" spans="2:57" s="70" customFormat="1" x14ac:dyDescent="0.2">
      <c r="B61" s="16" t="s">
        <v>185</v>
      </c>
      <c r="C61" s="16"/>
      <c r="D61" s="1250"/>
      <c r="E61" s="1250"/>
      <c r="F61" s="1250"/>
      <c r="G61" s="1250"/>
      <c r="H61" s="1250"/>
      <c r="I61" s="1250"/>
      <c r="J61" s="1250"/>
      <c r="K61" s="1250"/>
      <c r="L61" s="1250"/>
      <c r="M61" s="1250"/>
      <c r="N61" s="1250"/>
      <c r="O61" s="1250"/>
      <c r="P61" s="1250"/>
      <c r="Q61" s="1250"/>
      <c r="R61" s="1250"/>
      <c r="S61" s="1250"/>
      <c r="T61" s="1250"/>
      <c r="U61" s="1250"/>
      <c r="V61" s="1250"/>
      <c r="W61" s="1250"/>
      <c r="X61" s="1250"/>
      <c r="Y61" s="1250"/>
      <c r="Z61" s="1250"/>
      <c r="AA61" s="1250"/>
      <c r="AB61" s="1250"/>
      <c r="AC61" s="1250"/>
      <c r="AD61" s="1250"/>
      <c r="AE61" s="1250"/>
      <c r="AF61" s="1250"/>
      <c r="AG61" s="1250"/>
      <c r="AH61" s="1250"/>
      <c r="AI61" s="1250"/>
      <c r="AJ61" s="1250"/>
      <c r="AK61" s="1250"/>
      <c r="AL61" s="1250"/>
      <c r="AM61" s="1250"/>
      <c r="AN61" s="1250"/>
      <c r="AO61" s="1250"/>
      <c r="AP61" s="1250"/>
      <c r="AQ61" s="1250"/>
      <c r="AR61" s="1236"/>
      <c r="AS61" s="1371"/>
      <c r="AT61" s="1371"/>
      <c r="AU61" s="1236"/>
      <c r="AV61" s="1236"/>
      <c r="AW61" s="1236"/>
      <c r="AX61" s="1236"/>
      <c r="AY61" s="1236"/>
      <c r="AZ61" s="1236"/>
      <c r="BA61" s="1236"/>
      <c r="BB61" s="1250"/>
      <c r="BC61" s="1250"/>
      <c r="BD61" s="1250"/>
      <c r="BE61" s="1250"/>
    </row>
    <row r="62" spans="2:57" s="70" customFormat="1" x14ac:dyDescent="0.2">
      <c r="B62" s="16"/>
      <c r="C62" s="17" t="s">
        <v>100</v>
      </c>
      <c r="D62" s="1250"/>
      <c r="E62" s="1250"/>
      <c r="F62" s="1250"/>
      <c r="G62" s="1250"/>
      <c r="H62" s="1250">
        <f>IFERROR(Model!H62/Model!D62-1,"NA")</f>
        <v>0.14553990610328649</v>
      </c>
      <c r="I62" s="1250">
        <f>IFERROR(Model!I62/Model!E62-1,"NA")</f>
        <v>0.26846220677671595</v>
      </c>
      <c r="J62" s="1250">
        <f>IFERROR(Model!J62/Model!F62-1,"NA")</f>
        <v>0.15662650602409633</v>
      </c>
      <c r="K62" s="1250">
        <f>IFERROR(Model!K62/Model!G62-1,"NA")</f>
        <v>4.268292682926722E-3</v>
      </c>
      <c r="L62" s="1250">
        <f>IFERROR(Model!L62/Model!H62-1,"NA")</f>
        <v>-6.83060109289646E-4</v>
      </c>
      <c r="M62" s="1250">
        <f>IFERROR(Model!M62/Model!I62-1,"NA")</f>
        <v>-6.3013698630136949E-2</v>
      </c>
      <c r="N62" s="1250">
        <f>IFERROR(Model!N62/Model!J62-1,"NA")</f>
        <v>-0.166015625</v>
      </c>
      <c r="O62" s="1250">
        <f>IFERROR(Model!O62/Model!K62-1,"NA")</f>
        <v>-0.1505768063145112</v>
      </c>
      <c r="P62" s="1250">
        <f>IFERROR(Model!P62/Model!L62-1,"NA")</f>
        <v>-6.4935064935064957E-2</v>
      </c>
      <c r="Q62" s="1250">
        <f>IFERROR(Model!Q62/Model!M62-1,"NA")</f>
        <v>4.0935672514619936E-2</v>
      </c>
      <c r="R62" s="1250">
        <f>IFERROR(Model!R62/Model!N62-1,"NA")</f>
        <v>-7.8064012490242085E-4</v>
      </c>
      <c r="S62" s="1250">
        <f>IFERROR(Model!S62/Model!O62-1,"NA")</f>
        <v>-1.4295925661186315E-3</v>
      </c>
      <c r="T62" s="1250">
        <f>IFERROR(Model!T62/Model!P62-1,"NA")</f>
        <v>8.5526315789473673E-2</v>
      </c>
      <c r="U62" s="1250">
        <f>IFERROR(Model!U62/Model!Q62-1,"NA")</f>
        <v>7.0224719101119604E-4</v>
      </c>
      <c r="V62" s="1250">
        <f>IFERROR(Model!V62/Model!R62-1,"NA")</f>
        <v>0.41250000000000009</v>
      </c>
      <c r="W62" s="1250">
        <f>IFERROR(Model!W62/Model!S62-1,"NA")</f>
        <v>0.22333571939871155</v>
      </c>
      <c r="X62" s="1250">
        <f>IFERROR(Model!X62/Model!T62-1,"NA")</f>
        <v>0.22222222222222232</v>
      </c>
      <c r="Y62" s="1250">
        <f>IFERROR(Model!Y62/Model!U62-1,"NA")</f>
        <v>0.23649122807017542</v>
      </c>
      <c r="Z62" s="1250">
        <f>IFERROR(Model!Z62/Model!V62-1,"NA")</f>
        <v>0.22400442477876115</v>
      </c>
      <c r="AA62" s="1250">
        <f>IFERROR(Model!AA62/Model!W62-1,"NA")</f>
        <v>8.3089526038619077E-2</v>
      </c>
      <c r="AB62" s="1250">
        <f>IFERROR(Model!AB62/Model!X62-1,"NA")</f>
        <v>4.9586776859504189E-2</v>
      </c>
      <c r="AC62" s="1250">
        <f>IFERROR(Model!AC62/Model!Y62-1,"NA")</f>
        <v>0.12163965212321015</v>
      </c>
      <c r="AD62" s="1250">
        <f>IFERROR(Model!AD62/Model!Z62-1,"NA")</f>
        <v>-6.3157527805239089E-2</v>
      </c>
      <c r="AE62" s="1250">
        <f>IFERROR(Model!AE62/Model!AA62-1,"NA")</f>
        <v>0.1661500689914257</v>
      </c>
      <c r="AF62" s="1250">
        <f>IFERROR(Model!AF62/Model!AB62-1,"NA")</f>
        <v>0.10948897771305721</v>
      </c>
      <c r="AG62" s="1250">
        <f>IFERROR(Model!AG62/Model!AC62-1,"NA")</f>
        <v>0.10116719459852597</v>
      </c>
      <c r="AH62" s="1250">
        <f>IFERROR(Model!AH62/Model!AD62-1,"NA")</f>
        <v>0.11713259718152336</v>
      </c>
      <c r="AI62" s="1250">
        <f>IFERROR(Model!AI62/Model!AE62-1,"NA")</f>
        <v>0.12363937256476265</v>
      </c>
      <c r="AJ62" s="1250"/>
      <c r="AK62" s="1250"/>
      <c r="AL62" s="1250"/>
      <c r="AM62" s="1250"/>
      <c r="AN62" s="1250"/>
      <c r="AO62" s="1250"/>
      <c r="AP62" s="1250"/>
      <c r="AQ62" s="1250"/>
      <c r="AR62" s="1236"/>
      <c r="AS62" s="1371"/>
      <c r="AT62" s="1372"/>
      <c r="AU62" s="1236"/>
      <c r="AV62" s="1236">
        <f>IFERROR(Model!AV62/Model!AU62-1,"NA")</f>
        <v>0.1315545673522327</v>
      </c>
      <c r="AW62" s="1236">
        <f>IFERROR(Model!AW62/Model!AV62-1,"NA")</f>
        <v>-9.7592926150319337E-2</v>
      </c>
      <c r="AX62" s="1236">
        <f>IFERROR(Model!AX62/Model!AW62-1,"NA")</f>
        <v>-7.6211213935765132E-3</v>
      </c>
      <c r="AY62" s="1236">
        <f>IFERROR(Model!AY62/Model!AX62-1,"NA")</f>
        <v>0.17516913512525134</v>
      </c>
      <c r="AZ62" s="1236">
        <f>IFERROR(Model!AZ62/Model!AY62-1,"NA")</f>
        <v>0.18889061770655058</v>
      </c>
      <c r="BA62" s="1236">
        <f>IFERROR(Model!BA62/Model!AZ62-1,"NA")</f>
        <v>6.1785791874261475E-2</v>
      </c>
      <c r="BB62" s="1250">
        <f>IFERROR(Model!BB62/Model!BA62-1,"NA")</f>
        <v>0.11317987823715914</v>
      </c>
      <c r="BC62" s="1250">
        <f>IFERROR(Model!BC62/Model!BB62-1,"NA")</f>
        <v>0.1197382198414545</v>
      </c>
      <c r="BD62" s="1250">
        <f>IFERROR(Model!BD62/Model!BC62-1,"NA")</f>
        <v>0.10733889441920663</v>
      </c>
      <c r="BE62" s="1250">
        <f>IFERROR(Model!BE62/Model!BD62-1,"NA")</f>
        <v>0.1093918806891212</v>
      </c>
    </row>
    <row r="63" spans="2:57" s="70" customFormat="1" x14ac:dyDescent="0.2">
      <c r="B63" s="16"/>
      <c r="C63" s="17" t="s">
        <v>182</v>
      </c>
      <c r="D63" s="1250"/>
      <c r="E63" s="1250"/>
      <c r="F63" s="1250"/>
      <c r="G63" s="1250"/>
      <c r="H63" s="1250">
        <f>IFERROR(Model!H63/Model!D63-1,"NA")</f>
        <v>-0.3689320388349514</v>
      </c>
      <c r="I63" s="1250">
        <f>IFERROR(Model!I63/Model!E63-1,"NA")</f>
        <v>-1.2222222222222223</v>
      </c>
      <c r="J63" s="1250">
        <f>IFERROR(Model!J63/Model!F63-1,"NA")</f>
        <v>-6.333333333333333</v>
      </c>
      <c r="K63" s="1250">
        <f>IFERROR(Model!K63/Model!G63-1,"NA")</f>
        <v>-1.9587628865979383</v>
      </c>
      <c r="L63" s="1250">
        <f>IFERROR(Model!L63/Model!H63-1,"NA")</f>
        <v>-0.6</v>
      </c>
      <c r="M63" s="1250">
        <f>IFERROR(Model!M63/Model!I63-1,"NA")</f>
        <v>2.6666666666666665</v>
      </c>
      <c r="N63" s="1250">
        <f>IFERROR(Model!N63/Model!J63-1,"NA")</f>
        <v>-1.2222222222222223</v>
      </c>
      <c r="O63" s="1250">
        <f>IFERROR(Model!O63/Model!K63-1,"NA")</f>
        <v>-2.752688172043011</v>
      </c>
      <c r="P63" s="1250">
        <f>IFERROR(Model!P63/Model!L63-1,"NA")</f>
        <v>2.3076923076923075</v>
      </c>
      <c r="Q63" s="1250">
        <f>IFERROR(Model!Q63/Model!M63-1,"NA")</f>
        <v>-0.20909090909090911</v>
      </c>
      <c r="R63" s="1250">
        <f>IFERROR(Model!R63/Model!N63-1,"NA")</f>
        <v>-10.78125</v>
      </c>
      <c r="S63" s="1250">
        <f>IFERROR(Model!S63/Model!O63-1,"NA")</f>
        <v>2.9877300613496933</v>
      </c>
      <c r="T63" s="1250">
        <f>IFERROR(Model!T63/Model!P63-1,"NA")</f>
        <v>3.5348837209302326</v>
      </c>
      <c r="U63" s="1250">
        <f>IFERROR(Model!U63/Model!Q63-1,"NA")</f>
        <v>-1.9425287356321839</v>
      </c>
      <c r="V63" s="1250">
        <f>IFERROR(Model!V63/Model!R63-1,"NA")</f>
        <v>-1.2875399361022364</v>
      </c>
      <c r="W63" s="1250">
        <f>IFERROR(Model!W63/Model!S63-1,"NA")</f>
        <v>-0.84</v>
      </c>
      <c r="X63" s="1250">
        <f>IFERROR(Model!X63/Model!T63-1,"NA")</f>
        <v>-1.5256410256410255</v>
      </c>
      <c r="Y63" s="1250">
        <f>IFERROR(Model!Y63/Model!U63-1,"NA")</f>
        <v>6.0975609756097615E-2</v>
      </c>
      <c r="Z63" s="1250">
        <f>IFERROR(Model!Z63/Model!V63-1,"NA")</f>
        <v>0.82222222222222219</v>
      </c>
      <c r="AA63" s="1250">
        <f>IFERROR(Model!AA63/Model!W63-1,"NA")</f>
        <v>1.5673076923076925</v>
      </c>
      <c r="AB63" s="1250">
        <f>IFERROR(Model!AB63/Model!X63-1,"NA")</f>
        <v>-0.8</v>
      </c>
      <c r="AC63" s="1250">
        <f>IFERROR(Model!AC63/Model!Y63-1,"NA")</f>
        <v>0.98179688238072793</v>
      </c>
      <c r="AD63" s="1250">
        <f>IFERROR(Model!AD63/Model!Z63-1,"NA")</f>
        <v>-2.1866966267958574</v>
      </c>
      <c r="AE63" s="1250">
        <f>IFERROR(Model!AE63/Model!AA63-1,"NA")</f>
        <v>-0.15927170370940436</v>
      </c>
      <c r="AF63" s="1250">
        <f>IFERROR(Model!AF63/Model!AB63-1,"NA")</f>
        <v>-6.9001313301657197</v>
      </c>
      <c r="AG63" s="1250">
        <f>IFERROR(Model!AG63/Model!AC63-1,"NA")</f>
        <v>0.55417683049999922</v>
      </c>
      <c r="AH63" s="1250">
        <f>IFERROR(Model!AH63/Model!AD63-1,"NA")</f>
        <v>0.52520866590909066</v>
      </c>
      <c r="AI63" s="1250">
        <f>IFERROR(Model!AI63/Model!AE63-1,"NA")</f>
        <v>0.44285272999999958</v>
      </c>
      <c r="AJ63" s="1250"/>
      <c r="AK63" s="1250"/>
      <c r="AL63" s="1250"/>
      <c r="AM63" s="1250"/>
      <c r="AN63" s="1250"/>
      <c r="AO63" s="1250"/>
      <c r="AP63" s="1250"/>
      <c r="AQ63" s="1250"/>
      <c r="AR63" s="1236"/>
      <c r="AS63" s="1371"/>
      <c r="AT63" s="1372"/>
      <c r="AU63" s="1236"/>
      <c r="AV63" s="1236">
        <f>IFERROR(Model!AV63/Model!AU63-1,"NA")</f>
        <v>-0.72077922077922074</v>
      </c>
      <c r="AW63" s="1236">
        <f>IFERROR(Model!AW63/Model!AV63-1,"NA")</f>
        <v>-0.45348837209302328</v>
      </c>
      <c r="AX63" s="1236">
        <f>IFERROR(Model!AX63/Model!AW63-1,"NA")</f>
        <v>19.468085106382979</v>
      </c>
      <c r="AY63" s="1236">
        <f>IFERROR(Model!AY63/Model!AX63-1,"NA")</f>
        <v>-0.49480249480249483</v>
      </c>
      <c r="AZ63" s="1236">
        <f>IFERROR(Model!AZ63/Model!AY63-1,"NA")</f>
        <v>-1.0308641975308641</v>
      </c>
      <c r="BA63" s="1236">
        <f>IFERROR(Model!BA63/Model!AZ63-1,"NA")</f>
        <v>-37.700602044748862</v>
      </c>
      <c r="BB63" s="1250">
        <f>IFERROR(Model!BB63/Model!BA63-1,"NA")</f>
        <v>1.0537135666115738</v>
      </c>
      <c r="BC63" s="1250">
        <f>IFERROR(Model!BC63/Model!BB63-1,"NA")</f>
        <v>0.24485736312939155</v>
      </c>
      <c r="BD63" s="1250">
        <f>IFERROR(Model!BD63/Model!BC63-1,"NA")</f>
        <v>0.22285714285714286</v>
      </c>
      <c r="BE63" s="1250">
        <f>IFERROR(Model!BE63/Model!BD63-1,"NA")</f>
        <v>0.32499999999999996</v>
      </c>
    </row>
    <row r="64" spans="2:57" s="70" customFormat="1" x14ac:dyDescent="0.2">
      <c r="B64" s="16"/>
      <c r="C64" s="29" t="s">
        <v>183</v>
      </c>
      <c r="D64" s="1246"/>
      <c r="E64" s="1246"/>
      <c r="F64" s="1246"/>
      <c r="G64" s="1246"/>
      <c r="H64" s="1246">
        <f>IFERROR(Model!H64/Model!D64-1,"NA")</f>
        <v>-0.38775510204081631</v>
      </c>
      <c r="I64" s="1246">
        <f>IFERROR(Model!I64/Model!E64-1,"NA")</f>
        <v>-0.5787234042553191</v>
      </c>
      <c r="J64" s="1246">
        <f>IFERROR(Model!J64/Model!F64-1,"NA")</f>
        <v>-0.78847611827141773</v>
      </c>
      <c r="K64" s="1246">
        <f>IFERROR(Model!K64/Model!G64-1,"NA")</f>
        <v>-0.62354651162790697</v>
      </c>
      <c r="L64" s="1246">
        <f>IFERROR(Model!L64/Model!H64-1,"NA")</f>
        <v>-0.478494623655914</v>
      </c>
      <c r="M64" s="1246">
        <f>IFERROR(Model!M64/Model!I64-1,"NA")</f>
        <v>-0.20538720538720534</v>
      </c>
      <c r="N64" s="1246">
        <f>IFERROR(Model!N64/Model!J64-1,"NA")</f>
        <v>0.79569892473118276</v>
      </c>
      <c r="O64" s="1246">
        <f>IFERROR(Model!O64/Model!K64-1,"NA")</f>
        <v>-0.12934362934362931</v>
      </c>
      <c r="P64" s="1246">
        <f>IFERROR(Model!P64/Model!L64-1,"NA")</f>
        <v>-4.9484536082474273E-2</v>
      </c>
      <c r="Q64" s="1246">
        <f>IFERROR(Model!Q64/Model!M64-1,"NA")</f>
        <v>-0.34110169491525422</v>
      </c>
      <c r="R64" s="1246">
        <f>IFERROR(Model!R64/Model!N64-1,"NA")</f>
        <v>-0.51497005988023958</v>
      </c>
      <c r="S64" s="1246">
        <f>IFERROR(Model!S64/Model!O64-1,"NA")</f>
        <v>3.5476718403547602E-2</v>
      </c>
      <c r="T64" s="1246">
        <f>IFERROR(Model!T64/Model!P64-1,"NA")</f>
        <v>-0.63123644251626898</v>
      </c>
      <c r="U64" s="1246">
        <f>IFERROR(Model!U64/Model!Q64-1,"NA")</f>
        <v>-1.315112540192926</v>
      </c>
      <c r="V64" s="1246">
        <f>IFERROR(Model!V64/Model!R64-1,"NA")</f>
        <v>-0.92592592592592593</v>
      </c>
      <c r="W64" s="1246">
        <f>IFERROR(Model!W64/Model!S64-1,"NA")</f>
        <v>-1.044967880085653</v>
      </c>
      <c r="X64" s="1246">
        <f>IFERROR(Model!X64/Model!T64-1,"NA")</f>
        <v>-0.69411764705882351</v>
      </c>
      <c r="Y64" s="1246">
        <f>IFERROR(Model!Y64/Model!U64-1,"NA")</f>
        <v>0.34693877551020402</v>
      </c>
      <c r="Z64" s="1246">
        <f>IFERROR(Model!Z64/Model!V64-1,"NA")</f>
        <v>-3.7777777777777777</v>
      </c>
      <c r="AA64" s="1246">
        <f>IFERROR(Model!AA64/Model!W64-1,"NA")</f>
        <v>1.1428571428571428</v>
      </c>
      <c r="AB64" s="1246">
        <f>IFERROR(Model!AB64/Model!X64-1,"NA")</f>
        <v>-1.1346153846153846</v>
      </c>
      <c r="AC64" s="1246">
        <f>IFERROR(Model!AC64/Model!Y64-1,"NA")</f>
        <v>-1.3985263594852637</v>
      </c>
      <c r="AD64" s="1246">
        <f>IFERROR(Model!AD64/Model!Z64-1,"NA")</f>
        <v>-2.0066312328767122</v>
      </c>
      <c r="AE64" s="1246">
        <f>IFERROR(Model!AE64/Model!AA64-1,"NA")</f>
        <v>-2.0586987519025879</v>
      </c>
      <c r="AF64" s="1246">
        <f>IFERROR(Model!AF64/Model!AB64-1,"NA")</f>
        <v>-7.2279297260273969</v>
      </c>
      <c r="AG64" s="1246">
        <f>IFERROR(Model!AG64/Model!AC64-1,"NA")</f>
        <v>-0.21591928436018959</v>
      </c>
      <c r="AH64" s="1246">
        <f>IFERROR(Model!AH64/Model!AD64-1,"NA")</f>
        <v>-0.21733112226656981</v>
      </c>
      <c r="AI64" s="1246">
        <f>IFERROR(Model!AI64/Model!AE64-1,"NA")</f>
        <v>-0.21847340725132258</v>
      </c>
      <c r="AJ64" s="1236"/>
      <c r="AK64" s="1236"/>
      <c r="AL64" s="1236"/>
      <c r="AM64" s="1236"/>
      <c r="AN64" s="1236"/>
      <c r="AO64" s="1236"/>
      <c r="AP64" s="1236"/>
      <c r="AQ64" s="1236"/>
      <c r="AR64" s="1236"/>
      <c r="AS64" s="1371"/>
      <c r="AT64" s="1373"/>
      <c r="AU64" s="1246"/>
      <c r="AV64" s="1246">
        <f>IFERROR(Model!AV64/Model!AU64-1,"NA")</f>
        <v>-0.58730440967283071</v>
      </c>
      <c r="AW64" s="1246">
        <f>IFERROR(Model!AW64/Model!AV64-1,"NA")</f>
        <v>-0.17750969409737183</v>
      </c>
      <c r="AX64" s="1246">
        <f>IFERROR(Model!AX64/Model!AW64-1,"NA")</f>
        <v>-0.22367731796752222</v>
      </c>
      <c r="AY64" s="1246">
        <f>IFERROR(Model!AY64/Model!AX64-1,"NA")</f>
        <v>-0.95344129554655865</v>
      </c>
      <c r="AZ64" s="1246">
        <f>IFERROR(Model!AZ64/Model!AY64-1,"NA")</f>
        <v>-3.5362318840579712</v>
      </c>
      <c r="BA64" s="1246">
        <f>IFERROR(Model!BA64/Model!AZ64-1,"NA")</f>
        <v>-1.8204484853228964</v>
      </c>
      <c r="BB64" s="1246">
        <f>IFERROR(Model!BB64/Model!BA64-1,"NA")</f>
        <v>0.12460061321437044</v>
      </c>
      <c r="BC64" s="1246">
        <f>IFERROR(Model!BC64/Model!BB64-1,"NA")</f>
        <v>-0.21039171539309287</v>
      </c>
      <c r="BD64" s="1246">
        <f>IFERROR(Model!BD64/Model!BC64-1,"NA")</f>
        <v>-0.20825077733078323</v>
      </c>
      <c r="BE64" s="1246">
        <f>IFERROR(Model!BE64/Model!BD64-1,"NA")</f>
        <v>-0.20625256868807629</v>
      </c>
    </row>
    <row r="65" spans="2:57" x14ac:dyDescent="0.2">
      <c r="B65" s="16"/>
      <c r="C65" s="16" t="s">
        <v>405</v>
      </c>
      <c r="D65" s="1345"/>
      <c r="E65" s="1345"/>
      <c r="F65" s="1345"/>
      <c r="G65" s="1345"/>
      <c r="H65" s="1345">
        <f>IFERROR(Model!H65/Model!D65-1,"NA")</f>
        <v>-0.15206896551724136</v>
      </c>
      <c r="I65" s="1345">
        <f>IFERROR(Model!I65/Model!E65-1,"NA")</f>
        <v>-0.24925816023738867</v>
      </c>
      <c r="J65" s="1345">
        <f>IFERROR(Model!J65/Model!F65-1,"NA")</f>
        <v>-0.25229007633587786</v>
      </c>
      <c r="K65" s="1345">
        <f>IFERROR(Model!K65/Model!G65-1,"NA")</f>
        <v>-0.33440411178927076</v>
      </c>
      <c r="L65" s="1345">
        <f>IFERROR(Model!L65/Model!H65-1,"NA")</f>
        <v>-0.19723464823098824</v>
      </c>
      <c r="M65" s="1345">
        <f>IFERROR(Model!M65/Model!I65-1,"NA")</f>
        <v>-0.14525691699604748</v>
      </c>
      <c r="N65" s="1345">
        <f>IFERROR(Model!N65/Model!J65-1,"NA")</f>
        <v>-0.10668708524757531</v>
      </c>
      <c r="O65" s="1345">
        <f>IFERROR(Model!O65/Model!K65-1,"NA")</f>
        <v>-2.8474903474903446E-2</v>
      </c>
      <c r="P65" s="1345">
        <f>IFERROR(Model!P65/Model!L65-1,"NA")</f>
        <v>-2.9888551165146882E-2</v>
      </c>
      <c r="Q65" s="1345">
        <f>IFERROR(Model!Q65/Model!M65-1,"NA")</f>
        <v>-4.739884393063587E-2</v>
      </c>
      <c r="R65" s="1345">
        <f>IFERROR(Model!R65/Model!N65-1,"NA")</f>
        <v>4.9142857142857155E-2</v>
      </c>
      <c r="S65" s="1345">
        <f>IFERROR(Model!S65/Model!O65-1,"NA")</f>
        <v>0.24888226527570789</v>
      </c>
      <c r="T65" s="1345">
        <f>IFERROR(Model!T65/Model!P65-1,"NA")</f>
        <v>6.788511749347248E-2</v>
      </c>
      <c r="U65" s="1345">
        <f>IFERROR(Model!U65/Model!Q65-1,"NA")</f>
        <v>-0.14502427184466016</v>
      </c>
      <c r="V65" s="1345">
        <f>IFERROR(Model!V65/Model!R65-1,"NA")</f>
        <v>-5.4466230936819127E-2</v>
      </c>
      <c r="W65" s="1345">
        <f>IFERROR(Model!W65/Model!S65-1,"NA")</f>
        <v>-0.28719172633253776</v>
      </c>
      <c r="X65" s="1345">
        <f>IFERROR(Model!X65/Model!T65-1,"NA")</f>
        <v>-0.18728606356968214</v>
      </c>
      <c r="Y65" s="1345">
        <f>IFERROR(Model!Y65/Model!U65-1,"NA")</f>
        <v>0.21859474804826107</v>
      </c>
      <c r="Z65" s="1345">
        <f>IFERROR(Model!Z65/Model!V65-1,"NA")</f>
        <v>0.15149769585253448</v>
      </c>
      <c r="AA65" s="1345">
        <f>IFERROR(Model!AA65/Model!W65-1,"NA")</f>
        <v>0.15680803571428581</v>
      </c>
      <c r="AB65" s="1345">
        <f>IFERROR(Model!AB65/Model!X65-1,"NA")</f>
        <v>0.11732851985559556</v>
      </c>
      <c r="AC65" s="1345">
        <f>IFERROR(Model!AC65/Model!Y65-1,"NA")</f>
        <v>0.28209136590580908</v>
      </c>
      <c r="AD65" s="1345">
        <f>IFERROR(Model!AD65/Model!Z65-1,"NA")</f>
        <v>0.15967093517026609</v>
      </c>
      <c r="AE65" s="1345">
        <f>IFERROR(Model!AE65/Model!AA65-1,"NA")</f>
        <v>0.17253240552259252</v>
      </c>
      <c r="AF65" s="1345">
        <f>IFERROR(Model!AF65/Model!AB65-1,"NA")</f>
        <v>0.29191028280148634</v>
      </c>
      <c r="AG65" s="1345">
        <f>IFERROR(Model!AG65/Model!AC65-1,"NA")</f>
        <v>0.12907086627358955</v>
      </c>
      <c r="AH65" s="1345">
        <f>IFERROR(Model!AH65/Model!AD65-1,"NA")</f>
        <v>0.14413002980678669</v>
      </c>
      <c r="AI65" s="1345">
        <f>IFERROR(Model!AI65/Model!AE65-1,"NA")</f>
        <v>0.14641364171512539</v>
      </c>
      <c r="AJ65" s="1345"/>
      <c r="AK65" s="1345"/>
      <c r="AL65" s="1345"/>
      <c r="AM65" s="1345"/>
      <c r="AN65" s="1345"/>
      <c r="AO65" s="1345"/>
      <c r="AP65" s="1345"/>
      <c r="AQ65" s="1345"/>
      <c r="AR65" s="1236"/>
      <c r="AS65" s="1371"/>
      <c r="AT65" s="1371"/>
      <c r="AU65" s="1345"/>
      <c r="AV65" s="1345">
        <f>IFERROR(Model!AV65/Model!AU65-1,"NA")</f>
        <v>-0.24847735899020218</v>
      </c>
      <c r="AW65" s="1345">
        <f>IFERROR(Model!AW65/Model!AV65-1,"NA")</f>
        <v>-0.12297392529950668</v>
      </c>
      <c r="AX65" s="1345">
        <f>IFERROR(Model!AX65/Model!AW65-1,"NA")</f>
        <v>5.9729476362662348E-2</v>
      </c>
      <c r="AY65" s="1345">
        <f>IFERROR(Model!AY65/Model!AX65-1,"NA")</f>
        <v>-0.11765449260710226</v>
      </c>
      <c r="AZ65" s="1345">
        <f>IFERROR(Model!AZ65/Model!AY65-1,"NA")</f>
        <v>6.7172729876826098E-2</v>
      </c>
      <c r="BA65" s="1345">
        <f>IFERROR(Model!BA65/Model!AZ65-1,"NA")</f>
        <v>0.18201486395302258</v>
      </c>
      <c r="BB65" s="1345">
        <f>IFERROR(Model!BB65/Model!BA65-1,"NA")</f>
        <v>0.17215577164518958</v>
      </c>
      <c r="BC65" s="1345">
        <f>IFERROR(Model!BC65/Model!BB65-1,"NA")</f>
        <v>0.12827732516436563</v>
      </c>
      <c r="BD65" s="1345">
        <f>IFERROR(Model!BD65/Model!BC65-1,"NA")</f>
        <v>0.11784281382132966</v>
      </c>
      <c r="BE65" s="1345">
        <f>IFERROR(Model!BE65/Model!BD65-1,"NA")</f>
        <v>0.13544473160588288</v>
      </c>
    </row>
    <row r="66" spans="2:57" x14ac:dyDescent="0.2">
      <c r="B66" s="16"/>
      <c r="C66" s="16"/>
      <c r="D66" s="1250"/>
      <c r="E66" s="1250"/>
      <c r="F66" s="1250"/>
      <c r="G66" s="1250"/>
      <c r="H66" s="1250"/>
      <c r="I66" s="1250"/>
      <c r="J66" s="1250"/>
      <c r="K66" s="1250"/>
      <c r="L66" s="1250"/>
      <c r="M66" s="1250"/>
      <c r="N66" s="1250"/>
      <c r="O66" s="1250"/>
      <c r="P66" s="1250"/>
      <c r="Q66" s="1250"/>
      <c r="R66" s="1250"/>
      <c r="S66" s="1250"/>
      <c r="T66" s="1250"/>
      <c r="U66" s="1250"/>
      <c r="V66" s="1250"/>
      <c r="W66" s="1250"/>
      <c r="X66" s="1250"/>
      <c r="Y66" s="1250"/>
      <c r="Z66" s="1250"/>
      <c r="AA66" s="1250"/>
      <c r="AB66" s="1250"/>
      <c r="AC66" s="1250"/>
      <c r="AD66" s="1250"/>
      <c r="AE66" s="1250"/>
      <c r="AF66" s="1250"/>
      <c r="AG66" s="1250"/>
      <c r="AH66" s="1250"/>
      <c r="AI66" s="1250"/>
      <c r="AJ66" s="1250"/>
      <c r="AK66" s="1250"/>
      <c r="AL66" s="1250"/>
      <c r="AM66" s="1250"/>
      <c r="AN66" s="1250"/>
      <c r="AO66" s="1250"/>
      <c r="AP66" s="1250"/>
      <c r="AQ66" s="1250"/>
      <c r="AR66" s="1236"/>
      <c r="AS66" s="1371"/>
      <c r="AT66" s="1371"/>
      <c r="AU66" s="1236"/>
      <c r="AV66" s="1236"/>
      <c r="AW66" s="1236"/>
      <c r="AX66" s="1236"/>
      <c r="AY66" s="1236"/>
      <c r="AZ66" s="1236"/>
      <c r="BA66" s="1236"/>
      <c r="BB66" s="1250"/>
      <c r="BC66" s="1250"/>
      <c r="BD66" s="1250"/>
      <c r="BE66" s="1250"/>
    </row>
    <row r="67" spans="2:57" x14ac:dyDescent="0.2">
      <c r="B67" s="16" t="s">
        <v>186</v>
      </c>
      <c r="C67" s="16"/>
      <c r="D67" s="1250"/>
      <c r="E67" s="1250"/>
      <c r="F67" s="1250"/>
      <c r="G67" s="1250"/>
      <c r="H67" s="1250"/>
      <c r="I67" s="1250"/>
      <c r="J67" s="1250"/>
      <c r="K67" s="1250"/>
      <c r="L67" s="1250"/>
      <c r="M67" s="1250"/>
      <c r="N67" s="1250"/>
      <c r="O67" s="1250"/>
      <c r="P67" s="1250"/>
      <c r="Q67" s="1250"/>
      <c r="R67" s="1250"/>
      <c r="S67" s="1250"/>
      <c r="T67" s="1250"/>
      <c r="U67" s="1250"/>
      <c r="V67" s="1250"/>
      <c r="W67" s="1250"/>
      <c r="X67" s="1250"/>
      <c r="Y67" s="1250"/>
      <c r="Z67" s="1250"/>
      <c r="AA67" s="1250"/>
      <c r="AB67" s="1250"/>
      <c r="AC67" s="1250"/>
      <c r="AD67" s="1250"/>
      <c r="AE67" s="1250"/>
      <c r="AF67" s="1250"/>
      <c r="AG67" s="1250"/>
      <c r="AH67" s="1250"/>
      <c r="AI67" s="1250"/>
      <c r="AJ67" s="1250"/>
      <c r="AK67" s="1250"/>
      <c r="AL67" s="1250"/>
      <c r="AM67" s="1250"/>
      <c r="AN67" s="1250"/>
      <c r="AO67" s="1250"/>
      <c r="AP67" s="1250"/>
      <c r="AQ67" s="1250"/>
      <c r="AR67" s="1236"/>
      <c r="AS67" s="1371"/>
      <c r="AT67" s="1371"/>
      <c r="AU67" s="1236"/>
      <c r="AV67" s="1236"/>
      <c r="AW67" s="1236"/>
      <c r="AX67" s="1236"/>
      <c r="AY67" s="1236"/>
      <c r="AZ67" s="1236"/>
      <c r="BA67" s="1236"/>
      <c r="BB67" s="1250"/>
      <c r="BC67" s="1250"/>
      <c r="BD67" s="1250"/>
      <c r="BE67" s="1250"/>
    </row>
    <row r="68" spans="2:57" x14ac:dyDescent="0.2">
      <c r="B68" s="16"/>
      <c r="C68" s="17" t="s">
        <v>100</v>
      </c>
      <c r="D68" s="1250"/>
      <c r="E68" s="1250"/>
      <c r="F68" s="1250"/>
      <c r="G68" s="1250"/>
      <c r="H68" s="1250">
        <f>IFERROR(Model!H68/Model!D68-1,"NA")</f>
        <v>-9.2380310182063385E-2</v>
      </c>
      <c r="I68" s="1250">
        <f>IFERROR(Model!I68/Model!E68-1,"NA")</f>
        <v>-4.3924902585901537E-2</v>
      </c>
      <c r="J68" s="1250">
        <f>IFERROR(Model!J68/Model!F68-1,"NA")</f>
        <v>-0.23641304347826086</v>
      </c>
      <c r="K68" s="1250">
        <f>IFERROR(Model!K68/Model!G68-1,"NA")</f>
        <v>-1.6299559471365632E-2</v>
      </c>
      <c r="L68" s="1250">
        <f>IFERROR(Model!L68/Model!H68-1,"NA")</f>
        <v>-0.12741456166419018</v>
      </c>
      <c r="M68" s="1250">
        <f>IFERROR(Model!M68/Model!I68-1,"NA")</f>
        <v>-0.14523897739903668</v>
      </c>
      <c r="N68" s="1250">
        <f>IFERROR(Model!N68/Model!J68-1,"NA")</f>
        <v>0.26779359430604988</v>
      </c>
      <c r="O68" s="1250">
        <f>IFERROR(Model!O68/Model!K68-1,"NA")</f>
        <v>0.14912673533363185</v>
      </c>
      <c r="P68" s="1250">
        <f>IFERROR(Model!P68/Model!L68-1,"NA")</f>
        <v>9.4082588335461903E-2</v>
      </c>
      <c r="Q68" s="1250">
        <f>IFERROR(Model!Q68/Model!M68-1,"NA")</f>
        <v>2.7308192457737412E-2</v>
      </c>
      <c r="R68" s="1250">
        <f>IFERROR(Model!R68/Model!N68-1,"NA")</f>
        <v>-9.9649122807017543E-2</v>
      </c>
      <c r="S68" s="1250">
        <f>IFERROR(Model!S68/Model!O68-1,"NA")</f>
        <v>-0.1905689789555729</v>
      </c>
      <c r="T68" s="1250">
        <f>IFERROR(Model!T68/Model!P68-1,"NA")</f>
        <v>-0.28871595330739297</v>
      </c>
      <c r="U68" s="1250">
        <f>IFERROR(Model!U68/Model!Q68-1,"NA")</f>
        <v>-0.17637130801687761</v>
      </c>
      <c r="V68" s="1250">
        <f>IFERROR(Model!V68/Model!R68-1,"NA")</f>
        <v>-0.24902572096648479</v>
      </c>
      <c r="W68" s="1250">
        <f>IFERROR(Model!W68/Model!S68-1,"NA")</f>
        <v>-8.4256138661531033E-2</v>
      </c>
      <c r="X68" s="1250">
        <f>IFERROR(Model!X68/Model!T68-1,"NA")</f>
        <v>-0.1356673960612691</v>
      </c>
      <c r="Y68" s="1250">
        <f>IFERROR(Model!Y68/Model!U68-1,"NA")</f>
        <v>-9.1188524590163911E-2</v>
      </c>
      <c r="Z68" s="1250">
        <f>IFERROR(Model!Z68/Model!V68-1,"NA")</f>
        <v>-6.3310845874416155E-2</v>
      </c>
      <c r="AA68" s="1250">
        <f>IFERROR(Model!AA68/Model!W68-1,"NA")</f>
        <v>6.992639327024186E-2</v>
      </c>
      <c r="AB68" s="1250">
        <f>IFERROR(Model!AB68/Model!X68-1,"NA")</f>
        <v>0.16898734177215191</v>
      </c>
      <c r="AC68" s="1250">
        <f>IFERROR(Model!AC68/Model!Y68-1,"NA")</f>
        <v>6.2941048377630926E-2</v>
      </c>
      <c r="AD68" s="1250">
        <f>IFERROR(Model!AD68/Model!Z68-1,"NA")</f>
        <v>9.4017766773214939E-2</v>
      </c>
      <c r="AE68" s="1250">
        <f>IFERROR(Model!AE68/Model!AA68-1,"NA")</f>
        <v>-5.1445997109212493E-2</v>
      </c>
      <c r="AF68" s="1250">
        <f>IFERROR(Model!AF68/Model!AB68-1,"NA")</f>
        <v>6.056236249698288E-2</v>
      </c>
      <c r="AG68" s="1250">
        <f>IFERROR(Model!AG68/Model!AC68-1,"NA")</f>
        <v>6.990065484540664E-2</v>
      </c>
      <c r="AH68" s="1250">
        <f>IFERROR(Model!AH68/Model!AD68-1,"NA")</f>
        <v>5.0235564124330612E-2</v>
      </c>
      <c r="AI68" s="1250">
        <f>IFERROR(Model!AI68/Model!AE68-1,"NA")</f>
        <v>4.0877568590248048E-2</v>
      </c>
      <c r="AJ68" s="1250"/>
      <c r="AK68" s="1250"/>
      <c r="AL68" s="1250"/>
      <c r="AM68" s="1250"/>
      <c r="AN68" s="1250"/>
      <c r="AO68" s="1250"/>
      <c r="AP68" s="1250"/>
      <c r="AQ68" s="1250"/>
      <c r="AR68" s="1236"/>
      <c r="AS68" s="1371"/>
      <c r="AT68" s="1372"/>
      <c r="AU68" s="1236"/>
      <c r="AV68" s="1236">
        <f>IFERROR(Model!AV68/Model!AU68-1,"NA")</f>
        <v>-0.10279014814141596</v>
      </c>
      <c r="AW68" s="1236">
        <f>IFERROR(Model!AW68/Model!AV68-1,"NA")</f>
        <v>2.0259319286871857E-2</v>
      </c>
      <c r="AX68" s="1236">
        <f>IFERROR(Model!AX68/Model!AW68-1,"NA")</f>
        <v>-4.855043685464655E-2</v>
      </c>
      <c r="AY68" s="1236">
        <f>IFERROR(Model!AY68/Model!AX68-1,"NA")</f>
        <v>-0.20598977355734116</v>
      </c>
      <c r="AZ68" s="1236">
        <f>IFERROR(Model!AZ68/Model!AY68-1,"NA")</f>
        <v>-5.4540675515836523E-2</v>
      </c>
      <c r="BA68" s="1236">
        <f>IFERROR(Model!BA68/Model!AZ68-1,"NA")</f>
        <v>6.1671793818504739E-2</v>
      </c>
      <c r="BB68" s="1250">
        <f>IFERROR(Model!BB68/Model!BA68-1,"NA")</f>
        <v>5.5222874177094816E-2</v>
      </c>
      <c r="BC68" s="1250">
        <f>IFERROR(Model!BC68/Model!BB68-1,"NA")</f>
        <v>3.3749576483791177E-2</v>
      </c>
      <c r="BD68" s="1250">
        <f>IFERROR(Model!BD68/Model!BC68-1,"NA")</f>
        <v>2.2240784598826169E-2</v>
      </c>
      <c r="BE68" s="1250">
        <f>IFERROR(Model!BE68/Model!BD68-1,"NA")</f>
        <v>-4.9079071443510092E-2</v>
      </c>
    </row>
    <row r="69" spans="2:57" x14ac:dyDescent="0.2">
      <c r="B69" s="16"/>
      <c r="C69" s="17" t="s">
        <v>182</v>
      </c>
      <c r="D69" s="1250"/>
      <c r="E69" s="1250"/>
      <c r="F69" s="1250"/>
      <c r="G69" s="1250"/>
      <c r="H69" s="1250">
        <f>IFERROR(Model!H69/Model!D69-1,"NA")</f>
        <v>-8.3481035093938338E-2</v>
      </c>
      <c r="I69" s="1250">
        <f>IFERROR(Model!I69/Model!E69-1,"NA")</f>
        <v>0.38450292397660824</v>
      </c>
      <c r="J69" s="1250">
        <f>IFERROR(Model!J69/Model!F69-1,"NA")</f>
        <v>-0.27088788383718165</v>
      </c>
      <c r="K69" s="1250">
        <f>IFERROR(Model!K69/Model!G69-1,"NA")</f>
        <v>-0.12965722801788371</v>
      </c>
      <c r="L69" s="1250">
        <f>IFERROR(Model!L69/Model!H69-1,"NA")</f>
        <v>-0.15548249854960361</v>
      </c>
      <c r="M69" s="1250">
        <f>IFERROR(Model!M69/Model!I69-1,"NA")</f>
        <v>2.3231256599788752E-2</v>
      </c>
      <c r="N69" s="1250">
        <f>IFERROR(Model!N69/Model!J69-1,"NA")</f>
        <v>0.34769833496571989</v>
      </c>
      <c r="O69" s="1250">
        <f>IFERROR(Model!O69/Model!K69-1,"NA")</f>
        <v>-8.8184931506849362E-2</v>
      </c>
      <c r="P69" s="1250">
        <f>IFERROR(Model!P69/Model!L69-1,"NA")</f>
        <v>-1.6029310739638092E-3</v>
      </c>
      <c r="Q69" s="1250">
        <f>IFERROR(Model!Q69/Model!M69-1,"NA")</f>
        <v>-0.12203302373581015</v>
      </c>
      <c r="R69" s="1250">
        <f>IFERROR(Model!R69/Model!N69-1,"NA")</f>
        <v>-0.27131782945736438</v>
      </c>
      <c r="S69" s="1250">
        <f>IFERROR(Model!S69/Model!O69-1,"NA")</f>
        <v>-7.3239436619718323E-2</v>
      </c>
      <c r="T69" s="1250">
        <f>IFERROR(Model!T69/Model!P69-1,"NA")</f>
        <v>-0.39610091743119269</v>
      </c>
      <c r="U69" s="1250">
        <f>IFERROR(Model!U69/Model!Q69-1,"NA")</f>
        <v>0.1295915368792242</v>
      </c>
      <c r="V69" s="1250">
        <f>IFERROR(Model!V69/Model!R69-1,"NA")</f>
        <v>0.28390957446808507</v>
      </c>
      <c r="W69" s="1250">
        <f>IFERROR(Model!W69/Model!S69-1,"NA")</f>
        <v>0.745694022289767</v>
      </c>
      <c r="X69" s="1250">
        <f>IFERROR(Model!X69/Model!T69-1,"NA")</f>
        <v>0.66578047854158751</v>
      </c>
      <c r="Y69" s="1250">
        <f>IFERROR(Model!Y69/Model!U69-1,"NA")</f>
        <v>6.8418314255983326E-2</v>
      </c>
      <c r="Z69" s="1250">
        <f>IFERROR(Model!Z69/Model!V69-1,"NA")</f>
        <v>0.1538063179699638</v>
      </c>
      <c r="AA69" s="1250">
        <f>IFERROR(Model!AA69/Model!W69-1,"NA")</f>
        <v>-9.3151479976784635E-2</v>
      </c>
      <c r="AB69" s="1250">
        <f>IFERROR(Model!AB69/Model!X69-1,"NA")</f>
        <v>0</v>
      </c>
      <c r="AC69" s="1250">
        <f>IFERROR(Model!AC69/Model!Y69-1,"NA")</f>
        <v>4.6785436749107401E-2</v>
      </c>
      <c r="AD69" s="1250">
        <f>IFERROR(Model!AD69/Model!Z69-1,"NA")</f>
        <v>-3.9976011737875239E-2</v>
      </c>
      <c r="AE69" s="1250">
        <f>IFERROR(Model!AE69/Model!AA69-1,"NA")</f>
        <v>0.30664137223982402</v>
      </c>
      <c r="AF69" s="1250">
        <f>IFERROR(Model!AF69/Model!AB69-1,"NA")</f>
        <v>8.1901652680463899E-2</v>
      </c>
      <c r="AG69" s="1250">
        <f>IFERROR(Model!AG69/Model!AC69-1,"NA")</f>
        <v>0.12557906912637762</v>
      </c>
      <c r="AH69" s="1250">
        <f>IFERROR(Model!AH69/Model!AD69-1,"NA")</f>
        <v>9.1506284704814256E-2</v>
      </c>
      <c r="AI69" s="1250">
        <f>IFERROR(Model!AI69/Model!AE69-1,"NA")</f>
        <v>7.4404627129057488E-2</v>
      </c>
      <c r="AJ69" s="1250"/>
      <c r="AK69" s="1250"/>
      <c r="AL69" s="1250"/>
      <c r="AM69" s="1250"/>
      <c r="AN69" s="1250"/>
      <c r="AO69" s="1250"/>
      <c r="AP69" s="1250"/>
      <c r="AQ69" s="1250"/>
      <c r="AR69" s="1236"/>
      <c r="AS69" s="1371"/>
      <c r="AT69" s="1372"/>
      <c r="AU69" s="1236"/>
      <c r="AV69" s="1236">
        <f>IFERROR(Model!AV69/Model!AU69-1,"NA")</f>
        <v>-5.9293716831553378E-2</v>
      </c>
      <c r="AW69" s="1236">
        <f>IFERROR(Model!AW69/Model!AV69-1,"NA")</f>
        <v>9.9596044017271623E-3</v>
      </c>
      <c r="AX69" s="1236">
        <f>IFERROR(Model!AX69/Model!AW69-1,"NA")</f>
        <v>-0.12109509688986964</v>
      </c>
      <c r="AY69" s="1236">
        <f>IFERROR(Model!AY69/Model!AX69-1,"NA")</f>
        <v>8.1600627697136163E-2</v>
      </c>
      <c r="AZ69" s="1236">
        <f>IFERROR(Model!AZ69/Model!AY69-1,"NA")</f>
        <v>0.16605005440696408</v>
      </c>
      <c r="BA69" s="1236">
        <f>IFERROR(Model!BA69/Model!AZ69-1,"NA")</f>
        <v>6.0487057899344165E-2</v>
      </c>
      <c r="BB69" s="1250">
        <f>IFERROR(Model!BB69/Model!BA69-1,"NA")</f>
        <v>9.3531807308855131E-2</v>
      </c>
      <c r="BC69" s="1250">
        <f>IFERROR(Model!BC69/Model!BB69-1,"NA")</f>
        <v>8.5361229416109463E-2</v>
      </c>
      <c r="BD69" s="1250">
        <f>IFERROR(Model!BD69/Model!BC69-1,"NA")</f>
        <v>6.2313224400985856E-2</v>
      </c>
      <c r="BE69" s="1250">
        <f>IFERROR(Model!BE69/Model!BD69-1,"NA")</f>
        <v>4.9679623527387307E-2</v>
      </c>
    </row>
    <row r="70" spans="2:57" x14ac:dyDescent="0.2">
      <c r="B70" s="16"/>
      <c r="C70" s="29" t="s">
        <v>183</v>
      </c>
      <c r="D70" s="1307"/>
      <c r="E70" s="1307"/>
      <c r="F70" s="1307"/>
      <c r="G70" s="1307"/>
      <c r="H70" s="1307">
        <f>IFERROR(Model!H70/Model!D70-1,"NA")</f>
        <v>-0.26933216168717045</v>
      </c>
      <c r="I70" s="1307">
        <f>IFERROR(Model!I70/Model!E70-1,"NA")</f>
        <v>-0.42522831050228316</v>
      </c>
      <c r="J70" s="1307">
        <f>IFERROR(Model!J70/Model!F70-1,"NA")</f>
        <v>-0.81740064446831362</v>
      </c>
      <c r="K70" s="1307">
        <f>IFERROR(Model!K70/Model!G70-1,"NA")</f>
        <v>-0.7354325009048136</v>
      </c>
      <c r="L70" s="1307">
        <f>IFERROR(Model!L70/Model!H70-1,"NA")</f>
        <v>-0.61936259771497293</v>
      </c>
      <c r="M70" s="1307">
        <f>IFERROR(Model!M70/Model!I70-1,"NA")</f>
        <v>2.9165839126117179</v>
      </c>
      <c r="N70" s="1307">
        <f>IFERROR(Model!N70/Model!J70-1,"NA")</f>
        <v>2.8441176470588236</v>
      </c>
      <c r="O70" s="1307">
        <f>IFERROR(Model!O70/Model!K70-1,"NA")</f>
        <v>3.4528043775649797</v>
      </c>
      <c r="P70" s="1307">
        <f>IFERROR(Model!P70/Model!L70-1,"NA")</f>
        <v>-1.235387045813586</v>
      </c>
      <c r="Q70" s="1307">
        <f>IFERROR(Model!Q70/Model!M70-1,"NA")</f>
        <v>-1.1282961460446248</v>
      </c>
      <c r="R70" s="1307">
        <f>IFERROR(Model!R70/Model!N70-1,"NA")</f>
        <v>-1.1499617444529457</v>
      </c>
      <c r="S70" s="1307">
        <f>IFERROR(Model!S70/Model!O70-1,"NA")</f>
        <v>-1.3453149001536098</v>
      </c>
      <c r="T70" s="1307">
        <f>IFERROR(Model!T70/Model!P70-1,"NA")</f>
        <v>2.5302013422818792</v>
      </c>
      <c r="U70" s="1307">
        <f>IFERROR(Model!U70/Model!Q70-1,"NA")</f>
        <v>-1.0513833992094861</v>
      </c>
      <c r="V70" s="1307">
        <f>IFERROR(Model!V70/Model!R70-1,"NA")</f>
        <v>-1.8622448979591837</v>
      </c>
      <c r="W70" s="1307">
        <f>IFERROR(Model!W70/Model!S70-1,"NA")</f>
        <v>-1.2206405693950177</v>
      </c>
      <c r="X70" s="1307">
        <f>IFERROR(Model!X70/Model!T70-1,"NA")</f>
        <v>-0.97148288973384034</v>
      </c>
      <c r="Y70" s="1307">
        <f>IFERROR(Model!Y70/Model!U70-1,"NA")</f>
        <v>6.8076923076923075</v>
      </c>
      <c r="Z70" s="1307">
        <f>IFERROR(Model!Z70/Model!V70-1,"NA")</f>
        <v>0.52662721893491127</v>
      </c>
      <c r="AA70" s="1307">
        <f>IFERROR(Model!AA70/Model!W70-1,"NA")</f>
        <v>-0.75403225806451613</v>
      </c>
      <c r="AB70" s="1307">
        <f>IFERROR(Model!AB70/Model!X70-1,"NA")</f>
        <v>-10.533333333333333</v>
      </c>
      <c r="AC70" s="1307">
        <f>IFERROR(Model!AC70/Model!Y70-1,"NA")</f>
        <v>0.10663270666036873</v>
      </c>
      <c r="AD70" s="1307">
        <f>IFERROR(Model!AD70/Model!Z70-1,"NA")</f>
        <v>-0.1463337961346497</v>
      </c>
      <c r="AE70" s="1307">
        <f>IFERROR(Model!AE70/Model!AA70-1,"NA")</f>
        <v>2.6629241244105106</v>
      </c>
      <c r="AF70" s="1307">
        <f>IFERROR(Model!AF70/Model!AB70-1,"NA")</f>
        <v>0.24414873065331921</v>
      </c>
      <c r="AG70" s="1307">
        <f>IFERROR(Model!AG70/Model!AC70-1,"NA")</f>
        <v>-0.24959303933591581</v>
      </c>
      <c r="AH70" s="1307">
        <f>IFERROR(Model!AH70/Model!AD70-1,"NA")</f>
        <v>-0.26793031911996867</v>
      </c>
      <c r="AI70" s="1307">
        <f>IFERROR(Model!AI70/Model!AE70-1,"NA")</f>
        <v>-0.31695575614566573</v>
      </c>
      <c r="AJ70" s="1318"/>
      <c r="AK70" s="1318"/>
      <c r="AL70" s="1318"/>
      <c r="AM70" s="1318"/>
      <c r="AN70" s="1318"/>
      <c r="AO70" s="1318"/>
      <c r="AP70" s="1318"/>
      <c r="AQ70" s="1318"/>
      <c r="AR70" s="1236"/>
      <c r="AS70" s="1371"/>
      <c r="AT70" s="1373"/>
      <c r="AU70" s="1246"/>
      <c r="AV70" s="1246">
        <f>IFERROR(Model!AV70/Model!AU70-1,"NA")</f>
        <v>-0.56766439385184331</v>
      </c>
      <c r="AW70" s="1246">
        <f>IFERROR(Model!AW70/Model!AV70-1,"NA")</f>
        <v>1.442929697941727</v>
      </c>
      <c r="AX70" s="1246">
        <f>IFERROR(Model!AX70/Model!AW70-1,"NA")</f>
        <v>-1.2161067950541635</v>
      </c>
      <c r="AY70" s="1246">
        <f>IFERROR(Model!AY70/Model!AX70-1,"NA")</f>
        <v>-0.95797468354430382</v>
      </c>
      <c r="AZ70" s="1246">
        <f>IFERROR(Model!AZ70/Model!AY70-1,"NA")</f>
        <v>-7.1084337349397586</v>
      </c>
      <c r="BA70" s="1246">
        <f>IFERROR(Model!BA70/Model!AZ70-1,"NA")</f>
        <v>0.60025777443462802</v>
      </c>
      <c r="BB70" s="1307">
        <f>IFERROR(Model!BB70/Model!BA70-1,"NA")</f>
        <v>-0.18609864974139312</v>
      </c>
      <c r="BC70" s="1307">
        <f>IFERROR(Model!BC70/Model!BB70-1,"NA")</f>
        <v>-0.20742044382667557</v>
      </c>
      <c r="BD70" s="1307">
        <f>IFERROR(Model!BD70/Model!BC70-1,"NA")</f>
        <v>-0.20535766202261319</v>
      </c>
      <c r="BE70" s="1307">
        <f>IFERROR(Model!BE70/Model!BD70-1,"NA")</f>
        <v>-0.20625256868807651</v>
      </c>
    </row>
    <row r="71" spans="2:57" x14ac:dyDescent="0.2">
      <c r="B71" s="16"/>
      <c r="C71" s="16" t="s">
        <v>524</v>
      </c>
      <c r="D71" s="1329"/>
      <c r="E71" s="1329"/>
      <c r="F71" s="1329"/>
      <c r="G71" s="1329"/>
      <c r="H71" s="1329">
        <f>IFERROR(Model!H71/Model!D71-1,"NA")</f>
        <v>-2.0846493998736615E-2</v>
      </c>
      <c r="I71" s="1329">
        <f>IFERROR(Model!I71/Model!E71-1,"NA")</f>
        <v>0.43945363803519832</v>
      </c>
      <c r="J71" s="1329">
        <f>IFERROR(Model!J71/Model!F71-1,"NA")</f>
        <v>-5.9057353776263533E-2</v>
      </c>
      <c r="K71" s="1329">
        <f>IFERROR(Model!K71/Model!G71-1,"NA")</f>
        <v>0.7517115472387037</v>
      </c>
      <c r="L71" s="1329">
        <f>IFERROR(Model!L71/Model!H71-1,"NA")</f>
        <v>-1.8870967741935529E-2</v>
      </c>
      <c r="M71" s="1329">
        <f>IFERROR(Model!M71/Model!I71-1,"NA")</f>
        <v>-0.5914233576642336</v>
      </c>
      <c r="N71" s="1329">
        <f>IFERROR(Model!N71/Model!J71-1,"NA")</f>
        <v>0.14081673707503528</v>
      </c>
      <c r="O71" s="1329">
        <f>IFERROR(Model!O71/Model!K71-1,"NA")</f>
        <v>-0.62454403335070352</v>
      </c>
      <c r="P71" s="1329">
        <f>IFERROR(Model!P71/Model!L71-1,"NA")</f>
        <v>0.16373499917803724</v>
      </c>
      <c r="Q71" s="1329">
        <f>IFERROR(Model!Q71/Model!M71-1,"NA")</f>
        <v>1.8043769539973202</v>
      </c>
      <c r="R71" s="1329">
        <f>IFERROR(Model!R71/Model!N71-1,"NA")</f>
        <v>1.745723858226067E-2</v>
      </c>
      <c r="S71" s="1329">
        <f>IFERROR(Model!S71/Model!O71-1,"NA")</f>
        <v>2.5912560721721025</v>
      </c>
      <c r="T71" s="1329">
        <f>IFERROR(Model!T71/Model!P71-1,"NA")</f>
        <v>-0.29552196637943218</v>
      </c>
      <c r="U71" s="1329">
        <f>IFERROR(Model!U71/Model!Q71-1,"NA")</f>
        <v>-8.1063863672559355E-2</v>
      </c>
      <c r="V71" s="1329">
        <f>IFERROR(Model!V71/Model!R71-1,"NA")</f>
        <v>-2.5996533795493937E-2</v>
      </c>
      <c r="W71" s="1329">
        <f>IFERROR(Model!W71/Model!S71-1,"NA")</f>
        <v>-1.4492753623188359E-2</v>
      </c>
      <c r="X71" s="1329">
        <f>IFERROR(Model!X71/Model!T71-1,"NA")</f>
        <v>0.19931822739121707</v>
      </c>
      <c r="Y71" s="1329">
        <f>IFERROR(Model!Y71/Model!U71-1,"NA")</f>
        <v>-1.5944540727902967E-2</v>
      </c>
      <c r="Z71" s="1329">
        <f>IFERROR(Model!Z71/Model!V71-1,"NA")</f>
        <v>6.8149466192170882E-2</v>
      </c>
      <c r="AA71" s="1329">
        <f>IFERROR(Model!AA71/Model!W71-1,"NA")</f>
        <v>-1.9607843137259273E-4</v>
      </c>
      <c r="AB71" s="1329">
        <f>IFERROR(Model!AB71/Model!X71-1,"NA")</f>
        <v>1.8224377194449026E-2</v>
      </c>
      <c r="AC71" s="1329">
        <f>IFERROR(Model!AC71/Model!Y71-1,"NA")</f>
        <v>4.9693337283981398E-2</v>
      </c>
      <c r="AD71" s="1329">
        <f>IFERROR(Model!AD71/Model!Z71-1,"NA")</f>
        <v>4.8847376519107755E-3</v>
      </c>
      <c r="AE71" s="1329">
        <f>IFERROR(Model!AE71/Model!AA71-1,"NA")</f>
        <v>0.1355409516656525</v>
      </c>
      <c r="AF71" s="1329">
        <f>IFERROR(Model!AF71/Model!AB71-1,"NA")</f>
        <v>7.1620043301316549E-2</v>
      </c>
      <c r="AG71" s="1329">
        <f>IFERROR(Model!AG71/Model!AC71-1,"NA")</f>
        <v>0.12210444077043037</v>
      </c>
      <c r="AH71" s="1329">
        <f>IFERROR(Model!AH71/Model!AD71-1,"NA")</f>
        <v>9.111954381557541E-2</v>
      </c>
      <c r="AI71" s="1329">
        <f>IFERROR(Model!AI71/Model!AE71-1,"NA")</f>
        <v>7.8329828106120214E-2</v>
      </c>
      <c r="AJ71" s="1329"/>
      <c r="AK71" s="1329"/>
      <c r="AL71" s="1329"/>
      <c r="AM71" s="1329"/>
      <c r="AN71" s="1329"/>
      <c r="AO71" s="1329"/>
      <c r="AP71" s="1329"/>
      <c r="AQ71" s="1329"/>
      <c r="AR71" s="1236"/>
      <c r="AS71" s="1371"/>
      <c r="AT71" s="1371"/>
      <c r="AU71" s="1345"/>
      <c r="AV71" s="1345">
        <f>IFERROR(Model!AV71/Model!AU71-1,"NA")</f>
        <v>0.16328848009992614</v>
      </c>
      <c r="AW71" s="1345">
        <f>IFERROR(Model!AW71/Model!AV71-1,"NA")</f>
        <v>-0.24671775098833515</v>
      </c>
      <c r="AX71" s="1345">
        <f>IFERROR(Model!AX71/Model!AW71-1,"NA")</f>
        <v>0.57464040430218999</v>
      </c>
      <c r="AY71" s="1345">
        <f>IFERROR(Model!AY71/Model!AX71-1,"NA")</f>
        <v>-0.11628194050117269</v>
      </c>
      <c r="AZ71" s="1345">
        <f>IFERROR(Model!AZ71/Model!AY71-1,"NA")</f>
        <v>5.97848861572845E-2</v>
      </c>
      <c r="BA71" s="1345">
        <f>IFERROR(Model!BA71/Model!AZ71-1,"NA")</f>
        <v>4.8838151301174193E-2</v>
      </c>
      <c r="BB71" s="1329">
        <f>IFERROR(Model!BB71/Model!BA71-1,"NA")</f>
        <v>9.0778940690287691E-2</v>
      </c>
      <c r="BC71" s="1329">
        <f>IFERROR(Model!BC71/Model!BB71-1,"NA")</f>
        <v>7.6811807130084286E-2</v>
      </c>
      <c r="BD71" s="1329">
        <f>IFERROR(Model!BD71/Model!BC71-1,"NA")</f>
        <v>5.5402743282669586E-2</v>
      </c>
      <c r="BE71" s="1329">
        <f>IFERROR(Model!BE71/Model!BD71-1,"NA")</f>
        <v>2.4854436873945174E-2</v>
      </c>
    </row>
    <row r="72" spans="2:57" x14ac:dyDescent="0.2">
      <c r="B72" s="16"/>
      <c r="C72" s="16"/>
      <c r="D72" s="1329"/>
      <c r="E72" s="1329"/>
      <c r="F72" s="1329"/>
      <c r="G72" s="1329"/>
      <c r="H72" s="1329"/>
      <c r="I72" s="1329"/>
      <c r="J72" s="1329"/>
      <c r="K72" s="1329"/>
      <c r="L72" s="1329"/>
      <c r="M72" s="1329"/>
      <c r="N72" s="1329"/>
      <c r="O72" s="1329"/>
      <c r="P72" s="1329"/>
      <c r="Q72" s="1329"/>
      <c r="R72" s="1329"/>
      <c r="S72" s="1329"/>
      <c r="T72" s="1329"/>
      <c r="U72" s="1329"/>
      <c r="V72" s="1329"/>
      <c r="W72" s="1329"/>
      <c r="X72" s="1329"/>
      <c r="Y72" s="1329"/>
      <c r="Z72" s="1329"/>
      <c r="AA72" s="1329"/>
      <c r="AB72" s="1329"/>
      <c r="AC72" s="1329"/>
      <c r="AD72" s="1329"/>
      <c r="AE72" s="1329"/>
      <c r="AF72" s="1329"/>
      <c r="AG72" s="1329"/>
      <c r="AH72" s="1329"/>
      <c r="AI72" s="1329"/>
      <c r="AJ72" s="1329"/>
      <c r="AK72" s="1329"/>
      <c r="AL72" s="1329"/>
      <c r="AM72" s="1329"/>
      <c r="AN72" s="1329"/>
      <c r="AO72" s="1329"/>
      <c r="AP72" s="1329"/>
      <c r="AQ72" s="1329"/>
      <c r="AR72" s="1236"/>
      <c r="AS72" s="1371"/>
      <c r="AT72" s="1371"/>
      <c r="AU72" s="1236"/>
      <c r="AV72" s="1236"/>
      <c r="AW72" s="1236"/>
      <c r="AX72" s="1236"/>
      <c r="AY72" s="1236"/>
      <c r="AZ72" s="1236"/>
      <c r="BA72" s="1236"/>
      <c r="BB72" s="1329"/>
      <c r="BC72" s="1329"/>
      <c r="BD72" s="1329"/>
      <c r="BE72" s="1329"/>
    </row>
    <row r="73" spans="2:57" x14ac:dyDescent="0.2">
      <c r="B73" s="16" t="s">
        <v>525</v>
      </c>
      <c r="C73" s="16"/>
      <c r="D73" s="1329"/>
      <c r="E73" s="1329"/>
      <c r="F73" s="1329"/>
      <c r="G73" s="1329"/>
      <c r="H73" s="1329"/>
      <c r="I73" s="1329"/>
      <c r="J73" s="1329"/>
      <c r="K73" s="1329"/>
      <c r="L73" s="1329"/>
      <c r="M73" s="1329"/>
      <c r="N73" s="1329"/>
      <c r="O73" s="1329"/>
      <c r="P73" s="1329"/>
      <c r="Q73" s="1329"/>
      <c r="R73" s="1329"/>
      <c r="S73" s="1329"/>
      <c r="T73" s="1329"/>
      <c r="U73" s="1329"/>
      <c r="V73" s="1329"/>
      <c r="W73" s="1329"/>
      <c r="X73" s="1329"/>
      <c r="Y73" s="1329"/>
      <c r="Z73" s="1329"/>
      <c r="AA73" s="1329"/>
      <c r="AB73" s="1329"/>
      <c r="AC73" s="1329"/>
      <c r="AD73" s="1329"/>
      <c r="AE73" s="1329"/>
      <c r="AF73" s="1329"/>
      <c r="AG73" s="1329"/>
      <c r="AH73" s="1329"/>
      <c r="AI73" s="1329"/>
      <c r="AJ73" s="1329"/>
      <c r="AK73" s="1329"/>
      <c r="AL73" s="1329"/>
      <c r="AM73" s="1329"/>
      <c r="AN73" s="1329"/>
      <c r="AO73" s="1329"/>
      <c r="AP73" s="1329"/>
      <c r="AQ73" s="1329"/>
      <c r="AR73" s="1236"/>
      <c r="AS73" s="1371"/>
      <c r="AT73" s="1371"/>
      <c r="AU73" s="1236"/>
      <c r="AV73" s="1236"/>
      <c r="AW73" s="1236"/>
      <c r="AX73" s="1236"/>
      <c r="AY73" s="1236"/>
      <c r="AZ73" s="1236"/>
      <c r="BA73" s="1236"/>
      <c r="BB73" s="1345"/>
      <c r="BC73" s="1345"/>
      <c r="BD73" s="1345"/>
      <c r="BE73" s="1345"/>
    </row>
    <row r="74" spans="2:57" x14ac:dyDescent="0.2">
      <c r="B74" s="16"/>
      <c r="C74" s="17" t="s">
        <v>100</v>
      </c>
      <c r="D74" s="1242"/>
      <c r="E74" s="1242"/>
      <c r="F74" s="1242"/>
      <c r="G74" s="1242"/>
      <c r="H74" s="1242">
        <f>IFERROR(Model!H74/Model!D74-1,"NA")</f>
        <v>-0.13996659939619116</v>
      </c>
      <c r="I74" s="1242">
        <f>IFERROR(Model!I74/Model!E74-1,"NA")</f>
        <v>-7.7842207312097678E-2</v>
      </c>
      <c r="J74" s="1242">
        <f>IFERROR(Model!J74/Model!F74-1,"NA")</f>
        <v>-0.25919540962811072</v>
      </c>
      <c r="K74" s="1242">
        <f>IFERROR(Model!K74/Model!G74-1,"NA")</f>
        <v>-0.12153601466919239</v>
      </c>
      <c r="L74" s="1242">
        <f>IFERROR(Model!L74/Model!H74-1,"NA")</f>
        <v>-9.7438793090967146E-2</v>
      </c>
      <c r="M74" s="1242">
        <f>IFERROR(Model!M74/Model!I74-1,"NA")</f>
        <v>-0.16492120378152186</v>
      </c>
      <c r="N74" s="1242">
        <f>IFERROR(Model!N74/Model!J74-1,"NA")</f>
        <v>0.22396682075430929</v>
      </c>
      <c r="O74" s="1242">
        <f>IFERROR(Model!O74/Model!K74-1,"NA")</f>
        <v>0.13014356853723164</v>
      </c>
      <c r="P74" s="1242">
        <f>IFERROR(Model!P74/Model!L74-1,"NA")</f>
        <v>6.2156399846426513E-2</v>
      </c>
      <c r="Q74" s="1242">
        <f>IFERROR(Model!Q74/Model!M74-1,"NA")</f>
        <v>7.8729522481701064E-2</v>
      </c>
      <c r="R74" s="1242">
        <f>IFERROR(Model!R74/Model!N74-1,"NA")</f>
        <v>-6.1452738951710328E-2</v>
      </c>
      <c r="S74" s="1242">
        <f>IFERROR(Model!S74/Model!O74-1,"NA")</f>
        <v>-0.18871252204585531</v>
      </c>
      <c r="T74" s="1242">
        <f>IFERROR(Model!T74/Model!P74-1,"NA")</f>
        <v>-0.28590511087001125</v>
      </c>
      <c r="U74" s="1242">
        <f>IFERROR(Model!U74/Model!Q74-1,"NA")</f>
        <v>-0.19668953985615367</v>
      </c>
      <c r="V74" s="1242">
        <f>IFERROR(Model!V74/Model!R74-1,"NA")</f>
        <v>-0.30619650195390591</v>
      </c>
      <c r="W74" s="1242">
        <f>IFERROR(Model!W74/Model!S74-1,"NA")</f>
        <v>-0.14205722443276736</v>
      </c>
      <c r="X74" s="1242">
        <f>IFERROR(Model!X74/Model!T74-1,"NA")</f>
        <v>-0.22501308490810512</v>
      </c>
      <c r="Y74" s="1242">
        <f>IFERROR(Model!Y74/Model!U74-1,"NA")</f>
        <v>-0.1816701842355597</v>
      </c>
      <c r="Z74" s="1242">
        <f>IFERROR(Model!Z74/Model!V74-1,"NA")</f>
        <v>-9.3163817608348909E-2</v>
      </c>
      <c r="AA74" s="1242">
        <f>IFERROR(Model!AA74/Model!W74-1,"NA")</f>
        <v>-0.54075740283324114</v>
      </c>
      <c r="AB74" s="1242">
        <f>IFERROR(Model!AB74/Model!X74-1,"NA")</f>
        <v>0.35386612468435685</v>
      </c>
      <c r="AC74" s="1242" t="str">
        <f>IFERROR(Model!AC74/Model!Y74-1,"NA")</f>
        <v>NA</v>
      </c>
      <c r="AD74" s="1242" t="str">
        <f>IFERROR(Model!AD74/Model!Z74-1,"NA")</f>
        <v>NA</v>
      </c>
      <c r="AE74" s="1242" t="str">
        <f>IFERROR(Model!AE74/Model!AA74-1,"NA")</f>
        <v>NA</v>
      </c>
      <c r="AF74" s="1242" t="str">
        <f>IFERROR(Model!AF74/Model!AB74-1,"NA")</f>
        <v>NA</v>
      </c>
      <c r="AG74" s="1242" t="str">
        <f>IFERROR(Model!AG74/Model!AC74-1,"NA")</f>
        <v>NA</v>
      </c>
      <c r="AH74" s="1242" t="str">
        <f>IFERROR(Model!AH74/Model!AD74-1,"NA")</f>
        <v>NA</v>
      </c>
      <c r="AI74" s="1242" t="str">
        <f>IFERROR(Model!AI74/Model!AE74-1,"NA")</f>
        <v>NA</v>
      </c>
      <c r="AJ74" s="1242"/>
      <c r="AK74" s="1242"/>
      <c r="AL74" s="1242"/>
      <c r="AM74" s="1242"/>
      <c r="AN74" s="1242"/>
      <c r="AO74" s="1242"/>
      <c r="AP74" s="1242"/>
      <c r="AQ74" s="1242"/>
      <c r="AR74" s="1236"/>
      <c r="AS74" s="1371"/>
      <c r="AT74" s="1372"/>
      <c r="AU74" s="1243"/>
      <c r="AV74" s="1243">
        <f>IFERROR(Model!AV74/Model!AU74-1,"NA")</f>
        <v>-0.15167349312910494</v>
      </c>
      <c r="AW74" s="1243">
        <f>IFERROR(Model!AW74/Model!AV74-1,"NA")</f>
        <v>9.5299450613741676E-3</v>
      </c>
      <c r="AX74" s="1243">
        <f>IFERROR(Model!AX74/Model!AW74-1,"NA")</f>
        <v>-3.2169569549318822E-2</v>
      </c>
      <c r="AY74" s="1243">
        <f>IFERROR(Model!AY74/Model!AX74-1,"NA")</f>
        <v>-0.23902865597439482</v>
      </c>
      <c r="AZ74" s="1243" t="str">
        <f>IFERROR(Model!AZ74/Model!AY74-1,"NA")</f>
        <v>NA</v>
      </c>
      <c r="BA74" s="1243" t="str">
        <f>IFERROR(Model!BA74/Model!AZ74-1,"NA")</f>
        <v>NA</v>
      </c>
      <c r="BB74" s="1243" t="str">
        <f>IFERROR(Model!BB74/Model!BA74-1,"NA")</f>
        <v>NA</v>
      </c>
      <c r="BC74" s="1243" t="str">
        <f>IFERROR(Model!BC74/Model!BB74-1,"NA")</f>
        <v>NA</v>
      </c>
      <c r="BD74" s="1243" t="str">
        <f>IFERROR(Model!BD74/Model!BC74-1,"NA")</f>
        <v>NA</v>
      </c>
      <c r="BE74" s="1243" t="str">
        <f>IFERROR(Model!BE74/Model!BD74-1,"NA")</f>
        <v>NA</v>
      </c>
    </row>
    <row r="75" spans="2:57" x14ac:dyDescent="0.2">
      <c r="B75" s="16"/>
      <c r="C75" s="17" t="s">
        <v>182</v>
      </c>
      <c r="D75" s="1242"/>
      <c r="E75" s="1242"/>
      <c r="F75" s="1242"/>
      <c r="G75" s="1242"/>
      <c r="H75" s="1242">
        <f>IFERROR(Model!H75/Model!D75-1,"NA")</f>
        <v>6.5249280226616246E-2</v>
      </c>
      <c r="I75" s="1242">
        <f>IFERROR(Model!I75/Model!E75-1,"NA")</f>
        <v>0.29793805088940317</v>
      </c>
      <c r="J75" s="1242">
        <f>IFERROR(Model!J75/Model!F75-1,"NA")</f>
        <v>-0.21624455726237668</v>
      </c>
      <c r="K75" s="1242">
        <f>IFERROR(Model!K75/Model!G75-1,"NA")</f>
        <v>-9.6598202952832057E-2</v>
      </c>
      <c r="L75" s="1242">
        <f>IFERROR(Model!L75/Model!H75-1,"NA")</f>
        <v>-0.10459783945665546</v>
      </c>
      <c r="M75" s="1242">
        <f>IFERROR(Model!M75/Model!I75-1,"NA")</f>
        <v>-0.10160189154511934</v>
      </c>
      <c r="N75" s="1242">
        <f>IFERROR(Model!N75/Model!J75-1,"NA")</f>
        <v>0.27281359675066064</v>
      </c>
      <c r="O75" s="1242">
        <f>IFERROR(Model!O75/Model!K75-1,"NA")</f>
        <v>4.7693562165100678E-2</v>
      </c>
      <c r="P75" s="1242">
        <f>IFERROR(Model!P75/Model!L75-1,"NA")</f>
        <v>-1.4142441860465205E-2</v>
      </c>
      <c r="Q75" s="1242">
        <f>IFERROR(Model!Q75/Model!M75-1,"NA")</f>
        <v>-1.5333742708926734E-2</v>
      </c>
      <c r="R75" s="1242">
        <f>IFERROR(Model!R75/Model!N75-1,"NA")</f>
        <v>-0.14338006039329299</v>
      </c>
      <c r="S75" s="1242">
        <f>IFERROR(Model!S75/Model!O75-1,"NA")</f>
        <v>-0.23036350503507075</v>
      </c>
      <c r="T75" s="1242">
        <f>IFERROR(Model!T75/Model!P75-1,"NA")</f>
        <v>-0.36752010453632789</v>
      </c>
      <c r="U75" s="1242">
        <f>IFERROR(Model!U75/Model!Q75-1,"NA")</f>
        <v>1.4445651927355918E-2</v>
      </c>
      <c r="V75" s="1242">
        <f>IFERROR(Model!V75/Model!R75-1,"NA")</f>
        <v>0.18475772105788346</v>
      </c>
      <c r="W75" s="1242">
        <f>IFERROR(Model!W75/Model!S75-1,"NA")</f>
        <v>0.81964394516564343</v>
      </c>
      <c r="X75" s="1242">
        <f>IFERROR(Model!X75/Model!T75-1,"NA")</f>
        <v>0.5677752970896548</v>
      </c>
      <c r="Y75" s="1242">
        <f>IFERROR(Model!Y75/Model!U75-1,"NA")</f>
        <v>1.3419661191122589E-2</v>
      </c>
      <c r="Z75" s="1242">
        <f>IFERROR(Model!Z75/Model!V75-1,"NA")</f>
        <v>9.8507879225179895E-2</v>
      </c>
      <c r="AA75" s="1242">
        <f>IFERROR(Model!AA75/Model!W75-1,"NA")</f>
        <v>-0.91561728213858518</v>
      </c>
      <c r="AB75" s="1242">
        <f>IFERROR(Model!AB75/Model!X75-1,"NA")</f>
        <v>4.9854184991247275E-2</v>
      </c>
      <c r="AC75" s="1242" t="str">
        <f>IFERROR(Model!AC75/Model!Y75-1,"NA")</f>
        <v>NA</v>
      </c>
      <c r="AD75" s="1242" t="str">
        <f>IFERROR(Model!AD75/Model!Z75-1,"NA")</f>
        <v>NA</v>
      </c>
      <c r="AE75" s="1242" t="str">
        <f>IFERROR(Model!AE75/Model!AA75-1,"NA")</f>
        <v>NA</v>
      </c>
      <c r="AF75" s="1242" t="str">
        <f>IFERROR(Model!AF75/Model!AB75-1,"NA")</f>
        <v>NA</v>
      </c>
      <c r="AG75" s="1242" t="str">
        <f>IFERROR(Model!AG75/Model!AC75-1,"NA")</f>
        <v>NA</v>
      </c>
      <c r="AH75" s="1242" t="str">
        <f>IFERROR(Model!AH75/Model!AD75-1,"NA")</f>
        <v>NA</v>
      </c>
      <c r="AI75" s="1242" t="str">
        <f>IFERROR(Model!AI75/Model!AE75-1,"NA")</f>
        <v>NA</v>
      </c>
      <c r="AJ75" s="1242"/>
      <c r="AK75" s="1242"/>
      <c r="AL75" s="1242"/>
      <c r="AM75" s="1242"/>
      <c r="AN75" s="1242"/>
      <c r="AO75" s="1242"/>
      <c r="AP75" s="1242"/>
      <c r="AQ75" s="1242"/>
      <c r="AR75" s="1236"/>
      <c r="AS75" s="1371"/>
      <c r="AT75" s="1372"/>
      <c r="AU75" s="1243"/>
      <c r="AV75" s="1243">
        <f>IFERROR(Model!AV75/Model!AU75-1,"NA")</f>
        <v>1.4255003605962102E-2</v>
      </c>
      <c r="AW75" s="1243">
        <f>IFERROR(Model!AW75/Model!AV75-1,"NA")</f>
        <v>-1.612198368682316E-3</v>
      </c>
      <c r="AX75" s="1243">
        <f>IFERROR(Model!AX75/Model!AW75-1,"NA")</f>
        <v>-8.2266533257099317E-2</v>
      </c>
      <c r="AY75" s="1243">
        <f>IFERROR(Model!AY75/Model!AX75-1,"NA")</f>
        <v>4.4328314107698219E-2</v>
      </c>
      <c r="AZ75" s="1243" t="str">
        <f>IFERROR(Model!AZ75/Model!AY75-1,"NA")</f>
        <v>NA</v>
      </c>
      <c r="BA75" s="1243" t="str">
        <f>IFERROR(Model!BA75/Model!AZ75-1,"NA")</f>
        <v>NA</v>
      </c>
      <c r="BB75" s="1243" t="str">
        <f>IFERROR(Model!BB75/Model!BA75-1,"NA")</f>
        <v>NA</v>
      </c>
      <c r="BC75" s="1243" t="str">
        <f>IFERROR(Model!BC75/Model!BB75-1,"NA")</f>
        <v>NA</v>
      </c>
      <c r="BD75" s="1243" t="str">
        <f>IFERROR(Model!BD75/Model!BC75-1,"NA")</f>
        <v>NA</v>
      </c>
      <c r="BE75" s="1243" t="str">
        <f>IFERROR(Model!BE75/Model!BD75-1,"NA")</f>
        <v>NA</v>
      </c>
    </row>
    <row r="76" spans="2:57" x14ac:dyDescent="0.2">
      <c r="B76" s="16"/>
      <c r="C76" s="29" t="s">
        <v>183</v>
      </c>
      <c r="D76" s="1244"/>
      <c r="E76" s="1244"/>
      <c r="F76" s="1244"/>
      <c r="G76" s="1244"/>
      <c r="H76" s="1244">
        <f>IFERROR(Model!H76/Model!D76-1,"NA")</f>
        <v>-0.2528773321006399</v>
      </c>
      <c r="I76" s="1244">
        <f>IFERROR(Model!I76/Model!E76-1,"NA")</f>
        <v>-2.686435725726033E-2</v>
      </c>
      <c r="J76" s="1244">
        <f>IFERROR(Model!J76/Model!F76-1,"NA")</f>
        <v>-0.77437199112936539</v>
      </c>
      <c r="K76" s="1244">
        <f>IFERROR(Model!K76/Model!G76-1,"NA")</f>
        <v>-0.55816032660294956</v>
      </c>
      <c r="L76" s="1244">
        <f>IFERROR(Model!L76/Model!H76-1,"NA")</f>
        <v>-0.38958942026756882</v>
      </c>
      <c r="M76" s="1244">
        <f>IFERROR(Model!M76/Model!I76-1,"NA")</f>
        <v>4.8795943745753361</v>
      </c>
      <c r="N76" s="1244">
        <f>IFERROR(Model!N76/Model!J76-1,"NA")</f>
        <v>5.4388307389515118</v>
      </c>
      <c r="O76" s="1244">
        <f>IFERROR(Model!O76/Model!K76-1,"NA")</f>
        <v>4.0604034929238173</v>
      </c>
      <c r="P76" s="1244">
        <f>IFERROR(Model!P76/Model!L76-1,"NA")</f>
        <v>-1.5748471268681428</v>
      </c>
      <c r="Q76" s="1244">
        <f>IFERROR(Model!Q76/Model!M76-1,"NA")</f>
        <v>-1.1688012454592631</v>
      </c>
      <c r="R76" s="1244">
        <f>IFERROR(Model!R76/Model!N76-1,"NA")</f>
        <v>-1.3299507981773255</v>
      </c>
      <c r="S76" s="1244">
        <f>IFERROR(Model!S76/Model!O76-1,"NA")</f>
        <v>-1.4334028296874015</v>
      </c>
      <c r="T76" s="1244">
        <f>IFERROR(Model!T76/Model!P76-1,"NA")</f>
        <v>1.6761452895212363</v>
      </c>
      <c r="U76" s="1244">
        <f>IFERROR(Model!U76/Model!Q76-1,"NA")</f>
        <v>-0.59593547224224941</v>
      </c>
      <c r="V76" s="1244">
        <f>IFERROR(Model!V76/Model!R76-1,"NA")</f>
        <v>-1.1053589427061428</v>
      </c>
      <c r="W76" s="1244">
        <f>IFERROR(Model!W76/Model!S76-1,"NA")</f>
        <v>-1.0237069455993697</v>
      </c>
      <c r="X76" s="1244">
        <f>IFERROR(Model!X76/Model!T76-1,"NA")</f>
        <v>-0.69066459182905027</v>
      </c>
      <c r="Y76" s="1244">
        <f>IFERROR(Model!Y76/Model!U76-1,"NA")</f>
        <v>-1.2142358237514159</v>
      </c>
      <c r="Z76" s="1244">
        <f>IFERROR(Model!Z76/Model!V76-1,"NA")</f>
        <v>3.48260380417313</v>
      </c>
      <c r="AA76" s="1244">
        <f>IFERROR(Model!AA76/Model!W76-1,"NA")</f>
        <v>-198.75884853030468</v>
      </c>
      <c r="AB76" s="1244">
        <f>IFERROR(Model!AB76/Model!X76-1,"NA")</f>
        <v>-1.7518989839202921</v>
      </c>
      <c r="AC76" s="1244" t="str">
        <f>IFERROR(Model!AC76/Model!Y76-1,"NA")</f>
        <v>NA</v>
      </c>
      <c r="AD76" s="1244" t="str">
        <f>IFERROR(Model!AD76/Model!Z76-1,"NA")</f>
        <v>NA</v>
      </c>
      <c r="AE76" s="1244" t="str">
        <f>IFERROR(Model!AE76/Model!AA76-1,"NA")</f>
        <v>NA</v>
      </c>
      <c r="AF76" s="1244" t="str">
        <f>IFERROR(Model!AF76/Model!AB76-1,"NA")</f>
        <v>NA</v>
      </c>
      <c r="AG76" s="1244" t="str">
        <f>IFERROR(Model!AG76/Model!AC76-1,"NA")</f>
        <v>NA</v>
      </c>
      <c r="AH76" s="1244" t="str">
        <f>IFERROR(Model!AH76/Model!AD76-1,"NA")</f>
        <v>NA</v>
      </c>
      <c r="AI76" s="1244" t="str">
        <f>IFERROR(Model!AI76/Model!AE76-1,"NA")</f>
        <v>NA</v>
      </c>
      <c r="AJ76" s="1339"/>
      <c r="AK76" s="1339"/>
      <c r="AL76" s="1339"/>
      <c r="AM76" s="1339"/>
      <c r="AN76" s="1339"/>
      <c r="AO76" s="1339"/>
      <c r="AP76" s="1339"/>
      <c r="AQ76" s="1339"/>
      <c r="AR76" s="1236"/>
      <c r="AS76" s="1371"/>
      <c r="AT76" s="1373"/>
      <c r="AU76" s="1245"/>
      <c r="AV76" s="1245">
        <f>IFERROR(Model!AV76/Model!AU76-1,"NA")</f>
        <v>-0.42450986575012017</v>
      </c>
      <c r="AW76" s="1245">
        <f>IFERROR(Model!AW76/Model!AV76-1,"NA")</f>
        <v>2.8127041161110151</v>
      </c>
      <c r="AX76" s="1245">
        <f>IFERROR(Model!AX76/Model!AW76-1,"NA")</f>
        <v>-1.2920671906006826</v>
      </c>
      <c r="AY76" s="1245">
        <f>IFERROR(Model!AY76/Model!AX76-1,"NA")</f>
        <v>-0.59545073023333894</v>
      </c>
      <c r="AZ76" s="1245" t="str">
        <f>IFERROR(Model!AZ76/Model!AY76-1,"NA")</f>
        <v>NA</v>
      </c>
      <c r="BA76" s="1245" t="str">
        <f>IFERROR(Model!BA76/Model!AZ76-1,"NA")</f>
        <v>NA</v>
      </c>
      <c r="BB76" s="1245" t="str">
        <f>IFERROR(Model!BB76/Model!BA76-1,"NA")</f>
        <v>NA</v>
      </c>
      <c r="BC76" s="1245" t="str">
        <f>IFERROR(Model!BC76/Model!BB76-1,"NA")</f>
        <v>NA</v>
      </c>
      <c r="BD76" s="1245" t="str">
        <f>IFERROR(Model!BD76/Model!BC76-1,"NA")</f>
        <v>NA</v>
      </c>
      <c r="BE76" s="1245" t="str">
        <f>IFERROR(Model!BE76/Model!BD76-1,"NA")</f>
        <v>NA</v>
      </c>
    </row>
    <row r="77" spans="2:57" x14ac:dyDescent="0.2">
      <c r="B77" s="16"/>
      <c r="C77" s="16" t="s">
        <v>149</v>
      </c>
      <c r="D77" s="1361"/>
      <c r="E77" s="1361"/>
      <c r="F77" s="1361"/>
      <c r="G77" s="1361"/>
      <c r="H77" s="1361">
        <f>IFERROR(Model!H77/Model!D77-1,"NA")</f>
        <v>0.20585610174999558</v>
      </c>
      <c r="I77" s="1361">
        <f>IFERROR(Model!I77/Model!E77-1,"NA")</f>
        <v>0.27923626893600817</v>
      </c>
      <c r="J77" s="1361">
        <f>IFERROR(Model!J77/Model!F77-1,"NA")</f>
        <v>-5.6750447379547264E-2</v>
      </c>
      <c r="K77" s="1361">
        <f>IFERROR(Model!K77/Model!G77-1,"NA")</f>
        <v>0.4837212555399335</v>
      </c>
      <c r="L77" s="1361">
        <f>IFERROR(Model!L77/Model!H77-1,"NA")</f>
        <v>-1.3029963200404948E-3</v>
      </c>
      <c r="M77" s="1361">
        <f>IFERROR(Model!M77/Model!I77-1,"NA")</f>
        <v>-0.96773973932228607</v>
      </c>
      <c r="N77" s="1361">
        <f>IFERROR(Model!N77/Model!J77-1,"NA")</f>
        <v>-5.1781547001185313E-2</v>
      </c>
      <c r="O77" s="1361">
        <f>IFERROR(Model!O77/Model!K77-1,"NA")</f>
        <v>-0.92120037547524902</v>
      </c>
      <c r="P77" s="1361">
        <f>IFERROR(Model!P77/Model!L77-1,"NA")</f>
        <v>0.20193169177541948</v>
      </c>
      <c r="Q77" s="1361">
        <f>IFERROR(Model!Q77/Model!M77-1,"NA")</f>
        <v>36.125829496434285</v>
      </c>
      <c r="R77" s="1361">
        <f>IFERROR(Model!R77/Model!N77-1,"NA")</f>
        <v>0.41126273909952649</v>
      </c>
      <c r="S77" s="1361">
        <f>IFERROR(Model!S77/Model!O77-1,"NA")</f>
        <v>17.960966493283912</v>
      </c>
      <c r="T77" s="1361">
        <f>IFERROR(Model!T77/Model!P77-1,"NA")</f>
        <v>-0.27394475837724086</v>
      </c>
      <c r="U77" s="1361">
        <f>IFERROR(Model!U77/Model!Q77-1,"NA")</f>
        <v>-0.1499472282687121</v>
      </c>
      <c r="V77" s="1361">
        <f>IFERROR(Model!V77/Model!R77-1,"NA")</f>
        <v>-9.264233073997552E-2</v>
      </c>
      <c r="W77" s="1361">
        <f>IFERROR(Model!W77/Model!S77-1,"NA")</f>
        <v>-1.0651425896519906E-2</v>
      </c>
      <c r="X77" s="1361">
        <f>IFERROR(Model!X77/Model!T77-1,"NA")</f>
        <v>0.12935378555711585</v>
      </c>
      <c r="Y77" s="1361">
        <f>IFERROR(Model!Y77/Model!U77-1,"NA")</f>
        <v>-7.886546426308727E-2</v>
      </c>
      <c r="Z77" s="1361">
        <f>IFERROR(Model!Z77/Model!V77-1,"NA")</f>
        <v>2.3884145122626599E-2</v>
      </c>
      <c r="AA77" s="1361">
        <f>IFERROR(Model!AA77/Model!W77-1,"NA")</f>
        <v>3.062556102261782E-2</v>
      </c>
      <c r="AB77" s="1361">
        <f>IFERROR(Model!AB77/Model!X77-1,"NA")</f>
        <v>0.10278367939437683</v>
      </c>
      <c r="AC77" s="1361">
        <f>IFERROR(Model!AC77/Model!Y77-1,"NA")</f>
        <v>0.14885646707233402</v>
      </c>
      <c r="AD77" s="1361">
        <f>IFERROR(Model!AD77/Model!Z77-1,"NA")</f>
        <v>9.3674583401007983E-2</v>
      </c>
      <c r="AE77" s="1361">
        <f>IFERROR(Model!AE77/Model!AA77-1,"NA")</f>
        <v>0.14106077995249167</v>
      </c>
      <c r="AF77" s="1361">
        <f>IFERROR(Model!AF77/Model!AB77-1,"NA")</f>
        <v>4.3940737078574932E-2</v>
      </c>
      <c r="AG77" s="1361">
        <f>IFERROR(Model!AG77/Model!AC77-1,"NA")</f>
        <v>0.11424361968870356</v>
      </c>
      <c r="AH77" s="1361">
        <f>IFERROR(Model!AH77/Model!AD77-1,"NA")</f>
        <v>6.391292962155859E-2</v>
      </c>
      <c r="AI77" s="1361">
        <f>IFERROR(Model!AI77/Model!AE77-1,"NA")</f>
        <v>4.5142989135357858E-2</v>
      </c>
      <c r="AJ77" s="1361"/>
      <c r="AK77" s="1361"/>
      <c r="AL77" s="1361"/>
      <c r="AM77" s="1361"/>
      <c r="AN77" s="1361"/>
      <c r="AO77" s="1361"/>
      <c r="AP77" s="1361"/>
      <c r="AQ77" s="1361"/>
      <c r="AR77" s="1236"/>
      <c r="AS77" s="1371"/>
      <c r="AT77" s="1371"/>
      <c r="AU77" s="1393"/>
      <c r="AV77" s="1393">
        <f>IFERROR(Model!AV77/Model!AU77-1,"NA")</f>
        <v>0.1857392883136495</v>
      </c>
      <c r="AW77" s="1393">
        <f>IFERROR(Model!AW77/Model!AV77-1,"NA")</f>
        <v>-0.45347236795630386</v>
      </c>
      <c r="AX77" s="1393">
        <f>IFERROR(Model!AX77/Model!AW77-1,"NA")</f>
        <v>1.3507036136159845</v>
      </c>
      <c r="AY77" s="1393">
        <f>IFERROR(Model!AY77/Model!AX77-1,"NA")</f>
        <v>-0.1442453780899019</v>
      </c>
      <c r="AZ77" s="1393">
        <f>IFERROR(Model!AZ77/Model!AY77-1,"NA")</f>
        <v>2.2718069345354586E-2</v>
      </c>
      <c r="BA77" s="1393">
        <f>IFERROR(Model!BA77/Model!AZ77-1,"NA")</f>
        <v>0.12089711331163588</v>
      </c>
      <c r="BB77" s="1393">
        <f>IFERROR(Model!BB77/Model!BA77-1,"NA")</f>
        <v>6.6413417982575496E-2</v>
      </c>
      <c r="BC77" s="1393">
        <f>IFERROR(Model!BC77/Model!BB77-1,"NA")</f>
        <v>5.4127023201677726E-2</v>
      </c>
      <c r="BD77" s="1393">
        <f>IFERROR(Model!BD77/Model!BC77-1,"NA")</f>
        <v>2.4803418783269526E-2</v>
      </c>
      <c r="BE77" s="1393">
        <f>IFERROR(Model!BE77/Model!BD77-1,"NA")</f>
        <v>-5.0831196369031106E-3</v>
      </c>
    </row>
    <row r="78" spans="2:57" x14ac:dyDescent="0.2">
      <c r="B78" s="16"/>
      <c r="C78" s="16"/>
      <c r="D78" s="1361"/>
      <c r="E78" s="1361"/>
      <c r="F78" s="1361"/>
      <c r="G78" s="1361"/>
      <c r="H78" s="1361"/>
      <c r="I78" s="1361"/>
      <c r="J78" s="1361"/>
      <c r="K78" s="1361"/>
      <c r="L78" s="1361"/>
      <c r="M78" s="1361"/>
      <c r="N78" s="1361"/>
      <c r="O78" s="1361"/>
      <c r="P78" s="1361"/>
      <c r="Q78" s="1361"/>
      <c r="R78" s="1361"/>
      <c r="S78" s="1361"/>
      <c r="T78" s="1361"/>
      <c r="U78" s="1361"/>
      <c r="V78" s="1361"/>
      <c r="W78" s="1361"/>
      <c r="X78" s="407"/>
      <c r="Y78" s="407"/>
      <c r="Z78" s="407"/>
      <c r="AA78" s="407"/>
      <c r="AB78" s="407"/>
      <c r="AC78" s="407"/>
      <c r="AD78" s="407"/>
      <c r="AE78" s="407"/>
      <c r="AF78" s="407"/>
      <c r="AG78" s="407"/>
      <c r="AH78" s="407"/>
      <c r="AI78" s="1250"/>
      <c r="AJ78" s="1250"/>
      <c r="AK78" s="1250"/>
      <c r="AL78" s="1250"/>
      <c r="AM78" s="1250"/>
      <c r="AN78" s="1250"/>
      <c r="AO78" s="1250"/>
      <c r="AP78" s="1250"/>
      <c r="AQ78" s="1250"/>
      <c r="AR78" s="1236"/>
      <c r="AS78" s="1371"/>
      <c r="AT78" s="1371"/>
      <c r="AU78" s="1236"/>
      <c r="AV78" s="1236"/>
      <c r="AW78" s="1236"/>
      <c r="AX78" s="1236"/>
      <c r="AY78" s="1236"/>
      <c r="AZ78" s="1236"/>
      <c r="BA78" s="1236"/>
      <c r="BB78" s="1236"/>
      <c r="BC78" s="1236"/>
      <c r="BD78" s="1236"/>
      <c r="BE78" s="1236"/>
    </row>
    <row r="79" spans="2:57" x14ac:dyDescent="0.2">
      <c r="D79" s="407"/>
      <c r="E79" s="407"/>
      <c r="F79" s="407"/>
      <c r="G79" s="407"/>
      <c r="H79" s="407"/>
      <c r="I79" s="407"/>
      <c r="J79" s="407"/>
      <c r="K79" s="407"/>
      <c r="L79" s="407"/>
      <c r="M79" s="407"/>
      <c r="N79" s="407"/>
      <c r="O79" s="407"/>
      <c r="P79" s="407"/>
      <c r="Q79" s="407"/>
      <c r="R79" s="407"/>
      <c r="S79" s="407"/>
      <c r="T79" s="407"/>
      <c r="U79" s="407"/>
      <c r="V79" s="407"/>
      <c r="W79" s="1250"/>
      <c r="X79" s="407"/>
      <c r="Y79" s="407"/>
      <c r="Z79" s="407"/>
      <c r="AA79" s="407"/>
      <c r="AB79" s="407"/>
      <c r="AC79" s="407"/>
      <c r="AD79" s="407"/>
      <c r="AE79" s="407"/>
      <c r="AF79" s="407"/>
      <c r="AG79" s="407"/>
      <c r="AH79" s="407"/>
      <c r="AI79" s="407"/>
      <c r="AJ79" s="407"/>
      <c r="AK79" s="407"/>
      <c r="AL79" s="407"/>
      <c r="AM79" s="407"/>
      <c r="AN79" s="407"/>
      <c r="AO79" s="407"/>
      <c r="AP79" s="407"/>
      <c r="AQ79" s="407"/>
      <c r="AR79" s="1236"/>
      <c r="AS79" s="1382"/>
      <c r="AT79" s="407"/>
      <c r="AU79" s="1236"/>
      <c r="AV79" s="1236"/>
      <c r="AW79" s="1236"/>
      <c r="AX79" s="1236"/>
      <c r="AY79" s="1236"/>
      <c r="AZ79" s="1236"/>
      <c r="BA79" s="1236"/>
      <c r="BB79" s="1236"/>
      <c r="BC79" s="1236"/>
      <c r="BD79" s="1236"/>
      <c r="BE79" s="1236"/>
    </row>
    <row r="80" spans="2:57" hidden="1" outlineLevel="1" x14ac:dyDescent="0.2">
      <c r="B80" s="13"/>
      <c r="C80" s="13"/>
      <c r="D80" s="1369"/>
      <c r="E80" s="1369"/>
      <c r="F80" s="1369"/>
      <c r="G80" s="1369"/>
      <c r="H80" s="1369"/>
      <c r="I80" s="1369"/>
      <c r="J80" s="1369"/>
      <c r="K80" s="1369"/>
      <c r="L80" s="1369"/>
      <c r="M80" s="1369"/>
      <c r="N80" s="1369"/>
      <c r="O80" s="1369"/>
      <c r="P80" s="1369"/>
      <c r="Q80" s="1369"/>
      <c r="R80" s="1369"/>
      <c r="S80" s="1369"/>
      <c r="T80" s="1369"/>
      <c r="U80" s="1369"/>
      <c r="V80" s="1369"/>
      <c r="W80" s="1369"/>
      <c r="X80" s="1369"/>
      <c r="Y80" s="1369"/>
      <c r="Z80" s="1369"/>
      <c r="AA80" s="1369"/>
      <c r="AB80" s="1369"/>
      <c r="AC80" s="1369"/>
      <c r="AD80" s="1369"/>
      <c r="AE80" s="1369"/>
      <c r="AF80" s="1369"/>
      <c r="AG80" s="1369"/>
      <c r="AH80" s="1369"/>
      <c r="AI80" s="1369"/>
      <c r="AJ80" s="1369"/>
      <c r="AK80" s="1369"/>
      <c r="AL80" s="1369"/>
      <c r="AM80" s="1369"/>
      <c r="AN80" s="1369"/>
      <c r="AO80" s="1369"/>
      <c r="AP80" s="1369"/>
      <c r="AQ80" s="1369"/>
      <c r="AR80" s="1236"/>
      <c r="AS80" s="1370"/>
      <c r="AT80" s="1370"/>
      <c r="AU80" s="1370"/>
      <c r="AV80" s="1370"/>
      <c r="AW80" s="1370"/>
      <c r="AX80" s="1370"/>
      <c r="AY80" s="1370"/>
      <c r="AZ80" s="1370"/>
      <c r="BA80" s="1370"/>
      <c r="BB80" s="1370"/>
      <c r="BC80" s="1370"/>
      <c r="BD80" s="1370"/>
      <c r="BE80" s="1370"/>
    </row>
    <row r="81" spans="1:57" hidden="1" outlineLevel="1" x14ac:dyDescent="0.2">
      <c r="D81" s="407"/>
      <c r="E81" s="407"/>
      <c r="F81" s="407"/>
      <c r="G81" s="407"/>
      <c r="H81" s="407"/>
      <c r="I81" s="407"/>
      <c r="J81" s="407"/>
      <c r="K81" s="407"/>
      <c r="L81" s="407"/>
      <c r="M81" s="407"/>
      <c r="N81" s="407"/>
      <c r="O81" s="407"/>
      <c r="P81" s="407"/>
      <c r="Q81" s="407"/>
      <c r="R81" s="407"/>
      <c r="S81" s="407"/>
      <c r="T81" s="407"/>
      <c r="U81" s="407"/>
      <c r="V81" s="407"/>
      <c r="W81" s="407"/>
      <c r="X81" s="407"/>
      <c r="Y81" s="407"/>
      <c r="Z81" s="407"/>
      <c r="AA81" s="407"/>
      <c r="AB81" s="407"/>
      <c r="AC81" s="407"/>
      <c r="AD81" s="407"/>
      <c r="AE81" s="407"/>
      <c r="AF81" s="407"/>
      <c r="AG81" s="407"/>
      <c r="AH81" s="407"/>
      <c r="AI81" s="407"/>
      <c r="AJ81" s="407"/>
      <c r="AK81" s="407"/>
      <c r="AL81" s="407"/>
      <c r="AM81" s="407"/>
      <c r="AN81" s="407"/>
      <c r="AO81" s="407"/>
      <c r="AP81" s="407"/>
      <c r="AQ81" s="407"/>
      <c r="AR81" s="1236"/>
      <c r="AS81" s="1382"/>
      <c r="AT81" s="407"/>
      <c r="AU81" s="1236"/>
      <c r="AV81" s="1236"/>
      <c r="AW81" s="1236"/>
      <c r="AX81" s="1236"/>
      <c r="AY81" s="1236"/>
      <c r="AZ81" s="1236"/>
      <c r="BA81" s="1236"/>
      <c r="BB81" s="1236"/>
      <c r="BC81" s="1236"/>
      <c r="BD81" s="1236"/>
      <c r="BE81" s="1236"/>
    </row>
    <row r="82" spans="1:57" hidden="1" outlineLevel="1" x14ac:dyDescent="0.2">
      <c r="B82" s="175"/>
      <c r="D82" s="407"/>
      <c r="E82" s="407"/>
      <c r="F82" s="407"/>
      <c r="G82" s="407"/>
      <c r="H82" s="407"/>
      <c r="I82" s="407"/>
      <c r="J82" s="407"/>
      <c r="K82" s="407"/>
      <c r="L82" s="407"/>
      <c r="M82" s="407"/>
      <c r="N82" s="407"/>
      <c r="O82" s="407"/>
      <c r="P82" s="407"/>
      <c r="Q82" s="407"/>
      <c r="R82" s="407"/>
      <c r="S82" s="407"/>
      <c r="T82" s="407"/>
      <c r="U82" s="407"/>
      <c r="V82" s="407"/>
      <c r="W82" s="407"/>
      <c r="X82" s="407"/>
      <c r="Y82" s="407"/>
      <c r="Z82" s="407"/>
      <c r="AA82" s="407"/>
      <c r="AB82" s="407"/>
      <c r="AC82" s="407"/>
      <c r="AD82" s="407"/>
      <c r="AE82" s="407"/>
      <c r="AF82" s="407"/>
      <c r="AG82" s="407"/>
      <c r="AH82" s="407"/>
      <c r="AI82" s="407"/>
      <c r="AJ82" s="407"/>
      <c r="AK82" s="407"/>
      <c r="AL82" s="407"/>
      <c r="AM82" s="407"/>
      <c r="AN82" s="407"/>
      <c r="AO82" s="407"/>
      <c r="AP82" s="407"/>
      <c r="AQ82" s="407"/>
      <c r="AR82" s="1236"/>
      <c r="AS82" s="1394"/>
      <c r="AT82" s="407"/>
      <c r="AU82" s="1236"/>
      <c r="AV82" s="1236"/>
      <c r="AW82" s="1236"/>
      <c r="AX82" s="1236"/>
      <c r="AY82" s="1236"/>
      <c r="AZ82" s="1236"/>
      <c r="BA82" s="1236"/>
      <c r="BB82" s="1236"/>
      <c r="BC82" s="1236"/>
      <c r="BD82" s="1236"/>
      <c r="BE82" s="1236"/>
    </row>
    <row r="83" spans="1:57" hidden="1" outlineLevel="1" x14ac:dyDescent="0.2">
      <c r="B83" s="65"/>
      <c r="D83" s="407"/>
      <c r="E83" s="407"/>
      <c r="F83" s="407"/>
      <c r="G83" s="407"/>
      <c r="H83" s="407"/>
      <c r="I83" s="407"/>
      <c r="J83" s="407"/>
      <c r="K83" s="407"/>
      <c r="L83" s="407"/>
      <c r="M83" s="407"/>
      <c r="N83" s="407"/>
      <c r="O83" s="407"/>
      <c r="P83" s="407"/>
      <c r="Q83" s="407"/>
      <c r="R83" s="407"/>
      <c r="S83" s="407"/>
      <c r="T83" s="407"/>
      <c r="U83" s="407"/>
      <c r="V83" s="407"/>
      <c r="W83" s="407"/>
      <c r="X83" s="407"/>
      <c r="Y83" s="407"/>
      <c r="Z83" s="407"/>
      <c r="AA83" s="407"/>
      <c r="AB83" s="407"/>
      <c r="AC83" s="407"/>
      <c r="AD83" s="407"/>
      <c r="AE83" s="407"/>
      <c r="AF83" s="407"/>
      <c r="AG83" s="407"/>
      <c r="AH83" s="407"/>
      <c r="AI83" s="407"/>
      <c r="AJ83" s="407"/>
      <c r="AK83" s="407"/>
      <c r="AL83" s="407"/>
      <c r="AM83" s="407"/>
      <c r="AN83" s="407"/>
      <c r="AO83" s="407"/>
      <c r="AP83" s="407"/>
      <c r="AQ83" s="407"/>
      <c r="AR83" s="1236"/>
      <c r="AS83" s="1329"/>
      <c r="AT83" s="407"/>
      <c r="AU83" s="1236"/>
      <c r="AV83" s="1236"/>
      <c r="AW83" s="1236"/>
      <c r="AX83" s="1236"/>
      <c r="AY83" s="1236"/>
      <c r="AZ83" s="1236"/>
      <c r="BA83" s="1236"/>
      <c r="BB83" s="1236"/>
      <c r="BC83" s="1236"/>
      <c r="BD83" s="1236"/>
      <c r="BE83" s="1236"/>
    </row>
    <row r="84" spans="1:57" hidden="1" outlineLevel="1" x14ac:dyDescent="0.2">
      <c r="D84" s="407"/>
      <c r="E84" s="407"/>
      <c r="F84" s="407"/>
      <c r="G84" s="407"/>
      <c r="H84" s="407"/>
      <c r="I84" s="407"/>
      <c r="J84" s="407"/>
      <c r="K84" s="407"/>
      <c r="L84" s="407"/>
      <c r="M84" s="407"/>
      <c r="N84" s="407"/>
      <c r="O84" s="407"/>
      <c r="P84" s="407"/>
      <c r="Q84" s="407"/>
      <c r="R84" s="407"/>
      <c r="S84" s="407"/>
      <c r="T84" s="407"/>
      <c r="U84" s="407"/>
      <c r="V84" s="407"/>
      <c r="W84" s="407"/>
      <c r="X84" s="407"/>
      <c r="Y84" s="407"/>
      <c r="Z84" s="1236"/>
      <c r="AA84" s="1236"/>
      <c r="AB84" s="1236"/>
      <c r="AC84" s="1236"/>
      <c r="AD84" s="1236"/>
      <c r="AE84" s="1236"/>
      <c r="AF84" s="1236"/>
      <c r="AG84" s="1236"/>
      <c r="AH84" s="1236"/>
      <c r="AI84" s="1236"/>
      <c r="AJ84" s="1236"/>
      <c r="AK84" s="1236"/>
      <c r="AL84" s="1236"/>
      <c r="AM84" s="1236"/>
      <c r="AN84" s="1236"/>
      <c r="AO84" s="1236"/>
      <c r="AP84" s="1236"/>
      <c r="AQ84" s="1236"/>
      <c r="AR84" s="1236"/>
      <c r="AS84" s="1382"/>
      <c r="AT84" s="407"/>
      <c r="AU84" s="1236"/>
      <c r="AV84" s="1236"/>
      <c r="AW84" s="1236"/>
      <c r="AX84" s="1236"/>
      <c r="AY84" s="1236"/>
      <c r="AZ84" s="1236"/>
      <c r="BA84" s="1236"/>
      <c r="BB84" s="1236"/>
      <c r="BC84" s="1236"/>
      <c r="BD84" s="1236"/>
      <c r="BE84" s="1236"/>
    </row>
    <row r="85" spans="1:57" hidden="1" outlineLevel="1" x14ac:dyDescent="0.2">
      <c r="D85" s="407"/>
      <c r="E85" s="407"/>
      <c r="F85" s="407"/>
      <c r="G85" s="407"/>
      <c r="H85" s="407"/>
      <c r="I85" s="407"/>
      <c r="J85" s="407"/>
      <c r="K85" s="407"/>
      <c r="L85" s="407"/>
      <c r="M85" s="407"/>
      <c r="N85" s="407"/>
      <c r="O85" s="407"/>
      <c r="P85" s="407"/>
      <c r="Q85" s="407"/>
      <c r="R85" s="407"/>
      <c r="S85" s="407"/>
      <c r="T85" s="407"/>
      <c r="U85" s="407"/>
      <c r="V85" s="407"/>
      <c r="W85" s="407"/>
      <c r="X85" s="407"/>
      <c r="Y85" s="407"/>
      <c r="Z85" s="1236"/>
      <c r="AA85" s="1236"/>
      <c r="AB85" s="1236"/>
      <c r="AC85" s="1236"/>
      <c r="AD85" s="1236"/>
      <c r="AE85" s="1236"/>
      <c r="AF85" s="1236"/>
      <c r="AG85" s="1236"/>
      <c r="AH85" s="1236"/>
      <c r="AI85" s="1236"/>
      <c r="AJ85" s="1236"/>
      <c r="AK85" s="1236"/>
      <c r="AL85" s="1236"/>
      <c r="AM85" s="1236"/>
      <c r="AN85" s="1236"/>
      <c r="AO85" s="1236"/>
      <c r="AP85" s="1236"/>
      <c r="AQ85" s="1236"/>
      <c r="AR85" s="1236"/>
      <c r="AS85" s="1382"/>
      <c r="AT85" s="407"/>
      <c r="AU85" s="1236"/>
      <c r="AV85" s="1236"/>
      <c r="AW85" s="1236"/>
      <c r="AX85" s="1236"/>
      <c r="AY85" s="1236"/>
      <c r="AZ85" s="1236"/>
      <c r="BA85" s="1236"/>
      <c r="BB85" s="1236"/>
      <c r="BC85" s="1236"/>
      <c r="BD85" s="1236"/>
      <c r="BE85" s="1236"/>
    </row>
    <row r="86" spans="1:57" hidden="1" outlineLevel="1" x14ac:dyDescent="0.2">
      <c r="C86" s="25"/>
      <c r="D86" s="1307"/>
      <c r="E86" s="1307"/>
      <c r="F86" s="1307"/>
      <c r="G86" s="1307"/>
      <c r="H86" s="1307"/>
      <c r="I86" s="1307"/>
      <c r="J86" s="1307"/>
      <c r="K86" s="1307"/>
      <c r="L86" s="1307"/>
      <c r="M86" s="1307"/>
      <c r="N86" s="1307"/>
      <c r="O86" s="1307"/>
      <c r="P86" s="1307"/>
      <c r="Q86" s="1307"/>
      <c r="R86" s="1307"/>
      <c r="S86" s="1307"/>
      <c r="T86" s="1307"/>
      <c r="U86" s="1307"/>
      <c r="V86" s="1307"/>
      <c r="W86" s="1307"/>
      <c r="X86" s="1307"/>
      <c r="Y86" s="1307"/>
      <c r="Z86" s="1246"/>
      <c r="AA86" s="1246"/>
      <c r="AB86" s="1246"/>
      <c r="AC86" s="1246"/>
      <c r="AD86" s="1246"/>
      <c r="AE86" s="1246"/>
      <c r="AF86" s="1246"/>
      <c r="AG86" s="1246"/>
      <c r="AH86" s="1246"/>
      <c r="AI86" s="1246"/>
      <c r="AJ86" s="1236"/>
      <c r="AK86" s="1236"/>
      <c r="AL86" s="1236"/>
      <c r="AM86" s="1236"/>
      <c r="AN86" s="1236"/>
      <c r="AO86" s="1236"/>
      <c r="AP86" s="1236"/>
      <c r="AQ86" s="1236"/>
      <c r="AR86" s="1236"/>
      <c r="AS86" s="1382"/>
      <c r="AT86" s="1307"/>
      <c r="AU86" s="1246"/>
      <c r="AV86" s="1246"/>
      <c r="AW86" s="1246"/>
      <c r="AX86" s="1246"/>
      <c r="AY86" s="1246"/>
      <c r="AZ86" s="1246"/>
      <c r="BA86" s="1246"/>
      <c r="BB86" s="1246"/>
      <c r="BC86" s="1246"/>
      <c r="BD86" s="1246"/>
      <c r="BE86" s="1246"/>
    </row>
    <row r="87" spans="1:57" s="160" customFormat="1" hidden="1" outlineLevel="1" x14ac:dyDescent="0.2">
      <c r="A87" s="829"/>
      <c r="B87" s="173"/>
      <c r="C87" s="1217"/>
      <c r="D87" s="1329"/>
      <c r="E87" s="1329"/>
      <c r="F87" s="1329"/>
      <c r="G87" s="1329"/>
      <c r="H87" s="1329"/>
      <c r="I87" s="1329"/>
      <c r="J87" s="1329"/>
      <c r="K87" s="1329"/>
      <c r="L87" s="1329"/>
      <c r="M87" s="1329"/>
      <c r="N87" s="1329"/>
      <c r="O87" s="1329"/>
      <c r="P87" s="1329"/>
      <c r="Q87" s="1329"/>
      <c r="R87" s="1329"/>
      <c r="S87" s="1329"/>
      <c r="T87" s="1329"/>
      <c r="U87" s="1329"/>
      <c r="V87" s="1329"/>
      <c r="W87" s="1329"/>
      <c r="X87" s="1329"/>
      <c r="Y87" s="1329"/>
      <c r="Z87" s="1236"/>
      <c r="AA87" s="1236"/>
      <c r="AB87" s="1236"/>
      <c r="AC87" s="1236"/>
      <c r="AD87" s="1236"/>
      <c r="AE87" s="1236"/>
      <c r="AF87" s="1236"/>
      <c r="AG87" s="1236"/>
      <c r="AH87" s="1236"/>
      <c r="AI87" s="1236"/>
      <c r="AJ87" s="1236"/>
      <c r="AK87" s="1236"/>
      <c r="AL87" s="1236"/>
      <c r="AM87" s="1236"/>
      <c r="AN87" s="1236"/>
      <c r="AO87" s="1236"/>
      <c r="AP87" s="1236"/>
      <c r="AQ87" s="1236"/>
      <c r="AR87" s="1236"/>
      <c r="AS87" s="1395"/>
      <c r="AT87" s="407"/>
      <c r="AU87" s="1396"/>
      <c r="AV87" s="1396"/>
      <c r="AW87" s="1396"/>
      <c r="AX87" s="1396"/>
      <c r="AY87" s="1396"/>
      <c r="AZ87" s="1236"/>
      <c r="BA87" s="1236"/>
      <c r="BB87" s="1236"/>
      <c r="BC87" s="1236"/>
      <c r="BD87" s="1236"/>
      <c r="BE87" s="1236"/>
    </row>
    <row r="88" spans="1:57" hidden="1" outlineLevel="1" x14ac:dyDescent="0.2">
      <c r="D88" s="407"/>
      <c r="E88" s="407"/>
      <c r="F88" s="407"/>
      <c r="G88" s="407"/>
      <c r="H88" s="407"/>
      <c r="I88" s="407"/>
      <c r="J88" s="407"/>
      <c r="K88" s="407"/>
      <c r="L88" s="407"/>
      <c r="M88" s="407"/>
      <c r="N88" s="407"/>
      <c r="O88" s="407"/>
      <c r="P88" s="407"/>
      <c r="Q88" s="407"/>
      <c r="R88" s="407"/>
      <c r="S88" s="407"/>
      <c r="T88" s="407"/>
      <c r="U88" s="407"/>
      <c r="V88" s="407"/>
      <c r="W88" s="407"/>
      <c r="X88" s="407"/>
      <c r="Y88" s="407"/>
      <c r="Z88" s="407"/>
      <c r="AA88" s="407"/>
      <c r="AB88" s="407"/>
      <c r="AC88" s="407"/>
      <c r="AD88" s="407"/>
      <c r="AE88" s="407"/>
      <c r="AF88" s="407"/>
      <c r="AG88" s="407"/>
      <c r="AH88" s="407"/>
      <c r="AI88" s="407"/>
      <c r="AJ88" s="407"/>
      <c r="AK88" s="407"/>
      <c r="AL88" s="407"/>
      <c r="AM88" s="407"/>
      <c r="AN88" s="407"/>
      <c r="AO88" s="407"/>
      <c r="AP88" s="407"/>
      <c r="AQ88" s="407"/>
      <c r="AR88" s="1236"/>
      <c r="AS88" s="1382"/>
      <c r="AT88" s="407"/>
      <c r="AU88" s="1236"/>
      <c r="AV88" s="1236"/>
      <c r="AW88" s="1236"/>
      <c r="AX88" s="1236"/>
      <c r="AY88" s="1236"/>
      <c r="AZ88" s="1236"/>
      <c r="BA88" s="1236"/>
      <c r="BB88" s="1236"/>
      <c r="BC88" s="1236"/>
      <c r="BD88" s="1236"/>
      <c r="BE88" s="1236"/>
    </row>
    <row r="89" spans="1:57" hidden="1" outlineLevel="1" x14ac:dyDescent="0.2">
      <c r="B89" s="65"/>
      <c r="D89" s="407"/>
      <c r="E89" s="407"/>
      <c r="F89" s="407"/>
      <c r="G89" s="407"/>
      <c r="H89" s="407"/>
      <c r="I89" s="407"/>
      <c r="J89" s="407"/>
      <c r="K89" s="407"/>
      <c r="L89" s="407"/>
      <c r="M89" s="407"/>
      <c r="N89" s="407"/>
      <c r="O89" s="407"/>
      <c r="P89" s="407"/>
      <c r="Q89" s="407"/>
      <c r="R89" s="407"/>
      <c r="S89" s="407"/>
      <c r="T89" s="407"/>
      <c r="U89" s="407"/>
      <c r="V89" s="407"/>
      <c r="W89" s="407"/>
      <c r="X89" s="407"/>
      <c r="Y89" s="407"/>
      <c r="Z89" s="407"/>
      <c r="AA89" s="407"/>
      <c r="AB89" s="407"/>
      <c r="AC89" s="407"/>
      <c r="AD89" s="407"/>
      <c r="AE89" s="407"/>
      <c r="AF89" s="407"/>
      <c r="AG89" s="407"/>
      <c r="AH89" s="407"/>
      <c r="AI89" s="407"/>
      <c r="AJ89" s="407"/>
      <c r="AK89" s="407"/>
      <c r="AL89" s="407"/>
      <c r="AM89" s="407"/>
      <c r="AN89" s="407"/>
      <c r="AO89" s="407"/>
      <c r="AP89" s="407"/>
      <c r="AQ89" s="407"/>
      <c r="AR89" s="1236"/>
      <c r="AS89" s="1329"/>
      <c r="AT89" s="407"/>
      <c r="AU89" s="1236"/>
      <c r="AV89" s="1236"/>
      <c r="AW89" s="1236"/>
      <c r="AX89" s="1236"/>
      <c r="AY89" s="1236"/>
      <c r="AZ89" s="1236"/>
      <c r="BA89" s="1236"/>
      <c r="BB89" s="1236"/>
      <c r="BC89" s="1236"/>
      <c r="BD89" s="1236"/>
      <c r="BE89" s="1236"/>
    </row>
    <row r="90" spans="1:57" hidden="1" outlineLevel="1" x14ac:dyDescent="0.2">
      <c r="D90" s="1256"/>
      <c r="E90" s="1256"/>
      <c r="F90" s="1256"/>
      <c r="G90" s="1256"/>
      <c r="H90" s="1256"/>
      <c r="I90" s="1256"/>
      <c r="J90" s="1256"/>
      <c r="K90" s="1256"/>
      <c r="L90" s="1256"/>
      <c r="M90" s="1256"/>
      <c r="N90" s="1256"/>
      <c r="O90" s="1256"/>
      <c r="P90" s="1256"/>
      <c r="Q90" s="1256"/>
      <c r="R90" s="1256"/>
      <c r="S90" s="1256"/>
      <c r="T90" s="1256"/>
      <c r="U90" s="1256"/>
      <c r="V90" s="1256"/>
      <c r="W90" s="1256"/>
      <c r="X90" s="1256"/>
      <c r="Y90" s="1256"/>
      <c r="Z90" s="1236"/>
      <c r="AA90" s="1236"/>
      <c r="AB90" s="1236"/>
      <c r="AC90" s="1236"/>
      <c r="AD90" s="1236"/>
      <c r="AE90" s="1236"/>
      <c r="AF90" s="1236"/>
      <c r="AG90" s="1236"/>
      <c r="AH90" s="1236"/>
      <c r="AI90" s="1236"/>
      <c r="AJ90" s="1236"/>
      <c r="AK90" s="1236"/>
      <c r="AL90" s="1236"/>
      <c r="AM90" s="1236"/>
      <c r="AN90" s="1236"/>
      <c r="AO90" s="1236"/>
      <c r="AP90" s="1236"/>
      <c r="AQ90" s="1236"/>
      <c r="AR90" s="1236"/>
      <c r="AS90" s="1382"/>
      <c r="AT90" s="407"/>
      <c r="AU90" s="1236"/>
      <c r="AV90" s="1236"/>
      <c r="AW90" s="1236"/>
      <c r="AX90" s="1236"/>
      <c r="AY90" s="1236"/>
      <c r="AZ90" s="1236"/>
      <c r="BA90" s="1236"/>
      <c r="BB90" s="1236"/>
      <c r="BC90" s="1236"/>
      <c r="BD90" s="1236"/>
      <c r="BE90" s="1236"/>
    </row>
    <row r="91" spans="1:57" hidden="1" outlineLevel="1" x14ac:dyDescent="0.2">
      <c r="D91" s="1256"/>
      <c r="E91" s="1256"/>
      <c r="F91" s="1256"/>
      <c r="G91" s="1256"/>
      <c r="H91" s="1256"/>
      <c r="I91" s="1256"/>
      <c r="J91" s="1256"/>
      <c r="K91" s="1256"/>
      <c r="L91" s="1256"/>
      <c r="M91" s="1256"/>
      <c r="N91" s="1256"/>
      <c r="O91" s="1256"/>
      <c r="P91" s="1256"/>
      <c r="Q91" s="1256"/>
      <c r="R91" s="1256"/>
      <c r="S91" s="1256"/>
      <c r="T91" s="1256"/>
      <c r="U91" s="1256"/>
      <c r="V91" s="1256"/>
      <c r="W91" s="1256"/>
      <c r="X91" s="1256"/>
      <c r="Y91" s="1256"/>
      <c r="Z91" s="1236"/>
      <c r="AA91" s="1236"/>
      <c r="AB91" s="1236"/>
      <c r="AC91" s="1236"/>
      <c r="AD91" s="1236"/>
      <c r="AE91" s="1236"/>
      <c r="AF91" s="1236"/>
      <c r="AG91" s="1236"/>
      <c r="AH91" s="1236"/>
      <c r="AI91" s="1236"/>
      <c r="AJ91" s="1236"/>
      <c r="AK91" s="1236"/>
      <c r="AL91" s="1236"/>
      <c r="AM91" s="1236"/>
      <c r="AN91" s="1236"/>
      <c r="AO91" s="1236"/>
      <c r="AP91" s="1236"/>
      <c r="AQ91" s="1236"/>
      <c r="AR91" s="1236"/>
      <c r="AS91" s="1382"/>
      <c r="AT91" s="407"/>
      <c r="AU91" s="1236"/>
      <c r="AV91" s="1236"/>
      <c r="AW91" s="1236"/>
      <c r="AX91" s="1236"/>
      <c r="AY91" s="1236"/>
      <c r="AZ91" s="1236"/>
      <c r="BA91" s="1236"/>
      <c r="BB91" s="1236"/>
      <c r="BC91" s="1236"/>
      <c r="BD91" s="1236"/>
      <c r="BE91" s="1236"/>
    </row>
    <row r="92" spans="1:57" hidden="1" outlineLevel="1" x14ac:dyDescent="0.2">
      <c r="D92" s="1256"/>
      <c r="E92" s="1256"/>
      <c r="F92" s="1256"/>
      <c r="G92" s="1256"/>
      <c r="H92" s="1256"/>
      <c r="I92" s="1256"/>
      <c r="J92" s="1256"/>
      <c r="K92" s="1256"/>
      <c r="L92" s="1256"/>
      <c r="M92" s="1256"/>
      <c r="N92" s="1256"/>
      <c r="O92" s="1256"/>
      <c r="P92" s="1256"/>
      <c r="Q92" s="1256"/>
      <c r="R92" s="1256"/>
      <c r="S92" s="1256"/>
      <c r="T92" s="1256"/>
      <c r="U92" s="1256"/>
      <c r="V92" s="1256"/>
      <c r="W92" s="1256"/>
      <c r="X92" s="1256"/>
      <c r="Y92" s="1256"/>
      <c r="Z92" s="1236"/>
      <c r="AA92" s="1236"/>
      <c r="AB92" s="1236"/>
      <c r="AC92" s="1236"/>
      <c r="AD92" s="1236"/>
      <c r="AE92" s="1236"/>
      <c r="AF92" s="1236"/>
      <c r="AG92" s="1236"/>
      <c r="AH92" s="1236"/>
      <c r="AI92" s="1236"/>
      <c r="AJ92" s="1236"/>
      <c r="AK92" s="1236"/>
      <c r="AL92" s="1236"/>
      <c r="AM92" s="1236"/>
      <c r="AN92" s="1236"/>
      <c r="AO92" s="1236"/>
      <c r="AP92" s="1236"/>
      <c r="AQ92" s="1236"/>
      <c r="AR92" s="1236"/>
      <c r="AS92" s="1382"/>
      <c r="AT92" s="407"/>
      <c r="AU92" s="1236"/>
      <c r="AV92" s="1236"/>
      <c r="AW92" s="1236"/>
      <c r="AX92" s="1236"/>
      <c r="AY92" s="1236"/>
      <c r="AZ92" s="1236"/>
      <c r="BA92" s="1236"/>
      <c r="BB92" s="1236"/>
      <c r="BC92" s="1236"/>
      <c r="BD92" s="1236"/>
      <c r="BE92" s="1236"/>
    </row>
    <row r="93" spans="1:57" hidden="1" outlineLevel="1" x14ac:dyDescent="0.2">
      <c r="C93" s="25"/>
      <c r="D93" s="1257"/>
      <c r="E93" s="1257"/>
      <c r="F93" s="1257"/>
      <c r="G93" s="1257"/>
      <c r="H93" s="1257"/>
      <c r="I93" s="1257"/>
      <c r="J93" s="1257"/>
      <c r="K93" s="1257"/>
      <c r="L93" s="1257"/>
      <c r="M93" s="1257"/>
      <c r="N93" s="1257"/>
      <c r="O93" s="1257"/>
      <c r="P93" s="1257"/>
      <c r="Q93" s="1257"/>
      <c r="R93" s="1257"/>
      <c r="S93" s="1257"/>
      <c r="T93" s="1257"/>
      <c r="U93" s="1257"/>
      <c r="V93" s="1257"/>
      <c r="W93" s="1257"/>
      <c r="X93" s="1257"/>
      <c r="Y93" s="1257"/>
      <c r="Z93" s="1246"/>
      <c r="AA93" s="1246"/>
      <c r="AB93" s="1246"/>
      <c r="AC93" s="1246"/>
      <c r="AD93" s="1246"/>
      <c r="AE93" s="1246"/>
      <c r="AF93" s="1246"/>
      <c r="AG93" s="1246"/>
      <c r="AH93" s="1246"/>
      <c r="AI93" s="1246"/>
      <c r="AJ93" s="1236"/>
      <c r="AK93" s="1236"/>
      <c r="AL93" s="1236"/>
      <c r="AM93" s="1236"/>
      <c r="AN93" s="1236"/>
      <c r="AO93" s="1236"/>
      <c r="AP93" s="1236"/>
      <c r="AQ93" s="1236"/>
      <c r="AR93" s="1236"/>
      <c r="AS93" s="1382"/>
      <c r="AT93" s="1307"/>
      <c r="AU93" s="1236"/>
      <c r="AV93" s="1236"/>
      <c r="AW93" s="1236"/>
      <c r="AX93" s="1236"/>
      <c r="AY93" s="1236"/>
      <c r="AZ93" s="1246"/>
      <c r="BA93" s="1246"/>
      <c r="BB93" s="1246"/>
      <c r="BC93" s="1246"/>
      <c r="BD93" s="1246"/>
      <c r="BE93" s="1246"/>
    </row>
    <row r="94" spans="1:57" s="160" customFormat="1" hidden="1" outlineLevel="1" x14ac:dyDescent="0.2">
      <c r="A94" s="829"/>
      <c r="B94" s="173"/>
      <c r="C94" s="1217"/>
      <c r="D94" s="1329"/>
      <c r="E94" s="1329"/>
      <c r="F94" s="1329"/>
      <c r="G94" s="1329"/>
      <c r="H94" s="1329"/>
      <c r="I94" s="1329"/>
      <c r="J94" s="1329"/>
      <c r="K94" s="1329"/>
      <c r="L94" s="1329"/>
      <c r="M94" s="1329"/>
      <c r="N94" s="1329"/>
      <c r="O94" s="1329"/>
      <c r="P94" s="1329"/>
      <c r="Q94" s="1329"/>
      <c r="R94" s="1329"/>
      <c r="S94" s="1329"/>
      <c r="T94" s="1329"/>
      <c r="U94" s="1329"/>
      <c r="V94" s="1329"/>
      <c r="W94" s="1329"/>
      <c r="X94" s="1329"/>
      <c r="Y94" s="1329"/>
      <c r="Z94" s="1236"/>
      <c r="AA94" s="1236"/>
      <c r="AB94" s="1236"/>
      <c r="AC94" s="1236"/>
      <c r="AD94" s="1236"/>
      <c r="AE94" s="1236"/>
      <c r="AF94" s="1236"/>
      <c r="AG94" s="1236"/>
      <c r="AH94" s="1236"/>
      <c r="AI94" s="1236"/>
      <c r="AJ94" s="1236"/>
      <c r="AK94" s="1236"/>
      <c r="AL94" s="1236"/>
      <c r="AM94" s="1236"/>
      <c r="AN94" s="1236"/>
      <c r="AO94" s="1236"/>
      <c r="AP94" s="1236"/>
      <c r="AQ94" s="1236"/>
      <c r="AR94" s="1236"/>
      <c r="AS94" s="1395"/>
      <c r="AT94" s="407"/>
      <c r="AU94" s="1397"/>
      <c r="AV94" s="1397"/>
      <c r="AW94" s="1397"/>
      <c r="AX94" s="1397"/>
      <c r="AY94" s="1397"/>
      <c r="AZ94" s="1236"/>
      <c r="BA94" s="1236"/>
      <c r="BB94" s="1236"/>
      <c r="BC94" s="1236"/>
      <c r="BD94" s="1236"/>
      <c r="BE94" s="1236"/>
    </row>
    <row r="95" spans="1:57" hidden="1" outlineLevel="1" x14ac:dyDescent="0.2">
      <c r="D95" s="407"/>
      <c r="E95" s="407"/>
      <c r="F95" s="407"/>
      <c r="G95" s="407"/>
      <c r="H95" s="407"/>
      <c r="I95" s="407"/>
      <c r="J95" s="407"/>
      <c r="K95" s="407"/>
      <c r="L95" s="407"/>
      <c r="M95" s="407"/>
      <c r="N95" s="407"/>
      <c r="O95" s="407"/>
      <c r="P95" s="407"/>
      <c r="Q95" s="407"/>
      <c r="R95" s="407"/>
      <c r="S95" s="407"/>
      <c r="T95" s="407"/>
      <c r="U95" s="407"/>
      <c r="V95" s="407"/>
      <c r="W95" s="407"/>
      <c r="X95" s="407"/>
      <c r="Y95" s="407"/>
      <c r="Z95" s="407"/>
      <c r="AA95" s="407"/>
      <c r="AB95" s="407"/>
      <c r="AC95" s="407"/>
      <c r="AD95" s="407"/>
      <c r="AE95" s="407"/>
      <c r="AF95" s="407"/>
      <c r="AG95" s="407"/>
      <c r="AH95" s="407"/>
      <c r="AI95" s="407"/>
      <c r="AJ95" s="407"/>
      <c r="AK95" s="407"/>
      <c r="AL95" s="407"/>
      <c r="AM95" s="407"/>
      <c r="AN95" s="407"/>
      <c r="AO95" s="407"/>
      <c r="AP95" s="407"/>
      <c r="AQ95" s="407"/>
      <c r="AR95" s="1236"/>
      <c r="AS95" s="1382"/>
      <c r="AT95" s="407"/>
      <c r="AU95" s="1236"/>
      <c r="AV95" s="1236"/>
      <c r="AW95" s="1236"/>
      <c r="AX95" s="1236"/>
      <c r="AY95" s="1236"/>
      <c r="AZ95" s="1236"/>
      <c r="BA95" s="1236"/>
      <c r="BB95" s="1236"/>
      <c r="BC95" s="1236"/>
      <c r="BD95" s="1236"/>
      <c r="BE95" s="1236"/>
    </row>
    <row r="96" spans="1:57" s="160" customFormat="1" hidden="1" outlineLevel="1" x14ac:dyDescent="0.2">
      <c r="A96" s="829"/>
      <c r="B96" s="65"/>
      <c r="C96" s="59"/>
      <c r="D96" s="1329"/>
      <c r="E96" s="1329"/>
      <c r="F96" s="1329"/>
      <c r="G96" s="1329"/>
      <c r="H96" s="1329"/>
      <c r="I96" s="1329"/>
      <c r="J96" s="1329"/>
      <c r="K96" s="1329"/>
      <c r="L96" s="1329"/>
      <c r="M96" s="1329"/>
      <c r="N96" s="1329"/>
      <c r="O96" s="1329"/>
      <c r="P96" s="1329"/>
      <c r="Q96" s="1329"/>
      <c r="R96" s="1329"/>
      <c r="S96" s="1329"/>
      <c r="T96" s="1329"/>
      <c r="U96" s="1329"/>
      <c r="V96" s="1329"/>
      <c r="W96" s="1329"/>
      <c r="X96" s="1329"/>
      <c r="Y96" s="1329"/>
      <c r="Z96" s="1236"/>
      <c r="AA96" s="1236"/>
      <c r="AB96" s="1236"/>
      <c r="AC96" s="1236"/>
      <c r="AD96" s="1236"/>
      <c r="AE96" s="1236"/>
      <c r="AF96" s="1236"/>
      <c r="AG96" s="1236"/>
      <c r="AH96" s="1236"/>
      <c r="AI96" s="1236"/>
      <c r="AJ96" s="1236"/>
      <c r="AK96" s="1236"/>
      <c r="AL96" s="1236"/>
      <c r="AM96" s="1236"/>
      <c r="AN96" s="1236"/>
      <c r="AO96" s="1236"/>
      <c r="AP96" s="1236"/>
      <c r="AQ96" s="1236"/>
      <c r="AR96" s="1236"/>
      <c r="AS96" s="1329"/>
      <c r="AT96" s="1329"/>
      <c r="AU96" s="1396"/>
      <c r="AV96" s="1396"/>
      <c r="AW96" s="1396"/>
      <c r="AX96" s="1396"/>
      <c r="AY96" s="1396"/>
      <c r="AZ96" s="1236"/>
      <c r="BA96" s="1236"/>
      <c r="BB96" s="1236"/>
      <c r="BC96" s="1236"/>
      <c r="BD96" s="1236"/>
      <c r="BE96" s="1236"/>
    </row>
    <row r="97" spans="1:74" hidden="1" outlineLevel="1" x14ac:dyDescent="0.2">
      <c r="B97" s="65"/>
      <c r="C97" s="59"/>
      <c r="D97" s="1329"/>
      <c r="E97" s="1329"/>
      <c r="F97" s="1329"/>
      <c r="G97" s="1329"/>
      <c r="H97" s="1329"/>
      <c r="I97" s="1329"/>
      <c r="J97" s="1329"/>
      <c r="K97" s="1329"/>
      <c r="L97" s="1329"/>
      <c r="M97" s="1329"/>
      <c r="N97" s="1329"/>
      <c r="O97" s="1329"/>
      <c r="P97" s="1329"/>
      <c r="Q97" s="1329"/>
      <c r="R97" s="1329"/>
      <c r="S97" s="1329"/>
      <c r="T97" s="1329"/>
      <c r="U97" s="1329"/>
      <c r="V97" s="1329"/>
      <c r="W97" s="1329"/>
      <c r="X97" s="407"/>
      <c r="Y97" s="407"/>
      <c r="Z97" s="407"/>
      <c r="AA97" s="407"/>
      <c r="AB97" s="407"/>
      <c r="AC97" s="407"/>
      <c r="AD97" s="407"/>
      <c r="AE97" s="407"/>
      <c r="AF97" s="407"/>
      <c r="AG97" s="407"/>
      <c r="AH97" s="407"/>
      <c r="AI97" s="407"/>
      <c r="AJ97" s="407"/>
      <c r="AK97" s="407"/>
      <c r="AL97" s="407"/>
      <c r="AM97" s="407"/>
      <c r="AN97" s="407"/>
      <c r="AO97" s="407"/>
      <c r="AP97" s="407"/>
      <c r="AQ97" s="407"/>
      <c r="AR97" s="1236"/>
      <c r="AS97" s="1329"/>
      <c r="AT97" s="1329"/>
      <c r="AU97" s="1236"/>
      <c r="AV97" s="1236"/>
      <c r="AW97" s="1236"/>
      <c r="AX97" s="1236"/>
      <c r="AY97" s="1236"/>
      <c r="AZ97" s="1236"/>
      <c r="BA97" s="1236"/>
      <c r="BB97" s="1236"/>
      <c r="BC97" s="1236"/>
      <c r="BD97" s="1236"/>
      <c r="BE97" s="1236"/>
    </row>
    <row r="98" spans="1:74" hidden="1" outlineLevel="1" x14ac:dyDescent="0.2">
      <c r="B98" s="175"/>
      <c r="C98" s="59"/>
      <c r="D98" s="1329"/>
      <c r="E98" s="1329"/>
      <c r="F98" s="1329"/>
      <c r="G98" s="1329"/>
      <c r="H98" s="1329"/>
      <c r="I98" s="1329"/>
      <c r="J98" s="1329"/>
      <c r="K98" s="1329"/>
      <c r="L98" s="1329"/>
      <c r="M98" s="1329"/>
      <c r="N98" s="1329"/>
      <c r="O98" s="1329"/>
      <c r="P98" s="1329"/>
      <c r="Q98" s="1329"/>
      <c r="R98" s="1329"/>
      <c r="S98" s="1329"/>
      <c r="T98" s="1329"/>
      <c r="U98" s="1329"/>
      <c r="V98" s="1329"/>
      <c r="W98" s="1329"/>
      <c r="X98" s="407"/>
      <c r="Y98" s="407"/>
      <c r="Z98" s="407"/>
      <c r="AA98" s="407"/>
      <c r="AB98" s="407"/>
      <c r="AC98" s="407"/>
      <c r="AD98" s="407"/>
      <c r="AE98" s="407"/>
      <c r="AF98" s="407"/>
      <c r="AG98" s="407"/>
      <c r="AH98" s="407"/>
      <c r="AI98" s="407"/>
      <c r="AJ98" s="407"/>
      <c r="AK98" s="407"/>
      <c r="AL98" s="407"/>
      <c r="AM98" s="407"/>
      <c r="AN98" s="407"/>
      <c r="AO98" s="407"/>
      <c r="AP98" s="407"/>
      <c r="AQ98" s="407"/>
      <c r="AR98" s="1236"/>
      <c r="AS98" s="1394"/>
      <c r="AT98" s="1329"/>
      <c r="AU98" s="1236"/>
      <c r="AV98" s="1236"/>
      <c r="AW98" s="1236"/>
      <c r="AX98" s="1236"/>
      <c r="AY98" s="1236"/>
      <c r="AZ98" s="1236"/>
      <c r="BA98" s="1236"/>
      <c r="BB98" s="1236"/>
      <c r="BC98" s="1236"/>
      <c r="BD98" s="1236"/>
      <c r="BE98" s="1236"/>
    </row>
    <row r="99" spans="1:74" hidden="1" outlineLevel="1" x14ac:dyDescent="0.2">
      <c r="B99" s="1217"/>
      <c r="D99" s="407"/>
      <c r="E99" s="407"/>
      <c r="F99" s="407"/>
      <c r="G99" s="407"/>
      <c r="H99" s="407"/>
      <c r="I99" s="407"/>
      <c r="J99" s="407"/>
      <c r="K99" s="407"/>
      <c r="L99" s="407"/>
      <c r="M99" s="407"/>
      <c r="N99" s="407"/>
      <c r="O99" s="407"/>
      <c r="P99" s="407"/>
      <c r="Q99" s="407"/>
      <c r="R99" s="407"/>
      <c r="S99" s="407"/>
      <c r="T99" s="407"/>
      <c r="U99" s="407"/>
      <c r="V99" s="407"/>
      <c r="W99" s="407"/>
      <c r="X99" s="407"/>
      <c r="Y99" s="407"/>
      <c r="Z99" s="1236"/>
      <c r="AA99" s="1236"/>
      <c r="AB99" s="1236"/>
      <c r="AC99" s="1236"/>
      <c r="AD99" s="1236"/>
      <c r="AE99" s="1236"/>
      <c r="AF99" s="1236"/>
      <c r="AG99" s="1236"/>
      <c r="AH99" s="1236"/>
      <c r="AI99" s="1236"/>
      <c r="AJ99" s="1236"/>
      <c r="AK99" s="1236"/>
      <c r="AL99" s="1236"/>
      <c r="AM99" s="1236"/>
      <c r="AN99" s="1236"/>
      <c r="AO99" s="1236"/>
      <c r="AP99" s="1236"/>
      <c r="AQ99" s="1236"/>
      <c r="AR99" s="1236"/>
      <c r="AS99" s="407"/>
      <c r="AT99" s="407"/>
      <c r="AU99" s="1236"/>
      <c r="AV99" s="1236"/>
      <c r="AW99" s="1236"/>
      <c r="AX99" s="1236"/>
      <c r="AY99" s="1236"/>
      <c r="AZ99" s="1236"/>
      <c r="BA99" s="1236"/>
      <c r="BB99" s="1236"/>
      <c r="BC99" s="1236"/>
      <c r="BD99" s="1236"/>
      <c r="BE99" s="1236"/>
    </row>
    <row r="100" spans="1:74" hidden="1" outlineLevel="1" x14ac:dyDescent="0.2">
      <c r="B100" s="65"/>
      <c r="D100" s="407"/>
      <c r="E100" s="407"/>
      <c r="F100" s="407"/>
      <c r="G100" s="407"/>
      <c r="H100" s="407"/>
      <c r="I100" s="407"/>
      <c r="J100" s="407"/>
      <c r="K100" s="407"/>
      <c r="L100" s="407"/>
      <c r="M100" s="407"/>
      <c r="N100" s="407"/>
      <c r="O100" s="407"/>
      <c r="P100" s="407"/>
      <c r="Q100" s="407"/>
      <c r="R100" s="407"/>
      <c r="S100" s="407"/>
      <c r="T100" s="407"/>
      <c r="U100" s="407"/>
      <c r="V100" s="407"/>
      <c r="W100" s="407"/>
      <c r="X100" s="407"/>
      <c r="Y100" s="407"/>
      <c r="Z100" s="1236"/>
      <c r="AA100" s="1236"/>
      <c r="AB100" s="1236"/>
      <c r="AC100" s="1236"/>
      <c r="AD100" s="1236"/>
      <c r="AE100" s="1236"/>
      <c r="AF100" s="1236"/>
      <c r="AG100" s="1236"/>
      <c r="AH100" s="1236"/>
      <c r="AI100" s="1236"/>
      <c r="AJ100" s="1236"/>
      <c r="AK100" s="1236"/>
      <c r="AL100" s="1236"/>
      <c r="AM100" s="1236"/>
      <c r="AN100" s="1236"/>
      <c r="AO100" s="1236"/>
      <c r="AP100" s="1236"/>
      <c r="AQ100" s="1236"/>
      <c r="AR100" s="1236"/>
      <c r="AS100" s="1329"/>
      <c r="AT100" s="407"/>
      <c r="AU100" s="1236"/>
      <c r="AV100" s="1236"/>
      <c r="AW100" s="1236"/>
      <c r="AX100" s="1236"/>
      <c r="AY100" s="1236"/>
      <c r="AZ100" s="1236"/>
      <c r="BA100" s="1236"/>
      <c r="BB100" s="1236"/>
      <c r="BC100" s="1236"/>
      <c r="BD100" s="1236"/>
      <c r="BE100" s="1236"/>
    </row>
    <row r="101" spans="1:74" hidden="1" outlineLevel="1" x14ac:dyDescent="0.2">
      <c r="B101" s="65"/>
      <c r="C101" s="28"/>
      <c r="D101" s="1307"/>
      <c r="E101" s="1307"/>
      <c r="F101" s="1307"/>
      <c r="G101" s="1307"/>
      <c r="H101" s="1307"/>
      <c r="I101" s="1307"/>
      <c r="J101" s="1307"/>
      <c r="K101" s="1307"/>
      <c r="L101" s="1307"/>
      <c r="M101" s="1307"/>
      <c r="N101" s="1307"/>
      <c r="O101" s="1307"/>
      <c r="P101" s="1307"/>
      <c r="Q101" s="1307"/>
      <c r="R101" s="1307"/>
      <c r="S101" s="1307"/>
      <c r="T101" s="1307"/>
      <c r="U101" s="1307"/>
      <c r="V101" s="1307"/>
      <c r="W101" s="1307"/>
      <c r="X101" s="1307"/>
      <c r="Y101" s="1307"/>
      <c r="Z101" s="1246"/>
      <c r="AA101" s="1246"/>
      <c r="AB101" s="1246"/>
      <c r="AC101" s="1246"/>
      <c r="AD101" s="1246"/>
      <c r="AE101" s="1246"/>
      <c r="AF101" s="1246"/>
      <c r="AG101" s="1246"/>
      <c r="AH101" s="1246"/>
      <c r="AI101" s="1246"/>
      <c r="AJ101" s="1236"/>
      <c r="AK101" s="1236"/>
      <c r="AL101" s="1236"/>
      <c r="AM101" s="1236"/>
      <c r="AN101" s="1236"/>
      <c r="AO101" s="1236"/>
      <c r="AP101" s="1236"/>
      <c r="AQ101" s="1236"/>
      <c r="AR101" s="1236"/>
      <c r="AS101" s="1329"/>
      <c r="AT101" s="1246"/>
      <c r="AU101" s="1246"/>
      <c r="AV101" s="1246"/>
      <c r="AW101" s="1246"/>
      <c r="AX101" s="1246"/>
      <c r="AY101" s="1246"/>
      <c r="AZ101" s="1246"/>
      <c r="BA101" s="1246"/>
      <c r="BB101" s="1246"/>
      <c r="BC101" s="1246"/>
      <c r="BD101" s="1246"/>
      <c r="BE101" s="1246"/>
    </row>
    <row r="102" spans="1:74" hidden="1" outlineLevel="1" x14ac:dyDescent="0.2">
      <c r="B102" s="65"/>
      <c r="D102" s="1329"/>
      <c r="E102" s="1329"/>
      <c r="F102" s="1329"/>
      <c r="G102" s="1329"/>
      <c r="H102" s="1329"/>
      <c r="I102" s="1329"/>
      <c r="J102" s="1329"/>
      <c r="K102" s="1329"/>
      <c r="L102" s="1329"/>
      <c r="M102" s="1329"/>
      <c r="N102" s="1329"/>
      <c r="O102" s="1329"/>
      <c r="P102" s="1329"/>
      <c r="Q102" s="1329"/>
      <c r="R102" s="1329"/>
      <c r="S102" s="1329"/>
      <c r="T102" s="1329"/>
      <c r="U102" s="1329"/>
      <c r="V102" s="1329"/>
      <c r="W102" s="1329"/>
      <c r="X102" s="1329"/>
      <c r="Y102" s="1329"/>
      <c r="Z102" s="1236"/>
      <c r="AA102" s="1236"/>
      <c r="AB102" s="1236"/>
      <c r="AC102" s="1236"/>
      <c r="AD102" s="1236"/>
      <c r="AE102" s="1236"/>
      <c r="AF102" s="1236"/>
      <c r="AG102" s="1236"/>
      <c r="AH102" s="1236"/>
      <c r="AI102" s="1236"/>
      <c r="AJ102" s="1236"/>
      <c r="AK102" s="1236"/>
      <c r="AL102" s="1236"/>
      <c r="AM102" s="1236"/>
      <c r="AN102" s="1236"/>
      <c r="AO102" s="1236"/>
      <c r="AP102" s="1236"/>
      <c r="AQ102" s="1236"/>
      <c r="AR102" s="1236"/>
      <c r="AS102" s="1329"/>
      <c r="AT102" s="407"/>
      <c r="AU102" s="1396"/>
      <c r="AV102" s="1396"/>
      <c r="AW102" s="1396"/>
      <c r="AX102" s="1396"/>
      <c r="AY102" s="1396"/>
      <c r="AZ102" s="1236"/>
      <c r="BA102" s="1236"/>
      <c r="BB102" s="1236"/>
      <c r="BC102" s="1236"/>
      <c r="BD102" s="1236"/>
      <c r="BE102" s="1236"/>
    </row>
    <row r="103" spans="1:74" hidden="1" outlineLevel="1" x14ac:dyDescent="0.2">
      <c r="B103" s="65"/>
      <c r="C103" s="59"/>
      <c r="D103" s="1329"/>
      <c r="E103" s="1329"/>
      <c r="F103" s="1329"/>
      <c r="G103" s="1329"/>
      <c r="H103" s="1329"/>
      <c r="I103" s="1329"/>
      <c r="J103" s="1329"/>
      <c r="K103" s="1329"/>
      <c r="L103" s="1329"/>
      <c r="M103" s="1329"/>
      <c r="N103" s="1329"/>
      <c r="O103" s="1329"/>
      <c r="P103" s="1329"/>
      <c r="Q103" s="1329"/>
      <c r="R103" s="1329"/>
      <c r="S103" s="1329"/>
      <c r="T103" s="1329"/>
      <c r="U103" s="1329"/>
      <c r="V103" s="1329"/>
      <c r="W103" s="1329"/>
      <c r="X103" s="1329"/>
      <c r="Y103" s="1329"/>
      <c r="Z103" s="407"/>
      <c r="AA103" s="407"/>
      <c r="AB103" s="407"/>
      <c r="AC103" s="407"/>
      <c r="AD103" s="407"/>
      <c r="AE103" s="407"/>
      <c r="AF103" s="407"/>
      <c r="AG103" s="407"/>
      <c r="AH103" s="407"/>
      <c r="AI103" s="407"/>
      <c r="AJ103" s="407"/>
      <c r="AK103" s="407"/>
      <c r="AL103" s="407"/>
      <c r="AM103" s="407"/>
      <c r="AN103" s="407"/>
      <c r="AO103" s="407"/>
      <c r="AP103" s="407"/>
      <c r="AQ103" s="407"/>
      <c r="AR103" s="1236"/>
      <c r="AS103" s="1329"/>
      <c r="AT103" s="1329"/>
      <c r="AU103" s="1236"/>
      <c r="AV103" s="1236"/>
      <c r="AW103" s="1236"/>
      <c r="AX103" s="1236"/>
      <c r="AY103" s="1236"/>
      <c r="AZ103" s="1236"/>
      <c r="BA103" s="1236"/>
      <c r="BB103" s="1236"/>
      <c r="BC103" s="1236"/>
      <c r="BD103" s="1236"/>
      <c r="BE103" s="1236"/>
    </row>
    <row r="104" spans="1:74" hidden="1" outlineLevel="1" x14ac:dyDescent="0.2">
      <c r="B104" s="65"/>
      <c r="D104" s="1242"/>
      <c r="E104" s="1242"/>
      <c r="F104" s="1242"/>
      <c r="G104" s="1242"/>
      <c r="H104" s="1242"/>
      <c r="I104" s="1242"/>
      <c r="J104" s="1242"/>
      <c r="K104" s="1242"/>
      <c r="L104" s="1242"/>
      <c r="M104" s="1242"/>
      <c r="N104" s="1242"/>
      <c r="O104" s="1242"/>
      <c r="P104" s="1242"/>
      <c r="Q104" s="1242"/>
      <c r="R104" s="1242"/>
      <c r="S104" s="1242"/>
      <c r="T104" s="1242"/>
      <c r="U104" s="1242"/>
      <c r="V104" s="1242"/>
      <c r="W104" s="1242"/>
      <c r="X104" s="1242"/>
      <c r="Y104" s="1242"/>
      <c r="Z104" s="407"/>
      <c r="AA104" s="407"/>
      <c r="AB104" s="407"/>
      <c r="AC104" s="407"/>
      <c r="AD104" s="407"/>
      <c r="AE104" s="407"/>
      <c r="AF104" s="407"/>
      <c r="AG104" s="407"/>
      <c r="AH104" s="407"/>
      <c r="AI104" s="407"/>
      <c r="AJ104" s="407"/>
      <c r="AK104" s="407"/>
      <c r="AL104" s="407"/>
      <c r="AM104" s="407"/>
      <c r="AN104" s="407"/>
      <c r="AO104" s="407"/>
      <c r="AP104" s="407"/>
      <c r="AQ104" s="407"/>
      <c r="AR104" s="1236"/>
      <c r="AS104" s="1329"/>
      <c r="AT104" s="407"/>
      <c r="AU104" s="1242"/>
      <c r="AV104" s="1242"/>
      <c r="AW104" s="1242"/>
      <c r="AX104" s="1242"/>
      <c r="AY104" s="1242"/>
      <c r="AZ104" s="1242"/>
      <c r="BA104" s="1242"/>
      <c r="BB104" s="1242"/>
      <c r="BC104" s="1242"/>
      <c r="BD104" s="1242"/>
      <c r="BE104" s="1242"/>
    </row>
    <row r="105" spans="1:74" hidden="1" outlineLevel="1" x14ac:dyDescent="0.2">
      <c r="B105" s="65"/>
      <c r="D105" s="1242"/>
      <c r="E105" s="1242"/>
      <c r="F105" s="1242"/>
      <c r="G105" s="1242"/>
      <c r="H105" s="1242"/>
      <c r="I105" s="1242"/>
      <c r="J105" s="1242"/>
      <c r="K105" s="1242"/>
      <c r="L105" s="1242"/>
      <c r="M105" s="1242"/>
      <c r="N105" s="1242"/>
      <c r="O105" s="1242"/>
      <c r="P105" s="1242"/>
      <c r="Q105" s="1242"/>
      <c r="R105" s="1242"/>
      <c r="S105" s="1242"/>
      <c r="T105" s="1242"/>
      <c r="U105" s="1242"/>
      <c r="V105" s="1242"/>
      <c r="W105" s="1242"/>
      <c r="X105" s="1242"/>
      <c r="Y105" s="1242"/>
      <c r="Z105" s="407"/>
      <c r="AA105" s="407"/>
      <c r="AB105" s="407"/>
      <c r="AC105" s="407"/>
      <c r="AD105" s="407"/>
      <c r="AE105" s="407"/>
      <c r="AF105" s="407"/>
      <c r="AG105" s="407"/>
      <c r="AH105" s="407"/>
      <c r="AI105" s="407"/>
      <c r="AJ105" s="407"/>
      <c r="AK105" s="407"/>
      <c r="AL105" s="407"/>
      <c r="AM105" s="407"/>
      <c r="AN105" s="407"/>
      <c r="AO105" s="407"/>
      <c r="AP105" s="407"/>
      <c r="AQ105" s="407"/>
      <c r="AR105" s="1236"/>
      <c r="AS105" s="1329"/>
      <c r="AT105" s="407"/>
      <c r="AU105" s="1242"/>
      <c r="AV105" s="1242"/>
      <c r="AW105" s="1242"/>
      <c r="AX105" s="1242"/>
      <c r="AY105" s="1242"/>
      <c r="AZ105" s="1242"/>
      <c r="BA105" s="1242"/>
      <c r="BB105" s="1242"/>
      <c r="BC105" s="1242"/>
      <c r="BD105" s="1242"/>
      <c r="BE105" s="1242"/>
    </row>
    <row r="106" spans="1:74" hidden="1" outlineLevel="1" x14ac:dyDescent="0.2">
      <c r="B106" s="65"/>
      <c r="C106" s="70"/>
      <c r="D106" s="1339"/>
      <c r="E106" s="1339"/>
      <c r="F106" s="1339"/>
      <c r="G106" s="1339"/>
      <c r="H106" s="1339"/>
      <c r="I106" s="1339"/>
      <c r="J106" s="1339"/>
      <c r="K106" s="1339"/>
      <c r="L106" s="1339"/>
      <c r="M106" s="1339"/>
      <c r="N106" s="1339"/>
      <c r="O106" s="1339"/>
      <c r="P106" s="1339"/>
      <c r="Q106" s="1339"/>
      <c r="R106" s="1339"/>
      <c r="S106" s="1339"/>
      <c r="T106" s="1339"/>
      <c r="U106" s="1339"/>
      <c r="V106" s="1339"/>
      <c r="W106" s="1339"/>
      <c r="X106" s="1339"/>
      <c r="Y106" s="1339"/>
      <c r="Z106" s="407"/>
      <c r="AA106" s="407"/>
      <c r="AB106" s="407"/>
      <c r="AC106" s="407"/>
      <c r="AD106" s="407"/>
      <c r="AE106" s="407"/>
      <c r="AF106" s="407"/>
      <c r="AG106" s="407"/>
      <c r="AH106" s="407"/>
      <c r="AI106" s="407"/>
      <c r="AJ106" s="407"/>
      <c r="AK106" s="407"/>
      <c r="AL106" s="407"/>
      <c r="AM106" s="407"/>
      <c r="AN106" s="407"/>
      <c r="AO106" s="407"/>
      <c r="AP106" s="407"/>
      <c r="AQ106" s="407"/>
      <c r="AR106" s="1236"/>
      <c r="AS106" s="1329"/>
      <c r="AT106" s="1236"/>
      <c r="AU106" s="1339"/>
      <c r="AV106" s="1339"/>
      <c r="AW106" s="1339"/>
      <c r="AX106" s="1339"/>
      <c r="AY106" s="1339"/>
      <c r="AZ106" s="1242"/>
      <c r="BA106" s="1242"/>
      <c r="BB106" s="1242"/>
      <c r="BC106" s="1242"/>
      <c r="BD106" s="1242"/>
      <c r="BE106" s="1242"/>
    </row>
    <row r="107" spans="1:74" hidden="1" outlineLevel="1" x14ac:dyDescent="0.2">
      <c r="D107" s="407"/>
      <c r="E107" s="407"/>
      <c r="F107" s="407"/>
      <c r="G107" s="407"/>
      <c r="H107" s="407"/>
      <c r="I107" s="407"/>
      <c r="J107" s="407"/>
      <c r="K107" s="407"/>
      <c r="L107" s="407"/>
      <c r="M107" s="407"/>
      <c r="N107" s="407"/>
      <c r="O107" s="407"/>
      <c r="P107" s="407"/>
      <c r="Q107" s="407"/>
      <c r="R107" s="407"/>
      <c r="S107" s="407"/>
      <c r="T107" s="407"/>
      <c r="U107" s="407"/>
      <c r="V107" s="407"/>
      <c r="W107" s="407"/>
      <c r="X107" s="407"/>
      <c r="Y107" s="407"/>
      <c r="Z107" s="407"/>
      <c r="AA107" s="407"/>
      <c r="AB107" s="407"/>
      <c r="AC107" s="407"/>
      <c r="AD107" s="407"/>
      <c r="AE107" s="407"/>
      <c r="AF107" s="407"/>
      <c r="AG107" s="407"/>
      <c r="AH107" s="407"/>
      <c r="AI107" s="407"/>
      <c r="AJ107" s="407"/>
      <c r="AK107" s="407"/>
      <c r="AL107" s="407"/>
      <c r="AM107" s="407"/>
      <c r="AN107" s="407"/>
      <c r="AO107" s="407"/>
      <c r="AP107" s="407"/>
      <c r="AQ107" s="407"/>
      <c r="AR107" s="1236"/>
      <c r="AS107" s="1382"/>
      <c r="AT107" s="407"/>
      <c r="AU107" s="1236"/>
      <c r="AV107" s="1236"/>
      <c r="AW107" s="1236"/>
      <c r="AX107" s="1236"/>
      <c r="AY107" s="1236"/>
      <c r="AZ107" s="1236"/>
      <c r="BA107" s="1236"/>
      <c r="BB107" s="1236"/>
      <c r="BC107" s="1236"/>
      <c r="BD107" s="1236"/>
      <c r="BE107" s="1236"/>
    </row>
    <row r="108" spans="1:74" collapsed="1" x14ac:dyDescent="0.2">
      <c r="D108" s="407"/>
      <c r="E108" s="407"/>
      <c r="F108" s="407"/>
      <c r="G108" s="407"/>
      <c r="H108" s="407"/>
      <c r="I108" s="407"/>
      <c r="J108" s="407"/>
      <c r="K108" s="407"/>
      <c r="L108" s="407"/>
      <c r="M108" s="407"/>
      <c r="N108" s="407"/>
      <c r="O108" s="407"/>
      <c r="P108" s="407"/>
      <c r="Q108" s="407"/>
      <c r="R108" s="407"/>
      <c r="S108" s="407"/>
      <c r="T108" s="407"/>
      <c r="U108" s="407"/>
      <c r="V108" s="407"/>
      <c r="W108" s="407"/>
      <c r="X108" s="407"/>
      <c r="Y108" s="407"/>
      <c r="Z108" s="407"/>
      <c r="AA108" s="407"/>
      <c r="AB108" s="407"/>
      <c r="AC108" s="407"/>
      <c r="AD108" s="407"/>
      <c r="AE108" s="407"/>
      <c r="AF108" s="407"/>
      <c r="AG108" s="407"/>
      <c r="AH108" s="407"/>
      <c r="AI108" s="407"/>
      <c r="AJ108" s="407"/>
      <c r="AK108" s="407"/>
      <c r="AL108" s="407"/>
      <c r="AM108" s="407"/>
      <c r="AN108" s="407"/>
      <c r="AO108" s="407"/>
      <c r="AP108" s="407"/>
      <c r="AQ108" s="407"/>
      <c r="AR108" s="1236"/>
      <c r="AS108" s="1382"/>
      <c r="AT108" s="407"/>
      <c r="AU108" s="1236"/>
      <c r="AV108" s="1236"/>
      <c r="AW108" s="1236"/>
      <c r="AX108" s="1236"/>
      <c r="AY108" s="1236"/>
      <c r="AZ108" s="1236"/>
      <c r="BA108" s="1236"/>
      <c r="BB108" s="1236"/>
      <c r="BC108" s="1236"/>
      <c r="BD108" s="1236"/>
      <c r="BE108" s="1236"/>
    </row>
    <row r="109" spans="1:74" x14ac:dyDescent="0.2">
      <c r="A109" s="411" t="s">
        <v>194</v>
      </c>
      <c r="B109" s="13" t="s">
        <v>101</v>
      </c>
      <c r="C109" s="13"/>
      <c r="D109" s="1369"/>
      <c r="E109" s="1369"/>
      <c r="F109" s="1369"/>
      <c r="G109" s="1369"/>
      <c r="H109" s="1369"/>
      <c r="I109" s="1369"/>
      <c r="J109" s="1369"/>
      <c r="K109" s="1369"/>
      <c r="L109" s="1369"/>
      <c r="M109" s="1369"/>
      <c r="N109" s="1369"/>
      <c r="O109" s="1369"/>
      <c r="P109" s="1369"/>
      <c r="Q109" s="1369"/>
      <c r="R109" s="1369"/>
      <c r="S109" s="1369"/>
      <c r="T109" s="1369"/>
      <c r="U109" s="1369"/>
      <c r="V109" s="1369"/>
      <c r="W109" s="1369"/>
      <c r="X109" s="1369"/>
      <c r="Y109" s="1369"/>
      <c r="Z109" s="1369"/>
      <c r="AA109" s="1369"/>
      <c r="AB109" s="1369"/>
      <c r="AC109" s="1369"/>
      <c r="AD109" s="1369"/>
      <c r="AE109" s="1369"/>
      <c r="AF109" s="1369"/>
      <c r="AG109" s="1369"/>
      <c r="AH109" s="1369"/>
      <c r="AI109" s="1369"/>
      <c r="AJ109" s="1369"/>
      <c r="AK109" s="1369"/>
      <c r="AL109" s="1369"/>
      <c r="AM109" s="1369"/>
      <c r="AN109" s="1369"/>
      <c r="AO109" s="1369"/>
      <c r="AP109" s="1369"/>
      <c r="AQ109" s="1369"/>
      <c r="AR109" s="1236"/>
      <c r="AS109" s="1370"/>
      <c r="AT109" s="1370"/>
      <c r="AU109" s="1370"/>
      <c r="AV109" s="1370"/>
      <c r="AW109" s="1370"/>
      <c r="AX109" s="1370"/>
      <c r="AY109" s="1370"/>
      <c r="AZ109" s="1370"/>
      <c r="BA109" s="1370"/>
      <c r="BB109" s="1370"/>
      <c r="BC109" s="1370"/>
      <c r="BD109" s="1370"/>
      <c r="BE109" s="1370"/>
    </row>
    <row r="110" spans="1:74" x14ac:dyDescent="0.2">
      <c r="D110" s="1237"/>
      <c r="E110" s="1237"/>
      <c r="F110" s="1237"/>
      <c r="G110" s="1237"/>
      <c r="H110" s="1237"/>
      <c r="I110" s="1237"/>
      <c r="J110" s="1237"/>
      <c r="K110" s="1237"/>
      <c r="L110" s="1237"/>
      <c r="M110" s="1237"/>
      <c r="N110" s="1237"/>
      <c r="O110" s="1237"/>
      <c r="P110" s="1237"/>
      <c r="Q110" s="1237"/>
      <c r="R110" s="1237"/>
      <c r="S110" s="1237"/>
      <c r="T110" s="1237"/>
      <c r="U110" s="1237"/>
      <c r="V110" s="1237"/>
      <c r="W110" s="1237"/>
      <c r="X110" s="407"/>
      <c r="Y110" s="407"/>
      <c r="Z110" s="407"/>
      <c r="AA110" s="407"/>
      <c r="AB110" s="407"/>
      <c r="AC110" s="407"/>
      <c r="AD110" s="407"/>
      <c r="AE110" s="407"/>
      <c r="AF110" s="407"/>
      <c r="AG110" s="407"/>
      <c r="AH110" s="407"/>
      <c r="AI110" s="407"/>
      <c r="AJ110" s="407"/>
      <c r="AK110" s="407"/>
      <c r="AL110" s="407"/>
      <c r="AM110" s="407"/>
      <c r="AN110" s="407"/>
      <c r="AO110" s="407"/>
      <c r="AP110" s="407"/>
      <c r="AQ110" s="407"/>
      <c r="AR110" s="1236"/>
      <c r="AS110" s="1382"/>
      <c r="AT110" s="407"/>
      <c r="AU110" s="1236"/>
      <c r="AV110" s="1236"/>
      <c r="AW110" s="1236"/>
      <c r="AX110" s="1236"/>
      <c r="AY110" s="1236"/>
      <c r="AZ110" s="1236"/>
      <c r="BA110" s="1236"/>
      <c r="BB110" s="1236"/>
      <c r="BC110" s="1236"/>
      <c r="BD110" s="1236"/>
      <c r="BE110" s="1236"/>
    </row>
    <row r="111" spans="1:74" x14ac:dyDescent="0.2">
      <c r="B111" s="11" t="s">
        <v>188</v>
      </c>
      <c r="C111" s="11"/>
      <c r="D111" s="1398"/>
      <c r="E111" s="1398"/>
      <c r="F111" s="1398"/>
      <c r="G111" s="1398"/>
      <c r="H111" s="1398"/>
      <c r="I111" s="1398"/>
      <c r="J111" s="1398"/>
      <c r="K111" s="1398"/>
      <c r="L111" s="1398"/>
      <c r="M111" s="1398"/>
      <c r="N111" s="1398"/>
      <c r="O111" s="1398"/>
      <c r="P111" s="1398"/>
      <c r="Q111" s="1398"/>
      <c r="R111" s="1398"/>
      <c r="S111" s="1398"/>
      <c r="T111" s="1398"/>
      <c r="U111" s="1398"/>
      <c r="V111" s="1398"/>
      <c r="W111" s="1398"/>
      <c r="X111" s="1398"/>
      <c r="Y111" s="1398"/>
      <c r="Z111" s="1398"/>
      <c r="AA111" s="1398"/>
      <c r="AB111" s="1398"/>
      <c r="AC111" s="1398"/>
      <c r="AD111" s="1398"/>
      <c r="AE111" s="1398"/>
      <c r="AF111" s="1398"/>
      <c r="AG111" s="1398"/>
      <c r="AH111" s="1398"/>
      <c r="AI111" s="1398"/>
      <c r="AJ111" s="1398"/>
      <c r="AK111" s="1398"/>
      <c r="AL111" s="1398"/>
      <c r="AM111" s="1398"/>
      <c r="AN111" s="1398"/>
      <c r="AO111" s="1398"/>
      <c r="AP111" s="1398"/>
      <c r="AQ111" s="1398"/>
      <c r="AR111" s="1236"/>
      <c r="AS111" s="1399"/>
      <c r="AT111" s="1399"/>
      <c r="AU111" s="1398"/>
      <c r="AV111" s="1398"/>
      <c r="AW111" s="1398"/>
      <c r="AX111" s="1398"/>
      <c r="AY111" s="1398"/>
      <c r="AZ111" s="1398"/>
      <c r="BA111" s="1398"/>
      <c r="BB111" s="1398"/>
      <c r="BC111" s="1398"/>
      <c r="BD111" s="1398"/>
      <c r="BE111" s="1398"/>
      <c r="BF111" s="15"/>
      <c r="BG111" s="15"/>
      <c r="BH111" s="15"/>
      <c r="BI111" s="15"/>
      <c r="BJ111" s="15"/>
      <c r="BK111" s="15"/>
      <c r="BL111" s="15"/>
      <c r="BM111" s="15"/>
      <c r="BN111" s="15"/>
      <c r="BO111" s="15"/>
      <c r="BP111" s="15"/>
      <c r="BQ111" s="15"/>
      <c r="BR111" s="15"/>
      <c r="BS111" s="15"/>
      <c r="BT111" s="15"/>
      <c r="BU111" s="15"/>
      <c r="BV111" s="15"/>
    </row>
    <row r="112" spans="1:74" x14ac:dyDescent="0.2">
      <c r="B112" s="16"/>
      <c r="C112" s="16"/>
      <c r="D112" s="1250"/>
      <c r="E112" s="1250"/>
      <c r="F112" s="1250"/>
      <c r="G112" s="1250"/>
      <c r="H112" s="1250"/>
      <c r="I112" s="1250"/>
      <c r="J112" s="1250"/>
      <c r="K112" s="1250"/>
      <c r="L112" s="1250"/>
      <c r="M112" s="1250"/>
      <c r="N112" s="1250"/>
      <c r="O112" s="1250"/>
      <c r="P112" s="1250"/>
      <c r="Q112" s="1250"/>
      <c r="R112" s="1250"/>
      <c r="S112" s="1250"/>
      <c r="T112" s="1250"/>
      <c r="U112" s="1250"/>
      <c r="V112" s="1250"/>
      <c r="W112" s="1250"/>
      <c r="X112" s="1250"/>
      <c r="Y112" s="1250"/>
      <c r="Z112" s="1250"/>
      <c r="AA112" s="1250"/>
      <c r="AB112" s="1250"/>
      <c r="AC112" s="1250"/>
      <c r="AD112" s="1250"/>
      <c r="AE112" s="1250"/>
      <c r="AF112" s="1250"/>
      <c r="AG112" s="1250"/>
      <c r="AH112" s="1250"/>
      <c r="AI112" s="1250"/>
      <c r="AJ112" s="1250"/>
      <c r="AK112" s="1250"/>
      <c r="AL112" s="1250"/>
      <c r="AM112" s="1250"/>
      <c r="AN112" s="1250"/>
      <c r="AO112" s="1250"/>
      <c r="AP112" s="1250"/>
      <c r="AQ112" s="1250"/>
      <c r="AR112" s="1236"/>
      <c r="AS112" s="1371"/>
      <c r="AT112" s="1371"/>
      <c r="AU112" s="1236"/>
      <c r="AV112" s="1236"/>
      <c r="AW112" s="1236"/>
      <c r="AX112" s="1236"/>
      <c r="AY112" s="1236"/>
      <c r="AZ112" s="1236"/>
      <c r="BA112" s="1236"/>
      <c r="BB112" s="1236"/>
      <c r="BC112" s="1236"/>
      <c r="BD112" s="1236"/>
      <c r="BE112" s="1236"/>
    </row>
    <row r="113" spans="2:57" s="70" customFormat="1" x14ac:dyDescent="0.2">
      <c r="B113" s="315" t="s">
        <v>642</v>
      </c>
      <c r="C113" s="321"/>
      <c r="D113" s="1247"/>
      <c r="E113" s="1247"/>
      <c r="F113" s="1247"/>
      <c r="G113" s="1247"/>
      <c r="H113" s="1247">
        <f>IFERROR(Model!H113/Model!D113-1,"NA")</f>
        <v>5.9889434889435211E-3</v>
      </c>
      <c r="I113" s="1247">
        <f>IFERROR(Model!I113/Model!E113-1,"NA")</f>
        <v>1.3640639698965229E-2</v>
      </c>
      <c r="J113" s="1247">
        <f>IFERROR(Model!J113/Model!F113-1,"NA")</f>
        <v>-4.1221374045801173E-3</v>
      </c>
      <c r="K113" s="1247">
        <f>IFERROR(Model!K113/Model!G113-1,"NA")</f>
        <v>1.1549422528873476E-2</v>
      </c>
      <c r="L113" s="1247">
        <f>IFERROR(Model!L113/Model!H113-1,"NA")</f>
        <v>-4.2741566173103429E-3</v>
      </c>
      <c r="M113" s="1247">
        <f>IFERROR(Model!M113/Model!I113-1,"NA")</f>
        <v>2.6295436968290842E-2</v>
      </c>
      <c r="N113" s="1247">
        <f>IFERROR(Model!N113/Model!J113-1,"NA")</f>
        <v>4.7524145331902412E-2</v>
      </c>
      <c r="O113" s="1247">
        <f>IFERROR(Model!O113/Model!K113-1,"NA")</f>
        <v>9.3416370106762514E-3</v>
      </c>
      <c r="P113" s="1247">
        <f>IFERROR(Model!P113/Model!L113-1,"NA")</f>
        <v>-1.8856354438141931E-2</v>
      </c>
      <c r="Q113" s="1247">
        <f>IFERROR(Model!Q113/Model!M113-1,"NA")</f>
        <v>-3.4815373021853779E-2</v>
      </c>
      <c r="R113" s="1247">
        <f>IFERROR(Model!R113/Model!N113-1,"NA")</f>
        <v>-5.4588028684326106E-2</v>
      </c>
      <c r="S113" s="1247">
        <f>IFERROR(Model!S113/Model!O113-1,"NA")</f>
        <v>-4.6863522844131089E-2</v>
      </c>
      <c r="T113" s="1247">
        <f>IFERROR(Model!T113/Model!P113-1,"NA")</f>
        <v>-7.4999999999999512E-3</v>
      </c>
      <c r="U113" s="1247">
        <f>IFERROR(Model!U113/Model!Q113-1,"NA")</f>
        <v>-1.499063085571517E-2</v>
      </c>
      <c r="V113" s="1247">
        <f>IFERROR(Model!V113/Model!R113-1,"NA")</f>
        <v>3.854489164086683E-2</v>
      </c>
      <c r="W113" s="1247">
        <f>IFERROR(Model!W113/Model!S113-1,"NA")</f>
        <v>2.5893958076448786E-2</v>
      </c>
      <c r="X113" s="1247">
        <f>IFERROR(Model!X113/Model!T113-1,"NA")</f>
        <v>3.5736775818639765E-2</v>
      </c>
      <c r="Y113" s="1247">
        <f>IFERROR(Model!Y113/Model!U113-1,"NA")</f>
        <v>7.1655041217501658E-2</v>
      </c>
      <c r="Z113" s="1247">
        <f>IFERROR(Model!Z113/Model!V113-1,"NA")</f>
        <v>5.3957370696079865E-2</v>
      </c>
      <c r="AA113" s="1247">
        <f>IFERROR(Model!AA113/Model!W113-1,"NA")</f>
        <v>5.3936298076923128E-2</v>
      </c>
      <c r="AB113" s="1247">
        <f>IFERROR(Model!AB113/Model!X113-1,"NA")</f>
        <v>6.0951512387900975E-2</v>
      </c>
      <c r="AC113" s="1247">
        <f>IFERROR(Model!AC113/Model!Y113-1,"NA")</f>
        <v>4.2286543993677483E-2</v>
      </c>
      <c r="AD113" s="1247">
        <f>IFERROR(Model!AD113/Model!Z113-1,"NA")</f>
        <v>3.2509128369977436E-2</v>
      </c>
      <c r="AE113" s="1247">
        <f>IFERROR(Model!AE113/Model!AA113-1,"NA")</f>
        <v>5.8677058046440633E-2</v>
      </c>
      <c r="AF113" s="1247">
        <f>IFERROR(Model!AF113/Model!AB113-1,"NA")</f>
        <v>3.8050907765089459E-2</v>
      </c>
      <c r="AG113" s="1247">
        <f>IFERROR(Model!AG113/Model!AC113-1,"NA")</f>
        <v>5.1757550295904231E-2</v>
      </c>
      <c r="AH113" s="1247">
        <f>IFERROR(Model!AH113/Model!AD113-1,"NA")</f>
        <v>4.75672485673726E-2</v>
      </c>
      <c r="AI113" s="1247">
        <f>IFERROR(Model!AI113/Model!AE113-1,"NA")</f>
        <v>5.1181743682543024E-2</v>
      </c>
      <c r="AJ113" s="1247"/>
      <c r="AK113" s="1247"/>
      <c r="AL113" s="1247"/>
      <c r="AM113" s="1247"/>
      <c r="AN113" s="1247"/>
      <c r="AO113" s="1247"/>
      <c r="AP113" s="1247"/>
      <c r="AQ113" s="1247"/>
      <c r="AR113" s="1236"/>
      <c r="AS113" s="1400"/>
      <c r="AT113" s="1284"/>
      <c r="AU113" s="1236"/>
      <c r="AV113" s="1236">
        <f>IFERROR(Model!AV113/Model!AU113-1,"NA")</f>
        <v>6.7414869575210812E-3</v>
      </c>
      <c r="AW113" s="1236">
        <f>IFERROR(Model!AW113/Model!AV113-1,"NA")</f>
        <v>1.9594414640642155E-2</v>
      </c>
      <c r="AX113" s="1236">
        <f>IFERROR(Model!AX113/Model!AW113-1,"NA")</f>
        <v>-3.9032763639077594E-2</v>
      </c>
      <c r="AY113" s="1236">
        <f>IFERROR(Model!AY113/Model!AX113-1,"NA")</f>
        <v>1.0601118359738981E-2</v>
      </c>
      <c r="AZ113" s="1236">
        <f>IFERROR(Model!AZ113/Model!AY113-1,"NA")</f>
        <v>5.3794428434197794E-2</v>
      </c>
      <c r="BA113" s="1236">
        <f>IFERROR(Model!BA113/Model!AZ113-1,"NA")</f>
        <v>4.8435684459330997E-2</v>
      </c>
      <c r="BB113" s="1247">
        <f>IFERROR(Model!BB113/Model!BA113-1,"NA")</f>
        <v>4.7217504547256484E-2</v>
      </c>
      <c r="BC113" s="1247">
        <f>IFERROR(Model!BC113/Model!BB113-1,"NA")</f>
        <v>4.7064120306592905E-2</v>
      </c>
      <c r="BD113" s="1247">
        <f>IFERROR(Model!BD113/Model!BC113-1,"NA")</f>
        <v>4.5198756251290328E-2</v>
      </c>
      <c r="BE113" s="1247">
        <f>IFERROR(Model!BE113/Model!BD113-1,"NA")</f>
        <v>3.9889005505099995E-2</v>
      </c>
    </row>
    <row r="114" spans="2:57" s="70" customFormat="1" x14ac:dyDescent="0.2">
      <c r="B114" s="375" t="s">
        <v>206</v>
      </c>
      <c r="C114" s="376"/>
      <c r="D114" s="1401"/>
      <c r="E114" s="1401"/>
      <c r="F114" s="1401"/>
      <c r="G114" s="1401"/>
      <c r="H114" s="1401">
        <f>IFERROR(Model!H114/Model!D114-1,"NA")</f>
        <v>1.1780697779791627E-2</v>
      </c>
      <c r="I114" s="1401">
        <f>IFERROR(Model!I114/Model!E114-1,"NA")</f>
        <v>6.094182825484773E-2</v>
      </c>
      <c r="J114" s="1401">
        <f>IFERROR(Model!J114/Model!F114-1,"NA")</f>
        <v>-0.25146443514644357</v>
      </c>
      <c r="K114" s="1401">
        <f>IFERROR(Model!K114/Model!G114-1,"NA")</f>
        <v>-0.22791900043084878</v>
      </c>
      <c r="L114" s="1401">
        <f>IFERROR(Model!L114/Model!H114-1,"NA")</f>
        <v>-0.17465293327362297</v>
      </c>
      <c r="M114" s="1401">
        <f>IFERROR(Model!M114/Model!I114-1,"NA")</f>
        <v>-0.19712793733681466</v>
      </c>
      <c r="N114" s="1401">
        <f>IFERROR(Model!N114/Model!J114-1,"NA")</f>
        <v>7.9932923420905633E-2</v>
      </c>
      <c r="O114" s="1401">
        <f>IFERROR(Model!O114/Model!K114-1,"NA")</f>
        <v>2.0647321428571397E-2</v>
      </c>
      <c r="P114" s="1401">
        <f>IFERROR(Model!P114/Model!L114-1,"NA")</f>
        <v>-2.7129679869777323E-3</v>
      </c>
      <c r="Q114" s="1401">
        <f>IFERROR(Model!Q114/Model!M114-1,"NA")</f>
        <v>-6.5582655826558311E-2</v>
      </c>
      <c r="R114" s="1401">
        <f>IFERROR(Model!R114/Model!N114-1,"NA")</f>
        <v>-0.16614906832298137</v>
      </c>
      <c r="S114" s="1401">
        <f>IFERROR(Model!S114/Model!O114-1,"NA")</f>
        <v>-0.27501366867140509</v>
      </c>
      <c r="T114" s="1401">
        <f>IFERROR(Model!T114/Model!P114-1,"NA")</f>
        <v>-0.25897714907508163</v>
      </c>
      <c r="U114" s="1401">
        <f>IFERROR(Model!U114/Model!Q114-1,"NA")</f>
        <v>-0.20765661252900236</v>
      </c>
      <c r="V114" s="1401">
        <f>IFERROR(Model!V114/Model!R114-1,"NA")</f>
        <v>-9.6834264432029804E-2</v>
      </c>
      <c r="W114" s="1401">
        <f>IFERROR(Model!W114/Model!S114-1,"NA")</f>
        <v>-1.1312217194570096E-2</v>
      </c>
      <c r="X114" s="1401">
        <f>IFERROR(Model!X114/Model!T114-1,"NA")</f>
        <v>-6.9750367107195288E-2</v>
      </c>
      <c r="Y114" s="1401">
        <f>IFERROR(Model!Y114/Model!U114-1,"NA")</f>
        <v>-3.879941434846268E-2</v>
      </c>
      <c r="Z114" s="1401">
        <f>IFERROR(Model!Z114/Model!V114-1,"NA")</f>
        <v>-3.848797250859104E-2</v>
      </c>
      <c r="AA114" s="1401">
        <f>IFERROR(Model!AA114/Model!W114-1,"NA")</f>
        <v>9.3821510297482869E-2</v>
      </c>
      <c r="AB114" s="1401">
        <f>IFERROR(Model!AB114/Model!X114-1,"NA")</f>
        <v>0.14680347277032357</v>
      </c>
      <c r="AC114" s="1401">
        <f>IFERROR(Model!AC114/Model!Y114-1,"NA")</f>
        <v>1.1944251896211622E-2</v>
      </c>
      <c r="AD114" s="1401">
        <f>IFERROR(Model!AD114/Model!Z114-1,"NA")</f>
        <v>-8.9114272229674496E-3</v>
      </c>
      <c r="AE114" s="1401">
        <f>IFERROR(Model!AE114/Model!AA114-1,"NA")</f>
        <v>-5.4940177776504062E-2</v>
      </c>
      <c r="AF114" s="1401">
        <f>IFERROR(Model!AF114/Model!AB114-1,"NA")</f>
        <v>-2.2701671583550298E-2</v>
      </c>
      <c r="AG114" s="1401">
        <f>IFERROR(Model!AG114/Model!AC114-1,"NA")</f>
        <v>6.70065645607969E-2</v>
      </c>
      <c r="AH114" s="1401">
        <f>IFERROR(Model!AH114/Model!AD114-1,"NA")</f>
        <v>7.0719464328457438E-2</v>
      </c>
      <c r="AI114" s="1401">
        <f>IFERROR(Model!AI114/Model!AE114-1,"NA")</f>
        <v>5.1853595593133628E-2</v>
      </c>
      <c r="AJ114" s="1267"/>
      <c r="AK114" s="1267"/>
      <c r="AL114" s="1267"/>
      <c r="AM114" s="1267"/>
      <c r="AN114" s="1267"/>
      <c r="AO114" s="1267"/>
      <c r="AP114" s="1267"/>
      <c r="AQ114" s="1267"/>
      <c r="AR114" s="1236"/>
      <c r="AS114" s="1402"/>
      <c r="AT114" s="1270"/>
      <c r="AU114" s="1246"/>
      <c r="AV114" s="1246">
        <f>IFERROR(Model!AV114/Model!AU114-1,"NA")</f>
        <v>-0.10700132100396298</v>
      </c>
      <c r="AW114" s="1246">
        <f>IFERROR(Model!AW114/Model!AV114-1,"NA")</f>
        <v>-8.1730769230769273E-2</v>
      </c>
      <c r="AX114" s="1246">
        <f>IFERROR(Model!AX114/Model!AW114-1,"NA")</f>
        <v>-0.12753389716740504</v>
      </c>
      <c r="AY114" s="1246">
        <f>IFERROR(Model!AY114/Model!AX114-1,"NA")</f>
        <v>-0.15463917525773196</v>
      </c>
      <c r="AZ114" s="1246">
        <f>IFERROR(Model!AZ114/Model!AY114-1,"NA")</f>
        <v>-1.4743356388787765E-2</v>
      </c>
      <c r="BA114" s="1246">
        <f>IFERROR(Model!BA114/Model!AZ114-1,"NA")</f>
        <v>2.0401164072286537E-2</v>
      </c>
      <c r="BB114" s="1401">
        <f>IFERROR(Model!BB114/Model!BA114-1,"NA")</f>
        <v>4.0621960697776682E-2</v>
      </c>
      <c r="BC114" s="1401">
        <f>IFERROR(Model!BC114/Model!BB114-1,"NA")</f>
        <v>5.7080371763803095E-2</v>
      </c>
      <c r="BD114" s="1401">
        <f>IFERROR(Model!BD114/Model!BC114-1,"NA")</f>
        <v>6.3057675685871839E-2</v>
      </c>
      <c r="BE114" s="1401">
        <f>IFERROR(Model!BE114/Model!BD114-1,"NA")</f>
        <v>5.5947540292018871E-2</v>
      </c>
    </row>
    <row r="115" spans="2:57" s="70" customFormat="1" x14ac:dyDescent="0.2">
      <c r="B115" s="316" t="s">
        <v>643</v>
      </c>
      <c r="C115" s="387"/>
      <c r="D115" s="1247"/>
      <c r="E115" s="1247"/>
      <c r="F115" s="1247"/>
      <c r="G115" s="1247"/>
      <c r="H115" s="1247">
        <f>IFERROR(Model!H115/Model!D115-1,"NA")</f>
        <v>7.4549833696524459E-3</v>
      </c>
      <c r="I115" s="1247">
        <f>IFERROR(Model!I115/Model!E115-1,"NA")</f>
        <v>2.563202247191021E-2</v>
      </c>
      <c r="J115" s="1247">
        <f>IFERROR(Model!J115/Model!F115-1,"NA")</f>
        <v>-7.0246085011185677E-2</v>
      </c>
      <c r="K115" s="1247">
        <f>IFERROR(Model!K115/Model!G115-1,"NA")</f>
        <v>-5.0289274588339983E-2</v>
      </c>
      <c r="L115" s="1247">
        <f>IFERROR(Model!L115/Model!H115-1,"NA")</f>
        <v>-4.7586520947176636E-2</v>
      </c>
      <c r="M115" s="1247">
        <f>IFERROR(Model!M115/Model!I115-1,"NA")</f>
        <v>-3.2294876183955212E-2</v>
      </c>
      <c r="N115" s="1247">
        <f>IFERROR(Model!N115/Model!J115-1,"NA")</f>
        <v>5.4499518768046151E-2</v>
      </c>
      <c r="O115" s="1247">
        <f>IFERROR(Model!O115/Model!K115-1,"NA")</f>
        <v>1.1715089034676662E-2</v>
      </c>
      <c r="P115" s="1247">
        <f>IFERROR(Model!P115/Model!L115-1,"NA")</f>
        <v>-1.5300023906287374E-2</v>
      </c>
      <c r="Q115" s="1247">
        <f>IFERROR(Model!Q115/Model!M115-1,"NA")</f>
        <v>-4.1509433962264142E-2</v>
      </c>
      <c r="R115" s="1247">
        <f>IFERROR(Model!R115/Model!N115-1,"NA")</f>
        <v>-7.9178551055333668E-2</v>
      </c>
      <c r="S115" s="1247">
        <f>IFERROR(Model!S115/Model!O115-1,"NA")</f>
        <v>-9.518295507179253E-2</v>
      </c>
      <c r="T115" s="1247">
        <f>IFERROR(Model!T115/Model!P115-1,"NA")</f>
        <v>-6.3607671764991491E-2</v>
      </c>
      <c r="U115" s="1247">
        <f>IFERROR(Model!U115/Model!Q115-1,"NA")</f>
        <v>-5.5856299212598381E-2</v>
      </c>
      <c r="V115" s="1247">
        <f>IFERROR(Model!V115/Model!R115-1,"NA")</f>
        <v>1.1522735720480792E-2</v>
      </c>
      <c r="W115" s="1247">
        <f>IFERROR(Model!W115/Model!S115-1,"NA")</f>
        <v>1.958024059380592E-2</v>
      </c>
      <c r="X115" s="1247">
        <f>IFERROR(Model!X115/Model!T115-1,"NA")</f>
        <v>1.7111744879440005E-2</v>
      </c>
      <c r="Y115" s="1247">
        <f>IFERROR(Model!Y115/Model!U115-1,"NA")</f>
        <v>5.1993745113369849E-2</v>
      </c>
      <c r="Z115" s="1247">
        <f>IFERROR(Model!Z115/Model!V115-1,"NA")</f>
        <v>3.7481626653601108E-2</v>
      </c>
      <c r="AA115" s="1247">
        <f>IFERROR(Model!AA115/Model!W115-1,"NA")</f>
        <v>6.049956068783735E-2</v>
      </c>
      <c r="AB115" s="1247">
        <f>IFERROR(Model!AB115/Model!X115-1,"NA")</f>
        <v>7.4815192454753987E-2</v>
      </c>
      <c r="AC115" s="1247">
        <f>IFERROR(Model!AC115/Model!Y115-1,"NA")</f>
        <v>3.7351646245136427E-2</v>
      </c>
      <c r="AD115" s="1247">
        <f>IFERROR(Model!AD115/Model!Z115-1,"NA")</f>
        <v>2.5667645811001005E-2</v>
      </c>
      <c r="AE115" s="1247">
        <f>IFERROR(Model!AE115/Model!AA115-1,"NA")</f>
        <v>3.9393460440794614E-2</v>
      </c>
      <c r="AF115" s="1247">
        <f>IFERROR(Model!AF115/Model!AB115-1,"NA")</f>
        <v>2.7583280847791602E-2</v>
      </c>
      <c r="AG115" s="1247">
        <f>IFERROR(Model!AG115/Model!AC115-1,"NA")</f>
        <v>5.4176919407433077E-2</v>
      </c>
      <c r="AH115" s="1247">
        <f>IFERROR(Model!AH115/Model!AD115-1,"NA")</f>
        <v>5.1262403716309857E-2</v>
      </c>
      <c r="AI115" s="1247">
        <f>IFERROR(Model!AI115/Model!AE115-1,"NA")</f>
        <v>5.128542409540171E-2</v>
      </c>
      <c r="AJ115" s="1247"/>
      <c r="AK115" s="1247"/>
      <c r="AL115" s="1247"/>
      <c r="AM115" s="1247"/>
      <c r="AN115" s="1247"/>
      <c r="AO115" s="1247"/>
      <c r="AP115" s="1247"/>
      <c r="AQ115" s="1247"/>
      <c r="AR115" s="1236"/>
      <c r="AS115" s="1239"/>
      <c r="AT115" s="1248"/>
      <c r="AU115" s="1236"/>
      <c r="AV115" s="1236">
        <f>IFERROR(Model!AV115/Model!AU115-1,"NA")</f>
        <v>-2.261941973800119E-2</v>
      </c>
      <c r="AW115" s="1236">
        <f>IFERROR(Model!AW115/Model!AV115-1,"NA")</f>
        <v>-4.3029510103212987E-3</v>
      </c>
      <c r="AX115" s="1236">
        <f>IFERROR(Model!AX115/Model!AW115-1,"NA")</f>
        <v>-5.8282477297281532E-2</v>
      </c>
      <c r="AY115" s="1236">
        <f>IFERROR(Model!AY115/Model!AX115-1,"NA")</f>
        <v>-2.2696970636569391E-2</v>
      </c>
      <c r="AZ115" s="1236">
        <f>IFERROR(Model!AZ115/Model!AY115-1,"NA")</f>
        <v>4.1847774358323653E-2</v>
      </c>
      <c r="BA115" s="1236">
        <f>IFERROR(Model!BA115/Model!AZ115-1,"NA")</f>
        <v>4.3814487709983529E-2</v>
      </c>
      <c r="BB115" s="1247">
        <f>IFERROR(Model!BB115/Model!BA115-1,"NA")</f>
        <v>4.6154684921008826E-2</v>
      </c>
      <c r="BC115" s="1247">
        <f>IFERROR(Model!BC115/Model!BB115-1,"NA")</f>
        <v>4.8669623800388084E-2</v>
      </c>
      <c r="BD115" s="1247">
        <f>IFERROR(Model!BD115/Model!BC115-1,"NA")</f>
        <v>4.8084319078866899E-2</v>
      </c>
      <c r="BE115" s="1247">
        <f>IFERROR(Model!BE115/Model!BD115-1,"NA")</f>
        <v>4.2520738817007686E-2</v>
      </c>
    </row>
    <row r="116" spans="2:57" s="70" customFormat="1" x14ac:dyDescent="0.2">
      <c r="B116" s="316"/>
      <c r="C116" s="387"/>
      <c r="D116" s="1248"/>
      <c r="E116" s="1248"/>
      <c r="F116" s="1248"/>
      <c r="G116" s="1248"/>
      <c r="H116" s="1248"/>
      <c r="I116" s="1248"/>
      <c r="J116" s="1248"/>
      <c r="K116" s="1248"/>
      <c r="L116" s="1248"/>
      <c r="M116" s="1248"/>
      <c r="N116" s="1248"/>
      <c r="O116" s="1248"/>
      <c r="P116" s="1248"/>
      <c r="Q116" s="1248"/>
      <c r="R116" s="1248"/>
      <c r="S116" s="1248"/>
      <c r="T116" s="1248"/>
      <c r="U116" s="1248"/>
      <c r="V116" s="1248"/>
      <c r="W116" s="1248"/>
      <c r="X116" s="1248"/>
      <c r="Y116" s="1248"/>
      <c r="Z116" s="1248"/>
      <c r="AA116" s="1248"/>
      <c r="AB116" s="1248"/>
      <c r="AC116" s="1248"/>
      <c r="AD116" s="1248"/>
      <c r="AE116" s="1248"/>
      <c r="AF116" s="1248"/>
      <c r="AG116" s="1248"/>
      <c r="AH116" s="1248"/>
      <c r="AI116" s="1248"/>
      <c r="AJ116" s="1248"/>
      <c r="AK116" s="1248"/>
      <c r="AL116" s="1248"/>
      <c r="AM116" s="1248"/>
      <c r="AN116" s="1248"/>
      <c r="AO116" s="1248"/>
      <c r="AP116" s="1248"/>
      <c r="AQ116" s="1248"/>
      <c r="AR116" s="1236"/>
      <c r="AS116" s="1239"/>
      <c r="AT116" s="1248"/>
      <c r="AU116" s="1236"/>
      <c r="AV116" s="1236"/>
      <c r="AW116" s="1236"/>
      <c r="AX116" s="1236"/>
      <c r="AY116" s="1236"/>
      <c r="AZ116" s="1236"/>
      <c r="BA116" s="1236"/>
      <c r="BB116" s="1248"/>
      <c r="BC116" s="1248"/>
      <c r="BD116" s="1248"/>
      <c r="BE116" s="1248"/>
    </row>
    <row r="117" spans="2:57" s="70" customFormat="1" x14ac:dyDescent="0.2">
      <c r="B117" s="322" t="s">
        <v>184</v>
      </c>
      <c r="C117" s="387"/>
      <c r="D117" s="1247"/>
      <c r="E117" s="1247"/>
      <c r="F117" s="1247"/>
      <c r="G117" s="1247"/>
      <c r="H117" s="1247">
        <f>IFERROR(Model!H117/Model!D117-1,"NA")</f>
        <v>3.4189944134078276E-2</v>
      </c>
      <c r="I117" s="1247">
        <f>IFERROR(Model!I117/Model!E117-1,"NA")</f>
        <v>7.4398249452953813E-3</v>
      </c>
      <c r="J117" s="1247">
        <f>IFERROR(Model!J117/Model!F117-1,"NA")</f>
        <v>-2.9991431019708692E-2</v>
      </c>
      <c r="K117" s="1247">
        <f>IFERROR(Model!K117/Model!G117-1,"NA")</f>
        <v>-8.3103584088223714E-2</v>
      </c>
      <c r="L117" s="1247">
        <f>IFERROR(Model!L117/Model!H117-1,"NA")</f>
        <v>-1.5989628349178941E-2</v>
      </c>
      <c r="M117" s="1247">
        <f>IFERROR(Model!M117/Model!I117-1,"NA")</f>
        <v>4.3657688966116437E-2</v>
      </c>
      <c r="N117" s="1247">
        <f>IFERROR(Model!N117/Model!J117-1,"NA")</f>
        <v>2.3409893992932806E-2</v>
      </c>
      <c r="O117" s="1247">
        <f>IFERROR(Model!O117/Model!K117-1,"NA")</f>
        <v>3.221649484536071E-3</v>
      </c>
      <c r="P117" s="1247">
        <f>IFERROR(Model!P117/Model!L117-1,"NA")</f>
        <v>-5.5775142731664507E-2</v>
      </c>
      <c r="Q117" s="1247">
        <f>IFERROR(Model!Q117/Model!M117-1,"NA")</f>
        <v>-9.8022892819979224E-2</v>
      </c>
      <c r="R117" s="1247">
        <f>IFERROR(Model!R117/Model!N117-1,"NA")</f>
        <v>-8.8260681916271011E-2</v>
      </c>
      <c r="S117" s="1247">
        <f>IFERROR(Model!S117/Model!O117-1,"NA")</f>
        <v>-7.0862770284735643E-2</v>
      </c>
      <c r="T117" s="1247">
        <f>IFERROR(Model!T117/Model!P117-1,"NA")</f>
        <v>2.3488372093023235E-2</v>
      </c>
      <c r="U117" s="1247">
        <f>IFERROR(Model!U117/Model!Q117-1,"NA")</f>
        <v>-8.5371481310567709E-3</v>
      </c>
      <c r="V117" s="1247">
        <f>IFERROR(Model!V117/Model!R117-1,"NA")</f>
        <v>4.8284023668639042E-2</v>
      </c>
      <c r="W117" s="1247">
        <f>IFERROR(Model!W117/Model!S117-1,"NA")</f>
        <v>3.6866359447005337E-3</v>
      </c>
      <c r="X117" s="1247">
        <f>IFERROR(Model!X117/Model!T117-1,"NA")</f>
        <v>1.1361054305839557E-2</v>
      </c>
      <c r="Y117" s="1247">
        <f>IFERROR(Model!Y117/Model!U117-1,"NA")</f>
        <v>5.5852920642308623E-2</v>
      </c>
      <c r="Z117" s="1247">
        <f>IFERROR(Model!Z117/Model!V117-1,"NA")</f>
        <v>5.193045834274157E-3</v>
      </c>
      <c r="AA117" s="1247">
        <f>IFERROR(Model!AA117/Model!W117-1,"NA")</f>
        <v>4.7520661157024691E-2</v>
      </c>
      <c r="AB117" s="1247">
        <f>IFERROR(Model!AB117/Model!X117-1,"NA")</f>
        <v>5.1673781172770106E-2</v>
      </c>
      <c r="AC117" s="1247">
        <f>IFERROR(Model!AC117/Model!Y117-1,"NA")</f>
        <v>-5.3882844888755166E-3</v>
      </c>
      <c r="AD117" s="1247">
        <f>IFERROR(Model!AD117/Model!Z117-1,"NA")</f>
        <v>4.2109276735516898E-2</v>
      </c>
      <c r="AE117" s="1247">
        <f>IFERROR(Model!AE117/Model!AA117-1,"NA")</f>
        <v>2.8486560087309432E-2</v>
      </c>
      <c r="AF117" s="1247">
        <f>IFERROR(Model!AF117/Model!AB117-1,"NA")</f>
        <v>-1.8762097561605628E-2</v>
      </c>
      <c r="AG117" s="1247">
        <f>IFERROR(Model!AG117/Model!AC117-1,"NA")</f>
        <v>2.7026475848586751E-2</v>
      </c>
      <c r="AH117" s="1247">
        <f>IFERROR(Model!AH117/Model!AD117-1,"NA")</f>
        <v>2.2264155656808837E-2</v>
      </c>
      <c r="AI117" s="1247">
        <f>IFERROR(Model!AI117/Model!AE117-1,"NA")</f>
        <v>2.228707256308704E-2</v>
      </c>
      <c r="AJ117" s="1247"/>
      <c r="AK117" s="1247"/>
      <c r="AL117" s="1247"/>
      <c r="AM117" s="1247"/>
      <c r="AN117" s="1247"/>
      <c r="AO117" s="1247"/>
      <c r="AP117" s="1247"/>
      <c r="AQ117" s="1247"/>
      <c r="AR117" s="1236"/>
      <c r="AS117" s="1248"/>
      <c r="AT117" s="1248"/>
      <c r="AU117" s="1236"/>
      <c r="AV117" s="1236">
        <f>IFERROR(Model!AV117/Model!AU117-1,"NA")</f>
        <v>-1.9956362088233703E-2</v>
      </c>
      <c r="AW117" s="1236">
        <f>IFERROR(Model!AW117/Model!AV117-1,"NA")</f>
        <v>1.3466550825369294E-2</v>
      </c>
      <c r="AX117" s="1236">
        <f>IFERROR(Model!AX117/Model!AW117-1,"NA")</f>
        <v>-7.8493356193741981E-2</v>
      </c>
      <c r="AY117" s="1236">
        <f>IFERROR(Model!AY117/Model!AX117-1,"NA")</f>
        <v>1.6512587941159396E-2</v>
      </c>
      <c r="AZ117" s="1236">
        <f>IFERROR(Model!AZ117/Model!AY117-1,"NA")</f>
        <v>2.9743179088257188E-2</v>
      </c>
      <c r="BA117" s="1236">
        <f>IFERROR(Model!BA117/Model!AZ117-1,"NA")</f>
        <v>2.9051159638887158E-2</v>
      </c>
      <c r="BB117" s="1247">
        <f>IFERROR(Model!BB117/Model!BA117-1,"NA")</f>
        <v>1.3063786184986492E-2</v>
      </c>
      <c r="BC117" s="1247">
        <f>IFERROR(Model!BC117/Model!BB117-1,"NA")</f>
        <v>2.0877795515864328E-2</v>
      </c>
      <c r="BD117" s="1247">
        <f>IFERROR(Model!BD117/Model!BC117-1,"NA")</f>
        <v>2.8046997796703721E-2</v>
      </c>
      <c r="BE117" s="1247">
        <f>IFERROR(Model!BE117/Model!BD117-1,"NA")</f>
        <v>4.4109450821094187E-2</v>
      </c>
    </row>
    <row r="118" spans="2:57" s="70" customFormat="1" x14ac:dyDescent="0.2">
      <c r="B118" s="322"/>
      <c r="C118" s="387"/>
      <c r="D118" s="1248"/>
      <c r="E118" s="1250"/>
      <c r="F118" s="1250"/>
      <c r="G118" s="1250"/>
      <c r="H118" s="1250"/>
      <c r="I118" s="1250"/>
      <c r="J118" s="1250"/>
      <c r="K118" s="1250"/>
      <c r="L118" s="1250"/>
      <c r="M118" s="1250"/>
      <c r="N118" s="1250"/>
      <c r="O118" s="1250"/>
      <c r="P118" s="1250"/>
      <c r="Q118" s="1250"/>
      <c r="R118" s="1250"/>
      <c r="S118" s="1250"/>
      <c r="T118" s="1250"/>
      <c r="U118" s="1250"/>
      <c r="V118" s="1250"/>
      <c r="W118" s="1250"/>
      <c r="X118" s="1250"/>
      <c r="Y118" s="1250"/>
      <c r="Z118" s="1250"/>
      <c r="AA118" s="1250"/>
      <c r="AB118" s="1250"/>
      <c r="AC118" s="1250"/>
      <c r="AD118" s="1250"/>
      <c r="AE118" s="1250"/>
      <c r="AF118" s="1250"/>
      <c r="AG118" s="1250"/>
      <c r="AH118" s="1250"/>
      <c r="AI118" s="1250"/>
      <c r="AJ118" s="1250"/>
      <c r="AK118" s="1250"/>
      <c r="AL118" s="1250"/>
      <c r="AM118" s="1250"/>
      <c r="AN118" s="1250"/>
      <c r="AO118" s="1250"/>
      <c r="AP118" s="1250"/>
      <c r="AQ118" s="1250"/>
      <c r="AR118" s="1236"/>
      <c r="AS118" s="1248"/>
      <c r="AT118" s="1248"/>
      <c r="AU118" s="1236"/>
      <c r="AV118" s="1236"/>
      <c r="AW118" s="1236"/>
      <c r="AX118" s="1236"/>
      <c r="AY118" s="1236"/>
      <c r="AZ118" s="1236"/>
      <c r="BA118" s="1236"/>
      <c r="BB118" s="1250"/>
      <c r="BC118" s="1250"/>
      <c r="BD118" s="1250"/>
      <c r="BE118" s="1250"/>
    </row>
    <row r="119" spans="2:57" s="70" customFormat="1" x14ac:dyDescent="0.2">
      <c r="B119" s="322" t="s">
        <v>190</v>
      </c>
      <c r="C119" s="387"/>
      <c r="D119" s="1247"/>
      <c r="E119" s="1247"/>
      <c r="F119" s="1247"/>
      <c r="G119" s="1247"/>
      <c r="H119" s="1247">
        <f>IFERROR(Model!H119/Model!D119-1,"NA")</f>
        <v>0.14553990610328649</v>
      </c>
      <c r="I119" s="1247">
        <f>IFERROR(Model!I119/Model!E119-1,"NA")</f>
        <v>0.26846220677671595</v>
      </c>
      <c r="J119" s="1247">
        <f>IFERROR(Model!J119/Model!F119-1,"NA")</f>
        <v>0.15662650602409633</v>
      </c>
      <c r="K119" s="1247">
        <f>IFERROR(Model!K119/Model!G119-1,"NA")</f>
        <v>4.268292682926722E-3</v>
      </c>
      <c r="L119" s="1247">
        <f>IFERROR(Model!L119/Model!H119-1,"NA")</f>
        <v>-6.83060109289646E-4</v>
      </c>
      <c r="M119" s="1247">
        <f>IFERROR(Model!M119/Model!I119-1,"NA")</f>
        <v>-6.3013698630136949E-2</v>
      </c>
      <c r="N119" s="1247">
        <f>IFERROR(Model!N119/Model!J119-1,"NA")</f>
        <v>-0.166015625</v>
      </c>
      <c r="O119" s="1247">
        <f>IFERROR(Model!O119/Model!K119-1,"NA")</f>
        <v>-0.1505768063145112</v>
      </c>
      <c r="P119" s="1247">
        <f>IFERROR(Model!P119/Model!L119-1,"NA")</f>
        <v>-6.4935064935064957E-2</v>
      </c>
      <c r="Q119" s="1247">
        <f>IFERROR(Model!Q119/Model!M119-1,"NA")</f>
        <v>4.0935672514619936E-2</v>
      </c>
      <c r="R119" s="1247">
        <f>IFERROR(Model!R119/Model!N119-1,"NA")</f>
        <v>-7.8064012490242085E-4</v>
      </c>
      <c r="S119" s="1247">
        <f>IFERROR(Model!S119/Model!O119-1,"NA")</f>
        <v>-1.4295925661186315E-3</v>
      </c>
      <c r="T119" s="1247">
        <f>IFERROR(Model!T119/Model!P119-1,"NA")</f>
        <v>8.5526315789473673E-2</v>
      </c>
      <c r="U119" s="1247">
        <f>IFERROR(Model!U119/Model!Q119-1,"NA")</f>
        <v>7.0224719101119604E-4</v>
      </c>
      <c r="V119" s="1247">
        <f>IFERROR(Model!V119/Model!R119-1,"NA")</f>
        <v>0.41250000000000009</v>
      </c>
      <c r="W119" s="1247">
        <f>IFERROR(Model!W119/Model!S119-1,"NA")</f>
        <v>0.22333571939871155</v>
      </c>
      <c r="X119" s="1247">
        <f>IFERROR(Model!X119/Model!T119-1,"NA")</f>
        <v>0.22222222222222232</v>
      </c>
      <c r="Y119" s="1247">
        <f>IFERROR(Model!Y119/Model!U119-1,"NA")</f>
        <v>0.23649122807017542</v>
      </c>
      <c r="Z119" s="1247">
        <f>IFERROR(Model!Z119/Model!V119-1,"NA")</f>
        <v>0.22400442477876115</v>
      </c>
      <c r="AA119" s="1247">
        <f>IFERROR(Model!AA119/Model!W119-1,"NA")</f>
        <v>8.3089526038619077E-2</v>
      </c>
      <c r="AB119" s="1247">
        <f>IFERROR(Model!AB119/Model!X119-1,"NA")</f>
        <v>4.9586776859504189E-2</v>
      </c>
      <c r="AC119" s="1247">
        <f>IFERROR(Model!AC119/Model!Y119-1,"NA")</f>
        <v>0.12163965212321015</v>
      </c>
      <c r="AD119" s="1247">
        <f>IFERROR(Model!AD119/Model!Z119-1,"NA")</f>
        <v>-6.3157527805239089E-2</v>
      </c>
      <c r="AE119" s="1247">
        <f>IFERROR(Model!AE119/Model!AA119-1,"NA")</f>
        <v>0.1661500689914257</v>
      </c>
      <c r="AF119" s="1247">
        <f>IFERROR(Model!AF119/Model!AB119-1,"NA")</f>
        <v>0.10948897771305721</v>
      </c>
      <c r="AG119" s="1247">
        <f>IFERROR(Model!AG119/Model!AC119-1,"NA")</f>
        <v>0.10116719459852597</v>
      </c>
      <c r="AH119" s="1247">
        <f>IFERROR(Model!AH119/Model!AD119-1,"NA")</f>
        <v>0.11713259718152336</v>
      </c>
      <c r="AI119" s="1247">
        <f>IFERROR(Model!AI119/Model!AE119-1,"NA")</f>
        <v>0.12363937256476265</v>
      </c>
      <c r="AJ119" s="1247"/>
      <c r="AK119" s="1247"/>
      <c r="AL119" s="1247"/>
      <c r="AM119" s="1247"/>
      <c r="AN119" s="1247"/>
      <c r="AO119" s="1247"/>
      <c r="AP119" s="1247"/>
      <c r="AQ119" s="1247"/>
      <c r="AR119" s="1236"/>
      <c r="AS119" s="1248"/>
      <c r="AT119" s="1248"/>
      <c r="AU119" s="1236"/>
      <c r="AV119" s="1236">
        <f>IFERROR(Model!AV119/Model!AU119-1,"NA")</f>
        <v>0.1315545673522327</v>
      </c>
      <c r="AW119" s="1236">
        <f>IFERROR(Model!AW119/Model!AV119-1,"NA")</f>
        <v>-9.7592926150319337E-2</v>
      </c>
      <c r="AX119" s="1236">
        <f>IFERROR(Model!AX119/Model!AW119-1,"NA")</f>
        <v>-7.6211213935765132E-3</v>
      </c>
      <c r="AY119" s="1236">
        <f>IFERROR(Model!AY119/Model!AX119-1,"NA")</f>
        <v>0.17516913512525134</v>
      </c>
      <c r="AZ119" s="1236">
        <f>IFERROR(Model!AZ119/Model!AY119-1,"NA")</f>
        <v>0.18889061770655058</v>
      </c>
      <c r="BA119" s="1236">
        <f>IFERROR(Model!BA119/Model!AZ119-1,"NA")</f>
        <v>6.1785791874261475E-2</v>
      </c>
      <c r="BB119" s="1247">
        <f>IFERROR(Model!BB119/Model!BA119-1,"NA")</f>
        <v>0.11317987823715914</v>
      </c>
      <c r="BC119" s="1247">
        <f>IFERROR(Model!BC119/Model!BB119-1,"NA")</f>
        <v>0.1197382198414545</v>
      </c>
      <c r="BD119" s="1247">
        <f>IFERROR(Model!BD119/Model!BC119-1,"NA")</f>
        <v>0.10733889441920663</v>
      </c>
      <c r="BE119" s="1247">
        <f>IFERROR(Model!BE119/Model!BD119-1,"NA")</f>
        <v>0.1093918806891212</v>
      </c>
    </row>
    <row r="120" spans="2:57" s="70" customFormat="1" x14ac:dyDescent="0.2">
      <c r="B120" s="322"/>
      <c r="C120" s="322" t="s">
        <v>193</v>
      </c>
      <c r="D120" s="1247"/>
      <c r="E120" s="1247"/>
      <c r="F120" s="1247"/>
      <c r="G120" s="1247"/>
      <c r="H120" s="1247">
        <f>IFERROR(Model!H120/Model!D120-1,"NA")</f>
        <v>-0.14138438880706927</v>
      </c>
      <c r="I120" s="1247">
        <f>IFERROR(Model!I120/Model!E120-1,"NA")</f>
        <v>-0.11795961742826777</v>
      </c>
      <c r="J120" s="1247">
        <f>IFERROR(Model!J120/Model!F120-1,"NA")</f>
        <v>-0.12094064949608063</v>
      </c>
      <c r="K120" s="1247">
        <f>IFERROR(Model!K120/Model!G120-1,"NA")</f>
        <v>-8.1494057724957547E-2</v>
      </c>
      <c r="L120" s="1247">
        <f>IFERROR(Model!L120/Model!H120-1,"NA")</f>
        <v>-6.0034305317324232E-2</v>
      </c>
      <c r="M120" s="1247">
        <f>IFERROR(Model!M120/Model!I120-1,"NA")</f>
        <v>-5.4216867469879526E-3</v>
      </c>
      <c r="N120" s="1247">
        <f>IFERROR(Model!N120/Model!J120-1,"NA")</f>
        <v>1.6560509554140124E-2</v>
      </c>
      <c r="O120" s="1247">
        <f>IFERROR(Model!O120/Model!K120-1,"NA")</f>
        <v>1.2322858903266454E-3</v>
      </c>
      <c r="P120" s="1247">
        <f>IFERROR(Model!P120/Model!L120-1,"NA")</f>
        <v>-9.3673965936739712E-2</v>
      </c>
      <c r="Q120" s="1247">
        <f>IFERROR(Model!Q120/Model!M120-1,"NA")</f>
        <v>-8.9036947304663827E-2</v>
      </c>
      <c r="R120" s="1247">
        <f>IFERROR(Model!R120/Model!N120-1,"NA")</f>
        <v>-0.15225563909774431</v>
      </c>
      <c r="S120" s="1247">
        <f>IFERROR(Model!S120/Model!O120-1,"NA")</f>
        <v>-0.13538461538461544</v>
      </c>
      <c r="T120" s="1247">
        <f>IFERROR(Model!T120/Model!P120-1,"NA")</f>
        <v>-7.9865771812080544E-2</v>
      </c>
      <c r="U120" s="1247">
        <f>IFERROR(Model!U120/Model!Q120-1,"NA")</f>
        <v>-8.643617021276595E-2</v>
      </c>
      <c r="V120" s="1247">
        <f>IFERROR(Model!V120/Model!R120-1,"NA")</f>
        <v>-2.956393200295615E-3</v>
      </c>
      <c r="W120" s="1247">
        <f>IFERROR(Model!W120/Model!S120-1,"NA")</f>
        <v>7.9003558718861111E-2</v>
      </c>
      <c r="X120" s="1247">
        <f>IFERROR(Model!X120/Model!T120-1,"NA")</f>
        <v>0.16921954777534642</v>
      </c>
      <c r="Y120" s="1247">
        <f>IFERROR(Model!Y120/Model!U120-1,"NA")</f>
        <v>0.17540029112081523</v>
      </c>
      <c r="Z120" s="1247">
        <f>IFERROR(Model!Z120/Model!V120-1,"NA")</f>
        <v>0.26315789473684204</v>
      </c>
      <c r="AA120" s="1247">
        <f>IFERROR(Model!AA120/Model!W120-1,"NA")</f>
        <v>8.1794195250659563E-2</v>
      </c>
      <c r="AB120" s="1247">
        <f>IFERROR(Model!AB120/Model!X120-1,"NA")</f>
        <v>8.2969432314410563E-2</v>
      </c>
      <c r="AC120" s="1247">
        <f>IFERROR(Model!AC120/Model!Y120-1,"NA")</f>
        <v>0.11430005191059855</v>
      </c>
      <c r="AD120" s="1247">
        <f>IFERROR(Model!AD120/Model!Z120-1,"NA")</f>
        <v>0.10778242705458552</v>
      </c>
      <c r="AE120" s="1247">
        <f>IFERROR(Model!AE120/Model!AA120-1,"NA")</f>
        <v>0.19302849064674255</v>
      </c>
      <c r="AF120" s="1247">
        <f>IFERROR(Model!AF120/Model!AB120-1,"NA")</f>
        <v>0.11185257194730935</v>
      </c>
      <c r="AG120" s="1247">
        <f>IFERROR(Model!AG120/Model!AC120-1,"NA")</f>
        <v>9.9373236568707446E-2</v>
      </c>
      <c r="AH120" s="1247">
        <f>IFERROR(Model!AH120/Model!AD120-1,"NA")</f>
        <v>0.11541366983130952</v>
      </c>
      <c r="AI120" s="1247">
        <f>IFERROR(Model!AI120/Model!AE120-1,"NA")</f>
        <v>0.12693913618350372</v>
      </c>
      <c r="AJ120" s="1247"/>
      <c r="AK120" s="1247"/>
      <c r="AL120" s="1247"/>
      <c r="AM120" s="1247"/>
      <c r="AN120" s="1247"/>
      <c r="AO120" s="1247"/>
      <c r="AP120" s="1247"/>
      <c r="AQ120" s="1247"/>
      <c r="AR120" s="1236"/>
      <c r="AS120" s="1248"/>
      <c r="AT120" s="1248"/>
      <c r="AU120" s="1236"/>
      <c r="AV120" s="1236">
        <f>IFERROR(Model!AV120/Model!AU120-1,"NA")</f>
        <v>-0.11643468950749469</v>
      </c>
      <c r="AW120" s="1236">
        <f>IFERROR(Model!AW120/Model!AV120-1,"NA")</f>
        <v>-1.3026355649803145E-2</v>
      </c>
      <c r="AX120" s="1236">
        <f>IFERROR(Model!AX120/Model!AW120-1,"NA")</f>
        <v>-0.11724984653161452</v>
      </c>
      <c r="AY120" s="1236">
        <f>IFERROR(Model!AY120/Model!AX120-1,"NA")</f>
        <v>-2.4687065368567462E-2</v>
      </c>
      <c r="AZ120" s="1236">
        <f>IFERROR(Model!AZ120/Model!AY120-1,"NA")</f>
        <v>0.16969696969696968</v>
      </c>
      <c r="BA120" s="1236">
        <f>IFERROR(Model!BA120/Model!AZ120-1,"NA")</f>
        <v>0.12463007683591698</v>
      </c>
      <c r="BB120" s="1247">
        <f>IFERROR(Model!BB120/Model!BA120-1,"NA")</f>
        <v>0.11372013334194819</v>
      </c>
      <c r="BC120" s="1247">
        <f>IFERROR(Model!BC120/Model!BB120-1,"NA")</f>
        <v>0.1185471175306485</v>
      </c>
      <c r="BD120" s="1247">
        <f>IFERROR(Model!BD120/Model!BC120-1,"NA")</f>
        <v>0.10733889441920641</v>
      </c>
      <c r="BE120" s="1247">
        <f>IFERROR(Model!BE120/Model!BD120-1,"NA")</f>
        <v>0.1093918806891212</v>
      </c>
    </row>
    <row r="121" spans="2:57" s="70" customFormat="1" x14ac:dyDescent="0.2">
      <c r="B121" s="322"/>
      <c r="C121" s="322" t="s">
        <v>192</v>
      </c>
      <c r="D121" s="1247"/>
      <c r="E121" s="1247"/>
      <c r="F121" s="1247"/>
      <c r="G121" s="1247"/>
      <c r="H121" s="1247">
        <f>IFERROR(Model!H121/Model!D121-1,"NA")</f>
        <v>-0.62450592885375489</v>
      </c>
      <c r="I121" s="1247">
        <f>IFERROR(Model!I121/Model!E121-1,"NA")</f>
        <v>-0.72640218878248974</v>
      </c>
      <c r="J121" s="1247">
        <f>IFERROR(Model!J121/Model!F121-1,"NA")</f>
        <v>-0.92576419213973793</v>
      </c>
      <c r="K121" s="1247">
        <f>IFERROR(Model!K121/Model!G121-1,"NA")</f>
        <v>-1.188976377952756</v>
      </c>
      <c r="L121" s="1247">
        <f>IFERROR(Model!L121/Model!H121-1,"NA")</f>
        <v>-0.36491228070175441</v>
      </c>
      <c r="M121" s="1247">
        <f>IFERROR(Model!M121/Model!I121-1,"NA")</f>
        <v>0.41500000000000004</v>
      </c>
      <c r="N121" s="1247">
        <f>IFERROR(Model!N121/Model!J121-1,"NA")</f>
        <v>8.264705882352942</v>
      </c>
      <c r="O121" s="1247">
        <f>IFERROR(Model!O121/Model!K121-1,"NA")</f>
        <v>-10.416666666666666</v>
      </c>
      <c r="P121" s="1247">
        <f>IFERROR(Model!P121/Model!L121-1,"NA")</f>
        <v>-0.32596685082872923</v>
      </c>
      <c r="Q121" s="1247">
        <f>IFERROR(Model!Q121/Model!M121-1,"NA")</f>
        <v>-0.71731448763250882</v>
      </c>
      <c r="R121" s="1247">
        <f>IFERROR(Model!R121/Model!N121-1,"NA")</f>
        <v>-0.76825396825396819</v>
      </c>
      <c r="S121" s="1247">
        <f>IFERROR(Model!S121/Model!O121-1,"NA")</f>
        <v>-0.96460176991150437</v>
      </c>
      <c r="T121" s="1247">
        <f>IFERROR(Model!T121/Model!P121-1,"NA")</f>
        <v>-1.9344262295081966</v>
      </c>
      <c r="U121" s="1247">
        <f>IFERROR(Model!U121/Model!Q121-1,"NA")</f>
        <v>-1.6375</v>
      </c>
      <c r="V121" s="1247">
        <f>IFERROR(Model!V121/Model!R121-1,"NA")</f>
        <v>-7.2876712328767121</v>
      </c>
      <c r="W121" s="1247">
        <f>IFERROR(Model!W121/Model!S121-1,"NA")</f>
        <v>-25.125</v>
      </c>
      <c r="X121" s="1247">
        <f>IFERROR(Model!X121/Model!T121-1,"NA")</f>
        <v>0.85964912280701755</v>
      </c>
      <c r="Y121" s="1247">
        <f>IFERROR(Model!Y121/Model!U121-1,"NA")</f>
        <v>1.8823529411764706</v>
      </c>
      <c r="Z121" s="1247">
        <f>IFERROR(Model!Z121/Model!V121-1,"NA")</f>
        <v>0.10893246187363825</v>
      </c>
      <c r="AA121" s="1247">
        <f>IFERROR(Model!AA121/Model!W121-1,"NA")</f>
        <v>9.3264248704663322E-2</v>
      </c>
      <c r="AB121" s="1247">
        <f>IFERROR(Model!AB121/Model!X121-1,"NA")</f>
        <v>-0.20283018867924529</v>
      </c>
      <c r="AC121" s="1247">
        <f>IFERROR(Model!AC121/Model!Y121-1,"NA")</f>
        <v>0.20227539595564359</v>
      </c>
      <c r="AD121" s="1247">
        <f>IFERROR(Model!AD121/Model!Z121-1,"NA")</f>
        <v>-0.63542016647152821</v>
      </c>
      <c r="AE121" s="1247">
        <f>IFERROR(Model!AE121/Model!AA121-1,"NA")</f>
        <v>-4.2762781789235982E-2</v>
      </c>
      <c r="AF121" s="1247">
        <f>IFERROR(Model!AF121/Model!AB121-1,"NA")</f>
        <v>8.5209690194347543E-2</v>
      </c>
      <c r="AG121" s="1247">
        <f>IFERROR(Model!AG121/Model!AC121-1,"NA")</f>
        <v>0.11943412867689984</v>
      </c>
      <c r="AH121" s="1247">
        <f>IFERROR(Model!AH121/Model!AD121-1,"NA")</f>
        <v>0.13461781952341556</v>
      </c>
      <c r="AI121" s="1247">
        <f>IFERROR(Model!AI121/Model!AE121-1,"NA")</f>
        <v>9.1674317136822392E-2</v>
      </c>
      <c r="AJ121" s="1247"/>
      <c r="AK121" s="1247"/>
      <c r="AL121" s="1247"/>
      <c r="AM121" s="1247"/>
      <c r="AN121" s="1247"/>
      <c r="AO121" s="1247"/>
      <c r="AP121" s="1247"/>
      <c r="AQ121" s="1247"/>
      <c r="AR121" s="1236"/>
      <c r="AS121" s="1248"/>
      <c r="AT121" s="1248"/>
      <c r="AU121" s="1236"/>
      <c r="AV121" s="1236">
        <f>IFERROR(Model!AV121/Model!AU121-1,"NA")</f>
        <v>-0.76144578313253009</v>
      </c>
      <c r="AW121" s="1236">
        <f>IFERROR(Model!AW121/Model!AV121-1,"NA")</f>
        <v>1.0303030303030303</v>
      </c>
      <c r="AX121" s="1236">
        <f>IFERROR(Model!AX121/Model!AW121-1,"NA")</f>
        <v>-0.71840796019900499</v>
      </c>
      <c r="AY121" s="1236">
        <f>IFERROR(Model!AY121/Model!AX121-1,"NA")</f>
        <v>-3.8869257950530036</v>
      </c>
      <c r="AZ121" s="1236">
        <f>IFERROR(Model!AZ121/Model!AY121-1,"NA")</f>
        <v>0.32068543451652376</v>
      </c>
      <c r="BA121" s="1236">
        <f>IFERROR(Model!BA121/Model!AZ121-1,"NA")</f>
        <v>-0.32040530906956177</v>
      </c>
      <c r="BB121" s="1247">
        <f>IFERROR(Model!BB121/Model!BA121-1,"NA")</f>
        <v>0.10774270241448103</v>
      </c>
      <c r="BC121" s="1247">
        <f>IFERROR(Model!BC121/Model!BB121-1,"NA")</f>
        <v>0.13179026466335175</v>
      </c>
      <c r="BD121" s="1247">
        <f>IFERROR(Model!BD121/Model!BC121-1,"NA")</f>
        <v>0.10733889441920819</v>
      </c>
      <c r="BE121" s="1247">
        <f>IFERROR(Model!BE121/Model!BD121-1,"NA")</f>
        <v>0.10939188068912165</v>
      </c>
    </row>
    <row r="122" spans="2:57" s="70" customFormat="1" x14ac:dyDescent="0.2">
      <c r="B122" s="322"/>
      <c r="C122" s="322"/>
      <c r="D122" s="1248"/>
      <c r="E122" s="1250"/>
      <c r="F122" s="1250"/>
      <c r="G122" s="1250"/>
      <c r="H122" s="1250"/>
      <c r="I122" s="1250"/>
      <c r="J122" s="1250"/>
      <c r="K122" s="1250"/>
      <c r="L122" s="1250"/>
      <c r="M122" s="1250"/>
      <c r="N122" s="1250"/>
      <c r="O122" s="1250"/>
      <c r="P122" s="1250"/>
      <c r="Q122" s="1250"/>
      <c r="R122" s="1250"/>
      <c r="S122" s="1250"/>
      <c r="T122" s="1250"/>
      <c r="U122" s="1250"/>
      <c r="V122" s="1250"/>
      <c r="W122" s="1250"/>
      <c r="X122" s="1250"/>
      <c r="Y122" s="1250"/>
      <c r="Z122" s="1250"/>
      <c r="AA122" s="1250"/>
      <c r="AB122" s="1250"/>
      <c r="AC122" s="1250"/>
      <c r="AD122" s="1250"/>
      <c r="AE122" s="1250"/>
      <c r="AF122" s="1250"/>
      <c r="AG122" s="1250"/>
      <c r="AH122" s="1250"/>
      <c r="AI122" s="1250"/>
      <c r="AJ122" s="1250"/>
      <c r="AK122" s="1250"/>
      <c r="AL122" s="1250"/>
      <c r="AM122" s="1250"/>
      <c r="AN122" s="1250"/>
      <c r="AO122" s="1250"/>
      <c r="AP122" s="1250"/>
      <c r="AQ122" s="1250"/>
      <c r="AR122" s="1236"/>
      <c r="AS122" s="1248"/>
      <c r="AT122" s="1248"/>
      <c r="AU122" s="1236"/>
      <c r="AV122" s="1236"/>
      <c r="AW122" s="1236"/>
      <c r="AX122" s="1236"/>
      <c r="AY122" s="1236"/>
      <c r="AZ122" s="1236"/>
      <c r="BA122" s="1236"/>
      <c r="BB122" s="1250"/>
      <c r="BC122" s="1250"/>
      <c r="BD122" s="1250"/>
      <c r="BE122" s="1250"/>
    </row>
    <row r="123" spans="2:57" s="70" customFormat="1" x14ac:dyDescent="0.2">
      <c r="B123" s="322" t="s">
        <v>89</v>
      </c>
      <c r="C123" s="387"/>
      <c r="D123" s="1247"/>
      <c r="E123" s="1247"/>
      <c r="F123" s="1247"/>
      <c r="G123" s="1247"/>
      <c r="H123" s="1247">
        <f>IFERROR(Model!H123/Model!D123-1,"NA")</f>
        <v>-9.2380310182063385E-2</v>
      </c>
      <c r="I123" s="1247">
        <f>IFERROR(Model!I123/Model!E123-1,"NA")</f>
        <v>-4.3924902585901537E-2</v>
      </c>
      <c r="J123" s="1247">
        <f>IFERROR(Model!J123/Model!F123-1,"NA")</f>
        <v>-0.23641304347826086</v>
      </c>
      <c r="K123" s="1247">
        <f>IFERROR(Model!K123/Model!G123-1,"NA")</f>
        <v>-1.6299559471365632E-2</v>
      </c>
      <c r="L123" s="1247">
        <f>IFERROR(Model!L123/Model!H123-1,"NA")</f>
        <v>-0.12741456166419018</v>
      </c>
      <c r="M123" s="1247">
        <f>IFERROR(Model!M123/Model!I123-1,"NA")</f>
        <v>-0.14523897739903668</v>
      </c>
      <c r="N123" s="1247">
        <f>IFERROR(Model!N123/Model!J123-1,"NA")</f>
        <v>0.26779359430604988</v>
      </c>
      <c r="O123" s="1247">
        <f>IFERROR(Model!O123/Model!K123-1,"NA")</f>
        <v>0.14912673533363185</v>
      </c>
      <c r="P123" s="1247">
        <f>IFERROR(Model!P123/Model!L123-1,"NA")</f>
        <v>9.4082588335461903E-2</v>
      </c>
      <c r="Q123" s="1247">
        <f>IFERROR(Model!Q123/Model!M123-1,"NA")</f>
        <v>2.7308192457737412E-2</v>
      </c>
      <c r="R123" s="1247">
        <f>IFERROR(Model!R123/Model!N123-1,"NA")</f>
        <v>-9.9649122807017543E-2</v>
      </c>
      <c r="S123" s="1247">
        <f>IFERROR(Model!S123/Model!O123-1,"NA")</f>
        <v>-0.1905689789555729</v>
      </c>
      <c r="T123" s="1247">
        <f>IFERROR(Model!T123/Model!P123-1,"NA")</f>
        <v>-0.28871595330739297</v>
      </c>
      <c r="U123" s="1247">
        <f>IFERROR(Model!U123/Model!Q123-1,"NA")</f>
        <v>-0.17637130801687761</v>
      </c>
      <c r="V123" s="1247">
        <f>IFERROR(Model!V123/Model!R123-1,"NA")</f>
        <v>-0.24902572096648479</v>
      </c>
      <c r="W123" s="1247">
        <f>IFERROR(Model!W123/Model!S123-1,"NA")</f>
        <v>-8.4256138661531033E-2</v>
      </c>
      <c r="X123" s="1247">
        <f>IFERROR(Model!X123/Model!T123-1,"NA")</f>
        <v>-0.1356673960612691</v>
      </c>
      <c r="Y123" s="1247">
        <f>IFERROR(Model!Y123/Model!U123-1,"NA")</f>
        <v>-9.1188524590163911E-2</v>
      </c>
      <c r="Z123" s="1247">
        <f>IFERROR(Model!Z123/Model!V123-1,"NA")</f>
        <v>-6.3310845874416155E-2</v>
      </c>
      <c r="AA123" s="1247">
        <f>IFERROR(Model!AA123/Model!W123-1,"NA")</f>
        <v>6.992639327024186E-2</v>
      </c>
      <c r="AB123" s="1247">
        <f>IFERROR(Model!AB123/Model!X123-1,"NA")</f>
        <v>0.16898734177215191</v>
      </c>
      <c r="AC123" s="1247">
        <f>IFERROR(Model!AC123/Model!Y123-1,"NA")</f>
        <v>6.2941048377630926E-2</v>
      </c>
      <c r="AD123" s="1247">
        <f>IFERROR(Model!AD123/Model!Z123-1,"NA")</f>
        <v>9.4017766773214939E-2</v>
      </c>
      <c r="AE123" s="1247">
        <f>IFERROR(Model!AE123/Model!AA123-1,"NA")</f>
        <v>-5.1445997109212493E-2</v>
      </c>
      <c r="AF123" s="1247">
        <f>IFERROR(Model!AF123/Model!AB123-1,"NA")</f>
        <v>6.056236249698288E-2</v>
      </c>
      <c r="AG123" s="1247">
        <f>IFERROR(Model!AG123/Model!AC123-1,"NA")</f>
        <v>6.990065484540664E-2</v>
      </c>
      <c r="AH123" s="1247">
        <f>IFERROR(Model!AH123/Model!AD123-1,"NA")</f>
        <v>5.0235564124330612E-2</v>
      </c>
      <c r="AI123" s="1247">
        <f>IFERROR(Model!AI123/Model!AE123-1,"NA")</f>
        <v>4.0877568590248048E-2</v>
      </c>
      <c r="AJ123" s="1247"/>
      <c r="AK123" s="1247"/>
      <c r="AL123" s="1247"/>
      <c r="AM123" s="1247"/>
      <c r="AN123" s="1247"/>
      <c r="AO123" s="1247"/>
      <c r="AP123" s="1247"/>
      <c r="AQ123" s="1247"/>
      <c r="AR123" s="1236"/>
      <c r="AS123" s="1248"/>
      <c r="AT123" s="1248"/>
      <c r="AU123" s="1236"/>
      <c r="AV123" s="1236">
        <f>IFERROR(Model!AV123/Model!AU123-1,"NA")</f>
        <v>-0.10279014814141596</v>
      </c>
      <c r="AW123" s="1236">
        <f>IFERROR(Model!AW123/Model!AV123-1,"NA")</f>
        <v>2.0259319286871857E-2</v>
      </c>
      <c r="AX123" s="1236">
        <f>IFERROR(Model!AX123/Model!AW123-1,"NA")</f>
        <v>-4.855043685464655E-2</v>
      </c>
      <c r="AY123" s="1236">
        <f>IFERROR(Model!AY123/Model!AX123-1,"NA")</f>
        <v>-0.20598977355734116</v>
      </c>
      <c r="AZ123" s="1236">
        <f>IFERROR(Model!AZ123/Model!AY123-1,"NA")</f>
        <v>-5.4540675515836523E-2</v>
      </c>
      <c r="BA123" s="1236">
        <f>IFERROR(Model!BA123/Model!AZ123-1,"NA")</f>
        <v>6.1671793818504739E-2</v>
      </c>
      <c r="BB123" s="1247">
        <f>IFERROR(Model!BB123/Model!BA123-1,"NA")</f>
        <v>5.5222874177094816E-2</v>
      </c>
      <c r="BC123" s="1247">
        <f>IFERROR(Model!BC123/Model!BB123-1,"NA")</f>
        <v>3.3749576483791177E-2</v>
      </c>
      <c r="BD123" s="1247">
        <f>IFERROR(Model!BD123/Model!BC123-1,"NA")</f>
        <v>2.2240784598826169E-2</v>
      </c>
      <c r="BE123" s="1247">
        <f>IFERROR(Model!BE123/Model!BD123-1,"NA")</f>
        <v>-4.9079071443510092E-2</v>
      </c>
    </row>
    <row r="124" spans="2:57" s="70" customFormat="1" x14ac:dyDescent="0.2">
      <c r="B124" s="15"/>
      <c r="C124" s="322" t="s">
        <v>90</v>
      </c>
      <c r="D124" s="1247"/>
      <c r="E124" s="1247"/>
      <c r="F124" s="1247"/>
      <c r="G124" s="1247"/>
      <c r="H124" s="1247">
        <f>IFERROR(Model!H124/Model!D124-1,"NA")</f>
        <v>-1.8123667377398678E-2</v>
      </c>
      <c r="I124" s="1247">
        <f>IFERROR(Model!I124/Model!E124-1,"NA")</f>
        <v>-2.6748971193415683E-2</v>
      </c>
      <c r="J124" s="1247">
        <f>IFERROR(Model!J124/Model!F124-1,"NA")</f>
        <v>-0.19856704196519959</v>
      </c>
      <c r="K124" s="1247">
        <f>IFERROR(Model!K124/Model!G124-1,"NA")</f>
        <v>0.20521172638436491</v>
      </c>
      <c r="L124" s="1247">
        <f>IFERROR(Model!L124/Model!H124-1,"NA")</f>
        <v>-0.20304017372421279</v>
      </c>
      <c r="M124" s="1247">
        <f>IFERROR(Model!M124/Model!I124-1,"NA")</f>
        <v>-0.15750528541226216</v>
      </c>
      <c r="N124" s="1247">
        <f>IFERROR(Model!N124/Model!J124-1,"NA")</f>
        <v>0.26564495530012766</v>
      </c>
      <c r="O124" s="1247">
        <f>IFERROR(Model!O124/Model!K124-1,"NA")</f>
        <v>0.19324324324324316</v>
      </c>
      <c r="P124" s="1247">
        <f>IFERROR(Model!P124/Model!L124-1,"NA")</f>
        <v>0.23024523160762933</v>
      </c>
      <c r="Q124" s="1247">
        <f>IFERROR(Model!Q124/Model!M124-1,"NA")</f>
        <v>-2.5094102885822034E-3</v>
      </c>
      <c r="R124" s="1247">
        <f>IFERROR(Model!R124/Model!N124-1,"NA")</f>
        <v>-7.769929364278505E-2</v>
      </c>
      <c r="S124" s="1247">
        <f>IFERROR(Model!S124/Model!O124-1,"NA")</f>
        <v>-0.14269535673839184</v>
      </c>
      <c r="T124" s="1247">
        <f>IFERROR(Model!T124/Model!P124-1,"NA")</f>
        <v>-0.29789590254706533</v>
      </c>
      <c r="U124" s="1247">
        <f>IFERROR(Model!U124/Model!Q124-1,"NA")</f>
        <v>-0.16100628930817606</v>
      </c>
      <c r="V124" s="1247">
        <f>IFERROR(Model!V124/Model!R124-1,"NA")</f>
        <v>-0.25929978118161923</v>
      </c>
      <c r="W124" s="1247">
        <f>IFERROR(Model!W124/Model!S124-1,"NA")</f>
        <v>-0.10568031704095115</v>
      </c>
      <c r="X124" s="1247">
        <f>IFERROR(Model!X124/Model!T124-1,"NA")</f>
        <v>-8.2018927444794998E-2</v>
      </c>
      <c r="Y124" s="1247">
        <f>IFERROR(Model!Y124/Model!U124-1,"NA")</f>
        <v>-3.1484257871064458E-2</v>
      </c>
      <c r="Z124" s="1247">
        <f>IFERROR(Model!Z124/Model!V124-1,"NA")</f>
        <v>-6.2038404726735608E-2</v>
      </c>
      <c r="AA124" s="1247">
        <f>IFERROR(Model!AA124/Model!W124-1,"NA")</f>
        <v>1.1462333825701623</v>
      </c>
      <c r="AB124" s="1247">
        <f>IFERROR(Model!AB124/Model!X124-1,"NA")</f>
        <v>-0.22164948453608246</v>
      </c>
      <c r="AC124" s="1247">
        <f>IFERROR(Model!AC124/Model!Y124-1,"NA")</f>
        <v>-0.27025641647758614</v>
      </c>
      <c r="AD124" s="1247">
        <f>IFERROR(Model!AD124/Model!Z124-1,"NA")</f>
        <v>-0.22255824054108153</v>
      </c>
      <c r="AE124" s="1247">
        <f>IFERROR(Model!AE124/Model!AA124-1,"NA")</f>
        <v>-0.6678755340876199</v>
      </c>
      <c r="AF124" s="1247">
        <f>IFERROR(Model!AF124/Model!AB124-1,"NA")</f>
        <v>3.7805925050027778E-2</v>
      </c>
      <c r="AG124" s="1247">
        <f>IFERROR(Model!AG124/Model!AC124-1,"NA")</f>
        <v>2.7104628651590357E-2</v>
      </c>
      <c r="AH124" s="1247">
        <f>IFERROR(Model!AH124/Model!AD124-1,"NA")</f>
        <v>8.2261415593571918E-3</v>
      </c>
      <c r="AI124" s="1247">
        <f>IFERROR(Model!AI124/Model!AE124-1,"NA")</f>
        <v>-7.5753415336166086E-4</v>
      </c>
      <c r="AJ124" s="1247"/>
      <c r="AK124" s="1247"/>
      <c r="AL124" s="1247"/>
      <c r="AM124" s="1247"/>
      <c r="AN124" s="1247"/>
      <c r="AO124" s="1247"/>
      <c r="AP124" s="1247"/>
      <c r="AQ124" s="1247"/>
      <c r="AR124" s="1236"/>
      <c r="AS124" s="1250"/>
      <c r="AT124" s="1248"/>
      <c r="AU124" s="1236"/>
      <c r="AV124" s="1236">
        <f>IFERROR(Model!AV124/Model!AU124-1,"NA")</f>
        <v>-3.1705227077977738E-2</v>
      </c>
      <c r="AW124" s="1236">
        <f>IFERROR(Model!AW124/Model!AV124-1,"NA")</f>
        <v>4.4247787610618428E-3</v>
      </c>
      <c r="AX124" s="1236">
        <f>IFERROR(Model!AX124/Model!AW124-1,"NA")</f>
        <v>-1.0572687224669641E-2</v>
      </c>
      <c r="AY124" s="1236">
        <f>IFERROR(Model!AY124/Model!AX124-1,"NA")</f>
        <v>-0.21193232413178986</v>
      </c>
      <c r="AZ124" s="1236">
        <f>IFERROR(Model!AZ124/Model!AY124-1,"NA")</f>
        <v>0.2489642184557439</v>
      </c>
      <c r="BA124" s="1236">
        <f>IFERROR(Model!BA124/Model!AZ124-1,"NA")</f>
        <v>-0.42681944475796718</v>
      </c>
      <c r="BB124" s="1247">
        <f>IFERROR(Model!BB124/Model!BA124-1,"NA")</f>
        <v>1.7677518604354958E-2</v>
      </c>
      <c r="BC124" s="1247">
        <f>IFERROR(Model!BC124/Model!BB124-1,"NA")</f>
        <v>3.3749576483791177E-2</v>
      </c>
      <c r="BD124" s="1247">
        <f>IFERROR(Model!BD124/Model!BC124-1,"NA")</f>
        <v>2.2240784598826169E-2</v>
      </c>
      <c r="BE124" s="1247">
        <f>IFERROR(Model!BE124/Model!BD124-1,"NA")</f>
        <v>-4.9079071443509981E-2</v>
      </c>
    </row>
    <row r="125" spans="2:57" s="70" customFormat="1" x14ac:dyDescent="0.2">
      <c r="B125" s="322"/>
      <c r="C125" s="434"/>
      <c r="D125" s="1249"/>
      <c r="E125" s="1249"/>
      <c r="F125" s="1249"/>
      <c r="G125" s="1249"/>
      <c r="H125" s="1249"/>
      <c r="I125" s="1249"/>
      <c r="J125" s="1249"/>
      <c r="K125" s="1249"/>
      <c r="L125" s="1249"/>
      <c r="M125" s="1249"/>
      <c r="N125" s="1249"/>
      <c r="O125" s="1249"/>
      <c r="P125" s="1249"/>
      <c r="Q125" s="1249"/>
      <c r="R125" s="1249"/>
      <c r="S125" s="1249"/>
      <c r="T125" s="1249"/>
      <c r="U125" s="1249"/>
      <c r="V125" s="1249"/>
      <c r="W125" s="1249"/>
      <c r="X125" s="1249"/>
      <c r="Y125" s="1249"/>
      <c r="Z125" s="1249"/>
      <c r="AA125" s="1249"/>
      <c r="AB125" s="1249"/>
      <c r="AC125" s="1249"/>
      <c r="AD125" s="1249"/>
      <c r="AE125" s="1249"/>
      <c r="AF125" s="1249"/>
      <c r="AG125" s="1249"/>
      <c r="AH125" s="1249"/>
      <c r="AI125" s="1249"/>
      <c r="AJ125" s="1249"/>
      <c r="AK125" s="1249"/>
      <c r="AL125" s="1249"/>
      <c r="AM125" s="1249"/>
      <c r="AN125" s="1249"/>
      <c r="AO125" s="1249"/>
      <c r="AP125" s="1249"/>
      <c r="AQ125" s="1249"/>
      <c r="AR125" s="1236"/>
      <c r="AS125" s="1248"/>
      <c r="AT125" s="1248"/>
      <c r="AU125" s="1249"/>
      <c r="AV125" s="1249"/>
      <c r="AW125" s="1249"/>
      <c r="AX125" s="1249"/>
      <c r="AY125" s="1249"/>
      <c r="AZ125" s="1249"/>
      <c r="BA125" s="1249"/>
      <c r="BB125" s="1249"/>
      <c r="BC125" s="1249"/>
      <c r="BD125" s="1249"/>
      <c r="BE125" s="1249"/>
    </row>
    <row r="126" spans="2:57" s="70" customFormat="1" x14ac:dyDescent="0.2">
      <c r="B126" s="316" t="s">
        <v>80</v>
      </c>
      <c r="C126" s="427"/>
      <c r="D126" s="1255"/>
      <c r="E126" s="1255"/>
      <c r="F126" s="1255"/>
      <c r="G126" s="1255"/>
      <c r="H126" s="1255">
        <f>IFERROR(Model!H126/Model!D126-1,"NA")</f>
        <v>-0.12672583826429984</v>
      </c>
      <c r="I126" s="1255">
        <f>IFERROR(Model!I126/Model!E126-1,"NA")</f>
        <v>-5.2944354403025362E-2</v>
      </c>
      <c r="J126" s="1255">
        <f>IFERROR(Model!J126/Model!F126-1,"NA")</f>
        <v>-0.25521098118962893</v>
      </c>
      <c r="K126" s="1255">
        <f>IFERROR(Model!K126/Model!G126-1,"NA")</f>
        <v>-9.8429951690821249E-2</v>
      </c>
      <c r="L126" s="1255">
        <f>IFERROR(Model!L126/Model!H126-1,"NA")</f>
        <v>-8.8085827216262014E-2</v>
      </c>
      <c r="M126" s="1255">
        <f>IFERROR(Model!M126/Model!I126-1,"NA")</f>
        <v>-0.13861950941243584</v>
      </c>
      <c r="N126" s="1255">
        <f>IFERROR(Model!N126/Model!J126-1,"NA")</f>
        <v>0.26894197952218435</v>
      </c>
      <c r="O126" s="1255">
        <f>IFERROR(Model!O126/Model!K126-1,"NA")</f>
        <v>0.12726054922973873</v>
      </c>
      <c r="P126" s="1255">
        <f>IFERROR(Model!P126/Model!L126-1,"NA")</f>
        <v>3.2198142414860742E-2</v>
      </c>
      <c r="Q126" s="1255">
        <f>IFERROR(Model!Q126/Model!M126-1,"NA")</f>
        <v>4.3046357615894149E-2</v>
      </c>
      <c r="R126" s="1255">
        <f>IFERROR(Model!R126/Model!N126-1,"NA")</f>
        <v>-0.11135018827326515</v>
      </c>
      <c r="S126" s="1255">
        <f>IFERROR(Model!S126/Model!O126-1,"NA")</f>
        <v>-0.21568627450980393</v>
      </c>
      <c r="T126" s="1255">
        <f>IFERROR(Model!T126/Model!P126-1,"NA")</f>
        <v>-0.28374325134973011</v>
      </c>
      <c r="U126" s="1255">
        <f>IFERROR(Model!U126/Model!Q126-1,"NA")</f>
        <v>-0.18412698412698414</v>
      </c>
      <c r="V126" s="1255">
        <f>IFERROR(Model!V126/Model!R126-1,"NA")</f>
        <v>-0.2433414043583535</v>
      </c>
      <c r="W126" s="1255">
        <f>IFERROR(Model!W126/Model!S126-1,"NA")</f>
        <v>-7.1969696969697017E-2</v>
      </c>
      <c r="X126" s="1255">
        <f>IFERROR(Model!X126/Model!T126-1,"NA")</f>
        <v>-0.16415410385259632</v>
      </c>
      <c r="Y126" s="1255">
        <f>IFERROR(Model!Y126/Model!U126-1,"NA")</f>
        <v>-0.12217898832684826</v>
      </c>
      <c r="Z126" s="1255">
        <f>IFERROR(Model!Z126/Model!V126-1,"NA")</f>
        <v>-6.3999999999999946E-2</v>
      </c>
      <c r="AA126" s="1255">
        <f>IFERROR(Model!AA126/Model!W126-1,"NA")</f>
        <v>-0.52489795918367355</v>
      </c>
      <c r="AB126" s="1255">
        <f>IFERROR(Model!AB126/Model!X126-1,"NA")</f>
        <v>0.39679358717434865</v>
      </c>
      <c r="AC126" s="1255">
        <f>IFERROR(Model!AC126/Model!Y126-1,"NA")</f>
        <v>0.25376158232840229</v>
      </c>
      <c r="AD126" s="1255">
        <f>IFERROR(Model!AD126/Model!Z126-1,"NA")</f>
        <v>0.26583465963182884</v>
      </c>
      <c r="AE126" s="1255">
        <f>IFERROR(Model!AE126/Model!AA126-1,"NA")</f>
        <v>1.4875095307767427</v>
      </c>
      <c r="AF126" s="1255">
        <f>IFERROR(Model!AF126/Model!AB126-1,"NA")</f>
        <v>6.7957388439214395E-2</v>
      </c>
      <c r="AG126" s="1255">
        <f>IFERROR(Model!AG126/Model!AC126-1,"NA")</f>
        <v>8.4165996910012364E-2</v>
      </c>
      <c r="AH126" s="1255">
        <f>IFERROR(Model!AH126/Model!AD126-1,"NA")</f>
        <v>6.4238704979321604E-2</v>
      </c>
      <c r="AI126" s="1255">
        <f>IFERROR(Model!AI126/Model!AE126-1,"NA")</f>
        <v>5.4755936171451802E-2</v>
      </c>
      <c r="AJ126" s="1255"/>
      <c r="AK126" s="1255"/>
      <c r="AL126" s="1255"/>
      <c r="AM126" s="1255"/>
      <c r="AN126" s="1255"/>
      <c r="AO126" s="1255"/>
      <c r="AP126" s="1255"/>
      <c r="AQ126" s="1255"/>
      <c r="AR126" s="1236"/>
      <c r="AS126" s="1239"/>
      <c r="AT126" s="1239"/>
      <c r="AU126" s="1396"/>
      <c r="AV126" s="1396">
        <f>IFERROR(Model!AV126/Model!AU126-1,"NA")</f>
        <v>-0.1359637430018662</v>
      </c>
      <c r="AW126" s="1396">
        <f>IFERROR(Model!AW126/Model!AV126-1,"NA")</f>
        <v>2.8540573896945309E-2</v>
      </c>
      <c r="AX126" s="1396">
        <f>IFERROR(Model!AX126/Model!AW126-1,"NA")</f>
        <v>-6.7946602669866518E-2</v>
      </c>
      <c r="AY126" s="1396">
        <f>IFERROR(Model!AY126/Model!AX126-1,"NA")</f>
        <v>-0.20276794335371739</v>
      </c>
      <c r="AZ126" s="1396">
        <f>IFERROR(Model!AZ126/Model!AY126-1,"NA")</f>
        <v>-0.2171982236576504</v>
      </c>
      <c r="BA126" s="1396">
        <f>IFERROR(Model!BA126/Model!AZ126-1,"NA")</f>
        <v>0.47937085186893813</v>
      </c>
      <c r="BB126" s="1255">
        <f>IFERROR(Model!BB126/Model!BA126-1,"NA")</f>
        <v>6.766164110018047E-2</v>
      </c>
      <c r="BC126" s="1255">
        <f>IFERROR(Model!BC126/Model!BB126-1,"NA")</f>
        <v>3.3749576483791177E-2</v>
      </c>
      <c r="BD126" s="1255">
        <f>IFERROR(Model!BD126/Model!BC126-1,"NA")</f>
        <v>2.2240784598826391E-2</v>
      </c>
      <c r="BE126" s="1255">
        <f>IFERROR(Model!BE126/Model!BD126-1,"NA")</f>
        <v>-4.9079071443510092E-2</v>
      </c>
    </row>
    <row r="127" spans="2:57" s="70" customFormat="1" x14ac:dyDescent="0.2">
      <c r="B127" s="316"/>
      <c r="C127" s="427"/>
      <c r="D127" s="1247"/>
      <c r="E127" s="1247"/>
      <c r="F127" s="1247"/>
      <c r="G127" s="1247"/>
      <c r="H127" s="1247"/>
      <c r="I127" s="1247"/>
      <c r="J127" s="1247"/>
      <c r="K127" s="1247"/>
      <c r="L127" s="1247"/>
      <c r="M127" s="1247"/>
      <c r="N127" s="1247"/>
      <c r="O127" s="1247"/>
      <c r="P127" s="1247"/>
      <c r="Q127" s="1247"/>
      <c r="R127" s="1247"/>
      <c r="S127" s="1247"/>
      <c r="T127" s="1247"/>
      <c r="U127" s="1247"/>
      <c r="V127" s="1247"/>
      <c r="W127" s="1247"/>
      <c r="X127" s="1247"/>
      <c r="Y127" s="1247"/>
      <c r="Z127" s="1247"/>
      <c r="AA127" s="1247"/>
      <c r="AB127" s="1247"/>
      <c r="AC127" s="1247"/>
      <c r="AD127" s="1247"/>
      <c r="AE127" s="1247"/>
      <c r="AF127" s="1247"/>
      <c r="AG127" s="1247"/>
      <c r="AH127" s="1247"/>
      <c r="AI127" s="1247"/>
      <c r="AJ127" s="1247"/>
      <c r="AK127" s="1247"/>
      <c r="AL127" s="1247"/>
      <c r="AM127" s="1247"/>
      <c r="AN127" s="1247"/>
      <c r="AO127" s="1247"/>
      <c r="AP127" s="1247"/>
      <c r="AQ127" s="1247"/>
      <c r="AR127" s="1236"/>
      <c r="AS127" s="1239"/>
      <c r="AT127" s="1239"/>
      <c r="AU127" s="1236"/>
      <c r="AV127" s="1236"/>
      <c r="AW127" s="1236"/>
      <c r="AX127" s="1236"/>
      <c r="AY127" s="1236"/>
      <c r="AZ127" s="1236"/>
      <c r="BA127" s="1236"/>
      <c r="BB127" s="1236"/>
      <c r="BC127" s="1236"/>
      <c r="BD127" s="1236"/>
      <c r="BE127" s="1236"/>
    </row>
    <row r="128" spans="2:57" s="70" customFormat="1" x14ac:dyDescent="0.2">
      <c r="B128" s="322"/>
      <c r="C128" s="16"/>
      <c r="D128" s="1250"/>
      <c r="E128" s="1250"/>
      <c r="F128" s="1250"/>
      <c r="G128" s="1250"/>
      <c r="H128" s="1250"/>
      <c r="I128" s="1250"/>
      <c r="J128" s="1250"/>
      <c r="K128" s="1250"/>
      <c r="L128" s="1250"/>
      <c r="M128" s="1250"/>
      <c r="N128" s="1250"/>
      <c r="O128" s="1250"/>
      <c r="P128" s="1250"/>
      <c r="Q128" s="1250"/>
      <c r="R128" s="1250"/>
      <c r="S128" s="1250"/>
      <c r="T128" s="1250"/>
      <c r="U128" s="1250"/>
      <c r="V128" s="1250"/>
      <c r="W128" s="1250"/>
      <c r="X128" s="1250"/>
      <c r="Y128" s="1250"/>
      <c r="Z128" s="1250"/>
      <c r="AA128" s="1250"/>
      <c r="AB128" s="1250"/>
      <c r="AC128" s="1250"/>
      <c r="AD128" s="1250"/>
      <c r="AE128" s="1250"/>
      <c r="AF128" s="1250"/>
      <c r="AG128" s="1250"/>
      <c r="AH128" s="1250"/>
      <c r="AI128" s="1250"/>
      <c r="AJ128" s="1250"/>
      <c r="AK128" s="1250"/>
      <c r="AL128" s="1250"/>
      <c r="AM128" s="1250"/>
      <c r="AN128" s="1250"/>
      <c r="AO128" s="1250"/>
      <c r="AP128" s="1250"/>
      <c r="AQ128" s="1250"/>
      <c r="AR128" s="1236"/>
      <c r="AS128" s="1248"/>
      <c r="AT128" s="1371"/>
      <c r="AU128" s="1236"/>
      <c r="AV128" s="1236"/>
      <c r="AW128" s="1236"/>
      <c r="AX128" s="1236"/>
      <c r="AY128" s="1236"/>
      <c r="AZ128" s="1236"/>
      <c r="BA128" s="1236"/>
      <c r="BB128" s="1236"/>
      <c r="BC128" s="1236"/>
      <c r="BD128" s="1236"/>
      <c r="BE128" s="1236"/>
    </row>
    <row r="129" spans="1:57" x14ac:dyDescent="0.2">
      <c r="B129" s="11" t="s">
        <v>633</v>
      </c>
      <c r="C129" s="11"/>
      <c r="D129" s="1399"/>
      <c r="E129" s="1398"/>
      <c r="F129" s="1398"/>
      <c r="G129" s="1398"/>
      <c r="H129" s="1398"/>
      <c r="I129" s="1398"/>
      <c r="J129" s="1398"/>
      <c r="K129" s="1398"/>
      <c r="L129" s="1398"/>
      <c r="M129" s="1398"/>
      <c r="N129" s="1398"/>
      <c r="O129" s="1398"/>
      <c r="P129" s="1398"/>
      <c r="Q129" s="1398"/>
      <c r="R129" s="1398"/>
      <c r="S129" s="1398"/>
      <c r="T129" s="1398"/>
      <c r="U129" s="1398"/>
      <c r="V129" s="1398"/>
      <c r="W129" s="1398"/>
      <c r="X129" s="1398"/>
      <c r="Y129" s="1398"/>
      <c r="Z129" s="1398"/>
      <c r="AA129" s="1398"/>
      <c r="AB129" s="1398"/>
      <c r="AC129" s="1398"/>
      <c r="AD129" s="1398"/>
      <c r="AE129" s="1398"/>
      <c r="AF129" s="1398"/>
      <c r="AG129" s="1398"/>
      <c r="AH129" s="1398"/>
      <c r="AI129" s="1398"/>
      <c r="AJ129" s="1398"/>
      <c r="AK129" s="1398"/>
      <c r="AL129" s="1398"/>
      <c r="AM129" s="1398"/>
      <c r="AN129" s="1398"/>
      <c r="AO129" s="1398"/>
      <c r="AP129" s="1398"/>
      <c r="AQ129" s="1398"/>
      <c r="AR129" s="1236"/>
      <c r="AS129" s="1399"/>
      <c r="AT129" s="1399"/>
      <c r="AU129" s="1398"/>
      <c r="AV129" s="1398"/>
      <c r="AW129" s="1398"/>
      <c r="AX129" s="1398"/>
      <c r="AY129" s="1398"/>
      <c r="AZ129" s="1398"/>
      <c r="BA129" s="1398"/>
      <c r="BB129" s="1398"/>
      <c r="BC129" s="1398"/>
      <c r="BD129" s="1398"/>
      <c r="BE129" s="1398"/>
    </row>
    <row r="130" spans="1:57" x14ac:dyDescent="0.2">
      <c r="B130" s="16" t="s">
        <v>639</v>
      </c>
      <c r="C130" s="16"/>
      <c r="D130" s="1250"/>
      <c r="E130" s="1250"/>
      <c r="F130" s="1250"/>
      <c r="G130" s="1250"/>
      <c r="H130" s="1250"/>
      <c r="I130" s="1250"/>
      <c r="J130" s="1250"/>
      <c r="K130" s="1250"/>
      <c r="L130" s="1250"/>
      <c r="M130" s="1250"/>
      <c r="N130" s="1250"/>
      <c r="O130" s="1250"/>
      <c r="P130" s="1250"/>
      <c r="Q130" s="1250"/>
      <c r="R130" s="1250"/>
      <c r="S130" s="1250"/>
      <c r="T130" s="1250"/>
      <c r="U130" s="1250"/>
      <c r="V130" s="1250"/>
      <c r="W130" s="1250"/>
      <c r="X130" s="1250"/>
      <c r="Y130" s="1250"/>
      <c r="Z130" s="1250"/>
      <c r="AA130" s="1250"/>
      <c r="AB130" s="1250"/>
      <c r="AC130" s="1250"/>
      <c r="AD130" s="1250"/>
      <c r="AE130" s="1250"/>
      <c r="AF130" s="1250"/>
      <c r="AG130" s="1250"/>
      <c r="AH130" s="1250"/>
      <c r="AI130" s="1250"/>
      <c r="AJ130" s="1250"/>
      <c r="AK130" s="1250"/>
      <c r="AL130" s="1250"/>
      <c r="AM130" s="1250"/>
      <c r="AN130" s="1250"/>
      <c r="AO130" s="1250"/>
      <c r="AP130" s="1250"/>
      <c r="AQ130" s="1250"/>
      <c r="AR130" s="1236"/>
      <c r="AS130" s="1371"/>
      <c r="AT130" s="1371"/>
      <c r="AU130" s="1236"/>
      <c r="AV130" s="1236"/>
      <c r="AW130" s="1236"/>
      <c r="AX130" s="1236"/>
      <c r="AY130" s="1236"/>
      <c r="AZ130" s="1236"/>
      <c r="BA130" s="1236"/>
      <c r="BB130" s="1236"/>
      <c r="BC130" s="1236"/>
      <c r="BD130" s="1236"/>
      <c r="BE130" s="1236"/>
    </row>
    <row r="131" spans="1:57" x14ac:dyDescent="0.2">
      <c r="B131" s="17" t="s">
        <v>74</v>
      </c>
      <c r="C131" s="17"/>
      <c r="D131" s="1287"/>
      <c r="E131" s="1287"/>
      <c r="F131" s="1287"/>
      <c r="G131" s="1287"/>
      <c r="H131" s="1287">
        <f>IFERROR(Model!H131/Model!D131-1,"NA")</f>
        <v>5.040322580645018E-4</v>
      </c>
      <c r="I131" s="1287">
        <f>IFERROR(Model!I131/Model!E131-1,"NA")</f>
        <v>2.7333677153171809E-2</v>
      </c>
      <c r="J131" s="1287">
        <f>IFERROR(Model!J131/Model!F131-1,"NA")</f>
        <v>-0.1654393716249386</v>
      </c>
      <c r="K131" s="1287">
        <f>IFERROR(Model!K131/Model!G131-1,"NA")</f>
        <v>-0.15340626553953252</v>
      </c>
      <c r="L131" s="1287">
        <f>IFERROR(Model!L131/Model!H131-1,"NA")</f>
        <v>-0.12695214105793451</v>
      </c>
      <c r="M131" s="1287">
        <f>IFERROR(Model!M131/Model!I131-1,"NA")</f>
        <v>-0.10993975903614461</v>
      </c>
      <c r="N131" s="1287">
        <f>IFERROR(Model!N131/Model!J131-1,"NA")</f>
        <v>7.3235294117647065E-2</v>
      </c>
      <c r="O131" s="1287">
        <f>IFERROR(Model!O131/Model!K131-1,"NA")</f>
        <v>6.6079295154185091E-2</v>
      </c>
      <c r="P131" s="1287">
        <f>IFERROR(Model!P131/Model!L131-1,"NA")</f>
        <v>4.9047893825735489E-3</v>
      </c>
      <c r="Q131" s="1287">
        <f>IFERROR(Model!Q131/Model!M131-1,"NA")</f>
        <v>-1.7766497461928932E-2</v>
      </c>
      <c r="R131" s="1287">
        <f>IFERROR(Model!R131/Model!N131-1,"NA")</f>
        <v>-5.1520964647848722E-2</v>
      </c>
      <c r="S131" s="1287">
        <f>IFERROR(Model!S131/Model!O131-1,"NA")</f>
        <v>-0.11101928374655645</v>
      </c>
      <c r="T131" s="1287">
        <f>IFERROR(Model!T131/Model!P131-1,"NA")</f>
        <v>-8.498420901521675E-2</v>
      </c>
      <c r="U131" s="1287">
        <f>IFERROR(Model!U131/Model!Q131-1,"NA")</f>
        <v>-6.919322423198393E-2</v>
      </c>
      <c r="V131" s="1287">
        <f>IFERROR(Model!V131/Model!R131-1,"NA")</f>
        <v>-3.7850332273909326E-2</v>
      </c>
      <c r="W131" s="1287">
        <f>IFERROR(Model!W131/Model!S131-1,"NA")</f>
        <v>-2.1691973969631184E-2</v>
      </c>
      <c r="X131" s="1287">
        <f>IFERROR(Model!X131/Model!T131-1,"NA")</f>
        <v>-3.7652965171006691E-3</v>
      </c>
      <c r="Y131" s="1287">
        <f>IFERROR(Model!Y131/Model!U131-1,"NA")</f>
        <v>2.6526835286859951E-2</v>
      </c>
      <c r="Z131" s="1287">
        <f>IFERROR(Model!Z131/Model!V131-1,"NA")</f>
        <v>5.7357357357357364E-2</v>
      </c>
      <c r="AA131" s="1287">
        <f>IFERROR(Model!AA131/Model!W131-1,"NA")</f>
        <v>9.5343680709534473E-2</v>
      </c>
      <c r="AB131" s="1287">
        <f>IFERROR(Model!AB131/Model!X131-1,"NA")</f>
        <v>9.3228346456692979E-2</v>
      </c>
      <c r="AC131" s="1287">
        <f>IFERROR(Model!AC131/Model!Y131-1,"NA")</f>
        <v>6.6440366010273921E-2</v>
      </c>
      <c r="AD131" s="1287">
        <f>IFERROR(Model!AD131/Model!Z131-1,"NA")</f>
        <v>3.668213903428752E-2</v>
      </c>
      <c r="AE131" s="1287">
        <f>IFERROR(Model!AE131/Model!AA131-1,"NA")</f>
        <v>6.8330774406110351E-2</v>
      </c>
      <c r="AF131" s="1287">
        <f>IFERROR(Model!AF131/Model!AB131-1,"NA")</f>
        <v>3.8883674362329312E-2</v>
      </c>
      <c r="AG131" s="1287">
        <f>IFERROR(Model!AG131/Model!AC131-1,"NA")</f>
        <v>4.3976008789073928E-2</v>
      </c>
      <c r="AH131" s="1287">
        <f>IFERROR(Model!AH131/Model!AD131-1,"NA")</f>
        <v>5.0891859610914025E-2</v>
      </c>
      <c r="AI131" s="1287">
        <f>IFERROR(Model!AI131/Model!AE131-1,"NA")</f>
        <v>4.9600877024648771E-2</v>
      </c>
      <c r="AJ131" s="1287"/>
      <c r="AK131" s="1287"/>
      <c r="AL131" s="1287"/>
      <c r="AM131" s="1287"/>
      <c r="AN131" s="1287"/>
      <c r="AO131" s="1287"/>
      <c r="AP131" s="1287"/>
      <c r="AQ131" s="1287"/>
      <c r="AR131" s="1236"/>
      <c r="AS131" s="1372"/>
      <c r="AT131" s="1372"/>
      <c r="AU131" s="1287"/>
      <c r="AV131" s="1287">
        <f>IFERROR(Model!AV131/Model!AU131-1,"NA")</f>
        <v>-7.4206498557270129E-2</v>
      </c>
      <c r="AW131" s="1287">
        <f>IFERROR(Model!AW131/Model!AV131-1,"NA")</f>
        <v>-3.1709465410935667E-2</v>
      </c>
      <c r="AX131" s="1287">
        <f>IFERROR(Model!AX131/Model!AW131-1,"NA")</f>
        <v>-4.4573507802113221E-2</v>
      </c>
      <c r="AY131" s="1287">
        <f>IFERROR(Model!AY131/Model!AX131-1,"NA")</f>
        <v>-5.4050095210194771E-2</v>
      </c>
      <c r="AZ131" s="1287">
        <f>IFERROR(Model!AZ131/Model!AY131-1,"NA")</f>
        <v>4.3821616599566404E-2</v>
      </c>
      <c r="BA131" s="1287">
        <f>IFERROR(Model!BA131/Model!AZ131-1,"NA")</f>
        <v>6.5462035863985246E-2</v>
      </c>
      <c r="BB131" s="1287">
        <f>IFERROR(Model!BB131/Model!BA131-1,"NA")</f>
        <v>4.594950035083456E-2</v>
      </c>
      <c r="BC131" s="1287">
        <f>IFERROR(Model!BC131/Model!BB131-1,"NA")</f>
        <v>4.7573985737775937E-2</v>
      </c>
      <c r="BD131" s="1287">
        <f>IFERROR(Model!BD131/Model!BC131-1,"NA")</f>
        <v>4.902892821160787E-2</v>
      </c>
      <c r="BE131" s="1287">
        <f>IFERROR(Model!BE131/Model!BD131-1,"NA")</f>
        <v>4.8288785204023688E-2</v>
      </c>
    </row>
    <row r="132" spans="1:57" x14ac:dyDescent="0.2">
      <c r="B132" s="17" t="s">
        <v>195</v>
      </c>
      <c r="C132" s="17"/>
      <c r="D132" s="1250"/>
      <c r="E132" s="1250"/>
      <c r="F132" s="1250"/>
      <c r="G132" s="1250"/>
      <c r="H132" s="1250">
        <f>IFERROR(Model!H132/Model!D132-1,"NA")</f>
        <v>1.3190184049079789E-2</v>
      </c>
      <c r="I132" s="1250">
        <f>IFERROR(Model!I132/Model!E132-1,"NA")</f>
        <v>2.9356652092442204E-2</v>
      </c>
      <c r="J132" s="1250">
        <f>IFERROR(Model!J132/Model!F132-1,"NA")</f>
        <v>1.7744360902255618E-2</v>
      </c>
      <c r="K132" s="1250">
        <f>IFERROR(Model!K132/Model!G132-1,"NA")</f>
        <v>9.0300029129042336E-3</v>
      </c>
      <c r="L132" s="1250">
        <f>IFERROR(Model!L132/Model!H132-1,"NA")</f>
        <v>-8.4771419921283453E-3</v>
      </c>
      <c r="M132" s="1250">
        <f>IFERROR(Model!M132/Model!I132-1,"NA")</f>
        <v>1.7293689320388328E-2</v>
      </c>
      <c r="N132" s="1250">
        <f>IFERROR(Model!N132/Model!J132-1,"NA")</f>
        <v>2.5413711583924359E-2</v>
      </c>
      <c r="O132" s="1250">
        <f>IFERROR(Model!O132/Model!K132-1,"NA")</f>
        <v>-1.9630484988452657E-2</v>
      </c>
      <c r="P132" s="1250">
        <f>IFERROR(Model!P132/Model!L132-1,"NA")</f>
        <v>-4.7328244274809195E-2</v>
      </c>
      <c r="Q132" s="1250">
        <f>IFERROR(Model!Q132/Model!M132-1,"NA")</f>
        <v>-8.6191470325082009E-2</v>
      </c>
      <c r="R132" s="1250">
        <f>IFERROR(Model!R132/Model!N132-1,"NA")</f>
        <v>-0.13631123919308352</v>
      </c>
      <c r="S132" s="1250">
        <f>IFERROR(Model!S132/Model!O132-1,"NA")</f>
        <v>-0.11837455830388688</v>
      </c>
      <c r="T132" s="1250">
        <f>IFERROR(Model!T132/Model!P132-1,"NA")</f>
        <v>-8.7500000000000022E-2</v>
      </c>
      <c r="U132" s="1250">
        <f>IFERROR(Model!U132/Model!Q132-1,"NA")</f>
        <v>-4.6344647519582227E-2</v>
      </c>
      <c r="V132" s="1250">
        <f>IFERROR(Model!V132/Model!R132-1,"NA")</f>
        <v>7.4407741074407729E-2</v>
      </c>
      <c r="W132" s="1250">
        <f>IFERROR(Model!W132/Model!S132-1,"NA")</f>
        <v>7.7822311289245105E-2</v>
      </c>
      <c r="X132" s="1250">
        <f>IFERROR(Model!X132/Model!T132-1,"NA")</f>
        <v>8.1489286968738917E-2</v>
      </c>
      <c r="Y132" s="1250">
        <f>IFERROR(Model!Y132/Model!U132-1,"NA")</f>
        <v>8.5215605749486611E-2</v>
      </c>
      <c r="Z132" s="1250">
        <f>IFERROR(Model!Z132/Model!V132-1,"NA")</f>
        <v>2.3602484472049712E-2</v>
      </c>
      <c r="AA132" s="1250">
        <f>IFERROR(Model!AA132/Model!W132-1,"NA")</f>
        <v>4.8342113418035293E-2</v>
      </c>
      <c r="AB132" s="1250">
        <f>IFERROR(Model!AB132/Model!X132-1,"NA")</f>
        <v>8.6066904839233516E-2</v>
      </c>
      <c r="AC132" s="1250">
        <f>IFERROR(Model!AC132/Model!Y132-1,"NA")</f>
        <v>6.2631934094512509E-3</v>
      </c>
      <c r="AD132" s="1250">
        <f>IFERROR(Model!AD132/Model!Z132-1,"NA")</f>
        <v>2.7710886088576636E-3</v>
      </c>
      <c r="AE132" s="1250">
        <f>IFERROR(Model!AE132/Model!AA132-1,"NA")</f>
        <v>6.9382896989382825E-3</v>
      </c>
      <c r="AF132" s="1250">
        <f>IFERROR(Model!AF132/Model!AB132-1,"NA")</f>
        <v>-6.2250662563084758E-3</v>
      </c>
      <c r="AG132" s="1250">
        <f>IFERROR(Model!AG132/Model!AC132-1,"NA")</f>
        <v>6.8136866847507527E-2</v>
      </c>
      <c r="AH132" s="1250">
        <f>IFERROR(Model!AH132/Model!AD132-1,"NA")</f>
        <v>5.9507941525342778E-2</v>
      </c>
      <c r="AI132" s="1250">
        <f>IFERROR(Model!AI132/Model!AE132-1,"NA")</f>
        <v>6.9307370709289939E-2</v>
      </c>
      <c r="AJ132" s="1250"/>
      <c r="AK132" s="1250"/>
      <c r="AL132" s="1250"/>
      <c r="AM132" s="1250"/>
      <c r="AN132" s="1250"/>
      <c r="AO132" s="1250"/>
      <c r="AP132" s="1250"/>
      <c r="AQ132" s="1250"/>
      <c r="AR132" s="1236"/>
      <c r="AS132" s="1372"/>
      <c r="AT132" s="1372"/>
      <c r="AU132" s="1250"/>
      <c r="AV132" s="1250">
        <f>IFERROR(Model!AV132/Model!AU132-1,"NA")</f>
        <v>1.7170953101361519E-2</v>
      </c>
      <c r="AW132" s="1250">
        <f>IFERROR(Model!AW132/Model!AV132-1,"NA")</f>
        <v>3.4952033910908842E-3</v>
      </c>
      <c r="AX132" s="1250">
        <f>IFERROR(Model!AX132/Model!AW132-1,"NA")</f>
        <v>-9.7747146880094893E-2</v>
      </c>
      <c r="AY132" s="1250">
        <f>IFERROR(Model!AY132/Model!AX132-1,"NA")</f>
        <v>3.3675564681725501E-3</v>
      </c>
      <c r="AZ132" s="1250">
        <f>IFERROR(Model!AZ132/Model!AY132-1,"NA")</f>
        <v>5.8366077275703976E-2</v>
      </c>
      <c r="BA132" s="1250">
        <f>IFERROR(Model!BA132/Model!AZ132-1,"NA")</f>
        <v>2.4554592652770824E-2</v>
      </c>
      <c r="BB132" s="1250">
        <f>IFERROR(Model!BB132/Model!BA132-1,"NA")</f>
        <v>4.7512591750906719E-2</v>
      </c>
      <c r="BC132" s="1250">
        <f>IFERROR(Model!BC132/Model!BB132-1,"NA")</f>
        <v>5.9624152386420937E-2</v>
      </c>
      <c r="BD132" s="1250">
        <f>IFERROR(Model!BD132/Model!BC132-1,"NA")</f>
        <v>5.1010775590445645E-2</v>
      </c>
      <c r="BE132" s="1250">
        <f>IFERROR(Model!BE132/Model!BD132-1,"NA")</f>
        <v>3.7572747708116028E-2</v>
      </c>
    </row>
    <row r="133" spans="1:57" x14ac:dyDescent="0.2">
      <c r="B133" s="29" t="s">
        <v>102</v>
      </c>
      <c r="C133" s="29"/>
      <c r="D133" s="1246"/>
      <c r="E133" s="1246"/>
      <c r="F133" s="1246"/>
      <c r="G133" s="1246"/>
      <c r="H133" s="1246">
        <f>IFERROR(Model!H133/Model!D133-1,"NA")</f>
        <v>1.3413816230717579E-2</v>
      </c>
      <c r="I133" s="1246">
        <f>IFERROR(Model!I133/Model!E133-1,"NA")</f>
        <v>1.2978142076502719E-2</v>
      </c>
      <c r="J133" s="1246">
        <f>IFERROR(Model!J133/Model!F133-1,"NA")</f>
        <v>-8.4360804672291012E-3</v>
      </c>
      <c r="K133" s="1246">
        <f>IFERROR(Model!K133/Model!G133-1,"NA")</f>
        <v>8.7410306588388886E-2</v>
      </c>
      <c r="L133" s="1246">
        <f>IFERROR(Model!L133/Model!H133-1,"NA")</f>
        <v>7.544672402382524E-2</v>
      </c>
      <c r="M133" s="1246">
        <f>IFERROR(Model!M133/Model!I133-1,"NA")</f>
        <v>6.6082265677680274E-2</v>
      </c>
      <c r="N133" s="1246">
        <f>IFERROR(Model!N133/Model!J133-1,"NA")</f>
        <v>7.7225130890052451E-2</v>
      </c>
      <c r="O133" s="1246">
        <f>IFERROR(Model!O133/Model!K133-1,"NA")</f>
        <v>-3.4193161367726432E-2</v>
      </c>
      <c r="P133" s="1246">
        <f>IFERROR(Model!P133/Model!L133-1,"NA")</f>
        <v>6.1538461538461764E-3</v>
      </c>
      <c r="Q133" s="1246">
        <f>IFERROR(Model!Q133/Model!M133-1,"NA")</f>
        <v>0</v>
      </c>
      <c r="R133" s="1246">
        <f>IFERROR(Model!R133/Model!N133-1,"NA")</f>
        <v>-2.0048602673147009E-2</v>
      </c>
      <c r="S133" s="1246">
        <f>IFERROR(Model!S133/Model!O133-1,"NA")</f>
        <v>-1.0559006211180111E-2</v>
      </c>
      <c r="T133" s="1246">
        <f>IFERROR(Model!T133/Model!P133-1,"NA")</f>
        <v>2.7522935779816571E-2</v>
      </c>
      <c r="U133" s="1246">
        <f>IFERROR(Model!U133/Model!Q133-1,"NA")</f>
        <v>-4.4908285895003175E-2</v>
      </c>
      <c r="V133" s="1246">
        <f>IFERROR(Model!V133/Model!R133-1,"NA")</f>
        <v>6.1996280223186595E-4</v>
      </c>
      <c r="W133" s="1246">
        <f>IFERROR(Model!W133/Model!S133-1,"NA")</f>
        <v>-6.2774639045825031E-3</v>
      </c>
      <c r="X133" s="1246">
        <f>IFERROR(Model!X133/Model!T133-1,"NA")</f>
        <v>-5.2380952380952417E-2</v>
      </c>
      <c r="Y133" s="1246">
        <f>IFERROR(Model!Y133/Model!U133-1,"NA")</f>
        <v>4.2384105960264984E-2</v>
      </c>
      <c r="Z133" s="1246">
        <f>IFERROR(Model!Z133/Model!V133-1,"NA")</f>
        <v>2.4163568773234223E-2</v>
      </c>
      <c r="AA133" s="1246">
        <f>IFERROR(Model!AA133/Model!W133-1,"NA")</f>
        <v>1.5792798483891257E-2</v>
      </c>
      <c r="AB133" s="1246">
        <f>IFERROR(Model!AB133/Model!X133-1,"NA")</f>
        <v>1.6331658291457218E-2</v>
      </c>
      <c r="AC133" s="1246">
        <f>IFERROR(Model!AC133/Model!Y133-1,"NA")</f>
        <v>3.8478853718820982E-2</v>
      </c>
      <c r="AD133" s="1246">
        <f>IFERROR(Model!AD133/Model!Z133-1,"NA")</f>
        <v>4.7860641515219404E-2</v>
      </c>
      <c r="AE133" s="1246">
        <f>IFERROR(Model!AE133/Model!AA133-1,"NA")</f>
        <v>4.5444835395794581E-2</v>
      </c>
      <c r="AF133" s="1246">
        <f>IFERROR(Model!AF133/Model!AB133-1,"NA")</f>
        <v>7.3214582965931196E-2</v>
      </c>
      <c r="AG133" s="1246">
        <f>IFERROR(Model!AG133/Model!AC133-1,"NA")</f>
        <v>4.907461240526878E-2</v>
      </c>
      <c r="AH133" s="1246">
        <f>IFERROR(Model!AH133/Model!AD133-1,"NA")</f>
        <v>3.6309540209393365E-2</v>
      </c>
      <c r="AI133" s="1246">
        <f>IFERROR(Model!AI133/Model!AE133-1,"NA")</f>
        <v>1.8468298547655859E-2</v>
      </c>
      <c r="AJ133" s="1236"/>
      <c r="AK133" s="1236"/>
      <c r="AL133" s="1236"/>
      <c r="AM133" s="1236"/>
      <c r="AN133" s="1236"/>
      <c r="AO133" s="1236"/>
      <c r="AP133" s="1236"/>
      <c r="AQ133" s="1236"/>
      <c r="AR133" s="1236"/>
      <c r="AS133" s="1373"/>
      <c r="AT133" s="1373"/>
      <c r="AU133" s="1246"/>
      <c r="AV133" s="1246">
        <f>IFERROR(Model!AV133/Model!AU133-1,"NA")</f>
        <v>2.6538397744236164E-2</v>
      </c>
      <c r="AW133" s="1246">
        <f>IFERROR(Model!AW133/Model!AV133-1,"NA")</f>
        <v>4.4110518662142439E-2</v>
      </c>
      <c r="AX133" s="1246">
        <f>IFERROR(Model!AX133/Model!AW133-1,"NA")</f>
        <v>-6.1900340451872538E-3</v>
      </c>
      <c r="AY133" s="1246">
        <f>IFERROR(Model!AY133/Model!AX133-1,"NA")</f>
        <v>-5.4500155714730658E-3</v>
      </c>
      <c r="AZ133" s="1246">
        <f>IFERROR(Model!AZ133/Model!AY133-1,"NA")</f>
        <v>6.2627211523407222E-3</v>
      </c>
      <c r="BA133" s="1246">
        <f>IFERROR(Model!BA133/Model!AZ133-1,"NA")</f>
        <v>3.7148693246385367E-2</v>
      </c>
      <c r="BB133" s="1246">
        <f>IFERROR(Model!BB133/Model!BA133-1,"NA")</f>
        <v>4.3898364071057072E-2</v>
      </c>
      <c r="BC133" s="1246">
        <f>IFERROR(Model!BC133/Model!BB133-1,"NA")</f>
        <v>2.919067195199565E-2</v>
      </c>
      <c r="BD133" s="1246">
        <f>IFERROR(Model!BD133/Model!BC133-1,"NA")</f>
        <v>4.0000000000000036E-2</v>
      </c>
      <c r="BE133" s="1246">
        <f>IFERROR(Model!BE133/Model!BD133-1,"NA")</f>
        <v>4.0000000000000036E-2</v>
      </c>
    </row>
    <row r="134" spans="1:57" x14ac:dyDescent="0.2">
      <c r="B134" s="17"/>
      <c r="C134" s="17" t="s">
        <v>643</v>
      </c>
      <c r="D134" s="1250"/>
      <c r="E134" s="1250"/>
      <c r="F134" s="1250"/>
      <c r="G134" s="1250"/>
      <c r="H134" s="1250">
        <f>IFERROR(Model!H134/Model!D134-1,"NA")</f>
        <v>7.4549833696524459E-3</v>
      </c>
      <c r="I134" s="1250">
        <f>IFERROR(Model!I134/Model!E134-1,"NA")</f>
        <v>2.563202247191021E-2</v>
      </c>
      <c r="J134" s="1250">
        <f>IFERROR(Model!J134/Model!F134-1,"NA")</f>
        <v>-7.0246085011185677E-2</v>
      </c>
      <c r="K134" s="1250">
        <f>IFERROR(Model!K134/Model!G134-1,"NA")</f>
        <v>-5.0289274588339983E-2</v>
      </c>
      <c r="L134" s="1250">
        <f>IFERROR(Model!L134/Model!H134-1,"NA")</f>
        <v>-4.7586520947176636E-2</v>
      </c>
      <c r="M134" s="1250">
        <f>IFERROR(Model!M134/Model!I134-1,"NA")</f>
        <v>-3.2294876183955212E-2</v>
      </c>
      <c r="N134" s="1250">
        <f>IFERROR(Model!N134/Model!J134-1,"NA")</f>
        <v>5.4499518768046151E-2</v>
      </c>
      <c r="O134" s="1250">
        <f>IFERROR(Model!O134/Model!K134-1,"NA")</f>
        <v>1.1715089034676662E-2</v>
      </c>
      <c r="P134" s="1250">
        <f>IFERROR(Model!P134/Model!L134-1,"NA")</f>
        <v>-1.5300023906287374E-2</v>
      </c>
      <c r="Q134" s="1250">
        <f>IFERROR(Model!Q134/Model!M134-1,"NA")</f>
        <v>-4.1509433962264142E-2</v>
      </c>
      <c r="R134" s="1250">
        <f>IFERROR(Model!R134/Model!N134-1,"NA")</f>
        <v>-7.9178551055333668E-2</v>
      </c>
      <c r="S134" s="1250">
        <f>IFERROR(Model!S134/Model!O134-1,"NA")</f>
        <v>-9.518295507179253E-2</v>
      </c>
      <c r="T134" s="1250">
        <f>IFERROR(Model!T134/Model!P134-1,"NA")</f>
        <v>-6.3607671764991491E-2</v>
      </c>
      <c r="U134" s="1250">
        <f>IFERROR(Model!U134/Model!Q134-1,"NA")</f>
        <v>-5.5856299212598381E-2</v>
      </c>
      <c r="V134" s="1250">
        <f>IFERROR(Model!V134/Model!R134-1,"NA")</f>
        <v>1.1522735720480792E-2</v>
      </c>
      <c r="W134" s="1250">
        <f>IFERROR(Model!W134/Model!S134-1,"NA")</f>
        <v>1.958024059380592E-2</v>
      </c>
      <c r="X134" s="1250">
        <f>IFERROR(Model!X134/Model!T134-1,"NA")</f>
        <v>1.7111744879440005E-2</v>
      </c>
      <c r="Y134" s="1250">
        <f>IFERROR(Model!Y134/Model!U134-1,"NA")</f>
        <v>5.1993745113369849E-2</v>
      </c>
      <c r="Z134" s="1250">
        <f>IFERROR(Model!Z134/Model!V134-1,"NA")</f>
        <v>3.7481626653601108E-2</v>
      </c>
      <c r="AA134" s="1250">
        <f>IFERROR(Model!AA134/Model!W134-1,"NA")</f>
        <v>6.049956068783735E-2</v>
      </c>
      <c r="AB134" s="1250">
        <f>IFERROR(Model!AB134/Model!X134-1,"NA")</f>
        <v>7.4815192454753987E-2</v>
      </c>
      <c r="AC134" s="1250">
        <f>IFERROR(Model!AC134/Model!Y134-1,"NA")</f>
        <v>3.7351646245136427E-2</v>
      </c>
      <c r="AD134" s="1250">
        <f>IFERROR(Model!AD134/Model!Z134-1,"NA")</f>
        <v>2.5667645811001005E-2</v>
      </c>
      <c r="AE134" s="1250">
        <f>IFERROR(Model!AE134/Model!AA134-1,"NA")</f>
        <v>3.9393460440794836E-2</v>
      </c>
      <c r="AF134" s="1250">
        <f>IFERROR(Model!AF134/Model!AB134-1,"NA")</f>
        <v>2.7583280847791602E-2</v>
      </c>
      <c r="AG134" s="1250">
        <f>IFERROR(Model!AG134/Model!AC134-1,"NA")</f>
        <v>5.4176919407433299E-2</v>
      </c>
      <c r="AH134" s="1250">
        <f>IFERROR(Model!AH134/Model!AD134-1,"NA")</f>
        <v>5.1262403716309635E-2</v>
      </c>
      <c r="AI134" s="1250">
        <f>IFERROR(Model!AI134/Model!AE134-1,"NA")</f>
        <v>5.1285424095401488E-2</v>
      </c>
      <c r="AJ134" s="1250"/>
      <c r="AK134" s="1250"/>
      <c r="AL134" s="1250"/>
      <c r="AM134" s="1250"/>
      <c r="AN134" s="1250"/>
      <c r="AO134" s="1250"/>
      <c r="AP134" s="1250"/>
      <c r="AQ134" s="1250"/>
      <c r="AR134" s="1236"/>
      <c r="AS134" s="1372"/>
      <c r="AT134" s="1372"/>
      <c r="AU134" s="1250"/>
      <c r="AV134" s="1250">
        <f>IFERROR(Model!AV134/Model!AU134-1,"NA")</f>
        <v>-2.261941973800119E-2</v>
      </c>
      <c r="AW134" s="1250">
        <f>IFERROR(Model!AW134/Model!AV134-1,"NA")</f>
        <v>-4.3029510103212987E-3</v>
      </c>
      <c r="AX134" s="1250">
        <f>IFERROR(Model!AX134/Model!AW134-1,"NA")</f>
        <v>-5.8282477297281532E-2</v>
      </c>
      <c r="AY134" s="1250">
        <f>IFERROR(Model!AY134/Model!AX134-1,"NA")</f>
        <v>-2.2696970636569391E-2</v>
      </c>
      <c r="AZ134" s="1250">
        <f>IFERROR(Model!AZ134/Model!AY134-1,"NA")</f>
        <v>4.1847774358323653E-2</v>
      </c>
      <c r="BA134" s="1250">
        <f>IFERROR(Model!BA134/Model!AZ134-1,"NA")</f>
        <v>4.3814487709983529E-2</v>
      </c>
      <c r="BB134" s="1250">
        <f>IFERROR(Model!BB134/Model!BA134-1,"NA")</f>
        <v>4.6154684921008826E-2</v>
      </c>
      <c r="BC134" s="1250">
        <f>IFERROR(Model!BC134/Model!BB134-1,"NA")</f>
        <v>4.8669623800388306E-2</v>
      </c>
      <c r="BD134" s="1250">
        <f>IFERROR(Model!BD134/Model!BC134-1,"NA")</f>
        <v>4.8084319078866677E-2</v>
      </c>
      <c r="BE134" s="1250">
        <f>IFERROR(Model!BE134/Model!BD134-1,"NA")</f>
        <v>4.2520738817007686E-2</v>
      </c>
    </row>
    <row r="135" spans="1:57" s="146" customFormat="1" x14ac:dyDescent="0.2">
      <c r="A135" s="831"/>
      <c r="B135" s="39"/>
      <c r="C135" s="39" t="s">
        <v>237</v>
      </c>
      <c r="D135" s="1403"/>
      <c r="E135" s="1403"/>
      <c r="F135" s="1403"/>
      <c r="G135" s="1403"/>
      <c r="H135" s="1403"/>
      <c r="I135" s="1403"/>
      <c r="J135" s="1403"/>
      <c r="K135" s="1403"/>
      <c r="L135" s="1403"/>
      <c r="M135" s="1403"/>
      <c r="N135" s="1403"/>
      <c r="O135" s="1403"/>
      <c r="P135" s="1403"/>
      <c r="Q135" s="1403"/>
      <c r="R135" s="1403"/>
      <c r="S135" s="1403"/>
      <c r="T135" s="1403"/>
      <c r="U135" s="1403"/>
      <c r="V135" s="1403"/>
      <c r="W135" s="1403"/>
      <c r="X135" s="1403"/>
      <c r="Y135" s="1403"/>
      <c r="Z135" s="1403"/>
      <c r="AA135" s="1403"/>
      <c r="AB135" s="1403"/>
      <c r="AC135" s="1403"/>
      <c r="AD135" s="1403"/>
      <c r="AE135" s="1403"/>
      <c r="AF135" s="1403"/>
      <c r="AG135" s="1403"/>
      <c r="AH135" s="1403"/>
      <c r="AI135" s="1403"/>
      <c r="AJ135" s="1403"/>
      <c r="AK135" s="1403"/>
      <c r="AL135" s="1403"/>
      <c r="AM135" s="1403"/>
      <c r="AN135" s="1403"/>
      <c r="AO135" s="1403"/>
      <c r="AP135" s="1403"/>
      <c r="AQ135" s="1403"/>
      <c r="AR135" s="1236"/>
      <c r="AS135" s="1404"/>
      <c r="AT135" s="1404"/>
      <c r="AU135" s="1403"/>
      <c r="AV135" s="1403"/>
      <c r="AW135" s="1403"/>
      <c r="AX135" s="1403"/>
      <c r="AY135" s="1403"/>
      <c r="AZ135" s="1403"/>
      <c r="BA135" s="1403"/>
      <c r="BB135" s="1403"/>
      <c r="BC135" s="1403"/>
      <c r="BD135" s="1403"/>
      <c r="BE135" s="1403"/>
    </row>
    <row r="136" spans="1:57" x14ac:dyDescent="0.2">
      <c r="B136" s="322"/>
      <c r="C136" s="16"/>
      <c r="D136" s="1250"/>
      <c r="E136" s="1250"/>
      <c r="F136" s="1250"/>
      <c r="G136" s="1250"/>
      <c r="H136" s="1250"/>
      <c r="I136" s="1250"/>
      <c r="J136" s="1250"/>
      <c r="K136" s="1250"/>
      <c r="L136" s="1250"/>
      <c r="M136" s="1250"/>
      <c r="N136" s="1250"/>
      <c r="O136" s="1250"/>
      <c r="P136" s="1250"/>
      <c r="Q136" s="1250"/>
      <c r="R136" s="1250"/>
      <c r="S136" s="1250"/>
      <c r="T136" s="1250"/>
      <c r="U136" s="1250"/>
      <c r="V136" s="1250"/>
      <c r="W136" s="1250"/>
      <c r="X136" s="1250"/>
      <c r="Y136" s="1250"/>
      <c r="Z136" s="1250"/>
      <c r="AA136" s="1250"/>
      <c r="AB136" s="1250"/>
      <c r="AC136" s="1250"/>
      <c r="AD136" s="1250"/>
      <c r="AE136" s="1250"/>
      <c r="AF136" s="1250"/>
      <c r="AG136" s="1250"/>
      <c r="AH136" s="1250"/>
      <c r="AI136" s="1250"/>
      <c r="AJ136" s="1250"/>
      <c r="AK136" s="1250"/>
      <c r="AL136" s="1250"/>
      <c r="AM136" s="1250"/>
      <c r="AN136" s="1250"/>
      <c r="AO136" s="1250"/>
      <c r="AP136" s="1250"/>
      <c r="AQ136" s="1250"/>
      <c r="AR136" s="1236"/>
      <c r="AS136" s="1248"/>
      <c r="AT136" s="1371"/>
      <c r="AU136" s="1236"/>
      <c r="AV136" s="1236"/>
      <c r="AW136" s="1236"/>
      <c r="AX136" s="1236"/>
      <c r="AY136" s="1236"/>
      <c r="AZ136" s="1236"/>
      <c r="BA136" s="1236"/>
      <c r="BB136" s="1236"/>
      <c r="BC136" s="1236"/>
      <c r="BD136" s="1236"/>
      <c r="BE136" s="1236"/>
    </row>
    <row r="137" spans="1:57" x14ac:dyDescent="0.2">
      <c r="B137" s="11" t="s">
        <v>632</v>
      </c>
      <c r="C137" s="11"/>
      <c r="D137" s="1399"/>
      <c r="E137" s="1398"/>
      <c r="F137" s="1398"/>
      <c r="G137" s="1398"/>
      <c r="H137" s="1398"/>
      <c r="I137" s="1398"/>
      <c r="J137" s="1398"/>
      <c r="K137" s="1398"/>
      <c r="L137" s="1398"/>
      <c r="M137" s="1398"/>
      <c r="N137" s="1398"/>
      <c r="O137" s="1398"/>
      <c r="P137" s="1398"/>
      <c r="Q137" s="1398"/>
      <c r="R137" s="1398"/>
      <c r="S137" s="1398"/>
      <c r="T137" s="1398"/>
      <c r="U137" s="1398"/>
      <c r="V137" s="1398"/>
      <c r="W137" s="1398"/>
      <c r="X137" s="1398"/>
      <c r="Y137" s="1398"/>
      <c r="Z137" s="1398"/>
      <c r="AA137" s="1398"/>
      <c r="AB137" s="1398"/>
      <c r="AC137" s="1398"/>
      <c r="AD137" s="1398"/>
      <c r="AE137" s="1398"/>
      <c r="AF137" s="1398"/>
      <c r="AG137" s="1398"/>
      <c r="AH137" s="1398"/>
      <c r="AI137" s="1398"/>
      <c r="AJ137" s="1398"/>
      <c r="AK137" s="1398"/>
      <c r="AL137" s="1398"/>
      <c r="AM137" s="1398"/>
      <c r="AN137" s="1398"/>
      <c r="AO137" s="1398"/>
      <c r="AP137" s="1398"/>
      <c r="AQ137" s="1398"/>
      <c r="AR137" s="1236"/>
      <c r="AS137" s="1399"/>
      <c r="AT137" s="1399"/>
      <c r="AU137" s="1398"/>
      <c r="AV137" s="1398"/>
      <c r="AW137" s="1398"/>
      <c r="AX137" s="1398"/>
      <c r="AY137" s="1398"/>
      <c r="AZ137" s="1398"/>
      <c r="BA137" s="1398"/>
      <c r="BB137" s="1398"/>
      <c r="BC137" s="1398"/>
      <c r="BD137" s="1398"/>
      <c r="BE137" s="1398"/>
    </row>
    <row r="138" spans="1:57" x14ac:dyDescent="0.2">
      <c r="B138" s="16" t="s">
        <v>639</v>
      </c>
      <c r="C138" s="16"/>
      <c r="D138" s="1250"/>
      <c r="E138" s="1250"/>
      <c r="F138" s="1250"/>
      <c r="G138" s="1250"/>
      <c r="H138" s="1250"/>
      <c r="I138" s="1250"/>
      <c r="J138" s="1250"/>
      <c r="K138" s="1250"/>
      <c r="L138" s="1250"/>
      <c r="M138" s="1250"/>
      <c r="N138" s="1250"/>
      <c r="O138" s="1250"/>
      <c r="P138" s="1250"/>
      <c r="Q138" s="1250"/>
      <c r="R138" s="1250"/>
      <c r="S138" s="1250"/>
      <c r="T138" s="1250"/>
      <c r="U138" s="1250"/>
      <c r="V138" s="1250"/>
      <c r="W138" s="1250"/>
      <c r="X138" s="1250"/>
      <c r="Y138" s="1250"/>
      <c r="Z138" s="1250"/>
      <c r="AA138" s="1250"/>
      <c r="AB138" s="1250"/>
      <c r="AC138" s="1250"/>
      <c r="AD138" s="1250"/>
      <c r="AE138" s="1250"/>
      <c r="AF138" s="1250"/>
      <c r="AG138" s="1250"/>
      <c r="AH138" s="1250"/>
      <c r="AI138" s="1250"/>
      <c r="AJ138" s="1250"/>
      <c r="AK138" s="1250"/>
      <c r="AL138" s="1250"/>
      <c r="AM138" s="1250"/>
      <c r="AN138" s="1250"/>
      <c r="AO138" s="1250"/>
      <c r="AP138" s="1250"/>
      <c r="AQ138" s="1250"/>
      <c r="AR138" s="1236"/>
      <c r="AS138" s="1371"/>
      <c r="AT138" s="1371"/>
      <c r="AU138" s="1236"/>
      <c r="AV138" s="1236"/>
      <c r="AW138" s="1236"/>
      <c r="AX138" s="1236"/>
      <c r="AY138" s="1236"/>
      <c r="AZ138" s="1236"/>
      <c r="BA138" s="1236"/>
      <c r="BB138" s="1236"/>
      <c r="BC138" s="1236"/>
      <c r="BD138" s="1236"/>
      <c r="BE138" s="1236"/>
    </row>
    <row r="139" spans="1:57" x14ac:dyDescent="0.2">
      <c r="B139" s="17" t="s">
        <v>76</v>
      </c>
      <c r="C139" s="17"/>
      <c r="D139" s="1287"/>
      <c r="E139" s="1287"/>
      <c r="F139" s="1287"/>
      <c r="G139" s="1287"/>
      <c r="H139" s="1287">
        <f>IFERROR(Model!H139/Model!D139-1,"NA")</f>
        <v>-1.2564249000571071E-2</v>
      </c>
      <c r="I139" s="1287">
        <f>IFERROR(Model!I139/Model!E139-1,"NA")</f>
        <v>-1.0798303123794817E-2</v>
      </c>
      <c r="J139" s="1287">
        <f>IFERROR(Model!J139/Model!F139-1,"NA")</f>
        <v>-0.11752841950861748</v>
      </c>
      <c r="K139" s="1287">
        <f>IFERROR(Model!K139/Model!G139-1,"NA")</f>
        <v>-8.4089646230783521E-2</v>
      </c>
      <c r="L139" s="1287">
        <f>IFERROR(Model!L139/Model!H139-1,"NA")</f>
        <v>-6.3813379602853271E-2</v>
      </c>
      <c r="M139" s="1287">
        <f>IFERROR(Model!M139/Model!I139-1,"NA")</f>
        <v>-5.3411306042885021E-2</v>
      </c>
      <c r="N139" s="1287">
        <f>IFERROR(Model!N139/Model!J139-1,"NA")</f>
        <v>5.3397049657178508E-2</v>
      </c>
      <c r="O139" s="1287">
        <f>IFERROR(Model!O139/Model!K139-1,"NA")</f>
        <v>4.4489383215368994E-2</v>
      </c>
      <c r="P139" s="1287">
        <f>IFERROR(Model!P139/Model!L139-1,"NA")</f>
        <v>3.13014827018121E-2</v>
      </c>
      <c r="Q139" s="1287">
        <f>IFERROR(Model!Q139/Model!M139-1,"NA")</f>
        <v>-1.6474464579900872E-3</v>
      </c>
      <c r="R139" s="1287">
        <f>IFERROR(Model!R139/Model!N139-1,"NA")</f>
        <v>-4.5364891518737682E-2</v>
      </c>
      <c r="S139" s="1287">
        <f>IFERROR(Model!S139/Model!O139-1,"NA")</f>
        <v>-6.6989351403678565E-2</v>
      </c>
      <c r="T139" s="1287">
        <f>IFERROR(Model!T139/Model!P139-1,"NA")</f>
        <v>-3.5543130990415284E-2</v>
      </c>
      <c r="U139" s="1287">
        <f>IFERROR(Model!U139/Model!Q139-1,"NA")</f>
        <v>-2.8671617161716179E-2</v>
      </c>
      <c r="V139" s="1287">
        <f>IFERROR(Model!V139/Model!R139-1,"NA")</f>
        <v>6.6322314049586772E-2</v>
      </c>
      <c r="W139" s="1287">
        <f>IFERROR(Model!W139/Model!S139-1,"NA")</f>
        <v>4.9802863664660801E-2</v>
      </c>
      <c r="X139" s="1287">
        <f>IFERROR(Model!X139/Model!T139-1,"NA")</f>
        <v>2.3809523809523725E-2</v>
      </c>
      <c r="Y139" s="1287">
        <f>IFERROR(Model!Y139/Model!U139-1,"NA")</f>
        <v>5.0329156933531571E-2</v>
      </c>
      <c r="Z139" s="1287">
        <f>IFERROR(Model!Z139/Model!V139-1,"NA")</f>
        <v>6.9753923658206762E-3</v>
      </c>
      <c r="AA139" s="1287">
        <f>IFERROR(Model!AA139/Model!W139-1,"NA")</f>
        <v>2.4313105356789988E-2</v>
      </c>
      <c r="AB139" s="1287">
        <f>IFERROR(Model!AB139/Model!X139-1,"NA")</f>
        <v>4.2871587462082861E-2</v>
      </c>
      <c r="AC139" s="1287">
        <f>IFERROR(Model!AC139/Model!Y139-1,"NA")</f>
        <v>9.4265457350342086E-3</v>
      </c>
      <c r="AD139" s="1287">
        <f>IFERROR(Model!AD139/Model!Z139-1,"NA")</f>
        <v>2.0246590034822542E-3</v>
      </c>
      <c r="AE139" s="1287">
        <f>IFERROR(Model!AE139/Model!AA139-1,"NA")</f>
        <v>9.1435493487255215E-3</v>
      </c>
      <c r="AF139" s="1287">
        <f>IFERROR(Model!AF139/Model!AB139-1,"NA")</f>
        <v>7.5742446580322476E-3</v>
      </c>
      <c r="AG139" s="1287">
        <f>IFERROR(Model!AG139/Model!AC139-1,"NA")</f>
        <v>5.5166913535962925E-2</v>
      </c>
      <c r="AH139" s="1287">
        <f>IFERROR(Model!AH139/Model!AD139-1,"NA")</f>
        <v>4.5778013277550933E-2</v>
      </c>
      <c r="AI139" s="1287">
        <f>IFERROR(Model!AI139/Model!AE139-1,"NA")</f>
        <v>4.5703121114148093E-2</v>
      </c>
      <c r="AJ139" s="1287"/>
      <c r="AK139" s="1287"/>
      <c r="AL139" s="1287"/>
      <c r="AM139" s="1287"/>
      <c r="AN139" s="1287"/>
      <c r="AO139" s="1287"/>
      <c r="AP139" s="1287"/>
      <c r="AQ139" s="1287"/>
      <c r="AR139" s="1236"/>
      <c r="AS139" s="1372"/>
      <c r="AT139" s="1372"/>
      <c r="AU139" s="1236"/>
      <c r="AV139" s="1236">
        <f>IFERROR(Model!AV139/Model!AU139-1,"NA")</f>
        <v>-5.7157617884651457E-2</v>
      </c>
      <c r="AW139" s="1236">
        <f>IFERROR(Model!AW139/Model!AV139-1,"NA")</f>
        <v>-6.3760896637609088E-3</v>
      </c>
      <c r="AX139" s="1236">
        <f>IFERROR(Model!AX139/Model!AW139-1,"NA")</f>
        <v>-2.1657392089035943E-2</v>
      </c>
      <c r="AY139" s="1236">
        <f>IFERROR(Model!AY139/Model!AX139-1,"NA")</f>
        <v>1.2503202664617019E-2</v>
      </c>
      <c r="AZ139" s="1236">
        <f>IFERROR(Model!AZ139/Model!AY139-1,"NA")</f>
        <v>2.5861632673718216E-2</v>
      </c>
      <c r="BA139" s="1236">
        <f>IFERROR(Model!BA139/Model!AZ139-1,"NA")</f>
        <v>1.5615575765746126E-2</v>
      </c>
      <c r="BB139" s="1287">
        <f>IFERROR(Model!BB139/Model!BA139-1,"NA")</f>
        <v>3.846579284716678E-2</v>
      </c>
      <c r="BC139" s="1287">
        <f>IFERROR(Model!BC139/Model!BB139-1,"NA")</f>
        <v>4.6318427000723306E-2</v>
      </c>
      <c r="BD139" s="1287">
        <f>IFERROR(Model!BD139/Model!BC139-1,"NA")</f>
        <v>4.470868279063045E-2</v>
      </c>
      <c r="BE139" s="1287">
        <f>IFERROR(Model!BE139/Model!BD139-1,"NA")</f>
        <v>4.2923198272123431E-2</v>
      </c>
    </row>
    <row r="140" spans="1:57" x14ac:dyDescent="0.2">
      <c r="B140" s="17" t="s">
        <v>238</v>
      </c>
      <c r="C140" s="17"/>
      <c r="D140" s="1287"/>
      <c r="E140" s="1287"/>
      <c r="F140" s="1287"/>
      <c r="G140" s="1287"/>
      <c r="H140" s="1287">
        <f>IFERROR(Model!H140/Model!D140-1,"NA")</f>
        <v>9.510682288077188E-2</v>
      </c>
      <c r="I140" s="1287">
        <f>IFERROR(Model!I140/Model!E140-1,"NA")</f>
        <v>0.1591397849462366</v>
      </c>
      <c r="J140" s="1287">
        <f>IFERROR(Model!J140/Model!F140-1,"NA")</f>
        <v>7.1621621621621667E-2</v>
      </c>
      <c r="K140" s="1287">
        <f>IFERROR(Model!K140/Model!G140-1,"NA")</f>
        <v>8.0614203454894451E-2</v>
      </c>
      <c r="L140" s="1287">
        <f>IFERROR(Model!L140/Model!H140-1,"NA")</f>
        <v>-1.5733165512901159E-2</v>
      </c>
      <c r="M140" s="1287">
        <f>IFERROR(Model!M140/Model!I140-1,"NA")</f>
        <v>5.5658627087198376E-3</v>
      </c>
      <c r="N140" s="1287">
        <f>IFERROR(Model!N140/Model!J140-1,"NA")</f>
        <v>6.3682219419924246E-2</v>
      </c>
      <c r="O140" s="1287">
        <f>IFERROR(Model!O140/Model!K140-1,"NA")</f>
        <v>-3.3747779751332141E-2</v>
      </c>
      <c r="P140" s="1287">
        <f>IFERROR(Model!P140/Model!L140-1,"NA")</f>
        <v>-9.2071611253196961E-2</v>
      </c>
      <c r="Q140" s="1287">
        <f>IFERROR(Model!Q140/Model!M140-1,"NA")</f>
        <v>-0.12669126691266908</v>
      </c>
      <c r="R140" s="1287">
        <f>IFERROR(Model!R140/Model!N140-1,"NA")</f>
        <v>-9.1286307053941917E-2</v>
      </c>
      <c r="S140" s="1287">
        <f>IFERROR(Model!S140/Model!O140-1,"NA")</f>
        <v>-0.17340686274509809</v>
      </c>
      <c r="T140" s="1287">
        <f>IFERROR(Model!T140/Model!P140-1,"NA")</f>
        <v>-0.13450704225352117</v>
      </c>
      <c r="U140" s="1287">
        <f>IFERROR(Model!U140/Model!Q140-1,"NA")</f>
        <v>-0.12957746478873244</v>
      </c>
      <c r="V140" s="1287">
        <f>IFERROR(Model!V140/Model!R140-1,"NA")</f>
        <v>-0.18786692759295498</v>
      </c>
      <c r="W140" s="1287">
        <f>IFERROR(Model!W140/Model!S140-1,"NA")</f>
        <v>-0.10155670867309119</v>
      </c>
      <c r="X140" s="1287">
        <f>IFERROR(Model!X140/Model!T140-1,"NA")</f>
        <v>-5.0447518307567107E-2</v>
      </c>
      <c r="Y140" s="1287">
        <f>IFERROR(Model!Y140/Model!U140-1,"NA")</f>
        <v>5.8252427184465994E-2</v>
      </c>
      <c r="Z140" s="1287">
        <f>IFERROR(Model!Z140/Model!V140-1,"NA")</f>
        <v>0.11485943775100393</v>
      </c>
      <c r="AA140" s="1287">
        <f>IFERROR(Model!AA140/Model!W140-1,"NA")</f>
        <v>0.12128712871287139</v>
      </c>
      <c r="AB140" s="1287">
        <f>IFERROR(Model!AB140/Model!X140-1,"NA")</f>
        <v>0.15424164524421591</v>
      </c>
      <c r="AC140" s="1287">
        <f>IFERROR(Model!AC140/Model!Y140-1,"NA")</f>
        <v>6.2914466298018557E-2</v>
      </c>
      <c r="AD140" s="1287">
        <f>IFERROR(Model!AD140/Model!Z140-1,"NA")</f>
        <v>3.357295663416382E-2</v>
      </c>
      <c r="AE140" s="1287">
        <f>IFERROR(Model!AE140/Model!AA140-1,"NA")</f>
        <v>8.4022856679065061E-2</v>
      </c>
      <c r="AF140" s="1287">
        <f>IFERROR(Model!AF140/Model!AB140-1,"NA")</f>
        <v>5.998827061939771E-2</v>
      </c>
      <c r="AG140" s="1287">
        <f>IFERROR(Model!AG140/Model!AC140-1,"NA")</f>
        <v>5.5060994880449465E-2</v>
      </c>
      <c r="AH140" s="1287">
        <f>IFERROR(Model!AH140/Model!AD140-1,"NA")</f>
        <v>4.7677405337246404E-2</v>
      </c>
      <c r="AI140" s="1287">
        <f>IFERROR(Model!AI140/Model!AE140-1,"NA")</f>
        <v>4.5224339747612197E-2</v>
      </c>
      <c r="AJ140" s="1287"/>
      <c r="AK140" s="1287"/>
      <c r="AL140" s="1287"/>
      <c r="AM140" s="1287"/>
      <c r="AN140" s="1287"/>
      <c r="AO140" s="1287"/>
      <c r="AP140" s="1287"/>
      <c r="AQ140" s="1287"/>
      <c r="AR140" s="1236"/>
      <c r="AS140" s="1372"/>
      <c r="AT140" s="1372"/>
      <c r="AU140" s="1236"/>
      <c r="AV140" s="1236">
        <f>IFERROR(Model!AV140/Model!AU140-1,"NA")</f>
        <v>0.10052640516216682</v>
      </c>
      <c r="AW140" s="1236">
        <f>IFERROR(Model!AW140/Model!AV140-1,"NA")</f>
        <v>4.3203209381268426E-3</v>
      </c>
      <c r="AX140" s="1236">
        <f>IFERROR(Model!AX140/Model!AW140-1,"NA")</f>
        <v>-0.12090950990935623</v>
      </c>
      <c r="AY140" s="1236">
        <f>IFERROR(Model!AY140/Model!AX140-1,"NA")</f>
        <v>-0.13981125480601186</v>
      </c>
      <c r="AZ140" s="1236">
        <f>IFERROR(Model!AZ140/Model!AY140-1,"NA")</f>
        <v>6.0950832994717485E-2</v>
      </c>
      <c r="BA140" s="1236">
        <f>IFERROR(Model!BA140/Model!AZ140-1,"NA")</f>
        <v>8.1018469542871951E-2</v>
      </c>
      <c r="BB140" s="1287">
        <f>IFERROR(Model!BB140/Model!BA140-1,"NA")</f>
        <v>5.1793248479768295E-2</v>
      </c>
      <c r="BC140" s="1287">
        <f>IFERROR(Model!BC140/Model!BB140-1,"NA")</f>
        <v>4.1368109780571816E-2</v>
      </c>
      <c r="BD140" s="1287">
        <f>IFERROR(Model!BD140/Model!BC140-1,"NA")</f>
        <v>4.7288331569509623E-2</v>
      </c>
      <c r="BE140" s="1287">
        <f>IFERROR(Model!BE140/Model!BD140-1,"NA")</f>
        <v>1.97709180868475E-2</v>
      </c>
    </row>
    <row r="141" spans="1:57" x14ac:dyDescent="0.2">
      <c r="B141" s="29" t="s">
        <v>239</v>
      </c>
      <c r="C141" s="29"/>
      <c r="D141" s="1289"/>
      <c r="E141" s="1289"/>
      <c r="F141" s="1289"/>
      <c r="G141" s="1289"/>
      <c r="H141" s="1289">
        <f>IFERROR(Model!H141/Model!D141-1,"NA")</f>
        <v>-3.4739454094292466E-3</v>
      </c>
      <c r="I141" s="1289">
        <f>IFERROR(Model!I141/Model!E141-1,"NA")</f>
        <v>2.6999490575649432E-2</v>
      </c>
      <c r="J141" s="1289">
        <f>IFERROR(Model!J141/Model!F141-1,"NA")</f>
        <v>-4.6360917248255196E-2</v>
      </c>
      <c r="K141" s="1289">
        <f>IFERROR(Model!K141/Model!G141-1,"NA")</f>
        <v>-6.1204343534057237E-2</v>
      </c>
      <c r="L141" s="1289">
        <f>IFERROR(Model!L141/Model!H141-1,"NA")</f>
        <v>-3.0876494023904355E-2</v>
      </c>
      <c r="M141" s="1289">
        <f>IFERROR(Model!M141/Model!I141-1,"NA")</f>
        <v>-8.9285714285713969E-3</v>
      </c>
      <c r="N141" s="1289">
        <f>IFERROR(Model!N141/Model!J141-1,"NA")</f>
        <v>4.9660219550444307E-2</v>
      </c>
      <c r="O141" s="1289">
        <f>IFERROR(Model!O141/Model!K141-1,"NA")</f>
        <v>-3.3123028391167209E-2</v>
      </c>
      <c r="P141" s="1289">
        <f>IFERROR(Model!P141/Model!L141-1,"NA")</f>
        <v>-6.9886947584789305E-2</v>
      </c>
      <c r="Q141" s="1289">
        <f>IFERROR(Model!Q141/Model!M141-1,"NA")</f>
        <v>-6.9069069069069067E-2</v>
      </c>
      <c r="R141" s="1289">
        <f>IFERROR(Model!R141/Model!N141-1,"NA")</f>
        <v>-0.15438247011952189</v>
      </c>
      <c r="S141" s="1289">
        <f>IFERROR(Model!S141/Model!O141-1,"NA")</f>
        <v>-0.10494834148994014</v>
      </c>
      <c r="T141" s="1289">
        <f>IFERROR(Model!T141/Model!P141-1,"NA")</f>
        <v>-8.5635359116022047E-2</v>
      </c>
      <c r="U141" s="1289">
        <f>IFERROR(Model!U141/Model!Q141-1,"NA")</f>
        <v>-7.0430107526881724E-2</v>
      </c>
      <c r="V141" s="1289">
        <f>IFERROR(Model!V141/Model!R141-1,"NA")</f>
        <v>3.5335689045936425E-2</v>
      </c>
      <c r="W141" s="1289">
        <f>IFERROR(Model!W141/Model!S141-1,"NA")</f>
        <v>3.037667071688932E-2</v>
      </c>
      <c r="X141" s="1289">
        <f>IFERROR(Model!X141/Model!T141-1,"NA")</f>
        <v>4.7734138972809648E-2</v>
      </c>
      <c r="Y141" s="1289">
        <f>IFERROR(Model!Y141/Model!U141-1,"NA")</f>
        <v>5.205320994794671E-2</v>
      </c>
      <c r="Z141" s="1289">
        <f>IFERROR(Model!Z141/Model!V141-1,"NA")</f>
        <v>7.2241183162684797E-2</v>
      </c>
      <c r="AA141" s="1289">
        <f>IFERROR(Model!AA141/Model!W141-1,"NA")</f>
        <v>0.125</v>
      </c>
      <c r="AB141" s="1289">
        <f>IFERROR(Model!AB141/Model!X141-1,"NA")</f>
        <v>0.11245674740484435</v>
      </c>
      <c r="AC141" s="1289">
        <f>IFERROR(Model!AC141/Model!Y141-1,"NA")</f>
        <v>9.4900507429191094E-2</v>
      </c>
      <c r="AD141" s="1289">
        <f>IFERROR(Model!AD141/Model!Z141-1,"NA")</f>
        <v>8.5031057490643436E-2</v>
      </c>
      <c r="AE141" s="1289">
        <f>IFERROR(Model!AE141/Model!AA141-1,"NA")</f>
        <v>8.9762270603946037E-2</v>
      </c>
      <c r="AF141" s="1289">
        <f>IFERROR(Model!AF141/Model!AB141-1,"NA")</f>
        <v>5.8447499825621918E-2</v>
      </c>
      <c r="AG141" s="1289">
        <f>IFERROR(Model!AG141/Model!AC141-1,"NA")</f>
        <v>5.1078045705262864E-2</v>
      </c>
      <c r="AH141" s="1289">
        <f>IFERROR(Model!AH141/Model!AD141-1,"NA")</f>
        <v>6.7740862582943207E-2</v>
      </c>
      <c r="AI141" s="1289">
        <f>IFERROR(Model!AI141/Model!AE141-1,"NA")</f>
        <v>6.9619344576549391E-2</v>
      </c>
      <c r="AJ141" s="1301"/>
      <c r="AK141" s="1301"/>
      <c r="AL141" s="1301"/>
      <c r="AM141" s="1301"/>
      <c r="AN141" s="1301"/>
      <c r="AO141" s="1301"/>
      <c r="AP141" s="1301"/>
      <c r="AQ141" s="1301"/>
      <c r="AR141" s="1236"/>
      <c r="AS141" s="1373"/>
      <c r="AT141" s="1373"/>
      <c r="AU141" s="1246"/>
      <c r="AV141" s="1246">
        <f>IFERROR(Model!AV141/Model!AU141-1,"NA")</f>
        <v>-2.1348314606741581E-2</v>
      </c>
      <c r="AW141" s="1246">
        <f>IFERROR(Model!AW141/Model!AV141-1,"NA")</f>
        <v>-6.1232300038269738E-3</v>
      </c>
      <c r="AX141" s="1246">
        <f>IFERROR(Model!AX141/Model!AW141-1,"NA")</f>
        <v>-9.9730458221024221E-2</v>
      </c>
      <c r="AY141" s="1246">
        <f>IFERROR(Model!AY141/Model!AX141-1,"NA")</f>
        <v>-2.509267179925867E-2</v>
      </c>
      <c r="AZ141" s="1246">
        <f>IFERROR(Model!AZ141/Model!AY141-1,"NA")</f>
        <v>7.4290728283123775E-2</v>
      </c>
      <c r="BA141" s="1246">
        <f>IFERROR(Model!BA141/Model!AZ141-1,"NA")</f>
        <v>9.5177508670826194E-2</v>
      </c>
      <c r="BB141" s="1289">
        <f>IFERROR(Model!BB141/Model!BA141-1,"NA")</f>
        <v>6.1873108976482127E-2</v>
      </c>
      <c r="BC141" s="1289">
        <f>IFERROR(Model!BC141/Model!BB141-1,"NA")</f>
        <v>5.9628040748239686E-2</v>
      </c>
      <c r="BD141" s="1289">
        <f>IFERROR(Model!BD141/Model!BC141-1,"NA")</f>
        <v>5.6969298380470823E-2</v>
      </c>
      <c r="BE141" s="1289">
        <f>IFERROR(Model!BE141/Model!BD141-1,"NA")</f>
        <v>5.6934392212704132E-2</v>
      </c>
    </row>
    <row r="142" spans="1:57" x14ac:dyDescent="0.2">
      <c r="B142" s="17"/>
      <c r="C142" s="17" t="s">
        <v>643</v>
      </c>
      <c r="D142" s="1250"/>
      <c r="E142" s="1250"/>
      <c r="F142" s="1250"/>
      <c r="G142" s="1250"/>
      <c r="H142" s="1250">
        <f>IFERROR(Model!H142/Model!D142-1,"NA")</f>
        <v>7.4549833696524459E-3</v>
      </c>
      <c r="I142" s="1250">
        <f>IFERROR(Model!I142/Model!E142-1,"NA")</f>
        <v>2.563202247191021E-2</v>
      </c>
      <c r="J142" s="1250">
        <f>IFERROR(Model!J142/Model!F142-1,"NA")</f>
        <v>-7.0246085011185677E-2</v>
      </c>
      <c r="K142" s="1250">
        <f>IFERROR(Model!K142/Model!G142-1,"NA")</f>
        <v>-5.0289274588339983E-2</v>
      </c>
      <c r="L142" s="1250">
        <f>IFERROR(Model!L142/Model!H142-1,"NA")</f>
        <v>-4.7586520947176636E-2</v>
      </c>
      <c r="M142" s="1250">
        <f>IFERROR(Model!M142/Model!I142-1,"NA")</f>
        <v>-3.2294876183955212E-2</v>
      </c>
      <c r="N142" s="1250">
        <f>IFERROR(Model!N142/Model!J142-1,"NA")</f>
        <v>5.4499518768046151E-2</v>
      </c>
      <c r="O142" s="1250">
        <f>IFERROR(Model!O142/Model!K142-1,"NA")</f>
        <v>1.1715089034676662E-2</v>
      </c>
      <c r="P142" s="1250">
        <f>IFERROR(Model!P142/Model!L142-1,"NA")</f>
        <v>-1.5300023906287374E-2</v>
      </c>
      <c r="Q142" s="1250">
        <f>IFERROR(Model!Q142/Model!M142-1,"NA")</f>
        <v>-4.1509433962264142E-2</v>
      </c>
      <c r="R142" s="1250">
        <f>IFERROR(Model!R142/Model!N142-1,"NA")</f>
        <v>-7.9178551055333668E-2</v>
      </c>
      <c r="S142" s="1250">
        <f>IFERROR(Model!S142/Model!O142-1,"NA")</f>
        <v>-9.518295507179253E-2</v>
      </c>
      <c r="T142" s="1250">
        <f>IFERROR(Model!T142/Model!P142-1,"NA")</f>
        <v>-6.3607671764991491E-2</v>
      </c>
      <c r="U142" s="1250">
        <f>IFERROR(Model!U142/Model!Q142-1,"NA")</f>
        <v>-5.5856299212598381E-2</v>
      </c>
      <c r="V142" s="1250">
        <f>IFERROR(Model!V142/Model!R142-1,"NA")</f>
        <v>1.1522735720480792E-2</v>
      </c>
      <c r="W142" s="1250">
        <f>IFERROR(Model!W142/Model!S142-1,"NA")</f>
        <v>1.958024059380592E-2</v>
      </c>
      <c r="X142" s="1250">
        <f>IFERROR(Model!X142/Model!T142-1,"NA")</f>
        <v>1.7111744879440005E-2</v>
      </c>
      <c r="Y142" s="1250">
        <f>IFERROR(Model!Y142/Model!U142-1,"NA")</f>
        <v>5.1993745113369849E-2</v>
      </c>
      <c r="Z142" s="1250">
        <f>IFERROR(Model!Z142/Model!V142-1,"NA")</f>
        <v>3.7481626653601108E-2</v>
      </c>
      <c r="AA142" s="1250">
        <f>IFERROR(Model!AA142/Model!W142-1,"NA")</f>
        <v>6.049956068783735E-2</v>
      </c>
      <c r="AB142" s="1250">
        <f>IFERROR(Model!AB142/Model!X142-1,"NA")</f>
        <v>7.4815192454753987E-2</v>
      </c>
      <c r="AC142" s="1250">
        <f>IFERROR(Model!AC142/Model!Y142-1,"NA")</f>
        <v>3.7351646245136427E-2</v>
      </c>
      <c r="AD142" s="1250">
        <f>IFERROR(Model!AD142/Model!Z142-1,"NA")</f>
        <v>2.5667645811001227E-2</v>
      </c>
      <c r="AE142" s="1250">
        <f>IFERROR(Model!AE142/Model!AA142-1,"NA")</f>
        <v>3.9393460440794614E-2</v>
      </c>
      <c r="AF142" s="1250">
        <f>IFERROR(Model!AF142/Model!AB142-1,"NA")</f>
        <v>2.7583280847791602E-2</v>
      </c>
      <c r="AG142" s="1250">
        <f>IFERROR(Model!AG142/Model!AC142-1,"NA")</f>
        <v>5.4176919407433077E-2</v>
      </c>
      <c r="AH142" s="1250">
        <f>IFERROR(Model!AH142/Model!AD142-1,"NA")</f>
        <v>5.1262403716309635E-2</v>
      </c>
      <c r="AI142" s="1250">
        <f>IFERROR(Model!AI142/Model!AE142-1,"NA")</f>
        <v>5.1285424095401488E-2</v>
      </c>
      <c r="AJ142" s="1250"/>
      <c r="AK142" s="1250"/>
      <c r="AL142" s="1250"/>
      <c r="AM142" s="1250"/>
      <c r="AN142" s="1250"/>
      <c r="AO142" s="1250"/>
      <c r="AP142" s="1250"/>
      <c r="AQ142" s="1250"/>
      <c r="AR142" s="1236"/>
      <c r="AS142" s="1372"/>
      <c r="AT142" s="1372"/>
      <c r="AU142" s="1236"/>
      <c r="AV142" s="1236">
        <f>IFERROR(Model!AV142/Model!AU142-1,"NA")</f>
        <v>-2.261941973800119E-2</v>
      </c>
      <c r="AW142" s="1236">
        <f>IFERROR(Model!AW142/Model!AV142-1,"NA")</f>
        <v>-4.3029510103212987E-3</v>
      </c>
      <c r="AX142" s="1236">
        <f>IFERROR(Model!AX142/Model!AW142-1,"NA")</f>
        <v>-5.8282477297281532E-2</v>
      </c>
      <c r="AY142" s="1236">
        <f>IFERROR(Model!AY142/Model!AX142-1,"NA")</f>
        <v>-2.2696970636569391E-2</v>
      </c>
      <c r="AZ142" s="1236">
        <f>IFERROR(Model!AZ142/Model!AY142-1,"NA")</f>
        <v>4.1847774358323653E-2</v>
      </c>
      <c r="BA142" s="1236">
        <f>IFERROR(Model!BA142/Model!AZ142-1,"NA")</f>
        <v>4.3814487709983529E-2</v>
      </c>
      <c r="BB142" s="1250">
        <f>IFERROR(Model!BB142/Model!BA142-1,"NA")</f>
        <v>4.6154684921008826E-2</v>
      </c>
      <c r="BC142" s="1250">
        <f>IFERROR(Model!BC142/Model!BB142-1,"NA")</f>
        <v>4.8669623800388306E-2</v>
      </c>
      <c r="BD142" s="1250">
        <f>IFERROR(Model!BD142/Model!BC142-1,"NA")</f>
        <v>4.8084319078866677E-2</v>
      </c>
      <c r="BE142" s="1250">
        <f>IFERROR(Model!BE142/Model!BD142-1,"NA")</f>
        <v>4.2520738817007686E-2</v>
      </c>
    </row>
    <row r="143" spans="1:57" x14ac:dyDescent="0.2">
      <c r="B143" s="39"/>
      <c r="C143" s="39" t="s">
        <v>237</v>
      </c>
      <c r="D143" s="1403"/>
      <c r="E143" s="1403"/>
      <c r="F143" s="1403"/>
      <c r="G143" s="1403"/>
      <c r="H143" s="1403"/>
      <c r="I143" s="1403"/>
      <c r="J143" s="1403"/>
      <c r="K143" s="1403"/>
      <c r="L143" s="1403"/>
      <c r="M143" s="1403"/>
      <c r="N143" s="1403"/>
      <c r="O143" s="1403"/>
      <c r="P143" s="1403"/>
      <c r="Q143" s="1403"/>
      <c r="R143" s="1403"/>
      <c r="S143" s="1403"/>
      <c r="T143" s="1403"/>
      <c r="U143" s="1403"/>
      <c r="V143" s="1403"/>
      <c r="W143" s="1403"/>
      <c r="X143" s="1403"/>
      <c r="Y143" s="1403"/>
      <c r="Z143" s="1403"/>
      <c r="AA143" s="1403"/>
      <c r="AB143" s="1403"/>
      <c r="AC143" s="1403"/>
      <c r="AD143" s="1403"/>
      <c r="AE143" s="1403"/>
      <c r="AF143" s="1403"/>
      <c r="AG143" s="1403"/>
      <c r="AH143" s="1403"/>
      <c r="AI143" s="1403"/>
      <c r="AJ143" s="1403"/>
      <c r="AK143" s="1403"/>
      <c r="AL143" s="1403"/>
      <c r="AM143" s="1403"/>
      <c r="AN143" s="1403"/>
      <c r="AO143" s="1403"/>
      <c r="AP143" s="1403"/>
      <c r="AQ143" s="1403"/>
      <c r="AR143" s="1236"/>
      <c r="AS143" s="1404"/>
      <c r="AT143" s="1404"/>
      <c r="AU143" s="1403"/>
      <c r="AV143" s="1403"/>
      <c r="AW143" s="1403"/>
      <c r="AX143" s="1403"/>
      <c r="AY143" s="1403"/>
      <c r="AZ143" s="1403"/>
      <c r="BA143" s="1403"/>
      <c r="BB143" s="1403"/>
      <c r="BC143" s="1403"/>
      <c r="BD143" s="1403"/>
      <c r="BE143" s="1403"/>
    </row>
    <row r="144" spans="1:57" x14ac:dyDescent="0.2">
      <c r="B144" s="322"/>
      <c r="C144" s="16"/>
      <c r="D144" s="1250"/>
      <c r="E144" s="1250"/>
      <c r="F144" s="1250"/>
      <c r="G144" s="1250"/>
      <c r="H144" s="1250"/>
      <c r="I144" s="1250"/>
      <c r="J144" s="1250"/>
      <c r="K144" s="1250"/>
      <c r="L144" s="1250"/>
      <c r="M144" s="1250"/>
      <c r="N144" s="1250"/>
      <c r="O144" s="1250"/>
      <c r="P144" s="1250"/>
      <c r="Q144" s="1250"/>
      <c r="R144" s="1250"/>
      <c r="S144" s="1250"/>
      <c r="T144" s="1250"/>
      <c r="U144" s="1250"/>
      <c r="V144" s="1250"/>
      <c r="W144" s="1250"/>
      <c r="X144" s="1250"/>
      <c r="Y144" s="1250"/>
      <c r="Z144" s="1250"/>
      <c r="AA144" s="1250"/>
      <c r="AB144" s="1250"/>
      <c r="AC144" s="1250"/>
      <c r="AD144" s="1250"/>
      <c r="AE144" s="1250"/>
      <c r="AF144" s="1250"/>
      <c r="AG144" s="1250"/>
      <c r="AH144" s="1250"/>
      <c r="AI144" s="1250"/>
      <c r="AJ144" s="1250"/>
      <c r="AK144" s="1250"/>
      <c r="AL144" s="1250"/>
      <c r="AM144" s="1250"/>
      <c r="AN144" s="1250"/>
      <c r="AO144" s="1250"/>
      <c r="AP144" s="1250"/>
      <c r="AQ144" s="1250"/>
      <c r="AR144" s="1236"/>
      <c r="AS144" s="1248"/>
      <c r="AT144" s="1371"/>
      <c r="AU144" s="1236"/>
      <c r="AV144" s="1236"/>
      <c r="AW144" s="1236"/>
      <c r="AX144" s="1236"/>
      <c r="AY144" s="1236"/>
      <c r="AZ144" s="1236"/>
      <c r="BA144" s="1236"/>
      <c r="BB144" s="1236"/>
      <c r="BC144" s="1236"/>
      <c r="BD144" s="1236"/>
      <c r="BE144" s="1236"/>
    </row>
    <row r="145" spans="1:71" x14ac:dyDescent="0.2">
      <c r="A145" s="411" t="s">
        <v>194</v>
      </c>
      <c r="B145" s="166" t="s">
        <v>178</v>
      </c>
      <c r="C145" s="166"/>
      <c r="D145" s="1405"/>
      <c r="E145" s="1405"/>
      <c r="F145" s="1405"/>
      <c r="G145" s="1405"/>
      <c r="H145" s="1405"/>
      <c r="I145" s="1405"/>
      <c r="J145" s="1405"/>
      <c r="K145" s="1405"/>
      <c r="L145" s="1405"/>
      <c r="M145" s="1405"/>
      <c r="N145" s="1405"/>
      <c r="O145" s="1405"/>
      <c r="P145" s="1405"/>
      <c r="Q145" s="1405"/>
      <c r="R145" s="1405"/>
      <c r="S145" s="1405"/>
      <c r="T145" s="1405"/>
      <c r="U145" s="1405"/>
      <c r="V145" s="1405"/>
      <c r="W145" s="1405"/>
      <c r="X145" s="1405"/>
      <c r="Y145" s="1405"/>
      <c r="Z145" s="1405"/>
      <c r="AA145" s="1405"/>
      <c r="AB145" s="1405"/>
      <c r="AC145" s="1405"/>
      <c r="AD145" s="1405"/>
      <c r="AE145" s="1405"/>
      <c r="AF145" s="1405"/>
      <c r="AG145" s="1405"/>
      <c r="AH145" s="1405"/>
      <c r="AI145" s="1405"/>
      <c r="AJ145" s="1405"/>
      <c r="AK145" s="1405"/>
      <c r="AL145" s="1405"/>
      <c r="AM145" s="1405"/>
      <c r="AN145" s="1405"/>
      <c r="AO145" s="1405"/>
      <c r="AP145" s="1405"/>
      <c r="AQ145" s="1405"/>
      <c r="AR145" s="1236"/>
      <c r="AS145" s="1406"/>
      <c r="AT145" s="1406"/>
      <c r="AU145" s="1405"/>
      <c r="AV145" s="1405"/>
      <c r="AW145" s="1405"/>
      <c r="AX145" s="1405"/>
      <c r="AY145" s="1405"/>
      <c r="AZ145" s="1405"/>
      <c r="BA145" s="1405"/>
      <c r="BB145" s="1405"/>
      <c r="BC145" s="1405"/>
      <c r="BD145" s="1405"/>
      <c r="BE145" s="1405"/>
      <c r="BF145" s="15"/>
      <c r="BG145" s="15"/>
      <c r="BH145" s="15"/>
      <c r="BI145" s="15"/>
      <c r="BJ145" s="15"/>
      <c r="BK145" s="15"/>
      <c r="BL145" s="15"/>
      <c r="BM145" s="15"/>
      <c r="BN145" s="15"/>
      <c r="BO145" s="15"/>
      <c r="BP145" s="15"/>
      <c r="BQ145" s="15"/>
      <c r="BR145" s="15"/>
      <c r="BS145" s="15"/>
    </row>
    <row r="146" spans="1:71" x14ac:dyDescent="0.2">
      <c r="B146" s="16"/>
      <c r="C146" s="16"/>
      <c r="D146" s="1250"/>
      <c r="E146" s="1250"/>
      <c r="F146" s="1250"/>
      <c r="G146" s="1250"/>
      <c r="H146" s="1250"/>
      <c r="I146" s="1250"/>
      <c r="J146" s="1250"/>
      <c r="K146" s="1250"/>
      <c r="L146" s="1250"/>
      <c r="M146" s="1250"/>
      <c r="N146" s="1250"/>
      <c r="O146" s="1250"/>
      <c r="P146" s="1250"/>
      <c r="Q146" s="1250"/>
      <c r="R146" s="1250"/>
      <c r="S146" s="1250"/>
      <c r="T146" s="1250"/>
      <c r="U146" s="1250"/>
      <c r="V146" s="1250"/>
      <c r="W146" s="1250"/>
      <c r="X146" s="1250"/>
      <c r="Y146" s="1250"/>
      <c r="Z146" s="1250"/>
      <c r="AA146" s="1250"/>
      <c r="AB146" s="1250"/>
      <c r="AC146" s="1250"/>
      <c r="AD146" s="1250"/>
      <c r="AE146" s="1250"/>
      <c r="AF146" s="1250"/>
      <c r="AG146" s="1250"/>
      <c r="AH146" s="1250"/>
      <c r="AI146" s="1250"/>
      <c r="AJ146" s="1250"/>
      <c r="AK146" s="1250"/>
      <c r="AL146" s="1250"/>
      <c r="AM146" s="1250"/>
      <c r="AN146" s="1250"/>
      <c r="AO146" s="1250"/>
      <c r="AP146" s="1250"/>
      <c r="AQ146" s="1250"/>
      <c r="AR146" s="1236"/>
      <c r="AS146" s="1371"/>
      <c r="AT146" s="1371"/>
      <c r="AU146" s="1236"/>
      <c r="AV146" s="1236"/>
      <c r="AW146" s="1236"/>
      <c r="AX146" s="1236"/>
      <c r="AY146" s="1236"/>
      <c r="AZ146" s="1236"/>
      <c r="BA146" s="1236"/>
      <c r="BB146" s="1236"/>
      <c r="BC146" s="1236"/>
      <c r="BD146" s="1236"/>
      <c r="BE146" s="1236"/>
    </row>
    <row r="147" spans="1:71" x14ac:dyDescent="0.2">
      <c r="B147" s="11" t="s">
        <v>188</v>
      </c>
      <c r="C147" s="11"/>
      <c r="D147" s="1398"/>
      <c r="E147" s="1398"/>
      <c r="F147" s="1398"/>
      <c r="G147" s="1398"/>
      <c r="H147" s="1398"/>
      <c r="I147" s="1398"/>
      <c r="J147" s="1398"/>
      <c r="K147" s="1398"/>
      <c r="L147" s="1398"/>
      <c r="M147" s="1398"/>
      <c r="N147" s="1398"/>
      <c r="O147" s="1398"/>
      <c r="P147" s="1398"/>
      <c r="Q147" s="1398"/>
      <c r="R147" s="1398"/>
      <c r="S147" s="1398"/>
      <c r="T147" s="1398"/>
      <c r="U147" s="1398"/>
      <c r="V147" s="1398"/>
      <c r="W147" s="1398"/>
      <c r="X147" s="1398"/>
      <c r="Y147" s="1398"/>
      <c r="Z147" s="1398"/>
      <c r="AA147" s="1398"/>
      <c r="AB147" s="1398"/>
      <c r="AC147" s="1398"/>
      <c r="AD147" s="1398"/>
      <c r="AE147" s="1398"/>
      <c r="AF147" s="1398"/>
      <c r="AG147" s="1398"/>
      <c r="AH147" s="1398"/>
      <c r="AI147" s="1398"/>
      <c r="AJ147" s="1398"/>
      <c r="AK147" s="1398"/>
      <c r="AL147" s="1398"/>
      <c r="AM147" s="1398"/>
      <c r="AN147" s="1398"/>
      <c r="AO147" s="1398"/>
      <c r="AP147" s="1398"/>
      <c r="AQ147" s="1398"/>
      <c r="AR147" s="1236"/>
      <c r="AS147" s="1399"/>
      <c r="AT147" s="1399"/>
      <c r="AU147" s="1398"/>
      <c r="AV147" s="1398"/>
      <c r="AW147" s="1398"/>
      <c r="AX147" s="1398"/>
      <c r="AY147" s="1398"/>
      <c r="AZ147" s="1398"/>
      <c r="BA147" s="1398"/>
      <c r="BB147" s="1398"/>
      <c r="BC147" s="1398"/>
      <c r="BD147" s="1398"/>
      <c r="BE147" s="1398"/>
    </row>
    <row r="148" spans="1:71" x14ac:dyDescent="0.2">
      <c r="B148" s="16"/>
      <c r="C148" s="16"/>
      <c r="D148" s="1250"/>
      <c r="E148" s="1250"/>
      <c r="F148" s="1250"/>
      <c r="G148" s="1250"/>
      <c r="H148" s="1250"/>
      <c r="I148" s="1250"/>
      <c r="J148" s="1250"/>
      <c r="K148" s="1250"/>
      <c r="L148" s="1250"/>
      <c r="M148" s="1250"/>
      <c r="N148" s="1250"/>
      <c r="O148" s="1250"/>
      <c r="P148" s="1250"/>
      <c r="Q148" s="1250"/>
      <c r="R148" s="1250"/>
      <c r="S148" s="1250"/>
      <c r="T148" s="1250"/>
      <c r="U148" s="1250"/>
      <c r="V148" s="1250"/>
      <c r="W148" s="1250"/>
      <c r="X148" s="1250"/>
      <c r="Y148" s="1250"/>
      <c r="Z148" s="1250"/>
      <c r="AA148" s="1250"/>
      <c r="AB148" s="1250"/>
      <c r="AC148" s="1250"/>
      <c r="AD148" s="1250"/>
      <c r="AE148" s="1250"/>
      <c r="AF148" s="1250"/>
      <c r="AG148" s="1250"/>
      <c r="AH148" s="1250"/>
      <c r="AI148" s="1250"/>
      <c r="AJ148" s="1250"/>
      <c r="AK148" s="1250"/>
      <c r="AL148" s="1250"/>
      <c r="AM148" s="1250"/>
      <c r="AN148" s="1250"/>
      <c r="AO148" s="1250"/>
      <c r="AP148" s="1250"/>
      <c r="AQ148" s="1250"/>
      <c r="AR148" s="1236"/>
      <c r="AS148" s="1371"/>
      <c r="AT148" s="1371"/>
      <c r="AU148" s="1236"/>
      <c r="AV148" s="1236"/>
      <c r="AW148" s="1236"/>
      <c r="AX148" s="1236"/>
      <c r="AY148" s="1236"/>
      <c r="AZ148" s="1236"/>
      <c r="BA148" s="1236"/>
      <c r="BB148" s="1236"/>
      <c r="BC148" s="1236"/>
      <c r="BD148" s="1236"/>
      <c r="BE148" s="1236"/>
    </row>
    <row r="149" spans="1:71" x14ac:dyDescent="0.2">
      <c r="B149" s="315" t="s">
        <v>642</v>
      </c>
      <c r="C149" s="321"/>
      <c r="D149" s="1240"/>
      <c r="E149" s="1240"/>
      <c r="F149" s="1240"/>
      <c r="G149" s="1240"/>
      <c r="H149" s="1240">
        <f>IFERROR(Model!H149/Model!D149-1,"NA")</f>
        <v>9.6432015429122053E-3</v>
      </c>
      <c r="I149" s="1240">
        <f>IFERROR(Model!I149/Model!E149-1,"NA")</f>
        <v>1.2339585389930852E-2</v>
      </c>
      <c r="J149" s="1240">
        <f>IFERROR(Model!J149/Model!F149-1,"NA")</f>
        <v>-5.4814108674928752E-3</v>
      </c>
      <c r="K149" s="1240">
        <f>IFERROR(Model!K149/Model!G149-1,"NA")</f>
        <v>2.0456148600987545E-2</v>
      </c>
      <c r="L149" s="1240">
        <f>IFERROR(Model!L149/Model!H149-1,"NA")</f>
        <v>6.9245463228271298E-3</v>
      </c>
      <c r="M149" s="1240">
        <f>IFERROR(Model!M149/Model!I149-1,"NA")</f>
        <v>3.3885909312530549E-2</v>
      </c>
      <c r="N149" s="1240">
        <f>IFERROR(Model!N149/Model!J149-1,"NA")</f>
        <v>5.3199137311286782E-2</v>
      </c>
      <c r="O149" s="1240">
        <f>IFERROR(Model!O149/Model!K149-1,"NA")</f>
        <v>3.1105990783410142E-2</v>
      </c>
      <c r="P149" s="1240">
        <f>IFERROR(Model!P149/Model!L149-1,"NA")</f>
        <v>1.6125207493478788E-2</v>
      </c>
      <c r="Q149" s="1240">
        <f>IFERROR(Model!Q149/Model!M149-1,"NA")</f>
        <v>5.8948361235557911E-3</v>
      </c>
      <c r="R149" s="1240">
        <f>IFERROR(Model!R149/Model!N149-1,"NA")</f>
        <v>1.8202502844140156E-3</v>
      </c>
      <c r="S149" s="1240">
        <f>IFERROR(Model!S149/Model!O149-1,"NA")</f>
        <v>-4.4692737430167551E-3</v>
      </c>
      <c r="T149" s="1240">
        <f>IFERROR(Model!T149/Model!P149-1,"NA")</f>
        <v>2.6371061843640575E-2</v>
      </c>
      <c r="U149" s="1240">
        <f>IFERROR(Model!U149/Model!Q149-1,"NA")</f>
        <v>1.5236755743084807E-2</v>
      </c>
      <c r="V149" s="1240">
        <f>IFERROR(Model!V149/Model!R149-1,"NA")</f>
        <v>6.6545537133772426E-2</v>
      </c>
      <c r="W149" s="1240">
        <f>IFERROR(Model!W149/Model!S149-1,"NA")</f>
        <v>5.6341189674522951E-2</v>
      </c>
      <c r="X149" s="1240">
        <f>IFERROR(Model!X149/Model!T149-1,"NA")</f>
        <v>4.9795361527967152E-2</v>
      </c>
      <c r="Y149" s="1240">
        <f>IFERROR(Model!Y149/Model!U149-1,"NA")</f>
        <v>6.9498960978988666E-2</v>
      </c>
      <c r="Z149" s="1240">
        <f>IFERROR(Model!Z149/Model!V149-1,"NA")</f>
        <v>2.7470187393526357E-2</v>
      </c>
      <c r="AA149" s="1240">
        <f>IFERROR(Model!AA149/Model!W149-1,"NA")</f>
        <v>2.1036974075648196E-2</v>
      </c>
      <c r="AB149" s="1240">
        <f>IFERROR(Model!AB149/Model!X149-1,"NA")</f>
        <v>2.8806584362139898E-2</v>
      </c>
      <c r="AC149" s="1287">
        <f>IFERROR(Model!AC149/Model!Y149-1,"NA")</f>
        <v>2.7342314187190686E-2</v>
      </c>
      <c r="AD149" s="1287">
        <f>IFERROR(Model!AD149/Model!Z149-1,"NA")</f>
        <v>2.3547406792249648E-2</v>
      </c>
      <c r="AE149" s="1287">
        <f>IFERROR(Model!AE149/Model!AA149-1,"NA")</f>
        <v>4.2249824782780498E-2</v>
      </c>
      <c r="AF149" s="1287">
        <f>IFERROR(Model!AF149/Model!AB149-1,"NA")</f>
        <v>2.71161886592719E-2</v>
      </c>
      <c r="AG149" s="1287">
        <f>IFERROR(Model!AG149/Model!AC149-1,"NA")</f>
        <v>4.815524534589577E-2</v>
      </c>
      <c r="AH149" s="1287">
        <f>IFERROR(Model!AH149/Model!AD149-1,"NA")</f>
        <v>4.395652466545541E-2</v>
      </c>
      <c r="AI149" s="1287">
        <f>IFERROR(Model!AI149/Model!AE149-1,"NA")</f>
        <v>4.8958585389453635E-2</v>
      </c>
      <c r="AJ149" s="1287"/>
      <c r="AK149" s="1287"/>
      <c r="AL149" s="1287"/>
      <c r="AM149" s="1287"/>
      <c r="AN149" s="1287"/>
      <c r="AO149" s="1287"/>
      <c r="AP149" s="1287"/>
      <c r="AQ149" s="1287"/>
      <c r="AR149" s="1236"/>
      <c r="AS149" s="1400"/>
      <c r="AT149" s="1284"/>
      <c r="AU149" s="1236"/>
      <c r="AV149" s="1236">
        <f>IFERROR(Model!AV149/Model!AU149-1,"NA")</f>
        <v>9.2498047930806848E-3</v>
      </c>
      <c r="AW149" s="1236">
        <f>IFERROR(Model!AW149/Model!AV149-1,"NA")</f>
        <v>3.1244420639171544E-2</v>
      </c>
      <c r="AX149" s="1236">
        <f>IFERROR(Model!AX149/Model!AW149-1,"NA")</f>
        <v>4.674515235457033E-3</v>
      </c>
      <c r="AY149" s="1236">
        <f>IFERROR(Model!AY149/Model!AX149-1,"NA")</f>
        <v>4.1472801424550454E-2</v>
      </c>
      <c r="AZ149" s="1236">
        <f>IFERROR(Model!AZ149/Model!AY149-1,"NA")</f>
        <v>4.1255308587502038E-2</v>
      </c>
      <c r="BA149" s="1236">
        <f>IFERROR(Model!BA149/Model!AZ149-1,"NA")</f>
        <v>3.0524722981563057E-2</v>
      </c>
      <c r="BB149" s="1287">
        <f>IFERROR(Model!BB149/Model!BA149-1,"NA")</f>
        <v>4.2159532274417044E-2</v>
      </c>
      <c r="BC149" s="1287">
        <f>IFERROR(Model!BC149/Model!BB149-1,"NA")</f>
        <v>4.6760104421261106E-2</v>
      </c>
      <c r="BD149" s="1287">
        <f>IFERROR(Model!BD149/Model!BC149-1,"NA")</f>
        <v>4.1686392528752725E-2</v>
      </c>
      <c r="BE149" s="1287">
        <f>IFERROR(Model!BE149/Model!BD149-1,"NA")</f>
        <v>4.2569509336412903E-2</v>
      </c>
    </row>
    <row r="150" spans="1:71" x14ac:dyDescent="0.2">
      <c r="B150" s="375" t="s">
        <v>206</v>
      </c>
      <c r="C150" s="376"/>
      <c r="D150" s="1251"/>
      <c r="E150" s="1251"/>
      <c r="F150" s="1251"/>
      <c r="G150" s="1251"/>
      <c r="H150" s="1251">
        <f>IFERROR(Model!H150/Model!D150-1,"NA")</f>
        <v>-9.5927601809954743E-2</v>
      </c>
      <c r="I150" s="1251">
        <f>IFERROR(Model!I150/Model!E150-1,"NA")</f>
        <v>-9.3474426807760191E-2</v>
      </c>
      <c r="J150" s="1251">
        <f>IFERROR(Model!J150/Model!F150-1,"NA")</f>
        <v>-0.49125596184419718</v>
      </c>
      <c r="K150" s="1251">
        <f>IFERROR(Model!K150/Model!G150-1,"NA")</f>
        <v>-0.47207678883071558</v>
      </c>
      <c r="L150" s="1251">
        <f>IFERROR(Model!L150/Model!H150-1,"NA")</f>
        <v>-0.36036036036036034</v>
      </c>
      <c r="M150" s="1251">
        <f>IFERROR(Model!M150/Model!I150-1,"NA")</f>
        <v>-0.40175097276264593</v>
      </c>
      <c r="N150" s="1251">
        <f>IFERROR(Model!N150/Model!J150-1,"NA")</f>
        <v>5.46875E-2</v>
      </c>
      <c r="O150" s="1251">
        <f>IFERROR(Model!O150/Model!K150-1,"NA")</f>
        <v>0.14049586776859502</v>
      </c>
      <c r="P150" s="1251">
        <f>IFERROR(Model!P150/Model!L150-1,"NA")</f>
        <v>0.13145539906103276</v>
      </c>
      <c r="Q150" s="1251">
        <f>IFERROR(Model!Q150/Model!M150-1,"NA")</f>
        <v>-5.3658536585365901E-2</v>
      </c>
      <c r="R150" s="1251">
        <f>IFERROR(Model!R150/Model!N150-1,"NA")</f>
        <v>-0.35259259259259257</v>
      </c>
      <c r="S150" s="1251">
        <f>IFERROR(Model!S150/Model!O150-1,"NA")</f>
        <v>-0.47246376811594204</v>
      </c>
      <c r="T150" s="1251">
        <f>IFERROR(Model!T150/Model!P150-1,"NA")</f>
        <v>-0.40248962655601661</v>
      </c>
      <c r="U150" s="1251">
        <f>IFERROR(Model!U150/Model!Q150-1,"NA")</f>
        <v>-0.35051546391752575</v>
      </c>
      <c r="V150" s="1251">
        <f>IFERROR(Model!V150/Model!R150-1,"NA")</f>
        <v>6.4073226544622441E-2</v>
      </c>
      <c r="W150" s="1251">
        <f>IFERROR(Model!W150/Model!S150-1,"NA")</f>
        <v>-3.0219780219780223E-2</v>
      </c>
      <c r="X150" s="1251">
        <f>IFERROR(Model!X150/Model!T150-1,"NA")</f>
        <v>-0.2407407407407407</v>
      </c>
      <c r="Y150" s="1251">
        <f>IFERROR(Model!Y150/Model!U150-1,"NA")</f>
        <v>-0.1693121693121693</v>
      </c>
      <c r="Z150" s="1251">
        <f>IFERROR(Model!Z150/Model!V150-1,"NA")</f>
        <v>-0.19999999999999996</v>
      </c>
      <c r="AA150" s="1251">
        <f>IFERROR(Model!AA150/Model!W150-1,"NA")</f>
        <v>6.7988668555240883E-2</v>
      </c>
      <c r="AB150" s="1251">
        <f>IFERROR(Model!AB150/Model!X150-1,"NA")</f>
        <v>0.24085365853658547</v>
      </c>
      <c r="AC150" s="1246">
        <f>IFERROR(Model!AC150/Model!Y150-1,"NA")</f>
        <v>-0.2548595672279903</v>
      </c>
      <c r="AD150" s="1246">
        <f>IFERROR(Model!AD150/Model!Z150-1,"NA")</f>
        <v>-0.27713463691265272</v>
      </c>
      <c r="AE150" s="1246">
        <f>IFERROR(Model!AE150/Model!AA150-1,"NA")</f>
        <v>-0.41280778609062174</v>
      </c>
      <c r="AF150" s="1246">
        <f>IFERROR(Model!AF150/Model!AB150-1,"NA")</f>
        <v>-0.22049512636380464</v>
      </c>
      <c r="AG150" s="1246">
        <f>IFERROR(Model!AG150/Model!AC150-1,"NA")</f>
        <v>0.19777275157207663</v>
      </c>
      <c r="AH150" s="1246">
        <f>IFERROR(Model!AH150/Model!AD150-1,"NA")</f>
        <v>7.9230729385794119E-2</v>
      </c>
      <c r="AI150" s="1246">
        <f>IFERROR(Model!AI150/Model!AE150-1,"NA")</f>
        <v>-2.7944126059726848E-2</v>
      </c>
      <c r="AJ150" s="1236"/>
      <c r="AK150" s="1236"/>
      <c r="AL150" s="1236"/>
      <c r="AM150" s="1236"/>
      <c r="AN150" s="1236"/>
      <c r="AO150" s="1236"/>
      <c r="AP150" s="1236"/>
      <c r="AQ150" s="1236"/>
      <c r="AR150" s="1236"/>
      <c r="AS150" s="1402"/>
      <c r="AT150" s="1270"/>
      <c r="AU150" s="1246"/>
      <c r="AV150" s="1246">
        <f>IFERROR(Model!AV150/Model!AU150-1,"NA")</f>
        <v>-0.29528322205470603</v>
      </c>
      <c r="AW150" s="1246">
        <f>IFERROR(Model!AW150/Model!AV150-1,"NA")</f>
        <v>-0.19957212713936434</v>
      </c>
      <c r="AX150" s="1246">
        <f>IFERROR(Model!AX150/Model!AW150-1,"NA")</f>
        <v>-0.19587628865979378</v>
      </c>
      <c r="AY150" s="1246">
        <f>IFERROR(Model!AY150/Model!AX150-1,"NA")</f>
        <v>-0.22697056030389362</v>
      </c>
      <c r="AZ150" s="1246">
        <f>IFERROR(Model!AZ150/Model!AY150-1,"NA")</f>
        <v>-0.14557739557739557</v>
      </c>
      <c r="BA150" s="1246">
        <f>IFERROR(Model!BA150/Model!AZ150-1,"NA")</f>
        <v>-0.18673510021370243</v>
      </c>
      <c r="BB150" s="1246">
        <f>IFERROR(Model!BB150/Model!BA150-1,"NA")</f>
        <v>-2.5059181470796776E-2</v>
      </c>
      <c r="BC150" s="1246">
        <f>IFERROR(Model!BC150/Model!BB150-1,"NA")</f>
        <v>3.8198738054485259E-2</v>
      </c>
      <c r="BD150" s="1246">
        <f>IFERROR(Model!BD150/Model!BC150-1,"NA")</f>
        <v>0.10072789944472738</v>
      </c>
      <c r="BE150" s="1246">
        <f>IFERROR(Model!BE150/Model!BD150-1,"NA")</f>
        <v>4.912730629014006E-2</v>
      </c>
    </row>
    <row r="151" spans="1:71" x14ac:dyDescent="0.2">
      <c r="B151" s="316" t="s">
        <v>643</v>
      </c>
      <c r="C151" s="387"/>
      <c r="D151" s="1248"/>
      <c r="E151" s="1248"/>
      <c r="F151" s="1248"/>
      <c r="G151" s="1248"/>
      <c r="H151" s="1248">
        <f>IFERROR(Model!H151/Model!D151-1,"NA")</f>
        <v>-1.2564249000571071E-2</v>
      </c>
      <c r="I151" s="1248">
        <f>IFERROR(Model!I151/Model!E151-1,"NA")</f>
        <v>-1.0798303123794817E-2</v>
      </c>
      <c r="J151" s="1248">
        <f>IFERROR(Model!J151/Model!F151-1,"NA")</f>
        <v>-0.11752841950861748</v>
      </c>
      <c r="K151" s="1248">
        <f>IFERROR(Model!K151/Model!G151-1,"NA")</f>
        <v>-8.4089646230783521E-2</v>
      </c>
      <c r="L151" s="1248">
        <f>IFERROR(Model!L151/Model!H151-1,"NA")</f>
        <v>-6.3813379602853271E-2</v>
      </c>
      <c r="M151" s="1248">
        <f>IFERROR(Model!M151/Model!I151-1,"NA")</f>
        <v>-5.3411306042885021E-2</v>
      </c>
      <c r="N151" s="1248">
        <f>IFERROR(Model!N151/Model!J151-1,"NA")</f>
        <v>5.3397049657178508E-2</v>
      </c>
      <c r="O151" s="1248">
        <f>IFERROR(Model!O151/Model!K151-1,"NA")</f>
        <v>4.4489383215368994E-2</v>
      </c>
      <c r="P151" s="1248">
        <f>IFERROR(Model!P151/Model!L151-1,"NA")</f>
        <v>3.13014827018121E-2</v>
      </c>
      <c r="Q151" s="1248">
        <f>IFERROR(Model!Q151/Model!M151-1,"NA")</f>
        <v>-1.6474464579900872E-3</v>
      </c>
      <c r="R151" s="1248">
        <f>IFERROR(Model!R151/Model!N151-1,"NA")</f>
        <v>-4.5364891518737682E-2</v>
      </c>
      <c r="S151" s="1248">
        <f>IFERROR(Model!S151/Model!O151-1,"NA")</f>
        <v>-6.6989351403678565E-2</v>
      </c>
      <c r="T151" s="1248">
        <f>IFERROR(Model!T151/Model!P151-1,"NA")</f>
        <v>-3.5543130990415284E-2</v>
      </c>
      <c r="U151" s="1248">
        <f>IFERROR(Model!U151/Model!Q151-1,"NA")</f>
        <v>-2.8671617161716179E-2</v>
      </c>
      <c r="V151" s="1248">
        <f>IFERROR(Model!V151/Model!R151-1,"NA")</f>
        <v>6.6322314049586772E-2</v>
      </c>
      <c r="W151" s="1248">
        <f>IFERROR(Model!W151/Model!S151-1,"NA")</f>
        <v>4.9802863664660801E-2</v>
      </c>
      <c r="X151" s="1248">
        <f>IFERROR(Model!X151/Model!T151-1,"NA")</f>
        <v>2.3809523809523725E-2</v>
      </c>
      <c r="Y151" s="1248">
        <f>IFERROR(Model!Y151/Model!U151-1,"NA")</f>
        <v>5.0329156933531571E-2</v>
      </c>
      <c r="Z151" s="1248">
        <f>IFERROR(Model!Z151/Model!V151-1,"NA")</f>
        <v>6.9753923658206762E-3</v>
      </c>
      <c r="AA151" s="1248">
        <f>IFERROR(Model!AA151/Model!W151-1,"NA")</f>
        <v>2.4313105356789988E-2</v>
      </c>
      <c r="AB151" s="1248">
        <f>IFERROR(Model!AB151/Model!X151-1,"NA")</f>
        <v>4.2871587462082861E-2</v>
      </c>
      <c r="AC151" s="1248">
        <f>IFERROR(Model!AC151/Model!Y151-1,"NA")</f>
        <v>9.4265457350342086E-3</v>
      </c>
      <c r="AD151" s="1248">
        <f>IFERROR(Model!AD151/Model!Z151-1,"NA")</f>
        <v>2.0246590034822542E-3</v>
      </c>
      <c r="AE151" s="1248">
        <f>IFERROR(Model!AE151/Model!AA151-1,"NA")</f>
        <v>9.1435493487255215E-3</v>
      </c>
      <c r="AF151" s="1248">
        <f>IFERROR(Model!AF151/Model!AB151-1,"NA")</f>
        <v>7.5742446580322476E-3</v>
      </c>
      <c r="AG151" s="1248">
        <f>IFERROR(Model!AG151/Model!AC151-1,"NA")</f>
        <v>5.5166913535962925E-2</v>
      </c>
      <c r="AH151" s="1248">
        <f>IFERROR(Model!AH151/Model!AD151-1,"NA")</f>
        <v>4.5778013277550933E-2</v>
      </c>
      <c r="AI151" s="1248">
        <f>IFERROR(Model!AI151/Model!AE151-1,"NA")</f>
        <v>4.5703121114148093E-2</v>
      </c>
      <c r="AJ151" s="1248"/>
      <c r="AK151" s="1248"/>
      <c r="AL151" s="1248"/>
      <c r="AM151" s="1248"/>
      <c r="AN151" s="1248"/>
      <c r="AO151" s="1248"/>
      <c r="AP151" s="1248"/>
      <c r="AQ151" s="1248"/>
      <c r="AR151" s="1236"/>
      <c r="AS151" s="1239"/>
      <c r="AT151" s="1248"/>
      <c r="AU151" s="1396"/>
      <c r="AV151" s="1396">
        <f>IFERROR(Model!AV151/Model!AU151-1,"NA")</f>
        <v>-5.7157617884651457E-2</v>
      </c>
      <c r="AW151" s="1396">
        <f>IFERROR(Model!AW151/Model!AV151-1,"NA")</f>
        <v>-6.3760896637609088E-3</v>
      </c>
      <c r="AX151" s="1396">
        <f>IFERROR(Model!AX151/Model!AW151-1,"NA")</f>
        <v>-2.1657392089035943E-2</v>
      </c>
      <c r="AY151" s="1396">
        <f>IFERROR(Model!AY151/Model!AX151-1,"NA")</f>
        <v>1.2503202664617019E-2</v>
      </c>
      <c r="AZ151" s="1396">
        <f>IFERROR(Model!AZ151/Model!AY151-1,"NA")</f>
        <v>2.5861632673718216E-2</v>
      </c>
      <c r="BA151" s="1396">
        <f>IFERROR(Model!BA151/Model!AZ151-1,"NA")</f>
        <v>1.5615575765746126E-2</v>
      </c>
      <c r="BB151" s="1248">
        <f>IFERROR(Model!BB151/Model!BA151-1,"NA")</f>
        <v>3.846579284716678E-2</v>
      </c>
      <c r="BC151" s="1248">
        <f>IFERROR(Model!BC151/Model!BB151-1,"NA")</f>
        <v>4.6318427000723306E-2</v>
      </c>
      <c r="BD151" s="1248">
        <f>IFERROR(Model!BD151/Model!BC151-1,"NA")</f>
        <v>4.470868279063045E-2</v>
      </c>
      <c r="BE151" s="1248">
        <f>IFERROR(Model!BE151/Model!BD151-1,"NA")</f>
        <v>4.2923198272123431E-2</v>
      </c>
    </row>
    <row r="152" spans="1:71" x14ac:dyDescent="0.2">
      <c r="B152" s="316"/>
      <c r="C152" s="387"/>
      <c r="D152" s="1248"/>
      <c r="E152" s="1250"/>
      <c r="F152" s="1250"/>
      <c r="G152" s="1250"/>
      <c r="H152" s="1250"/>
      <c r="I152" s="1250"/>
      <c r="J152" s="1250"/>
      <c r="K152" s="1250"/>
      <c r="L152" s="1250"/>
      <c r="M152" s="1250"/>
      <c r="N152" s="1250"/>
      <c r="O152" s="1250"/>
      <c r="P152" s="1250"/>
      <c r="Q152" s="1250"/>
      <c r="R152" s="1250"/>
      <c r="S152" s="1250"/>
      <c r="T152" s="1250"/>
      <c r="U152" s="1250"/>
      <c r="V152" s="1250"/>
      <c r="W152" s="1250"/>
      <c r="X152" s="1250"/>
      <c r="Y152" s="1250"/>
      <c r="Z152" s="1250"/>
      <c r="AA152" s="1250"/>
      <c r="AB152" s="1250"/>
      <c r="AC152" s="1250"/>
      <c r="AD152" s="1250"/>
      <c r="AE152" s="1250"/>
      <c r="AF152" s="1250"/>
      <c r="AG152" s="1250"/>
      <c r="AH152" s="1250"/>
      <c r="AI152" s="1250"/>
      <c r="AJ152" s="1250"/>
      <c r="AK152" s="1250"/>
      <c r="AL152" s="1250"/>
      <c r="AM152" s="1250"/>
      <c r="AN152" s="1250"/>
      <c r="AO152" s="1250"/>
      <c r="AP152" s="1250"/>
      <c r="AQ152" s="1250"/>
      <c r="AR152" s="1236"/>
      <c r="AS152" s="1239"/>
      <c r="AT152" s="1248"/>
      <c r="AU152" s="1236"/>
      <c r="AV152" s="1236"/>
      <c r="AW152" s="1236"/>
      <c r="AX152" s="1236"/>
      <c r="AY152" s="1236"/>
      <c r="AZ152" s="1236"/>
      <c r="BA152" s="1236"/>
      <c r="BB152" s="1250"/>
      <c r="BC152" s="1250"/>
      <c r="BD152" s="1250"/>
      <c r="BE152" s="1250"/>
    </row>
    <row r="153" spans="1:71" x14ac:dyDescent="0.2">
      <c r="B153" s="322" t="s">
        <v>184</v>
      </c>
      <c r="C153" s="387"/>
      <c r="D153" s="1252"/>
      <c r="E153" s="1252"/>
      <c r="F153" s="1252"/>
      <c r="G153" s="1252"/>
      <c r="H153" s="1252">
        <f>IFERROR(Model!H153/Model!D153-1,"NA")</f>
        <v>3.6600244001626647E-2</v>
      </c>
      <c r="I153" s="1252">
        <f>IFERROR(Model!I153/Model!E153-1,"NA")</f>
        <v>-2.6397515527950333E-2</v>
      </c>
      <c r="J153" s="1252">
        <f>IFERROR(Model!J153/Model!F153-1,"NA")</f>
        <v>-4.4770358934774213E-2</v>
      </c>
      <c r="K153" s="1252">
        <f>IFERROR(Model!K153/Model!G153-1,"NA")</f>
        <v>-9.4319399785637748E-2</v>
      </c>
      <c r="L153" s="1252">
        <f>IFERROR(Model!L153/Model!H153-1,"NA")</f>
        <v>-2.5500196155355037E-2</v>
      </c>
      <c r="M153" s="1252">
        <f>IFERROR(Model!M153/Model!I153-1,"NA")</f>
        <v>-4.5454545454545414E-2</v>
      </c>
      <c r="N153" s="1252">
        <f>IFERROR(Model!N153/Model!J153-1,"NA")</f>
        <v>-6.4646464646465063E-3</v>
      </c>
      <c r="O153" s="1252">
        <f>IFERROR(Model!O153/Model!K153-1,"NA")</f>
        <v>7.8895463510848529E-3</v>
      </c>
      <c r="P153" s="1252">
        <f>IFERROR(Model!P153/Model!L153-1,"NA")</f>
        <v>-5.8776167471819685E-2</v>
      </c>
      <c r="Q153" s="1252">
        <f>IFERROR(Model!Q153/Model!M153-1,"NA")</f>
        <v>-3.2999164578111917E-2</v>
      </c>
      <c r="R153" s="1252">
        <f>IFERROR(Model!R153/Model!N153-1,"NA")</f>
        <v>-5.8560390402602636E-2</v>
      </c>
      <c r="S153" s="1252">
        <f>IFERROR(Model!S153/Model!O153-1,"NA")</f>
        <v>-6.02739726027397E-2</v>
      </c>
      <c r="T153" s="1252">
        <f>IFERROR(Model!T153/Model!P153-1,"NA")</f>
        <v>6.9289991445680155E-2</v>
      </c>
      <c r="U153" s="1252">
        <f>IFERROR(Model!U153/Model!Q153-1,"NA")</f>
        <v>4.79481641468682E-2</v>
      </c>
      <c r="V153" s="1252">
        <f>IFERROR(Model!V153/Model!R153-1,"NA")</f>
        <v>0.12095032397408212</v>
      </c>
      <c r="W153" s="1252">
        <f>IFERROR(Model!W153/Model!S153-1,"NA")</f>
        <v>5.6643065389420988E-2</v>
      </c>
      <c r="X153" s="1252">
        <f>IFERROR(Model!X153/Model!T153-1,"NA")</f>
        <v>3.8799999999999946E-2</v>
      </c>
      <c r="Y153" s="1252">
        <f>IFERROR(Model!Y153/Model!U153-1,"NA")</f>
        <v>7.0898598516075939E-2</v>
      </c>
      <c r="Z153" s="1252">
        <f>IFERROR(Model!Z153/Model!V153-1,"NA")</f>
        <v>-4.3545279383429669E-2</v>
      </c>
      <c r="AA153" s="1252">
        <f>IFERROR(Model!AA153/Model!W153-1,"NA")</f>
        <v>1.2219156484036153E-2</v>
      </c>
      <c r="AB153" s="1252">
        <f>IFERROR(Model!AB153/Model!X153-1,"NA")</f>
        <v>1.8482864844050928E-2</v>
      </c>
      <c r="AC153" s="1362">
        <f>IFERROR(Model!AC153/Model!Y153-1,"NA")</f>
        <v>-5.8358117532454012E-2</v>
      </c>
      <c r="AD153" s="1362">
        <f>IFERROR(Model!AD153/Model!Z153-1,"NA")</f>
        <v>2.8076492704326217E-2</v>
      </c>
      <c r="AE153" s="1362">
        <f>IFERROR(Model!AE153/Model!AA153-1,"NA")</f>
        <v>-2.1818077744172326E-3</v>
      </c>
      <c r="AF153" s="1362">
        <f>IFERROR(Model!AF153/Model!AB153-1,"NA")</f>
        <v>-3.7402803004264018E-2</v>
      </c>
      <c r="AG153" s="1362">
        <f>IFERROR(Model!AG153/Model!AC153-1,"NA")</f>
        <v>4.4399904214167396E-2</v>
      </c>
      <c r="AH153" s="1362">
        <f>IFERROR(Model!AH153/Model!AD153-1,"NA")</f>
        <v>2.4435604843315195E-2</v>
      </c>
      <c r="AI153" s="1362">
        <f>IFERROR(Model!AI153/Model!AE153-1,"NA")</f>
        <v>2.4362241091410164E-2</v>
      </c>
      <c r="AJ153" s="1362"/>
      <c r="AK153" s="1362"/>
      <c r="AL153" s="1362"/>
      <c r="AM153" s="1362"/>
      <c r="AN153" s="1362"/>
      <c r="AO153" s="1362"/>
      <c r="AP153" s="1362"/>
      <c r="AQ153" s="1362"/>
      <c r="AR153" s="1236"/>
      <c r="AS153" s="1248"/>
      <c r="AT153" s="1248"/>
      <c r="AU153" s="1236"/>
      <c r="AV153" s="1236">
        <f>IFERROR(Model!AV153/Model!AU153-1,"NA")</f>
        <v>-3.4340527577937596E-2</v>
      </c>
      <c r="AW153" s="1236">
        <f>IFERROR(Model!AW153/Model!AV153-1,"NA")</f>
        <v>-1.7383530346677278E-2</v>
      </c>
      <c r="AX153" s="1236">
        <f>IFERROR(Model!AX153/Model!AW153-1,"NA")</f>
        <v>-5.2871006874241844E-2</v>
      </c>
      <c r="AY153" s="1236">
        <f>IFERROR(Model!AY153/Model!AX153-1,"NA")</f>
        <v>7.3540399188814165E-2</v>
      </c>
      <c r="AZ153" s="1236">
        <f>IFERROR(Model!AZ153/Model!AY153-1,"NA")</f>
        <v>1.8592165440445507E-2</v>
      </c>
      <c r="BA153" s="1236">
        <f>IFERROR(Model!BA153/Model!AZ153-1,"NA")</f>
        <v>-3.8586058391294475E-3</v>
      </c>
      <c r="BB153" s="1362">
        <f>IFERROR(Model!BB153/Model!BA153-1,"NA")</f>
        <v>1.3175935561191121E-2</v>
      </c>
      <c r="BC153" s="1362">
        <f>IFERROR(Model!BC153/Model!BB153-1,"NA")</f>
        <v>1.6761779207092431E-2</v>
      </c>
      <c r="BD153" s="1362">
        <f>IFERROR(Model!BD153/Model!BC153-1,"NA")</f>
        <v>2.2480838475936293E-2</v>
      </c>
      <c r="BE153" s="1362">
        <f>IFERROR(Model!BE153/Model!BD153-1,"NA")</f>
        <v>5.4259319992472577E-2</v>
      </c>
    </row>
    <row r="154" spans="1:71" x14ac:dyDescent="0.2">
      <c r="B154" s="322"/>
      <c r="C154" s="387"/>
      <c r="D154" s="1248"/>
      <c r="E154" s="1250"/>
      <c r="F154" s="1250"/>
      <c r="G154" s="1250"/>
      <c r="H154" s="1250"/>
      <c r="I154" s="1250"/>
      <c r="J154" s="1250"/>
      <c r="K154" s="1250"/>
      <c r="L154" s="1250"/>
      <c r="M154" s="1250"/>
      <c r="N154" s="1250"/>
      <c r="O154" s="1250"/>
      <c r="P154" s="1250"/>
      <c r="Q154" s="1250"/>
      <c r="R154" s="1250"/>
      <c r="S154" s="1250"/>
      <c r="T154" s="1250"/>
      <c r="U154" s="1250"/>
      <c r="V154" s="1250"/>
      <c r="W154" s="1250"/>
      <c r="X154" s="1250"/>
      <c r="Y154" s="1250"/>
      <c r="Z154" s="1250"/>
      <c r="AA154" s="1250"/>
      <c r="AB154" s="1250"/>
      <c r="AC154" s="1250"/>
      <c r="AD154" s="1250"/>
      <c r="AE154" s="1250"/>
      <c r="AF154" s="1250"/>
      <c r="AG154" s="1250"/>
      <c r="AH154" s="1250"/>
      <c r="AI154" s="1250"/>
      <c r="AJ154" s="1250"/>
      <c r="AK154" s="1250"/>
      <c r="AL154" s="1250"/>
      <c r="AM154" s="1250"/>
      <c r="AN154" s="1250"/>
      <c r="AO154" s="1250"/>
      <c r="AP154" s="1250"/>
      <c r="AQ154" s="1250"/>
      <c r="AR154" s="1236"/>
      <c r="AS154" s="1248"/>
      <c r="AT154" s="1248"/>
      <c r="AU154" s="1236"/>
      <c r="AV154" s="1236"/>
      <c r="AW154" s="1236"/>
      <c r="AX154" s="1236"/>
      <c r="AY154" s="1236"/>
      <c r="AZ154" s="1236"/>
      <c r="BA154" s="1236"/>
      <c r="BB154" s="1250"/>
      <c r="BC154" s="1250"/>
      <c r="BD154" s="1250"/>
      <c r="BE154" s="1250"/>
    </row>
    <row r="155" spans="1:71" x14ac:dyDescent="0.2">
      <c r="B155" s="322" t="s">
        <v>190</v>
      </c>
      <c r="C155" s="387"/>
      <c r="D155" s="1253"/>
      <c r="E155" s="1253"/>
      <c r="F155" s="1253"/>
      <c r="G155" s="1253"/>
      <c r="H155" s="1253">
        <f>IFERROR(Model!H155/Model!D155-1,"NA")</f>
        <v>0.12359550561797761</v>
      </c>
      <c r="I155" s="1253">
        <f>IFERROR(Model!I155/Model!E155-1,"NA")</f>
        <v>0.19047619047619047</v>
      </c>
      <c r="J155" s="1253">
        <f>IFERROR(Model!J155/Model!F155-1,"NA")</f>
        <v>2.934272300469476E-2</v>
      </c>
      <c r="K155" s="1253">
        <f>IFERROR(Model!K155/Model!G155-1,"NA")</f>
        <v>-2.7179006560449914E-2</v>
      </c>
      <c r="L155" s="1253">
        <f>IFERROR(Model!L155/Model!H155-1,"NA")</f>
        <v>-6.6666666666666652E-2</v>
      </c>
      <c r="M155" s="1253">
        <f>IFERROR(Model!M155/Model!I155-1,"NA")</f>
        <v>-0.19294117647058828</v>
      </c>
      <c r="N155" s="1253">
        <f>IFERROR(Model!N155/Model!J155-1,"NA")</f>
        <v>-0.21322690992018245</v>
      </c>
      <c r="O155" s="1253">
        <f>IFERROR(Model!O155/Model!K155-1,"NA")</f>
        <v>-0.24951830443159928</v>
      </c>
      <c r="P155" s="1253">
        <f>IFERROR(Model!P155/Model!L155-1,"NA")</f>
        <v>3.8095238095238182E-2</v>
      </c>
      <c r="Q155" s="1253">
        <f>IFERROR(Model!Q155/Model!M155-1,"NA")</f>
        <v>0.31195335276967939</v>
      </c>
      <c r="R155" s="1253">
        <f>IFERROR(Model!R155/Model!N155-1,"NA")</f>
        <v>0.19999999999999996</v>
      </c>
      <c r="S155" s="1253">
        <f>IFERROR(Model!S155/Model!O155-1,"NA")</f>
        <v>0.10269576379974321</v>
      </c>
      <c r="T155" s="1253">
        <f>IFERROR(Model!T155/Model!P155-1,"NA")</f>
        <v>0.17087155963302747</v>
      </c>
      <c r="U155" s="1253">
        <f>IFERROR(Model!U155/Model!Q155-1,"NA")</f>
        <v>0.13111111111111118</v>
      </c>
      <c r="V155" s="1253">
        <f>IFERROR(Model!V155/Model!R155-1,"NA")</f>
        <v>0.62198067632850251</v>
      </c>
      <c r="W155" s="1253">
        <f>IFERROR(Model!W155/Model!S155-1,"NA")</f>
        <v>0.43189755529685692</v>
      </c>
      <c r="X155" s="1253">
        <f>IFERROR(Model!X155/Model!T155-1,"NA")</f>
        <v>0.32713026444662097</v>
      </c>
      <c r="Y155" s="1253">
        <f>IFERROR(Model!Y155/Model!U155-1,"NA")</f>
        <v>0.26915520628683698</v>
      </c>
      <c r="Z155" s="1253">
        <f>IFERROR(Model!Z155/Model!V155-1,"NA")</f>
        <v>0.27177959791511541</v>
      </c>
      <c r="AA155" s="1253">
        <f>IFERROR(Model!AA155/Model!W155-1,"NA")</f>
        <v>9.512195121951228E-2</v>
      </c>
      <c r="AB155" s="1253">
        <f>IFERROR(Model!AB155/Model!X155-1,"NA")</f>
        <v>4.8708487084870855E-2</v>
      </c>
      <c r="AC155" s="1250">
        <f>IFERROR(Model!AC155/Model!Y155-1,"NA")</f>
        <v>0.14149983188430393</v>
      </c>
      <c r="AD155" s="1250">
        <f>IFERROR(Model!AD155/Model!Z155-1,"NA")</f>
        <v>-9.8535982223930785E-2</v>
      </c>
      <c r="AE155" s="1250">
        <f>IFERROR(Model!AE155/Model!AA155-1,"NA")</f>
        <v>0.18203774086420355</v>
      </c>
      <c r="AF155" s="1250">
        <f>IFERROR(Model!AF155/Model!AB155-1,"NA")</f>
        <v>0.1009801091428113</v>
      </c>
      <c r="AG155" s="1250">
        <f>IFERROR(Model!AG155/Model!AC155-1,"NA")</f>
        <v>8.4291069635951787E-2</v>
      </c>
      <c r="AH155" s="1250">
        <f>IFERROR(Model!AH155/Model!AD155-1,"NA")</f>
        <v>0.10821690954654595</v>
      </c>
      <c r="AI155" s="1250">
        <f>IFERROR(Model!AI155/Model!AE155-1,"NA")</f>
        <v>0.12009308220293091</v>
      </c>
      <c r="AJ155" s="1250"/>
      <c r="AK155" s="1250"/>
      <c r="AL155" s="1250"/>
      <c r="AM155" s="1250"/>
      <c r="AN155" s="1250"/>
      <c r="AO155" s="1250"/>
      <c r="AP155" s="1250"/>
      <c r="AQ155" s="1250"/>
      <c r="AR155" s="1236"/>
      <c r="AS155" s="1248"/>
      <c r="AT155" s="1248"/>
      <c r="AU155" s="1236"/>
      <c r="AV155" s="1236">
        <f>IFERROR(Model!AV155/Model!AU155-1,"NA")</f>
        <v>6.726849155503789E-2</v>
      </c>
      <c r="AW155" s="1236">
        <f>IFERROR(Model!AW155/Model!AV155-1,"NA")</f>
        <v>-0.18281036834924969</v>
      </c>
      <c r="AX155" s="1236">
        <f>IFERROR(Model!AX155/Model!AW155-1,"NA")</f>
        <v>0.15492487479131878</v>
      </c>
      <c r="AY155" s="1236">
        <f>IFERROR(Model!AY155/Model!AX155-1,"NA")</f>
        <v>0.33333333333333326</v>
      </c>
      <c r="AZ155" s="1236">
        <f>IFERROR(Model!AZ155/Model!AY155-1,"NA")</f>
        <v>0.23633998265394629</v>
      </c>
      <c r="BA155" s="1236">
        <f>IFERROR(Model!BA155/Model!AZ155-1,"NA")</f>
        <v>5.7124370764666477E-2</v>
      </c>
      <c r="BB155" s="1250">
        <f>IFERROR(Model!BB155/Model!BA155-1,"NA")</f>
        <v>0.1037939380069941</v>
      </c>
      <c r="BC155" s="1250">
        <f>IFERROR(Model!BC155/Model!BB155-1,"NA")</f>
        <v>0.12145162630215967</v>
      </c>
      <c r="BD155" s="1250">
        <f>IFERROR(Model!BD155/Model!BC155-1,"NA")</f>
        <v>0.11147847074174222</v>
      </c>
      <c r="BE155" s="1250">
        <f>IFERROR(Model!BE155/Model!BD155-1,"NA")</f>
        <v>0.10926931266376649</v>
      </c>
    </row>
    <row r="156" spans="1:71" x14ac:dyDescent="0.2">
      <c r="B156" s="322"/>
      <c r="C156" s="322" t="s">
        <v>193</v>
      </c>
      <c r="D156" s="1253"/>
      <c r="E156" s="1253"/>
      <c r="F156" s="1253"/>
      <c r="G156" s="1253"/>
      <c r="H156" s="1253">
        <f>IFERROR(Model!H156/Model!D156-1,"NA")</f>
        <v>-0.22836095764272557</v>
      </c>
      <c r="I156" s="1253">
        <f>IFERROR(Model!I156/Model!E156-1,"NA")</f>
        <v>-0.21206096752816439</v>
      </c>
      <c r="J156" s="1253">
        <f>IFERROR(Model!J156/Model!F156-1,"NA")</f>
        <v>-0.19763138415988157</v>
      </c>
      <c r="K156" s="1253">
        <f>IFERROR(Model!K156/Model!G156-1,"NA")</f>
        <v>-0.12480252764612954</v>
      </c>
      <c r="L156" s="1253">
        <f>IFERROR(Model!L156/Model!H156-1,"NA")</f>
        <v>-0.12330946698488465</v>
      </c>
      <c r="M156" s="1253">
        <f>IFERROR(Model!M156/Model!I156-1,"NA")</f>
        <v>-9.7560975609756073E-2</v>
      </c>
      <c r="N156" s="1253">
        <f>IFERROR(Model!N156/Model!J156-1,"NA")</f>
        <v>-6.0885608856088513E-2</v>
      </c>
      <c r="O156" s="1253">
        <f>IFERROR(Model!O156/Model!K156-1,"NA")</f>
        <v>-8.5740072202166062E-2</v>
      </c>
      <c r="P156" s="1253">
        <f>IFERROR(Model!P156/Model!L156-1,"NA")</f>
        <v>-0.12794918330308525</v>
      </c>
      <c r="Q156" s="1253">
        <f>IFERROR(Model!Q156/Model!M156-1,"NA")</f>
        <v>-6.8965517241379337E-2</v>
      </c>
      <c r="R156" s="1253">
        <f>IFERROR(Model!R156/Model!N156-1,"NA")</f>
        <v>-0.13850687622789781</v>
      </c>
      <c r="S156" s="1253">
        <f>IFERROR(Model!S156/Model!O156-1,"NA")</f>
        <v>-9.772951628825266E-2</v>
      </c>
      <c r="T156" s="1253">
        <f>IFERROR(Model!T156/Model!P156-1,"NA")</f>
        <v>-2.9136316337148749E-2</v>
      </c>
      <c r="U156" s="1253">
        <f>IFERROR(Model!U156/Model!Q156-1,"NA")</f>
        <v>-4.5045045045045029E-2</v>
      </c>
      <c r="V156" s="1253">
        <f>IFERROR(Model!V156/Model!R156-1,"NA")</f>
        <v>5.7012542759407037E-2</v>
      </c>
      <c r="W156" s="1253">
        <f>IFERROR(Model!W156/Model!S156-1,"NA")</f>
        <v>0.20897155361050324</v>
      </c>
      <c r="X156" s="1253">
        <f>IFERROR(Model!X156/Model!T156-1,"NA")</f>
        <v>0.27545551982851024</v>
      </c>
      <c r="Y156" s="1253">
        <f>IFERROR(Model!Y156/Model!U156-1,"NA")</f>
        <v>0.23794549266247378</v>
      </c>
      <c r="Z156" s="1253">
        <f>IFERROR(Model!Z156/Model!V156-1,"NA")</f>
        <v>0.33656957928802589</v>
      </c>
      <c r="AA156" s="1253">
        <f>IFERROR(Model!AA156/Model!W156-1,"NA")</f>
        <v>7.3303167420814441E-2</v>
      </c>
      <c r="AB156" s="1253">
        <f>IFERROR(Model!AB156/Model!X156-1,"NA")</f>
        <v>8.9075630252100746E-2</v>
      </c>
      <c r="AC156" s="1250">
        <f>IFERROR(Model!AC156/Model!Y156-1,"NA")</f>
        <v>0.13526116757333573</v>
      </c>
      <c r="AD156" s="1250">
        <f>IFERROR(Model!AD156/Model!Z156-1,"NA")</f>
        <v>0.12972378190734912</v>
      </c>
      <c r="AE156" s="1250">
        <f>IFERROR(Model!AE156/Model!AA156-1,"NA")</f>
        <v>0.2204544204691723</v>
      </c>
      <c r="AF156" s="1250">
        <f>IFERROR(Model!AF156/Model!AB156-1,"NA")</f>
        <v>9.7427563897260372E-2</v>
      </c>
      <c r="AG156" s="1250">
        <f>IFERROR(Model!AG156/Model!AC156-1,"NA")</f>
        <v>8.4291069635951565E-2</v>
      </c>
      <c r="AH156" s="1250">
        <f>IFERROR(Model!AH156/Model!AD156-1,"NA")</f>
        <v>0.10821690954654595</v>
      </c>
      <c r="AI156" s="1250">
        <f>IFERROR(Model!AI156/Model!AE156-1,"NA")</f>
        <v>0.12009308220293091</v>
      </c>
      <c r="AJ156" s="1250"/>
      <c r="AK156" s="1250"/>
      <c r="AL156" s="1250"/>
      <c r="AM156" s="1250"/>
      <c r="AN156" s="1250"/>
      <c r="AO156" s="1250"/>
      <c r="AP156" s="1250"/>
      <c r="AQ156" s="1250"/>
      <c r="AR156" s="1236"/>
      <c r="AS156" s="1248"/>
      <c r="AT156" s="1248"/>
      <c r="AU156" s="1236"/>
      <c r="AV156" s="1236">
        <f>IFERROR(Model!AV156/Model!AU156-1,"NA")</f>
        <v>-0.19409209383145087</v>
      </c>
      <c r="AW156" s="1236">
        <f>IFERROR(Model!AW156/Model!AV156-1,"NA")</f>
        <v>-9.3143596377749049E-2</v>
      </c>
      <c r="AX156" s="1236">
        <f>IFERROR(Model!AX156/Model!AW156-1,"NA")</f>
        <v>-0.10817879220161675</v>
      </c>
      <c r="AY156" s="1236">
        <f>IFERROR(Model!AY156/Model!AX156-1,"NA")</f>
        <v>4.4788056518261898E-2</v>
      </c>
      <c r="AZ156" s="1236">
        <f>IFERROR(Model!AZ156/Model!AY156-1,"NA")</f>
        <v>0.22378157693289102</v>
      </c>
      <c r="BA156" s="1236">
        <f>IFERROR(Model!BA156/Model!AZ156-1,"NA")</f>
        <v>0.14343831262797191</v>
      </c>
      <c r="BB156" s="1250">
        <f>IFERROR(Model!BB156/Model!BA156-1,"NA")</f>
        <v>0.10295223042959956</v>
      </c>
      <c r="BC156" s="1250">
        <f>IFERROR(Model!BC156/Model!BB156-1,"NA")</f>
        <v>0.12145162630215967</v>
      </c>
      <c r="BD156" s="1250">
        <f>IFERROR(Model!BD156/Model!BC156-1,"NA")</f>
        <v>0.111478470741742</v>
      </c>
      <c r="BE156" s="1250">
        <f>IFERROR(Model!BE156/Model!BD156-1,"NA")</f>
        <v>0.10926931266376649</v>
      </c>
    </row>
    <row r="157" spans="1:71" x14ac:dyDescent="0.2">
      <c r="B157" s="322"/>
      <c r="C157" s="322" t="s">
        <v>243</v>
      </c>
      <c r="D157" s="1247"/>
      <c r="E157" s="1247"/>
      <c r="F157" s="1247"/>
      <c r="G157" s="1247"/>
      <c r="H157" s="1247">
        <f>IFERROR(Model!H157/Model!D157-1,"NA")</f>
        <v>-0.5688405797101449</v>
      </c>
      <c r="I157" s="1247">
        <f>IFERROR(Model!I157/Model!E157-1,"NA")</f>
        <v>-0.57358490566037734</v>
      </c>
      <c r="J157" s="1247">
        <f>IFERROR(Model!J157/Model!F157-1,"NA")</f>
        <v>-0.58517034068136264</v>
      </c>
      <c r="K157" s="1247">
        <f>IFERROR(Model!K157/Model!G157-1,"NA")</f>
        <v>-0.64824120603015079</v>
      </c>
      <c r="L157" s="1247">
        <f>IFERROR(Model!L157/Model!H157-1,"NA")</f>
        <v>-0.26610644257703087</v>
      </c>
      <c r="M157" s="1247">
        <f>IFERROR(Model!M157/Model!I157-1,"NA")</f>
        <v>0.1415929203539823</v>
      </c>
      <c r="N157" s="1247">
        <f>IFERROR(Model!N157/Model!J157-1,"NA")</f>
        <v>0.5845410628019323</v>
      </c>
      <c r="O157" s="1247">
        <f>IFERROR(Model!O157/Model!K157-1,"NA")</f>
        <v>2.342857142857143</v>
      </c>
      <c r="P157" s="1247">
        <f>IFERROR(Model!P157/Model!L157-1,"NA")</f>
        <v>-0.66030534351145032</v>
      </c>
      <c r="Q157" s="1247">
        <f>IFERROR(Model!Q157/Model!M157-1,"NA")</f>
        <v>-0.7441860465116279</v>
      </c>
      <c r="R157" s="1247">
        <f>IFERROR(Model!R157/Model!N157-1,"NA")</f>
        <v>-0.85060975609756095</v>
      </c>
      <c r="S157" s="1247">
        <f>IFERROR(Model!S157/Model!O157-1,"NA")</f>
        <v>-0.7649572649572649</v>
      </c>
      <c r="T157" s="1247">
        <f>IFERROR(Model!T157/Model!P157-1,"NA")</f>
        <v>-1.9887640449438202</v>
      </c>
      <c r="U157" s="1247">
        <f>IFERROR(Model!U157/Model!Q157-1,"NA")</f>
        <v>-1.6464646464646466</v>
      </c>
      <c r="V157" s="1247">
        <f>IFERROR(Model!V157/Model!R157-1,"NA")</f>
        <v>-9.4897959183673475</v>
      </c>
      <c r="W157" s="1247">
        <f>IFERROR(Model!W157/Model!S157-1,"NA")</f>
        <v>-3.2727272727272729</v>
      </c>
      <c r="X157" s="1247">
        <f>IFERROR(Model!X157/Model!T157-1,"NA")</f>
        <v>0.875</v>
      </c>
      <c r="Y157" s="1247">
        <f>IFERROR(Model!Y157/Model!U157-1,"NA")</f>
        <v>0.734375</v>
      </c>
      <c r="Z157" s="1247">
        <f>IFERROR(Model!Z157/Model!V157-1,"NA")</f>
        <v>0.12740384615384626</v>
      </c>
      <c r="AA157" s="1247">
        <f>IFERROR(Model!AA157/Model!W157-1,"NA")</f>
        <v>0.28800000000000003</v>
      </c>
      <c r="AB157" s="1247">
        <f>IFERROR(Model!AB157/Model!X157-1,"NA")</f>
        <v>-0.24242424242424243</v>
      </c>
      <c r="AC157" s="1247">
        <f>IFERROR(Model!AC157/Model!Y157-1,"NA")</f>
        <v>0.20787697198568478</v>
      </c>
      <c r="AD157" s="1247">
        <f>IFERROR(Model!AD157/Model!Z157-1,"NA")</f>
        <v>-0.70155058298865525</v>
      </c>
      <c r="AE157" s="1247">
        <f>IFERROR(Model!AE157/Model!AA157-1,"NA")</f>
        <v>-0.10095717846183871</v>
      </c>
      <c r="AF157" s="1247">
        <f>IFERROR(Model!AF157/Model!AB157-1,"NA")</f>
        <v>0.13781289824868148</v>
      </c>
      <c r="AG157" s="1247">
        <f>IFERROR(Model!AG157/Model!AC157-1,"NA")</f>
        <v>8.4291069635952898E-2</v>
      </c>
      <c r="AH157" s="1247">
        <f>IFERROR(Model!AH157/Model!AD157-1,"NA")</f>
        <v>0.10821690954654639</v>
      </c>
      <c r="AI157" s="1247">
        <f>IFERROR(Model!AI157/Model!AE157-1,"NA")</f>
        <v>0.12009308220293113</v>
      </c>
      <c r="AJ157" s="1247"/>
      <c r="AK157" s="1247"/>
      <c r="AL157" s="1247"/>
      <c r="AM157" s="1247"/>
      <c r="AN157" s="1247"/>
      <c r="AO157" s="1247"/>
      <c r="AP157" s="1247"/>
      <c r="AQ157" s="1247"/>
      <c r="AR157" s="1236"/>
      <c r="AS157" s="1248"/>
      <c r="AT157" s="1248"/>
      <c r="AU157" s="1236"/>
      <c r="AV157" s="1236">
        <f>IFERROR(Model!AV157/Model!AU157-1,"NA")</f>
        <v>-0.58078414476518736</v>
      </c>
      <c r="AW157" s="1236">
        <f>IFERROR(Model!AW157/Model!AV157-1,"NA")</f>
        <v>0.24460431654676262</v>
      </c>
      <c r="AX157" s="1236">
        <f>IFERROR(Model!AX157/Model!AW157-1,"NA")</f>
        <v>-0.75887696118909997</v>
      </c>
      <c r="AY157" s="1236">
        <f>IFERROR(Model!AY157/Model!AX157-1,"NA")</f>
        <v>-3.3732876712328768</v>
      </c>
      <c r="AZ157" s="1236">
        <f>IFERROR(Model!AZ157/Model!AY157-1,"NA")</f>
        <v>0.30735930735930728</v>
      </c>
      <c r="BA157" s="1236">
        <f>IFERROR(Model!BA157/Model!AZ157-1,"NA")</f>
        <v>-0.39978695945212406</v>
      </c>
      <c r="BB157" s="1247">
        <f>IFERROR(Model!BB157/Model!BA157-1,"NA")</f>
        <v>0.11228221467449861</v>
      </c>
      <c r="BC157" s="1247">
        <f>IFERROR(Model!BC157/Model!BB157-1,"NA")</f>
        <v>0.12145162630215856</v>
      </c>
      <c r="BD157" s="1247">
        <f>IFERROR(Model!BD157/Model!BC157-1,"NA")</f>
        <v>0.11147847074174355</v>
      </c>
      <c r="BE157" s="1247">
        <f>IFERROR(Model!BE157/Model!BD157-1,"NA")</f>
        <v>0.10926931266376538</v>
      </c>
    </row>
    <row r="158" spans="1:71" x14ac:dyDescent="0.2">
      <c r="B158" s="322"/>
      <c r="C158" s="322"/>
      <c r="D158" s="1248"/>
      <c r="E158" s="1250"/>
      <c r="F158" s="1250"/>
      <c r="G158" s="1250"/>
      <c r="H158" s="1250"/>
      <c r="I158" s="1250"/>
      <c r="J158" s="1250"/>
      <c r="K158" s="1250"/>
      <c r="L158" s="1250"/>
      <c r="M158" s="1250"/>
      <c r="N158" s="1250"/>
      <c r="O158" s="1250"/>
      <c r="P158" s="1250"/>
      <c r="Q158" s="1250"/>
      <c r="R158" s="1250"/>
      <c r="S158" s="1250"/>
      <c r="T158" s="1250"/>
      <c r="U158" s="1250"/>
      <c r="V158" s="1250"/>
      <c r="W158" s="1250"/>
      <c r="X158" s="1250"/>
      <c r="Y158" s="1250"/>
      <c r="Z158" s="1250"/>
      <c r="AA158" s="1250"/>
      <c r="AB158" s="1250"/>
      <c r="AC158" s="1250"/>
      <c r="AD158" s="1250"/>
      <c r="AE158" s="1250"/>
      <c r="AF158" s="1250"/>
      <c r="AG158" s="1250"/>
      <c r="AH158" s="1250"/>
      <c r="AI158" s="1250"/>
      <c r="AJ158" s="1250"/>
      <c r="AK158" s="1250"/>
      <c r="AL158" s="1250"/>
      <c r="AM158" s="1250"/>
      <c r="AN158" s="1250"/>
      <c r="AO158" s="1250"/>
      <c r="AP158" s="1250"/>
      <c r="AQ158" s="1250"/>
      <c r="AR158" s="1236"/>
      <c r="AS158" s="1248"/>
      <c r="AT158" s="1248"/>
      <c r="AU158" s="1236"/>
      <c r="AV158" s="1236"/>
      <c r="AW158" s="1236"/>
      <c r="AX158" s="1236"/>
      <c r="AY158" s="1236"/>
      <c r="AZ158" s="1236"/>
      <c r="BA158" s="1236"/>
      <c r="BB158" s="1250"/>
      <c r="BC158" s="1250"/>
      <c r="BD158" s="1250"/>
      <c r="BE158" s="1250"/>
    </row>
    <row r="159" spans="1:71" x14ac:dyDescent="0.2">
      <c r="B159" s="322" t="s">
        <v>89</v>
      </c>
      <c r="C159" s="387"/>
      <c r="D159" s="1248"/>
      <c r="E159" s="1248"/>
      <c r="F159" s="1248"/>
      <c r="G159" s="1248"/>
      <c r="H159" s="1248">
        <f>IFERROR(Model!H159/Model!D159-1,"NA")</f>
        <v>-0.12794781736076266</v>
      </c>
      <c r="I159" s="1248">
        <f>IFERROR(Model!I159/Model!E159-1,"NA")</f>
        <v>-6.5400843881856519E-2</v>
      </c>
      <c r="J159" s="1248">
        <f>IFERROR(Model!J159/Model!F159-1,"NA")</f>
        <v>-0.27349577324714069</v>
      </c>
      <c r="K159" s="1248">
        <f>IFERROR(Model!K159/Model!G159-1,"NA")</f>
        <v>-0.10502283105022836</v>
      </c>
      <c r="L159" s="1248">
        <f>IFERROR(Model!L159/Model!H159-1,"NA")</f>
        <v>-0.11852704257767543</v>
      </c>
      <c r="M159" s="1248">
        <f>IFERROR(Model!M159/Model!I159-1,"NA")</f>
        <v>2.2573363431150906E-3</v>
      </c>
      <c r="N159" s="1248">
        <f>IFERROR(Model!N159/Model!J159-1,"NA")</f>
        <v>0.31485284052019158</v>
      </c>
      <c r="O159" s="1248">
        <f>IFERROR(Model!O159/Model!K159-1,"NA")</f>
        <v>0.33454810495626819</v>
      </c>
      <c r="P159" s="1248">
        <f>IFERROR(Model!P159/Model!L159-1,"NA")</f>
        <v>0.17362924281984338</v>
      </c>
      <c r="Q159" s="1248">
        <f>IFERROR(Model!Q159/Model!M159-1,"NA")</f>
        <v>-8.0518018018018056E-2</v>
      </c>
      <c r="R159" s="1248">
        <f>IFERROR(Model!R159/Model!N159-1,"NA")</f>
        <v>-0.11660593440916189</v>
      </c>
      <c r="S159" s="1248">
        <f>IFERROR(Model!S159/Model!O159-1,"NA")</f>
        <v>-0.14855270344074278</v>
      </c>
      <c r="T159" s="1248">
        <f>IFERROR(Model!T159/Model!P159-1,"NA")</f>
        <v>-0.27196885428253614</v>
      </c>
      <c r="U159" s="1248">
        <f>IFERROR(Model!U159/Model!Q159-1,"NA")</f>
        <v>-0.22535211267605637</v>
      </c>
      <c r="V159" s="1248">
        <f>IFERROR(Model!V159/Model!R159-1,"NA")</f>
        <v>-0.27931644077784323</v>
      </c>
      <c r="W159" s="1248">
        <f>IFERROR(Model!W159/Model!S159-1,"NA")</f>
        <v>-0.17126363053239257</v>
      </c>
      <c r="X159" s="1248">
        <f>IFERROR(Model!X159/Model!T159-1,"NA")</f>
        <v>-0.241405653170359</v>
      </c>
      <c r="Y159" s="1248">
        <f>IFERROR(Model!Y159/Model!U159-1,"NA")</f>
        <v>-0.16521739130434787</v>
      </c>
      <c r="Z159" s="1248">
        <f>IFERROR(Model!Z159/Model!V159-1,"NA")</f>
        <v>-0.17661488143908421</v>
      </c>
      <c r="AA159" s="1248">
        <f>IFERROR(Model!AA159/Model!W159-1,"NA")</f>
        <v>-1.9349845201238391E-2</v>
      </c>
      <c r="AB159" s="1248">
        <f>IFERROR(Model!AB159/Model!X159-1,"NA")</f>
        <v>9.8690835850956615E-2</v>
      </c>
      <c r="AC159" s="1248">
        <f>IFERROR(Model!AC159/Model!Y159-1,"NA")</f>
        <v>1.4602558485107497E-2</v>
      </c>
      <c r="AD159" s="1248">
        <f>IFERROR(Model!AD159/Model!Z159-1,"NA")</f>
        <v>0.1083771157769946</v>
      </c>
      <c r="AE159" s="1248">
        <f>IFERROR(Model!AE159/Model!AA159-1,"NA")</f>
        <v>-0.15171277178712184</v>
      </c>
      <c r="AF159" s="1248">
        <f>IFERROR(Model!AF159/Model!AB159-1,"NA")</f>
        <v>-5.0430260716622932E-3</v>
      </c>
      <c r="AG159" s="1248">
        <f>IFERROR(Model!AG159/Model!AC159-1,"NA")</f>
        <v>3.9661731654239363E-2</v>
      </c>
      <c r="AH159" s="1248">
        <f>IFERROR(Model!AH159/Model!AD159-1,"NA")</f>
        <v>8.4366051825106592E-3</v>
      </c>
      <c r="AI159" s="1248">
        <f>IFERROR(Model!AI159/Model!AE159-1,"NA")</f>
        <v>-1.362088125238492E-2</v>
      </c>
      <c r="AJ159" s="1248"/>
      <c r="AK159" s="1248"/>
      <c r="AL159" s="1248"/>
      <c r="AM159" s="1248"/>
      <c r="AN159" s="1248"/>
      <c r="AO159" s="1248"/>
      <c r="AP159" s="1248"/>
      <c r="AQ159" s="1248"/>
      <c r="AR159" s="1236"/>
      <c r="AS159" s="1248"/>
      <c r="AT159" s="1248"/>
      <c r="AU159" s="1236"/>
      <c r="AV159" s="1236">
        <f>IFERROR(Model!AV159/Model!AU159-1,"NA")</f>
        <v>-0.14664334723530204</v>
      </c>
      <c r="AW159" s="1236">
        <f>IFERROR(Model!AW159/Model!AV159-1,"NA")</f>
        <v>0.11303799463976039</v>
      </c>
      <c r="AX159" s="1236">
        <f>IFERROR(Model!AX159/Model!AW159-1,"NA")</f>
        <v>-5.2832861189801683E-2</v>
      </c>
      <c r="AY159" s="1236">
        <f>IFERROR(Model!AY159/Model!AX159-1,"NA")</f>
        <v>-0.23897113802901149</v>
      </c>
      <c r="AZ159" s="1236">
        <f>IFERROR(Model!AZ159/Model!AY159-1,"NA")</f>
        <v>-0.15052073098840635</v>
      </c>
      <c r="BA159" s="1236">
        <f>IFERROR(Model!BA159/Model!AZ159-1,"NA")</f>
        <v>7.017343394268627E-3</v>
      </c>
      <c r="BB159" s="1248">
        <f>IFERROR(Model!BB159/Model!BA159-1,"NA")</f>
        <v>7.2977115238619383E-3</v>
      </c>
      <c r="BC159" s="1248">
        <f>IFERROR(Model!BC159/Model!BB159-1,"NA")</f>
        <v>2.0151078240411291E-3</v>
      </c>
      <c r="BD159" s="1248">
        <f>IFERROR(Model!BD159/Model!BC159-1,"NA")</f>
        <v>-1.5490325662720239E-2</v>
      </c>
      <c r="BE159" s="1248">
        <f>IFERROR(Model!BE159/Model!BD159-1,"NA")</f>
        <v>-0.11243977620781798</v>
      </c>
    </row>
    <row r="160" spans="1:71" s="207" customFormat="1" x14ac:dyDescent="0.2">
      <c r="A160" s="832"/>
      <c r="B160" s="37"/>
      <c r="C160" s="434" t="s">
        <v>90</v>
      </c>
      <c r="D160" s="1287"/>
      <c r="E160" s="1287"/>
      <c r="F160" s="1287"/>
      <c r="G160" s="1287"/>
      <c r="H160" s="1287">
        <f>IFERROR(Model!H160/Model!D160-1,"NA")</f>
        <v>-8.6713286713286708E-2</v>
      </c>
      <c r="I160" s="1287">
        <f>IFERROR(Model!I160/Model!E160-1,"NA")</f>
        <v>-8.9812332439678233E-2</v>
      </c>
      <c r="J160" s="1287">
        <f>IFERROR(Model!J160/Model!F160-1,"NA")</f>
        <v>-0.26912928759894461</v>
      </c>
      <c r="K160" s="1287">
        <f>IFERROR(Model!K160/Model!G160-1,"NA")</f>
        <v>-0.15463917525773196</v>
      </c>
      <c r="L160" s="1287">
        <f>IFERROR(Model!L160/Model!H160-1,"NA")</f>
        <v>-0.23889739663093412</v>
      </c>
      <c r="M160" s="1287">
        <f>IFERROR(Model!M160/Model!I160-1,"NA")</f>
        <v>4.4182621502208974E-3</v>
      </c>
      <c r="N160" s="1287">
        <f>IFERROR(Model!N160/Model!J160-1,"NA")</f>
        <v>0.29241877256317683</v>
      </c>
      <c r="O160" s="1287">
        <f>IFERROR(Model!O160/Model!K160-1,"NA")</f>
        <v>0.36788617886178865</v>
      </c>
      <c r="P160" s="1287">
        <f>IFERROR(Model!P160/Model!L160-1,"NA")</f>
        <v>0.36217303822937619</v>
      </c>
      <c r="Q160" s="1287">
        <f>IFERROR(Model!Q160/Model!M160-1,"NA")</f>
        <v>-0.1539589442815249</v>
      </c>
      <c r="R160" s="1287">
        <f>IFERROR(Model!R160/Model!N160-1,"NA")</f>
        <v>-9.4972067039106101E-2</v>
      </c>
      <c r="S160" s="1287">
        <f>IFERROR(Model!S160/Model!O160-1,"NA")</f>
        <v>-0.11292719167904908</v>
      </c>
      <c r="T160" s="1287">
        <f>IFERROR(Model!T160/Model!P160-1,"NA")</f>
        <v>-0.29689807976366323</v>
      </c>
      <c r="U160" s="1287">
        <f>IFERROR(Model!U160/Model!Q160-1,"NA")</f>
        <v>-0.22010398613518201</v>
      </c>
      <c r="V160" s="1287">
        <f>IFERROR(Model!V160/Model!R160-1,"NA")</f>
        <v>-0.31635802469135799</v>
      </c>
      <c r="W160" s="1287">
        <f>IFERROR(Model!W160/Model!S160-1,"NA")</f>
        <v>-0.19262981574539362</v>
      </c>
      <c r="X160" s="1287">
        <f>IFERROR(Model!X160/Model!T160-1,"NA")</f>
        <v>-0.20378151260504207</v>
      </c>
      <c r="Y160" s="1287">
        <f>IFERROR(Model!Y160/Model!U160-1,"NA")</f>
        <v>-0.11333333333333329</v>
      </c>
      <c r="Z160" s="1287">
        <f>IFERROR(Model!Z160/Model!V160-1,"NA")</f>
        <v>-0.17607223476297973</v>
      </c>
      <c r="AA160" s="1287">
        <f>IFERROR(Model!AA160/Model!W160-1,"NA")</f>
        <v>1.4688796680497926</v>
      </c>
      <c r="AB160" s="1287">
        <f>IFERROR(Model!AB160/Model!X160-1,"NA")</f>
        <v>-0.33245382585751981</v>
      </c>
      <c r="AC160" s="1287">
        <f>IFERROR(Model!AC160/Model!Y160-1,"NA")</f>
        <v>-0.32868402145346265</v>
      </c>
      <c r="AD160" s="1287">
        <f>IFERROR(Model!AD160/Model!Z160-1,"NA")</f>
        <v>-0.23552345507710026</v>
      </c>
      <c r="AE160" s="1287">
        <f>IFERROR(Model!AE160/Model!AA160-1,"NA")</f>
        <v>-0.77420589954921915</v>
      </c>
      <c r="AF160" s="1287">
        <f>IFERROR(Model!AF160/Model!AB160-1,"NA")</f>
        <v>2.9721478471920637E-2</v>
      </c>
      <c r="AG160" s="1287">
        <f>IFERROR(Model!AG160/Model!AC160-1,"NA")</f>
        <v>-1.9247376119302384E-3</v>
      </c>
      <c r="AH160" s="1287">
        <f>IFERROR(Model!AH160/Model!AD160-1,"NA")</f>
        <v>-3.1900859024789674E-2</v>
      </c>
      <c r="AI160" s="1287">
        <f>IFERROR(Model!AI160/Model!AE160-1,"NA")</f>
        <v>-5.3076046002289545E-2</v>
      </c>
      <c r="AJ160" s="1287"/>
      <c r="AK160" s="1287"/>
      <c r="AL160" s="1287"/>
      <c r="AM160" s="1287"/>
      <c r="AN160" s="1287"/>
      <c r="AO160" s="1287"/>
      <c r="AP160" s="1287"/>
      <c r="AQ160" s="1287"/>
      <c r="AR160" s="1236"/>
      <c r="AS160" s="1287"/>
      <c r="AT160" s="1248"/>
      <c r="AU160" s="1236"/>
      <c r="AV160" s="1236">
        <f>IFERROR(Model!AV160/Model!AU160-1,"NA")</f>
        <v>-0.15101749375223139</v>
      </c>
      <c r="AW160" s="1236">
        <f>IFERROR(Model!AW160/Model!AV160-1,"NA")</f>
        <v>7.9899074852817442E-2</v>
      </c>
      <c r="AX160" s="1236">
        <f>IFERROR(Model!AX160/Model!AW160-1,"NA")</f>
        <v>-2.6869158878504718E-2</v>
      </c>
      <c r="AY160" s="1236">
        <f>IFERROR(Model!AY160/Model!AX160-1,"NA")</f>
        <v>-0.25930372148859548</v>
      </c>
      <c r="AZ160" s="1236">
        <f>IFERROR(Model!AZ160/Model!AY160-1,"NA")</f>
        <v>0.26039978390059426</v>
      </c>
      <c r="BA160" s="1236">
        <f>IFERROR(Model!BA160/Model!AZ160-1,"NA")</f>
        <v>-0.54196999833975301</v>
      </c>
      <c r="BB160" s="1287">
        <f>IFERROR(Model!BB160/Model!BA160-1,"NA")</f>
        <v>-1.5121605994320442E-2</v>
      </c>
      <c r="BC160" s="1287">
        <f>IFERROR(Model!BC160/Model!BB160-1,"NA")</f>
        <v>2.0151078240411291E-3</v>
      </c>
      <c r="BD160" s="1287">
        <f>IFERROR(Model!BD160/Model!BC160-1,"NA")</f>
        <v>-1.5490325662720239E-2</v>
      </c>
      <c r="BE160" s="1287">
        <f>IFERROR(Model!BE160/Model!BD160-1,"NA")</f>
        <v>-0.11243977620781787</v>
      </c>
    </row>
    <row r="161" spans="1:57" x14ac:dyDescent="0.2">
      <c r="B161" s="322"/>
      <c r="C161" s="434" t="s">
        <v>191</v>
      </c>
      <c r="D161" s="1249"/>
      <c r="E161" s="1249"/>
      <c r="F161" s="1249"/>
      <c r="G161" s="1249"/>
      <c r="H161" s="1249"/>
      <c r="I161" s="1249"/>
      <c r="J161" s="1249"/>
      <c r="K161" s="1249"/>
      <c r="L161" s="1249"/>
      <c r="M161" s="1249"/>
      <c r="N161" s="1249"/>
      <c r="O161" s="1249"/>
      <c r="P161" s="1249"/>
      <c r="Q161" s="1249"/>
      <c r="R161" s="1249"/>
      <c r="S161" s="1249"/>
      <c r="T161" s="1249"/>
      <c r="U161" s="1249"/>
      <c r="V161" s="1249"/>
      <c r="W161" s="1249"/>
      <c r="X161" s="1249"/>
      <c r="Y161" s="1249"/>
      <c r="Z161" s="1249"/>
      <c r="AA161" s="1249"/>
      <c r="AB161" s="1249"/>
      <c r="AC161" s="1362"/>
      <c r="AD161" s="1362"/>
      <c r="AE161" s="1362"/>
      <c r="AF161" s="1362"/>
      <c r="AG161" s="1362"/>
      <c r="AH161" s="1362"/>
      <c r="AI161" s="1362"/>
      <c r="AJ161" s="1362"/>
      <c r="AK161" s="1362"/>
      <c r="AL161" s="1362"/>
      <c r="AM161" s="1362"/>
      <c r="AN161" s="1362"/>
      <c r="AO161" s="1362"/>
      <c r="AP161" s="1362"/>
      <c r="AQ161" s="1362"/>
      <c r="AR161" s="1236"/>
      <c r="AS161" s="1248"/>
      <c r="AT161" s="1248"/>
      <c r="AU161" s="1249"/>
      <c r="AV161" s="1249"/>
      <c r="AW161" s="1249"/>
      <c r="AX161" s="1249"/>
      <c r="AY161" s="1249"/>
      <c r="AZ161" s="1249"/>
      <c r="BA161" s="1249"/>
      <c r="BB161" s="1362"/>
      <c r="BC161" s="1362"/>
      <c r="BD161" s="1362"/>
      <c r="BE161" s="1362"/>
    </row>
    <row r="162" spans="1:57" s="160" customFormat="1" x14ac:dyDescent="0.2">
      <c r="A162" s="829"/>
      <c r="B162" s="316" t="s">
        <v>80</v>
      </c>
      <c r="C162" s="316"/>
      <c r="D162" s="1254"/>
      <c r="E162" s="1254"/>
      <c r="F162" s="1254"/>
      <c r="G162" s="1254"/>
      <c r="H162" s="1254">
        <f>IFERROR(Model!H162/Model!D162-1,"NA")</f>
        <v>-0.15101721439749605</v>
      </c>
      <c r="I162" s="1254">
        <f>IFERROR(Model!I162/Model!E162-1,"NA")</f>
        <v>-4.9565217391304373E-2</v>
      </c>
      <c r="J162" s="1254">
        <f>IFERROR(Model!J162/Model!F162-1,"NA")</f>
        <v>-0.27613727055067838</v>
      </c>
      <c r="K162" s="1254">
        <f>IFERROR(Model!K162/Model!G162-1,"NA")</f>
        <v>-7.4658254468980001E-2</v>
      </c>
      <c r="L162" s="1254">
        <f>IFERROR(Model!L162/Model!H162-1,"NA")</f>
        <v>-4.6082949308755783E-2</v>
      </c>
      <c r="M162" s="1254">
        <f>IFERROR(Model!M162/Model!I162-1,"NA")</f>
        <v>9.1491308325708509E-4</v>
      </c>
      <c r="N162" s="1254">
        <f>IFERROR(Model!N162/Model!J162-1,"NA")</f>
        <v>0.32855567805953689</v>
      </c>
      <c r="O162" s="1254">
        <f>IFERROR(Model!O162/Model!K162-1,"NA")</f>
        <v>0.31590909090909092</v>
      </c>
      <c r="P162" s="1254">
        <f>IFERROR(Model!P162/Model!L162-1,"NA")</f>
        <v>8.309178743961354E-2</v>
      </c>
      <c r="Q162" s="1254">
        <f>IFERROR(Model!Q162/Model!M162-1,"NA")</f>
        <v>-3.4734917733089565E-2</v>
      </c>
      <c r="R162" s="1254">
        <f>IFERROR(Model!R162/Model!N162-1,"NA")</f>
        <v>-0.12946058091286305</v>
      </c>
      <c r="S162" s="1254">
        <f>IFERROR(Model!S162/Model!O162-1,"NA")</f>
        <v>-0.16925734024179617</v>
      </c>
      <c r="T162" s="1254">
        <f>IFERROR(Model!T162/Model!P162-1,"NA")</f>
        <v>-0.25691347011596788</v>
      </c>
      <c r="U162" s="1254">
        <f>IFERROR(Model!U162/Model!Q162-1,"NA")</f>
        <v>-0.22821969696969702</v>
      </c>
      <c r="V162" s="1254">
        <f>IFERROR(Model!V162/Model!R162-1,"NA")</f>
        <v>-0.25643469971401334</v>
      </c>
      <c r="W162" s="1254">
        <f>IFERROR(Model!W162/Model!S162-1,"NA")</f>
        <v>-0.15800415800415801</v>
      </c>
      <c r="X162" s="1254">
        <f>IFERROR(Model!X162/Model!T162-1,"NA")</f>
        <v>-0.26290516206482595</v>
      </c>
      <c r="Y162" s="1254">
        <f>IFERROR(Model!Y162/Model!U162-1,"NA")</f>
        <v>-0.19386503067484662</v>
      </c>
      <c r="Z162" s="1254">
        <f>IFERROR(Model!Z162/Model!V162-1,"NA")</f>
        <v>-0.17692307692307696</v>
      </c>
      <c r="AA162" s="1254">
        <f>IFERROR(Model!AA162/Model!W162-1,"NA")</f>
        <v>-0.90493827160493823</v>
      </c>
      <c r="AB162" s="1254">
        <f>IFERROR(Model!AB162/Model!X162-1,"NA")</f>
        <v>0.3648208469055374</v>
      </c>
      <c r="AC162" s="1255">
        <f>IFERROR(Model!AC162/Model!Y162-1,"NA")</f>
        <v>0.22308253625602004</v>
      </c>
      <c r="AD162" s="1255">
        <f>IFERROR(Model!AD162/Model!Z162-1,"NA")</f>
        <v>0.30389691073298297</v>
      </c>
      <c r="AE162" s="1255">
        <f>IFERROR(Model!AE162/Model!AA162-1,"NA")</f>
        <v>9.4686355663543829</v>
      </c>
      <c r="AF162" s="1255">
        <f>IFERROR(Model!AF162/Model!AB162-1,"NA")</f>
        <v>-1.5538753577063913E-2</v>
      </c>
      <c r="AG162" s="1255">
        <f>IFERROR(Model!AG162/Model!AC162-1,"NA")</f>
        <v>5.3523888076296045E-2</v>
      </c>
      <c r="AH162" s="1255">
        <f>IFERROR(Model!AH162/Model!AD162-1,"NA")</f>
        <v>2.1882426584944215E-2</v>
      </c>
      <c r="AI162" s="1255">
        <f>IFERROR(Model!AI162/Model!AE162-1,"NA")</f>
        <v>-4.6915966908334106E-4</v>
      </c>
      <c r="AJ162" s="1255"/>
      <c r="AK162" s="1255"/>
      <c r="AL162" s="1255"/>
      <c r="AM162" s="1255"/>
      <c r="AN162" s="1255"/>
      <c r="AO162" s="1255"/>
      <c r="AP162" s="1255"/>
      <c r="AQ162" s="1255"/>
      <c r="AR162" s="1236"/>
      <c r="AS162" s="1239"/>
      <c r="AT162" s="1239"/>
      <c r="AU162" s="1396"/>
      <c r="AV162" s="1396">
        <f>IFERROR(Model!AV162/Model!AU162-1,"NA")</f>
        <v>-0.14399827288428324</v>
      </c>
      <c r="AW162" s="1396">
        <f>IFERROR(Model!AW162/Model!AV162-1,"NA")</f>
        <v>0.13291298865069368</v>
      </c>
      <c r="AX162" s="1396">
        <f>IFERROR(Model!AX162/Model!AW162-1,"NA")</f>
        <v>-6.7675868210151369E-2</v>
      </c>
      <c r="AY162" s="1396">
        <f>IFERROR(Model!AY162/Model!AX162-1,"NA")</f>
        <v>-0.22683858643744026</v>
      </c>
      <c r="AZ162" s="1396">
        <f>IFERROR(Model!AZ162/Model!AY162-1,"NA")</f>
        <v>-0.38542310067943175</v>
      </c>
      <c r="BA162" s="1396">
        <f>IFERROR(Model!BA162/Model!AZ162-1,"NA")</f>
        <v>0.65062913649249632</v>
      </c>
      <c r="BB162" s="1255">
        <f>IFERROR(Model!BB162/Model!BA162-1,"NA")</f>
        <v>1.4591085266398851E-2</v>
      </c>
      <c r="BC162" s="1255">
        <f>IFERROR(Model!BC162/Model!BB162-1,"NA")</f>
        <v>2.0151078240411291E-3</v>
      </c>
      <c r="BD162" s="1255">
        <f>IFERROR(Model!BD162/Model!BC162-1,"NA")</f>
        <v>-1.5490325662720128E-2</v>
      </c>
      <c r="BE162" s="1255">
        <f>IFERROR(Model!BE162/Model!BD162-1,"NA")</f>
        <v>-0.11243977620781809</v>
      </c>
    </row>
    <row r="163" spans="1:57" x14ac:dyDescent="0.2">
      <c r="B163" s="16"/>
      <c r="C163" s="17"/>
      <c r="D163" s="1250"/>
      <c r="E163" s="1250"/>
      <c r="F163" s="1250"/>
      <c r="G163" s="1250"/>
      <c r="H163" s="1250"/>
      <c r="I163" s="1250"/>
      <c r="J163" s="1250"/>
      <c r="K163" s="1250"/>
      <c r="L163" s="1250"/>
      <c r="M163" s="1250"/>
      <c r="N163" s="1250"/>
      <c r="O163" s="1250"/>
      <c r="P163" s="1250"/>
      <c r="Q163" s="1250"/>
      <c r="R163" s="1250"/>
      <c r="S163" s="1250"/>
      <c r="T163" s="1250"/>
      <c r="U163" s="1250"/>
      <c r="V163" s="1250"/>
      <c r="W163" s="1250"/>
      <c r="X163" s="1250"/>
      <c r="Y163" s="1250"/>
      <c r="Z163" s="1250"/>
      <c r="AA163" s="1250"/>
      <c r="AB163" s="1250"/>
      <c r="AC163" s="1250"/>
      <c r="AD163" s="1250"/>
      <c r="AE163" s="1250"/>
      <c r="AF163" s="1250"/>
      <c r="AG163" s="1250"/>
      <c r="AH163" s="1250"/>
      <c r="AI163" s="1250"/>
      <c r="AJ163" s="1250"/>
      <c r="AK163" s="1250"/>
      <c r="AL163" s="1250"/>
      <c r="AM163" s="1250"/>
      <c r="AN163" s="1250"/>
      <c r="AO163" s="1250"/>
      <c r="AP163" s="1250"/>
      <c r="AQ163" s="1250"/>
      <c r="AR163" s="1236"/>
      <c r="AS163" s="1371"/>
      <c r="AT163" s="1372"/>
      <c r="AU163" s="1236"/>
      <c r="AV163" s="1236"/>
      <c r="AW163" s="1236"/>
      <c r="AX163" s="1236"/>
      <c r="AY163" s="1236"/>
      <c r="AZ163" s="1236"/>
      <c r="BA163" s="1236"/>
      <c r="BB163" s="1236"/>
      <c r="BC163" s="1236"/>
      <c r="BD163" s="1236"/>
      <c r="BE163" s="1236"/>
    </row>
    <row r="164" spans="1:57" x14ac:dyDescent="0.2">
      <c r="A164" s="833"/>
      <c r="B164" s="340" t="s">
        <v>207</v>
      </c>
      <c r="C164" s="388"/>
      <c r="D164" s="1407"/>
      <c r="E164" s="1310"/>
      <c r="F164" s="1398"/>
      <c r="G164" s="1398"/>
      <c r="H164" s="1398"/>
      <c r="I164" s="1398"/>
      <c r="J164" s="1398"/>
      <c r="K164" s="1398"/>
      <c r="L164" s="1398"/>
      <c r="M164" s="1398"/>
      <c r="N164" s="1398"/>
      <c r="O164" s="1398"/>
      <c r="P164" s="1398"/>
      <c r="Q164" s="1398"/>
      <c r="R164" s="1398"/>
      <c r="S164" s="1398"/>
      <c r="T164" s="1398"/>
      <c r="U164" s="1398"/>
      <c r="V164" s="1398"/>
      <c r="W164" s="1398"/>
      <c r="X164" s="1398"/>
      <c r="Y164" s="1398"/>
      <c r="Z164" s="1398"/>
      <c r="AA164" s="1398"/>
      <c r="AB164" s="1398"/>
      <c r="AC164" s="1398"/>
      <c r="AD164" s="1398"/>
      <c r="AE164" s="1398"/>
      <c r="AF164" s="1398"/>
      <c r="AG164" s="1398"/>
      <c r="AH164" s="1398"/>
      <c r="AI164" s="1398"/>
      <c r="AJ164" s="1398"/>
      <c r="AK164" s="1398"/>
      <c r="AL164" s="1398"/>
      <c r="AM164" s="1398"/>
      <c r="AN164" s="1398"/>
      <c r="AO164" s="1398"/>
      <c r="AP164" s="1398"/>
      <c r="AQ164" s="1398"/>
      <c r="AR164" s="1236"/>
      <c r="AS164" s="1313"/>
      <c r="AT164" s="1407"/>
      <c r="AU164" s="1398"/>
      <c r="AV164" s="1398"/>
      <c r="AW164" s="1398"/>
      <c r="AX164" s="1398"/>
      <c r="AY164" s="1398"/>
      <c r="AZ164" s="1398"/>
      <c r="BA164" s="1398"/>
      <c r="BB164" s="1398"/>
      <c r="BC164" s="1398"/>
      <c r="BD164" s="1398"/>
      <c r="BE164" s="1398"/>
    </row>
    <row r="165" spans="1:57" x14ac:dyDescent="0.2">
      <c r="B165" s="321" t="s">
        <v>74</v>
      </c>
      <c r="D165" s="1253"/>
      <c r="E165" s="1253"/>
      <c r="F165" s="1253"/>
      <c r="G165" s="1253"/>
      <c r="H165" s="1253">
        <f>IFERROR(Model!H165/Model!D165-1,"NA")</f>
        <v>-3.8506417736289378E-2</v>
      </c>
      <c r="I165" s="1253">
        <f>IFERROR(Model!I165/Model!E165-1,"NA")</f>
        <v>-3.7528868360277134E-2</v>
      </c>
      <c r="J165" s="1253">
        <f>IFERROR(Model!J165/Model!F165-1,"NA")</f>
        <v>-0.3442982456140351</v>
      </c>
      <c r="K165" s="1253">
        <f>IFERROR(Model!K165/Model!G165-1,"NA")</f>
        <v>-0.34037692747001713</v>
      </c>
      <c r="L165" s="1253">
        <f>IFERROR(Model!L165/Model!H165-1,"NA")</f>
        <v>-0.26577669902912626</v>
      </c>
      <c r="M165" s="1253">
        <f>IFERROR(Model!M165/Model!I165-1,"NA")</f>
        <v>-0.25254949010197958</v>
      </c>
      <c r="N165" s="1253">
        <f>IFERROR(Model!N165/Model!J165-1,"NA")</f>
        <v>9.197324414715724E-2</v>
      </c>
      <c r="O165" s="1253">
        <f>IFERROR(Model!O165/Model!K165-1,"NA")</f>
        <v>0.24069264069264062</v>
      </c>
      <c r="P165" s="1253">
        <f>IFERROR(Model!P165/Model!L165-1,"NA")</f>
        <v>0.1330578512396694</v>
      </c>
      <c r="Q165" s="1253">
        <f>IFERROR(Model!Q165/Model!M165-1,"NA")</f>
        <v>7.5441412520064199E-2</v>
      </c>
      <c r="R165" s="1253">
        <f>IFERROR(Model!R165/Model!N165-1,"NA")</f>
        <v>-7.6569678407345521E-4</v>
      </c>
      <c r="S165" s="1253">
        <f>IFERROR(Model!S165/Model!O165-1,"NA")</f>
        <v>-9.5603628750872249E-2</v>
      </c>
      <c r="T165" s="1253">
        <f>IFERROR(Model!T165/Model!P165-1,"NA")</f>
        <v>-5.908096280087527E-2</v>
      </c>
      <c r="U165" s="1253">
        <f>IFERROR(Model!U165/Model!Q165-1,"NA")</f>
        <v>-2.0149253731343242E-2</v>
      </c>
      <c r="V165" s="1253">
        <f>IFERROR(Model!V165/Model!R165-1,"NA")</f>
        <v>3.9080459770114873E-2</v>
      </c>
      <c r="W165" s="1253">
        <f>IFERROR(Model!W165/Model!S165-1,"NA")</f>
        <v>-2.546296296296291E-2</v>
      </c>
      <c r="X165" s="1253">
        <f>IFERROR(Model!X165/Model!T165-1,"NA")</f>
        <v>-2.5581395348837188E-2</v>
      </c>
      <c r="Y165" s="1253">
        <f>IFERROR(Model!Y165/Model!U165-1,"NA")</f>
        <v>-1.5232292460015229E-2</v>
      </c>
      <c r="Z165" s="1253">
        <f>IFERROR(Model!Z165/Model!V165-1,"NA")</f>
        <v>7.3746312684366266E-3</v>
      </c>
      <c r="AA165" s="1253">
        <f>IFERROR(Model!AA165/Model!W165-1,"NA")</f>
        <v>6.8091844813935154E-2</v>
      </c>
      <c r="AB165" s="1253">
        <f>IFERROR(Model!AB165/Model!X165-1,"NA")</f>
        <v>3.9777247414478856E-2</v>
      </c>
      <c r="AC165" s="407">
        <f>IFERROR(Model!AC165/Model!Y165-1,"NA")</f>
        <v>1.3020823401031834E-2</v>
      </c>
      <c r="AD165" s="407">
        <f>IFERROR(Model!AD165/Model!Z165-1,"NA")</f>
        <v>-1.4968489075191993E-2</v>
      </c>
      <c r="AE165" s="407">
        <f>IFERROR(Model!AE165/Model!AA165-1,"NA")</f>
        <v>9.5981612643765146E-3</v>
      </c>
      <c r="AF165" s="407">
        <f>IFERROR(Model!AF165/Model!AB165-1,"NA")</f>
        <v>1.8400264280318712E-2</v>
      </c>
      <c r="AG165" s="407">
        <f>IFERROR(Model!AG165/Model!AC165-1,"NA")</f>
        <v>4.6150287639807663E-2</v>
      </c>
      <c r="AH165" s="407">
        <f>IFERROR(Model!AH165/Model!AD165-1,"NA")</f>
        <v>4.2634022748068601E-2</v>
      </c>
      <c r="AI165" s="407">
        <f>IFERROR(Model!AI165/Model!AE165-1,"NA")</f>
        <v>4.2984225033465107E-2</v>
      </c>
      <c r="AJ165" s="407"/>
      <c r="AK165" s="407"/>
      <c r="AL165" s="407"/>
      <c r="AM165" s="407"/>
      <c r="AN165" s="407"/>
      <c r="AO165" s="407"/>
      <c r="AP165" s="407"/>
      <c r="AQ165" s="407"/>
      <c r="AR165" s="1236"/>
      <c r="AS165" s="1284"/>
      <c r="AT165" s="407"/>
      <c r="AU165" s="1236"/>
      <c r="AV165" s="1236">
        <f>IFERROR(Model!AV165/Model!AU165-1,"NA")</f>
        <v>-0.1929924512177752</v>
      </c>
      <c r="AW165" s="1236">
        <f>IFERROR(Model!AW165/Model!AV165-1,"NA")</f>
        <v>-8.3127426756088973E-2</v>
      </c>
      <c r="AX165" s="1236">
        <f>IFERROR(Model!AX165/Model!AW165-1,"NA")</f>
        <v>2.2521655437921062E-2</v>
      </c>
      <c r="AY165" s="1236">
        <f>IFERROR(Model!AY165/Model!AX165-1,"NA")</f>
        <v>-1.6942771084337394E-2</v>
      </c>
      <c r="AZ165" s="1236">
        <f>IFERROR(Model!AZ165/Model!AY165-1,"NA")</f>
        <v>8.2343929528916338E-3</v>
      </c>
      <c r="BA165" s="1236">
        <f>IFERROR(Model!BA165/Model!AZ165-1,"NA")</f>
        <v>1.1270064221550857E-2</v>
      </c>
      <c r="BB165" s="407">
        <f>IFERROR(Model!BB165/Model!BA165-1,"NA")</f>
        <v>3.7639816797874204E-2</v>
      </c>
      <c r="BC165" s="407">
        <f>IFERROR(Model!BC165/Model!BB165-1,"NA")</f>
        <v>4.4101721209531597E-2</v>
      </c>
      <c r="BD165" s="407">
        <f>IFERROR(Model!BD165/Model!BC165-1,"NA")</f>
        <v>4.5047064054387631E-2</v>
      </c>
      <c r="BE165" s="407">
        <f>IFERROR(Model!BE165/Model!BD165-1,"NA")</f>
        <v>3.8092442433078855E-2</v>
      </c>
    </row>
    <row r="166" spans="1:57" x14ac:dyDescent="0.2">
      <c r="B166" s="321" t="s">
        <v>75</v>
      </c>
      <c r="D166" s="1240"/>
      <c r="E166" s="1240"/>
      <c r="F166" s="1240"/>
      <c r="G166" s="1240"/>
      <c r="H166" s="1240">
        <f>IFERROR(Model!H166/Model!D166-1,"NA")</f>
        <v>-9.765625E-3</v>
      </c>
      <c r="I166" s="1240">
        <f>IFERROR(Model!I166/Model!E166-1,"NA")</f>
        <v>-5.0251256281407253E-3</v>
      </c>
      <c r="J166" s="1240">
        <f>IFERROR(Model!J166/Model!F166-1,"NA")</f>
        <v>0</v>
      </c>
      <c r="K166" s="1240">
        <f>IFERROR(Model!K166/Model!G166-1,"NA")</f>
        <v>3.7825059101654901E-3</v>
      </c>
      <c r="L166" s="1240">
        <f>IFERROR(Model!L166/Model!H166-1,"NA")</f>
        <v>-3.4516765285995676E-3</v>
      </c>
      <c r="M166" s="1240">
        <f>IFERROR(Model!M166/Model!I166-1,"NA")</f>
        <v>2.474747474747474E-2</v>
      </c>
      <c r="N166" s="1240">
        <f>IFERROR(Model!N166/Model!J166-1,"NA")</f>
        <v>1.3882240306366755E-2</v>
      </c>
      <c r="O166" s="1240">
        <f>IFERROR(Model!O166/Model!K166-1,"NA")</f>
        <v>-4.7103155911443206E-4</v>
      </c>
      <c r="P166" s="1240">
        <f>IFERROR(Model!P166/Model!L166-1,"NA")</f>
        <v>-9.401286491835692E-3</v>
      </c>
      <c r="Q166" s="1240">
        <f>IFERROR(Model!Q166/Model!M166-1,"NA")</f>
        <v>-5.027106949236082E-2</v>
      </c>
      <c r="R166" s="1240">
        <f>IFERROR(Model!R166/Model!N166-1,"NA")</f>
        <v>-9.2540132200188863E-2</v>
      </c>
      <c r="S166" s="1240">
        <f>IFERROR(Model!S166/Model!O166-1,"NA")</f>
        <v>-9.0480678605089571E-2</v>
      </c>
      <c r="T166" s="1240">
        <f>IFERROR(Model!T166/Model!P166-1,"NA")</f>
        <v>-7.092907092907097E-2</v>
      </c>
      <c r="U166" s="1240">
        <f>IFERROR(Model!U166/Model!Q166-1,"NA")</f>
        <v>-2.1276595744680882E-2</v>
      </c>
      <c r="V166" s="1240">
        <f>IFERROR(Model!V166/Model!R166-1,"NA")</f>
        <v>0.13995837669094691</v>
      </c>
      <c r="W166" s="1240">
        <f>IFERROR(Model!W166/Model!S166-1,"NA")</f>
        <v>0.14663212435233164</v>
      </c>
      <c r="X166" s="1240">
        <f>IFERROR(Model!X166/Model!T166-1,"NA")</f>
        <v>0.12688172043010759</v>
      </c>
      <c r="Y166" s="1240">
        <f>IFERROR(Model!Y166/Model!U166-1,"NA")</f>
        <v>0.10233297985153755</v>
      </c>
      <c r="Z166" s="1240">
        <f>IFERROR(Model!Z166/Model!V166-1,"NA")</f>
        <v>-5.9333637608397494E-3</v>
      </c>
      <c r="AA166" s="1240">
        <f>IFERROR(Model!AA166/Model!W166-1,"NA")</f>
        <v>5.4225033890646923E-3</v>
      </c>
      <c r="AB166" s="1240">
        <f>IFERROR(Model!AB166/Model!X166-1,"NA")</f>
        <v>6.4885496183206159E-2</v>
      </c>
      <c r="AC166" s="407">
        <f>IFERROR(Model!AC166/Model!Y166-1,"NA")</f>
        <v>-1.4804206448041923E-2</v>
      </c>
      <c r="AD166" s="407">
        <f>IFERROR(Model!AD166/Model!Z166-1,"NA")</f>
        <v>-2.2104927229958271E-2</v>
      </c>
      <c r="AE166" s="407">
        <f>IFERROR(Model!AE166/Model!AA166-1,"NA")</f>
        <v>-1.7366895342465494E-2</v>
      </c>
      <c r="AF166" s="407">
        <f>IFERROR(Model!AF166/Model!AB166-1,"NA")</f>
        <v>-4.6348548813521795E-2</v>
      </c>
      <c r="AG166" s="407">
        <f>IFERROR(Model!AG166/Model!AC166-1,"NA")</f>
        <v>6.5794944332381533E-2</v>
      </c>
      <c r="AH166" s="407">
        <f>IFERROR(Model!AH166/Model!AD166-1,"NA")</f>
        <v>5.5464528483654574E-2</v>
      </c>
      <c r="AI166" s="407">
        <f>IFERROR(Model!AI166/Model!AE166-1,"NA")</f>
        <v>6.8337459753615937E-2</v>
      </c>
      <c r="AJ166" s="407"/>
      <c r="AK166" s="407"/>
      <c r="AL166" s="407"/>
      <c r="AM166" s="407"/>
      <c r="AN166" s="407"/>
      <c r="AO166" s="407"/>
      <c r="AP166" s="407"/>
      <c r="AQ166" s="407"/>
      <c r="AR166" s="1236"/>
      <c r="AS166" s="1284"/>
      <c r="AT166" s="407"/>
      <c r="AU166" s="1236"/>
      <c r="AV166" s="1236">
        <f>IFERROR(Model!AV166/Model!AU166-1,"NA")</f>
        <v>-2.6692550351856692E-3</v>
      </c>
      <c r="AW166" s="1236">
        <f>IFERROR(Model!AW166/Model!AV166-1,"NA")</f>
        <v>8.5158150851580849E-3</v>
      </c>
      <c r="AX166" s="1236">
        <f>IFERROR(Model!AX166/Model!AW166-1,"NA")</f>
        <v>-6.1399276236429379E-2</v>
      </c>
      <c r="AY166" s="1236">
        <f>IFERROR(Model!AY166/Model!AX166-1,"NA")</f>
        <v>4.7423210384269332E-2</v>
      </c>
      <c r="AZ166" s="1236">
        <f>IFERROR(Model!AZ166/Model!AY166-1,"NA")</f>
        <v>5.2515337423312936E-2</v>
      </c>
      <c r="BA166" s="1236">
        <f>IFERROR(Model!BA166/Model!AZ166-1,"NA")</f>
        <v>2.1492400502081122E-3</v>
      </c>
      <c r="BB166" s="407">
        <f>IFERROR(Model!BB166/Model!BA166-1,"NA")</f>
        <v>3.4764908959141083E-2</v>
      </c>
      <c r="BC166" s="407">
        <f>IFERROR(Model!BC166/Model!BB166-1,"NA")</f>
        <v>6.1093435778603711E-2</v>
      </c>
      <c r="BD166" s="407">
        <f>IFERROR(Model!BD166/Model!BC166-1,"NA")</f>
        <v>4.8074522560266786E-2</v>
      </c>
      <c r="BE166" s="407">
        <f>IFERROR(Model!BE166/Model!BD166-1,"NA")</f>
        <v>4.8067784870312602E-2</v>
      </c>
    </row>
    <row r="167" spans="1:57" x14ac:dyDescent="0.2">
      <c r="A167" s="833"/>
      <c r="B167" s="376" t="s">
        <v>102</v>
      </c>
      <c r="C167" s="25"/>
      <c r="D167" s="1408"/>
      <c r="E167" s="1408"/>
      <c r="F167" s="1408"/>
      <c r="G167" s="1408"/>
      <c r="H167" s="1408">
        <f>IFERROR(Model!H167/Model!D167-1,"NA")</f>
        <v>1.3413816230717579E-2</v>
      </c>
      <c r="I167" s="1408">
        <f>IFERROR(Model!I167/Model!E167-1,"NA")</f>
        <v>1.2978142076502719E-2</v>
      </c>
      <c r="J167" s="1408">
        <f>IFERROR(Model!J167/Model!F167-1,"NA")</f>
        <v>-8.4360804672291012E-3</v>
      </c>
      <c r="K167" s="1408">
        <f>IFERROR(Model!K167/Model!G167-1,"NA")</f>
        <v>8.7410306588388886E-2</v>
      </c>
      <c r="L167" s="1408">
        <f>IFERROR(Model!L167/Model!H167-1,"NA")</f>
        <v>7.544672402382524E-2</v>
      </c>
      <c r="M167" s="1408">
        <f>IFERROR(Model!M167/Model!I167-1,"NA")</f>
        <v>6.6082265677680274E-2</v>
      </c>
      <c r="N167" s="1408">
        <f>IFERROR(Model!N167/Model!J167-1,"NA")</f>
        <v>7.7225130890052451E-2</v>
      </c>
      <c r="O167" s="1408">
        <f>IFERROR(Model!O167/Model!K167-1,"NA")</f>
        <v>-3.4193161367726432E-2</v>
      </c>
      <c r="P167" s="1408">
        <f>IFERROR(Model!P167/Model!L167-1,"NA")</f>
        <v>6.1538461538461764E-3</v>
      </c>
      <c r="Q167" s="1408">
        <f>IFERROR(Model!Q167/Model!M167-1,"NA")</f>
        <v>0</v>
      </c>
      <c r="R167" s="1408">
        <f>IFERROR(Model!R167/Model!N167-1,"NA")</f>
        <v>-2.0048602673147009E-2</v>
      </c>
      <c r="S167" s="1408">
        <f>IFERROR(Model!S167/Model!O167-1,"NA")</f>
        <v>-1.0559006211180111E-2</v>
      </c>
      <c r="T167" s="1408">
        <f>IFERROR(Model!T167/Model!P167-1,"NA")</f>
        <v>2.7522935779816571E-2</v>
      </c>
      <c r="U167" s="1408">
        <f>IFERROR(Model!U167/Model!Q167-1,"NA")</f>
        <v>-4.4908285895003175E-2</v>
      </c>
      <c r="V167" s="1408">
        <f>IFERROR(Model!V167/Model!R167-1,"NA")</f>
        <v>6.1996280223186595E-4</v>
      </c>
      <c r="W167" s="1408">
        <f>IFERROR(Model!W167/Model!S167-1,"NA")</f>
        <v>-6.2774639045825031E-3</v>
      </c>
      <c r="X167" s="1408">
        <f>IFERROR(Model!X167/Model!T167-1,"NA")</f>
        <v>-5.2380952380952417E-2</v>
      </c>
      <c r="Y167" s="1408">
        <f>IFERROR(Model!Y167/Model!U167-1,"NA")</f>
        <v>4.2384105960264984E-2</v>
      </c>
      <c r="Z167" s="1408">
        <f>IFERROR(Model!Z167/Model!V167-1,"NA")</f>
        <v>2.4163568773234223E-2</v>
      </c>
      <c r="AA167" s="1408">
        <f>IFERROR(Model!AA167/Model!W167-1,"NA")</f>
        <v>1.5792798483891257E-2</v>
      </c>
      <c r="AB167" s="1408">
        <f>IFERROR(Model!AB167/Model!X167-1,"NA")</f>
        <v>1.6331658291457218E-2</v>
      </c>
      <c r="AC167" s="1307">
        <f>IFERROR(Model!AC167/Model!Y167-1,"NA")</f>
        <v>3.8478853718820982E-2</v>
      </c>
      <c r="AD167" s="1307">
        <f>IFERROR(Model!AD167/Model!Z167-1,"NA")</f>
        <v>4.7860641515219404E-2</v>
      </c>
      <c r="AE167" s="1307">
        <f>IFERROR(Model!AE167/Model!AA167-1,"NA")</f>
        <v>4.5444835395794581E-2</v>
      </c>
      <c r="AF167" s="1307">
        <f>IFERROR(Model!AF167/Model!AB167-1,"NA")</f>
        <v>7.3214582965931196E-2</v>
      </c>
      <c r="AG167" s="1307">
        <f>IFERROR(Model!AG167/Model!AC167-1,"NA")</f>
        <v>4.907461240526878E-2</v>
      </c>
      <c r="AH167" s="1307">
        <f>IFERROR(Model!AH167/Model!AD167-1,"NA")</f>
        <v>3.6309540209393365E-2</v>
      </c>
      <c r="AI167" s="1307">
        <f>IFERROR(Model!AI167/Model!AE167-1,"NA")</f>
        <v>1.8468298547655859E-2</v>
      </c>
      <c r="AJ167" s="1318"/>
      <c r="AK167" s="1318"/>
      <c r="AL167" s="1318"/>
      <c r="AM167" s="1318"/>
      <c r="AN167" s="1318"/>
      <c r="AO167" s="1318"/>
      <c r="AP167" s="1318"/>
      <c r="AQ167" s="1318"/>
      <c r="AR167" s="1236"/>
      <c r="AS167" s="1270"/>
      <c r="AT167" s="1307"/>
      <c r="AU167" s="1246"/>
      <c r="AV167" s="1246">
        <f>IFERROR(Model!AV167/Model!AU167-1,"NA")</f>
        <v>2.6538397744236164E-2</v>
      </c>
      <c r="AW167" s="1246">
        <f>IFERROR(Model!AW167/Model!AV167-1,"NA")</f>
        <v>4.4110518662142439E-2</v>
      </c>
      <c r="AX167" s="1246">
        <f>IFERROR(Model!AX167/Model!AW167-1,"NA")</f>
        <v>-6.1900340451872538E-3</v>
      </c>
      <c r="AY167" s="1246">
        <f>IFERROR(Model!AY167/Model!AX167-1,"NA")</f>
        <v>-5.4500155714730658E-3</v>
      </c>
      <c r="AZ167" s="1246">
        <f>IFERROR(Model!AZ167/Model!AY167-1,"NA")</f>
        <v>6.2627211523407222E-3</v>
      </c>
      <c r="BA167" s="1246">
        <f>IFERROR(Model!BA167/Model!AZ167-1,"NA")</f>
        <v>3.7148693246385367E-2</v>
      </c>
      <c r="BB167" s="1307">
        <f>IFERROR(Model!BB167/Model!BA167-1,"NA")</f>
        <v>4.3898364071057072E-2</v>
      </c>
      <c r="BC167" s="1307">
        <f>IFERROR(Model!BC167/Model!BB167-1,"NA")</f>
        <v>2.919067195199565E-2</v>
      </c>
      <c r="BD167" s="1307">
        <f>IFERROR(Model!BD167/Model!BC167-1,"NA")</f>
        <v>4.0000000000000036E-2</v>
      </c>
      <c r="BE167" s="1307">
        <f>IFERROR(Model!BE167/Model!BD167-1,"NA")</f>
        <v>4.0000000000000036E-2</v>
      </c>
    </row>
    <row r="168" spans="1:57" x14ac:dyDescent="0.2">
      <c r="A168" s="833"/>
      <c r="C168" s="17" t="s">
        <v>545</v>
      </c>
      <c r="D168" s="1267"/>
      <c r="E168" s="1267"/>
      <c r="F168" s="1267"/>
      <c r="G168" s="1267"/>
      <c r="H168" s="1267">
        <f>IFERROR(Model!H168/Model!D168-1,"NA")</f>
        <v>-1.2564249000571071E-2</v>
      </c>
      <c r="I168" s="1267">
        <f>IFERROR(Model!I168/Model!E168-1,"NA")</f>
        <v>-1.0798303123794817E-2</v>
      </c>
      <c r="J168" s="1267">
        <f>IFERROR(Model!J168/Model!F168-1,"NA")</f>
        <v>-0.11752841950861748</v>
      </c>
      <c r="K168" s="1267">
        <f>IFERROR(Model!K168/Model!G168-1,"NA")</f>
        <v>-8.4089646230783521E-2</v>
      </c>
      <c r="L168" s="1267">
        <f>IFERROR(Model!L168/Model!H168-1,"NA")</f>
        <v>-6.3813379602853271E-2</v>
      </c>
      <c r="M168" s="1267">
        <f>IFERROR(Model!M168/Model!I168-1,"NA")</f>
        <v>-5.3411306042885021E-2</v>
      </c>
      <c r="N168" s="1267">
        <f>IFERROR(Model!N168/Model!J168-1,"NA")</f>
        <v>5.3397049657178508E-2</v>
      </c>
      <c r="O168" s="1267">
        <f>IFERROR(Model!O168/Model!K168-1,"NA")</f>
        <v>4.4489383215368994E-2</v>
      </c>
      <c r="P168" s="1267">
        <f>IFERROR(Model!P168/Model!L168-1,"NA")</f>
        <v>3.13014827018121E-2</v>
      </c>
      <c r="Q168" s="1267">
        <f>IFERROR(Model!Q168/Model!M168-1,"NA")</f>
        <v>-1.6474464579900872E-3</v>
      </c>
      <c r="R168" s="1267">
        <f>IFERROR(Model!R168/Model!N168-1,"NA")</f>
        <v>-4.5364891518737682E-2</v>
      </c>
      <c r="S168" s="1267">
        <f>IFERROR(Model!S168/Model!O168-1,"NA")</f>
        <v>-6.6989351403678565E-2</v>
      </c>
      <c r="T168" s="1267">
        <f>IFERROR(Model!T168/Model!P168-1,"NA")</f>
        <v>-3.5543130990415284E-2</v>
      </c>
      <c r="U168" s="1267">
        <f>IFERROR(Model!U168/Model!Q168-1,"NA")</f>
        <v>-2.8671617161716179E-2</v>
      </c>
      <c r="V168" s="1267">
        <f>IFERROR(Model!V168/Model!R168-1,"NA")</f>
        <v>6.6322314049586772E-2</v>
      </c>
      <c r="W168" s="1267">
        <f>IFERROR(Model!W168/Model!S168-1,"NA")</f>
        <v>4.9802863664660801E-2</v>
      </c>
      <c r="X168" s="1267">
        <f>IFERROR(Model!X168/Model!T168-1,"NA")</f>
        <v>2.3809523809523725E-2</v>
      </c>
      <c r="Y168" s="1267">
        <f>IFERROR(Model!Y168/Model!U168-1,"NA")</f>
        <v>5.0329156933531571E-2</v>
      </c>
      <c r="Z168" s="1267">
        <f>IFERROR(Model!Z168/Model!V168-1,"NA")</f>
        <v>6.9753923658206762E-3</v>
      </c>
      <c r="AA168" s="1267">
        <f>IFERROR(Model!AA168/Model!W168-1,"NA")</f>
        <v>2.4313105356789988E-2</v>
      </c>
      <c r="AB168" s="1267">
        <f>IFERROR(Model!AB168/Model!X168-1,"NA")</f>
        <v>4.2871587462082861E-2</v>
      </c>
      <c r="AC168" s="1267">
        <f>IFERROR(Model!AC168/Model!Y168-1,"NA")</f>
        <v>9.4265457350342086E-3</v>
      </c>
      <c r="AD168" s="1267">
        <f>IFERROR(Model!AD168/Model!Z168-1,"NA")</f>
        <v>2.0246590034820322E-3</v>
      </c>
      <c r="AE168" s="1267">
        <f>IFERROR(Model!AE168/Model!AA168-1,"NA")</f>
        <v>9.1435493487255215E-3</v>
      </c>
      <c r="AF168" s="1267">
        <f>IFERROR(Model!AF168/Model!AB168-1,"NA")</f>
        <v>7.5742446580322476E-3</v>
      </c>
      <c r="AG168" s="1267">
        <f>IFERROR(Model!AG168/Model!AC168-1,"NA")</f>
        <v>5.5166913535962925E-2</v>
      </c>
      <c r="AH168" s="1267">
        <f>IFERROR(Model!AH168/Model!AD168-1,"NA")</f>
        <v>4.5778013277551155E-2</v>
      </c>
      <c r="AI168" s="1267">
        <f>IFERROR(Model!AI168/Model!AE168-1,"NA")</f>
        <v>4.5703121114148093E-2</v>
      </c>
      <c r="AJ168" s="1267"/>
      <c r="AK168" s="1267"/>
      <c r="AL168" s="1267"/>
      <c r="AM168" s="1267"/>
      <c r="AN168" s="1267"/>
      <c r="AO168" s="1267"/>
      <c r="AP168" s="1267"/>
      <c r="AQ168" s="1267"/>
      <c r="AR168" s="1236"/>
      <c r="AS168" s="1382"/>
      <c r="AT168" s="1248"/>
      <c r="AU168" s="1267"/>
      <c r="AV168" s="1267">
        <f>IFERROR(Model!AV168/Model!AU168-1,"NA")</f>
        <v>-5.7157617884651457E-2</v>
      </c>
      <c r="AW168" s="1267">
        <f>IFERROR(Model!AW168/Model!AV168-1,"NA")</f>
        <v>-6.3760896637609088E-3</v>
      </c>
      <c r="AX168" s="1267">
        <f>IFERROR(Model!AX168/Model!AW168-1,"NA")</f>
        <v>-2.1657392089035943E-2</v>
      </c>
      <c r="AY168" s="1267">
        <f>IFERROR(Model!AY168/Model!AX168-1,"NA")</f>
        <v>1.2503202664617019E-2</v>
      </c>
      <c r="AZ168" s="1267">
        <f>IFERROR(Model!AZ168/Model!AY168-1,"NA")</f>
        <v>2.5861632673718216E-2</v>
      </c>
      <c r="BA168" s="1267">
        <f>IFERROR(Model!BA168/Model!AZ168-1,"NA")</f>
        <v>1.5615575765746126E-2</v>
      </c>
      <c r="BB168" s="1267">
        <f>IFERROR(Model!BB168/Model!BA168-1,"NA")</f>
        <v>3.846579284716678E-2</v>
      </c>
      <c r="BC168" s="1267">
        <f>IFERROR(Model!BC168/Model!BB168-1,"NA")</f>
        <v>4.6318427000723306E-2</v>
      </c>
      <c r="BD168" s="1267">
        <f>IFERROR(Model!BD168/Model!BC168-1,"NA")</f>
        <v>4.470868279063045E-2</v>
      </c>
      <c r="BE168" s="1267">
        <f>IFERROR(Model!BE168/Model!BD168-1,"NA")</f>
        <v>4.2923198272123209E-2</v>
      </c>
    </row>
    <row r="169" spans="1:57" x14ac:dyDescent="0.2">
      <c r="B169" s="321"/>
      <c r="C169" s="319"/>
      <c r="D169" s="1248"/>
      <c r="E169" s="1409"/>
      <c r="F169" s="407"/>
      <c r="G169" s="407"/>
      <c r="H169" s="407"/>
      <c r="I169" s="407"/>
      <c r="J169" s="407"/>
      <c r="K169" s="407"/>
      <c r="L169" s="407"/>
      <c r="M169" s="407"/>
      <c r="N169" s="407"/>
      <c r="O169" s="407"/>
      <c r="P169" s="407"/>
      <c r="Q169" s="407"/>
      <c r="R169" s="407"/>
      <c r="S169" s="407"/>
      <c r="T169" s="407"/>
      <c r="U169" s="407"/>
      <c r="V169" s="407"/>
      <c r="W169" s="407"/>
      <c r="X169" s="407"/>
      <c r="Y169" s="407"/>
      <c r="Z169" s="407"/>
      <c r="AA169" s="407"/>
      <c r="AB169" s="407"/>
      <c r="AC169" s="407"/>
      <c r="AD169" s="407"/>
      <c r="AE169" s="407"/>
      <c r="AF169" s="407"/>
      <c r="AG169" s="407"/>
      <c r="AH169" s="407"/>
      <c r="AI169" s="407"/>
      <c r="AJ169" s="407"/>
      <c r="AK169" s="407"/>
      <c r="AL169" s="407"/>
      <c r="AM169" s="407"/>
      <c r="AN169" s="407"/>
      <c r="AO169" s="407"/>
      <c r="AP169" s="407"/>
      <c r="AQ169" s="407"/>
      <c r="AR169" s="1236"/>
      <c r="AS169" s="1284"/>
      <c r="AT169" s="1248"/>
      <c r="AU169" s="1236"/>
      <c r="AV169" s="1236"/>
      <c r="AW169" s="1236"/>
      <c r="AX169" s="1236"/>
      <c r="AY169" s="1236"/>
      <c r="AZ169" s="1236"/>
      <c r="BA169" s="1236"/>
      <c r="BB169" s="1236"/>
      <c r="BC169" s="1236"/>
      <c r="BD169" s="1236"/>
      <c r="BE169" s="1236"/>
    </row>
    <row r="170" spans="1:57" x14ac:dyDescent="0.2">
      <c r="A170" s="833"/>
      <c r="B170" s="340" t="s">
        <v>214</v>
      </c>
      <c r="C170" s="388"/>
      <c r="D170" s="1407"/>
      <c r="E170" s="1310"/>
      <c r="F170" s="1398"/>
      <c r="G170" s="1398"/>
      <c r="H170" s="1398"/>
      <c r="I170" s="1398"/>
      <c r="J170" s="1398"/>
      <c r="K170" s="1398"/>
      <c r="L170" s="1398"/>
      <c r="M170" s="1398"/>
      <c r="N170" s="1398"/>
      <c r="O170" s="1398"/>
      <c r="P170" s="1398"/>
      <c r="Q170" s="1398"/>
      <c r="R170" s="1398"/>
      <c r="S170" s="1398"/>
      <c r="T170" s="1398"/>
      <c r="U170" s="1398"/>
      <c r="V170" s="1398"/>
      <c r="W170" s="1398"/>
      <c r="X170" s="1398"/>
      <c r="Y170" s="1398"/>
      <c r="Z170" s="1398"/>
      <c r="AA170" s="1398"/>
      <c r="AB170" s="1398"/>
      <c r="AC170" s="1398"/>
      <c r="AD170" s="1398"/>
      <c r="AE170" s="1398"/>
      <c r="AF170" s="1398"/>
      <c r="AG170" s="1398"/>
      <c r="AH170" s="1398"/>
      <c r="AI170" s="1398"/>
      <c r="AJ170" s="1398"/>
      <c r="AK170" s="1398"/>
      <c r="AL170" s="1398"/>
      <c r="AM170" s="1398"/>
      <c r="AN170" s="1398"/>
      <c r="AO170" s="1398"/>
      <c r="AP170" s="1398"/>
      <c r="AQ170" s="1398"/>
      <c r="AR170" s="1236"/>
      <c r="AS170" s="1313"/>
      <c r="AT170" s="1407"/>
      <c r="AU170" s="1398"/>
      <c r="AV170" s="1398"/>
      <c r="AW170" s="1398"/>
      <c r="AX170" s="1398"/>
      <c r="AY170" s="1398"/>
      <c r="AZ170" s="1398"/>
      <c r="BA170" s="1398"/>
      <c r="BB170" s="1398"/>
      <c r="BC170" s="1398"/>
      <c r="BD170" s="1398"/>
      <c r="BE170" s="1398"/>
    </row>
    <row r="171" spans="1:57" x14ac:dyDescent="0.2">
      <c r="B171" s="321" t="s">
        <v>74</v>
      </c>
      <c r="D171" s="1253"/>
      <c r="E171" s="1253"/>
      <c r="F171" s="1253"/>
      <c r="G171" s="1253"/>
      <c r="H171" s="1253">
        <f>IFERROR(Model!H171/Model!D171-1,"NA")</f>
        <v>0.4311926605504588</v>
      </c>
      <c r="I171" s="1253">
        <f>IFERROR(Model!I171/Model!E171-1,"NA")</f>
        <v>0.24615384615384617</v>
      </c>
      <c r="J171" s="1253">
        <f>IFERROR(Model!J171/Model!F171-1,"NA")</f>
        <v>0.10526315789473695</v>
      </c>
      <c r="K171" s="1253">
        <f>IFERROR(Model!K171/Model!G171-1,"NA")</f>
        <v>0.15625</v>
      </c>
      <c r="L171" s="1253">
        <f>IFERROR(Model!L171/Model!H171-1,"NA")</f>
        <v>0.40384615384615374</v>
      </c>
      <c r="M171" s="1253">
        <f>IFERROR(Model!M171/Model!I171-1,"NA")</f>
        <v>0.52469135802469147</v>
      </c>
      <c r="N171" s="1253">
        <f>IFERROR(Model!N171/Model!J171-1,"NA")</f>
        <v>0.52976190476190466</v>
      </c>
      <c r="O171" s="1253">
        <f>IFERROR(Model!O171/Model!K171-1,"NA")</f>
        <v>0.48108108108108105</v>
      </c>
      <c r="P171" s="1253">
        <f>IFERROR(Model!P171/Model!L171-1,"NA")</f>
        <v>0.15068493150684925</v>
      </c>
      <c r="Q171" s="1253">
        <f>IFERROR(Model!Q171/Model!M171-1,"NA")</f>
        <v>8.9068825910931126E-2</v>
      </c>
      <c r="R171" s="1253">
        <f>IFERROR(Model!R171/Model!N171-1,"NA")</f>
        <v>3.112840466926059E-2</v>
      </c>
      <c r="S171" s="1253">
        <f>IFERROR(Model!S171/Model!O171-1,"NA")</f>
        <v>0</v>
      </c>
      <c r="T171" s="1253">
        <f>IFERROR(Model!T171/Model!P171-1,"NA")</f>
        <v>9.9206349206349298E-2</v>
      </c>
      <c r="U171" s="1253">
        <f>IFERROR(Model!U171/Model!Q171-1,"NA")</f>
        <v>0</v>
      </c>
      <c r="V171" s="1253">
        <f>IFERROR(Model!V171/Model!R171-1,"NA")</f>
        <v>-3.3962264150943389E-2</v>
      </c>
      <c r="W171" s="1253">
        <f>IFERROR(Model!W171/Model!S171-1,"NA")</f>
        <v>-9.8540145985401506E-2</v>
      </c>
      <c r="X171" s="1253">
        <f>IFERROR(Model!X171/Model!T171-1,"NA")</f>
        <v>-9.3862815884476536E-2</v>
      </c>
      <c r="Y171" s="1253">
        <f>IFERROR(Model!Y171/Model!U171-1,"NA")</f>
        <v>-7.8066914498141293E-2</v>
      </c>
      <c r="Z171" s="1253">
        <f>IFERROR(Model!Z171/Model!V171-1,"NA")</f>
        <v>-1.171875E-2</v>
      </c>
      <c r="AA171" s="1253">
        <f>IFERROR(Model!AA171/Model!W171-1,"NA")</f>
        <v>-4.8582995951417018E-2</v>
      </c>
      <c r="AB171" s="1253">
        <f>IFERROR(Model!AB171/Model!X171-1,"NA")</f>
        <v>-7.569721115537853E-2</v>
      </c>
      <c r="AC171" s="1256">
        <f>IFERROR(Model!AC171/Model!Y171-1,"NA")</f>
        <v>-1.0282009500662714E-2</v>
      </c>
      <c r="AD171" s="1256">
        <f>IFERROR(Model!AD171/Model!Z171-1,"NA")</f>
        <v>7.609809215442187E-3</v>
      </c>
      <c r="AE171" s="1256">
        <f>IFERROR(Model!AE171/Model!AA171-1,"NA")</f>
        <v>0.13134901507618801</v>
      </c>
      <c r="AF171" s="1256">
        <f>IFERROR(Model!AF171/Model!AB171-1,"NA")</f>
        <v>0.1509405111987483</v>
      </c>
      <c r="AG171" s="1256">
        <f>IFERROR(Model!AG171/Model!AC171-1,"NA")</f>
        <v>0.14015236297142875</v>
      </c>
      <c r="AH171" s="1256">
        <f>IFERROR(Model!AH171/Model!AD171-1,"NA")</f>
        <v>0.1388235934831461</v>
      </c>
      <c r="AI171" s="1256">
        <f>IFERROR(Model!AI171/Model!AE171-1,"NA")</f>
        <v>0.13712004285714285</v>
      </c>
      <c r="AJ171" s="1256"/>
      <c r="AK171" s="1256"/>
      <c r="AL171" s="1256"/>
      <c r="AM171" s="1256"/>
      <c r="AN171" s="1256"/>
      <c r="AO171" s="1256"/>
      <c r="AP171" s="1256"/>
      <c r="AQ171" s="1256"/>
      <c r="AR171" s="1236"/>
      <c r="AS171" s="1284"/>
      <c r="AT171" s="407"/>
      <c r="AU171" s="1236"/>
      <c r="AV171" s="1236">
        <f>IFERROR(Model!AV171/Model!AU171-1,"NA")</f>
        <v>0.21778584392014522</v>
      </c>
      <c r="AW171" s="1236">
        <f>IFERROR(Model!AW171/Model!AV171-1,"NA")</f>
        <v>0.48584202682563338</v>
      </c>
      <c r="AX171" s="1236">
        <f>IFERROR(Model!AX171/Model!AW171-1,"NA")</f>
        <v>6.318956870611836E-2</v>
      </c>
      <c r="AY171" s="1236">
        <f>IFERROR(Model!AY171/Model!AX171-1,"NA")</f>
        <v>-1.0377358490566091E-2</v>
      </c>
      <c r="AZ171" s="1236">
        <f>IFERROR(Model!AZ171/Model!AY171-1,"NA")</f>
        <v>-5.9103908484270717E-2</v>
      </c>
      <c r="BA171" s="1236">
        <f>IFERROR(Model!BA171/Model!AZ171-1,"NA")</f>
        <v>1.1390437607139425E-2</v>
      </c>
      <c r="BB171" s="1256">
        <f>IFERROR(Model!BB171/Model!BA171-1,"NA")</f>
        <v>0.14151267344945673</v>
      </c>
      <c r="BC171" s="1256">
        <f>IFERROR(Model!BC171/Model!BB171-1,"NA")</f>
        <v>0.1444390884553286</v>
      </c>
      <c r="BD171" s="1256">
        <f>IFERROR(Model!BD171/Model!BC171-1,"NA")</f>
        <v>7.5609756097560821E-2</v>
      </c>
      <c r="BE171" s="1256">
        <f>IFERROR(Model!BE171/Model!BD171-1,"NA")</f>
        <v>7.4999999999999956E-2</v>
      </c>
    </row>
    <row r="172" spans="1:57" x14ac:dyDescent="0.2">
      <c r="B172" s="321" t="s">
        <v>75</v>
      </c>
      <c r="D172" s="1240"/>
      <c r="E172" s="1240"/>
      <c r="F172" s="1240"/>
      <c r="G172" s="1240"/>
      <c r="H172" s="1240">
        <f>IFERROR(Model!H172/Model!D172-1,"NA")</f>
        <v>-1.2574850299401197E-2</v>
      </c>
      <c r="I172" s="1240">
        <f>IFERROR(Model!I172/Model!E172-1,"NA")</f>
        <v>2.2374145431945269E-2</v>
      </c>
      <c r="J172" s="1240">
        <f>IFERROR(Model!J172/Model!F172-1,"NA")</f>
        <v>1.5625E-2</v>
      </c>
      <c r="K172" s="1240">
        <f>IFERROR(Model!K172/Model!G172-1,"NA")</f>
        <v>1.2448132780082943E-2</v>
      </c>
      <c r="L172" s="1240">
        <f>IFERROR(Model!L172/Model!H172-1,"NA")</f>
        <v>0</v>
      </c>
      <c r="M172" s="1240">
        <f>IFERROR(Model!M172/Model!I172-1,"NA")</f>
        <v>-6.0790273556230456E-3</v>
      </c>
      <c r="N172" s="1240">
        <f>IFERROR(Model!N172/Model!J172-1,"NA")</f>
        <v>-5.3254437869822979E-3</v>
      </c>
      <c r="O172" s="1240">
        <f>IFERROR(Model!O172/Model!K172-1,"NA")</f>
        <v>-1.6978922716627598E-2</v>
      </c>
      <c r="P172" s="1240">
        <f>IFERROR(Model!P172/Model!L172-1,"NA")</f>
        <v>-2.9714978775015166E-2</v>
      </c>
      <c r="Q172" s="1240">
        <f>IFERROR(Model!Q172/Model!M172-1,"NA")</f>
        <v>-3.6085626911315005E-2</v>
      </c>
      <c r="R172" s="1240">
        <f>IFERROR(Model!R172/Model!N172-1,"NA")</f>
        <v>-4.2236763831052904E-2</v>
      </c>
      <c r="S172" s="1240">
        <f>IFERROR(Model!S172/Model!O172-1,"NA")</f>
        <v>-3.15664085765337E-2</v>
      </c>
      <c r="T172" s="1240">
        <f>IFERROR(Model!T172/Model!P172-1,"NA")</f>
        <v>-5.0000000000000044E-3</v>
      </c>
      <c r="U172" s="1240">
        <f>IFERROR(Model!U172/Model!Q172-1,"NA")</f>
        <v>9.5177664974619436E-3</v>
      </c>
      <c r="V172" s="1240">
        <f>IFERROR(Model!V172/Model!R172-1,"NA")</f>
        <v>0.15714285714285725</v>
      </c>
      <c r="W172" s="1240">
        <f>IFERROR(Model!W172/Model!S172-1,"NA")</f>
        <v>0.14821648216482175</v>
      </c>
      <c r="X172" s="1240">
        <f>IFERROR(Model!X172/Model!T172-1,"NA")</f>
        <v>0.12123115577889454</v>
      </c>
      <c r="Y172" s="1240">
        <f>IFERROR(Model!Y172/Model!U172-1,"NA")</f>
        <v>0.12382149591451919</v>
      </c>
      <c r="Z172" s="1240">
        <f>IFERROR(Model!Z172/Model!V172-1,"NA")</f>
        <v>-7.5147611379495771E-3</v>
      </c>
      <c r="AA172" s="1240">
        <f>IFERROR(Model!AA172/Model!W172-1,"NA")</f>
        <v>-6.9630423138725694E-3</v>
      </c>
      <c r="AB172" s="1240">
        <f>IFERROR(Model!AB172/Model!X172-1,"NA")</f>
        <v>8.4033613445377853E-3</v>
      </c>
      <c r="AC172" s="1256">
        <f>IFERROR(Model!AC172/Model!Y172-1,"NA")</f>
        <v>-3.344212558609172E-4</v>
      </c>
      <c r="AD172" s="1256">
        <f>IFERROR(Model!AD172/Model!Z172-1,"NA")</f>
        <v>1.1011070034154136E-2</v>
      </c>
      <c r="AE172" s="1256">
        <f>IFERROR(Model!AE172/Model!AA172-1,"NA")</f>
        <v>2.8450193022121928E-2</v>
      </c>
      <c r="AF172" s="1256">
        <f>IFERROR(Model!AF172/Model!AB172-1,"NA")</f>
        <v>2.8340799471233025E-2</v>
      </c>
      <c r="AG172" s="1256">
        <f>IFERROR(Model!AG172/Model!AC172-1,"NA")</f>
        <v>4.9567759999999961E-2</v>
      </c>
      <c r="AH172" s="1256">
        <f>IFERROR(Model!AH172/Model!AD172-1,"NA")</f>
        <v>3.8528511242603258E-2</v>
      </c>
      <c r="AI172" s="1256">
        <f>IFERROR(Model!AI172/Model!AE172-1,"NA")</f>
        <v>5.2402804733727715E-2</v>
      </c>
      <c r="AJ172" s="1256"/>
      <c r="AK172" s="1256"/>
      <c r="AL172" s="1256"/>
      <c r="AM172" s="1256"/>
      <c r="AN172" s="1256"/>
      <c r="AO172" s="1256"/>
      <c r="AP172" s="1256"/>
      <c r="AQ172" s="1256"/>
      <c r="AR172" s="1236"/>
      <c r="AS172" s="1284"/>
      <c r="AT172" s="407"/>
      <c r="AU172" s="1236"/>
      <c r="AV172" s="1236">
        <f>IFERROR(Model!AV172/Model!AU172-1,"NA")</f>
        <v>9.3514328808446123E-3</v>
      </c>
      <c r="AW172" s="1236">
        <f>IFERROR(Model!AW172/Model!AV172-1,"NA")</f>
        <v>-7.1727435744172174E-3</v>
      </c>
      <c r="AX172" s="1236">
        <f>IFERROR(Model!AX172/Model!AW172-1,"NA")</f>
        <v>-3.4918723660445461E-2</v>
      </c>
      <c r="AY172" s="1236">
        <f>IFERROR(Model!AY172/Model!AX172-1,"NA")</f>
        <v>7.8134747348721056E-2</v>
      </c>
      <c r="AZ172" s="1236">
        <f>IFERROR(Model!AZ172/Model!AY172-1,"NA")</f>
        <v>5.2509764212353538E-2</v>
      </c>
      <c r="BA172" s="1236">
        <f>IFERROR(Model!BA172/Model!AZ172-1,"NA")</f>
        <v>1.2026962774970507E-2</v>
      </c>
      <c r="BB172" s="1256">
        <f>IFERROR(Model!BB172/Model!BA172-1,"NA")</f>
        <v>4.2310466362798893E-2</v>
      </c>
      <c r="BC172" s="1256">
        <f>IFERROR(Model!BC172/Model!BB172-1,"NA")</f>
        <v>5.1053618315079374E-2</v>
      </c>
      <c r="BD172" s="1256">
        <f>IFERROR(Model!BD172/Model!BC172-1,"NA")</f>
        <v>4.6046511627906961E-2</v>
      </c>
      <c r="BE172" s="1256">
        <f>IFERROR(Model!BE172/Model!BD172-1,"NA")</f>
        <v>4.6011560693641762E-2</v>
      </c>
    </row>
    <row r="173" spans="1:57" x14ac:dyDescent="0.2">
      <c r="A173" s="830"/>
      <c r="B173" s="369" t="s">
        <v>102</v>
      </c>
      <c r="C173" s="71"/>
      <c r="D173" s="1240"/>
      <c r="E173" s="1240"/>
      <c r="F173" s="1240"/>
      <c r="G173" s="1240"/>
      <c r="H173" s="1240">
        <f>IFERROR(Model!H173/Model!D173-1,"NA")</f>
        <v>5.4916985951468655E-2</v>
      </c>
      <c r="I173" s="1240">
        <f>IFERROR(Model!I173/Model!E173-1,"NA")</f>
        <v>2.8515878159429686E-2</v>
      </c>
      <c r="J173" s="1240">
        <f>IFERROR(Model!J173/Model!F173-1,"NA")</f>
        <v>2.9375764993879949E-2</v>
      </c>
      <c r="K173" s="1240">
        <f>IFERROR(Model!K173/Model!G173-1,"NA")</f>
        <v>0.12048192771084332</v>
      </c>
      <c r="L173" s="1240">
        <f>IFERROR(Model!L173/Model!H173-1,"NA")</f>
        <v>0.10108958837772386</v>
      </c>
      <c r="M173" s="1240">
        <f>IFERROR(Model!M173/Model!I173-1,"NA")</f>
        <v>0.14051669817265289</v>
      </c>
      <c r="N173" s="1240">
        <f>IFERROR(Model!N173/Model!J173-1,"NA")</f>
        <v>0.12009512485136753</v>
      </c>
      <c r="O173" s="1240">
        <f>IFERROR(Model!O173/Model!K173-1,"NA")</f>
        <v>3.3870967741935543E-2</v>
      </c>
      <c r="P173" s="1240">
        <f>IFERROR(Model!P173/Model!L173-1,"NA")</f>
        <v>3.5184167124793886E-2</v>
      </c>
      <c r="Q173" s="1240">
        <f>IFERROR(Model!Q173/Model!M173-1,"NA")</f>
        <v>1.7679558011049812E-2</v>
      </c>
      <c r="R173" s="1240">
        <f>IFERROR(Model!R173/Model!N173-1,"NA")</f>
        <v>2.0169851380042569E-2</v>
      </c>
      <c r="S173" s="1240">
        <f>IFERROR(Model!S173/Model!O173-1,"NA")</f>
        <v>7.2802912116485263E-3</v>
      </c>
      <c r="T173" s="1240">
        <f>IFERROR(Model!T173/Model!P173-1,"NA")</f>
        <v>4.2485395645246449E-3</v>
      </c>
      <c r="U173" s="1240">
        <f>IFERROR(Model!U173/Model!Q173-1,"NA")</f>
        <v>-4.3431053203040193E-3</v>
      </c>
      <c r="V173" s="1240">
        <f>IFERROR(Model!V173/Model!R173-1,"NA")</f>
        <v>5.2029136316344982E-4</v>
      </c>
      <c r="W173" s="1240">
        <f>IFERROR(Model!W173/Model!S173-1,"NA")</f>
        <v>5.162622612286949E-3</v>
      </c>
      <c r="X173" s="1240">
        <f>IFERROR(Model!X173/Model!T173-1,"NA")</f>
        <v>8.9899524061343161E-3</v>
      </c>
      <c r="Y173" s="1240">
        <f>IFERROR(Model!Y173/Model!U173-1,"NA")</f>
        <v>3.4351145038167941E-2</v>
      </c>
      <c r="Z173" s="1240">
        <f>IFERROR(Model!Z173/Model!V173-1,"NA")</f>
        <v>3.2761310452418035E-2</v>
      </c>
      <c r="AA173" s="1240">
        <f>IFERROR(Model!AA173/Model!W173-1,"NA")</f>
        <v>3.5952747817153963E-3</v>
      </c>
      <c r="AB173" s="1240">
        <f>IFERROR(Model!AB173/Model!X173-1,"NA")</f>
        <v>3.4067085953878307E-2</v>
      </c>
      <c r="AC173" s="1338">
        <f>IFERROR(Model!AC173/Model!Y173-1,"NA")</f>
        <v>7.3142180154678105E-2</v>
      </c>
      <c r="AD173" s="1338">
        <f>IFERROR(Model!AD173/Model!Z173-1,"NA")</f>
        <v>6.4055206658941266E-2</v>
      </c>
      <c r="AE173" s="1338">
        <f>IFERROR(Model!AE173/Model!AA173-1,"NA")</f>
        <v>9.0467397807798111E-2</v>
      </c>
      <c r="AF173" s="1338">
        <f>IFERROR(Model!AF173/Model!AB173-1,"NA")</f>
        <v>4.8159247460150434E-2</v>
      </c>
      <c r="AG173" s="1338">
        <f>IFERROR(Model!AG173/Model!AC173-1,"NA")</f>
        <v>4.5315582226087336E-2</v>
      </c>
      <c r="AH173" s="1338">
        <f>IFERROR(Model!AH173/Model!AD173-1,"NA")</f>
        <v>4.5212300378223214E-2</v>
      </c>
      <c r="AI173" s="1338">
        <f>IFERROR(Model!AI173/Model!AE173-1,"NA")</f>
        <v>4.4402668572463888E-2</v>
      </c>
      <c r="AJ173" s="1338"/>
      <c r="AK173" s="1338"/>
      <c r="AL173" s="1338"/>
      <c r="AM173" s="1338"/>
      <c r="AN173" s="1338"/>
      <c r="AO173" s="1338"/>
      <c r="AP173" s="1338"/>
      <c r="AQ173" s="1338"/>
      <c r="AR173" s="1236"/>
      <c r="AS173" s="1263"/>
      <c r="AT173" s="1318"/>
      <c r="AU173" s="1236"/>
      <c r="AV173" s="1236">
        <f>IFERROR(Model!AV173/Model!AU173-1,"NA")</f>
        <v>5.9034827424644609E-2</v>
      </c>
      <c r="AW173" s="1236">
        <f>IFERROR(Model!AW173/Model!AV173-1,"NA")</f>
        <v>9.6593422798997297E-2</v>
      </c>
      <c r="AX173" s="1236">
        <f>IFERROR(Model!AX173/Model!AW173-1,"NA")</f>
        <v>1.9903173749327596E-2</v>
      </c>
      <c r="AY173" s="1236">
        <f>IFERROR(Model!AY173/Model!AX173-1,"NA")</f>
        <v>1.4504219409283703E-3</v>
      </c>
      <c r="AZ173" s="1236">
        <f>IFERROR(Model!AZ173/Model!AY173-1,"NA")</f>
        <v>1.9749835418038098E-2</v>
      </c>
      <c r="BA173" s="1236">
        <f>IFERROR(Model!BA173/Model!AZ173-1,"NA")</f>
        <v>6.555683040600635E-2</v>
      </c>
      <c r="BB173" s="1338">
        <f>IFERROR(Model!BB173/Model!BA173-1,"NA")</f>
        <v>4.5733271847227197E-2</v>
      </c>
      <c r="BC173" s="1338">
        <f>IFERROR(Model!BC173/Model!BB173-1,"NA")</f>
        <v>4.7269632969939135E-2</v>
      </c>
      <c r="BD173" s="1338">
        <f>IFERROR(Model!BD173/Model!BC173-1,"NA")</f>
        <v>4.0000000000000036E-2</v>
      </c>
      <c r="BE173" s="1338">
        <f>IFERROR(Model!BE173/Model!BD173-1,"NA")</f>
        <v>4.0000000000000036E-2</v>
      </c>
    </row>
    <row r="174" spans="1:57" x14ac:dyDescent="0.2">
      <c r="A174" s="828"/>
      <c r="B174" s="28" t="s">
        <v>611</v>
      </c>
      <c r="C174" s="25"/>
      <c r="D174" s="1289"/>
      <c r="E174" s="1289"/>
      <c r="F174" s="1289"/>
      <c r="G174" s="1289"/>
      <c r="H174" s="1289">
        <f>IFERROR(Model!H174/Model!D174-1,"NA")</f>
        <v>-8.9663760896637634E-2</v>
      </c>
      <c r="I174" s="1289">
        <f>IFERROR(Model!I174/Model!E174-1,"NA")</f>
        <v>-8.0519480519480546E-2</v>
      </c>
      <c r="J174" s="1289">
        <f>IFERROR(Model!J174/Model!F174-1,"NA")</f>
        <v>-0.15147453083109919</v>
      </c>
      <c r="K174" s="1289">
        <f>IFERROR(Model!K174/Model!G174-1,"NA")</f>
        <v>-0.21313672922252014</v>
      </c>
      <c r="L174" s="1289">
        <f>IFERROR(Model!L174/Model!H174-1,"NA")</f>
        <v>-0.27496580027359785</v>
      </c>
      <c r="M174" s="1289">
        <f>IFERROR(Model!M174/Model!I174-1,"NA")</f>
        <v>-0.22457627118644063</v>
      </c>
      <c r="N174" s="1289">
        <f>IFERROR(Model!N174/Model!J174-1,"NA")</f>
        <v>-9.4786729857819885E-2</v>
      </c>
      <c r="O174" s="1289">
        <f>IFERROR(Model!O174/Model!K174-1,"NA")</f>
        <v>2.0442930153321992E-2</v>
      </c>
      <c r="P174" s="1289">
        <f>IFERROR(Model!P174/Model!L174-1,"NA")</f>
        <v>3.7735849056603765E-2</v>
      </c>
      <c r="Q174" s="1289">
        <f>IFERROR(Model!Q174/Model!M174-1,"NA")</f>
        <v>5.464480874316946E-2</v>
      </c>
      <c r="R174" s="1289">
        <f>IFERROR(Model!R174/Model!N174-1,"NA")</f>
        <v>5.7591623036649109E-2</v>
      </c>
      <c r="S174" s="1289">
        <f>IFERROR(Model!S174/Model!O174-1,"NA")</f>
        <v>3.171953255425719E-2</v>
      </c>
      <c r="T174" s="1289">
        <f>IFERROR(Model!T174/Model!P174-1,"NA")</f>
        <v>0.15999999999999992</v>
      </c>
      <c r="U174" s="1289">
        <f>IFERROR(Model!U174/Model!Q174-1,"NA")</f>
        <v>0.10017271157167529</v>
      </c>
      <c r="V174" s="1289">
        <f>IFERROR(Model!V174/Model!R174-1,"NA")</f>
        <v>7.9207920792079278E-2</v>
      </c>
      <c r="W174" s="1289">
        <f>IFERROR(Model!W174/Model!S174-1,"NA")</f>
        <v>4.3689320388349495E-2</v>
      </c>
      <c r="X174" s="1289">
        <f>IFERROR(Model!X174/Model!T174-1,"NA")</f>
        <v>5.4858934169278895E-2</v>
      </c>
      <c r="Y174" s="1289">
        <f>IFERROR(Model!Y174/Model!U174-1,"NA")</f>
        <v>9.7331240188383017E-2</v>
      </c>
      <c r="Z174" s="1289">
        <f>IFERROR(Model!Z174/Model!V174-1,"NA")</f>
        <v>0.12691131498470942</v>
      </c>
      <c r="AA174" s="1289">
        <f>IFERROR(Model!AA174/Model!W174-1,"NA")</f>
        <v>0.18139534883720931</v>
      </c>
      <c r="AB174" s="1289">
        <f>IFERROR(Model!AB174/Model!X174-1,"NA")</f>
        <v>0.10698365527488862</v>
      </c>
      <c r="AC174" s="1257">
        <f>IFERROR(Model!AC174/Model!Y174-1,"NA")</f>
        <v>-1.2808630724910453E-2</v>
      </c>
      <c r="AD174" s="1257">
        <f>IFERROR(Model!AD174/Model!Z174-1,"NA")</f>
        <v>-4.8686774595267712E-2</v>
      </c>
      <c r="AE174" s="1257">
        <f>IFERROR(Model!AE174/Model!AA174-1,"NA")</f>
        <v>-7.5297327612986797E-2</v>
      </c>
      <c r="AF174" s="1257">
        <f>IFERROR(Model!AF174/Model!AB174-1,"NA")</f>
        <v>-7.0131458729751128E-2</v>
      </c>
      <c r="AG174" s="1257">
        <f>IFERROR(Model!AG174/Model!AC174-1,"NA")</f>
        <v>2.0150500624999568E-2</v>
      </c>
      <c r="AH174" s="1257">
        <f>IFERROR(Model!AH174/Model!AD174-1,"NA")</f>
        <v>2.0150500624999568E-2</v>
      </c>
      <c r="AI174" s="1257">
        <f>IFERROR(Model!AI174/Model!AE174-1,"NA")</f>
        <v>2.0150500624999568E-2</v>
      </c>
      <c r="AJ174" s="1338"/>
      <c r="AK174" s="1338"/>
      <c r="AL174" s="1338"/>
      <c r="AM174" s="1338"/>
      <c r="AN174" s="1338"/>
      <c r="AO174" s="1338"/>
      <c r="AP174" s="1338"/>
      <c r="AQ174" s="1338"/>
      <c r="AR174" s="1236"/>
      <c r="AS174" s="1246"/>
      <c r="AT174" s="1307"/>
      <c r="AU174" s="1246"/>
      <c r="AV174" s="1246">
        <f>IFERROR(Model!AV174/Model!AU174-1,"NA")</f>
        <v>-0.132463295269168</v>
      </c>
      <c r="AW174" s="1246">
        <f>IFERROR(Model!AW174/Model!AV174-1,"NA")</f>
        <v>-0.15344114328695002</v>
      </c>
      <c r="AX174" s="1246">
        <f>IFERROR(Model!AX174/Model!AW174-1,"NA")</f>
        <v>4.5313194135939483E-2</v>
      </c>
      <c r="AY174" s="1246">
        <f>IFERROR(Model!AY174/Model!AX174-1,"NA")</f>
        <v>9.3922651933701751E-2</v>
      </c>
      <c r="AZ174" s="1246">
        <f>IFERROR(Model!AZ174/Model!AY174-1,"NA")</f>
        <v>0.11538461538461542</v>
      </c>
      <c r="BA174" s="1246">
        <f>IFERROR(Model!BA174/Model!AZ174-1,"NA")</f>
        <v>-1.0523145034664116E-2</v>
      </c>
      <c r="BB174" s="1257">
        <f>IFERROR(Model!BB174/Model!BA174-1,"NA")</f>
        <v>-3.5260491636950331E-3</v>
      </c>
      <c r="BC174" s="1257">
        <f>IFERROR(Model!BC174/Model!BB174-1,"NA")</f>
        <v>-5.7542462481361412E-3</v>
      </c>
      <c r="BD174" s="1257">
        <f>IFERROR(Model!BD174/Model!BC174-1,"NA")</f>
        <v>1.8886404978023519E-2</v>
      </c>
      <c r="BE174" s="1257">
        <f>IFERROR(Model!BE174/Model!BD174-1,"NA")</f>
        <v>2.4999999999999911E-2</v>
      </c>
    </row>
    <row r="175" spans="1:57" x14ac:dyDescent="0.2">
      <c r="C175" s="322" t="s">
        <v>634</v>
      </c>
      <c r="D175" s="1253"/>
      <c r="E175" s="1253"/>
      <c r="F175" s="1253"/>
      <c r="G175" s="1253"/>
      <c r="H175" s="1253">
        <f>IFERROR(Model!H175/Model!D175-1,"NA")</f>
        <v>9.6432015429122053E-3</v>
      </c>
      <c r="I175" s="1253">
        <f>IFERROR(Model!I175/Model!E175-1,"NA")</f>
        <v>1.2339585389930852E-2</v>
      </c>
      <c r="J175" s="1253">
        <f>IFERROR(Model!J175/Model!F175-1,"NA")</f>
        <v>-5.4814108674928752E-3</v>
      </c>
      <c r="K175" s="1253">
        <f>IFERROR(Model!K175/Model!G175-1,"NA")</f>
        <v>2.0456148600987545E-2</v>
      </c>
      <c r="L175" s="1253">
        <f>IFERROR(Model!L175/Model!H175-1,"NA")</f>
        <v>6.9245463228271298E-3</v>
      </c>
      <c r="M175" s="1253">
        <f>IFERROR(Model!M175/Model!I175-1,"NA")</f>
        <v>3.3885909312530549E-2</v>
      </c>
      <c r="N175" s="1253">
        <f>IFERROR(Model!N175/Model!J175-1,"NA")</f>
        <v>5.3199137311286782E-2</v>
      </c>
      <c r="O175" s="1253">
        <f>IFERROR(Model!O175/Model!K175-1,"NA")</f>
        <v>3.1105990783410142E-2</v>
      </c>
      <c r="P175" s="1253">
        <f>IFERROR(Model!P175/Model!L175-1,"NA")</f>
        <v>1.6125207493478788E-2</v>
      </c>
      <c r="Q175" s="1253">
        <f>IFERROR(Model!Q175/Model!M175-1,"NA")</f>
        <v>5.8948361235557911E-3</v>
      </c>
      <c r="R175" s="1253">
        <f>IFERROR(Model!R175/Model!N175-1,"NA")</f>
        <v>1.8202502844140156E-3</v>
      </c>
      <c r="S175" s="1253">
        <f>IFERROR(Model!S175/Model!O175-1,"NA")</f>
        <v>-4.4692737430167551E-3</v>
      </c>
      <c r="T175" s="1253">
        <f>IFERROR(Model!T175/Model!P175-1,"NA")</f>
        <v>2.6371061843640575E-2</v>
      </c>
      <c r="U175" s="1253">
        <f>IFERROR(Model!U175/Model!Q175-1,"NA")</f>
        <v>1.5236755743084807E-2</v>
      </c>
      <c r="V175" s="1253">
        <f>IFERROR(Model!V175/Model!R175-1,"NA")</f>
        <v>6.6545537133772426E-2</v>
      </c>
      <c r="W175" s="1253">
        <f>IFERROR(Model!W175/Model!S175-1,"NA")</f>
        <v>5.6341189674522951E-2</v>
      </c>
      <c r="X175" s="1253">
        <f>IFERROR(Model!X175/Model!T175-1,"NA")</f>
        <v>4.9795361527967152E-2</v>
      </c>
      <c r="Y175" s="1253">
        <f>IFERROR(Model!Y175/Model!U175-1,"NA")</f>
        <v>6.9498960978988666E-2</v>
      </c>
      <c r="Z175" s="1253">
        <f>IFERROR(Model!Z175/Model!V175-1,"NA")</f>
        <v>2.7470187393526357E-2</v>
      </c>
      <c r="AA175" s="1253">
        <f>IFERROR(Model!AA175/Model!W175-1,"NA")</f>
        <v>2.1036974075648196E-2</v>
      </c>
      <c r="AB175" s="1253">
        <f>IFERROR(Model!AB175/Model!X175-1,"NA")</f>
        <v>2.8806584362139898E-2</v>
      </c>
      <c r="AC175" s="1247">
        <f>IFERROR(Model!AC175/Model!Y175-1,"NA")</f>
        <v>2.7342314187190686E-2</v>
      </c>
      <c r="AD175" s="1247">
        <f>IFERROR(Model!AD175/Model!Z175-1,"NA")</f>
        <v>2.3547406792249648E-2</v>
      </c>
      <c r="AE175" s="1247">
        <f>IFERROR(Model!AE175/Model!AA175-1,"NA")</f>
        <v>4.2249824782780498E-2</v>
      </c>
      <c r="AF175" s="1247">
        <f>IFERROR(Model!AF175/Model!AB175-1,"NA")</f>
        <v>2.71161886592719E-2</v>
      </c>
      <c r="AG175" s="1247">
        <f>IFERROR(Model!AG175/Model!AC175-1,"NA")</f>
        <v>4.815524534589577E-2</v>
      </c>
      <c r="AH175" s="1247">
        <f>IFERROR(Model!AH175/Model!AD175-1,"NA")</f>
        <v>4.395652466545541E-2</v>
      </c>
      <c r="AI175" s="1247">
        <f>IFERROR(Model!AI175/Model!AE175-1,"NA")</f>
        <v>4.8958585389453635E-2</v>
      </c>
      <c r="AJ175" s="1247"/>
      <c r="AK175" s="1247"/>
      <c r="AL175" s="1247"/>
      <c r="AM175" s="1247"/>
      <c r="AN175" s="1247"/>
      <c r="AO175" s="1247"/>
      <c r="AP175" s="1247"/>
      <c r="AQ175" s="1247"/>
      <c r="AR175" s="1236"/>
      <c r="AS175" s="1382"/>
      <c r="AT175" s="1248"/>
      <c r="AU175" s="1267"/>
      <c r="AV175" s="1267">
        <f>IFERROR(Model!AV175/Model!AU175-1,"NA")</f>
        <v>9.2498047930806848E-3</v>
      </c>
      <c r="AW175" s="1267">
        <f>IFERROR(Model!AW175/Model!AV175-1,"NA")</f>
        <v>3.1244420639171544E-2</v>
      </c>
      <c r="AX175" s="1267">
        <f>IFERROR(Model!AX175/Model!AW175-1,"NA")</f>
        <v>4.674515235457033E-3</v>
      </c>
      <c r="AY175" s="1267">
        <f>IFERROR(Model!AY175/Model!AX175-1,"NA")</f>
        <v>4.1472801424550454E-2</v>
      </c>
      <c r="AZ175" s="1267">
        <f>IFERROR(Model!AZ175/Model!AY175-1,"NA")</f>
        <v>4.1255308587502038E-2</v>
      </c>
      <c r="BA175" s="1267">
        <f>IFERROR(Model!BA175/Model!AZ175-1,"NA")</f>
        <v>3.0524722981563057E-2</v>
      </c>
      <c r="BB175" s="1267">
        <f>IFERROR(Model!BB175/Model!BA175-1,"NA")</f>
        <v>4.2159532274416822E-2</v>
      </c>
      <c r="BC175" s="1267">
        <f>IFERROR(Model!BC175/Model!BB175-1,"NA")</f>
        <v>4.6760104421261328E-2</v>
      </c>
      <c r="BD175" s="1267">
        <f>IFERROR(Model!BD175/Model!BC175-1,"NA")</f>
        <v>4.1686392528752725E-2</v>
      </c>
      <c r="BE175" s="1267">
        <f>IFERROR(Model!BE175/Model!BD175-1,"NA")</f>
        <v>4.2569509336412903E-2</v>
      </c>
    </row>
    <row r="176" spans="1:57" x14ac:dyDescent="0.2">
      <c r="B176" s="321"/>
      <c r="C176" s="319"/>
      <c r="D176" s="407"/>
      <c r="E176" s="407"/>
      <c r="F176" s="407"/>
      <c r="G176" s="407"/>
      <c r="H176" s="407"/>
      <c r="I176" s="407"/>
      <c r="J176" s="407"/>
      <c r="K176" s="407"/>
      <c r="L176" s="407"/>
      <c r="M176" s="407"/>
      <c r="N176" s="407"/>
      <c r="O176" s="407"/>
      <c r="P176" s="1236"/>
      <c r="Q176" s="1284"/>
      <c r="R176" s="1248"/>
      <c r="S176" s="1236"/>
      <c r="T176" s="1236"/>
      <c r="U176" s="1236"/>
      <c r="V176" s="1236"/>
      <c r="W176" s="1236"/>
      <c r="X176" s="1236"/>
      <c r="Y176" s="1236"/>
      <c r="Z176" s="407"/>
      <c r="AA176" s="407"/>
      <c r="AB176" s="407"/>
      <c r="AC176" s="407"/>
      <c r="AD176" s="407"/>
      <c r="AE176" s="407"/>
      <c r="AF176" s="407"/>
      <c r="AG176" s="407"/>
      <c r="AH176" s="407"/>
      <c r="AI176" s="407"/>
      <c r="AJ176" s="407"/>
      <c r="AK176" s="407"/>
      <c r="AL176" s="407"/>
      <c r="AM176" s="407"/>
      <c r="AN176" s="407"/>
      <c r="AO176" s="407"/>
      <c r="AP176" s="407"/>
      <c r="AQ176" s="407"/>
      <c r="AR176" s="1236"/>
      <c r="AS176" s="1236"/>
      <c r="AT176" s="1236"/>
      <c r="AU176" s="1236"/>
      <c r="AV176" s="1236"/>
      <c r="AW176" s="1236"/>
      <c r="AX176" s="1236"/>
      <c r="AY176" s="1236"/>
      <c r="AZ176" s="1236"/>
      <c r="BA176" s="1236"/>
      <c r="BB176" s="1236"/>
      <c r="BC176" s="1236"/>
      <c r="BD176" s="1236"/>
      <c r="BE176" s="1236"/>
    </row>
    <row r="177" spans="1:57" x14ac:dyDescent="0.2">
      <c r="A177" s="833"/>
      <c r="B177" s="340" t="s">
        <v>215</v>
      </c>
      <c r="C177" s="388"/>
      <c r="D177" s="1407"/>
      <c r="E177" s="1310"/>
      <c r="F177" s="1398"/>
      <c r="G177" s="1398"/>
      <c r="H177" s="1398"/>
      <c r="I177" s="1398"/>
      <c r="J177" s="1398"/>
      <c r="K177" s="1398"/>
      <c r="L177" s="1398"/>
      <c r="M177" s="1398"/>
      <c r="N177" s="1398"/>
      <c r="O177" s="1398"/>
      <c r="P177" s="1398"/>
      <c r="Q177" s="1398"/>
      <c r="R177" s="1398"/>
      <c r="S177" s="1398"/>
      <c r="T177" s="1398"/>
      <c r="U177" s="1398"/>
      <c r="V177" s="1398"/>
      <c r="W177" s="1398"/>
      <c r="X177" s="1398"/>
      <c r="Y177" s="1398"/>
      <c r="Z177" s="1398"/>
      <c r="AA177" s="1398"/>
      <c r="AB177" s="1398"/>
      <c r="AC177" s="1398"/>
      <c r="AD177" s="1398"/>
      <c r="AE177" s="1398"/>
      <c r="AF177" s="1398"/>
      <c r="AG177" s="1398"/>
      <c r="AH177" s="1398"/>
      <c r="AI177" s="1398"/>
      <c r="AJ177" s="1398"/>
      <c r="AK177" s="1398"/>
      <c r="AL177" s="1398"/>
      <c r="AM177" s="1398"/>
      <c r="AN177" s="1398"/>
      <c r="AO177" s="1398"/>
      <c r="AP177" s="1398"/>
      <c r="AQ177" s="1398"/>
      <c r="AR177" s="1236"/>
      <c r="AS177" s="1313"/>
      <c r="AT177" s="1407"/>
      <c r="AU177" s="1398"/>
      <c r="AV177" s="1398"/>
      <c r="AW177" s="1398"/>
      <c r="AX177" s="1398"/>
      <c r="AY177" s="1398"/>
      <c r="AZ177" s="1398"/>
      <c r="BA177" s="1398"/>
      <c r="BB177" s="1398"/>
      <c r="BC177" s="1398"/>
      <c r="BD177" s="1398"/>
      <c r="BE177" s="1398"/>
    </row>
    <row r="178" spans="1:57" x14ac:dyDescent="0.2">
      <c r="B178" s="321" t="s">
        <v>74</v>
      </c>
      <c r="D178" s="1247"/>
      <c r="E178" s="1247"/>
      <c r="F178" s="1247"/>
      <c r="G178" s="1247"/>
      <c r="H178" s="1247">
        <f>IFERROR(Model!H178/Model!D178-1,"NA")</f>
        <v>-5.1122194513715691E-2</v>
      </c>
      <c r="I178" s="1247">
        <f>IFERROR(Model!I178/Model!E178-1,"NA")</f>
        <v>-4.2067307692307709E-2</v>
      </c>
      <c r="J178" s="1247">
        <f>IFERROR(Model!J178/Model!F178-1,"NA")</f>
        <v>-0.57343412526997839</v>
      </c>
      <c r="K178" s="1247">
        <f>IFERROR(Model!K178/Model!G178-1,"NA")</f>
        <v>-0.54674556213017755</v>
      </c>
      <c r="L178" s="1247">
        <f>IFERROR(Model!L178/Model!H178-1,"NA")</f>
        <v>-0.39421813403416561</v>
      </c>
      <c r="M178" s="1247">
        <f>IFERROR(Model!M178/Model!I178-1,"NA")</f>
        <v>-0.43538268506900879</v>
      </c>
      <c r="N178" s="1247">
        <f>IFERROR(Model!N178/Model!J178-1,"NA")</f>
        <v>0.20506329113924049</v>
      </c>
      <c r="O178" s="1247">
        <f>IFERROR(Model!O178/Model!K178-1,"NA")</f>
        <v>0.46214099216710181</v>
      </c>
      <c r="P178" s="1247">
        <f>IFERROR(Model!P178/Model!L178-1,"NA")</f>
        <v>0.23427331887201741</v>
      </c>
      <c r="Q178" s="1247">
        <f>IFERROR(Model!Q178/Model!M178-1,"NA")</f>
        <v>9.3333333333333268E-2</v>
      </c>
      <c r="R178" s="1247">
        <f>IFERROR(Model!R178/Model!N178-1,"NA")</f>
        <v>-8.8235294117647078E-2</v>
      </c>
      <c r="S178" s="1247">
        <f>IFERROR(Model!S178/Model!O178-1,"NA")</f>
        <v>-0.27857142857142858</v>
      </c>
      <c r="T178" s="1247">
        <f>IFERROR(Model!T178/Model!P178-1,"NA")</f>
        <v>-0.34094903339191562</v>
      </c>
      <c r="U178" s="1247">
        <f>IFERROR(Model!U178/Model!Q178-1,"NA")</f>
        <v>-0.17276422764227639</v>
      </c>
      <c r="V178" s="1247">
        <f>IFERROR(Model!V178/Model!R178-1,"NA")</f>
        <v>2.7649769585253559E-2</v>
      </c>
      <c r="W178" s="1247">
        <f>IFERROR(Model!W178/Model!S178-1,"NA")</f>
        <v>-8.1683168316831645E-2</v>
      </c>
      <c r="X178" s="1247">
        <f>IFERROR(Model!X178/Model!T178-1,"NA")</f>
        <v>-0.11199999999999999</v>
      </c>
      <c r="Y178" s="1247">
        <f>IFERROR(Model!Y178/Model!U178-1,"NA")</f>
        <v>-0.14987714987714984</v>
      </c>
      <c r="Z178" s="1256">
        <f>IFERROR(Model!Z178/Model!V178-1,"NA")</f>
        <v>-0.15695067264573992</v>
      </c>
      <c r="AA178" s="1256">
        <f>IFERROR(Model!AA178/Model!W178-1,"NA")</f>
        <v>-5.121293800539084E-2</v>
      </c>
      <c r="AB178" s="1256">
        <f>IFERROR(Model!AB178/Model!X178-1,"NA")</f>
        <v>-9.009009009009028E-3</v>
      </c>
      <c r="AC178" s="1256">
        <f>IFERROR(Model!AC178/Model!Y178-1,"NA")</f>
        <v>8.1904901417372722E-2</v>
      </c>
      <c r="AD178" s="1256">
        <f>IFERROR(Model!AD178/Model!Z178-1,"NA")</f>
        <v>3.5930625182162945E-2</v>
      </c>
      <c r="AE178" s="1256">
        <f>IFERROR(Model!AE178/Model!AA178-1,"NA")</f>
        <v>0.11209507001089669</v>
      </c>
      <c r="AF178" s="1256">
        <f>IFERROR(Model!AF178/Model!AB178-1,"NA")</f>
        <v>0.12508752596948947</v>
      </c>
      <c r="AG178" s="1256">
        <f>IFERROR(Model!AG178/Model!AC178-1,"NA")</f>
        <v>3.244147051204771E-2</v>
      </c>
      <c r="AH178" s="1256">
        <f>IFERROR(Model!AH178/Model!AD178-1,"NA")</f>
        <v>2.0150500624999346E-2</v>
      </c>
      <c r="AI178" s="1256">
        <f>IFERROR(Model!AI178/Model!AE178-1,"NA")</f>
        <v>2.0150500624999568E-2</v>
      </c>
      <c r="AJ178" s="1256"/>
      <c r="AK178" s="1256"/>
      <c r="AL178" s="1256"/>
      <c r="AM178" s="1256"/>
      <c r="AN178" s="1256"/>
      <c r="AO178" s="1256"/>
      <c r="AP178" s="1256"/>
      <c r="AQ178" s="1256"/>
      <c r="AR178" s="1236"/>
      <c r="AS178" s="1284"/>
      <c r="AT178" s="407"/>
      <c r="AU178" s="1236"/>
      <c r="AV178" s="1236">
        <f>IFERROR(Model!AV178/Model!AU178-1,"NA")</f>
        <v>-0.3139500734214391</v>
      </c>
      <c r="AW178" s="1236">
        <f>IFERROR(Model!AW178/Model!AV178-1,"NA")</f>
        <v>-0.16652397260273977</v>
      </c>
      <c r="AX178" s="1236">
        <f>IFERROR(Model!AX178/Model!AW178-1,"NA")</f>
        <v>-2.4653312788906034E-2</v>
      </c>
      <c r="AY178" s="1236">
        <f>IFERROR(Model!AY178/Model!AX178-1,"NA")</f>
        <v>-0.15797788309636651</v>
      </c>
      <c r="AZ178" s="1236">
        <f>IFERROR(Model!AZ178/Model!AY178-1,"NA")</f>
        <v>-0.12007504690431525</v>
      </c>
      <c r="BA178" s="1236">
        <f>IFERROR(Model!BA178/Model!AZ178-1,"NA")</f>
        <v>5.5654922247860616E-2</v>
      </c>
      <c r="BB178" s="1256">
        <f>IFERROR(Model!BB178/Model!BA178-1,"NA")</f>
        <v>4.6562698755958198E-2</v>
      </c>
      <c r="BC178" s="1256">
        <f>IFERROR(Model!BC178/Model!BB178-1,"NA")</f>
        <v>6.1339648895206267E-2</v>
      </c>
      <c r="BD178" s="1256">
        <f>IFERROR(Model!BD178/Model!BC178-1,"NA")</f>
        <v>6.5517241379310143E-2</v>
      </c>
      <c r="BE178" s="1256">
        <f>IFERROR(Model!BE178/Model!BD178-1,"NA")</f>
        <v>3.0000000000000027E-2</v>
      </c>
    </row>
    <row r="179" spans="1:57" x14ac:dyDescent="0.2">
      <c r="B179" s="321" t="s">
        <v>75</v>
      </c>
      <c r="D179" s="1247"/>
      <c r="E179" s="1247"/>
      <c r="F179" s="1247"/>
      <c r="G179" s="1247"/>
      <c r="H179" s="1247">
        <f>IFERROR(Model!H179/Model!D179-1,"NA")</f>
        <v>2.6455026455025621E-3</v>
      </c>
      <c r="I179" s="1247">
        <f>IFERROR(Model!I179/Model!E179-1,"NA")</f>
        <v>-0.12073490813648291</v>
      </c>
      <c r="J179" s="1247">
        <f>IFERROR(Model!J179/Model!F179-1,"NA")</f>
        <v>-6.1176470588235277E-2</v>
      </c>
      <c r="K179" s="1247">
        <f>IFERROR(Model!K179/Model!G179-1,"NA")</f>
        <v>-3.0373831775700966E-2</v>
      </c>
      <c r="L179" s="1247">
        <f>IFERROR(Model!L179/Model!H179-1,"NA")</f>
        <v>-1.8469656992084471E-2</v>
      </c>
      <c r="M179" s="1247">
        <f>IFERROR(Model!M179/Model!I179-1,"NA")</f>
        <v>0.17611940298507456</v>
      </c>
      <c r="N179" s="1247">
        <f>IFERROR(Model!N179/Model!J179-1,"NA")</f>
        <v>9.5238095238095344E-2</v>
      </c>
      <c r="O179" s="1247">
        <f>IFERROR(Model!O179/Model!K179-1,"NA")</f>
        <v>6.7469879518072373E-2</v>
      </c>
      <c r="P179" s="1247">
        <f>IFERROR(Model!P179/Model!L179-1,"NA")</f>
        <v>8.0645161290322509E-2</v>
      </c>
      <c r="Q179" s="1247">
        <f>IFERROR(Model!Q179/Model!M179-1,"NA")</f>
        <v>-0.1091370558375635</v>
      </c>
      <c r="R179" s="1247">
        <f>IFERROR(Model!R179/Model!N179-1,"NA")</f>
        <v>-0.28604118993135008</v>
      </c>
      <c r="S179" s="1247">
        <f>IFERROR(Model!S179/Model!O179-1,"NA")</f>
        <v>-0.31376975169300225</v>
      </c>
      <c r="T179" s="1247">
        <f>IFERROR(Model!T179/Model!P179-1,"NA")</f>
        <v>-0.33333333333333337</v>
      </c>
      <c r="U179" s="1247">
        <f>IFERROR(Model!U179/Model!Q179-1,"NA")</f>
        <v>-0.15954415954415957</v>
      </c>
      <c r="V179" s="1247">
        <f>IFERROR(Model!V179/Model!R179-1,"NA")</f>
        <v>5.1282051282051322E-2</v>
      </c>
      <c r="W179" s="1247">
        <f>IFERROR(Model!W179/Model!S179-1,"NA")</f>
        <v>0.13815789473684204</v>
      </c>
      <c r="X179" s="1247">
        <f>IFERROR(Model!X179/Model!T179-1,"NA")</f>
        <v>0.16044776119402981</v>
      </c>
      <c r="Y179" s="1247">
        <f>IFERROR(Model!Y179/Model!U179-1,"NA")</f>
        <v>-1.3559322033898313E-2</v>
      </c>
      <c r="Z179" s="1338">
        <f>IFERROR(Model!Z179/Model!V179-1,"NA")</f>
        <v>3.0487804878047697E-3</v>
      </c>
      <c r="AA179" s="1338">
        <f>IFERROR(Model!AA179/Model!W179-1,"NA")</f>
        <v>7.225433526011571E-2</v>
      </c>
      <c r="AB179" s="1338">
        <f>IFERROR(Model!AB179/Model!X179-1,"NA")</f>
        <v>0.38906752411575574</v>
      </c>
      <c r="AC179" s="1338">
        <f>IFERROR(Model!AC179/Model!Y179-1,"NA")</f>
        <v>-0.10371134020618544</v>
      </c>
      <c r="AD179" s="1338">
        <f>IFERROR(Model!AD179/Model!Z179-1,"NA")</f>
        <v>-0.20821884498480248</v>
      </c>
      <c r="AE179" s="1338">
        <f>IFERROR(Model!AE179/Model!AA179-1,"NA")</f>
        <v>-0.24632884097035035</v>
      </c>
      <c r="AF179" s="1338">
        <f>IFERROR(Model!AF179/Model!AB179-1,"NA")</f>
        <v>-0.35755416666666662</v>
      </c>
      <c r="AG179" s="1338">
        <f>IFERROR(Model!AG179/Model!AC179-1,"NA")</f>
        <v>0.17700000000000005</v>
      </c>
      <c r="AH179" s="1338">
        <f>IFERROR(Model!AH179/Model!AD179-1,"NA")</f>
        <v>0.17700000000000027</v>
      </c>
      <c r="AI179" s="1338">
        <f>IFERROR(Model!AI179/Model!AE179-1,"NA")</f>
        <v>0.17700000000000005</v>
      </c>
      <c r="AJ179" s="1338"/>
      <c r="AK179" s="1338"/>
      <c r="AL179" s="1338"/>
      <c r="AM179" s="1338"/>
      <c r="AN179" s="1338"/>
      <c r="AO179" s="1338"/>
      <c r="AP179" s="1338"/>
      <c r="AQ179" s="1338"/>
      <c r="AR179" s="1236"/>
      <c r="AS179" s="1284"/>
      <c r="AT179" s="407"/>
      <c r="AU179" s="1236"/>
      <c r="AV179" s="1236">
        <f>IFERROR(Model!AV179/Model!AU179-1,"NA")</f>
        <v>-5.2109181141439254E-2</v>
      </c>
      <c r="AW179" s="1236">
        <f>IFERROR(Model!AW179/Model!AV179-1,"NA")</f>
        <v>7.7225130890052451E-2</v>
      </c>
      <c r="AX179" s="1236">
        <f>IFERROR(Model!AX179/Model!AW179-1,"NA")</f>
        <v>-0.16828675577156749</v>
      </c>
      <c r="AY179" s="1236">
        <f>IFERROR(Model!AY179/Model!AX179-1,"NA")</f>
        <v>-9.6420745069393687E-2</v>
      </c>
      <c r="AZ179" s="1236">
        <f>IFERROR(Model!AZ179/Model!AY179-1,"NA")</f>
        <v>5.254648342764745E-2</v>
      </c>
      <c r="BA179" s="1236">
        <f>IFERROR(Model!BA179/Model!AZ179-1,"NA")</f>
        <v>-5.3050691244239556E-2</v>
      </c>
      <c r="BB179" s="1338">
        <f>IFERROR(Model!BB179/Model!BA179-1,"NA")</f>
        <v>-1.0299988320485842E-2</v>
      </c>
      <c r="BC179" s="1338">
        <f>IFERROR(Model!BC179/Model!BB179-1,"NA")</f>
        <v>0.12424242424242449</v>
      </c>
      <c r="BD179" s="1338">
        <f>IFERROR(Model!BD179/Model!BC179-1,"NA")</f>
        <v>5.9999999999999831E-2</v>
      </c>
      <c r="BE179" s="1338">
        <f>IFERROR(Model!BE179/Model!BD179-1,"NA")</f>
        <v>6.0000000000000275E-2</v>
      </c>
    </row>
    <row r="180" spans="1:57" x14ac:dyDescent="0.2">
      <c r="B180" s="376" t="s">
        <v>102</v>
      </c>
      <c r="C180" s="25"/>
      <c r="D180" s="1401"/>
      <c r="E180" s="1401"/>
      <c r="F180" s="1401"/>
      <c r="G180" s="1401"/>
      <c r="H180" s="1401">
        <f>IFERROR(Model!H180/Model!D180-1,"NA")</f>
        <v>0.87999999999999989</v>
      </c>
      <c r="I180" s="1401">
        <f>IFERROR(Model!I180/Model!E180-1,"NA")</f>
        <v>0.31645569620253156</v>
      </c>
      <c r="J180" s="1401">
        <f>IFERROR(Model!J180/Model!F180-1,"NA")</f>
        <v>0.65591397849462374</v>
      </c>
      <c r="K180" s="1401">
        <f>IFERROR(Model!K180/Model!G180-1,"NA")</f>
        <v>0.51968503937007871</v>
      </c>
      <c r="L180" s="1401">
        <f>IFERROR(Model!L180/Model!H180-1,"NA")</f>
        <v>0.37588652482269502</v>
      </c>
      <c r="M180" s="1401">
        <f>IFERROR(Model!M180/Model!I180-1,"NA")</f>
        <v>1.2019230769230771</v>
      </c>
      <c r="N180" s="1401">
        <f>IFERROR(Model!N180/Model!J180-1,"NA")</f>
        <v>0.54545454545454541</v>
      </c>
      <c r="O180" s="1401">
        <f>IFERROR(Model!O180/Model!K180-1,"NA")</f>
        <v>0.62176165803108807</v>
      </c>
      <c r="P180" s="1401">
        <f>IFERROR(Model!P180/Model!L180-1,"NA")</f>
        <v>0.27835051546391743</v>
      </c>
      <c r="Q180" s="1401">
        <f>IFERROR(Model!Q180/Model!M180-1,"NA")</f>
        <v>0.13973799126637565</v>
      </c>
      <c r="R180" s="1401">
        <f>IFERROR(Model!R180/Model!N180-1,"NA")</f>
        <v>0.29831932773109249</v>
      </c>
      <c r="S180" s="1401">
        <f>IFERROR(Model!S180/Model!O180-1,"NA")</f>
        <v>9.9041533546325944E-2</v>
      </c>
      <c r="T180" s="1401">
        <f>IFERROR(Model!T180/Model!P180-1,"NA")</f>
        <v>-0.14919354838709675</v>
      </c>
      <c r="U180" s="1401">
        <f>IFERROR(Model!U180/Model!Q180-1,"NA")</f>
        <v>0.24137931034482762</v>
      </c>
      <c r="V180" s="1401">
        <f>IFERROR(Model!V180/Model!R180-1,"NA")</f>
        <v>0</v>
      </c>
      <c r="W180" s="1401">
        <f>IFERROR(Model!W180/Model!S180-1,"NA")</f>
        <v>5.8139534883721034E-2</v>
      </c>
      <c r="X180" s="1401">
        <f>IFERROR(Model!X180/Model!T180-1,"NA")</f>
        <v>0.49763033175355442</v>
      </c>
      <c r="Y180" s="1401">
        <f>IFERROR(Model!Y180/Model!U180-1,"NA")</f>
        <v>-3.0864197530864335E-3</v>
      </c>
      <c r="Z180" s="1257">
        <f>IFERROR(Model!Z180/Model!V180-1,"NA")</f>
        <v>7.7669902912621325E-2</v>
      </c>
      <c r="AA180" s="1257">
        <f>IFERROR(Model!AA180/Model!W180-1,"NA")</f>
        <v>-4.9450549450549497E-2</v>
      </c>
      <c r="AB180" s="1257">
        <f>IFERROR(Model!AB180/Model!X180-1,"NA")</f>
        <v>0.12341772151898733</v>
      </c>
      <c r="AC180" s="1257">
        <f>IFERROR(Model!AC180/Model!Y180-1,"NA")</f>
        <v>0.24205882352941166</v>
      </c>
      <c r="AD180" s="1257">
        <f>IFERROR(Model!AD180/Model!Z180-1,"NA")</f>
        <v>0.1444444444444446</v>
      </c>
      <c r="AE180" s="1257">
        <f>IFERROR(Model!AE180/Model!AA180-1,"NA")</f>
        <v>0.29970520231213893</v>
      </c>
      <c r="AF180" s="1257">
        <f>IFERROR(Model!AF180/Model!AB180-1,"NA")</f>
        <v>-6.6036619718309764E-2</v>
      </c>
      <c r="AG180" s="1257">
        <f>IFERROR(Model!AG180/Model!AC180-1,"NA")</f>
        <v>3.0000000000000027E-2</v>
      </c>
      <c r="AH180" s="1257">
        <f>IFERROR(Model!AH180/Model!AD180-1,"NA")</f>
        <v>8.56756756756758E-2</v>
      </c>
      <c r="AI180" s="1257">
        <f>IFERROR(Model!AI180/Model!AE180-1,"NA")</f>
        <v>0.14135135135135157</v>
      </c>
      <c r="AJ180" s="1338"/>
      <c r="AK180" s="1338"/>
      <c r="AL180" s="1338"/>
      <c r="AM180" s="1338"/>
      <c r="AN180" s="1338"/>
      <c r="AO180" s="1338"/>
      <c r="AP180" s="1338"/>
      <c r="AQ180" s="1338"/>
      <c r="AR180" s="1236"/>
      <c r="AS180" s="1270"/>
      <c r="AT180" s="1307"/>
      <c r="AU180" s="1246"/>
      <c r="AV180" s="1246">
        <f>IFERROR(Model!AV180/Model!AU180-1,"NA")</f>
        <v>0.58288770053475947</v>
      </c>
      <c r="AW180" s="1246">
        <f>IFERROR(Model!AW180/Model!AV180-1,"NA")</f>
        <v>0.64527027027027017</v>
      </c>
      <c r="AX180" s="1246">
        <f>IFERROR(Model!AX180/Model!AW180-1,"NA")</f>
        <v>0.19301848049281323</v>
      </c>
      <c r="AY180" s="1246">
        <f>IFERROR(Model!AY180/Model!AX180-1,"NA")</f>
        <v>3.9586919104991347E-2</v>
      </c>
      <c r="AZ180" s="1246">
        <f>IFERROR(Model!AZ180/Model!AY180-1,"NA")</f>
        <v>9.1059602649006699E-2</v>
      </c>
      <c r="BA180" s="1246">
        <f>IFERROR(Model!BA180/Model!AZ180-1,"NA")</f>
        <v>0.20408421851289837</v>
      </c>
      <c r="BB180" s="1257">
        <f>IFERROR(Model!BB180/Model!BA180-1,"NA")</f>
        <v>5.3440377118091575E-2</v>
      </c>
      <c r="BC180" s="1257">
        <f>IFERROR(Model!BC180/Model!BB180-1,"NA")</f>
        <v>0.12251829370851697</v>
      </c>
      <c r="BD180" s="1257">
        <f>IFERROR(Model!BD180/Model!BC180-1,"NA")</f>
        <v>4.0000000000000258E-2</v>
      </c>
      <c r="BE180" s="1257">
        <f>IFERROR(Model!BE180/Model!BD180-1,"NA")</f>
        <v>4.0000000000000036E-2</v>
      </c>
    </row>
    <row r="181" spans="1:57" x14ac:dyDescent="0.2">
      <c r="C181" s="322" t="s">
        <v>293</v>
      </c>
      <c r="D181" s="1247"/>
      <c r="E181" s="1247"/>
      <c r="F181" s="1247"/>
      <c r="G181" s="1247"/>
      <c r="H181" s="1247">
        <f>IFERROR(Model!H181/Model!D181-1,"NA")</f>
        <v>-9.5927601809954743E-2</v>
      </c>
      <c r="I181" s="1247">
        <f>IFERROR(Model!I181/Model!E181-1,"NA")</f>
        <v>-9.3474426807760191E-2</v>
      </c>
      <c r="J181" s="1247">
        <f>IFERROR(Model!J181/Model!F181-1,"NA")</f>
        <v>-0.49125596184419718</v>
      </c>
      <c r="K181" s="1247">
        <f>IFERROR(Model!K181/Model!G181-1,"NA")</f>
        <v>-0.47207678883071558</v>
      </c>
      <c r="L181" s="1247">
        <f>IFERROR(Model!L181/Model!H181-1,"NA")</f>
        <v>-0.36036036036036034</v>
      </c>
      <c r="M181" s="1247">
        <f>IFERROR(Model!M181/Model!I181-1,"NA")</f>
        <v>-0.40175097276264593</v>
      </c>
      <c r="N181" s="1247">
        <f>IFERROR(Model!N181/Model!J181-1,"NA")</f>
        <v>5.46875E-2</v>
      </c>
      <c r="O181" s="1247">
        <f>IFERROR(Model!O181/Model!K181-1,"NA")</f>
        <v>0.14049586776859502</v>
      </c>
      <c r="P181" s="1247">
        <f>IFERROR(Model!P181/Model!L181-1,"NA")</f>
        <v>0.13145539906103276</v>
      </c>
      <c r="Q181" s="1247">
        <f>IFERROR(Model!Q181/Model!M181-1,"NA")</f>
        <v>-5.3658536585365901E-2</v>
      </c>
      <c r="R181" s="1247">
        <f>IFERROR(Model!R181/Model!N181-1,"NA")</f>
        <v>-0.35259259259259257</v>
      </c>
      <c r="S181" s="1247">
        <f>IFERROR(Model!S181/Model!O181-1,"NA")</f>
        <v>-0.47246376811594204</v>
      </c>
      <c r="T181" s="1247">
        <f>IFERROR(Model!T181/Model!P181-1,"NA")</f>
        <v>-0.40248962655601661</v>
      </c>
      <c r="U181" s="1247">
        <f>IFERROR(Model!U181/Model!Q181-1,"NA")</f>
        <v>-0.35051546391752575</v>
      </c>
      <c r="V181" s="1247">
        <f>IFERROR(Model!V181/Model!R181-1,"NA")</f>
        <v>6.4073226544622441E-2</v>
      </c>
      <c r="W181" s="1247">
        <f>IFERROR(Model!W181/Model!S181-1,"NA")</f>
        <v>-3.0219780219780223E-2</v>
      </c>
      <c r="X181" s="1247">
        <f>IFERROR(Model!X181/Model!T181-1,"NA")</f>
        <v>-0.2407407407407407</v>
      </c>
      <c r="Y181" s="1247">
        <f>IFERROR(Model!Y181/Model!U181-1,"NA")</f>
        <v>-0.1693121693121693</v>
      </c>
      <c r="Z181" s="1247">
        <f>IFERROR(Model!Z181/Model!V181-1,"NA")</f>
        <v>-0.19999999999999996</v>
      </c>
      <c r="AA181" s="1247">
        <f>IFERROR(Model!AA181/Model!W181-1,"NA")</f>
        <v>6.7988668555240883E-2</v>
      </c>
      <c r="AB181" s="1247">
        <f>IFERROR(Model!AB181/Model!X181-1,"NA")</f>
        <v>0.24085365853658547</v>
      </c>
      <c r="AC181" s="1247">
        <f>IFERROR(Model!AC181/Model!Y181-1,"NA")</f>
        <v>-0.2548595672279903</v>
      </c>
      <c r="AD181" s="1247">
        <f>IFERROR(Model!AD181/Model!Z181-1,"NA")</f>
        <v>-0.27713463691265272</v>
      </c>
      <c r="AE181" s="1247">
        <f>IFERROR(Model!AE181/Model!AA181-1,"NA")</f>
        <v>-0.41280778609062174</v>
      </c>
      <c r="AF181" s="1247">
        <f>IFERROR(Model!AF181/Model!AB181-1,"NA")</f>
        <v>-0.22049512636380464</v>
      </c>
      <c r="AG181" s="1247">
        <f>IFERROR(Model!AG181/Model!AC181-1,"NA")</f>
        <v>0.19777275157207663</v>
      </c>
      <c r="AH181" s="1247">
        <f>IFERROR(Model!AH181/Model!AD181-1,"NA")</f>
        <v>7.9230729385794119E-2</v>
      </c>
      <c r="AI181" s="1247">
        <f>IFERROR(Model!AI181/Model!AE181-1,"NA")</f>
        <v>-2.7944126059726848E-2</v>
      </c>
      <c r="AJ181" s="1247"/>
      <c r="AK181" s="1247"/>
      <c r="AL181" s="1247"/>
      <c r="AM181" s="1247"/>
      <c r="AN181" s="1247"/>
      <c r="AO181" s="1247"/>
      <c r="AP181" s="1247"/>
      <c r="AQ181" s="1247"/>
      <c r="AR181" s="1236"/>
      <c r="AS181" s="1382"/>
      <c r="AT181" s="1248"/>
      <c r="AU181" s="1267"/>
      <c r="AV181" s="1267">
        <f>IFERROR(Model!AV181/Model!AU181-1,"NA")</f>
        <v>-0.29528322205470603</v>
      </c>
      <c r="AW181" s="1267">
        <f>IFERROR(Model!AW181/Model!AV181-1,"NA")</f>
        <v>-0.19957212713936434</v>
      </c>
      <c r="AX181" s="1267">
        <f>IFERROR(Model!AX181/Model!AW181-1,"NA")</f>
        <v>-0.19587628865979378</v>
      </c>
      <c r="AY181" s="1267">
        <f>IFERROR(Model!AY181/Model!AX181-1,"NA")</f>
        <v>-0.22697056030389362</v>
      </c>
      <c r="AZ181" s="1267">
        <f>IFERROR(Model!AZ181/Model!AY181-1,"NA")</f>
        <v>-0.14557739557739557</v>
      </c>
      <c r="BA181" s="1267">
        <f>IFERROR(Model!BA181/Model!AZ181-1,"NA")</f>
        <v>-0.18673510021370232</v>
      </c>
      <c r="BB181" s="1247">
        <f>IFERROR(Model!BB181/Model!BA181-1,"NA")</f>
        <v>-2.5059181470796998E-2</v>
      </c>
      <c r="BC181" s="1247">
        <f>IFERROR(Model!BC181/Model!BB181-1,"NA")</f>
        <v>3.8198738054485259E-2</v>
      </c>
      <c r="BD181" s="1247">
        <f>IFERROR(Model!BD181/Model!BC181-1,"NA")</f>
        <v>0.10072789944472738</v>
      </c>
      <c r="BE181" s="1247">
        <f>IFERROR(Model!BE181/Model!BD181-1,"NA")</f>
        <v>4.912730629014006E-2</v>
      </c>
    </row>
    <row r="182" spans="1:57" x14ac:dyDescent="0.2">
      <c r="B182" s="321"/>
      <c r="C182" s="319"/>
      <c r="D182" s="1248"/>
      <c r="E182" s="1409"/>
      <c r="F182" s="407"/>
      <c r="G182" s="407"/>
      <c r="H182" s="407"/>
      <c r="I182" s="407"/>
      <c r="J182" s="407"/>
      <c r="K182" s="407"/>
      <c r="L182" s="407"/>
      <c r="M182" s="407"/>
      <c r="N182" s="407"/>
      <c r="O182" s="407"/>
      <c r="P182" s="407"/>
      <c r="Q182" s="407"/>
      <c r="R182" s="407"/>
      <c r="S182" s="407"/>
      <c r="T182" s="407"/>
      <c r="U182" s="407"/>
      <c r="V182" s="407"/>
      <c r="W182" s="407"/>
      <c r="X182" s="407"/>
      <c r="Y182" s="407"/>
      <c r="Z182" s="407"/>
      <c r="AA182" s="407"/>
      <c r="AB182" s="407"/>
      <c r="AC182" s="407"/>
      <c r="AD182" s="407"/>
      <c r="AE182" s="407"/>
      <c r="AF182" s="407"/>
      <c r="AG182" s="407"/>
      <c r="AH182" s="407"/>
      <c r="AI182" s="407"/>
      <c r="AJ182" s="407"/>
      <c r="AK182" s="407"/>
      <c r="AL182" s="407"/>
      <c r="AM182" s="407"/>
      <c r="AN182" s="407"/>
      <c r="AO182" s="407"/>
      <c r="AP182" s="407"/>
      <c r="AQ182" s="407"/>
      <c r="AR182" s="1236"/>
      <c r="AS182" s="1284"/>
      <c r="AT182" s="1248"/>
      <c r="AU182" s="1236"/>
      <c r="AV182" s="1236"/>
      <c r="AW182" s="1236"/>
      <c r="AX182" s="1236"/>
      <c r="AY182" s="1236"/>
      <c r="AZ182" s="1236"/>
      <c r="BA182" s="1236"/>
      <c r="BB182" s="1236"/>
      <c r="BC182" s="1236"/>
      <c r="BD182" s="1236"/>
      <c r="BE182" s="1236"/>
    </row>
    <row r="183" spans="1:57" x14ac:dyDescent="0.2">
      <c r="A183" s="833"/>
      <c r="B183" s="340" t="s">
        <v>96</v>
      </c>
      <c r="C183" s="388"/>
      <c r="D183" s="1407"/>
      <c r="E183" s="1310"/>
      <c r="F183" s="1398"/>
      <c r="G183" s="1398"/>
      <c r="H183" s="1398"/>
      <c r="I183" s="1398"/>
      <c r="J183" s="1398"/>
      <c r="K183" s="1398"/>
      <c r="L183" s="1398"/>
      <c r="M183" s="1398"/>
      <c r="N183" s="1398"/>
      <c r="O183" s="1398"/>
      <c r="P183" s="1398"/>
      <c r="Q183" s="1398"/>
      <c r="R183" s="1398"/>
      <c r="S183" s="1398"/>
      <c r="T183" s="1398"/>
      <c r="U183" s="1398"/>
      <c r="V183" s="1398"/>
      <c r="W183" s="1398"/>
      <c r="X183" s="1398"/>
      <c r="Y183" s="1398"/>
      <c r="Z183" s="1398"/>
      <c r="AA183" s="1398"/>
      <c r="AB183" s="1398"/>
      <c r="AC183" s="1398"/>
      <c r="AD183" s="1398"/>
      <c r="AE183" s="1398"/>
      <c r="AF183" s="1398"/>
      <c r="AG183" s="1398"/>
      <c r="AH183" s="1398"/>
      <c r="AI183" s="1398"/>
      <c r="AJ183" s="1398"/>
      <c r="AK183" s="1398"/>
      <c r="AL183" s="1398"/>
      <c r="AM183" s="1398"/>
      <c r="AN183" s="1398"/>
      <c r="AO183" s="1398"/>
      <c r="AP183" s="1398"/>
      <c r="AQ183" s="1398"/>
      <c r="AR183" s="1236"/>
      <c r="AS183" s="1313"/>
      <c r="AT183" s="1407"/>
      <c r="AU183" s="1398"/>
      <c r="AV183" s="1398"/>
      <c r="AW183" s="1398"/>
      <c r="AX183" s="1398"/>
      <c r="AY183" s="1398"/>
      <c r="AZ183" s="1398"/>
      <c r="BA183" s="1398"/>
      <c r="BB183" s="1398"/>
      <c r="BC183" s="1398"/>
      <c r="BD183" s="1398"/>
      <c r="BE183" s="1398"/>
    </row>
    <row r="184" spans="1:57" x14ac:dyDescent="0.2">
      <c r="B184" s="321" t="s">
        <v>74</v>
      </c>
      <c r="D184" s="1253"/>
      <c r="E184" s="1240"/>
      <c r="F184" s="1327"/>
      <c r="G184" s="1327"/>
      <c r="H184" s="1327">
        <f>IFERROR(Model!H184/Model!D184-1,"NA")</f>
        <v>-0.31914893617021278</v>
      </c>
      <c r="I184" s="1327">
        <f>IFERROR(Model!I184/Model!E184-1,"NA")</f>
        <v>-0.1834862385321101</v>
      </c>
      <c r="J184" s="1327">
        <f>IFERROR(Model!J184/Model!F184-1,"NA")</f>
        <v>-1.072289156626506</v>
      </c>
      <c r="K184" s="1327">
        <f>IFERROR(Model!K184/Model!G184-1,"NA")</f>
        <v>-1.0186046511627906</v>
      </c>
      <c r="L184" s="1327">
        <f>IFERROR(Model!L184/Model!H184-1,"NA")</f>
        <v>-0.84375</v>
      </c>
      <c r="M184" s="1327">
        <f>IFERROR(Model!M184/Model!I184-1,"NA")</f>
        <v>-0.58801498127340823</v>
      </c>
      <c r="N184" s="1327">
        <f>IFERROR(Model!N184/Model!J184-1,"NA")</f>
        <v>-6.375</v>
      </c>
      <c r="O184" s="1327">
        <f>IFERROR(Model!O184/Model!K184-1,"NA")</f>
        <v>-41.25</v>
      </c>
      <c r="P184" s="1327">
        <f>IFERROR(Model!P184/Model!L184-1,"NA")</f>
        <v>4.2285714285714286</v>
      </c>
      <c r="Q184" s="1327">
        <f>IFERROR(Model!Q184/Model!M184-1,"NA")</f>
        <v>0.66363636363636358</v>
      </c>
      <c r="R184" s="1327">
        <f>IFERROR(Model!R184/Model!N184-1,"NA")</f>
        <v>6.2015503875969102E-2</v>
      </c>
      <c r="S184" s="1327">
        <f>IFERROR(Model!S184/Model!O184-1,"NA")</f>
        <v>-0.29813664596273293</v>
      </c>
      <c r="T184" s="1327">
        <f>IFERROR(Model!T184/Model!P184-1,"NA")</f>
        <v>-0.51366120218579236</v>
      </c>
      <c r="U184" s="1327">
        <f>IFERROR(Model!U184/Model!Q184-1,"NA")</f>
        <v>-6.0109289617486295E-2</v>
      </c>
      <c r="V184" s="1327">
        <f>IFERROR(Model!V184/Model!R184-1,"NA")</f>
        <v>0.36496350364963503</v>
      </c>
      <c r="W184" s="1327">
        <f>IFERROR(Model!W184/Model!S184-1,"NA")</f>
        <v>-0.24778761061946908</v>
      </c>
      <c r="X184" s="1327">
        <f>IFERROR(Model!X184/Model!T184-1,"NA")</f>
        <v>-0.1910112359550562</v>
      </c>
      <c r="Y184" s="1327">
        <f>IFERROR(Model!Y184/Model!U184-1,"NA")</f>
        <v>-0.2441860465116279</v>
      </c>
      <c r="Z184" s="1327">
        <f>IFERROR(Model!Z184/Model!V184-1,"NA")</f>
        <v>-9.6256684491978661E-2</v>
      </c>
      <c r="AA184" s="1327">
        <f>IFERROR(Model!AA184/Model!W184-1,"NA")</f>
        <v>-0.51764705882352935</v>
      </c>
      <c r="AB184" s="1327">
        <f>IFERROR(Model!AB184/Model!X184-1,"NA")</f>
        <v>0.94444444444444442</v>
      </c>
      <c r="AC184" s="1256" t="str">
        <f>IFERROR(Model!AC184/Model!Y184-1,"NA")</f>
        <v>NA</v>
      </c>
      <c r="AD184" s="1256" t="str">
        <f>IFERROR(Model!AD184/Model!Z184-1,"NA")</f>
        <v>NA</v>
      </c>
      <c r="AE184" s="1256" t="str">
        <f>IFERROR(Model!AE184/Model!AA184-1,"NA")</f>
        <v>NA</v>
      </c>
      <c r="AF184" s="1256" t="str">
        <f>IFERROR(Model!AF184/Model!AB184-1,"NA")</f>
        <v>NA</v>
      </c>
      <c r="AG184" s="1256" t="str">
        <f>IFERROR(Model!AG184/Model!AC184-1,"NA")</f>
        <v>NA</v>
      </c>
      <c r="AH184" s="1256" t="str">
        <f>IFERROR(Model!AH184/Model!AD184-1,"NA")</f>
        <v>NA</v>
      </c>
      <c r="AI184" s="1256" t="str">
        <f>IFERROR(Model!AI184/Model!AE184-1,"NA")</f>
        <v>NA</v>
      </c>
      <c r="AJ184" s="1256"/>
      <c r="AK184" s="1256"/>
      <c r="AL184" s="1256"/>
      <c r="AM184" s="1256"/>
      <c r="AN184" s="1256"/>
      <c r="AO184" s="1256"/>
      <c r="AP184" s="1256"/>
      <c r="AQ184" s="1256"/>
      <c r="AR184" s="1236"/>
      <c r="AS184" s="1284"/>
      <c r="AT184" s="407"/>
      <c r="AU184" s="1236"/>
      <c r="AV184" s="1236">
        <f>IFERROR(Model!AV184/Model!AU184-1,"NA")</f>
        <v>-0.6151288445552785</v>
      </c>
      <c r="AW184" s="1236">
        <f>IFERROR(Model!AW184/Model!AV184-1,"NA")</f>
        <v>-6.0475161987041059E-2</v>
      </c>
      <c r="AX184" s="1236">
        <f>IFERROR(Model!AX184/Model!AW184-1,"NA")</f>
        <v>0.4160919540229886</v>
      </c>
      <c r="AY184" s="1236">
        <f>IFERROR(Model!AY184/Model!AX184-1,"NA")</f>
        <v>-0.13474025974025972</v>
      </c>
      <c r="AZ184" s="1256" t="str">
        <f>IFERROR(Model!AZ184/Model!AY184-1,"NA")</f>
        <v>NA</v>
      </c>
      <c r="BA184" s="1256" t="str">
        <f>IFERROR(Model!BA184/Model!AZ184-1,"NA")</f>
        <v>NA</v>
      </c>
      <c r="BB184" s="1256" t="str">
        <f>IFERROR(Model!BB184/Model!BA184-1,"NA")</f>
        <v>NA</v>
      </c>
      <c r="BC184" s="1256" t="str">
        <f>IFERROR(Model!BC184/Model!BB184-1,"NA")</f>
        <v>NA</v>
      </c>
      <c r="BD184" s="1256" t="str">
        <f>IFERROR(Model!BD184/Model!BC184-1,"NA")</f>
        <v>NA</v>
      </c>
      <c r="BE184" s="1256" t="str">
        <f>IFERROR(Model!BE184/Model!BD184-1,"NA")</f>
        <v>NA</v>
      </c>
    </row>
    <row r="185" spans="1:57" x14ac:dyDescent="0.2">
      <c r="B185" s="321" t="s">
        <v>75</v>
      </c>
      <c r="D185" s="1253"/>
      <c r="E185" s="1240"/>
      <c r="F185" s="1327"/>
      <c r="G185" s="1327"/>
      <c r="H185" s="1327">
        <f>IFERROR(Model!H185/Model!D185-1,"NA")</f>
        <v>-0.26198630136986301</v>
      </c>
      <c r="I185" s="1327">
        <f>IFERROR(Model!I185/Model!E185-1,"NA")</f>
        <v>8.395061728395059E-2</v>
      </c>
      <c r="J185" s="1327">
        <f>IFERROR(Model!J185/Model!F185-1,"NA")</f>
        <v>1.8281535648994041E-3</v>
      </c>
      <c r="K185" s="1327">
        <f>IFERROR(Model!K185/Model!G185-1,"NA")</f>
        <v>0.16335540838852092</v>
      </c>
      <c r="L185" s="1327">
        <f>IFERROR(Model!L185/Model!H185-1,"NA")</f>
        <v>0.308584686774942</v>
      </c>
      <c r="M185" s="1327">
        <f>IFERROR(Model!M185/Model!I185-1,"NA")</f>
        <v>0.26423690205011385</v>
      </c>
      <c r="N185" s="1327">
        <f>IFERROR(Model!N185/Model!J185-1,"NA")</f>
        <v>0.16058394160583944</v>
      </c>
      <c r="O185" s="1327">
        <f>IFERROR(Model!O185/Model!K185-1,"NA")</f>
        <v>0.20683111954459199</v>
      </c>
      <c r="P185" s="1327">
        <f>IFERROR(Model!P185/Model!L185-1,"NA")</f>
        <v>-5.1418439716312103E-2</v>
      </c>
      <c r="Q185" s="1327">
        <f>IFERROR(Model!Q185/Model!M185-1,"NA")</f>
        <v>-0.10810810810810811</v>
      </c>
      <c r="R185" s="1327">
        <f>IFERROR(Model!R185/Model!N185-1,"NA")</f>
        <v>-0.18710691823899372</v>
      </c>
      <c r="S185" s="1327">
        <f>IFERROR(Model!S185/Model!O185-1,"NA")</f>
        <v>-0.19811320754716977</v>
      </c>
      <c r="T185" s="1327">
        <f>IFERROR(Model!T185/Model!P185-1,"NA")</f>
        <v>-0.34018691588785044</v>
      </c>
      <c r="U185" s="1327">
        <f>IFERROR(Model!U185/Model!Q185-1,"NA")</f>
        <v>-0.35353535353535348</v>
      </c>
      <c r="V185" s="1327">
        <f>IFERROR(Model!V185/Model!R185-1,"NA")</f>
        <v>-0.37717601547388779</v>
      </c>
      <c r="W185" s="1327">
        <f>IFERROR(Model!W185/Model!S185-1,"NA")</f>
        <v>-0.12549019607843137</v>
      </c>
      <c r="X185" s="1327">
        <f>IFERROR(Model!X185/Model!T185-1,"NA")</f>
        <v>-0.30311614730878189</v>
      </c>
      <c r="Y185" s="1327">
        <f>IFERROR(Model!Y185/Model!U185-1,"NA")</f>
        <v>-5.6250000000000022E-2</v>
      </c>
      <c r="Z185" s="1327">
        <f>IFERROR(Model!Z185/Model!V185-1,"NA")</f>
        <v>6.211180124223592E-2</v>
      </c>
      <c r="AA185" s="1327">
        <f>IFERROR(Model!AA185/Model!W185-1,"NA")</f>
        <v>-0.73318385650224216</v>
      </c>
      <c r="AB185" s="1327">
        <f>IFERROR(Model!AB185/Model!X185-1,"NA")</f>
        <v>0.72764227642276413</v>
      </c>
      <c r="AC185" s="1256" t="str">
        <f>IFERROR(Model!AC185/Model!Y185-1,"NA")</f>
        <v>NA</v>
      </c>
      <c r="AD185" s="1256" t="str">
        <f>IFERROR(Model!AD185/Model!Z185-1,"NA")</f>
        <v>NA</v>
      </c>
      <c r="AE185" s="1256" t="str">
        <f>IFERROR(Model!AE185/Model!AA185-1,"NA")</f>
        <v>NA</v>
      </c>
      <c r="AF185" s="1256" t="str">
        <f>IFERROR(Model!AF185/Model!AB185-1,"NA")</f>
        <v>NA</v>
      </c>
      <c r="AG185" s="1256" t="str">
        <f>IFERROR(Model!AG185/Model!AC185-1,"NA")</f>
        <v>NA</v>
      </c>
      <c r="AH185" s="1256" t="str">
        <f>IFERROR(Model!AH185/Model!AD185-1,"NA")</f>
        <v>NA</v>
      </c>
      <c r="AI185" s="1256" t="str">
        <f>IFERROR(Model!AI185/Model!AE185-1,"NA")</f>
        <v>NA</v>
      </c>
      <c r="AJ185" s="1256"/>
      <c r="AK185" s="1256"/>
      <c r="AL185" s="1256"/>
      <c r="AM185" s="1256"/>
      <c r="AN185" s="1256"/>
      <c r="AO185" s="1256"/>
      <c r="AP185" s="1256"/>
      <c r="AQ185" s="1256"/>
      <c r="AR185" s="1236"/>
      <c r="AS185" s="1284"/>
      <c r="AT185" s="407"/>
      <c r="AU185" s="1236"/>
      <c r="AV185" s="1236">
        <f>IFERROR(Model!AV185/Model!AU185-1,"NA")</f>
        <v>-2.2121669180492742E-2</v>
      </c>
      <c r="AW185" s="1236">
        <f>IFERROR(Model!AW185/Model!AV185-1,"NA")</f>
        <v>0.22930591259640098</v>
      </c>
      <c r="AX185" s="1236">
        <f>IFERROR(Model!AX185/Model!AW185-1,"NA")</f>
        <v>-0.13969050606440825</v>
      </c>
      <c r="AY185" s="1236">
        <f>IFERROR(Model!AY185/Model!AX185-1,"NA")</f>
        <v>-0.29946524064171121</v>
      </c>
      <c r="AZ185" s="1256" t="str">
        <f>IFERROR(Model!AZ185/Model!AY185-1,"NA")</f>
        <v>NA</v>
      </c>
      <c r="BA185" s="1256" t="str">
        <f>IFERROR(Model!BA185/Model!AZ185-1,"NA")</f>
        <v>NA</v>
      </c>
      <c r="BB185" s="1256" t="str">
        <f>IFERROR(Model!BB185/Model!BA185-1,"NA")</f>
        <v>NA</v>
      </c>
      <c r="BC185" s="1256" t="str">
        <f>IFERROR(Model!BC185/Model!BB185-1,"NA")</f>
        <v>NA</v>
      </c>
      <c r="BD185" s="1256" t="str">
        <f>IFERROR(Model!BD185/Model!BC185-1,"NA")</f>
        <v>NA</v>
      </c>
      <c r="BE185" s="1256" t="str">
        <f>IFERROR(Model!BE185/Model!BD185-1,"NA")</f>
        <v>NA</v>
      </c>
    </row>
    <row r="186" spans="1:57" x14ac:dyDescent="0.2">
      <c r="A186" s="833"/>
      <c r="B186" s="376" t="s">
        <v>102</v>
      </c>
      <c r="C186" s="25"/>
      <c r="D186" s="1408"/>
      <c r="E186" s="1408"/>
      <c r="F186" s="1363"/>
      <c r="G186" s="1363"/>
      <c r="H186" s="1363">
        <f>IFERROR(Model!H186/Model!D186-1,"NA")</f>
        <v>0.17808219178082196</v>
      </c>
      <c r="I186" s="1363">
        <f>IFERROR(Model!I186/Model!E186-1,"NA")</f>
        <v>-7.4162679425837319E-2</v>
      </c>
      <c r="J186" s="1363">
        <f>IFERROR(Model!J186/Model!F186-1,"NA")</f>
        <v>2.4064171122994749E-2</v>
      </c>
      <c r="K186" s="1363">
        <f>IFERROR(Model!K186/Model!G186-1,"NA")</f>
        <v>0.26148409893992941</v>
      </c>
      <c r="L186" s="1363">
        <f>IFERROR(Model!L186/Model!H186-1,"NA")</f>
        <v>1.3953488372093092E-2</v>
      </c>
      <c r="M186" s="1363">
        <f>IFERROR(Model!M186/Model!I186-1,"NA")</f>
        <v>0.10852713178294571</v>
      </c>
      <c r="N186" s="1363">
        <f>IFERROR(Model!N186/Model!J186-1,"NA")</f>
        <v>0.1488250652741514</v>
      </c>
      <c r="O186" s="1363">
        <f>IFERROR(Model!O186/Model!K186-1,"NA")</f>
        <v>1.1204481792717047E-2</v>
      </c>
      <c r="P186" s="1363">
        <f>IFERROR(Model!P186/Model!L186-1,"NA")</f>
        <v>-7.5688073394495459E-2</v>
      </c>
      <c r="Q186" s="1363">
        <f>IFERROR(Model!Q186/Model!M186-1,"NA")</f>
        <v>-0.11888111888111885</v>
      </c>
      <c r="R186" s="1363">
        <f>IFERROR(Model!R186/Model!N186-1,"NA")</f>
        <v>-0.10227272727272729</v>
      </c>
      <c r="S186" s="1363">
        <f>IFERROR(Model!S186/Model!O186-1,"NA")</f>
        <v>-6.0941828254847619E-2</v>
      </c>
      <c r="T186" s="1363">
        <f>IFERROR(Model!T186/Model!P186-1,"NA")</f>
        <v>-2.9776674937965208E-2</v>
      </c>
      <c r="U186" s="1363">
        <f>IFERROR(Model!U186/Model!Q186-1,"NA")</f>
        <v>-0.14550264550264547</v>
      </c>
      <c r="V186" s="1363">
        <f>IFERROR(Model!V186/Model!R186-1,"NA")</f>
        <v>-0.3139240506329114</v>
      </c>
      <c r="W186" s="1363">
        <f>IFERROR(Model!W186/Model!S186-1,"NA")</f>
        <v>-0.17699115044247793</v>
      </c>
      <c r="X186" s="1363">
        <f>IFERROR(Model!X186/Model!T186-1,"NA")</f>
        <v>-0.24296675191815853</v>
      </c>
      <c r="Y186" s="1363">
        <f>IFERROR(Model!Y186/Model!U186-1,"NA")</f>
        <v>-0.30340557275541791</v>
      </c>
      <c r="Z186" s="1363">
        <f>IFERROR(Model!Z186/Model!V186-1,"NA")</f>
        <v>-0.51660516605166051</v>
      </c>
      <c r="AA186" s="1363">
        <f>IFERROR(Model!AA186/Model!W186-1,"NA")</f>
        <v>-1.2974910394265233</v>
      </c>
      <c r="AB186" s="1363">
        <f>IFERROR(Model!AB186/Model!X186-1,"NA")</f>
        <v>-7.7702702702702742E-2</v>
      </c>
      <c r="AC186" s="1257" t="str">
        <f>IFERROR(Model!AC186/Model!Y186-1,"NA")</f>
        <v>NA</v>
      </c>
      <c r="AD186" s="1257" t="str">
        <f>IFERROR(Model!AD186/Model!Z186-1,"NA")</f>
        <v>NA</v>
      </c>
      <c r="AE186" s="1257" t="str">
        <f>IFERROR(Model!AE186/Model!AA186-1,"NA")</f>
        <v>NA</v>
      </c>
      <c r="AF186" s="1257" t="str">
        <f>IFERROR(Model!AF186/Model!AB186-1,"NA")</f>
        <v>NA</v>
      </c>
      <c r="AG186" s="1257" t="str">
        <f>IFERROR(Model!AG186/Model!AC186-1,"NA")</f>
        <v>NA</v>
      </c>
      <c r="AH186" s="1257" t="str">
        <f>IFERROR(Model!AH186/Model!AD186-1,"NA")</f>
        <v>NA</v>
      </c>
      <c r="AI186" s="1257" t="str">
        <f>IFERROR(Model!AI186/Model!AE186-1,"NA")</f>
        <v>NA</v>
      </c>
      <c r="AJ186" s="1338"/>
      <c r="AK186" s="1338"/>
      <c r="AL186" s="1338"/>
      <c r="AM186" s="1338"/>
      <c r="AN186" s="1338"/>
      <c r="AO186" s="1338"/>
      <c r="AP186" s="1338"/>
      <c r="AQ186" s="1338"/>
      <c r="AR186" s="1236"/>
      <c r="AS186" s="1270"/>
      <c r="AT186" s="1307"/>
      <c r="AU186" s="1246"/>
      <c r="AV186" s="1246">
        <f>IFERROR(Model!AV186/Model!AU186-1,"NA")</f>
        <v>8.1250000000000044E-2</v>
      </c>
      <c r="AW186" s="1246">
        <f>IFERROR(Model!AW186/Model!AV186-1,"NA")</f>
        <v>7.0006422607578722E-2</v>
      </c>
      <c r="AX186" s="1246">
        <f>IFERROR(Model!AX186/Model!AW186-1,"NA")</f>
        <v>-9.0636254501800684E-2</v>
      </c>
      <c r="AY186" s="1246">
        <f>IFERROR(Model!AY186/Model!AX186-1,"NA")</f>
        <v>-0.16567656765676564</v>
      </c>
      <c r="AZ186" s="1257" t="str">
        <f>IFERROR(Model!AZ186/Model!AY186-1,"NA")</f>
        <v>NA</v>
      </c>
      <c r="BA186" s="1257" t="str">
        <f>IFERROR(Model!BA186/Model!AZ186-1,"NA")</f>
        <v>NA</v>
      </c>
      <c r="BB186" s="1257" t="str">
        <f>IFERROR(Model!BB186/Model!BA186-1,"NA")</f>
        <v>NA</v>
      </c>
      <c r="BC186" s="1257" t="str">
        <f>IFERROR(Model!BC186/Model!BB186-1,"NA")</f>
        <v>NA</v>
      </c>
      <c r="BD186" s="1257" t="str">
        <f>IFERROR(Model!BD186/Model!BC186-1,"NA")</f>
        <v>NA</v>
      </c>
      <c r="BE186" s="1257" t="str">
        <f>IFERROR(Model!BE186/Model!BD186-1,"NA")</f>
        <v>NA</v>
      </c>
    </row>
    <row r="187" spans="1:57" x14ac:dyDescent="0.2">
      <c r="B187" s="321"/>
      <c r="C187" s="319" t="s">
        <v>635</v>
      </c>
      <c r="D187" s="1247"/>
      <c r="E187" s="1247"/>
      <c r="F187" s="1247"/>
      <c r="G187" s="1247"/>
      <c r="H187" s="1247">
        <f>IFERROR(Model!H187/Model!D187-1,"NA")</f>
        <v>-0.15101721439749605</v>
      </c>
      <c r="I187" s="1247">
        <f>IFERROR(Model!I187/Model!E187-1,"NA")</f>
        <v>-4.9565217391304373E-2</v>
      </c>
      <c r="J187" s="1247">
        <f>IFERROR(Model!J187/Model!F187-1,"NA")</f>
        <v>-0.27613727055067838</v>
      </c>
      <c r="K187" s="1247">
        <f>IFERROR(Model!K187/Model!G187-1,"NA")</f>
        <v>-7.4658254468980001E-2</v>
      </c>
      <c r="L187" s="1247">
        <f>IFERROR(Model!L187/Model!H187-1,"NA")</f>
        <v>-4.6082949308755783E-2</v>
      </c>
      <c r="M187" s="1247">
        <f>IFERROR(Model!M187/Model!I187-1,"NA")</f>
        <v>9.1491308325708509E-4</v>
      </c>
      <c r="N187" s="1247">
        <f>IFERROR(Model!N187/Model!J187-1,"NA")</f>
        <v>0.32855567805953689</v>
      </c>
      <c r="O187" s="1247">
        <f>IFERROR(Model!O187/Model!K187-1,"NA")</f>
        <v>0.31590909090909092</v>
      </c>
      <c r="P187" s="1247">
        <f>IFERROR(Model!P187/Model!L187-1,"NA")</f>
        <v>8.309178743961354E-2</v>
      </c>
      <c r="Q187" s="1247">
        <f>IFERROR(Model!Q187/Model!M187-1,"NA")</f>
        <v>-3.4734917733089565E-2</v>
      </c>
      <c r="R187" s="1247">
        <f>IFERROR(Model!R187/Model!N187-1,"NA")</f>
        <v>-0.12946058091286305</v>
      </c>
      <c r="S187" s="1247">
        <f>IFERROR(Model!S187/Model!O187-1,"NA")</f>
        <v>-0.16925734024179617</v>
      </c>
      <c r="T187" s="1247">
        <f>IFERROR(Model!T187/Model!P187-1,"NA")</f>
        <v>-0.25691347011596788</v>
      </c>
      <c r="U187" s="1247">
        <f>IFERROR(Model!U187/Model!Q187-1,"NA")</f>
        <v>-0.22821969696969702</v>
      </c>
      <c r="V187" s="1247">
        <f>IFERROR(Model!V187/Model!R187-1,"NA")</f>
        <v>-0.25643469971401334</v>
      </c>
      <c r="W187" s="1247">
        <f>IFERROR(Model!W187/Model!S187-1,"NA")</f>
        <v>-0.15800415800415801</v>
      </c>
      <c r="X187" s="1247">
        <f>IFERROR(Model!X187/Model!T187-1,"NA")</f>
        <v>-0.26290516206482595</v>
      </c>
      <c r="Y187" s="1247">
        <f>IFERROR(Model!Y187/Model!U187-1,"NA")</f>
        <v>-0.19386503067484662</v>
      </c>
      <c r="Z187" s="1247">
        <f>IFERROR(Model!Z187/Model!V187-1,"NA")</f>
        <v>-0.17692307692307696</v>
      </c>
      <c r="AA187" s="1247">
        <f>IFERROR(Model!AA187/Model!W187-1,"NA")</f>
        <v>-0.90493827160493823</v>
      </c>
      <c r="AB187" s="1247" t="str">
        <f>IFERROR(Model!AB187/Model!X187-1,"NA")</f>
        <v>NA</v>
      </c>
      <c r="AC187" s="1256" t="str">
        <f>IFERROR(Model!AC187/Model!Y187-1,"NA")</f>
        <v>NA</v>
      </c>
      <c r="AD187" s="1256" t="str">
        <f>IFERROR(Model!AD187/Model!Z187-1,"NA")</f>
        <v>NA</v>
      </c>
      <c r="AE187" s="1256" t="str">
        <f>IFERROR(Model!AE187/Model!AA187-1,"NA")</f>
        <v>NA</v>
      </c>
      <c r="AF187" s="1256" t="str">
        <f>IFERROR(Model!AF187/Model!AB187-1,"NA")</f>
        <v>NA</v>
      </c>
      <c r="AG187" s="1256" t="str">
        <f>IFERROR(Model!AG187/Model!AC187-1,"NA")</f>
        <v>NA</v>
      </c>
      <c r="AH187" s="1256" t="str">
        <f>IFERROR(Model!AH187/Model!AD187-1,"NA")</f>
        <v>NA</v>
      </c>
      <c r="AI187" s="1256" t="str">
        <f>IFERROR(Model!AI187/Model!AE187-1,"NA")</f>
        <v>NA</v>
      </c>
      <c r="AJ187" s="1256"/>
      <c r="AK187" s="1256"/>
      <c r="AL187" s="1256"/>
      <c r="AM187" s="1256"/>
      <c r="AN187" s="1256"/>
      <c r="AO187" s="1256"/>
      <c r="AP187" s="1256"/>
      <c r="AQ187" s="1256"/>
      <c r="AR187" s="1236"/>
      <c r="AS187" s="1284"/>
      <c r="AT187" s="1248"/>
      <c r="AU187" s="1267"/>
      <c r="AV187" s="1267">
        <f>IFERROR(Model!AV187/Model!AU187-1,"NA")</f>
        <v>-0.14399827288428324</v>
      </c>
      <c r="AW187" s="1267">
        <f>IFERROR(Model!AW187/Model!AV187-1,"NA")</f>
        <v>0.13291298865069368</v>
      </c>
      <c r="AX187" s="1267">
        <f>IFERROR(Model!AX187/Model!AW187-1,"NA")</f>
        <v>-6.7675868210151369E-2</v>
      </c>
      <c r="AY187" s="1267">
        <f>IFERROR(Model!AY187/Model!AX187-1,"NA")</f>
        <v>-0.22683858643744026</v>
      </c>
      <c r="AZ187" s="1256" t="str">
        <f>IFERROR(Model!AZ187/Model!AY187-1,"NA")</f>
        <v>NA</v>
      </c>
      <c r="BA187" s="1256" t="str">
        <f>IFERROR(Model!BA187/Model!AZ187-1,"NA")</f>
        <v>NA</v>
      </c>
      <c r="BB187" s="1256" t="str">
        <f>IFERROR(Model!BB187/Model!BA187-1,"NA")</f>
        <v>NA</v>
      </c>
      <c r="BC187" s="1256" t="str">
        <f>IFERROR(Model!BC187/Model!BB187-1,"NA")</f>
        <v>NA</v>
      </c>
      <c r="BD187" s="1256" t="str">
        <f>IFERROR(Model!BD187/Model!BC187-1,"NA")</f>
        <v>NA</v>
      </c>
      <c r="BE187" s="1256" t="str">
        <f>IFERROR(Model!BE187/Model!BD187-1,"NA")</f>
        <v>NA</v>
      </c>
    </row>
    <row r="188" spans="1:57" s="382" customFormat="1" x14ac:dyDescent="0.2">
      <c r="A188" s="833"/>
      <c r="B188" s="334"/>
      <c r="C188" s="319"/>
      <c r="D188" s="1258"/>
      <c r="E188" s="1258"/>
      <c r="F188" s="1258"/>
      <c r="G188" s="1258"/>
      <c r="H188" s="1259"/>
      <c r="I188" s="1259"/>
      <c r="J188" s="1259"/>
      <c r="K188" s="1259"/>
      <c r="L188" s="1259"/>
      <c r="M188" s="1259"/>
      <c r="N188" s="1259"/>
      <c r="O188" s="1259"/>
      <c r="P188" s="1259"/>
      <c r="Q188" s="1259"/>
      <c r="R188" s="1259"/>
      <c r="S188" s="1259"/>
      <c r="T188" s="1259"/>
      <c r="U188" s="1259"/>
      <c r="V188" s="1259"/>
      <c r="W188" s="1259"/>
      <c r="X188" s="1248"/>
      <c r="Y188" s="1248"/>
      <c r="Z188" s="1248"/>
      <c r="AA188" s="1248"/>
      <c r="AB188" s="1248"/>
      <c r="AC188" s="1248"/>
      <c r="AD188" s="1248"/>
      <c r="AE188" s="1248"/>
      <c r="AF188" s="1248"/>
      <c r="AG188" s="1248"/>
      <c r="AH188" s="1248"/>
      <c r="AI188" s="1248"/>
      <c r="AJ188" s="1248"/>
      <c r="AK188" s="1248"/>
      <c r="AL188" s="1248"/>
      <c r="AM188" s="1248"/>
      <c r="AN188" s="1248"/>
      <c r="AO188" s="1248"/>
      <c r="AP188" s="1248"/>
      <c r="AQ188" s="1248"/>
      <c r="AR188" s="1236"/>
      <c r="AS188" s="1410"/>
      <c r="AT188" s="1248"/>
      <c r="AU188" s="1308"/>
      <c r="AV188" s="1308"/>
      <c r="AW188" s="1308"/>
      <c r="AX188" s="1308"/>
      <c r="AY188" s="1308"/>
      <c r="AZ188" s="1308"/>
      <c r="BA188" s="1308"/>
      <c r="BB188" s="1308"/>
      <c r="BC188" s="1308"/>
      <c r="BD188" s="1308"/>
      <c r="BE188" s="1308"/>
    </row>
    <row r="189" spans="1:57" x14ac:dyDescent="0.2">
      <c r="B189" s="11" t="s">
        <v>613</v>
      </c>
      <c r="C189" s="11"/>
      <c r="D189" s="1398"/>
      <c r="E189" s="1398"/>
      <c r="F189" s="1398"/>
      <c r="G189" s="1398"/>
      <c r="H189" s="1398"/>
      <c r="I189" s="1398"/>
      <c r="J189" s="1398"/>
      <c r="K189" s="1398"/>
      <c r="L189" s="1398"/>
      <c r="M189" s="1398"/>
      <c r="N189" s="1398"/>
      <c r="O189" s="1398"/>
      <c r="P189" s="1398"/>
      <c r="Q189" s="1398"/>
      <c r="R189" s="1398"/>
      <c r="S189" s="1398"/>
      <c r="T189" s="1398"/>
      <c r="U189" s="1398"/>
      <c r="V189" s="1398"/>
      <c r="W189" s="1398"/>
      <c r="X189" s="1398"/>
      <c r="Y189" s="1398"/>
      <c r="Z189" s="1398"/>
      <c r="AA189" s="1398"/>
      <c r="AB189" s="1398"/>
      <c r="AC189" s="1398"/>
      <c r="AD189" s="1398"/>
      <c r="AE189" s="1398"/>
      <c r="AF189" s="1398"/>
      <c r="AG189" s="1398"/>
      <c r="AH189" s="1398"/>
      <c r="AI189" s="1398"/>
      <c r="AJ189" s="1398"/>
      <c r="AK189" s="1398"/>
      <c r="AL189" s="1398"/>
      <c r="AM189" s="1398"/>
      <c r="AN189" s="1398"/>
      <c r="AO189" s="1398"/>
      <c r="AP189" s="1398"/>
      <c r="AQ189" s="1398"/>
      <c r="AR189" s="1236"/>
      <c r="AS189" s="1399"/>
      <c r="AT189" s="1399"/>
      <c r="AU189" s="1398"/>
      <c r="AV189" s="1398"/>
      <c r="AW189" s="1398"/>
      <c r="AX189" s="1398"/>
      <c r="AY189" s="1398"/>
      <c r="AZ189" s="1398"/>
      <c r="BA189" s="1398"/>
      <c r="BB189" s="1398"/>
      <c r="BC189" s="1398"/>
      <c r="BD189" s="1398"/>
      <c r="BE189" s="1398"/>
    </row>
    <row r="190" spans="1:57" x14ac:dyDescent="0.2">
      <c r="B190" s="16"/>
      <c r="C190" s="16"/>
      <c r="D190" s="1250"/>
      <c r="E190" s="1250"/>
      <c r="F190" s="1250"/>
      <c r="G190" s="1250"/>
      <c r="H190" s="1250"/>
      <c r="I190" s="1250"/>
      <c r="J190" s="1250"/>
      <c r="K190" s="1250"/>
      <c r="L190" s="1250"/>
      <c r="M190" s="1250"/>
      <c r="N190" s="1250"/>
      <c r="O190" s="1250"/>
      <c r="P190" s="1250"/>
      <c r="Q190" s="1250"/>
      <c r="R190" s="1250"/>
      <c r="S190" s="1250"/>
      <c r="T190" s="1250"/>
      <c r="U190" s="1250"/>
      <c r="V190" s="1250"/>
      <c r="W190" s="1250"/>
      <c r="X190" s="1250"/>
      <c r="Y190" s="1250"/>
      <c r="Z190" s="1250"/>
      <c r="AA190" s="1250"/>
      <c r="AB190" s="1250"/>
      <c r="AC190" s="1250"/>
      <c r="AD190" s="1250"/>
      <c r="AE190" s="1250"/>
      <c r="AF190" s="1250"/>
      <c r="AG190" s="1250"/>
      <c r="AH190" s="1250"/>
      <c r="AI190" s="1250"/>
      <c r="AJ190" s="1250"/>
      <c r="AK190" s="1250"/>
      <c r="AL190" s="1250"/>
      <c r="AM190" s="1250"/>
      <c r="AN190" s="1250"/>
      <c r="AO190" s="1250"/>
      <c r="AP190" s="1250"/>
      <c r="AQ190" s="1250"/>
      <c r="AR190" s="1236"/>
      <c r="AS190" s="1371"/>
      <c r="AT190" s="1371"/>
      <c r="AU190" s="1250"/>
      <c r="AV190" s="1250"/>
      <c r="AW190" s="1250"/>
      <c r="AX190" s="1250"/>
      <c r="AY190" s="1250"/>
      <c r="AZ190" s="1250"/>
      <c r="BA190" s="1250"/>
      <c r="BB190" s="1250"/>
      <c r="BC190" s="1250"/>
      <c r="BD190" s="1250"/>
      <c r="BE190" s="1250"/>
    </row>
    <row r="191" spans="1:57" x14ac:dyDescent="0.2">
      <c r="B191" s="175" t="s">
        <v>614</v>
      </c>
      <c r="C191" s="16"/>
      <c r="D191" s="1250"/>
      <c r="E191" s="1250"/>
      <c r="F191" s="1250"/>
      <c r="G191" s="1250"/>
      <c r="H191" s="1250"/>
      <c r="I191" s="1250"/>
      <c r="J191" s="1250"/>
      <c r="K191" s="1250"/>
      <c r="L191" s="1250"/>
      <c r="M191" s="1250"/>
      <c r="N191" s="1250"/>
      <c r="O191" s="1250"/>
      <c r="P191" s="1250"/>
      <c r="Q191" s="1250"/>
      <c r="R191" s="1250"/>
      <c r="S191" s="1250"/>
      <c r="T191" s="1250"/>
      <c r="U191" s="1250"/>
      <c r="V191" s="1250"/>
      <c r="W191" s="1250"/>
      <c r="X191" s="1250"/>
      <c r="Y191" s="1250"/>
      <c r="Z191" s="1250"/>
      <c r="AA191" s="1250"/>
      <c r="AB191" s="1250"/>
      <c r="AC191" s="1250"/>
      <c r="AD191" s="1250"/>
      <c r="AE191" s="1250"/>
      <c r="AF191" s="1250"/>
      <c r="AG191" s="1250"/>
      <c r="AH191" s="1250"/>
      <c r="AI191" s="1250"/>
      <c r="AJ191" s="1250"/>
      <c r="AK191" s="1250"/>
      <c r="AL191" s="1250"/>
      <c r="AM191" s="1250"/>
      <c r="AN191" s="1250"/>
      <c r="AO191" s="1250"/>
      <c r="AP191" s="1250"/>
      <c r="AQ191" s="1250"/>
      <c r="AR191" s="1236"/>
      <c r="AS191" s="1394"/>
      <c r="AT191" s="1371"/>
      <c r="AU191" s="1250"/>
      <c r="AV191" s="1250"/>
      <c r="AW191" s="1250"/>
      <c r="AX191" s="1250"/>
      <c r="AY191" s="1250"/>
      <c r="AZ191" s="1250"/>
      <c r="BA191" s="1250"/>
      <c r="BB191" s="1250"/>
      <c r="BC191" s="1250"/>
      <c r="BD191" s="1250"/>
      <c r="BE191" s="1250"/>
    </row>
    <row r="192" spans="1:57" s="369" customFormat="1" x14ac:dyDescent="0.2">
      <c r="A192" s="411"/>
      <c r="B192" s="334" t="s">
        <v>42</v>
      </c>
      <c r="C192" s="321"/>
      <c r="D192" s="1240"/>
      <c r="E192" s="1240"/>
      <c r="F192" s="1240"/>
      <c r="G192" s="1240"/>
      <c r="H192" s="1240">
        <f>IFERROR(Model!H192/Model!D192-1,"NA")</f>
        <v>0.52631578947368429</v>
      </c>
      <c r="I192" s="1240">
        <f>IFERROR(Model!I192/Model!E192-1,"NA")</f>
        <v>0.41463414634146356</v>
      </c>
      <c r="J192" s="1240">
        <f>IFERROR(Model!J192/Model!F192-1,"NA")</f>
        <v>6.5217391304347894E-2</v>
      </c>
      <c r="K192" s="1240">
        <f>IFERROR(Model!K192/Model!G192-1,"NA")</f>
        <v>0.13043478260869579</v>
      </c>
      <c r="L192" s="1240">
        <f>IFERROR(Model!L192/Model!H192-1,"NA")</f>
        <v>-1.7241379310344751E-2</v>
      </c>
      <c r="M192" s="1240">
        <f>IFERROR(Model!M192/Model!I192-1,"NA")</f>
        <v>-3.4482758620689724E-2</v>
      </c>
      <c r="N192" s="1240">
        <f>IFERROR(Model!N192/Model!J192-1,"NA")</f>
        <v>0.12244897959183665</v>
      </c>
      <c r="O192" s="1240">
        <f>IFERROR(Model!O192/Model!K192-1,"NA")</f>
        <v>0.15384615384615374</v>
      </c>
      <c r="P192" s="1240">
        <f>IFERROR(Model!P192/Model!L192-1,"NA")</f>
        <v>0.10526315789473673</v>
      </c>
      <c r="Q192" s="1240">
        <f>IFERROR(Model!Q192/Model!M192-1,"NA")</f>
        <v>5.3571428571428603E-2</v>
      </c>
      <c r="R192" s="1240">
        <f>IFERROR(Model!R192/Model!N192-1,"NA")</f>
        <v>-0.10909090909090902</v>
      </c>
      <c r="S192" s="1240">
        <f>IFERROR(Model!S192/Model!O192-1,"NA")</f>
        <v>-0.23333333333333339</v>
      </c>
      <c r="T192" s="1240">
        <f>IFERROR(Model!T192/Model!P192-1,"NA")</f>
        <v>-0.23809523809523814</v>
      </c>
      <c r="U192" s="1240">
        <f>IFERROR(Model!U192/Model!Q192-1,"NA")</f>
        <v>-6.7796610169491567E-2</v>
      </c>
      <c r="V192" s="1240">
        <f>IFERROR(Model!V192/Model!R192-1,"NA")</f>
        <v>6.1224489795918435E-2</v>
      </c>
      <c r="W192" s="1240">
        <f>IFERROR(Model!W192/Model!S192-1,"NA")</f>
        <v>0.15217391304347827</v>
      </c>
      <c r="X192" s="1240">
        <f>IFERROR(Model!X192/Model!T192-1,"NA")</f>
        <v>0.29166666666666674</v>
      </c>
      <c r="Y192" s="1240">
        <f>IFERROR(Model!Y192/Model!U192-1,"NA")</f>
        <v>0.18181818181818188</v>
      </c>
      <c r="Z192" s="1240">
        <f>IFERROR(Model!Z192/Model!V192-1,"NA")</f>
        <v>0.28846153846153855</v>
      </c>
      <c r="AA192" s="1240">
        <f>IFERROR(Model!AA192/Model!W192-1,"NA")</f>
        <v>0.32075471698113223</v>
      </c>
      <c r="AB192" s="1240">
        <f>IFERROR(Model!AB192/Model!X192-1,"NA")</f>
        <v>0.35483870967741948</v>
      </c>
      <c r="AC192" s="1256" t="str">
        <f>IFERROR(Model!AC192/Model!Y192-1,"NA")</f>
        <v>NA</v>
      </c>
      <c r="AD192" s="1256" t="str">
        <f>IFERROR(Model!AD192/Model!Z192-1,"NA")</f>
        <v>NA</v>
      </c>
      <c r="AE192" s="1256" t="str">
        <f>IFERROR(Model!AE192/Model!AA192-1,"NA")</f>
        <v>NA</v>
      </c>
      <c r="AF192" s="1256" t="str">
        <f>IFERROR(Model!AF192/Model!AB192-1,"NA")</f>
        <v>NA</v>
      </c>
      <c r="AG192" s="1256" t="str">
        <f>IFERROR(Model!AG192/Model!AC192-1,"NA")</f>
        <v>NA</v>
      </c>
      <c r="AH192" s="1256" t="str">
        <f>IFERROR(Model!AH192/Model!AD192-1,"NA")</f>
        <v>NA</v>
      </c>
      <c r="AI192" s="1256" t="str">
        <f>IFERROR(Model!AI192/Model!AE192-1,"NA")</f>
        <v>NA</v>
      </c>
      <c r="AJ192" s="1256"/>
      <c r="AK192" s="1256"/>
      <c r="AL192" s="1256"/>
      <c r="AM192" s="1256"/>
      <c r="AN192" s="1256"/>
      <c r="AO192" s="1256"/>
      <c r="AP192" s="1256"/>
      <c r="AQ192" s="1256"/>
      <c r="AR192" s="1236"/>
      <c r="AS192" s="1410"/>
      <c r="AT192" s="1284"/>
      <c r="AU192" s="1236"/>
      <c r="AV192" s="1236">
        <f>IFERROR(Model!AV192/Model!AU192-1,"NA")</f>
        <v>0.26900584795321625</v>
      </c>
      <c r="AW192" s="1236">
        <f>IFERROR(Model!AW192/Model!AV192-1,"NA")</f>
        <v>5.069124423963145E-2</v>
      </c>
      <c r="AX192" s="1236">
        <f>IFERROR(Model!AX192/Model!AW192-1,"NA")</f>
        <v>-4.8245614035087647E-2</v>
      </c>
      <c r="AY192" s="1236">
        <f>IFERROR(Model!AY192/Model!AX192-1,"NA")</f>
        <v>-4.1474654377880227E-2</v>
      </c>
      <c r="AZ192" s="1256" t="str">
        <f>IFERROR(Model!AZ192/Model!AY192-1,"NA")</f>
        <v>NA</v>
      </c>
      <c r="BA192" s="1256" t="str">
        <f>IFERROR(Model!BA192/Model!AZ192-1,"NA")</f>
        <v>NA</v>
      </c>
      <c r="BB192" s="1256" t="str">
        <f>IFERROR(Model!BB192/Model!BA192-1,"NA")</f>
        <v>NA</v>
      </c>
      <c r="BC192" s="1256" t="str">
        <f>IFERROR(Model!BC192/Model!BB192-1,"NA")</f>
        <v>NA</v>
      </c>
      <c r="BD192" s="1256" t="str">
        <f>IFERROR(Model!BD192/Model!BC192-1,"NA")</f>
        <v>NA</v>
      </c>
      <c r="BE192" s="1256" t="str">
        <f>IFERROR(Model!BE192/Model!BD192-1,"NA")</f>
        <v>NA</v>
      </c>
    </row>
    <row r="193" spans="1:57" s="369" customFormat="1" x14ac:dyDescent="0.2">
      <c r="A193" s="411"/>
      <c r="B193" s="334" t="s">
        <v>43</v>
      </c>
      <c r="C193" s="321"/>
      <c r="D193" s="1240"/>
      <c r="E193" s="1240"/>
      <c r="F193" s="1240"/>
      <c r="G193" s="1240"/>
      <c r="H193" s="1240">
        <f>IFERROR(Model!H193/Model!D193-1,"NA")</f>
        <v>3.6057692307692291E-2</v>
      </c>
      <c r="I193" s="1240">
        <f>IFERROR(Model!I193/Model!E193-1,"NA")</f>
        <v>8.1218274111675148E-2</v>
      </c>
      <c r="J193" s="1240">
        <f>IFERROR(Model!J193/Model!F193-1,"NA")</f>
        <v>7.8239608801956129E-2</v>
      </c>
      <c r="K193" s="1240">
        <f>IFERROR(Model!K193/Model!G193-1,"NA")</f>
        <v>0.12135922330097082</v>
      </c>
      <c r="L193" s="1240">
        <f>IFERROR(Model!L193/Model!H193-1,"NA")</f>
        <v>9.2807424593967625E-2</v>
      </c>
      <c r="M193" s="1240">
        <f>IFERROR(Model!M193/Model!I193-1,"NA")</f>
        <v>0.147887323943662</v>
      </c>
      <c r="N193" s="1240">
        <f>IFERROR(Model!N193/Model!J193-1,"NA")</f>
        <v>0.10884353741496589</v>
      </c>
      <c r="O193" s="1240">
        <f>IFERROR(Model!O193/Model!K193-1,"NA")</f>
        <v>6.9264069264069139E-2</v>
      </c>
      <c r="P193" s="1240">
        <f>IFERROR(Model!P193/Model!L193-1,"NA")</f>
        <v>7.4309978768577478E-2</v>
      </c>
      <c r="Q193" s="1240">
        <f>IFERROR(Model!Q193/Model!M193-1,"NA")</f>
        <v>3.476482617586929E-2</v>
      </c>
      <c r="R193" s="1240">
        <f>IFERROR(Model!R193/Model!N193-1,"NA")</f>
        <v>-2.0449897750511203E-2</v>
      </c>
      <c r="S193" s="1240">
        <f>IFERROR(Model!S193/Model!O193-1,"NA")</f>
        <v>-1.0121457489878583E-2</v>
      </c>
      <c r="T193" s="1240">
        <f>IFERROR(Model!T193/Model!P193-1,"NA")</f>
        <v>-2.3715415019762931E-2</v>
      </c>
      <c r="U193" s="1240">
        <f>IFERROR(Model!U193/Model!Q193-1,"NA")</f>
        <v>1.5810276679841806E-2</v>
      </c>
      <c r="V193" s="1240">
        <f>IFERROR(Model!V193/Model!R193-1,"NA")</f>
        <v>0.10855949895615868</v>
      </c>
      <c r="W193" s="1240">
        <f>IFERROR(Model!W193/Model!S193-1,"NA")</f>
        <v>7.9754601226993849E-2</v>
      </c>
      <c r="X193" s="1240">
        <f>IFERROR(Model!X193/Model!T193-1,"NA")</f>
        <v>0.11538461538461542</v>
      </c>
      <c r="Y193" s="1240">
        <f>IFERROR(Model!Y193/Model!U193-1,"NA")</f>
        <v>0.10311284046692615</v>
      </c>
      <c r="Z193" s="1240">
        <f>IFERROR(Model!Z193/Model!V193-1,"NA")</f>
        <v>0.10357815442561202</v>
      </c>
      <c r="AA193" s="1240">
        <f>IFERROR(Model!AA193/Model!W193-1,"NA")</f>
        <v>0.14204545454545459</v>
      </c>
      <c r="AB193" s="1240">
        <f>IFERROR(Model!AB193/Model!X193-1,"NA")</f>
        <v>9.8003629764065403E-2</v>
      </c>
      <c r="AC193" s="1256" t="str">
        <f>IFERROR(Model!AC193/Model!Y193-1,"NA")</f>
        <v>NA</v>
      </c>
      <c r="AD193" s="1256" t="str">
        <f>IFERROR(Model!AD193/Model!Z193-1,"NA")</f>
        <v>NA</v>
      </c>
      <c r="AE193" s="1256" t="str">
        <f>IFERROR(Model!AE193/Model!AA193-1,"NA")</f>
        <v>NA</v>
      </c>
      <c r="AF193" s="1256" t="str">
        <f>IFERROR(Model!AF193/Model!AB193-1,"NA")</f>
        <v>NA</v>
      </c>
      <c r="AG193" s="1256" t="str">
        <f>IFERROR(Model!AG193/Model!AC193-1,"NA")</f>
        <v>NA</v>
      </c>
      <c r="AH193" s="1256" t="str">
        <f>IFERROR(Model!AH193/Model!AD193-1,"NA")</f>
        <v>NA</v>
      </c>
      <c r="AI193" s="1256" t="str">
        <f>IFERROR(Model!AI193/Model!AE193-1,"NA")</f>
        <v>NA</v>
      </c>
      <c r="AJ193" s="1256"/>
      <c r="AK193" s="1256"/>
      <c r="AL193" s="1256"/>
      <c r="AM193" s="1256"/>
      <c r="AN193" s="1256"/>
      <c r="AO193" s="1256"/>
      <c r="AP193" s="1256"/>
      <c r="AQ193" s="1256"/>
      <c r="AR193" s="1236"/>
      <c r="AS193" s="1410"/>
      <c r="AT193" s="1284"/>
      <c r="AU193" s="1236"/>
      <c r="AV193" s="1236">
        <f>IFERROR(Model!AV193/Model!AU193-1,"NA")</f>
        <v>0.12135922330097082</v>
      </c>
      <c r="AW193" s="1236">
        <f>IFERROR(Model!AW193/Model!AV193-1,"NA")</f>
        <v>6.9264069264069139E-2</v>
      </c>
      <c r="AX193" s="1236">
        <f>IFERROR(Model!AX193/Model!AW193-1,"NA")</f>
        <v>-1.0121457489878583E-2</v>
      </c>
      <c r="AY193" s="1236">
        <f>IFERROR(Model!AY193/Model!AX193-1,"NA")</f>
        <v>7.9754601226993849E-2</v>
      </c>
      <c r="AZ193" s="1256" t="str">
        <f>IFERROR(Model!AZ193/Model!AY193-1,"NA")</f>
        <v>NA</v>
      </c>
      <c r="BA193" s="1256" t="str">
        <f>IFERROR(Model!BA193/Model!AZ193-1,"NA")</f>
        <v>NA</v>
      </c>
      <c r="BB193" s="1256" t="str">
        <f>IFERROR(Model!BB193/Model!BA193-1,"NA")</f>
        <v>NA</v>
      </c>
      <c r="BC193" s="1256" t="str">
        <f>IFERROR(Model!BC193/Model!BB193-1,"NA")</f>
        <v>NA</v>
      </c>
      <c r="BD193" s="1256" t="str">
        <f>IFERROR(Model!BD193/Model!BC193-1,"NA")</f>
        <v>NA</v>
      </c>
      <c r="BE193" s="1256" t="str">
        <f>IFERROR(Model!BE193/Model!BD193-1,"NA")</f>
        <v>NA</v>
      </c>
    </row>
    <row r="194" spans="1:57" s="369" customFormat="1" x14ac:dyDescent="0.2">
      <c r="A194" s="411"/>
      <c r="B194" s="334"/>
      <c r="C194" s="321"/>
      <c r="D194" s="1240"/>
      <c r="E194" s="1240"/>
      <c r="F194" s="1240"/>
      <c r="G194" s="1240"/>
      <c r="H194" s="1240"/>
      <c r="I194" s="1240"/>
      <c r="J194" s="1240"/>
      <c r="K194" s="1240"/>
      <c r="L194" s="1240"/>
      <c r="M194" s="1240"/>
      <c r="N194" s="1240"/>
      <c r="O194" s="1240"/>
      <c r="P194" s="1240"/>
      <c r="Q194" s="1240"/>
      <c r="R194" s="1240"/>
      <c r="S194" s="1240"/>
      <c r="T194" s="1240"/>
      <c r="U194" s="1240"/>
      <c r="V194" s="1240"/>
      <c r="W194" s="1240"/>
      <c r="X194" s="1240"/>
      <c r="Y194" s="1240"/>
      <c r="Z194" s="1240"/>
      <c r="AA194" s="1240"/>
      <c r="AB194" s="1240"/>
      <c r="AC194" s="1256"/>
      <c r="AD194" s="1256"/>
      <c r="AE194" s="1256"/>
      <c r="AF194" s="1256"/>
      <c r="AG194" s="1256"/>
      <c r="AH194" s="1256"/>
      <c r="AI194" s="1256"/>
      <c r="AJ194" s="1256"/>
      <c r="AK194" s="1256"/>
      <c r="AL194" s="1256"/>
      <c r="AM194" s="1256"/>
      <c r="AN194" s="1256"/>
      <c r="AO194" s="1256"/>
      <c r="AP194" s="1256"/>
      <c r="AQ194" s="1256"/>
      <c r="AR194" s="1236"/>
      <c r="AS194" s="1410"/>
      <c r="AT194" s="1284"/>
      <c r="AU194" s="1236"/>
      <c r="AV194" s="1236"/>
      <c r="AW194" s="1236"/>
      <c r="AX194" s="1236"/>
      <c r="AY194" s="1236"/>
      <c r="AZ194" s="1256"/>
      <c r="BA194" s="1256"/>
      <c r="BB194" s="1256"/>
      <c r="BC194" s="1256"/>
      <c r="BD194" s="1256"/>
      <c r="BE194" s="1256"/>
    </row>
    <row r="195" spans="1:57" s="369" customFormat="1" x14ac:dyDescent="0.2">
      <c r="A195" s="411"/>
      <c r="B195" s="296" t="s">
        <v>616</v>
      </c>
      <c r="C195" s="321"/>
      <c r="D195" s="1240"/>
      <c r="E195" s="1240"/>
      <c r="F195" s="1240"/>
      <c r="G195" s="1240"/>
      <c r="H195" s="1240"/>
      <c r="I195" s="1240"/>
      <c r="J195" s="1240"/>
      <c r="K195" s="1240"/>
      <c r="L195" s="1240"/>
      <c r="M195" s="1240"/>
      <c r="N195" s="1240"/>
      <c r="O195" s="1240"/>
      <c r="P195" s="1240"/>
      <c r="Q195" s="1240"/>
      <c r="R195" s="1240"/>
      <c r="S195" s="1240"/>
      <c r="T195" s="1240"/>
      <c r="U195" s="1240"/>
      <c r="V195" s="1240"/>
      <c r="W195" s="1240"/>
      <c r="X195" s="1240"/>
      <c r="Y195" s="1240"/>
      <c r="Z195" s="1240"/>
      <c r="AA195" s="1240"/>
      <c r="AB195" s="1240"/>
      <c r="AC195" s="1256"/>
      <c r="AD195" s="1256"/>
      <c r="AE195" s="1256"/>
      <c r="AF195" s="1256"/>
      <c r="AG195" s="1256"/>
      <c r="AH195" s="1256"/>
      <c r="AI195" s="1256"/>
      <c r="AJ195" s="1256"/>
      <c r="AK195" s="1256"/>
      <c r="AL195" s="1256"/>
      <c r="AM195" s="1256"/>
      <c r="AN195" s="1256"/>
      <c r="AO195" s="1256"/>
      <c r="AP195" s="1256"/>
      <c r="AQ195" s="1256"/>
      <c r="AR195" s="1236"/>
      <c r="AS195" s="1411"/>
      <c r="AT195" s="1284"/>
      <c r="AU195" s="1236"/>
      <c r="AV195" s="1236"/>
      <c r="AW195" s="1236"/>
      <c r="AX195" s="1236"/>
      <c r="AY195" s="1236"/>
      <c r="AZ195" s="1256"/>
      <c r="BA195" s="1256"/>
      <c r="BB195" s="1256"/>
      <c r="BC195" s="1256"/>
      <c r="BD195" s="1256"/>
      <c r="BE195" s="1256"/>
    </row>
    <row r="196" spans="1:57" s="369" customFormat="1" x14ac:dyDescent="0.2">
      <c r="A196" s="411"/>
      <c r="B196" s="334" t="s">
        <v>617</v>
      </c>
      <c r="C196" s="321"/>
      <c r="D196" s="1301"/>
      <c r="E196" s="1301"/>
      <c r="F196" s="1301"/>
      <c r="G196" s="1301"/>
      <c r="H196" s="1301">
        <f>IFERROR(Model!H196/Model!D196-1,"NA")</f>
        <v>-8.9663760896637634E-2</v>
      </c>
      <c r="I196" s="1301">
        <f>IFERROR(Model!I196/Model!E196-1,"NA")</f>
        <v>-8.0519480519480546E-2</v>
      </c>
      <c r="J196" s="1301">
        <f>IFERROR(Model!J196/Model!F196-1,"NA")</f>
        <v>-0.15147453083109919</v>
      </c>
      <c r="K196" s="1301">
        <f>IFERROR(Model!K196/Model!G196-1,"NA")</f>
        <v>-0.21313672922252014</v>
      </c>
      <c r="L196" s="1301">
        <f>IFERROR(Model!L196/Model!H196-1,"NA")</f>
        <v>-0.27496580027359785</v>
      </c>
      <c r="M196" s="1301">
        <f>IFERROR(Model!M196/Model!I196-1,"NA")</f>
        <v>-0.22457627118644063</v>
      </c>
      <c r="N196" s="1301">
        <f>IFERROR(Model!N196/Model!J196-1,"NA")</f>
        <v>-9.4786729857819885E-2</v>
      </c>
      <c r="O196" s="1301">
        <f>IFERROR(Model!O196/Model!K196-1,"NA")</f>
        <v>2.0442930153321992E-2</v>
      </c>
      <c r="P196" s="1301">
        <f>IFERROR(Model!P196/Model!L196-1,"NA")</f>
        <v>3.7735849056603765E-2</v>
      </c>
      <c r="Q196" s="1301">
        <f>IFERROR(Model!Q196/Model!M196-1,"NA")</f>
        <v>5.464480874316946E-2</v>
      </c>
      <c r="R196" s="1301">
        <f>IFERROR(Model!R196/Model!N196-1,"NA")</f>
        <v>5.7591623036649109E-2</v>
      </c>
      <c r="S196" s="1301">
        <f>IFERROR(Model!S196/Model!O196-1,"NA")</f>
        <v>3.171953255425719E-2</v>
      </c>
      <c r="T196" s="1301">
        <f>IFERROR(Model!T196/Model!P196-1,"NA")</f>
        <v>0.15999999999999992</v>
      </c>
      <c r="U196" s="1301">
        <f>IFERROR(Model!U196/Model!Q196-1,"NA")</f>
        <v>0.10017271157167529</v>
      </c>
      <c r="V196" s="1301">
        <f>IFERROR(Model!V196/Model!R196-1,"NA")</f>
        <v>7.9207920792079278E-2</v>
      </c>
      <c r="W196" s="1301">
        <f>IFERROR(Model!W196/Model!S196-1,"NA")</f>
        <v>4.3689320388349495E-2</v>
      </c>
      <c r="X196" s="1301">
        <f>IFERROR(Model!X196/Model!T196-1,"NA")</f>
        <v>5.4858934169278895E-2</v>
      </c>
      <c r="Y196" s="1301">
        <f>IFERROR(Model!Y196/Model!U196-1,"NA")</f>
        <v>9.7331240188383017E-2</v>
      </c>
      <c r="Z196" s="1301">
        <f>IFERROR(Model!Z196/Model!V196-1,"NA")</f>
        <v>0.12691131498470942</v>
      </c>
      <c r="AA196" s="1301">
        <f>IFERROR(Model!AA196/Model!W196-1,"NA")</f>
        <v>0.18139534883720931</v>
      </c>
      <c r="AB196" s="1301">
        <f>IFERROR(Model!AB196/Model!X196-1,"NA")</f>
        <v>0.10698365527488862</v>
      </c>
      <c r="AC196" s="1256">
        <f>IFERROR(Model!AC196/Model!Y196-1,"NA")</f>
        <v>-1.2808630724910453E-2</v>
      </c>
      <c r="AD196" s="1256">
        <f>IFERROR(Model!AD196/Model!Z196-1,"NA")</f>
        <v>-4.8686774595267712E-2</v>
      </c>
      <c r="AE196" s="1256">
        <f>IFERROR(Model!AE196/Model!AA196-1,"NA")</f>
        <v>-7.5297327612986797E-2</v>
      </c>
      <c r="AF196" s="1256">
        <f>IFERROR(Model!AF196/Model!AB196-1,"NA")</f>
        <v>-7.0131458729751128E-2</v>
      </c>
      <c r="AG196" s="1256">
        <f>IFERROR(Model!AG196/Model!AC196-1,"NA")</f>
        <v>2.0150500624999568E-2</v>
      </c>
      <c r="AH196" s="1256">
        <f>IFERROR(Model!AH196/Model!AD196-1,"NA")</f>
        <v>2.0150500624999568E-2</v>
      </c>
      <c r="AI196" s="1256">
        <f>IFERROR(Model!AI196/Model!AE196-1,"NA")</f>
        <v>2.0150500624999568E-2</v>
      </c>
      <c r="AJ196" s="1256"/>
      <c r="AK196" s="1256"/>
      <c r="AL196" s="1256"/>
      <c r="AM196" s="1256"/>
      <c r="AN196" s="1256"/>
      <c r="AO196" s="1256"/>
      <c r="AP196" s="1256"/>
      <c r="AQ196" s="1256"/>
      <c r="AR196" s="1236"/>
      <c r="AS196" s="1410"/>
      <c r="AT196" s="1284"/>
      <c r="AU196" s="1301"/>
      <c r="AV196" s="1301">
        <f>IFERROR(Model!AV196/Model!AU196-1,"NA")</f>
        <v>-0.132463295269168</v>
      </c>
      <c r="AW196" s="1301">
        <f>IFERROR(Model!AW196/Model!AV196-1,"NA")</f>
        <v>-0.15344114328695002</v>
      </c>
      <c r="AX196" s="1301">
        <f>IFERROR(Model!AX196/Model!AW196-1,"NA")</f>
        <v>4.5313194135939483E-2</v>
      </c>
      <c r="AY196" s="1301">
        <f>IFERROR(Model!AY196/Model!AX196-1,"NA")</f>
        <v>9.3922651933701751E-2</v>
      </c>
      <c r="AZ196" s="1301">
        <f>IFERROR(Model!AZ196/Model!AY196-1,"NA")</f>
        <v>0.11538461538461542</v>
      </c>
      <c r="BA196" s="1301">
        <f>IFERROR(Model!BA196/Model!AZ196-1,"NA")</f>
        <v>-1.0523145034664116E-2</v>
      </c>
      <c r="BB196" s="1256">
        <f>IFERROR(Model!BB196/Model!BA196-1,"NA")</f>
        <v>-3.5260491636950331E-3</v>
      </c>
      <c r="BC196" s="1256">
        <f>IFERROR(Model!BC196/Model!BB196-1,"NA")</f>
        <v>-5.7542462481361412E-3</v>
      </c>
      <c r="BD196" s="1256">
        <f>IFERROR(Model!BD196/Model!BC196-1,"NA")</f>
        <v>1.8886404978023519E-2</v>
      </c>
      <c r="BE196" s="1256">
        <f>IFERROR(Model!BE196/Model!BD196-1,"NA")</f>
        <v>2.4999999999999911E-2</v>
      </c>
    </row>
    <row r="197" spans="1:57" s="369" customFormat="1" x14ac:dyDescent="0.2">
      <c r="A197" s="411"/>
      <c r="B197" s="334" t="s">
        <v>619</v>
      </c>
      <c r="C197" s="321"/>
      <c r="D197" s="1412"/>
      <c r="E197" s="1412"/>
      <c r="F197" s="1412"/>
      <c r="G197" s="1412"/>
      <c r="H197" s="1412"/>
      <c r="I197" s="1412"/>
      <c r="J197" s="1412"/>
      <c r="K197" s="1412"/>
      <c r="L197" s="1412"/>
      <c r="M197" s="1412"/>
      <c r="N197" s="1412"/>
      <c r="O197" s="1412"/>
      <c r="P197" s="1412"/>
      <c r="Q197" s="1412"/>
      <c r="R197" s="1412"/>
      <c r="S197" s="1412"/>
      <c r="T197" s="1412"/>
      <c r="U197" s="1412"/>
      <c r="V197" s="1412"/>
      <c r="W197" s="1412"/>
      <c r="X197" s="1412"/>
      <c r="Y197" s="1412"/>
      <c r="Z197" s="1412"/>
      <c r="AA197" s="1412"/>
      <c r="AB197" s="1412"/>
      <c r="AC197" s="1362"/>
      <c r="AD197" s="1362"/>
      <c r="AE197" s="1362"/>
      <c r="AF197" s="1362"/>
      <c r="AG197" s="1362"/>
      <c r="AH197" s="1362"/>
      <c r="AI197" s="1362"/>
      <c r="AJ197" s="1362"/>
      <c r="AK197" s="1362"/>
      <c r="AL197" s="1362"/>
      <c r="AM197" s="1362"/>
      <c r="AN197" s="1362"/>
      <c r="AO197" s="1362"/>
      <c r="AP197" s="1362"/>
      <c r="AQ197" s="1362"/>
      <c r="AR197" s="1236"/>
      <c r="AS197" s="1410"/>
      <c r="AT197" s="1284"/>
      <c r="AU197" s="1412"/>
      <c r="AV197" s="1412"/>
      <c r="AW197" s="1412"/>
      <c r="AX197" s="1412"/>
      <c r="AY197" s="1412"/>
      <c r="AZ197" s="1412"/>
      <c r="BA197" s="1412"/>
      <c r="BB197" s="1362"/>
      <c r="BC197" s="1362"/>
      <c r="BD197" s="1362"/>
      <c r="BE197" s="1362"/>
    </row>
    <row r="198" spans="1:57" s="369" customFormat="1" x14ac:dyDescent="0.2">
      <c r="A198" s="411"/>
      <c r="B198" s="334"/>
      <c r="C198" s="321"/>
      <c r="D198" s="1240"/>
      <c r="E198" s="1240"/>
      <c r="F198" s="1240"/>
      <c r="G198" s="1240"/>
      <c r="H198" s="1240"/>
      <c r="I198" s="1240"/>
      <c r="J198" s="1240"/>
      <c r="K198" s="1240"/>
      <c r="L198" s="1240"/>
      <c r="M198" s="1240"/>
      <c r="N198" s="1240"/>
      <c r="O198" s="1240"/>
      <c r="P198" s="1240"/>
      <c r="Q198" s="1240"/>
      <c r="R198" s="1240"/>
      <c r="S198" s="1240"/>
      <c r="T198" s="1240"/>
      <c r="U198" s="1240"/>
      <c r="V198" s="1240"/>
      <c r="W198" s="1240"/>
      <c r="X198" s="1240"/>
      <c r="Y198" s="1240"/>
      <c r="Z198" s="1240"/>
      <c r="AA198" s="1240"/>
      <c r="AB198" s="1240"/>
      <c r="AC198" s="1256"/>
      <c r="AD198" s="1256"/>
      <c r="AE198" s="1256"/>
      <c r="AF198" s="1256"/>
      <c r="AG198" s="1256"/>
      <c r="AH198" s="1256"/>
      <c r="AI198" s="1256"/>
      <c r="AJ198" s="1256"/>
      <c r="AK198" s="1256"/>
      <c r="AL198" s="1256"/>
      <c r="AM198" s="1256"/>
      <c r="AN198" s="1256"/>
      <c r="AO198" s="1256"/>
      <c r="AP198" s="1256"/>
      <c r="AQ198" s="1256"/>
      <c r="AR198" s="1236"/>
      <c r="AS198" s="1410"/>
      <c r="AT198" s="1284"/>
      <c r="AU198" s="1236"/>
      <c r="AV198" s="1236"/>
      <c r="AW198" s="1236"/>
      <c r="AX198" s="1236"/>
      <c r="AY198" s="1236"/>
      <c r="AZ198" s="1256"/>
      <c r="BA198" s="1256"/>
      <c r="BB198" s="1256"/>
      <c r="BC198" s="1256"/>
      <c r="BD198" s="1256"/>
      <c r="BE198" s="1256"/>
    </row>
    <row r="199" spans="1:57" s="369" customFormat="1" x14ac:dyDescent="0.2">
      <c r="A199" s="411"/>
      <c r="B199" s="296" t="s">
        <v>615</v>
      </c>
      <c r="C199" s="321"/>
      <c r="D199" s="1311"/>
      <c r="E199" s="1311"/>
      <c r="F199" s="1311"/>
      <c r="G199" s="1311"/>
      <c r="H199" s="1311"/>
      <c r="I199" s="1311"/>
      <c r="J199" s="1311"/>
      <c r="K199" s="1311"/>
      <c r="L199" s="1311"/>
      <c r="M199" s="1311"/>
      <c r="N199" s="1311"/>
      <c r="O199" s="1311"/>
      <c r="P199" s="1311"/>
      <c r="Q199" s="1311"/>
      <c r="R199" s="1311"/>
      <c r="S199" s="1311"/>
      <c r="T199" s="1311"/>
      <c r="U199" s="1311"/>
      <c r="V199" s="1311"/>
      <c r="W199" s="1311"/>
      <c r="X199" s="1311"/>
      <c r="Y199" s="1311"/>
      <c r="Z199" s="1311"/>
      <c r="AA199" s="1311"/>
      <c r="AB199" s="1311"/>
      <c r="AC199" s="1284"/>
      <c r="AD199" s="1284"/>
      <c r="AE199" s="1284"/>
      <c r="AF199" s="1284"/>
      <c r="AG199" s="1284"/>
      <c r="AH199" s="1284"/>
      <c r="AI199" s="1284"/>
      <c r="AJ199" s="1284"/>
      <c r="AK199" s="1284"/>
      <c r="AL199" s="1284"/>
      <c r="AM199" s="1284"/>
      <c r="AN199" s="1284"/>
      <c r="AO199" s="1284"/>
      <c r="AP199" s="1284"/>
      <c r="AQ199" s="1284"/>
      <c r="AR199" s="1236"/>
      <c r="AS199" s="1413"/>
      <c r="AT199" s="1284"/>
      <c r="AU199" s="1250"/>
      <c r="AV199" s="1250"/>
      <c r="AW199" s="1250"/>
      <c r="AX199" s="1250"/>
      <c r="AY199" s="1250"/>
      <c r="AZ199" s="1250"/>
      <c r="BA199" s="1250"/>
      <c r="BB199" s="1250"/>
      <c r="BC199" s="1250"/>
      <c r="BD199" s="1250"/>
      <c r="BE199" s="1250"/>
    </row>
    <row r="200" spans="1:57" s="369" customFormat="1" x14ac:dyDescent="0.2">
      <c r="A200" s="411"/>
      <c r="B200" s="334" t="s">
        <v>198</v>
      </c>
      <c r="C200" s="321"/>
      <c r="D200" s="1414"/>
      <c r="E200" s="1414"/>
      <c r="F200" s="1414"/>
      <c r="G200" s="1414"/>
      <c r="H200" s="1414">
        <f>IFERROR(Model!H200/Model!D200-1,"NA")</f>
        <v>9.4880458334863693E-2</v>
      </c>
      <c r="I200" s="1414">
        <f>IFERROR(Model!I200/Model!E200-1,"NA")</f>
        <v>0.23981272758800065</v>
      </c>
      <c r="J200" s="1414">
        <f>IFERROR(Model!J200/Model!F200-1,"NA")</f>
        <v>-0.14747113399063483</v>
      </c>
      <c r="K200" s="1414">
        <f>IFERROR(Model!K200/Model!G200-1,"NA")</f>
        <v>-0.45379728171996891</v>
      </c>
      <c r="L200" s="1414">
        <f>IFERROR(Model!L200/Model!H200-1,"NA")</f>
        <v>-0.48218029350104818</v>
      </c>
      <c r="M200" s="1414">
        <f>IFERROR(Model!M200/Model!I200-1,"NA")</f>
        <v>-0.48076923076923073</v>
      </c>
      <c r="N200" s="1414">
        <f>IFERROR(Model!N200/Model!J200-1,"NA")</f>
        <v>-0.36034115138592748</v>
      </c>
      <c r="O200" s="1414">
        <f>IFERROR(Model!O200/Model!K200-1,"NA")</f>
        <v>-0.14723926380368102</v>
      </c>
      <c r="P200" s="1414">
        <f>IFERROR(Model!P200/Model!L200-1,"NA")</f>
        <v>0.36842105263157898</v>
      </c>
      <c r="Q200" s="1414">
        <f>IFERROR(Model!Q200/Model!M200-1,"NA")</f>
        <v>0.55218855218855212</v>
      </c>
      <c r="R200" s="1414">
        <f>IFERROR(Model!R200/Model!N200-1,"NA")</f>
        <v>0.41999999999999993</v>
      </c>
      <c r="S200" s="1414">
        <f>IFERROR(Model!S200/Model!O200-1,"NA")</f>
        <v>0.45683453237410077</v>
      </c>
      <c r="T200" s="1414">
        <f>IFERROR(Model!T200/Model!P200-1,"NA")</f>
        <v>3.5502958579881616E-2</v>
      </c>
      <c r="U200" s="1414">
        <f>IFERROR(Model!U200/Model!Q200-1,"NA")</f>
        <v>0.10629067245119317</v>
      </c>
      <c r="V200" s="1414">
        <f>IFERROR(Model!V200/Model!R200-1,"NA")</f>
        <v>0.31690140845070425</v>
      </c>
      <c r="W200" s="1414">
        <f>IFERROR(Model!W200/Model!S200-1,"NA")</f>
        <v>0.16049382716049387</v>
      </c>
      <c r="X200" s="1414">
        <f>IFERROR(Model!X200/Model!T200-1,"NA")</f>
        <v>3.1428571428571361E-2</v>
      </c>
      <c r="Y200" s="1414">
        <f>IFERROR(Model!Y200/Model!U200-1,"NA")</f>
        <v>-9.2156862745098045E-2</v>
      </c>
      <c r="Z200" s="1414">
        <f>IFERROR(Model!Z200/Model!V200-1,"NA")</f>
        <v>-0.16042780748663099</v>
      </c>
      <c r="AA200" s="1414">
        <f>IFERROR(Model!AA200/Model!W200-1,"NA")</f>
        <v>-0.11702127659574468</v>
      </c>
      <c r="AB200" s="1414">
        <f>IFERROR(Model!AB200/Model!X200-1,"NA")</f>
        <v>-4.5844875346260472E-2</v>
      </c>
      <c r="AC200" s="1414">
        <f>IFERROR(Model!AC200/Model!Y200-1,"NA")</f>
        <v>-2.5496641468682579E-2</v>
      </c>
      <c r="AD200" s="1414">
        <f>IFERROR(Model!AD200/Model!Z200-1,"NA")</f>
        <v>-4.626914214437361E-2</v>
      </c>
      <c r="AE200" s="1414">
        <f>IFERROR(Model!AE200/Model!AA200-1,"NA")</f>
        <v>-8.9421358999999923E-2</v>
      </c>
      <c r="AF200" s="1414">
        <f>IFERROR(Model!AF200/Model!AB200-1,"NA")</f>
        <v>-2.3559779999999919E-2</v>
      </c>
      <c r="AG200" s="1414">
        <f>IFERROR(Model!AG200/Model!AC200-1,"NA")</f>
        <v>6.3826093594931965E-3</v>
      </c>
      <c r="AH200" s="1414">
        <f>IFERROR(Model!AH200/Model!AD200-1,"NA")</f>
        <v>1.0836029257841773E-2</v>
      </c>
      <c r="AI200" s="1414">
        <f>IFERROR(Model!AI200/Model!AE200-1,"NA")</f>
        <v>5.0722464222614949E-2</v>
      </c>
      <c r="AJ200" s="1414"/>
      <c r="AK200" s="1414"/>
      <c r="AL200" s="1414"/>
      <c r="AM200" s="1414"/>
      <c r="AN200" s="1414"/>
      <c r="AO200" s="1414"/>
      <c r="AP200" s="1414"/>
      <c r="AQ200" s="1414"/>
      <c r="AR200" s="1236"/>
      <c r="AS200" s="1410"/>
      <c r="AT200" s="1284"/>
      <c r="AU200" s="1415"/>
      <c r="AV200" s="1415">
        <f>IFERROR(Model!AV200/Model!AU200-1,"NA")</f>
        <v>-9.7847358121330719E-2</v>
      </c>
      <c r="AW200" s="1415">
        <f>IFERROR(Model!AW200/Model!AV200-1,"NA")</f>
        <v>-0.39154013015184386</v>
      </c>
      <c r="AX200" s="1415">
        <f>IFERROR(Model!AX200/Model!AW200-1,"NA")</f>
        <v>0.45276292335115875</v>
      </c>
      <c r="AY200" s="1415">
        <f>IFERROR(Model!AY200/Model!AX200-1,"NA")</f>
        <v>0.16012269938650303</v>
      </c>
      <c r="AZ200" s="1415">
        <f>IFERROR(Model!AZ200/Model!AY200-1,"NA")</f>
        <v>-9.5716552088841889E-2</v>
      </c>
      <c r="BA200" s="1415">
        <f>IFERROR(Model!BA200/Model!AZ200-1,"NA")</f>
        <v>-5.1027821599415213E-2</v>
      </c>
      <c r="BB200" s="1415">
        <f>IFERROR(Model!BB200/Model!BA200-1,"NA")</f>
        <v>1.1585188693360893E-2</v>
      </c>
      <c r="BC200" s="1415">
        <f>IFERROR(Model!BC200/Model!BB200-1,"NA")</f>
        <v>3.7835068783515835E-2</v>
      </c>
      <c r="BD200" s="1415">
        <f>IFERROR(Model!BD200/Model!BC200-1,"NA")</f>
        <v>3.827855062679375E-2</v>
      </c>
      <c r="BE200" s="1415">
        <f>IFERROR(Model!BE200/Model!BD200-1,"NA")</f>
        <v>3.8710689086151051E-2</v>
      </c>
    </row>
    <row r="201" spans="1:57" s="369" customFormat="1" x14ac:dyDescent="0.2">
      <c r="A201" s="411"/>
      <c r="B201" s="334"/>
      <c r="C201" s="321" t="s">
        <v>203</v>
      </c>
      <c r="D201" s="1274"/>
      <c r="E201" s="1274"/>
      <c r="F201" s="1274"/>
      <c r="G201" s="1274"/>
      <c r="H201" s="1274"/>
      <c r="I201" s="1274"/>
      <c r="J201" s="1274"/>
      <c r="K201" s="1274"/>
      <c r="L201" s="1274"/>
      <c r="M201" s="1274"/>
      <c r="N201" s="1274"/>
      <c r="O201" s="1274"/>
      <c r="P201" s="1274"/>
      <c r="Q201" s="1274"/>
      <c r="R201" s="1274"/>
      <c r="S201" s="1274"/>
      <c r="T201" s="1274"/>
      <c r="U201" s="1274"/>
      <c r="V201" s="1274"/>
      <c r="W201" s="1274"/>
      <c r="X201" s="1274"/>
      <c r="Y201" s="1274"/>
      <c r="Z201" s="1274"/>
      <c r="AA201" s="1274"/>
      <c r="AB201" s="1274"/>
      <c r="AC201" s="1362"/>
      <c r="AD201" s="1362"/>
      <c r="AE201" s="1362"/>
      <c r="AF201" s="1362"/>
      <c r="AG201" s="1362"/>
      <c r="AH201" s="1362"/>
      <c r="AI201" s="1362"/>
      <c r="AJ201" s="1362"/>
      <c r="AK201" s="1362"/>
      <c r="AL201" s="1362"/>
      <c r="AM201" s="1362"/>
      <c r="AN201" s="1362"/>
      <c r="AO201" s="1362"/>
      <c r="AP201" s="1362"/>
      <c r="AQ201" s="1362"/>
      <c r="AR201" s="1236"/>
      <c r="AS201" s="1410"/>
      <c r="AT201" s="1284"/>
      <c r="AU201" s="1284"/>
      <c r="AV201" s="1284"/>
      <c r="AW201" s="1284"/>
      <c r="AX201" s="1284"/>
      <c r="AY201" s="1284"/>
      <c r="AZ201" s="1284"/>
      <c r="BA201" s="1284"/>
      <c r="BB201" s="1362"/>
      <c r="BC201" s="1362"/>
      <c r="BD201" s="1362"/>
      <c r="BE201" s="1362"/>
    </row>
    <row r="202" spans="1:57" s="382" customFormat="1" x14ac:dyDescent="0.2">
      <c r="A202" s="833"/>
      <c r="B202" s="322" t="s">
        <v>200</v>
      </c>
      <c r="C202" s="319"/>
      <c r="D202" s="1260"/>
      <c r="E202" s="1260"/>
      <c r="F202" s="1260"/>
      <c r="G202" s="1260"/>
      <c r="H202" s="1260">
        <f>IFERROR(Model!H202/Model!D202-1,"NA")</f>
        <v>0.25874125874125875</v>
      </c>
      <c r="I202" s="1260">
        <f>IFERROR(Model!I202/Model!E202-1,"NA")</f>
        <v>0.33333333333333326</v>
      </c>
      <c r="J202" s="1260">
        <f>IFERROR(Model!J202/Model!F202-1,"NA")</f>
        <v>0</v>
      </c>
      <c r="K202" s="1260">
        <f>IFERROR(Model!K202/Model!G202-1,"NA")</f>
        <v>-0.50595238095238093</v>
      </c>
      <c r="L202" s="1260">
        <f>IFERROR(Model!L202/Model!H202-1,"NA")</f>
        <v>-0.71111111111111103</v>
      </c>
      <c r="M202" s="1260">
        <f>IFERROR(Model!M202/Model!I202-1,"NA")</f>
        <v>-0.63953488372093026</v>
      </c>
      <c r="N202" s="1260">
        <f>IFERROR(Model!N202/Model!J202-1,"NA")</f>
        <v>-0.51034482758620692</v>
      </c>
      <c r="O202" s="1260">
        <f>IFERROR(Model!O202/Model!K202-1,"NA")</f>
        <v>-0.19277108433734946</v>
      </c>
      <c r="P202" s="1260">
        <f>IFERROR(Model!P202/Model!L202-1,"NA")</f>
        <v>0.34615384615384603</v>
      </c>
      <c r="Q202" s="1260">
        <f>IFERROR(Model!Q202/Model!M202-1,"NA")</f>
        <v>0.41935483870967749</v>
      </c>
      <c r="R202" s="1260">
        <f>IFERROR(Model!R202/Model!N202-1,"NA")</f>
        <v>5.6338028169014231E-2</v>
      </c>
      <c r="S202" s="1260">
        <f>IFERROR(Model!S202/Model!O202-1,"NA")</f>
        <v>-7.4626865671641784E-2</v>
      </c>
      <c r="T202" s="1260">
        <f>IFERROR(Model!T202/Model!P202-1,"NA")</f>
        <v>-0.2142857142857143</v>
      </c>
      <c r="U202" s="1260">
        <f>IFERROR(Model!U202/Model!Q202-1,"NA")</f>
        <v>-0.27272727272727271</v>
      </c>
      <c r="V202" s="1260">
        <f>IFERROR(Model!V202/Model!R202-1,"NA")</f>
        <v>-0.1333333333333333</v>
      </c>
      <c r="W202" s="1260">
        <f>IFERROR(Model!W202/Model!S202-1,"NA")</f>
        <v>-9.6774193548387233E-2</v>
      </c>
      <c r="X202" s="1260">
        <f>IFERROR(Model!X202/Model!T202-1,"NA")</f>
        <v>-0.30909090909090908</v>
      </c>
      <c r="Y202" s="1260">
        <f>IFERROR(Model!Y202/Model!U202-1,"NA")</f>
        <v>-0.515625</v>
      </c>
      <c r="Z202" s="1260">
        <f>IFERROR(Model!Z202/Model!V202-1,"NA")</f>
        <v>-0.50769230769230766</v>
      </c>
      <c r="AA202" s="1260">
        <f>IFERROR(Model!AA202/Model!W202-1,"NA")</f>
        <v>-0.4642857142857143</v>
      </c>
      <c r="AB202" s="1260">
        <f>IFERROR(Model!AB202/Model!X202-1,"NA")</f>
        <v>-0.39473684210526316</v>
      </c>
      <c r="AC202" s="1247">
        <f>IFERROR(Model!AC202/Model!Y202-1,"NA")</f>
        <v>1.8827543548386894E-2</v>
      </c>
      <c r="AD202" s="1247">
        <f>IFERROR(Model!AD202/Model!Z202-1,"NA")</f>
        <v>-1.7359175515625047E-2</v>
      </c>
      <c r="AE202" s="1247">
        <f>IFERROR(Model!AE202/Model!AA202-1,"NA")</f>
        <v>-0.11825634929833317</v>
      </c>
      <c r="AF202" s="1247">
        <f>IFERROR(Model!AF202/Model!AB202-1,"NA")</f>
        <v>2.3627754979565374E-2</v>
      </c>
      <c r="AG202" s="1247">
        <f>IFERROR(Model!AG202/Model!AC202-1,"NA")</f>
        <v>6.3826093594931965E-3</v>
      </c>
      <c r="AH202" s="1247">
        <f>IFERROR(Model!AH202/Model!AD202-1,"NA")</f>
        <v>1.0836029257841773E-2</v>
      </c>
      <c r="AI202" s="1247">
        <f>IFERROR(Model!AI202/Model!AE202-1,"NA")</f>
        <v>5.0722464222614949E-2</v>
      </c>
      <c r="AJ202" s="1247"/>
      <c r="AK202" s="1247"/>
      <c r="AL202" s="1247"/>
      <c r="AM202" s="1247"/>
      <c r="AN202" s="1247"/>
      <c r="AO202" s="1247"/>
      <c r="AP202" s="1247"/>
      <c r="AQ202" s="1247"/>
      <c r="AR202" s="1236"/>
      <c r="AS202" s="1248"/>
      <c r="AT202" s="1248"/>
      <c r="AU202" s="1301"/>
      <c r="AV202" s="1301">
        <f>IFERROR(Model!AV202/Model!AU202-1,"NA")</f>
        <v>-8.5470085470085166E-3</v>
      </c>
      <c r="AW202" s="1301">
        <f>IFERROR(Model!AW202/Model!AV202-1,"NA")</f>
        <v>-0.56551724137931036</v>
      </c>
      <c r="AX202" s="1301">
        <f>IFERROR(Model!AX202/Model!AW202-1,"NA")</f>
        <v>0.17063492063492069</v>
      </c>
      <c r="AY202" s="1301">
        <f>IFERROR(Model!AY202/Model!AX202-1,"NA")</f>
        <v>-0.18644067796610164</v>
      </c>
      <c r="AZ202" s="1301">
        <f>IFERROR(Model!AZ202/Model!AY202-1,"NA")</f>
        <v>-0.45416666666666661</v>
      </c>
      <c r="BA202" s="1301">
        <f>IFERROR(Model!BA202/Model!AZ202-1,"NA")</f>
        <v>-0.14137045988893138</v>
      </c>
      <c r="BB202" s="1247">
        <f>IFERROR(Model!BB202/Model!BA202-1,"NA")</f>
        <v>2.1581385719264379E-2</v>
      </c>
      <c r="BC202" s="1247">
        <f>IFERROR(Model!BC202/Model!BB202-1,"NA")</f>
        <v>3.7835068783516057E-2</v>
      </c>
      <c r="BD202" s="1247">
        <f>IFERROR(Model!BD202/Model!BC202-1,"NA")</f>
        <v>3.8278550626793528E-2</v>
      </c>
      <c r="BE202" s="1247">
        <f>IFERROR(Model!BE202/Model!BD202-1,"NA")</f>
        <v>3.8710689086151273E-2</v>
      </c>
    </row>
    <row r="203" spans="1:57" s="369" customFormat="1" x14ac:dyDescent="0.2">
      <c r="A203" s="411"/>
      <c r="B203" s="334"/>
      <c r="C203" s="321"/>
      <c r="D203" s="1311"/>
      <c r="E203" s="1311"/>
      <c r="F203" s="1311"/>
      <c r="G203" s="1311"/>
      <c r="H203" s="1311"/>
      <c r="I203" s="1311"/>
      <c r="J203" s="1311"/>
      <c r="K203" s="1311"/>
      <c r="L203" s="1311"/>
      <c r="M203" s="1311"/>
      <c r="N203" s="1311"/>
      <c r="O203" s="1311"/>
      <c r="P203" s="1311"/>
      <c r="Q203" s="1311"/>
      <c r="R203" s="1311"/>
      <c r="S203" s="1311"/>
      <c r="T203" s="1311"/>
      <c r="U203" s="1311"/>
      <c r="V203" s="1311"/>
      <c r="W203" s="1311"/>
      <c r="X203" s="1311"/>
      <c r="Y203" s="1311"/>
      <c r="Z203" s="1311"/>
      <c r="AA203" s="1311"/>
      <c r="AB203" s="1311"/>
      <c r="AC203" s="1284"/>
      <c r="AD203" s="1284"/>
      <c r="AE203" s="1284"/>
      <c r="AF203" s="1284"/>
      <c r="AG203" s="1284"/>
      <c r="AH203" s="1284"/>
      <c r="AI203" s="1284"/>
      <c r="AJ203" s="1284"/>
      <c r="AK203" s="1284"/>
      <c r="AL203" s="1284"/>
      <c r="AM203" s="1284"/>
      <c r="AN203" s="1284"/>
      <c r="AO203" s="1284"/>
      <c r="AP203" s="1284"/>
      <c r="AQ203" s="1284"/>
      <c r="AR203" s="1236"/>
      <c r="AS203" s="1410"/>
      <c r="AT203" s="1284"/>
      <c r="AU203" s="1263"/>
      <c r="AV203" s="1263"/>
      <c r="AW203" s="1263"/>
      <c r="AX203" s="1263"/>
      <c r="AY203" s="1263"/>
      <c r="AZ203" s="1263"/>
      <c r="BA203" s="1263"/>
      <c r="BB203" s="1263"/>
      <c r="BC203" s="1263"/>
      <c r="BD203" s="1263"/>
      <c r="BE203" s="1263"/>
    </row>
    <row r="204" spans="1:57" s="382" customFormat="1" x14ac:dyDescent="0.2">
      <c r="A204" s="833"/>
      <c r="B204" s="322" t="s">
        <v>244</v>
      </c>
      <c r="C204" s="319"/>
      <c r="D204" s="1260"/>
      <c r="E204" s="1260"/>
      <c r="F204" s="1260"/>
      <c r="G204" s="1260"/>
      <c r="H204" s="1260">
        <f>IFERROR(Model!H204/Model!D204-1,"NA")</f>
        <v>-0.10625317742755458</v>
      </c>
      <c r="I204" s="1260">
        <f>IFERROR(Model!I204/Model!E204-1,"NA")</f>
        <v>-6.7610062893081802E-2</v>
      </c>
      <c r="J204" s="1260">
        <f>IFERROR(Model!J204/Model!F204-1,"NA")</f>
        <v>-2.4878312601406161E-2</v>
      </c>
      <c r="K204" s="1260">
        <f>IFERROR(Model!K204/Model!G204-1,"NA")</f>
        <v>1.9187358916478603E-2</v>
      </c>
      <c r="L204" s="1260">
        <f>IFERROR(Model!L204/Model!H204-1,"NA")</f>
        <v>1.7064846416382284E-2</v>
      </c>
      <c r="M204" s="1260">
        <f>IFERROR(Model!M204/Model!I204-1,"NA")</f>
        <v>-1.1242270938729648E-2</v>
      </c>
      <c r="N204" s="1260">
        <f>IFERROR(Model!N204/Model!J204-1,"NA")</f>
        <v>-4.0488075429839232E-2</v>
      </c>
      <c r="O204" s="1260">
        <f>IFERROR(Model!O204/Model!K204-1,"NA")</f>
        <v>-4.8172757475082983E-2</v>
      </c>
      <c r="P204" s="1260">
        <f>IFERROR(Model!P204/Model!L204-1,"NA")</f>
        <v>-5.9284116331096315E-2</v>
      </c>
      <c r="Q204" s="1260">
        <f>IFERROR(Model!Q204/Model!M204-1,"NA")</f>
        <v>-6.1967026719727203E-2</v>
      </c>
      <c r="R204" s="1260">
        <f>IFERROR(Model!R204/Model!N204-1,"NA")</f>
        <v>-6.0115606936416266E-2</v>
      </c>
      <c r="S204" s="1260">
        <f>IFERROR(Model!S204/Model!O204-1,"NA")</f>
        <v>-7.2134962187318186E-2</v>
      </c>
      <c r="T204" s="1260">
        <f>IFERROR(Model!T204/Model!P204-1,"NA")</f>
        <v>-7.3127229488703871E-2</v>
      </c>
      <c r="U204" s="1260">
        <f>IFERROR(Model!U204/Model!Q204-1,"NA")</f>
        <v>-7.999999999999996E-2</v>
      </c>
      <c r="V204" s="1260">
        <f>IFERROR(Model!V204/Model!R204-1,"NA")</f>
        <v>-9.2250922509225064E-2</v>
      </c>
      <c r="W204" s="1260">
        <f>IFERROR(Model!W204/Model!S204-1,"NA")</f>
        <v>-0.10219435736677118</v>
      </c>
      <c r="X204" s="1260">
        <f>IFERROR(Model!X204/Model!T204-1,"NA")</f>
        <v>-0.68890314304041045</v>
      </c>
      <c r="Y204" s="1260">
        <f>IFERROR(Model!Y204/Model!U204-1,"NA")</f>
        <v>-0.67654808959156787</v>
      </c>
      <c r="Z204" s="1260">
        <f>IFERROR(Model!Z204/Model!V204-1,"NA")</f>
        <v>-0.66734417344173447</v>
      </c>
      <c r="AA204" s="1260">
        <f>IFERROR(Model!AA204/Model!W204-1,"NA")</f>
        <v>-0.66969273743016755</v>
      </c>
      <c r="AB204" s="1260">
        <f>IFERROR(Model!AB204/Model!X204-1,"NA")</f>
        <v>-5.1546391752577359E-2</v>
      </c>
      <c r="AC204" s="1256" t="str">
        <f>IFERROR(Model!AC204/Model!Y204-1,"NA")</f>
        <v>NA</v>
      </c>
      <c r="AD204" s="1256" t="str">
        <f>IFERROR(Model!AD204/Model!Z204-1,"NA")</f>
        <v>NA</v>
      </c>
      <c r="AE204" s="1256" t="str">
        <f>IFERROR(Model!AE204/Model!AA204-1,"NA")</f>
        <v>NA</v>
      </c>
      <c r="AF204" s="1256" t="str">
        <f>IFERROR(Model!AF204/Model!AB204-1,"NA")</f>
        <v>NA</v>
      </c>
      <c r="AG204" s="1256" t="str">
        <f>IFERROR(Model!AG204/Model!AC204-1,"NA")</f>
        <v>NA</v>
      </c>
      <c r="AH204" s="1256" t="str">
        <f>IFERROR(Model!AH204/Model!AD204-1,"NA")</f>
        <v>NA</v>
      </c>
      <c r="AI204" s="1256" t="str">
        <f>IFERROR(Model!AI204/Model!AE204-1,"NA")</f>
        <v>NA</v>
      </c>
      <c r="AJ204" s="1256"/>
      <c r="AK204" s="1256"/>
      <c r="AL204" s="1256"/>
      <c r="AM204" s="1256"/>
      <c r="AN204" s="1256"/>
      <c r="AO204" s="1256"/>
      <c r="AP204" s="1256"/>
      <c r="AQ204" s="1256"/>
      <c r="AR204" s="1236"/>
      <c r="AS204" s="1248"/>
      <c r="AT204" s="1248"/>
      <c r="AU204" s="1236"/>
      <c r="AV204" s="1236">
        <f>IFERROR(Model!AV204/Model!AU204-1,"NA")</f>
        <v>1.9187358916478603E-2</v>
      </c>
      <c r="AW204" s="1236">
        <f>IFERROR(Model!AW204/Model!AV204-1,"NA")</f>
        <v>-4.8172757475082983E-2</v>
      </c>
      <c r="AX204" s="1236">
        <f>IFERROR(Model!AX204/Model!AW204-1,"NA")</f>
        <v>-7.2134962187318186E-2</v>
      </c>
      <c r="AY204" s="1236">
        <f>IFERROR(Model!AY204/Model!AX204-1,"NA")</f>
        <v>-0.10219435736677118</v>
      </c>
      <c r="AZ204" s="1236">
        <f>IFERROR(Model!AZ204/Model!AY204-1,"NA")</f>
        <v>-0.66969273743016755</v>
      </c>
      <c r="BA204" s="1236" t="str">
        <f>IFERROR(Model!BA204/Model!AZ204-1,"NA")</f>
        <v>NA</v>
      </c>
      <c r="BB204" s="1236" t="str">
        <f>IFERROR(Model!BB204/Model!BA204-1,"NA")</f>
        <v>NA</v>
      </c>
      <c r="BC204" s="1236" t="str">
        <f>IFERROR(Model!BC204/Model!BB204-1,"NA")</f>
        <v>NA</v>
      </c>
      <c r="BD204" s="1236" t="str">
        <f>IFERROR(Model!BD204/Model!BC204-1,"NA")</f>
        <v>NA</v>
      </c>
      <c r="BE204" s="1236" t="str">
        <f>IFERROR(Model!BE204/Model!BD204-1,"NA")</f>
        <v>NA</v>
      </c>
    </row>
    <row r="205" spans="1:57" s="382" customFormat="1" x14ac:dyDescent="0.2">
      <c r="A205" s="833"/>
      <c r="B205" s="322" t="s">
        <v>245</v>
      </c>
      <c r="C205" s="319"/>
      <c r="D205" s="1260"/>
      <c r="E205" s="1260"/>
      <c r="F205" s="1260"/>
      <c r="G205" s="1260"/>
      <c r="H205" s="1260">
        <f>IFERROR(Model!H205/Model!D205-1,"NA")</f>
        <v>0.18181818181818188</v>
      </c>
      <c r="I205" s="1260">
        <f>IFERROR(Model!I205/Model!E205-1,"NA")</f>
        <v>0.13043478260869557</v>
      </c>
      <c r="J205" s="1260">
        <f>IFERROR(Model!J205/Model!F205-1,"NA")</f>
        <v>-0.55063291139240511</v>
      </c>
      <c r="K205" s="1260">
        <f>IFERROR(Model!K205/Model!G205-1,"NA")</f>
        <v>-0.64566929133858264</v>
      </c>
      <c r="L205" s="1260">
        <f>IFERROR(Model!L205/Model!H205-1,"NA")</f>
        <v>-0.74825174825174834</v>
      </c>
      <c r="M205" s="1260">
        <f>IFERROR(Model!M205/Model!I205-1,"NA")</f>
        <v>-0.67692307692307696</v>
      </c>
      <c r="N205" s="1260">
        <f>IFERROR(Model!N205/Model!J205-1,"NA")</f>
        <v>-0.38028169014084501</v>
      </c>
      <c r="O205" s="1260">
        <f>IFERROR(Model!O205/Model!K205-1,"NA")</f>
        <v>-0.15555555555555556</v>
      </c>
      <c r="P205" s="1260">
        <f>IFERROR(Model!P205/Model!L205-1,"NA")</f>
        <v>0.22222222222222232</v>
      </c>
      <c r="Q205" s="1260">
        <f>IFERROR(Model!Q205/Model!M205-1,"NA")</f>
        <v>0.19047619047619047</v>
      </c>
      <c r="R205" s="1260">
        <f>IFERROR(Model!R205/Model!N205-1,"NA")</f>
        <v>-0.11363636363636376</v>
      </c>
      <c r="S205" s="1260">
        <f>IFERROR(Model!S205/Model!O205-1,"NA")</f>
        <v>-0.1578947368421052</v>
      </c>
      <c r="T205" s="1260">
        <f>IFERROR(Model!T205/Model!P205-1,"NA")</f>
        <v>-0.31818181818181823</v>
      </c>
      <c r="U205" s="1260">
        <f>IFERROR(Model!U205/Model!Q205-1,"NA")</f>
        <v>-0.19999999999999996</v>
      </c>
      <c r="V205" s="1260">
        <f>IFERROR(Model!V205/Model!R205-1,"NA")</f>
        <v>0</v>
      </c>
      <c r="W205" s="1260">
        <f>IFERROR(Model!W205/Model!S205-1,"NA")</f>
        <v>-0.1875</v>
      </c>
      <c r="X205" s="1260">
        <f>IFERROR(Model!X205/Model!T205-1,"NA")</f>
        <v>-0.3666666666666667</v>
      </c>
      <c r="Y205" s="1260">
        <f>IFERROR(Model!Y205/Model!U205-1,"NA")</f>
        <v>-0.625</v>
      </c>
      <c r="Z205" s="1260">
        <f>IFERROR(Model!Z205/Model!V205-1,"NA")</f>
        <v>-0.5641025641025641</v>
      </c>
      <c r="AA205" s="1260">
        <f>IFERROR(Model!AA205/Model!W205-1,"NA")</f>
        <v>-0.5</v>
      </c>
      <c r="AB205" s="1260">
        <f>IFERROR(Model!AB205/Model!X205-1,"NA")</f>
        <v>-0.36842105263157898</v>
      </c>
      <c r="AC205" s="1256" t="str">
        <f>IFERROR(Model!AC205/Model!Y205-1,"NA")</f>
        <v>NA</v>
      </c>
      <c r="AD205" s="1256" t="str">
        <f>IFERROR(Model!AD205/Model!Z205-1,"NA")</f>
        <v>NA</v>
      </c>
      <c r="AE205" s="1256" t="str">
        <f>IFERROR(Model!AE205/Model!AA205-1,"NA")</f>
        <v>NA</v>
      </c>
      <c r="AF205" s="1256" t="str">
        <f>IFERROR(Model!AF205/Model!AB205-1,"NA")</f>
        <v>NA</v>
      </c>
      <c r="AG205" s="1256" t="str">
        <f>IFERROR(Model!AG205/Model!AC205-1,"NA")</f>
        <v>NA</v>
      </c>
      <c r="AH205" s="1256" t="str">
        <f>IFERROR(Model!AH205/Model!AD205-1,"NA")</f>
        <v>NA</v>
      </c>
      <c r="AI205" s="1256" t="str">
        <f>IFERROR(Model!AI205/Model!AE205-1,"NA")</f>
        <v>NA</v>
      </c>
      <c r="AJ205" s="1256"/>
      <c r="AK205" s="1256"/>
      <c r="AL205" s="1256"/>
      <c r="AM205" s="1256"/>
      <c r="AN205" s="1256"/>
      <c r="AO205" s="1256"/>
      <c r="AP205" s="1256"/>
      <c r="AQ205" s="1256"/>
      <c r="AR205" s="1236"/>
      <c r="AS205" s="1248"/>
      <c r="AT205" s="1248"/>
      <c r="AU205" s="1236"/>
      <c r="AV205" s="1236">
        <f>IFERROR(Model!AV205/Model!AU205-1,"NA")</f>
        <v>-0.25335892514395408</v>
      </c>
      <c r="AW205" s="1236">
        <f>IFERROR(Model!AW205/Model!AV205-1,"NA")</f>
        <v>-0.5886889460154241</v>
      </c>
      <c r="AX205" s="1236">
        <f>IFERROR(Model!AX205/Model!AW205-1,"NA")</f>
        <v>3.125E-2</v>
      </c>
      <c r="AY205" s="1236">
        <f>IFERROR(Model!AY205/Model!AX205-1,"NA")</f>
        <v>-0.18181818181818177</v>
      </c>
      <c r="AZ205" s="1236">
        <f>IFERROR(Model!AZ205/Model!AY205-1,"NA")</f>
        <v>-0.90370370370370368</v>
      </c>
      <c r="BA205" s="1236" t="str">
        <f>IFERROR(Model!BA205/Model!AZ205-1,"NA")</f>
        <v>NA</v>
      </c>
      <c r="BB205" s="1236" t="str">
        <f>IFERROR(Model!BB205/Model!BA205-1,"NA")</f>
        <v>NA</v>
      </c>
      <c r="BC205" s="1236" t="str">
        <f>IFERROR(Model!BC205/Model!BB205-1,"NA")</f>
        <v>NA</v>
      </c>
      <c r="BD205" s="1236" t="str">
        <f>IFERROR(Model!BD205/Model!BC205-1,"NA")</f>
        <v>NA</v>
      </c>
      <c r="BE205" s="1236" t="str">
        <f>IFERROR(Model!BE205/Model!BD205-1,"NA")</f>
        <v>NA</v>
      </c>
    </row>
    <row r="206" spans="1:57" s="382" customFormat="1" x14ac:dyDescent="0.2">
      <c r="A206" s="833"/>
      <c r="B206" s="322"/>
      <c r="C206" s="319"/>
      <c r="D206" s="1259"/>
      <c r="E206" s="1259"/>
      <c r="F206" s="1259"/>
      <c r="G206" s="1259"/>
      <c r="H206" s="1259"/>
      <c r="I206" s="1259"/>
      <c r="J206" s="1259"/>
      <c r="K206" s="1259"/>
      <c r="L206" s="1259"/>
      <c r="M206" s="1259"/>
      <c r="N206" s="1259"/>
      <c r="O206" s="1259"/>
      <c r="P206" s="1259"/>
      <c r="Q206" s="1259"/>
      <c r="R206" s="1259"/>
      <c r="S206" s="1259"/>
      <c r="T206" s="1259"/>
      <c r="U206" s="1259"/>
      <c r="V206" s="1259"/>
      <c r="W206" s="1259"/>
      <c r="X206" s="1259"/>
      <c r="Y206" s="1259"/>
      <c r="Z206" s="1259"/>
      <c r="AA206" s="1259"/>
      <c r="AB206" s="1259"/>
      <c r="AC206" s="1248"/>
      <c r="AD206" s="1248"/>
      <c r="AE206" s="1248"/>
      <c r="AF206" s="1248"/>
      <c r="AG206" s="1248"/>
      <c r="AH206" s="1248"/>
      <c r="AI206" s="1248"/>
      <c r="AJ206" s="1248"/>
      <c r="AK206" s="1248"/>
      <c r="AL206" s="1248"/>
      <c r="AM206" s="1248"/>
      <c r="AN206" s="1248"/>
      <c r="AO206" s="1248"/>
      <c r="AP206" s="1248"/>
      <c r="AQ206" s="1248"/>
      <c r="AR206" s="1236"/>
      <c r="AS206" s="1248"/>
      <c r="AT206" s="1248"/>
      <c r="AU206" s="1308"/>
      <c r="AV206" s="1308"/>
      <c r="AW206" s="1308"/>
      <c r="AX206" s="1308"/>
      <c r="AY206" s="1308"/>
      <c r="AZ206" s="1308"/>
      <c r="BA206" s="1308"/>
      <c r="BB206" s="1308"/>
      <c r="BC206" s="1308"/>
      <c r="BD206" s="1308"/>
      <c r="BE206" s="1308"/>
    </row>
    <row r="207" spans="1:57" s="382" customFormat="1" x14ac:dyDescent="0.2">
      <c r="A207" s="833"/>
      <c r="B207" s="322" t="s">
        <v>201</v>
      </c>
      <c r="C207" s="319"/>
      <c r="D207" s="1260"/>
      <c r="E207" s="1260"/>
      <c r="F207" s="1260"/>
      <c r="G207" s="1260"/>
      <c r="H207" s="1260">
        <f>IFERROR(Model!H207/Model!D207-1,"NA")</f>
        <v>5.4409005628517804E-2</v>
      </c>
      <c r="I207" s="1260">
        <f>IFERROR(Model!I207/Model!E207-1,"NA")</f>
        <v>-7.5353218210361117E-2</v>
      </c>
      <c r="J207" s="1260">
        <f>IFERROR(Model!J207/Model!F207-1,"NA")</f>
        <v>-0.75584795321637421</v>
      </c>
      <c r="K207" s="1260">
        <f>IFERROR(Model!K207/Model!G207-1,"NA")</f>
        <v>-0.76747967479674795</v>
      </c>
      <c r="L207" s="1260">
        <f>IFERROR(Model!L207/Model!H207-1,"NA")</f>
        <v>-0.77224199288256234</v>
      </c>
      <c r="M207" s="1260">
        <f>IFERROR(Model!M207/Model!I207-1,"NA")</f>
        <v>-0.77249575551782679</v>
      </c>
      <c r="N207" s="1260">
        <f>IFERROR(Model!N207/Model!J207-1,"NA")</f>
        <v>-0.20958083832335328</v>
      </c>
      <c r="O207" s="1260">
        <f>IFERROR(Model!O207/Model!K207-1,"NA")</f>
        <v>0.79020979020979021</v>
      </c>
      <c r="P207" s="1260">
        <f>IFERROR(Model!P207/Model!L207-1,"NA")</f>
        <v>0.3203125</v>
      </c>
      <c r="Q207" s="1260">
        <f>IFERROR(Model!Q207/Model!M207-1,"NA")</f>
        <v>0.33582089552238803</v>
      </c>
      <c r="R207" s="1260">
        <f>IFERROR(Model!R207/Model!N207-1,"NA")</f>
        <v>-0.18939393939393945</v>
      </c>
      <c r="S207" s="1260">
        <f>IFERROR(Model!S207/Model!O207-1,"NA")</f>
        <v>-0.56640625</v>
      </c>
      <c r="T207" s="1260">
        <f>IFERROR(Model!T207/Model!P207-1,"NA")</f>
        <v>-0.42011834319526631</v>
      </c>
      <c r="U207" s="1260">
        <f>IFERROR(Model!U207/Model!Q207-1,"NA")</f>
        <v>-0.49162011173184361</v>
      </c>
      <c r="V207" s="1260">
        <f>IFERROR(Model!V207/Model!R207-1,"NA")</f>
        <v>0.32710280373831768</v>
      </c>
      <c r="W207" s="1260">
        <f>IFERROR(Model!W207/Model!S207-1,"NA")</f>
        <v>-7.2072072072072113E-2</v>
      </c>
      <c r="X207" s="1260">
        <f>IFERROR(Model!X207/Model!T207-1,"NA")</f>
        <v>-0.3571428571428571</v>
      </c>
      <c r="Y207" s="1260">
        <f>IFERROR(Model!Y207/Model!U207-1,"NA")</f>
        <v>-0.4505494505494505</v>
      </c>
      <c r="Z207" s="1260">
        <f>IFERROR(Model!Z207/Model!V207-1,"NA")</f>
        <v>-0.66690140845070423</v>
      </c>
      <c r="AA207" s="1260">
        <f>IFERROR(Model!AA207/Model!W207-1,"NA")</f>
        <v>-0.32912621359223304</v>
      </c>
      <c r="AB207" s="1260">
        <f>IFERROR(Model!AB207/Model!X207-1,"NA")</f>
        <v>-0.46984126984126984</v>
      </c>
      <c r="AC207" s="1248">
        <f>IFERROR(Model!AC207/Model!Y207-1,"NA")</f>
        <v>-5.2490384500000098E-2</v>
      </c>
      <c r="AD207" s="1248">
        <f>IFERROR(Model!AD207/Model!Z207-1,"NA")</f>
        <v>-2.8169222991543119E-3</v>
      </c>
      <c r="AE207" s="1248">
        <f>IFERROR(Model!AE207/Model!AA207-1,"NA")</f>
        <v>-0.42578199303075248</v>
      </c>
      <c r="AF207" s="1248">
        <f>IFERROR(Model!AF207/Model!AB207-1,"NA")</f>
        <v>5.7340046311227688E-2</v>
      </c>
      <c r="AG207" s="1248">
        <f>IFERROR(Model!AG207/Model!AC207-1,"NA")</f>
        <v>6.3826093594931965E-3</v>
      </c>
      <c r="AH207" s="1248">
        <f>IFERROR(Model!AH207/Model!AD207-1,"NA")</f>
        <v>1.0836029257841773E-2</v>
      </c>
      <c r="AI207" s="1248">
        <f>IFERROR(Model!AI207/Model!AE207-1,"NA")</f>
        <v>5.0722464222614949E-2</v>
      </c>
      <c r="AJ207" s="1248"/>
      <c r="AK207" s="1248"/>
      <c r="AL207" s="1248"/>
      <c r="AM207" s="1248"/>
      <c r="AN207" s="1248"/>
      <c r="AO207" s="1248"/>
      <c r="AP207" s="1248"/>
      <c r="AQ207" s="1248"/>
      <c r="AR207" s="1236"/>
      <c r="AS207" s="1248"/>
      <c r="AT207" s="1248"/>
      <c r="AU207" s="1236"/>
      <c r="AV207" s="1236">
        <f>IFERROR(Model!AV207/Model!AU207-1,"NA")</f>
        <v>-0.40826245443499387</v>
      </c>
      <c r="AW207" s="1236">
        <f>IFERROR(Model!AW207/Model!AV207-1,"NA")</f>
        <v>-0.55509924709103353</v>
      </c>
      <c r="AX207" s="1236">
        <f>IFERROR(Model!AX207/Model!AW207-1,"NA")</f>
        <v>-0.12923076923076926</v>
      </c>
      <c r="AY207" s="1236">
        <f>IFERROR(Model!AY207/Model!AX207-1,"NA")</f>
        <v>-0.2332155477031802</v>
      </c>
      <c r="AZ207" s="1236">
        <f>IFERROR(Model!AZ207/Model!AY207-1,"NA")</f>
        <v>-0.47142857142857142</v>
      </c>
      <c r="BA207" s="1236">
        <f>IFERROR(Model!BA207/Model!AZ207-1,"NA")</f>
        <v>-0.26930817510102445</v>
      </c>
      <c r="BB207" s="1248">
        <f>IFERROR(Model!BB207/Model!BA207-1,"NA")</f>
        <v>2.8285447289459142E-2</v>
      </c>
      <c r="BC207" s="1248">
        <f>IFERROR(Model!BC207/Model!BB207-1,"NA")</f>
        <v>7.2429571076300103E-2</v>
      </c>
      <c r="BD207" s="1248">
        <f>IFERROR(Model!BD207/Model!BC207-1,"NA")</f>
        <v>7.1771407098625506E-2</v>
      </c>
      <c r="BE207" s="1248">
        <f>IFERROR(Model!BE207/Model!BD207-1,"NA")</f>
        <v>3.8710689086151273E-2</v>
      </c>
    </row>
    <row r="208" spans="1:57" s="382" customFormat="1" x14ac:dyDescent="0.2">
      <c r="A208" s="833"/>
      <c r="B208" s="319"/>
      <c r="C208" s="322" t="s">
        <v>202</v>
      </c>
      <c r="D208" s="1261"/>
      <c r="E208" s="1261"/>
      <c r="F208" s="1261"/>
      <c r="G208" s="1261"/>
      <c r="H208" s="1261"/>
      <c r="I208" s="1261"/>
      <c r="J208" s="1261"/>
      <c r="K208" s="1261"/>
      <c r="L208" s="1261"/>
      <c r="M208" s="1261"/>
      <c r="N208" s="1261"/>
      <c r="O208" s="1261"/>
      <c r="P208" s="1261"/>
      <c r="Q208" s="1261"/>
      <c r="R208" s="1261"/>
      <c r="S208" s="1261"/>
      <c r="T208" s="1261"/>
      <c r="U208" s="1261"/>
      <c r="V208" s="1261"/>
      <c r="W208" s="1261"/>
      <c r="X208" s="1261"/>
      <c r="Y208" s="1261"/>
      <c r="Z208" s="1261"/>
      <c r="AA208" s="1261"/>
      <c r="AB208" s="1261"/>
      <c r="AC208" s="1362"/>
      <c r="AD208" s="1362"/>
      <c r="AE208" s="1362"/>
      <c r="AF208" s="1362"/>
      <c r="AG208" s="1362"/>
      <c r="AH208" s="1362"/>
      <c r="AI208" s="1362"/>
      <c r="AJ208" s="1362"/>
      <c r="AK208" s="1362"/>
      <c r="AL208" s="1362"/>
      <c r="AM208" s="1362"/>
      <c r="AN208" s="1362"/>
      <c r="AO208" s="1362"/>
      <c r="AP208" s="1362"/>
      <c r="AQ208" s="1362"/>
      <c r="AR208" s="1236"/>
      <c r="AS208" s="1248"/>
      <c r="AT208" s="1248"/>
      <c r="AU208" s="1261"/>
      <c r="AV208" s="1261"/>
      <c r="AW208" s="1261"/>
      <c r="AX208" s="1261"/>
      <c r="AY208" s="1261"/>
      <c r="AZ208" s="1261"/>
      <c r="BA208" s="1261"/>
      <c r="BB208" s="1362"/>
      <c r="BC208" s="1362"/>
      <c r="BD208" s="1362"/>
      <c r="BE208" s="1362"/>
    </row>
    <row r="209" spans="1:57" s="382" customFormat="1" x14ac:dyDescent="0.2">
      <c r="A209" s="833"/>
      <c r="B209" s="322"/>
      <c r="C209" s="319"/>
      <c r="D209" s="1259"/>
      <c r="E209" s="1259"/>
      <c r="F209" s="1259"/>
      <c r="G209" s="1259"/>
      <c r="H209" s="1259"/>
      <c r="I209" s="1259"/>
      <c r="J209" s="1259"/>
      <c r="K209" s="1259"/>
      <c r="L209" s="1259"/>
      <c r="M209" s="1259"/>
      <c r="N209" s="1259"/>
      <c r="O209" s="1259"/>
      <c r="P209" s="1259"/>
      <c r="Q209" s="1259"/>
      <c r="R209" s="1259"/>
      <c r="S209" s="1259"/>
      <c r="T209" s="1259"/>
      <c r="U209" s="1259"/>
      <c r="V209" s="1259"/>
      <c r="W209" s="1259"/>
      <c r="X209" s="1259"/>
      <c r="Y209" s="1259"/>
      <c r="Z209" s="1259"/>
      <c r="AA209" s="1259"/>
      <c r="AB209" s="1259"/>
      <c r="AC209" s="1248"/>
      <c r="AD209" s="1248"/>
      <c r="AE209" s="1248"/>
      <c r="AF209" s="1248"/>
      <c r="AG209" s="1248"/>
      <c r="AH209" s="1248"/>
      <c r="AI209" s="1248"/>
      <c r="AJ209" s="1248"/>
      <c r="AK209" s="1248"/>
      <c r="AL209" s="1248"/>
      <c r="AM209" s="1248"/>
      <c r="AN209" s="1248"/>
      <c r="AO209" s="1248"/>
      <c r="AP209" s="1248"/>
      <c r="AQ209" s="1248"/>
      <c r="AR209" s="1236"/>
      <c r="AS209" s="1248"/>
      <c r="AT209" s="1248"/>
      <c r="AU209" s="1308"/>
      <c r="AV209" s="1308"/>
      <c r="AW209" s="1308"/>
      <c r="AX209" s="1308"/>
      <c r="AY209" s="1308"/>
      <c r="AZ209" s="1308"/>
      <c r="BA209" s="1308"/>
      <c r="BB209" s="1308"/>
      <c r="BC209" s="1308"/>
      <c r="BD209" s="1308"/>
      <c r="BE209" s="1308"/>
    </row>
    <row r="210" spans="1:57" s="382" customFormat="1" x14ac:dyDescent="0.2">
      <c r="A210" s="833"/>
      <c r="B210" s="322" t="s">
        <v>204</v>
      </c>
      <c r="C210" s="319"/>
      <c r="D210" s="1258"/>
      <c r="E210" s="1258"/>
      <c r="F210" s="1258"/>
      <c r="G210" s="1258"/>
      <c r="H210" s="1258">
        <f>IFERROR(Model!H210/Model!D210-1,"NA")</f>
        <v>-0.2602230483271375</v>
      </c>
      <c r="I210" s="1258">
        <f>IFERROR(Model!I210/Model!E210-1,"NA")</f>
        <v>6.6666666666666652E-2</v>
      </c>
      <c r="J210" s="1258">
        <f>IFERROR(Model!J210/Model!F210-1,"NA")</f>
        <v>-5.7851239669421517E-2</v>
      </c>
      <c r="K210" s="1258">
        <f>IFERROR(Model!K210/Model!G210-1,"NA")</f>
        <v>4.3478260869565188E-2</v>
      </c>
      <c r="L210" s="1258">
        <f>IFERROR(Model!L210/Model!H210-1,"NA")</f>
        <v>0.6733668341708543</v>
      </c>
      <c r="M210" s="1258">
        <f>IFERROR(Model!M210/Model!I210-1,"NA")</f>
        <v>0.51923076923076916</v>
      </c>
      <c r="N210" s="1258">
        <f>IFERROR(Model!N210/Model!J210-1,"NA")</f>
        <v>0.50877192982456143</v>
      </c>
      <c r="O210" s="1258">
        <f>IFERROR(Model!O210/Model!K210-1,"NA")</f>
        <v>0.26666666666666661</v>
      </c>
      <c r="P210" s="1258">
        <f>IFERROR(Model!P210/Model!L210-1,"NA")</f>
        <v>0.20120120120120122</v>
      </c>
      <c r="Q210" s="1258">
        <f>IFERROR(Model!Q210/Model!M210-1,"NA")</f>
        <v>-9.493670886076E-3</v>
      </c>
      <c r="R210" s="1258">
        <f>IFERROR(Model!R210/Model!N210-1,"NA")</f>
        <v>-4.9418604651162767E-2</v>
      </c>
      <c r="S210" s="1258">
        <f>IFERROR(Model!S210/Model!O210-1,"NA")</f>
        <v>-3.6184210526315819E-2</v>
      </c>
      <c r="T210" s="1258">
        <f>IFERROR(Model!T210/Model!P210-1,"NA")</f>
        <v>-0.3075</v>
      </c>
      <c r="U210" s="1258">
        <f>IFERROR(Model!U210/Model!Q210-1,"NA")</f>
        <v>9.5846645367412275E-3</v>
      </c>
      <c r="V210" s="1258">
        <f>IFERROR(Model!V210/Model!R210-1,"NA")</f>
        <v>-7.0336391437308854E-2</v>
      </c>
      <c r="W210" s="1258">
        <f>IFERROR(Model!W210/Model!S210-1,"NA")</f>
        <v>-8.5324232081911311E-2</v>
      </c>
      <c r="X210" s="1258">
        <f>IFERROR(Model!X210/Model!T210-1,"NA")</f>
        <v>-2.5270758122743708E-2</v>
      </c>
      <c r="Y210" s="1258">
        <f>IFERROR(Model!Y210/Model!U210-1,"NA")</f>
        <v>-6.3291139240506333E-2</v>
      </c>
      <c r="Z210" s="1258">
        <f>IFERROR(Model!Z210/Model!V210-1,"NA")</f>
        <v>8.1250000000000044E-2</v>
      </c>
      <c r="AA210" s="1258">
        <f>IFERROR(Model!AA210/Model!W210-1,"NA")</f>
        <v>5.5597014925373056E-2</v>
      </c>
      <c r="AB210" s="1258">
        <f>IFERROR(Model!AB210/Model!X210-1,"NA")</f>
        <v>9.8518518518518672E-2</v>
      </c>
      <c r="AC210" s="1258">
        <f>IFERROR(Model!AC210/Model!Y210-1,"NA")</f>
        <v>0.10460680782233456</v>
      </c>
      <c r="AD210" s="1258">
        <f>IFERROR(Model!AD210/Model!Z210-1,"NA")</f>
        <v>4.1506405516407829E-2</v>
      </c>
      <c r="AE210" s="1258">
        <f>IFERROR(Model!AE210/Model!AA210-1,"NA")</f>
        <v>0.24347472733213382</v>
      </c>
      <c r="AF210" s="1258">
        <f>IFERROR(Model!AF210/Model!AB210-1,"NA")</f>
        <v>0.13271654087369011</v>
      </c>
      <c r="AG210" s="1258">
        <f>IFERROR(Model!AG210/Model!AC210-1,"NA")</f>
        <v>3.6217276193409198E-2</v>
      </c>
      <c r="AH210" s="1258">
        <f>IFERROR(Model!AH210/Model!AD210-1,"NA")</f>
        <v>2.1433813653157552E-2</v>
      </c>
      <c r="AI210" s="1258">
        <f>IFERROR(Model!AI210/Model!AE210-1,"NA")</f>
        <v>1.6702174930809832E-2</v>
      </c>
      <c r="AJ210" s="1258"/>
      <c r="AK210" s="1258"/>
      <c r="AL210" s="1258"/>
      <c r="AM210" s="1258"/>
      <c r="AN210" s="1258"/>
      <c r="AO210" s="1258"/>
      <c r="AP210" s="1258"/>
      <c r="AQ210" s="1258"/>
      <c r="AR210" s="1236"/>
      <c r="AS210" s="1248"/>
      <c r="AT210" s="1248"/>
      <c r="AU210" s="1236"/>
      <c r="AV210" s="1236">
        <f>IFERROR(Model!AV210/Model!AU210-1,"NA")</f>
        <v>-6.5170940170940161E-2</v>
      </c>
      <c r="AW210" s="1236">
        <f>IFERROR(Model!AW210/Model!AV210-1,"NA")</f>
        <v>0.48228571428571421</v>
      </c>
      <c r="AX210" s="1236">
        <f>IFERROR(Model!AX210/Model!AW210-1,"NA")</f>
        <v>2.775636083269073E-2</v>
      </c>
      <c r="AY210" s="1236">
        <f>IFERROR(Model!AY210/Model!AX210-1,"NA")</f>
        <v>-0.12603150787696926</v>
      </c>
      <c r="AZ210" s="1236">
        <f>IFERROR(Model!AZ210/Model!AY210-1,"NA")</f>
        <v>1.0815450643776758E-2</v>
      </c>
      <c r="BA210" s="1236">
        <f>IFERROR(Model!BA210/Model!AZ210-1,"NA")</f>
        <v>0.11895870496850791</v>
      </c>
      <c r="BB210" s="1258">
        <f>IFERROR(Model!BB210/Model!BA210-1,"NA")</f>
        <v>4.8887718754687004E-2</v>
      </c>
      <c r="BC210" s="1258">
        <f>IFERROR(Model!BC210/Model!BB210-1,"NA")</f>
        <v>5.995662719764483E-2</v>
      </c>
      <c r="BD210" s="1258">
        <f>IFERROR(Model!BD210/Model!BC210-1,"NA")</f>
        <v>6.4728107723940775E-2</v>
      </c>
      <c r="BE210" s="1258">
        <f>IFERROR(Model!BE210/Model!BD210-1,"NA")</f>
        <v>2.8893638279135603E-2</v>
      </c>
    </row>
    <row r="211" spans="1:57" s="382" customFormat="1" x14ac:dyDescent="0.2">
      <c r="A211" s="833"/>
      <c r="B211" s="322" t="s">
        <v>205</v>
      </c>
      <c r="C211" s="319"/>
      <c r="D211" s="1261"/>
      <c r="E211" s="1261"/>
      <c r="F211" s="1261"/>
      <c r="G211" s="1261"/>
      <c r="H211" s="1261"/>
      <c r="I211" s="1261"/>
      <c r="J211" s="1261"/>
      <c r="K211" s="1261"/>
      <c r="L211" s="1261"/>
      <c r="M211" s="1261"/>
      <c r="N211" s="1261"/>
      <c r="O211" s="1261"/>
      <c r="P211" s="1261"/>
      <c r="Q211" s="1261"/>
      <c r="R211" s="1261"/>
      <c r="S211" s="1261"/>
      <c r="T211" s="1261"/>
      <c r="U211" s="1261"/>
      <c r="V211" s="1261"/>
      <c r="W211" s="1261"/>
      <c r="X211" s="1261"/>
      <c r="Y211" s="1261"/>
      <c r="Z211" s="1261"/>
      <c r="AA211" s="1261"/>
      <c r="AB211" s="1261"/>
      <c r="AC211" s="1261"/>
      <c r="AD211" s="1261"/>
      <c r="AE211" s="1261"/>
      <c r="AF211" s="1261"/>
      <c r="AG211" s="1261"/>
      <c r="AH211" s="1261"/>
      <c r="AI211" s="1261"/>
      <c r="AJ211" s="1261"/>
      <c r="AK211" s="1261"/>
      <c r="AL211" s="1261"/>
      <c r="AM211" s="1261"/>
      <c r="AN211" s="1261"/>
      <c r="AO211" s="1261"/>
      <c r="AP211" s="1261"/>
      <c r="AQ211" s="1261"/>
      <c r="AR211" s="1236"/>
      <c r="AS211" s="1248"/>
      <c r="AT211" s="1248"/>
      <c r="AU211" s="1261"/>
      <c r="AV211" s="1261"/>
      <c r="AW211" s="1261"/>
      <c r="AX211" s="1261"/>
      <c r="AY211" s="1261"/>
      <c r="AZ211" s="1261"/>
      <c r="BA211" s="1261"/>
      <c r="BB211" s="1261"/>
      <c r="BC211" s="1261"/>
      <c r="BD211" s="1261"/>
      <c r="BE211" s="1261"/>
    </row>
    <row r="212" spans="1:57" s="369" customFormat="1" x14ac:dyDescent="0.2">
      <c r="A212" s="411"/>
      <c r="B212" s="334"/>
      <c r="C212" s="334"/>
      <c r="D212" s="1262"/>
      <c r="E212" s="1262"/>
      <c r="F212" s="1262"/>
      <c r="G212" s="1262"/>
      <c r="H212" s="1262"/>
      <c r="I212" s="1262"/>
      <c r="J212" s="1262"/>
      <c r="K212" s="1262"/>
      <c r="L212" s="1262"/>
      <c r="M212" s="1262"/>
      <c r="N212" s="1262"/>
      <c r="O212" s="1262"/>
      <c r="P212" s="1262"/>
      <c r="Q212" s="1262"/>
      <c r="R212" s="1262"/>
      <c r="S212" s="1262"/>
      <c r="T212" s="1262"/>
      <c r="U212" s="1262"/>
      <c r="V212" s="1262"/>
      <c r="W212" s="1262"/>
      <c r="X212" s="1284"/>
      <c r="Y212" s="1284"/>
      <c r="Z212" s="1284"/>
      <c r="AA212" s="1284"/>
      <c r="AB212" s="1284"/>
      <c r="AC212" s="1284"/>
      <c r="AD212" s="1284"/>
      <c r="AE212" s="1284"/>
      <c r="AF212" s="1284"/>
      <c r="AG212" s="1284"/>
      <c r="AH212" s="1284"/>
      <c r="AI212" s="1284"/>
      <c r="AJ212" s="1284"/>
      <c r="AK212" s="1284"/>
      <c r="AL212" s="1284"/>
      <c r="AM212" s="1284"/>
      <c r="AN212" s="1284"/>
      <c r="AO212" s="1284"/>
      <c r="AP212" s="1284"/>
      <c r="AQ212" s="1284"/>
      <c r="AR212" s="1236"/>
      <c r="AS212" s="1410"/>
      <c r="AT212" s="1410"/>
      <c r="AU212" s="1263"/>
      <c r="AV212" s="1263"/>
      <c r="AW212" s="1263"/>
      <c r="AX212" s="1263"/>
      <c r="AY212" s="1263"/>
      <c r="AZ212" s="1263"/>
      <c r="BA212" s="1263"/>
      <c r="BB212" s="1263"/>
      <c r="BC212" s="1263"/>
      <c r="BD212" s="1263"/>
      <c r="BE212" s="1263"/>
    </row>
    <row r="213" spans="1:57" s="369" customFormat="1" x14ac:dyDescent="0.2">
      <c r="A213" s="411"/>
      <c r="B213" s="337" t="s">
        <v>210</v>
      </c>
      <c r="C213" s="366"/>
      <c r="D213" s="1264"/>
      <c r="E213" s="1264"/>
      <c r="F213" s="1264"/>
      <c r="G213" s="1264"/>
      <c r="H213" s="1264"/>
      <c r="I213" s="1264"/>
      <c r="J213" s="1264"/>
      <c r="K213" s="1264"/>
      <c r="L213" s="1264"/>
      <c r="M213" s="1264"/>
      <c r="N213" s="1264"/>
      <c r="O213" s="1264"/>
      <c r="P213" s="1264"/>
      <c r="Q213" s="1264"/>
      <c r="R213" s="1264"/>
      <c r="S213" s="1264"/>
      <c r="T213" s="1264"/>
      <c r="U213" s="1264"/>
      <c r="V213" s="1264"/>
      <c r="W213" s="1264"/>
      <c r="X213" s="1417"/>
      <c r="Y213" s="1417"/>
      <c r="Z213" s="1417"/>
      <c r="AA213" s="1417"/>
      <c r="AB213" s="1417"/>
      <c r="AC213" s="1417"/>
      <c r="AD213" s="1417"/>
      <c r="AE213" s="1417"/>
      <c r="AF213" s="1417"/>
      <c r="AG213" s="1417"/>
      <c r="AH213" s="1417"/>
      <c r="AI213" s="1417"/>
      <c r="AJ213" s="1417"/>
      <c r="AK213" s="1417"/>
      <c r="AL213" s="1417"/>
      <c r="AM213" s="1417"/>
      <c r="AN213" s="1417"/>
      <c r="AO213" s="1417"/>
      <c r="AP213" s="1417"/>
      <c r="AQ213" s="1417"/>
      <c r="AR213" s="1236"/>
      <c r="AS213" s="1418"/>
      <c r="AT213" s="1419"/>
      <c r="AU213" s="1398"/>
      <c r="AV213" s="1398"/>
      <c r="AW213" s="1398"/>
      <c r="AX213" s="1398"/>
      <c r="AY213" s="1398"/>
      <c r="AZ213" s="1398"/>
      <c r="BA213" s="1398"/>
      <c r="BB213" s="1398"/>
      <c r="BC213" s="1398"/>
      <c r="BD213" s="1398"/>
      <c r="BE213" s="1398"/>
    </row>
    <row r="214" spans="1:57" s="160" customFormat="1" x14ac:dyDescent="0.2">
      <c r="A214" s="829"/>
      <c r="B214" s="17" t="s">
        <v>495</v>
      </c>
      <c r="C214" s="19"/>
      <c r="D214" s="1240"/>
      <c r="E214" s="1240"/>
      <c r="F214" s="1240"/>
      <c r="G214" s="1240"/>
      <c r="H214" s="1240">
        <f>IFERROR(Model!H214/Model!D214-1,"NA")</f>
        <v>6.9135802469135754E-2</v>
      </c>
      <c r="I214" s="1240">
        <f>IFERROR(Model!I214/Model!E214-1,"NA")</f>
        <v>0</v>
      </c>
      <c r="J214" s="1240">
        <f>IFERROR(Model!J214/Model!F214-1,"NA")</f>
        <v>4.1162227602905554E-2</v>
      </c>
      <c r="K214" s="1240">
        <f>IFERROR(Model!K214/Model!G214-1,"NA")</f>
        <v>4.2654028436018843E-2</v>
      </c>
      <c r="L214" s="1240">
        <f>IFERROR(Model!L214/Model!H214-1,"NA")</f>
        <v>3.9260969976905313E-2</v>
      </c>
      <c r="M214" s="1240">
        <f>IFERROR(Model!M214/Model!I214-1,"NA")</f>
        <v>0.1119221411192215</v>
      </c>
      <c r="N214" s="1240">
        <f>IFERROR(Model!N214/Model!J214-1,"NA")</f>
        <v>9.9999999999999867E-2</v>
      </c>
      <c r="O214" s="1240">
        <f>IFERROR(Model!O214/Model!K214-1,"NA")</f>
        <v>0.1045454545454545</v>
      </c>
      <c r="P214" s="1240">
        <f>IFERROR(Model!P214/Model!L214-1,"NA")</f>
        <v>6.2222222222222179E-2</v>
      </c>
      <c r="Q214" s="1240">
        <f>IFERROR(Model!Q214/Model!M214-1,"NA")</f>
        <v>7.8774617067833619E-2</v>
      </c>
      <c r="R214" s="1240">
        <f>IFERROR(Model!R214/Model!N214-1,"NA")</f>
        <v>6.3424947145877431E-2</v>
      </c>
      <c r="S214" s="1240">
        <f>IFERROR(Model!S214/Model!O214-1,"NA")</f>
        <v>6.5843621399176877E-2</v>
      </c>
      <c r="T214" s="1240">
        <f>IFERROR(Model!T214/Model!P214-1,"NA")</f>
        <v>0.10669456066945604</v>
      </c>
      <c r="U214" s="1240">
        <f>IFERROR(Model!U214/Model!Q214-1,"NA")</f>
        <v>0.10344827586206895</v>
      </c>
      <c r="V214" s="1240">
        <f>IFERROR(Model!V214/Model!R214-1,"NA")</f>
        <v>9.3439363817097387E-2</v>
      </c>
      <c r="W214" s="1240">
        <f>IFERROR(Model!W214/Model!S214-1,"NA")</f>
        <v>6.1776061776061875E-2</v>
      </c>
      <c r="X214" s="1240">
        <f>IFERROR(Model!X214/Model!T214-1,"NA")</f>
        <v>4.7258979206049156E-2</v>
      </c>
      <c r="Y214" s="1240">
        <f>IFERROR(Model!Y214/Model!U214-1,"NA")</f>
        <v>2.2058823529411908E-2</v>
      </c>
      <c r="Z214" s="1240">
        <f>IFERROR(Model!Z214/Model!V214-1,"NA")</f>
        <v>1.2727272727272698E-2</v>
      </c>
      <c r="AA214" s="1240">
        <f>IFERROR(Model!AA214/Model!W214-1,"NA")</f>
        <v>1.8181818181818077E-2</v>
      </c>
      <c r="AB214" s="1240">
        <f>IFERROR(Model!AB214/Model!X214-1,"NA")</f>
        <v>5.4151624548737232E-3</v>
      </c>
      <c r="AC214" s="1381">
        <f>IFERROR(Model!AC214/Model!Y214-1,"NA")</f>
        <v>1.1816546762589919E-2</v>
      </c>
      <c r="AD214" s="1381">
        <f>IFERROR(Model!AD214/Model!Z214-1,"NA")</f>
        <v>2.0100000000000007E-2</v>
      </c>
      <c r="AE214" s="1381">
        <f>IFERROR(Model!AE214/Model!AA214-1,"NA")</f>
        <v>3.4927882142857358E-2</v>
      </c>
      <c r="AF214" s="1381">
        <f>IFERROR(Model!AF214/Model!AB214-1,"NA")</f>
        <v>5.0907019999999914E-2</v>
      </c>
      <c r="AG214" s="1381">
        <f>IFERROR(Model!AG214/Model!AC214-1,"NA")</f>
        <v>6.1312040000000012E-2</v>
      </c>
      <c r="AH214" s="1381">
        <f>IFERROR(Model!AH214/Model!AD214-1,"NA")</f>
        <v>6.1312040000000012E-2</v>
      </c>
      <c r="AI214" s="1381">
        <f>IFERROR(Model!AI214/Model!AE214-1,"NA")</f>
        <v>6.1312040000000012E-2</v>
      </c>
      <c r="AJ214" s="1381"/>
      <c r="AK214" s="1381"/>
      <c r="AL214" s="1381"/>
      <c r="AM214" s="1381"/>
      <c r="AN214" s="1381"/>
      <c r="AO214" s="1381"/>
      <c r="AP214" s="1381"/>
      <c r="AQ214" s="1381"/>
      <c r="AR214" s="1236"/>
      <c r="AS214" s="1372"/>
      <c r="AT214" s="1345"/>
      <c r="AU214" s="1236"/>
      <c r="AV214" s="1236">
        <f>IFERROR(Model!AV214/Model!AU214-1,"NA")</f>
        <v>3.8158691701998926E-2</v>
      </c>
      <c r="AW214" s="1236">
        <f>IFERROR(Model!AW214/Model!AV214-1,"NA")</f>
        <v>8.8681446907817874E-2</v>
      </c>
      <c r="AX214" s="1236">
        <f>IFERROR(Model!AX214/Model!AW214-1,"NA")</f>
        <v>6.7524115755627001E-2</v>
      </c>
      <c r="AY214" s="1236">
        <f>IFERROR(Model!AY214/Model!AX214-1,"NA")</f>
        <v>9.0863453815261064E-2</v>
      </c>
      <c r="AZ214" s="1236">
        <f>IFERROR(Model!AZ214/Model!AY214-1,"NA")</f>
        <v>2.4850437183616902E-2</v>
      </c>
      <c r="BA214" s="1236">
        <f>IFERROR(Model!BA214/Model!AZ214-1,"NA")</f>
        <v>1.81074602604403E-2</v>
      </c>
      <c r="BB214" s="1381">
        <f>IFERROR(Model!BB214/Model!BA214-1,"NA")</f>
        <v>5.8755902111795821E-2</v>
      </c>
      <c r="BC214" s="1381">
        <f>IFERROR(Model!BC214/Model!BB214-1,"NA")</f>
        <v>6.0000000000000053E-2</v>
      </c>
      <c r="BD214" s="1381">
        <f>IFERROR(Model!BD214/Model!BC214-1,"NA")</f>
        <v>5.0000000000000044E-2</v>
      </c>
      <c r="BE214" s="1381">
        <f>IFERROR(Model!BE214/Model!BD214-1,"NA")</f>
        <v>5.0000000000000044E-2</v>
      </c>
    </row>
    <row r="215" spans="1:57" s="160" customFormat="1" x14ac:dyDescent="0.2">
      <c r="A215" s="829"/>
      <c r="B215" s="17" t="s">
        <v>496</v>
      </c>
      <c r="C215" s="19"/>
      <c r="D215" s="1240"/>
      <c r="E215" s="1240"/>
      <c r="F215" s="1240"/>
      <c r="G215" s="1240"/>
      <c r="H215" s="1240">
        <f>IFERROR(Model!H215/Model!D215-1,"NA")</f>
        <v>9.5419847328244378E-2</v>
      </c>
      <c r="I215" s="1240">
        <f>IFERROR(Model!I215/Model!E215-1,"NA")</f>
        <v>8.8972431077694258E-2</v>
      </c>
      <c r="J215" s="1240">
        <f>IFERROR(Model!J215/Model!F215-1,"NA")</f>
        <v>7.8153846153846018E-2</v>
      </c>
      <c r="K215" s="1240">
        <f>IFERROR(Model!K215/Model!G215-1,"NA")</f>
        <v>5.532421177870317E-2</v>
      </c>
      <c r="L215" s="1240">
        <f>IFERROR(Model!L215/Model!H215-1,"NA")</f>
        <v>4.1231126596980472E-2</v>
      </c>
      <c r="M215" s="1240">
        <f>IFERROR(Model!M215/Model!I215-1,"NA")</f>
        <v>3.5097813578826242E-2</v>
      </c>
      <c r="N215" s="1240">
        <f>IFERROR(Model!N215/Model!J215-1,"NA")</f>
        <v>2.340182648401834E-2</v>
      </c>
      <c r="O215" s="1240">
        <f>IFERROR(Model!O215/Model!K215-1,"NA")</f>
        <v>1.1273957158962844E-2</v>
      </c>
      <c r="P215" s="1240">
        <f>IFERROR(Model!P215/Model!L215-1,"NA")</f>
        <v>6.1349693251533388E-3</v>
      </c>
      <c r="Q215" s="1240">
        <f>IFERROR(Model!Q215/Model!M215-1,"NA")</f>
        <v>0</v>
      </c>
      <c r="R215" s="1240">
        <f>IFERROR(Model!R215/Model!N215-1,"NA")</f>
        <v>1.1712214166201829E-2</v>
      </c>
      <c r="S215" s="1240">
        <f>IFERROR(Model!S215/Model!O215-1,"NA")</f>
        <v>1.0033444816053505E-2</v>
      </c>
      <c r="T215" s="1240">
        <f>IFERROR(Model!T215/Model!P215-1,"NA")</f>
        <v>1.1086474501107446E-3</v>
      </c>
      <c r="U215" s="1240">
        <f>IFERROR(Model!U215/Model!Q215-1,"NA")</f>
        <v>1.222901612006666E-2</v>
      </c>
      <c r="V215" s="1240">
        <f>IFERROR(Model!V215/Model!R215-1,"NA")</f>
        <v>1.3781697905181911E-2</v>
      </c>
      <c r="W215" s="1240">
        <f>IFERROR(Model!W215/Model!S215-1,"NA")</f>
        <v>2.6490066225165698E-2</v>
      </c>
      <c r="X215" s="1240">
        <f>IFERROR(Model!X215/Model!T215-1,"NA")</f>
        <v>2.7131782945736482E-2</v>
      </c>
      <c r="Y215" s="1240">
        <f>IFERROR(Model!Y215/Model!U215-1,"NA")</f>
        <v>1.6474464579901094E-2</v>
      </c>
      <c r="Z215" s="1240">
        <f>IFERROR(Model!Z215/Model!V215-1,"NA")</f>
        <v>1.0875475802065715E-3</v>
      </c>
      <c r="AA215" s="1240">
        <f>IFERROR(Model!AA215/Model!W215-1,"NA")</f>
        <v>-1.7741935483871041E-2</v>
      </c>
      <c r="AB215" s="1240">
        <f>IFERROR(Model!AB215/Model!X215-1,"NA")</f>
        <v>-2.4797843665768204E-2</v>
      </c>
      <c r="AC215" s="1381">
        <f>IFERROR(Model!AC215/Model!Y215-1,"NA")</f>
        <v>-2.269043760129652E-2</v>
      </c>
      <c r="AD215" s="1381">
        <f>IFERROR(Model!AD215/Model!Z215-1,"NA")</f>
        <v>-1.2468766974470413E-2</v>
      </c>
      <c r="AE215" s="1381">
        <f>IFERROR(Model!AE215/Model!AA215-1,"NA")</f>
        <v>7.4014778325137698E-5</v>
      </c>
      <c r="AF215" s="1381">
        <f>IFERROR(Model!AF215/Model!AB215-1,"NA")</f>
        <v>1.5075124999999634E-2</v>
      </c>
      <c r="AG215" s="1381">
        <f>IFERROR(Model!AG215/Model!AC215-1,"NA")</f>
        <v>2.0150500624999568E-2</v>
      </c>
      <c r="AH215" s="1381">
        <f>IFERROR(Model!AH215/Model!AD215-1,"NA")</f>
        <v>2.0150500624999568E-2</v>
      </c>
      <c r="AI215" s="1381">
        <f>IFERROR(Model!AI215/Model!AE215-1,"NA")</f>
        <v>2.0150500624999568E-2</v>
      </c>
      <c r="AJ215" s="1381"/>
      <c r="AK215" s="1381"/>
      <c r="AL215" s="1381"/>
      <c r="AM215" s="1381"/>
      <c r="AN215" s="1381"/>
      <c r="AO215" s="1381"/>
      <c r="AP215" s="1381"/>
      <c r="AQ215" s="1381"/>
      <c r="AR215" s="1236"/>
      <c r="AS215" s="1372"/>
      <c r="AT215" s="1345"/>
      <c r="AU215" s="1236"/>
      <c r="AV215" s="1236">
        <f>IFERROR(Model!AV215/Model!AU215-1,"NA")</f>
        <v>7.9085573061476788E-2</v>
      </c>
      <c r="AW215" s="1236">
        <f>IFERROR(Model!AW215/Model!AV215-1,"NA")</f>
        <v>2.7626681935299047E-2</v>
      </c>
      <c r="AX215" s="1236">
        <f>IFERROR(Model!AX215/Model!AW215-1,"NA")</f>
        <v>6.9647583228864551E-3</v>
      </c>
      <c r="AY215" s="1236">
        <f>IFERROR(Model!AY215/Model!AX215-1,"NA")</f>
        <v>1.341817678793733E-2</v>
      </c>
      <c r="AZ215" s="1236">
        <f>IFERROR(Model!AZ215/Model!AY215-1,"NA")</f>
        <v>6.5520065520066062E-3</v>
      </c>
      <c r="BA215" s="1236">
        <f>IFERROR(Model!BA215/Model!AZ215-1,"NA")</f>
        <v>-1.5028447925142574E-2</v>
      </c>
      <c r="BB215" s="1381">
        <f>IFERROR(Model!BB215/Model!BA215-1,"NA")</f>
        <v>1.8886404978023519E-2</v>
      </c>
      <c r="BC215" s="1381">
        <f>IFERROR(Model!BC215/Model!BB215-1,"NA")</f>
        <v>2.4999999999999911E-2</v>
      </c>
      <c r="BD215" s="1381">
        <f>IFERROR(Model!BD215/Model!BC215-1,"NA")</f>
        <v>3.0000000000000027E-2</v>
      </c>
      <c r="BE215" s="1381">
        <f>IFERROR(Model!BE215/Model!BD215-1,"NA")</f>
        <v>3.0000000000000027E-2</v>
      </c>
    </row>
    <row r="216" spans="1:57" s="160" customFormat="1" x14ac:dyDescent="0.2">
      <c r="A216" s="829"/>
      <c r="B216" s="17"/>
      <c r="C216" s="19"/>
      <c r="D216" s="1240"/>
      <c r="E216" s="1240"/>
      <c r="F216" s="1240"/>
      <c r="G216" s="1240"/>
      <c r="H216" s="1240"/>
      <c r="I216" s="1240"/>
      <c r="J216" s="1240"/>
      <c r="K216" s="1240"/>
      <c r="L216" s="1240"/>
      <c r="M216" s="1240"/>
      <c r="N216" s="1240"/>
      <c r="O216" s="1240"/>
      <c r="P216" s="1240"/>
      <c r="Q216" s="1240"/>
      <c r="R216" s="1240"/>
      <c r="S216" s="1240"/>
      <c r="T216" s="1240"/>
      <c r="U216" s="1240"/>
      <c r="V216" s="1240"/>
      <c r="W216" s="1240"/>
      <c r="X216" s="1240"/>
      <c r="Y216" s="1240"/>
      <c r="Z216" s="1240"/>
      <c r="AA216" s="1240"/>
      <c r="AB216" s="1240"/>
      <c r="AC216" s="1345"/>
      <c r="AD216" s="1345"/>
      <c r="AE216" s="1345"/>
      <c r="AF216" s="1345"/>
      <c r="AG216" s="1345"/>
      <c r="AH216" s="1345"/>
      <c r="AI216" s="1345"/>
      <c r="AJ216" s="1345"/>
      <c r="AK216" s="1345"/>
      <c r="AL216" s="1345"/>
      <c r="AM216" s="1345"/>
      <c r="AN216" s="1345"/>
      <c r="AO216" s="1345"/>
      <c r="AP216" s="1345"/>
      <c r="AQ216" s="1345"/>
      <c r="AR216" s="1236"/>
      <c r="AS216" s="1372"/>
      <c r="AT216" s="1345"/>
      <c r="AU216" s="1396"/>
      <c r="AV216" s="1396"/>
      <c r="AW216" s="1396"/>
      <c r="AX216" s="1396"/>
      <c r="AY216" s="1396"/>
      <c r="AZ216" s="1396"/>
      <c r="BA216" s="1396"/>
      <c r="BB216" s="1345"/>
      <c r="BC216" s="1345"/>
      <c r="BD216" s="1345"/>
      <c r="BE216" s="1345"/>
    </row>
    <row r="217" spans="1:57" s="369" customFormat="1" x14ac:dyDescent="0.2">
      <c r="A217" s="411"/>
      <c r="B217" s="334" t="s">
        <v>499</v>
      </c>
      <c r="C217" s="321"/>
      <c r="D217" s="1240"/>
      <c r="E217" s="1240"/>
      <c r="F217" s="1240"/>
      <c r="G217" s="1240"/>
      <c r="H217" s="1240">
        <f>IFERROR(Model!H217/Model!D217-1,"NA")</f>
        <v>-5.1700680272108834E-2</v>
      </c>
      <c r="I217" s="1240">
        <f>IFERROR(Model!I217/Model!E217-1,"NA")</f>
        <v>-4.6025104602510414E-2</v>
      </c>
      <c r="J217" s="1240">
        <f>IFERROR(Model!J217/Model!F217-1,"NA")</f>
        <v>-4.3356643356643243E-2</v>
      </c>
      <c r="K217" s="1240">
        <f>IFERROR(Model!K217/Model!G217-1,"NA")</f>
        <v>-4.0787623066103951E-2</v>
      </c>
      <c r="L217" s="1240">
        <f>IFERROR(Model!L217/Model!H217-1,"NA")</f>
        <v>-3.1563845050215256E-2</v>
      </c>
      <c r="M217" s="1240">
        <f>IFERROR(Model!M217/Model!I217-1,"NA")</f>
        <v>-2.9239766081871288E-2</v>
      </c>
      <c r="N217" s="1240">
        <f>IFERROR(Model!N217/Model!J217-1,"NA")</f>
        <v>-3.3625730994152225E-2</v>
      </c>
      <c r="O217" s="1240">
        <f>IFERROR(Model!O217/Model!K217-1,"NA")</f>
        <v>-3.665689149560114E-2</v>
      </c>
      <c r="P217" s="1240">
        <f>IFERROR(Model!P217/Model!L217-1,"NA")</f>
        <v>-5.037037037037051E-2</v>
      </c>
      <c r="Q217" s="1240">
        <f>IFERROR(Model!Q217/Model!M217-1,"NA")</f>
        <v>-4.8192771084337394E-2</v>
      </c>
      <c r="R217" s="1240">
        <f>IFERROR(Model!R217/Model!N217-1,"NA")</f>
        <v>-3.3282904689863835E-2</v>
      </c>
      <c r="S217" s="1240">
        <f>IFERROR(Model!S217/Model!O217-1,"NA")</f>
        <v>-1.6742770167427867E-2</v>
      </c>
      <c r="T217" s="1240">
        <f>IFERROR(Model!T217/Model!P217-1,"NA")</f>
        <v>9.3603744149768353E-3</v>
      </c>
      <c r="U217" s="1240">
        <f>IFERROR(Model!U217/Model!Q217-1,"NA")</f>
        <v>5.5379746835443111E-2</v>
      </c>
      <c r="V217" s="1240">
        <f>IFERROR(Model!V217/Model!R217-1,"NA")</f>
        <v>0.23943661971830998</v>
      </c>
      <c r="W217" s="1240">
        <f>IFERROR(Model!W217/Model!S217-1,"NA")</f>
        <v>0.27089783281733748</v>
      </c>
      <c r="X217" s="1240">
        <f>IFERROR(Model!X217/Model!T217-1,"NA")</f>
        <v>0.27666151468315281</v>
      </c>
      <c r="Y217" s="1240">
        <f>IFERROR(Model!Y217/Model!U217-1,"NA")</f>
        <v>0.24887556221889051</v>
      </c>
      <c r="Z217" s="1240">
        <f>IFERROR(Model!Z217/Model!V217-1,"NA")</f>
        <v>7.8282828282828287E-2</v>
      </c>
      <c r="AA217" s="1240">
        <f>IFERROR(Model!AA217/Model!W217-1,"NA")</f>
        <v>5.7247259439707765E-2</v>
      </c>
      <c r="AB217" s="1240">
        <f>IFERROR(Model!AB217/Model!X217-1,"NA")</f>
        <v>5.2058111380145489E-2</v>
      </c>
      <c r="AC217" s="1381">
        <f>IFERROR(Model!AC217/Model!Y217-1,"NA")</f>
        <v>4.3217286914766007E-2</v>
      </c>
      <c r="AD217" s="1381">
        <f>IFERROR(Model!AD217/Model!Z217-1,"NA")</f>
        <v>2.7740046838407473E-2</v>
      </c>
      <c r="AE217" s="1381">
        <f>IFERROR(Model!AE217/Model!AA217-1,"NA")</f>
        <v>3.1386866359447207E-2</v>
      </c>
      <c r="AF217" s="1381">
        <f>IFERROR(Model!AF217/Model!AB217-1,"NA")</f>
        <v>1.9897999999999971E-2</v>
      </c>
      <c r="AG217" s="1381">
        <f>IFERROR(Model!AG217/Model!AC217-1,"NA")</f>
        <v>1.9897999999999971E-2</v>
      </c>
      <c r="AH217" s="1381">
        <f>IFERROR(Model!AH217/Model!AD217-1,"NA")</f>
        <v>2.9996000000000134E-2</v>
      </c>
      <c r="AI217" s="1381">
        <f>IFERROR(Model!AI217/Model!AE217-1,"NA")</f>
        <v>4.0093999999999852E-2</v>
      </c>
      <c r="AJ217" s="1381"/>
      <c r="AK217" s="1381"/>
      <c r="AL217" s="1381"/>
      <c r="AM217" s="1381"/>
      <c r="AN217" s="1381"/>
      <c r="AO217" s="1381"/>
      <c r="AP217" s="1381"/>
      <c r="AQ217" s="1381"/>
      <c r="AR217" s="1236"/>
      <c r="AS217" s="1410"/>
      <c r="AT217" s="1284"/>
      <c r="AU217" s="1236"/>
      <c r="AV217" s="1236">
        <f>IFERROR(Model!AV217/Model!AU217-1,"NA")</f>
        <v>-4.5517720639332571E-2</v>
      </c>
      <c r="AW217" s="1236">
        <f>IFERROR(Model!AW217/Model!AV217-1,"NA")</f>
        <v>-3.2763014197306317E-2</v>
      </c>
      <c r="AX217" s="1236">
        <f>IFERROR(Model!AX217/Model!AW217-1,"NA")</f>
        <v>-3.7260067745577774E-2</v>
      </c>
      <c r="AY217" s="1236">
        <f>IFERROR(Model!AY217/Model!AX217-1,"NA")</f>
        <v>0.14425332290852255</v>
      </c>
      <c r="AZ217" s="1236">
        <f>IFERROR(Model!AZ217/Model!AY217-1,"NA")</f>
        <v>0.15510761872224088</v>
      </c>
      <c r="BA217" s="1236">
        <f>IFERROR(Model!BA217/Model!AZ217-1,"NA")</f>
        <v>3.8430582667849933E-2</v>
      </c>
      <c r="BB217" s="1381">
        <f>IFERROR(Model!BB217/Model!BA217-1,"NA")</f>
        <v>2.7572100094054752E-2</v>
      </c>
      <c r="BC217" s="1381">
        <f>IFERROR(Model!BC217/Model!BB217-1,"NA")</f>
        <v>4.0000000000000036E-2</v>
      </c>
      <c r="BD217" s="1381">
        <f>IFERROR(Model!BD217/Model!BC217-1,"NA")</f>
        <v>4.0000000000000036E-2</v>
      </c>
      <c r="BE217" s="1381">
        <f>IFERROR(Model!BE217/Model!BD217-1,"NA")</f>
        <v>4.0000000000000036E-2</v>
      </c>
    </row>
    <row r="218" spans="1:57" s="369" customFormat="1" x14ac:dyDescent="0.2">
      <c r="A218" s="411"/>
      <c r="B218" s="375" t="s">
        <v>498</v>
      </c>
      <c r="C218" s="376"/>
      <c r="D218" s="1240"/>
      <c r="E218" s="1240"/>
      <c r="F218" s="1240"/>
      <c r="G218" s="1240"/>
      <c r="H218" s="1240">
        <f>IFERROR(Model!H218/Model!D218-1,"NA")</f>
        <v>-2.393617021276595E-2</v>
      </c>
      <c r="I218" s="1240">
        <f>IFERROR(Model!I218/Model!E218-1,"NA")</f>
        <v>-1.9178082191780854E-2</v>
      </c>
      <c r="J218" s="1240">
        <f>IFERROR(Model!J218/Model!F218-1,"NA")</f>
        <v>3.5616438356164348E-2</v>
      </c>
      <c r="K218" s="1240">
        <f>IFERROR(Model!K218/Model!G218-1,"NA")</f>
        <v>0.17837837837837833</v>
      </c>
      <c r="L218" s="1240">
        <f>IFERROR(Model!L218/Model!H218-1,"NA")</f>
        <v>0.18801089918256131</v>
      </c>
      <c r="M218" s="1240">
        <f>IFERROR(Model!M218/Model!I218-1,"NA")</f>
        <v>0.18435754189944142</v>
      </c>
      <c r="N218" s="1240">
        <f>IFERROR(Model!N218/Model!J218-1,"NA")</f>
        <v>0.13492063492063489</v>
      </c>
      <c r="O218" s="1240">
        <f>IFERROR(Model!O218/Model!K218-1,"NA")</f>
        <v>6.8807339449541427E-3</v>
      </c>
      <c r="P218" s="1240">
        <f>IFERROR(Model!P218/Model!L218-1,"NA")</f>
        <v>6.8807339449541427E-3</v>
      </c>
      <c r="Q218" s="1240">
        <f>IFERROR(Model!Q218/Model!M218-1,"NA")</f>
        <v>4.7169811320755262E-3</v>
      </c>
      <c r="R218" s="1240">
        <f>IFERROR(Model!R218/Model!N218-1,"NA")</f>
        <v>4.6620046620047262E-3</v>
      </c>
      <c r="S218" s="1240">
        <f>IFERROR(Model!S218/Model!O218-1,"NA")</f>
        <v>4.5558086560364419E-3</v>
      </c>
      <c r="T218" s="1240">
        <f>IFERROR(Model!T218/Model!P218-1,"NA")</f>
        <v>2.277904328018332E-3</v>
      </c>
      <c r="U218" s="1240">
        <f>IFERROR(Model!U218/Model!Q218-1,"NA")</f>
        <v>2.3474178403755097E-3</v>
      </c>
      <c r="V218" s="1240">
        <f>IFERROR(Model!V218/Model!R218-1,"NA")</f>
        <v>1.1600928074245953E-2</v>
      </c>
      <c r="W218" s="1240">
        <f>IFERROR(Model!W218/Model!S218-1,"NA")</f>
        <v>1.814058956916087E-2</v>
      </c>
      <c r="X218" s="1240">
        <f>IFERROR(Model!X218/Model!T218-1,"NA")</f>
        <v>2.9545454545454541E-2</v>
      </c>
      <c r="Y218" s="1240">
        <f>IFERROR(Model!Y218/Model!U218-1,"NA")</f>
        <v>4.2154566744730504E-2</v>
      </c>
      <c r="Z218" s="1240">
        <f>IFERROR(Model!Z218/Model!V218-1,"NA")</f>
        <v>4.587155963302747E-2</v>
      </c>
      <c r="AA218" s="1240">
        <f>IFERROR(Model!AA218/Model!W218-1,"NA")</f>
        <v>4.4543429844098092E-2</v>
      </c>
      <c r="AB218" s="1240">
        <f>IFERROR(Model!AB218/Model!X218-1,"NA")</f>
        <v>3.9735099337748547E-2</v>
      </c>
      <c r="AC218" s="1381">
        <f>IFERROR(Model!AC218/Model!Y218-1,"NA")</f>
        <v>6.3719101123595356E-2</v>
      </c>
      <c r="AD218" s="1381">
        <f>IFERROR(Model!AD218/Model!Z218-1,"NA")</f>
        <v>5.3630098684210425E-2</v>
      </c>
      <c r="AE218" s="1381">
        <f>IFERROR(Model!AE218/Model!AA218-1,"NA")</f>
        <v>4.4913499999999829E-2</v>
      </c>
      <c r="AF218" s="1381">
        <f>IFERROR(Model!AF218/Model!AB218-1,"NA")</f>
        <v>3.5274117499999758E-2</v>
      </c>
      <c r="AG218" s="1381">
        <f>IFERROR(Model!AG218/Model!AC218-1,"NA")</f>
        <v>3.6304240999999848E-2</v>
      </c>
      <c r="AH218" s="1381">
        <f>IFERROR(Model!AH218/Model!AD218-1,"NA")</f>
        <v>3.6304240999999848E-2</v>
      </c>
      <c r="AI218" s="1381">
        <f>IFERROR(Model!AI218/Model!AE218-1,"NA")</f>
        <v>4.1384163749999869E-2</v>
      </c>
      <c r="AJ218" s="1381"/>
      <c r="AK218" s="1381"/>
      <c r="AL218" s="1381"/>
      <c r="AM218" s="1381"/>
      <c r="AN218" s="1381"/>
      <c r="AO218" s="1381"/>
      <c r="AP218" s="1381"/>
      <c r="AQ218" s="1381"/>
      <c r="AR218" s="1236"/>
      <c r="AS218" s="1402"/>
      <c r="AT218" s="1270"/>
      <c r="AU218" s="1236"/>
      <c r="AV218" s="1236">
        <f>IFERROR(Model!AV218/Model!AU218-1,"NA")</f>
        <v>4.2682926829268331E-2</v>
      </c>
      <c r="AW218" s="1236">
        <f>IFERROR(Model!AW218/Model!AV218-1,"NA")</f>
        <v>0.12280701754385959</v>
      </c>
      <c r="AX218" s="1236">
        <f>IFERROR(Model!AX218/Model!AW218-1,"NA")</f>
        <v>5.2083333333332593E-3</v>
      </c>
      <c r="AY218" s="1236">
        <f>IFERROR(Model!AY218/Model!AX218-1,"NA")</f>
        <v>8.635578583765291E-3</v>
      </c>
      <c r="AZ218" s="1236">
        <f>IFERROR(Model!AZ218/Model!AY218-1,"NA")</f>
        <v>4.0525114155251174E-2</v>
      </c>
      <c r="BA218" s="1236">
        <f>IFERROR(Model!BA218/Model!AZ218-1,"NA")</f>
        <v>5.0397562534283846E-2</v>
      </c>
      <c r="BB218" s="1381">
        <f>IFERROR(Model!BB218/Model!BA218-1,"NA")</f>
        <v>3.7350941980959229E-2</v>
      </c>
      <c r="BC218" s="1381">
        <f>IFERROR(Model!BC218/Model!BB218-1,"NA")</f>
        <v>4.0000000000000036E-2</v>
      </c>
      <c r="BD218" s="1381">
        <f>IFERROR(Model!BD218/Model!BC218-1,"NA")</f>
        <v>4.0000000000000036E-2</v>
      </c>
      <c r="BE218" s="1381">
        <f>IFERROR(Model!BE218/Model!BD218-1,"NA")</f>
        <v>4.0000000000000036E-2</v>
      </c>
    </row>
    <row r="219" spans="1:57" s="369" customFormat="1" x14ac:dyDescent="0.2">
      <c r="A219" s="411"/>
      <c r="B219" s="334" t="s">
        <v>485</v>
      </c>
      <c r="C219" s="321"/>
      <c r="D219" s="1266"/>
      <c r="E219" s="1266"/>
      <c r="F219" s="1266"/>
      <c r="G219" s="1266"/>
      <c r="H219" s="1266">
        <f>IFERROR(Model!H219/Model!D219-1,"NA")</f>
        <v>-4.2304230423042211E-2</v>
      </c>
      <c r="I219" s="1266">
        <f>IFERROR(Model!I219/Model!E219-1,"NA")</f>
        <v>-3.6968576709796697E-2</v>
      </c>
      <c r="J219" s="1266">
        <f>IFERROR(Model!J219/Model!F219-1,"NA")</f>
        <v>-1.6666666666666607E-2</v>
      </c>
      <c r="K219" s="1266">
        <f>IFERROR(Model!K219/Model!G219-1,"NA")</f>
        <v>3.4227567067530273E-2</v>
      </c>
      <c r="L219" s="1266">
        <f>IFERROR(Model!L219/Model!H219-1,"NA")</f>
        <v>4.4172932330826864E-2</v>
      </c>
      <c r="M219" s="1266">
        <f>IFERROR(Model!M219/Model!I219-1,"NA")</f>
        <v>4.4145873320537543E-2</v>
      </c>
      <c r="N219" s="1266">
        <f>IFERROR(Model!N219/Model!J219-1,"NA")</f>
        <v>2.6365348399246757E-2</v>
      </c>
      <c r="O219" s="1266">
        <f>IFERROR(Model!O219/Model!K219-1,"NA")</f>
        <v>-1.9677996422182598E-2</v>
      </c>
      <c r="P219" s="1266">
        <f>IFERROR(Model!P219/Model!L219-1,"NA")</f>
        <v>-2.7902790279027867E-2</v>
      </c>
      <c r="Q219" s="1266">
        <f>IFERROR(Model!Q219/Model!M219-1,"NA")</f>
        <v>-2.7573529411764719E-2</v>
      </c>
      <c r="R219" s="1266">
        <f>IFERROR(Model!R219/Model!N219-1,"NA")</f>
        <v>-1.834862385321101E-2</v>
      </c>
      <c r="S219" s="1266">
        <f>IFERROR(Model!S219/Model!O219-1,"NA")</f>
        <v>-8.2116788321168199E-3</v>
      </c>
      <c r="T219" s="1266">
        <f>IFERROR(Model!T219/Model!P219-1,"NA")</f>
        <v>6.4814814814815325E-3</v>
      </c>
      <c r="U219" s="1266">
        <f>IFERROR(Model!U219/Model!Q219-1,"NA")</f>
        <v>3.4026465028355268E-2</v>
      </c>
      <c r="V219" s="1266">
        <f>IFERROR(Model!V219/Model!R219-1,"NA")</f>
        <v>0.14766355140186938</v>
      </c>
      <c r="W219" s="1266">
        <f>IFERROR(Model!W219/Model!S219-1,"NA")</f>
        <v>0.16835326586936539</v>
      </c>
      <c r="X219" s="1266">
        <f>IFERROR(Model!X219/Model!T219-1,"NA")</f>
        <v>0.17663293468261254</v>
      </c>
      <c r="Y219" s="1266">
        <f>IFERROR(Model!Y219/Model!U219-1,"NA")</f>
        <v>0.16819012797074939</v>
      </c>
      <c r="Z219" s="1266">
        <f>IFERROR(Model!Z219/Model!V219-1,"NA")</f>
        <v>6.6775244299674075E-2</v>
      </c>
      <c r="AA219" s="1266">
        <f>IFERROR(Model!AA219/Model!W219-1,"NA")</f>
        <v>5.2755905511810974E-2</v>
      </c>
      <c r="AB219" s="1266">
        <f>IFERROR(Model!AB219/Model!X219-1,"NA")</f>
        <v>4.7693510555121277E-2</v>
      </c>
      <c r="AC219" s="1266">
        <f>IFERROR(Model!AC219/Model!Y219-1,"NA")</f>
        <v>5.0356025039123731E-2</v>
      </c>
      <c r="AD219" s="1266">
        <f>IFERROR(Model!AD219/Model!Z219-1,"NA")</f>
        <v>3.675215648854957E-2</v>
      </c>
      <c r="AE219" s="1266">
        <f>IFERROR(Model!AE219/Model!AA219-1,"NA")</f>
        <v>3.6131811144353154E-2</v>
      </c>
      <c r="AF219" s="1266">
        <f>IFERROR(Model!AF219/Model!AB219-1,"NA")</f>
        <v>2.5302590554104443E-2</v>
      </c>
      <c r="AG219" s="1266">
        <f>IFERROR(Model!AG219/Model!AC219-1,"NA")</f>
        <v>2.5683337119134064E-2</v>
      </c>
      <c r="AH219" s="1266">
        <f>IFERROR(Model!AH219/Model!AD219-1,"NA")</f>
        <v>3.2227593279484656E-2</v>
      </c>
      <c r="AI219" s="1266">
        <f>IFERROR(Model!AI219/Model!AE219-1,"NA")</f>
        <v>4.0550406271405048E-2</v>
      </c>
      <c r="AJ219" s="1258"/>
      <c r="AK219" s="1258"/>
      <c r="AL219" s="1258"/>
      <c r="AM219" s="1258"/>
      <c r="AN219" s="1258"/>
      <c r="AO219" s="1258"/>
      <c r="AP219" s="1258"/>
      <c r="AQ219" s="1258"/>
      <c r="AR219" s="1236"/>
      <c r="AS219" s="1410"/>
      <c r="AT219" s="1284"/>
      <c r="AU219" s="1266"/>
      <c r="AV219" s="1266">
        <f>IFERROR(Model!AV219/Model!AU219-1,"NA")</f>
        <v>-1.5617822691777583E-2</v>
      </c>
      <c r="AW219" s="1266">
        <f>IFERROR(Model!AW219/Model!AV219-1,"NA")</f>
        <v>2.3098460102659812E-2</v>
      </c>
      <c r="AX219" s="1266">
        <f>IFERROR(Model!AX219/Model!AW219-1,"NA")</f>
        <v>-2.0524515393386511E-2</v>
      </c>
      <c r="AY219" s="1266">
        <f>IFERROR(Model!AY219/Model!AX219-1,"NA")</f>
        <v>8.9406286379511313E-2</v>
      </c>
      <c r="AZ219" s="1266">
        <f>IFERROR(Model!AZ219/Model!AY219-1,"NA")</f>
        <v>0.11220346227826439</v>
      </c>
      <c r="BA219" s="1266">
        <f>IFERROR(Model!BA219/Model!AZ219-1,"NA")</f>
        <v>4.2622704938508837E-2</v>
      </c>
      <c r="BB219" s="1266">
        <f>IFERROR(Model!BB219/Model!BA219-1,"NA")</f>
        <v>3.1023246090462031E-2</v>
      </c>
      <c r="BC219" s="1266">
        <f>IFERROR(Model!BC219/Model!BB219-1,"NA")</f>
        <v>4.0000000000000258E-2</v>
      </c>
      <c r="BD219" s="1266">
        <f>IFERROR(Model!BD219/Model!BC219-1,"NA")</f>
        <v>4.0000000000000036E-2</v>
      </c>
      <c r="BE219" s="1266">
        <f>IFERROR(Model!BE219/Model!BD219-1,"NA")</f>
        <v>4.0000000000000036E-2</v>
      </c>
    </row>
    <row r="220" spans="1:57" s="369" customFormat="1" x14ac:dyDescent="0.2">
      <c r="A220" s="411"/>
      <c r="B220" s="334"/>
      <c r="C220" s="334"/>
      <c r="D220" s="1258"/>
      <c r="E220" s="1258"/>
      <c r="F220" s="1258"/>
      <c r="G220" s="1258"/>
      <c r="H220" s="1258"/>
      <c r="I220" s="1258"/>
      <c r="J220" s="1258"/>
      <c r="K220" s="1258"/>
      <c r="L220" s="1258"/>
      <c r="M220" s="1258"/>
      <c r="N220" s="1258"/>
      <c r="O220" s="1258"/>
      <c r="P220" s="1258"/>
      <c r="Q220" s="1258"/>
      <c r="R220" s="1258"/>
      <c r="S220" s="1258"/>
      <c r="T220" s="1258"/>
      <c r="U220" s="1258"/>
      <c r="V220" s="1258"/>
      <c r="W220" s="1258"/>
      <c r="X220" s="1258"/>
      <c r="Y220" s="1258"/>
      <c r="Z220" s="1258"/>
      <c r="AA220" s="1258"/>
      <c r="AB220" s="1258"/>
      <c r="AC220" s="1284"/>
      <c r="AD220" s="1284"/>
      <c r="AE220" s="1284"/>
      <c r="AF220" s="1284"/>
      <c r="AG220" s="1284"/>
      <c r="AH220" s="1284"/>
      <c r="AI220" s="1284"/>
      <c r="AJ220" s="1284"/>
      <c r="AK220" s="1284"/>
      <c r="AL220" s="1284"/>
      <c r="AM220" s="1284"/>
      <c r="AN220" s="1284"/>
      <c r="AO220" s="1284"/>
      <c r="AP220" s="1284"/>
      <c r="AQ220" s="1284"/>
      <c r="AR220" s="1236"/>
      <c r="AS220" s="1410"/>
      <c r="AT220" s="1410"/>
      <c r="AU220" s="1263"/>
      <c r="AV220" s="1263"/>
      <c r="AW220" s="1263"/>
      <c r="AX220" s="1263"/>
      <c r="AY220" s="1263"/>
      <c r="AZ220" s="1263"/>
      <c r="BA220" s="1263"/>
      <c r="BB220" s="1284"/>
      <c r="BC220" s="1284"/>
      <c r="BD220" s="1284"/>
      <c r="BE220" s="1284"/>
    </row>
    <row r="221" spans="1:57" s="369" customFormat="1" x14ac:dyDescent="0.2">
      <c r="A221" s="411"/>
      <c r="B221" s="334" t="s">
        <v>497</v>
      </c>
      <c r="C221" s="321"/>
      <c r="D221" s="1258"/>
      <c r="E221" s="1258"/>
      <c r="F221" s="1258"/>
      <c r="G221" s="1258"/>
      <c r="H221" s="1258">
        <f>IFERROR(Model!H221/Model!D221-1,"NA")</f>
        <v>-1.2532981530343101E-2</v>
      </c>
      <c r="I221" s="1258">
        <f>IFERROR(Model!I221/Model!E221-1,"NA")</f>
        <v>-2.679169457468189E-2</v>
      </c>
      <c r="J221" s="1258">
        <f>IFERROR(Model!J221/Model!F221-1,"NA")</f>
        <v>-6.6979236436714995E-4</v>
      </c>
      <c r="K221" s="1258">
        <f>IFERROR(Model!K221/Model!G221-1,"NA")</f>
        <v>3.6593479707252241E-2</v>
      </c>
      <c r="L221" s="1258">
        <f>IFERROR(Model!L221/Model!H221-1,"NA")</f>
        <v>4.2752171008684003E-2</v>
      </c>
      <c r="M221" s="1258">
        <f>IFERROR(Model!M221/Model!I221-1,"NA")</f>
        <v>6.3317274604266949E-2</v>
      </c>
      <c r="N221" s="1258">
        <f>IFERROR(Model!N221/Model!J221-1,"NA")</f>
        <v>4.7587131367292423E-2</v>
      </c>
      <c r="O221" s="1258">
        <f>IFERROR(Model!O221/Model!K221-1,"NA")</f>
        <v>1.5404364569961304E-2</v>
      </c>
      <c r="P221" s="1258">
        <f>IFERROR(Model!P221/Model!L221-1,"NA")</f>
        <v>-1.9218449711722041E-3</v>
      </c>
      <c r="Q221" s="1258">
        <f>IFERROR(Model!Q221/Model!M221-1,"NA")</f>
        <v>3.8834951456312439E-3</v>
      </c>
      <c r="R221" s="1258">
        <f>IFERROR(Model!R221/Model!N221-1,"NA")</f>
        <v>6.3979526551503074E-3</v>
      </c>
      <c r="S221" s="1258">
        <f>IFERROR(Model!S221/Model!O221-1,"NA")</f>
        <v>1.4538558786346467E-2</v>
      </c>
      <c r="T221" s="1258">
        <f>IFERROR(Model!T221/Model!P221-1,"NA")</f>
        <v>3.7227214377406836E-2</v>
      </c>
      <c r="U221" s="1258">
        <f>IFERROR(Model!U221/Model!Q221-1,"NA")</f>
        <v>5.6092843326885689E-2</v>
      </c>
      <c r="V221" s="1258">
        <f>IFERROR(Model!V221/Model!R221-1,"NA")</f>
        <v>0.13032422123331222</v>
      </c>
      <c r="W221" s="1258">
        <f>IFERROR(Model!W221/Model!S221-1,"NA")</f>
        <v>0.13395638629283479</v>
      </c>
      <c r="X221" s="1258">
        <f>IFERROR(Model!X221/Model!T221-1,"NA")</f>
        <v>0.13428217821782162</v>
      </c>
      <c r="Y221" s="1258">
        <f>IFERROR(Model!Y221/Model!U221-1,"NA")</f>
        <v>0.11965811965811968</v>
      </c>
      <c r="Z221" s="1258">
        <f>IFERROR(Model!Z221/Model!V221-1,"NA")</f>
        <v>5.0056242969628739E-2</v>
      </c>
      <c r="AA221" s="1258">
        <f>IFERROR(Model!AA221/Model!W221-1,"NA")</f>
        <v>4.2307692307692157E-2</v>
      </c>
      <c r="AB221" s="1258">
        <f>IFERROR(Model!AB221/Model!X221-1,"NA")</f>
        <v>3.4915439170758455E-2</v>
      </c>
      <c r="AC221" s="1258">
        <f>IFERROR(Model!AC221/Model!Y221-1,"NA")</f>
        <v>3.8672300981461349E-2</v>
      </c>
      <c r="AD221" s="1258">
        <f>IFERROR(Model!AD221/Model!Z221-1,"NA")</f>
        <v>3.1784159078735996E-2</v>
      </c>
      <c r="AE221" s="1258">
        <f>IFERROR(Model!AE221/Model!AA221-1,"NA")</f>
        <v>3.5776407749077643E-2</v>
      </c>
      <c r="AF221" s="1258">
        <f>IFERROR(Model!AF221/Model!AB221-1,"NA")</f>
        <v>3.282060173036383E-2</v>
      </c>
      <c r="AG221" s="1258">
        <f>IFERROR(Model!AG221/Model!AC221-1,"NA")</f>
        <v>3.6205346846387654E-2</v>
      </c>
      <c r="AH221" s="1258">
        <f>IFERROR(Model!AH221/Model!AD221-1,"NA")</f>
        <v>4.0806374164596093E-2</v>
      </c>
      <c r="AI221" s="1258">
        <f>IFERROR(Model!AI221/Model!AE221-1,"NA")</f>
        <v>4.6674280941811697E-2</v>
      </c>
      <c r="AJ221" s="1258"/>
      <c r="AK221" s="1258"/>
      <c r="AL221" s="1258"/>
      <c r="AM221" s="1258"/>
      <c r="AN221" s="1258"/>
      <c r="AO221" s="1258"/>
      <c r="AP221" s="1258"/>
      <c r="AQ221" s="1258"/>
      <c r="AR221" s="1236"/>
      <c r="AS221" s="1410"/>
      <c r="AT221" s="1284"/>
      <c r="AU221" s="1258"/>
      <c r="AV221" s="1258">
        <f>IFERROR(Model!AV221/Model!AU221-1,"NA")</f>
        <v>-8.3263946711076287E-4</v>
      </c>
      <c r="AW221" s="1258">
        <f>IFERROR(Model!AW221/Model!AV221-1,"NA")</f>
        <v>4.1833333333333389E-2</v>
      </c>
      <c r="AX221" s="1258">
        <f>IFERROR(Model!AX221/Model!AW221-1,"NA")</f>
        <v>5.7590785474324058E-3</v>
      </c>
      <c r="AY221" s="1258">
        <f>IFERROR(Model!AY221/Model!AX221-1,"NA")</f>
        <v>8.9867981549228482E-2</v>
      </c>
      <c r="AZ221" s="1258">
        <f>IFERROR(Model!AZ221/Model!AY221-1,"NA")</f>
        <v>8.4500875656742247E-2</v>
      </c>
      <c r="BA221" s="1258">
        <f>IFERROR(Model!BA221/Model!AZ221-1,"NA")</f>
        <v>3.5275719351366197E-2</v>
      </c>
      <c r="BB221" s="1258">
        <f>IFERROR(Model!BB221/Model!BA221-1,"NA")</f>
        <v>3.9196632135743315E-2</v>
      </c>
      <c r="BC221" s="1258">
        <f>IFERROR(Model!BC221/Model!BB221-1,"NA")</f>
        <v>4.6005354600524573E-2</v>
      </c>
      <c r="BD221" s="1258">
        <f>IFERROR(Model!BD221/Model!BC221-1,"NA")</f>
        <v>4.304285052106005E-2</v>
      </c>
      <c r="BE221" s="1258">
        <f>IFERROR(Model!BE221/Model!BD221-1,"NA")</f>
        <v>4.3063146490594395E-2</v>
      </c>
    </row>
    <row r="222" spans="1:57" s="369" customFormat="1" x14ac:dyDescent="0.2">
      <c r="A222" s="411"/>
      <c r="B222" s="334"/>
      <c r="C222" s="321"/>
      <c r="D222" s="1258"/>
      <c r="E222" s="1258"/>
      <c r="F222" s="1258"/>
      <c r="G222" s="1258"/>
      <c r="H222" s="1258"/>
      <c r="I222" s="1258"/>
      <c r="J222" s="1258"/>
      <c r="K222" s="1258"/>
      <c r="L222" s="1258"/>
      <c r="M222" s="1258"/>
      <c r="N222" s="1258"/>
      <c r="O222" s="1258"/>
      <c r="P222" s="1258"/>
      <c r="Q222" s="1258"/>
      <c r="R222" s="1258"/>
      <c r="S222" s="1258"/>
      <c r="T222" s="1258"/>
      <c r="U222" s="1258"/>
      <c r="V222" s="1258"/>
      <c r="W222" s="1258"/>
      <c r="X222" s="1284"/>
      <c r="Y222" s="1284"/>
      <c r="Z222" s="1284"/>
      <c r="AA222" s="1284"/>
      <c r="AB222" s="1284"/>
      <c r="AC222" s="1284"/>
      <c r="AD222" s="1284"/>
      <c r="AE222" s="1284"/>
      <c r="AF222" s="1284"/>
      <c r="AG222" s="1284"/>
      <c r="AH222" s="1284"/>
      <c r="AI222" s="1284"/>
      <c r="AJ222" s="1284"/>
      <c r="AK222" s="1284"/>
      <c r="AL222" s="1284"/>
      <c r="AM222" s="1284"/>
      <c r="AN222" s="1284"/>
      <c r="AO222" s="1284"/>
      <c r="AP222" s="1284"/>
      <c r="AQ222" s="1284"/>
      <c r="AR222" s="1236"/>
      <c r="AS222" s="1410"/>
      <c r="AT222" s="1284"/>
      <c r="AU222" s="1263"/>
      <c r="AV222" s="1263"/>
      <c r="AW222" s="1263"/>
      <c r="AX222" s="1263"/>
      <c r="AY222" s="1263"/>
      <c r="AZ222" s="1263"/>
      <c r="BA222" s="1263"/>
      <c r="BB222" s="1263"/>
      <c r="BC222" s="1263"/>
      <c r="BD222" s="1263"/>
      <c r="BE222" s="1263"/>
    </row>
    <row r="223" spans="1:57" s="369" customFormat="1" x14ac:dyDescent="0.2">
      <c r="A223" s="411"/>
      <c r="B223" s="337" t="s">
        <v>212</v>
      </c>
      <c r="C223" s="366"/>
      <c r="D223" s="1264"/>
      <c r="E223" s="1264"/>
      <c r="F223" s="1264"/>
      <c r="G223" s="1264"/>
      <c r="H223" s="1264"/>
      <c r="I223" s="1264"/>
      <c r="J223" s="1264"/>
      <c r="K223" s="1264"/>
      <c r="L223" s="1264"/>
      <c r="M223" s="1264"/>
      <c r="N223" s="1264"/>
      <c r="O223" s="1264"/>
      <c r="P223" s="1264"/>
      <c r="Q223" s="1264"/>
      <c r="R223" s="1264"/>
      <c r="S223" s="1264"/>
      <c r="T223" s="1264"/>
      <c r="U223" s="1264"/>
      <c r="V223" s="1264"/>
      <c r="W223" s="1264"/>
      <c r="X223" s="1417"/>
      <c r="Y223" s="1417"/>
      <c r="Z223" s="1417"/>
      <c r="AA223" s="1417"/>
      <c r="AB223" s="1417"/>
      <c r="AC223" s="1417"/>
      <c r="AD223" s="1417"/>
      <c r="AE223" s="1417"/>
      <c r="AF223" s="1417"/>
      <c r="AG223" s="1417"/>
      <c r="AH223" s="1417"/>
      <c r="AI223" s="1417"/>
      <c r="AJ223" s="1417"/>
      <c r="AK223" s="1417"/>
      <c r="AL223" s="1417"/>
      <c r="AM223" s="1417"/>
      <c r="AN223" s="1417"/>
      <c r="AO223" s="1417"/>
      <c r="AP223" s="1417"/>
      <c r="AQ223" s="1417"/>
      <c r="AR223" s="1236"/>
      <c r="AS223" s="1418"/>
      <c r="AT223" s="1419"/>
      <c r="AU223" s="1398"/>
      <c r="AV223" s="1398"/>
      <c r="AW223" s="1398"/>
      <c r="AX223" s="1398"/>
      <c r="AY223" s="1398"/>
      <c r="AZ223" s="1398"/>
      <c r="BA223" s="1398"/>
      <c r="BB223" s="1398"/>
      <c r="BC223" s="1398"/>
      <c r="BD223" s="1398"/>
      <c r="BE223" s="1398"/>
    </row>
    <row r="224" spans="1:57" s="369" customFormat="1" x14ac:dyDescent="0.2">
      <c r="A224" s="411"/>
      <c r="B224" s="16" t="s">
        <v>502</v>
      </c>
      <c r="C224" s="334"/>
      <c r="D224" s="1262"/>
      <c r="E224" s="1262"/>
      <c r="F224" s="1262"/>
      <c r="G224" s="1262"/>
      <c r="H224" s="1262"/>
      <c r="I224" s="1262"/>
      <c r="J224" s="1262"/>
      <c r="K224" s="1262"/>
      <c r="L224" s="1262"/>
      <c r="M224" s="1262"/>
      <c r="N224" s="1262"/>
      <c r="O224" s="1262"/>
      <c r="P224" s="1262"/>
      <c r="Q224" s="1262"/>
      <c r="R224" s="1262"/>
      <c r="S224" s="1262"/>
      <c r="T224" s="1262"/>
      <c r="U224" s="1262"/>
      <c r="V224" s="1262"/>
      <c r="W224" s="1262"/>
      <c r="X224" s="1247"/>
      <c r="Y224" s="1247"/>
      <c r="Z224" s="1247"/>
      <c r="AA224" s="1247"/>
      <c r="AB224" s="1247"/>
      <c r="AC224" s="1247"/>
      <c r="AD224" s="1247"/>
      <c r="AE224" s="1247"/>
      <c r="AF224" s="1247"/>
      <c r="AG224" s="1247"/>
      <c r="AH224" s="1247"/>
      <c r="AI224" s="1247"/>
      <c r="AJ224" s="1247"/>
      <c r="AK224" s="1247"/>
      <c r="AL224" s="1247"/>
      <c r="AM224" s="1247"/>
      <c r="AN224" s="1247"/>
      <c r="AO224" s="1247"/>
      <c r="AP224" s="1247"/>
      <c r="AQ224" s="1247"/>
      <c r="AR224" s="1236"/>
      <c r="AS224" s="1371"/>
      <c r="AT224" s="1410"/>
      <c r="AU224" s="1263"/>
      <c r="AV224" s="1263"/>
      <c r="AW224" s="1263"/>
      <c r="AX224" s="1263"/>
      <c r="AY224" s="1263"/>
      <c r="AZ224" s="1263"/>
      <c r="BA224" s="1263"/>
      <c r="BB224" s="1263"/>
      <c r="BC224" s="1263"/>
      <c r="BD224" s="1263"/>
      <c r="BE224" s="1263"/>
    </row>
    <row r="225" spans="1:57" s="369" customFormat="1" x14ac:dyDescent="0.2">
      <c r="A225" s="411"/>
      <c r="B225" s="321" t="s">
        <v>1289</v>
      </c>
      <c r="C225" s="321"/>
      <c r="D225" s="1421"/>
      <c r="E225" s="1421"/>
      <c r="F225" s="1421"/>
      <c r="G225" s="1421"/>
      <c r="H225" s="1421">
        <f>IFERROR(Model!H225/Model!D225-1,"NA")</f>
        <v>3.9877300613496924E-2</v>
      </c>
      <c r="I225" s="1421">
        <f>IFERROR(Model!I225/Model!E225-1,"NA")</f>
        <v>-1.2269938650306678E-2</v>
      </c>
      <c r="J225" s="1421">
        <f>IFERROR(Model!J225/Model!F225-1,"NA")</f>
        <v>1.8181818181818299E-2</v>
      </c>
      <c r="K225" s="1421">
        <f>IFERROR(Model!K225/Model!G225-1,"NA")</f>
        <v>1.780415430267035E-2</v>
      </c>
      <c r="L225" s="1421">
        <f>IFERROR(Model!L225/Model!H225-1,"NA")</f>
        <v>3.539823008849563E-2</v>
      </c>
      <c r="M225" s="1421">
        <f>IFERROR(Model!M225/Model!I225-1,"NA")</f>
        <v>0.13043478260869557</v>
      </c>
      <c r="N225" s="1421">
        <f>IFERROR(Model!N225/Model!J225-1,"NA")</f>
        <v>0.11904761904761907</v>
      </c>
      <c r="O225" s="1421">
        <f>IFERROR(Model!O225/Model!K225-1,"NA")</f>
        <v>6.9970845481049704E-2</v>
      </c>
      <c r="P225" s="1421">
        <f>IFERROR(Model!P225/Model!L225-1,"NA")</f>
        <v>7.6923076923076872E-2</v>
      </c>
      <c r="Q225" s="1421">
        <f>IFERROR(Model!Q225/Model!M225-1,"NA")</f>
        <v>6.8681318681318659E-2</v>
      </c>
      <c r="R225" s="1421">
        <f>IFERROR(Model!R225/Model!N225-1,"NA")</f>
        <v>7.9787234042553168E-2</v>
      </c>
      <c r="S225" s="1421">
        <f>IFERROR(Model!S225/Model!O225-1,"NA")</f>
        <v>0.1416893732970026</v>
      </c>
      <c r="T225" s="1421">
        <f>IFERROR(Model!T225/Model!P225-1,"NA")</f>
        <v>0.13492063492063489</v>
      </c>
      <c r="U225" s="1421">
        <f>IFERROR(Model!U225/Model!Q225-1,"NA")</f>
        <v>0.12853470437017989</v>
      </c>
      <c r="V225" s="1421">
        <f>IFERROR(Model!V225/Model!R225-1,"NA")</f>
        <v>8.3743842364532028E-2</v>
      </c>
      <c r="W225" s="1421">
        <f>IFERROR(Model!W225/Model!S225-1,"NA")</f>
        <v>5.4892601431981047E-2</v>
      </c>
      <c r="X225" s="1421">
        <f>IFERROR(Model!X225/Model!T225-1,"NA")</f>
        <v>3.2634032634032639E-2</v>
      </c>
      <c r="Y225" s="1421">
        <f>IFERROR(Model!Y225/Model!U225-1,"NA")</f>
        <v>9.1116173120728838E-3</v>
      </c>
      <c r="Z225" s="1421">
        <f>IFERROR(Model!Z225/Model!V225-1,"NA")</f>
        <v>4.5454545454546302E-3</v>
      </c>
      <c r="AA225" s="1421">
        <f>IFERROR(Model!AA225/Model!W225-1,"NA")</f>
        <v>2.2624434389137971E-3</v>
      </c>
      <c r="AB225" s="1421">
        <f>IFERROR(Model!AB225/Model!X225-1,"NA")</f>
        <v>-2.2573363431149795E-3</v>
      </c>
      <c r="AC225" s="1247">
        <f>IFERROR(Model!AC225/Model!Y225-1,"NA")</f>
        <v>7.7200902934539961E-3</v>
      </c>
      <c r="AD225" s="1247">
        <f>IFERROR(Model!AD225/Model!Z225-1,"NA")</f>
        <v>2.0100000000000229E-2</v>
      </c>
      <c r="AE225" s="1247">
        <f>IFERROR(Model!AE225/Model!AA225-1,"NA")</f>
        <v>3.8153237020316366E-2</v>
      </c>
      <c r="AF225" s="1247">
        <f>IFERROR(Model!AF225/Model!AB225-1,"NA")</f>
        <v>5.0907020000000136E-2</v>
      </c>
      <c r="AG225" s="1247">
        <f>IFERROR(Model!AG225/Model!AC225-1,"NA")</f>
        <v>6.1312040000000012E-2</v>
      </c>
      <c r="AH225" s="1247">
        <f>IFERROR(Model!AH225/Model!AD225-1,"NA")</f>
        <v>6.1312040000000012E-2</v>
      </c>
      <c r="AI225" s="1247">
        <f>IFERROR(Model!AI225/Model!AE225-1,"NA")</f>
        <v>6.1312040000000234E-2</v>
      </c>
      <c r="AJ225" s="1247"/>
      <c r="AK225" s="1247"/>
      <c r="AL225" s="1247"/>
      <c r="AM225" s="1247"/>
      <c r="AN225" s="1247"/>
      <c r="AO225" s="1247"/>
      <c r="AP225" s="1247"/>
      <c r="AQ225" s="1247"/>
      <c r="AR225" s="1236"/>
      <c r="AS225" s="1284"/>
      <c r="AT225" s="1284"/>
      <c r="AU225" s="1236"/>
      <c r="AV225" s="1236">
        <f>IFERROR(Model!AV225/Model!AU225-1,"NA")</f>
        <v>1.780415430267035E-2</v>
      </c>
      <c r="AW225" s="1236">
        <f>IFERROR(Model!AW225/Model!AV225-1,"NA")</f>
        <v>6.9970845481049704E-2</v>
      </c>
      <c r="AX225" s="1236">
        <f>IFERROR(Model!AX225/Model!AW225-1,"NA")</f>
        <v>0.1416893732970026</v>
      </c>
      <c r="AY225" s="1236">
        <f>IFERROR(Model!AY225/Model!AX225-1,"NA")</f>
        <v>5.4892601431981047E-2</v>
      </c>
      <c r="AZ225" s="1236">
        <f>IFERROR(Model!AZ225/Model!AY225-1,"NA")</f>
        <v>2.2624434389137971E-3</v>
      </c>
      <c r="BA225" s="1236">
        <f>IFERROR(Model!BA225/Model!AZ225-1,"NA")</f>
        <v>3.8153237020316366E-2</v>
      </c>
      <c r="BB225" s="1247">
        <f>IFERROR(Model!BB225/Model!BA225-1,"NA")</f>
        <v>6.1312040000000234E-2</v>
      </c>
      <c r="BC225" s="1247">
        <f>IFERROR(Model!BC225/Model!BB225-1,"NA")</f>
        <v>6.0000000000000275E-2</v>
      </c>
      <c r="BD225" s="1247">
        <f>IFERROR(Model!BD225/Model!BC225-1,"NA")</f>
        <v>5.0000000000000044E-2</v>
      </c>
      <c r="BE225" s="1247">
        <f>IFERROR(Model!BE225/Model!BD225-1,"NA")</f>
        <v>5.0000000000000044E-2</v>
      </c>
    </row>
    <row r="226" spans="1:57" s="369" customFormat="1" x14ac:dyDescent="0.2">
      <c r="A226" s="411"/>
      <c r="B226" s="321" t="s">
        <v>1290</v>
      </c>
      <c r="C226" s="321"/>
      <c r="D226" s="1240"/>
      <c r="E226" s="1240"/>
      <c r="F226" s="1240"/>
      <c r="G226" s="1240"/>
      <c r="H226" s="1240">
        <f>IFERROR(Model!H226/Model!D226-1,"NA")</f>
        <v>0.188405797101449</v>
      </c>
      <c r="I226" s="1240">
        <f>IFERROR(Model!I226/Model!E226-1,"NA")</f>
        <v>0.16666666666666674</v>
      </c>
      <c r="J226" s="1240">
        <f>IFERROR(Model!J226/Model!F226-1,"NA")</f>
        <v>0.14864864864864868</v>
      </c>
      <c r="K226" s="1240">
        <f>IFERROR(Model!K226/Model!G226-1,"NA")</f>
        <v>0.10126582278481</v>
      </c>
      <c r="L226" s="1240">
        <f>IFERROR(Model!L226/Model!H226-1,"NA")</f>
        <v>6.0975609756097615E-2</v>
      </c>
      <c r="M226" s="1240">
        <f>IFERROR(Model!M226/Model!I226-1,"NA")</f>
        <v>1.1904761904761862E-2</v>
      </c>
      <c r="N226" s="1240">
        <f>IFERROR(Model!N226/Model!J226-1,"NA")</f>
        <v>1.1764705882352899E-2</v>
      </c>
      <c r="O226" s="1240">
        <f>IFERROR(Model!O226/Model!K226-1,"NA")</f>
        <v>-1.1494252873563204E-2</v>
      </c>
      <c r="P226" s="1240">
        <f>IFERROR(Model!P226/Model!L226-1,"NA")</f>
        <v>-2.2988505747126409E-2</v>
      </c>
      <c r="Q226" s="1240">
        <f>IFERROR(Model!Q226/Model!M226-1,"NA")</f>
        <v>0</v>
      </c>
      <c r="R226" s="1240">
        <f>IFERROR(Model!R226/Model!N226-1,"NA")</f>
        <v>-2.3255813953488302E-2</v>
      </c>
      <c r="S226" s="1240">
        <f>IFERROR(Model!S226/Model!O226-1,"NA")</f>
        <v>-3.4883720930232398E-2</v>
      </c>
      <c r="T226" s="1240">
        <f>IFERROR(Model!T226/Model!P226-1,"NA")</f>
        <v>1.1764705882352899E-2</v>
      </c>
      <c r="U226" s="1240">
        <f>IFERROR(Model!U226/Model!Q226-1,"NA")</f>
        <v>3.529411764705892E-2</v>
      </c>
      <c r="V226" s="1240">
        <f>IFERROR(Model!V226/Model!R226-1,"NA")</f>
        <v>4.7619047619047672E-2</v>
      </c>
      <c r="W226" s="1240">
        <f>IFERROR(Model!W226/Model!S226-1,"NA")</f>
        <v>8.43373493975903E-2</v>
      </c>
      <c r="X226" s="1240">
        <f>IFERROR(Model!X226/Model!T226-1,"NA")</f>
        <v>6.9767441860465018E-2</v>
      </c>
      <c r="Y226" s="1240">
        <f>IFERROR(Model!Y226/Model!U226-1,"NA")</f>
        <v>4.5454545454545192E-2</v>
      </c>
      <c r="Z226" s="1240">
        <f>IFERROR(Model!Z226/Model!V226-1,"NA")</f>
        <v>6.8181818181818121E-2</v>
      </c>
      <c r="AA226" s="1240">
        <f>IFERROR(Model!AA226/Model!W226-1,"NA")</f>
        <v>5.555555555555558E-2</v>
      </c>
      <c r="AB226" s="1240">
        <f>IFERROR(Model!AB226/Model!X226-1,"NA")</f>
        <v>-1.0869565217391242E-2</v>
      </c>
      <c r="AC226" s="1247">
        <f>IFERROR(Model!AC226/Model!Y226-1,"NA")</f>
        <v>-9.7826086956509517E-4</v>
      </c>
      <c r="AD226" s="1247">
        <f>IFERROR(Model!AD226/Model!Z226-1,"NA")</f>
        <v>-1.2456382978723313E-2</v>
      </c>
      <c r="AE226" s="1247">
        <f>IFERROR(Model!AE226/Model!AA226-1,"NA")</f>
        <v>-3.3086105263158139E-3</v>
      </c>
      <c r="AF226" s="1247">
        <f>IFERROR(Model!AF226/Model!AB226-1,"NA")</f>
        <v>5.0907019999999914E-2</v>
      </c>
      <c r="AG226" s="1247">
        <f>IFERROR(Model!AG226/Model!AC226-1,"NA")</f>
        <v>6.1312040000000012E-2</v>
      </c>
      <c r="AH226" s="1247">
        <f>IFERROR(Model!AH226/Model!AD226-1,"NA")</f>
        <v>6.131203999999979E-2</v>
      </c>
      <c r="AI226" s="1247">
        <f>IFERROR(Model!AI226/Model!AE226-1,"NA")</f>
        <v>6.1312040000000012E-2</v>
      </c>
      <c r="AJ226" s="1247"/>
      <c r="AK226" s="1247"/>
      <c r="AL226" s="1247"/>
      <c r="AM226" s="1247"/>
      <c r="AN226" s="1247"/>
      <c r="AO226" s="1247"/>
      <c r="AP226" s="1247"/>
      <c r="AQ226" s="1247"/>
      <c r="AR226" s="1236"/>
      <c r="AS226" s="1284"/>
      <c r="AT226" s="1284"/>
      <c r="AU226" s="1236"/>
      <c r="AV226" s="1236">
        <f>IFERROR(Model!AV226/Model!AU226-1,"NA")</f>
        <v>0.10126582278481</v>
      </c>
      <c r="AW226" s="1236">
        <f>IFERROR(Model!AW226/Model!AV226-1,"NA")</f>
        <v>-1.1494252873563204E-2</v>
      </c>
      <c r="AX226" s="1236">
        <f>IFERROR(Model!AX226/Model!AW226-1,"NA")</f>
        <v>-3.4883720930232398E-2</v>
      </c>
      <c r="AY226" s="1236">
        <f>IFERROR(Model!AY226/Model!AX226-1,"NA")</f>
        <v>8.43373493975903E-2</v>
      </c>
      <c r="AZ226" s="1236">
        <f>IFERROR(Model!AZ226/Model!AY226-1,"NA")</f>
        <v>5.555555555555558E-2</v>
      </c>
      <c r="BA226" s="1236">
        <f>IFERROR(Model!BA226/Model!AZ226-1,"NA")</f>
        <v>-3.3086105263158139E-3</v>
      </c>
      <c r="BB226" s="1247">
        <f>IFERROR(Model!BB226/Model!BA226-1,"NA")</f>
        <v>6.1312040000000012E-2</v>
      </c>
      <c r="BC226" s="1247">
        <f>IFERROR(Model!BC226/Model!BB226-1,"NA")</f>
        <v>6.0000000000000053E-2</v>
      </c>
      <c r="BD226" s="1247">
        <f>IFERROR(Model!BD226/Model!BC226-1,"NA")</f>
        <v>5.0000000000000044E-2</v>
      </c>
      <c r="BE226" s="1247">
        <f>IFERROR(Model!BE226/Model!BD226-1,"NA")</f>
        <v>5.0000000000000044E-2</v>
      </c>
    </row>
    <row r="227" spans="1:57" s="369" customFormat="1" x14ac:dyDescent="0.2">
      <c r="A227" s="411"/>
      <c r="B227" s="376" t="s">
        <v>1291</v>
      </c>
      <c r="C227" s="376"/>
      <c r="D227" s="1268"/>
      <c r="E227" s="1260"/>
      <c r="F227" s="1260"/>
      <c r="G227" s="1260"/>
      <c r="H227" s="1260">
        <f>IFERROR(Model!H227/Model!D227-1,"NA")</f>
        <v>0</v>
      </c>
      <c r="I227" s="1260">
        <f>IFERROR(Model!I227/Model!E227-1,"NA")</f>
        <v>9.0909090909090828E-2</v>
      </c>
      <c r="J227" s="1260">
        <f>IFERROR(Model!J227/Model!F227-1,"NA")</f>
        <v>9.0909090909090828E-2</v>
      </c>
      <c r="K227" s="1260">
        <f>IFERROR(Model!K227/Model!G227-1,"NA")</f>
        <v>0.18181818181818166</v>
      </c>
      <c r="L227" s="1260">
        <f>IFERROR(Model!L227/Model!H227-1,"NA")</f>
        <v>0.27272727272727249</v>
      </c>
      <c r="M227" s="1260">
        <f>IFERROR(Model!M227/Model!I227-1,"NA")</f>
        <v>0.25</v>
      </c>
      <c r="N227" s="1260">
        <f>IFERROR(Model!N227/Model!J227-1,"NA")</f>
        <v>0.33333333333333348</v>
      </c>
      <c r="O227" s="1260">
        <f>IFERROR(Model!O227/Model!K227-1,"NA")</f>
        <v>0.38461538461538458</v>
      </c>
      <c r="P227" s="1260">
        <f>IFERROR(Model!P227/Model!L227-1,"NA")</f>
        <v>0.28571428571428581</v>
      </c>
      <c r="Q227" s="1260">
        <f>IFERROR(Model!Q227/Model!M227-1,"NA")</f>
        <v>0.19999999999999996</v>
      </c>
      <c r="R227" s="1260">
        <f>IFERROR(Model!R227/Model!N227-1,"NA")</f>
        <v>0.25</v>
      </c>
      <c r="S227" s="1260">
        <f>IFERROR(Model!S227/Model!O227-1,"NA")</f>
        <v>0.11111111111111116</v>
      </c>
      <c r="T227" s="1260">
        <f>IFERROR(Model!T227/Model!P227-1,"NA")</f>
        <v>0.11111111111111116</v>
      </c>
      <c r="U227" s="1260">
        <f>IFERROR(Model!U227/Model!Q227-1,"NA")</f>
        <v>0.16666666666666674</v>
      </c>
      <c r="V227" s="1260">
        <f>IFERROR(Model!V227/Model!R227-1,"NA")</f>
        <v>0</v>
      </c>
      <c r="W227" s="1260">
        <f>IFERROR(Model!W227/Model!S227-1,"NA")</f>
        <v>5.0000000000000044E-2</v>
      </c>
      <c r="X227" s="1260">
        <f>IFERROR(Model!X227/Model!T227-1,"NA")</f>
        <v>0</v>
      </c>
      <c r="Y227" s="1260">
        <f>IFERROR(Model!Y227/Model!U227-1,"NA")</f>
        <v>0</v>
      </c>
      <c r="Z227" s="1260">
        <f>IFERROR(Model!Z227/Model!V227-1,"NA")</f>
        <v>5.0000000000000044E-2</v>
      </c>
      <c r="AA227" s="1260">
        <f>IFERROR(Model!AA227/Model!W227-1,"NA")</f>
        <v>4.7619047619047672E-2</v>
      </c>
      <c r="AB227" s="1260">
        <f>IFERROR(Model!AB227/Model!X227-1,"NA")</f>
        <v>5.0000000000000044E-2</v>
      </c>
      <c r="AC227" s="1401">
        <f>IFERROR(Model!AC227/Model!Y227-1,"NA")</f>
        <v>1.0000000000000009E-2</v>
      </c>
      <c r="AD227" s="1401">
        <f>IFERROR(Model!AD227/Model!Z227-1,"NA")</f>
        <v>2.0100000000000007E-2</v>
      </c>
      <c r="AE227" s="1401">
        <f>IFERROR(Model!AE227/Model!AA227-1,"NA")</f>
        <v>-6.7935454545454688E-3</v>
      </c>
      <c r="AF227" s="1401">
        <f>IFERROR(Model!AF227/Model!AB227-1,"NA")</f>
        <v>5.0907019999999914E-2</v>
      </c>
      <c r="AG227" s="1401">
        <f>IFERROR(Model!AG227/Model!AC227-1,"NA")</f>
        <v>6.1312040000000012E-2</v>
      </c>
      <c r="AH227" s="1401">
        <f>IFERROR(Model!AH227/Model!AD227-1,"NA")</f>
        <v>6.1312040000000012E-2</v>
      </c>
      <c r="AI227" s="1401">
        <f>IFERROR(Model!AI227/Model!AE227-1,"NA")</f>
        <v>6.131203999999979E-2</v>
      </c>
      <c r="AJ227" s="1267"/>
      <c r="AK227" s="1267"/>
      <c r="AL227" s="1267"/>
      <c r="AM227" s="1267"/>
      <c r="AN227" s="1267"/>
      <c r="AO227" s="1267"/>
      <c r="AP227" s="1267"/>
      <c r="AQ227" s="1267"/>
      <c r="AR227" s="1236"/>
      <c r="AS227" s="1270"/>
      <c r="AT227" s="1270"/>
      <c r="AU227" s="1246"/>
      <c r="AV227" s="1246">
        <f>IFERROR(Model!AV227/Model!AU227-1,"NA")</f>
        <v>0.18181818181818166</v>
      </c>
      <c r="AW227" s="1246">
        <f>IFERROR(Model!AW227/Model!AV227-1,"NA")</f>
        <v>0.38461538461538458</v>
      </c>
      <c r="AX227" s="1246">
        <f>IFERROR(Model!AX227/Model!AW227-1,"NA")</f>
        <v>0.11111111111111116</v>
      </c>
      <c r="AY227" s="1246">
        <f>IFERROR(Model!AY227/Model!AX227-1,"NA")</f>
        <v>5.0000000000000044E-2</v>
      </c>
      <c r="AZ227" s="1246">
        <f>IFERROR(Model!AZ227/Model!AY227-1,"NA")</f>
        <v>4.7619047619047672E-2</v>
      </c>
      <c r="BA227" s="1246">
        <f>IFERROR(Model!BA227/Model!AZ227-1,"NA")</f>
        <v>-6.7935454545454688E-3</v>
      </c>
      <c r="BB227" s="1401">
        <f>IFERROR(Model!BB227/Model!BA227-1,"NA")</f>
        <v>6.131203999999979E-2</v>
      </c>
      <c r="BC227" s="1401">
        <f>IFERROR(Model!BC227/Model!BB227-1,"NA")</f>
        <v>6.0000000000000053E-2</v>
      </c>
      <c r="BD227" s="1401">
        <f>IFERROR(Model!BD227/Model!BC227-1,"NA")</f>
        <v>5.0000000000000044E-2</v>
      </c>
      <c r="BE227" s="1401">
        <f>IFERROR(Model!BE227/Model!BD227-1,"NA")</f>
        <v>5.0000000000000044E-2</v>
      </c>
    </row>
    <row r="228" spans="1:57" s="369" customFormat="1" x14ac:dyDescent="0.2">
      <c r="A228" s="411"/>
      <c r="B228" s="321"/>
      <c r="C228" s="334" t="s">
        <v>1292</v>
      </c>
      <c r="D228" s="1311"/>
      <c r="E228" s="1422"/>
      <c r="F228" s="1422"/>
      <c r="G228" s="1422"/>
      <c r="H228" s="1422">
        <f>IFERROR(Model!H228/Model!D228-1,"NA")</f>
        <v>6.4039408866994885E-2</v>
      </c>
      <c r="I228" s="1422">
        <f>IFERROR(Model!I228/Model!E228-1,"NA")</f>
        <v>2.2004889975550057E-2</v>
      </c>
      <c r="J228" s="1422">
        <f>IFERROR(Model!J228/Model!F228-1,"NA")</f>
        <v>4.3373493975903621E-2</v>
      </c>
      <c r="K228" s="1422">
        <f>IFERROR(Model!K228/Model!G228-1,"NA")</f>
        <v>3.7470725995315979E-2</v>
      </c>
      <c r="L228" s="1422">
        <f>IFERROR(Model!L228/Model!H228-1,"NA")</f>
        <v>4.629629629629628E-2</v>
      </c>
      <c r="M228" s="1422">
        <f>IFERROR(Model!M228/Model!I228-1,"NA")</f>
        <v>0.11004784688995195</v>
      </c>
      <c r="N228" s="1422">
        <f>IFERROR(Model!N228/Model!J228-1,"NA")</f>
        <v>0.10392609699769051</v>
      </c>
      <c r="O228" s="1422">
        <f>IFERROR(Model!O228/Model!K228-1,"NA")</f>
        <v>6.3205417607223646E-2</v>
      </c>
      <c r="P228" s="1422">
        <f>IFERROR(Model!P228/Model!L228-1,"NA")</f>
        <v>6.4159292035398163E-2</v>
      </c>
      <c r="Q228" s="1422">
        <f>IFERROR(Model!Q228/Model!M228-1,"NA")</f>
        <v>6.0344827586206851E-2</v>
      </c>
      <c r="R228" s="1422">
        <f>IFERROR(Model!R228/Model!N228-1,"NA")</f>
        <v>6.6945606694560622E-2</v>
      </c>
      <c r="S228" s="1422">
        <f>IFERROR(Model!S228/Model!O228-1,"NA")</f>
        <v>0.10828025477707004</v>
      </c>
      <c r="T228" s="1422">
        <f>IFERROR(Model!T228/Model!P228-1,"NA")</f>
        <v>0.11226611226611238</v>
      </c>
      <c r="U228" s="1422">
        <f>IFERROR(Model!U228/Model!Q228-1,"NA")</f>
        <v>0.11382113821138229</v>
      </c>
      <c r="V228" s="1422">
        <f>IFERROR(Model!V228/Model!R228-1,"NA")</f>
        <v>7.4509803921568585E-2</v>
      </c>
      <c r="W228" s="1422">
        <f>IFERROR(Model!W228/Model!S228-1,"NA")</f>
        <v>5.9386973180076685E-2</v>
      </c>
      <c r="X228" s="1422">
        <f>IFERROR(Model!X228/Model!T228-1,"NA")</f>
        <v>3.7383177570093462E-2</v>
      </c>
      <c r="Y228" s="1422">
        <f>IFERROR(Model!Y228/Model!U228-1,"NA")</f>
        <v>1.4598540145985384E-2</v>
      </c>
      <c r="Z228" s="1422">
        <f>IFERROR(Model!Z228/Model!V228-1,"NA")</f>
        <v>1.642335766423364E-2</v>
      </c>
      <c r="AA228" s="1422">
        <f>IFERROR(Model!AA228/Model!W228-1,"NA")</f>
        <v>1.2658227848101111E-2</v>
      </c>
      <c r="AB228" s="1422">
        <f>IFERROR(Model!AB228/Model!X228-1,"NA")</f>
        <v>-1.8018018018016724E-3</v>
      </c>
      <c r="AC228" s="1247">
        <f>IFERROR(Model!AC228/Model!Y228-1,"NA")</f>
        <v>6.3669064748201887E-3</v>
      </c>
      <c r="AD228" s="1247">
        <f>IFERROR(Model!AD228/Model!Z228-1,"NA")</f>
        <v>1.4605745062836739E-2</v>
      </c>
      <c r="AE228" s="1247">
        <f>IFERROR(Model!AE228/Model!AA228-1,"NA")</f>
        <v>2.9353764285714457E-2</v>
      </c>
      <c r="AF228" s="1247">
        <f>IFERROR(Model!AF228/Model!AB228-1,"NA")</f>
        <v>5.0907019999999914E-2</v>
      </c>
      <c r="AG228" s="1247">
        <f>IFERROR(Model!AG228/Model!AC228-1,"NA")</f>
        <v>6.131203999999979E-2</v>
      </c>
      <c r="AH228" s="1247">
        <f>IFERROR(Model!AH228/Model!AD228-1,"NA")</f>
        <v>6.131203999999979E-2</v>
      </c>
      <c r="AI228" s="1247">
        <f>IFERROR(Model!AI228/Model!AE228-1,"NA")</f>
        <v>6.131203999999979E-2</v>
      </c>
      <c r="AJ228" s="1247"/>
      <c r="AK228" s="1247"/>
      <c r="AL228" s="1247"/>
      <c r="AM228" s="1247"/>
      <c r="AN228" s="1247"/>
      <c r="AO228" s="1247"/>
      <c r="AP228" s="1247"/>
      <c r="AQ228" s="1247"/>
      <c r="AR228" s="1236"/>
      <c r="AS228" s="1284"/>
      <c r="AT228" s="1410"/>
      <c r="AU228" s="1263"/>
      <c r="AV228" s="1263">
        <f>IFERROR(Model!AV228/Model!AU228-1,"NA")</f>
        <v>3.7470725995315979E-2</v>
      </c>
      <c r="AW228" s="1263">
        <f>IFERROR(Model!AW228/Model!AV228-1,"NA")</f>
        <v>6.3205417607223646E-2</v>
      </c>
      <c r="AX228" s="1263">
        <f>IFERROR(Model!AX228/Model!AW228-1,"NA")</f>
        <v>0.10828025477707004</v>
      </c>
      <c r="AY228" s="1263">
        <f>IFERROR(Model!AY228/Model!AX228-1,"NA")</f>
        <v>5.9386973180076685E-2</v>
      </c>
      <c r="AZ228" s="1263">
        <f>IFERROR(Model!AZ228/Model!AY228-1,"NA")</f>
        <v>1.2658227848101111E-2</v>
      </c>
      <c r="BA228" s="1263">
        <f>IFERROR(Model!BA228/Model!AZ228-1,"NA")</f>
        <v>2.9353764285714457E-2</v>
      </c>
      <c r="BB228" s="1247">
        <f>IFERROR(Model!BB228/Model!BA228-1,"NA")</f>
        <v>6.1312040000000234E-2</v>
      </c>
      <c r="BC228" s="1247">
        <f>IFERROR(Model!BC228/Model!BB228-1,"NA")</f>
        <v>6.0000000000000053E-2</v>
      </c>
      <c r="BD228" s="1247">
        <f>IFERROR(Model!BD228/Model!BC228-1,"NA")</f>
        <v>5.0000000000000044E-2</v>
      </c>
      <c r="BE228" s="1247">
        <f>IFERROR(Model!BE228/Model!BD228-1,"NA")</f>
        <v>5.0000000000000044E-2</v>
      </c>
    </row>
    <row r="229" spans="1:57" s="369" customFormat="1" x14ac:dyDescent="0.2">
      <c r="A229" s="411"/>
      <c r="B229" s="334"/>
      <c r="C229" s="334"/>
      <c r="D229" s="1262"/>
      <c r="E229" s="1262"/>
      <c r="F229" s="1262"/>
      <c r="G229" s="1262"/>
      <c r="H229" s="1262"/>
      <c r="I229" s="1262"/>
      <c r="J229" s="1262"/>
      <c r="K229" s="1262"/>
      <c r="L229" s="1262"/>
      <c r="M229" s="1262"/>
      <c r="N229" s="1262"/>
      <c r="O229" s="1262"/>
      <c r="P229" s="1262"/>
      <c r="Q229" s="1262"/>
      <c r="R229" s="1262"/>
      <c r="S229" s="1262"/>
      <c r="T229" s="1262"/>
      <c r="U229" s="1262"/>
      <c r="V229" s="1262"/>
      <c r="W229" s="1262"/>
      <c r="X229" s="1262"/>
      <c r="Y229" s="1262"/>
      <c r="Z229" s="1262"/>
      <c r="AA229" s="1262"/>
      <c r="AB229" s="1262"/>
      <c r="AC229" s="1267"/>
      <c r="AD229" s="1267"/>
      <c r="AE229" s="1267"/>
      <c r="AF229" s="1267"/>
      <c r="AG229" s="1267"/>
      <c r="AH229" s="1267"/>
      <c r="AI229" s="1267"/>
      <c r="AJ229" s="1267"/>
      <c r="AK229" s="1267"/>
      <c r="AL229" s="1267"/>
      <c r="AM229" s="1267"/>
      <c r="AN229" s="1267"/>
      <c r="AO229" s="1267"/>
      <c r="AP229" s="1267"/>
      <c r="AQ229" s="1267"/>
      <c r="AR229" s="1236"/>
      <c r="AS229" s="1410"/>
      <c r="AT229" s="1410"/>
      <c r="AU229" s="1263"/>
      <c r="AV229" s="1263"/>
      <c r="AW229" s="1263"/>
      <c r="AX229" s="1263"/>
      <c r="AY229" s="1263"/>
      <c r="AZ229" s="1263"/>
      <c r="BA229" s="1263"/>
      <c r="BB229" s="1267"/>
      <c r="BC229" s="1267"/>
      <c r="BD229" s="1267"/>
      <c r="BE229" s="1267"/>
    </row>
    <row r="230" spans="1:57" s="369" customFormat="1" x14ac:dyDescent="0.2">
      <c r="A230" s="411"/>
      <c r="B230" s="334" t="s">
        <v>499</v>
      </c>
      <c r="C230" s="321"/>
      <c r="D230" s="1240"/>
      <c r="E230" s="1240"/>
      <c r="F230" s="1240"/>
      <c r="G230" s="1240"/>
      <c r="H230" s="1240">
        <f>IFERROR(Model!H230/Model!D230-1,"NA")</f>
        <v>-4.8143053645116951E-2</v>
      </c>
      <c r="I230" s="1240">
        <f>IFERROR(Model!I230/Model!E230-1,"NA")</f>
        <v>-4.6767537826685079E-2</v>
      </c>
      <c r="J230" s="1240">
        <f>IFERROR(Model!J230/Model!F230-1,"NA")</f>
        <v>-4.7091412742382377E-2</v>
      </c>
      <c r="K230" s="1240">
        <f>IFERROR(Model!K230/Model!G230-1,"NA")</f>
        <v>-3.292181069958855E-2</v>
      </c>
      <c r="L230" s="1240">
        <f>IFERROR(Model!L230/Model!H230-1,"NA")</f>
        <v>-3.4682080924855585E-2</v>
      </c>
      <c r="M230" s="1240">
        <f>IFERROR(Model!M230/Model!I230-1,"NA")</f>
        <v>-2.8860028860028808E-2</v>
      </c>
      <c r="N230" s="1240">
        <f>IFERROR(Model!N230/Model!J230-1,"NA")</f>
        <v>-3.3430232558139483E-2</v>
      </c>
      <c r="O230" s="1240">
        <f>IFERROR(Model!O230/Model!K230-1,"NA")</f>
        <v>-4.2553191489361653E-2</v>
      </c>
      <c r="P230" s="1240">
        <f>IFERROR(Model!P230/Model!L230-1,"NA")</f>
        <v>-4.9401197604790337E-2</v>
      </c>
      <c r="Q230" s="1240">
        <f>IFERROR(Model!Q230/Model!M230-1,"NA")</f>
        <v>-4.1604754829123292E-2</v>
      </c>
      <c r="R230" s="1240">
        <f>IFERROR(Model!R230/Model!N230-1,"NA")</f>
        <v>-2.5563909774436122E-2</v>
      </c>
      <c r="S230" s="1240">
        <f>IFERROR(Model!S230/Model!O230-1,"NA")</f>
        <v>-4.444444444444362E-3</v>
      </c>
      <c r="T230" s="1240">
        <f>IFERROR(Model!T230/Model!P230-1,"NA")</f>
        <v>2.2047244094488327E-2</v>
      </c>
      <c r="U230" s="1240">
        <f>IFERROR(Model!U230/Model!Q230-1,"NA")</f>
        <v>0.20155038759689914</v>
      </c>
      <c r="V230" s="1240">
        <f>IFERROR(Model!V230/Model!R230-1,"NA")</f>
        <v>0.25462962962962954</v>
      </c>
      <c r="W230" s="1240">
        <f>IFERROR(Model!W230/Model!S230-1,"NA")</f>
        <v>0.27976190476190466</v>
      </c>
      <c r="X230" s="1240">
        <f>IFERROR(Model!X230/Model!T230-1,"NA")</f>
        <v>0.26656394453004606</v>
      </c>
      <c r="Y230" s="1240">
        <f>IFERROR(Model!Y230/Model!U230-1,"NA")</f>
        <v>0.10451612903225804</v>
      </c>
      <c r="Z230" s="1240">
        <f>IFERROR(Model!Z230/Model!V230-1,"NA")</f>
        <v>6.1500615006150117E-2</v>
      </c>
      <c r="AA230" s="1240">
        <f>IFERROR(Model!AA230/Model!W230-1,"NA")</f>
        <v>5.232558139534893E-2</v>
      </c>
      <c r="AB230" s="1240">
        <f>IFERROR(Model!AB230/Model!X230-1,"NA")</f>
        <v>4.2579075425790647E-2</v>
      </c>
      <c r="AC230" s="1247">
        <f>IFERROR(Model!AC230/Model!Y230-1,"NA")</f>
        <v>1.1682242990656011E-3</v>
      </c>
      <c r="AD230" s="1247">
        <f>IFERROR(Model!AD230/Model!Z230-1,"NA")</f>
        <v>2.9779837775203433E-3</v>
      </c>
      <c r="AE230" s="1247">
        <f>IFERROR(Model!AE230/Model!AA230-1,"NA")</f>
        <v>-2.4440441988950345E-2</v>
      </c>
      <c r="AF230" s="1247">
        <f>IFERROR(Model!AF230/Model!AB230-1,"NA")</f>
        <v>1.9897999999999971E-2</v>
      </c>
      <c r="AG230" s="1247">
        <f>IFERROR(Model!AG230/Model!AC230-1,"NA")</f>
        <v>1.9897999999999971E-2</v>
      </c>
      <c r="AH230" s="1247">
        <f>IFERROR(Model!AH230/Model!AD230-1,"NA")</f>
        <v>2.9995999999999912E-2</v>
      </c>
      <c r="AI230" s="1247">
        <f>IFERROR(Model!AI230/Model!AE230-1,"NA")</f>
        <v>4.0094000000000074E-2</v>
      </c>
      <c r="AJ230" s="1247"/>
      <c r="AK230" s="1247"/>
      <c r="AL230" s="1247"/>
      <c r="AM230" s="1247"/>
      <c r="AN230" s="1247"/>
      <c r="AO230" s="1247"/>
      <c r="AP230" s="1247"/>
      <c r="AQ230" s="1247"/>
      <c r="AR230" s="1236"/>
      <c r="AS230" s="1410"/>
      <c r="AT230" s="1284"/>
      <c r="AU230" s="1236"/>
      <c r="AV230" s="1236">
        <f>IFERROR(Model!AV230/Model!AU230-1,"NA")</f>
        <v>-3.292181069958855E-2</v>
      </c>
      <c r="AW230" s="1236">
        <f>IFERROR(Model!AW230/Model!AV230-1,"NA")</f>
        <v>-4.2553191489361653E-2</v>
      </c>
      <c r="AX230" s="1236">
        <f>IFERROR(Model!AX230/Model!AW230-1,"NA")</f>
        <v>-4.444444444444362E-3</v>
      </c>
      <c r="AY230" s="1236">
        <f>IFERROR(Model!AY230/Model!AX230-1,"NA")</f>
        <v>0.27976190476190466</v>
      </c>
      <c r="AZ230" s="1236">
        <f>IFERROR(Model!AZ230/Model!AY230-1,"NA")</f>
        <v>5.232558139534893E-2</v>
      </c>
      <c r="BA230" s="1236">
        <f>IFERROR(Model!BA230/Model!AZ230-1,"NA")</f>
        <v>-2.4440441988950345E-2</v>
      </c>
      <c r="BB230" s="1247">
        <f>IFERROR(Model!BB230/Model!BA230-1,"NA")</f>
        <v>4.0094000000000074E-2</v>
      </c>
      <c r="BC230" s="1247">
        <f>IFERROR(Model!BC230/Model!BB230-1,"NA")</f>
        <v>4.0000000000000036E-2</v>
      </c>
      <c r="BD230" s="1247">
        <f>IFERROR(Model!BD230/Model!BC230-1,"NA")</f>
        <v>4.0000000000000036E-2</v>
      </c>
      <c r="BE230" s="1247">
        <f>IFERROR(Model!BE230/Model!BD230-1,"NA")</f>
        <v>4.0000000000000036E-2</v>
      </c>
    </row>
    <row r="231" spans="1:57" s="369" customFormat="1" x14ac:dyDescent="0.2">
      <c r="A231" s="411"/>
      <c r="B231" s="375" t="s">
        <v>498</v>
      </c>
      <c r="C231" s="376"/>
      <c r="D231" s="1408"/>
      <c r="E231" s="1408"/>
      <c r="F231" s="1408"/>
      <c r="G231" s="1408"/>
      <c r="H231" s="1408">
        <f>IFERROR(Model!H231/Model!D231-1,"NA")</f>
        <v>-3.542234332425076E-2</v>
      </c>
      <c r="I231" s="1408">
        <f>IFERROR(Model!I231/Model!E231-1,"NA")</f>
        <v>-1.6393442622950838E-2</v>
      </c>
      <c r="J231" s="1408">
        <f>IFERROR(Model!J231/Model!F231-1,"NA")</f>
        <v>0.17486338797814205</v>
      </c>
      <c r="K231" s="1408">
        <f>IFERROR(Model!K231/Model!G231-1,"NA")</f>
        <v>0.19948186528497391</v>
      </c>
      <c r="L231" s="1408">
        <f>IFERROR(Model!L231/Model!H231-1,"NA")</f>
        <v>0.19491525423728806</v>
      </c>
      <c r="M231" s="1408">
        <f>IFERROR(Model!M231/Model!I231-1,"NA")</f>
        <v>0.19722222222222219</v>
      </c>
      <c r="N231" s="1408">
        <f>IFERROR(Model!N231/Model!J231-1,"NA")</f>
        <v>0</v>
      </c>
      <c r="O231" s="1408">
        <f>IFERROR(Model!O231/Model!K231-1,"NA")</f>
        <v>4.3196544276458138E-3</v>
      </c>
      <c r="P231" s="1408">
        <f>IFERROR(Model!P231/Model!L231-1,"NA")</f>
        <v>2.3640661938535423E-3</v>
      </c>
      <c r="Q231" s="1408">
        <f>IFERROR(Model!Q231/Model!M231-1,"NA")</f>
        <v>2.3201856148491462E-3</v>
      </c>
      <c r="R231" s="1408">
        <f>IFERROR(Model!R231/Model!N231-1,"NA")</f>
        <v>2.3255813953488857E-3</v>
      </c>
      <c r="S231" s="1408">
        <f>IFERROR(Model!S231/Model!O231-1,"NA")</f>
        <v>-8.6021505376343566E-3</v>
      </c>
      <c r="T231" s="1408">
        <f>IFERROR(Model!T231/Model!P231-1,"NA")</f>
        <v>2.3584905660378741E-3</v>
      </c>
      <c r="U231" s="1408">
        <f>IFERROR(Model!U231/Model!Q231-1,"NA")</f>
        <v>2.3148148148146586E-3</v>
      </c>
      <c r="V231" s="1408">
        <f>IFERROR(Model!V231/Model!R231-1,"NA")</f>
        <v>1.8561484918793392E-2</v>
      </c>
      <c r="W231" s="1408">
        <f>IFERROR(Model!W231/Model!S231-1,"NA")</f>
        <v>2.6030368763557465E-2</v>
      </c>
      <c r="X231" s="1408">
        <f>IFERROR(Model!X231/Model!T231-1,"NA")</f>
        <v>4.0000000000000036E-2</v>
      </c>
      <c r="Y231" s="1408">
        <f>IFERROR(Model!Y231/Model!U231-1,"NA")</f>
        <v>4.3879907621247272E-2</v>
      </c>
      <c r="Z231" s="1408">
        <f>IFERROR(Model!Z231/Model!V231-1,"NA")</f>
        <v>4.5558086560364419E-2</v>
      </c>
      <c r="AA231" s="1408">
        <f>IFERROR(Model!AA231/Model!W231-1,"NA")</f>
        <v>4.0169133192389239E-2</v>
      </c>
      <c r="AB231" s="1408">
        <f>IFERROR(Model!AB231/Model!X231-1,"NA")</f>
        <v>4.0723981900452344E-2</v>
      </c>
      <c r="AC231" s="1401">
        <f>IFERROR(Model!AC231/Model!Y231-1,"NA")</f>
        <v>2.2787610619468879E-2</v>
      </c>
      <c r="AD231" s="1401">
        <f>IFERROR(Model!AD231/Model!Z231-1,"NA")</f>
        <v>2.2297385620914989E-2</v>
      </c>
      <c r="AE231" s="1401">
        <f>IFERROR(Model!AE231/Model!AA231-1,"NA")</f>
        <v>-2.7196768292683138E-2</v>
      </c>
      <c r="AF231" s="1401">
        <f>IFERROR(Model!AF231/Model!AB231-1,"NA")</f>
        <v>3.5274117499999758E-2</v>
      </c>
      <c r="AG231" s="1401">
        <f>IFERROR(Model!AG231/Model!AC231-1,"NA")</f>
        <v>3.6304240999999848E-2</v>
      </c>
      <c r="AH231" s="1401">
        <f>IFERROR(Model!AH231/Model!AD231-1,"NA")</f>
        <v>3.6304240999999848E-2</v>
      </c>
      <c r="AI231" s="1401">
        <f>IFERROR(Model!AI231/Model!AE231-1,"NA")</f>
        <v>4.1384163749999869E-2</v>
      </c>
      <c r="AJ231" s="1267"/>
      <c r="AK231" s="1267"/>
      <c r="AL231" s="1267"/>
      <c r="AM231" s="1267"/>
      <c r="AN231" s="1267"/>
      <c r="AO231" s="1267"/>
      <c r="AP231" s="1267"/>
      <c r="AQ231" s="1267"/>
      <c r="AR231" s="1236"/>
      <c r="AS231" s="1402"/>
      <c r="AT231" s="1270"/>
      <c r="AU231" s="1246"/>
      <c r="AV231" s="1246">
        <f>IFERROR(Model!AV231/Model!AU231-1,"NA")</f>
        <v>0.19948186528497391</v>
      </c>
      <c r="AW231" s="1246">
        <f>IFERROR(Model!AW231/Model!AV231-1,"NA")</f>
        <v>4.3196544276458138E-3</v>
      </c>
      <c r="AX231" s="1246">
        <f>IFERROR(Model!AX231/Model!AW231-1,"NA")</f>
        <v>-8.6021505376343566E-3</v>
      </c>
      <c r="AY231" s="1246">
        <f>IFERROR(Model!AY231/Model!AX231-1,"NA")</f>
        <v>2.6030368763557465E-2</v>
      </c>
      <c r="AZ231" s="1246">
        <f>IFERROR(Model!AZ231/Model!AY231-1,"NA")</f>
        <v>4.0169133192389239E-2</v>
      </c>
      <c r="BA231" s="1246">
        <f>IFERROR(Model!BA231/Model!AZ231-1,"NA")</f>
        <v>-2.7196768292683138E-2</v>
      </c>
      <c r="BB231" s="1401">
        <f>IFERROR(Model!BB231/Model!BA231-1,"NA")</f>
        <v>4.1384163749999869E-2</v>
      </c>
      <c r="BC231" s="1401">
        <f>IFERROR(Model!BC231/Model!BB231-1,"NA")</f>
        <v>4.0000000000000036E-2</v>
      </c>
      <c r="BD231" s="1401">
        <f>IFERROR(Model!BD231/Model!BC231-1,"NA")</f>
        <v>4.0000000000000036E-2</v>
      </c>
      <c r="BE231" s="1401">
        <f>IFERROR(Model!BE231/Model!BD231-1,"NA")</f>
        <v>4.0000000000000036E-2</v>
      </c>
    </row>
    <row r="232" spans="1:57" s="369" customFormat="1" x14ac:dyDescent="0.2">
      <c r="A232" s="411"/>
      <c r="B232" s="334" t="s">
        <v>1293</v>
      </c>
      <c r="C232" s="321"/>
      <c r="D232" s="1301"/>
      <c r="E232" s="1301"/>
      <c r="F232" s="1301"/>
      <c r="G232" s="1301"/>
      <c r="H232" s="1301">
        <f>IFERROR(Model!H232/Model!D232-1,"NA")</f>
        <v>-4.3875685557586919E-2</v>
      </c>
      <c r="I232" s="1301">
        <f>IFERROR(Model!I232/Model!E232-1,"NA")</f>
        <v>-3.6596523330283737E-2</v>
      </c>
      <c r="J232" s="1301">
        <f>IFERROR(Model!J232/Model!F232-1,"NA")</f>
        <v>2.7573529411764497E-2</v>
      </c>
      <c r="K232" s="1301">
        <f>IFERROR(Model!K232/Model!G232-1,"NA")</f>
        <v>4.7533632286995475E-2</v>
      </c>
      <c r="L232" s="1301">
        <f>IFERROR(Model!L232/Model!H232-1,"NA")</f>
        <v>4.3021032504780177E-2</v>
      </c>
      <c r="M232" s="1301">
        <f>IFERROR(Model!M232/Model!I232-1,"NA")</f>
        <v>4.8433048433048409E-2</v>
      </c>
      <c r="N232" s="1301">
        <f>IFERROR(Model!N232/Model!J232-1,"NA")</f>
        <v>-2.0572450805008913E-2</v>
      </c>
      <c r="O232" s="1301">
        <f>IFERROR(Model!O232/Model!K232-1,"NA")</f>
        <v>-2.3972602739726012E-2</v>
      </c>
      <c r="P232" s="1301">
        <f>IFERROR(Model!P232/Model!L232-1,"NA")</f>
        <v>-2.9330889092575529E-2</v>
      </c>
      <c r="Q232" s="1301">
        <f>IFERROR(Model!Q232/Model!M232-1,"NA")</f>
        <v>-2.4456521739130488E-2</v>
      </c>
      <c r="R232" s="1301">
        <f>IFERROR(Model!R232/Model!N232-1,"NA")</f>
        <v>-1.4611872146118698E-2</v>
      </c>
      <c r="S232" s="1301">
        <f>IFERROR(Model!S232/Model!O232-1,"NA")</f>
        <v>-6.1403508771928905E-3</v>
      </c>
      <c r="T232" s="1301">
        <f>IFERROR(Model!T232/Model!P232-1,"NA")</f>
        <v>1.4164305949008416E-2</v>
      </c>
      <c r="U232" s="1301">
        <f>IFERROR(Model!U232/Model!Q232-1,"NA")</f>
        <v>0.12163416898792945</v>
      </c>
      <c r="V232" s="1301">
        <f>IFERROR(Model!V232/Model!R232-1,"NA")</f>
        <v>0.16033364226135305</v>
      </c>
      <c r="W232" s="1301">
        <f>IFERROR(Model!W232/Model!S232-1,"NA")</f>
        <v>0.1765225066195939</v>
      </c>
      <c r="X232" s="1301">
        <f>IFERROR(Model!X232/Model!T232-1,"NA")</f>
        <v>0.17690875232774683</v>
      </c>
      <c r="Y232" s="1301">
        <f>IFERROR(Model!Y232/Model!U232-1,"NA")</f>
        <v>8.2781456953642474E-2</v>
      </c>
      <c r="Z232" s="1301">
        <f>IFERROR(Model!Z232/Model!V232-1,"NA")</f>
        <v>5.5910543130990531E-2</v>
      </c>
      <c r="AA232" s="1301">
        <f>IFERROR(Model!AA232/Model!W232-1,"NA")</f>
        <v>4.8012003000750036E-2</v>
      </c>
      <c r="AB232" s="1301">
        <f>IFERROR(Model!AB232/Model!X232-1,"NA")</f>
        <v>4.1930379746835333E-2</v>
      </c>
      <c r="AC232" s="1301">
        <f>IFERROR(Model!AC232/Model!Y232-1,"NA")</f>
        <v>8.6391437308868113E-3</v>
      </c>
      <c r="AD232" s="1301">
        <f>IFERROR(Model!AD232/Model!Z232-1,"NA")</f>
        <v>9.6857034795763131E-3</v>
      </c>
      <c r="AE232" s="1301">
        <f>IFERROR(Model!AE232/Model!AA232-1,"NA")</f>
        <v>-2.5411173944166032E-2</v>
      </c>
      <c r="AF232" s="1301">
        <f>IFERROR(Model!AF232/Model!AB232-1,"NA")</f>
        <v>2.5268549772209603E-2</v>
      </c>
      <c r="AG232" s="1301">
        <f>IFERROR(Model!AG232/Model!AC232-1,"NA")</f>
        <v>2.5646961732964435E-2</v>
      </c>
      <c r="AH232" s="1301">
        <f>IFERROR(Model!AH232/Model!AD232-1,"NA")</f>
        <v>3.2213586404236993E-2</v>
      </c>
      <c r="AI232" s="1301">
        <f>IFERROR(Model!AI232/Model!AE232-1,"NA")</f>
        <v>4.0547541580170821E-2</v>
      </c>
      <c r="AJ232" s="1301"/>
      <c r="AK232" s="1301"/>
      <c r="AL232" s="1301"/>
      <c r="AM232" s="1301"/>
      <c r="AN232" s="1301"/>
      <c r="AO232" s="1301"/>
      <c r="AP232" s="1301"/>
      <c r="AQ232" s="1301"/>
      <c r="AR232" s="1236"/>
      <c r="AS232" s="1410"/>
      <c r="AT232" s="1284"/>
      <c r="AU232" s="1301"/>
      <c r="AV232" s="1301">
        <f>IFERROR(Model!AV232/Model!AU232-1,"NA")</f>
        <v>4.7533632286995475E-2</v>
      </c>
      <c r="AW232" s="1301">
        <f>IFERROR(Model!AW232/Model!AV232-1,"NA")</f>
        <v>-2.3972602739726012E-2</v>
      </c>
      <c r="AX232" s="1301">
        <f>IFERROR(Model!AX232/Model!AW232-1,"NA")</f>
        <v>-6.1403508771928905E-3</v>
      </c>
      <c r="AY232" s="1301">
        <f>IFERROR(Model!AY232/Model!AX232-1,"NA")</f>
        <v>0.1765225066195939</v>
      </c>
      <c r="AZ232" s="1301">
        <f>IFERROR(Model!AZ232/Model!AY232-1,"NA")</f>
        <v>4.8012003000750036E-2</v>
      </c>
      <c r="BA232" s="1301">
        <f>IFERROR(Model!BA232/Model!AZ232-1,"NA")</f>
        <v>-2.5411173944166032E-2</v>
      </c>
      <c r="BB232" s="1301">
        <f>IFERROR(Model!BB232/Model!BA232-1,"NA")</f>
        <v>4.0547541580170821E-2</v>
      </c>
      <c r="BC232" s="1301">
        <f>IFERROR(Model!BC232/Model!BB232-1,"NA")</f>
        <v>4.0000000000000258E-2</v>
      </c>
      <c r="BD232" s="1301">
        <f>IFERROR(Model!BD232/Model!BC232-1,"NA")</f>
        <v>4.0000000000000036E-2</v>
      </c>
      <c r="BE232" s="1301">
        <f>IFERROR(Model!BE232/Model!BD232-1,"NA")</f>
        <v>4.0000000000000036E-2</v>
      </c>
    </row>
    <row r="233" spans="1:57" s="369" customFormat="1" x14ac:dyDescent="0.2">
      <c r="A233" s="411"/>
      <c r="B233" s="334"/>
      <c r="C233" s="334"/>
      <c r="D233" s="1262"/>
      <c r="E233" s="1262"/>
      <c r="F233" s="1262"/>
      <c r="G233" s="1262"/>
      <c r="H233" s="1262"/>
      <c r="I233" s="1262"/>
      <c r="J233" s="1262"/>
      <c r="K233" s="1262"/>
      <c r="L233" s="1262"/>
      <c r="M233" s="1262"/>
      <c r="N233" s="1262"/>
      <c r="O233" s="1262"/>
      <c r="P233" s="1262"/>
      <c r="Q233" s="1262"/>
      <c r="R233" s="1262"/>
      <c r="S233" s="1262"/>
      <c r="T233" s="1262"/>
      <c r="U233" s="1262"/>
      <c r="V233" s="1262"/>
      <c r="W233" s="1262"/>
      <c r="X233" s="1262"/>
      <c r="Y233" s="1262"/>
      <c r="Z233" s="1262"/>
      <c r="AA233" s="1262"/>
      <c r="AB233" s="1262"/>
      <c r="AC233" s="1247"/>
      <c r="AD233" s="1247"/>
      <c r="AE233" s="1247"/>
      <c r="AF233" s="1247"/>
      <c r="AG233" s="1247"/>
      <c r="AH233" s="1247"/>
      <c r="AI233" s="1247"/>
      <c r="AJ233" s="1247"/>
      <c r="AK233" s="1247"/>
      <c r="AL233" s="1247"/>
      <c r="AM233" s="1247"/>
      <c r="AN233" s="1247"/>
      <c r="AO233" s="1247"/>
      <c r="AP233" s="1247"/>
      <c r="AQ233" s="1247"/>
      <c r="AR233" s="1236"/>
      <c r="AS233" s="1410"/>
      <c r="AT233" s="1410"/>
      <c r="AU233" s="1263"/>
      <c r="AV233" s="1263"/>
      <c r="AW233" s="1263"/>
      <c r="AX233" s="1263"/>
      <c r="AY233" s="1263"/>
      <c r="AZ233" s="1263"/>
      <c r="BA233" s="1263"/>
      <c r="BB233" s="1247"/>
      <c r="BC233" s="1247"/>
      <c r="BD233" s="1247"/>
      <c r="BE233" s="1247"/>
    </row>
    <row r="234" spans="1:57" s="369" customFormat="1" x14ac:dyDescent="0.2">
      <c r="A234" s="411"/>
      <c r="B234" s="334" t="s">
        <v>1294</v>
      </c>
      <c r="C234" s="334"/>
      <c r="D234" s="1258"/>
      <c r="E234" s="1258"/>
      <c r="F234" s="1258"/>
      <c r="G234" s="1258"/>
      <c r="H234" s="1258">
        <f>IFERROR(Model!H234/Model!D234-1,"NA")</f>
        <v>-1.4666666666666606E-2</v>
      </c>
      <c r="I234" s="1258">
        <f>IFERROR(Model!I234/Model!E234-1,"NA")</f>
        <v>-2.0639147802929525E-2</v>
      </c>
      <c r="J234" s="1258">
        <f>IFERROR(Model!J234/Model!F234-1,"NA")</f>
        <v>3.1936127744510934E-2</v>
      </c>
      <c r="K234" s="1258">
        <f>IFERROR(Model!K234/Model!G234-1,"NA")</f>
        <v>4.4747081712062098E-2</v>
      </c>
      <c r="L234" s="1258">
        <f>IFERROR(Model!L234/Model!H234-1,"NA")</f>
        <v>4.397834912043308E-2</v>
      </c>
      <c r="M234" s="1258">
        <f>IFERROR(Model!M234/Model!I234-1,"NA")</f>
        <v>6.5941536369816367E-2</v>
      </c>
      <c r="N234" s="1258">
        <f>IFERROR(Model!N234/Model!J234-1,"NA")</f>
        <v>1.4184397163120588E-2</v>
      </c>
      <c r="O234" s="1258">
        <f>IFERROR(Model!O234/Model!K234-1,"NA")</f>
        <v>0</v>
      </c>
      <c r="P234" s="1258">
        <f>IFERROR(Model!P234/Model!L234-1,"NA")</f>
        <v>-1.9442644199612058E-3</v>
      </c>
      <c r="Q234" s="1258">
        <f>IFERROR(Model!Q234/Model!M234-1,"NA")</f>
        <v>6.3775510204067132E-4</v>
      </c>
      <c r="R234" s="1258">
        <f>IFERROR(Model!R234/Model!N234-1,"NA")</f>
        <v>1.0171646535282797E-2</v>
      </c>
      <c r="S234" s="1258">
        <f>IFERROR(Model!S234/Model!O234-1,"NA")</f>
        <v>2.7312228429546836E-2</v>
      </c>
      <c r="T234" s="1258">
        <f>IFERROR(Model!T234/Model!P234-1,"NA")</f>
        <v>4.4805194805194848E-2</v>
      </c>
      <c r="U234" s="1258">
        <f>IFERROR(Model!U234/Model!Q234-1,"NA")</f>
        <v>0.1191841937539837</v>
      </c>
      <c r="V234" s="1258">
        <f>IFERROR(Model!V234/Model!R234-1,"NA")</f>
        <v>0.13278791692888614</v>
      </c>
      <c r="W234" s="1258">
        <f>IFERROR(Model!W234/Model!S234-1,"NA")</f>
        <v>0.13957703927492471</v>
      </c>
      <c r="X234" s="1258">
        <f>IFERROR(Model!X234/Model!T234-1,"NA")</f>
        <v>0.13051584835301422</v>
      </c>
      <c r="Y234" s="1258">
        <f>IFERROR(Model!Y234/Model!U234-1,"NA")</f>
        <v>6.1503416856491855E-2</v>
      </c>
      <c r="Z234" s="1258">
        <f>IFERROR(Model!Z234/Model!V234-1,"NA")</f>
        <v>4.3888888888888866E-2</v>
      </c>
      <c r="AA234" s="1258">
        <f>IFERROR(Model!AA234/Model!W234-1,"NA")</f>
        <v>3.7645811240720972E-2</v>
      </c>
      <c r="AB234" s="1258">
        <f>IFERROR(Model!AB234/Model!X234-1,"NA")</f>
        <v>2.8587135788895157E-2</v>
      </c>
      <c r="AC234" s="1258">
        <f>IFERROR(Model!AC234/Model!Y234-1,"NA")</f>
        <v>7.9613733905579132E-3</v>
      </c>
      <c r="AD234" s="1258">
        <f>IFERROR(Model!AD234/Model!Z234-1,"NA")</f>
        <v>1.1144172432144606E-2</v>
      </c>
      <c r="AE234" s="1258">
        <f>IFERROR(Model!AE234/Model!AA234-1,"NA")</f>
        <v>-9.7400623403166575E-3</v>
      </c>
      <c r="AF234" s="1258">
        <f>IFERROR(Model!AF234/Model!AB234-1,"NA")</f>
        <v>3.2860058327097708E-2</v>
      </c>
      <c r="AG234" s="1258">
        <f>IFERROR(Model!AG234/Model!AC234-1,"NA")</f>
        <v>3.6268429177524597E-2</v>
      </c>
      <c r="AH234" s="1258">
        <f>IFERROR(Model!AH234/Model!AD234-1,"NA")</f>
        <v>4.0868895033853603E-2</v>
      </c>
      <c r="AI234" s="1258">
        <f>IFERROR(Model!AI234/Model!AE234-1,"NA")</f>
        <v>4.6723922801645168E-2</v>
      </c>
      <c r="AJ234" s="1258"/>
      <c r="AK234" s="1258"/>
      <c r="AL234" s="1258"/>
      <c r="AM234" s="1258"/>
      <c r="AN234" s="1258"/>
      <c r="AO234" s="1258"/>
      <c r="AP234" s="1258"/>
      <c r="AQ234" s="1258"/>
      <c r="AR234" s="1236"/>
      <c r="AS234" s="1410"/>
      <c r="AT234" s="1410"/>
      <c r="AU234" s="1236"/>
      <c r="AV234" s="1236">
        <f>IFERROR(Model!AV234/Model!AU234-1,"NA")</f>
        <v>4.4747081712062098E-2</v>
      </c>
      <c r="AW234" s="1236">
        <f>IFERROR(Model!AW234/Model!AV234-1,"NA")</f>
        <v>0</v>
      </c>
      <c r="AX234" s="1236">
        <f>IFERROR(Model!AX234/Model!AW234-1,"NA")</f>
        <v>2.7312228429546836E-2</v>
      </c>
      <c r="AY234" s="1236">
        <f>IFERROR(Model!AY234/Model!AX234-1,"NA")</f>
        <v>0.13957703927492471</v>
      </c>
      <c r="AZ234" s="1236">
        <f>IFERROR(Model!AZ234/Model!AY234-1,"NA")</f>
        <v>3.7645811240720972E-2</v>
      </c>
      <c r="BA234" s="1236">
        <f>IFERROR(Model!BA234/Model!AZ234-1,"NA")</f>
        <v>-9.7400623403166575E-3</v>
      </c>
      <c r="BB234" s="1258">
        <f>IFERROR(Model!BB234/Model!BA234-1,"NA")</f>
        <v>4.6723922801645168E-2</v>
      </c>
      <c r="BC234" s="1258">
        <f>IFERROR(Model!BC234/Model!BB234-1,"NA")</f>
        <v>4.6031892398861185E-2</v>
      </c>
      <c r="BD234" s="1258">
        <f>IFERROR(Model!BD234/Model!BC234-1,"NA")</f>
        <v>4.3056219408439844E-2</v>
      </c>
      <c r="BE234" s="1258">
        <f>IFERROR(Model!BE234/Model!BD234-1,"NA")</f>
        <v>4.3076565116194621E-2</v>
      </c>
    </row>
    <row r="235" spans="1:57" s="369" customFormat="1" x14ac:dyDescent="0.2">
      <c r="A235" s="411"/>
      <c r="B235" s="334"/>
      <c r="C235" s="334"/>
      <c r="D235" s="1258"/>
      <c r="E235" s="1258"/>
      <c r="F235" s="1258"/>
      <c r="G235" s="1258"/>
      <c r="H235" s="1258"/>
      <c r="I235" s="1258"/>
      <c r="J235" s="1258"/>
      <c r="K235" s="1258"/>
      <c r="L235" s="1258"/>
      <c r="M235" s="1258"/>
      <c r="N235" s="1258"/>
      <c r="O235" s="1258"/>
      <c r="P235" s="1258"/>
      <c r="Q235" s="1258"/>
      <c r="R235" s="1258"/>
      <c r="S235" s="1258"/>
      <c r="T235" s="1258"/>
      <c r="U235" s="1258"/>
      <c r="V235" s="1258"/>
      <c r="W235" s="1258"/>
      <c r="X235" s="1247"/>
      <c r="Y235" s="1247"/>
      <c r="Z235" s="1247"/>
      <c r="AA235" s="1247"/>
      <c r="AB235" s="1247"/>
      <c r="AC235" s="1247"/>
      <c r="AD235" s="1247"/>
      <c r="AE235" s="1247"/>
      <c r="AF235" s="1247"/>
      <c r="AG235" s="1247"/>
      <c r="AH235" s="1247"/>
      <c r="AI235" s="1247"/>
      <c r="AJ235" s="1247"/>
      <c r="AK235" s="1247"/>
      <c r="AL235" s="1247"/>
      <c r="AM235" s="1247"/>
      <c r="AN235" s="1247"/>
      <c r="AO235" s="1247"/>
      <c r="AP235" s="1247"/>
      <c r="AQ235" s="1247"/>
      <c r="AR235" s="1236"/>
      <c r="AS235" s="1410"/>
      <c r="AT235" s="1410"/>
      <c r="AU235" s="1263"/>
      <c r="AV235" s="1263"/>
      <c r="AW235" s="1263"/>
      <c r="AX235" s="1263"/>
      <c r="AY235" s="1263"/>
      <c r="AZ235" s="1263"/>
      <c r="BA235" s="1263"/>
      <c r="BB235" s="1263"/>
      <c r="BC235" s="1263"/>
      <c r="BD235" s="1263"/>
      <c r="BE235" s="1263"/>
    </row>
    <row r="236" spans="1:57" s="369" customFormat="1" x14ac:dyDescent="0.2">
      <c r="A236" s="411"/>
      <c r="B236" s="337" t="s">
        <v>505</v>
      </c>
      <c r="C236" s="366"/>
      <c r="D236" s="1269"/>
      <c r="E236" s="1269"/>
      <c r="F236" s="1269"/>
      <c r="G236" s="1269"/>
      <c r="H236" s="1269"/>
      <c r="I236" s="1269"/>
      <c r="J236" s="1269"/>
      <c r="K236" s="1269"/>
      <c r="L236" s="1269"/>
      <c r="M236" s="1269"/>
      <c r="N236" s="1269"/>
      <c r="O236" s="1269"/>
      <c r="P236" s="1269"/>
      <c r="Q236" s="1269"/>
      <c r="R236" s="1269"/>
      <c r="S236" s="1269"/>
      <c r="T236" s="1269"/>
      <c r="U236" s="1269"/>
      <c r="V236" s="1269"/>
      <c r="W236" s="1269"/>
      <c r="X236" s="1417"/>
      <c r="Y236" s="1417"/>
      <c r="Z236" s="1417"/>
      <c r="AA236" s="1417"/>
      <c r="AB236" s="1417"/>
      <c r="AC236" s="1417"/>
      <c r="AD236" s="1417"/>
      <c r="AE236" s="1417"/>
      <c r="AF236" s="1417"/>
      <c r="AG236" s="1417"/>
      <c r="AH236" s="1417"/>
      <c r="AI236" s="1417"/>
      <c r="AJ236" s="1417"/>
      <c r="AK236" s="1417"/>
      <c r="AL236" s="1417"/>
      <c r="AM236" s="1417"/>
      <c r="AN236" s="1417"/>
      <c r="AO236" s="1417"/>
      <c r="AP236" s="1417"/>
      <c r="AQ236" s="1417"/>
      <c r="AR236" s="1236"/>
      <c r="AS236" s="1418"/>
      <c r="AT236" s="1419"/>
      <c r="AU236" s="1398"/>
      <c r="AV236" s="1398"/>
      <c r="AW236" s="1398"/>
      <c r="AX236" s="1398"/>
      <c r="AY236" s="1398"/>
      <c r="AZ236" s="1398"/>
      <c r="BA236" s="1398"/>
      <c r="BB236" s="1398"/>
      <c r="BC236" s="1398"/>
      <c r="BD236" s="1398"/>
      <c r="BE236" s="1398"/>
    </row>
    <row r="237" spans="1:57" s="369" customFormat="1" x14ac:dyDescent="0.2">
      <c r="A237" s="411"/>
      <c r="B237" s="318" t="s">
        <v>491</v>
      </c>
      <c r="C237" s="334"/>
      <c r="D237" s="1258"/>
      <c r="E237" s="1258"/>
      <c r="F237" s="1258"/>
      <c r="G237" s="1258"/>
      <c r="H237" s="1258"/>
      <c r="I237" s="1258"/>
      <c r="J237" s="1258"/>
      <c r="K237" s="1258"/>
      <c r="L237" s="1258"/>
      <c r="M237" s="1258"/>
      <c r="N237" s="1258"/>
      <c r="O237" s="1258"/>
      <c r="P237" s="1258"/>
      <c r="Q237" s="1258"/>
      <c r="R237" s="1258"/>
      <c r="S237" s="1258"/>
      <c r="T237" s="1258"/>
      <c r="U237" s="1258"/>
      <c r="V237" s="1258"/>
      <c r="W237" s="1258"/>
      <c r="X237" s="1284"/>
      <c r="Y237" s="1284"/>
      <c r="Z237" s="1284"/>
      <c r="AA237" s="1284"/>
      <c r="AB237" s="1284"/>
      <c r="AC237" s="1284"/>
      <c r="AD237" s="1284"/>
      <c r="AE237" s="1284"/>
      <c r="AF237" s="1284"/>
      <c r="AG237" s="1284"/>
      <c r="AH237" s="1284"/>
      <c r="AI237" s="1284"/>
      <c r="AJ237" s="1284"/>
      <c r="AK237" s="1284"/>
      <c r="AL237" s="1284"/>
      <c r="AM237" s="1284"/>
      <c r="AN237" s="1284"/>
      <c r="AO237" s="1284"/>
      <c r="AP237" s="1284"/>
      <c r="AQ237" s="1284"/>
      <c r="AR237" s="1236"/>
      <c r="AS237" s="1342"/>
      <c r="AT237" s="1410"/>
      <c r="AU237" s="1263"/>
      <c r="AV237" s="1263"/>
      <c r="AW237" s="1263"/>
      <c r="AX237" s="1263"/>
      <c r="AY237" s="1263"/>
      <c r="AZ237" s="1263"/>
      <c r="BA237" s="1263"/>
      <c r="BB237" s="1263"/>
      <c r="BC237" s="1263"/>
      <c r="BD237" s="1263"/>
      <c r="BE237" s="1263"/>
    </row>
    <row r="238" spans="1:57" s="369" customFormat="1" x14ac:dyDescent="0.2">
      <c r="A238" s="411"/>
      <c r="B238" s="334" t="s">
        <v>1295</v>
      </c>
      <c r="C238" s="321"/>
      <c r="D238" s="1421"/>
      <c r="E238" s="1421"/>
      <c r="F238" s="1421"/>
      <c r="G238" s="1421"/>
      <c r="H238" s="1421">
        <f>IFERROR(Model!H238/Model!D238-1,"NA")</f>
        <v>3.0837004405286361E-2</v>
      </c>
      <c r="I238" s="1421">
        <f>IFERROR(Model!I238/Model!E238-1,"NA")</f>
        <v>3.0567685589519833E-2</v>
      </c>
      <c r="J238" s="1421">
        <f>IFERROR(Model!J238/Model!F238-1,"NA")</f>
        <v>3.0303030303030276E-2</v>
      </c>
      <c r="K238" s="1421">
        <f>IFERROR(Model!K238/Model!G238-1,"NA")</f>
        <v>3.0172413793103425E-2</v>
      </c>
      <c r="L238" s="1421">
        <f>IFERROR(Model!L238/Model!H238-1,"NA")</f>
        <v>2.5641025641025772E-2</v>
      </c>
      <c r="M238" s="1421">
        <f>IFERROR(Model!M238/Model!I238-1,"NA")</f>
        <v>2.1186440677966045E-2</v>
      </c>
      <c r="N238" s="1421">
        <f>IFERROR(Model!N238/Model!J238-1,"NA")</f>
        <v>-1.2605042016806789E-2</v>
      </c>
      <c r="O238" s="1421">
        <f>IFERROR(Model!O238/Model!K238-1,"NA")</f>
        <v>-1.2552301255229992E-2</v>
      </c>
      <c r="P238" s="1421">
        <f>IFERROR(Model!P238/Model!L238-1,"NA")</f>
        <v>-1.2500000000000067E-2</v>
      </c>
      <c r="Q238" s="1421">
        <f>IFERROR(Model!Q238/Model!M238-1,"NA")</f>
        <v>-3.7344398340249052E-2</v>
      </c>
      <c r="R238" s="1421">
        <f>IFERROR(Model!R238/Model!N238-1,"NA")</f>
        <v>-8.5106382978723527E-3</v>
      </c>
      <c r="S238" s="1421">
        <f>IFERROR(Model!S238/Model!O238-1,"NA")</f>
        <v>-4.2372881355933201E-3</v>
      </c>
      <c r="T238" s="1421">
        <f>IFERROR(Model!T238/Model!P238-1,"NA")</f>
        <v>4.2194092827005925E-3</v>
      </c>
      <c r="U238" s="1421">
        <f>IFERROR(Model!U238/Model!Q238-1,"NA")</f>
        <v>0.37068965517241392</v>
      </c>
      <c r="V238" s="1421">
        <f>IFERROR(Model!V238/Model!R238-1,"NA")</f>
        <v>0.39484978540772531</v>
      </c>
      <c r="W238" s="1421">
        <f>IFERROR(Model!W238/Model!S238-1,"NA")</f>
        <v>0.39999999999999991</v>
      </c>
      <c r="X238" s="1421">
        <f>IFERROR(Model!X238/Model!T238-1,"NA")</f>
        <v>0.39495798319327746</v>
      </c>
      <c r="Y238" s="1421">
        <f>IFERROR(Model!Y238/Model!U238-1,"NA")</f>
        <v>5.6603773584905648E-2</v>
      </c>
      <c r="Z238" s="1421">
        <f>IFERROR(Model!Z238/Model!V238-1,"NA")</f>
        <v>4.3076923076923013E-2</v>
      </c>
      <c r="AA238" s="1421">
        <f>IFERROR(Model!AA238/Model!W238-1,"NA")</f>
        <v>3.9513677811550352E-2</v>
      </c>
      <c r="AB238" s="1421">
        <f>IFERROR(Model!AB238/Model!X238-1,"NA")</f>
        <v>2.1084337349397408E-2</v>
      </c>
      <c r="AC238" s="1263" t="str">
        <f>IFERROR(Model!AC238/Model!Y238-1,"NA")</f>
        <v>NA</v>
      </c>
      <c r="AD238" s="1263" t="str">
        <f>IFERROR(Model!AD238/Model!Z238-1,"NA")</f>
        <v>NA</v>
      </c>
      <c r="AE238" s="1263" t="str">
        <f>IFERROR(Model!AE238/Model!AA238-1,"NA")</f>
        <v>NA</v>
      </c>
      <c r="AF238" s="1263" t="str">
        <f>IFERROR(Model!AF238/Model!AB238-1,"NA")</f>
        <v>NA</v>
      </c>
      <c r="AG238" s="1263" t="str">
        <f>IFERROR(Model!AG238/Model!AC238-1,"NA")</f>
        <v>NA</v>
      </c>
      <c r="AH238" s="1263" t="str">
        <f>IFERROR(Model!AH238/Model!AD238-1,"NA")</f>
        <v>NA</v>
      </c>
      <c r="AI238" s="1263" t="str">
        <f>IFERROR(Model!AI238/Model!AE238-1,"NA")</f>
        <v>NA</v>
      </c>
      <c r="AJ238" s="1263"/>
      <c r="AK238" s="1263"/>
      <c r="AL238" s="1263"/>
      <c r="AM238" s="1263"/>
      <c r="AN238" s="1263"/>
      <c r="AO238" s="1263"/>
      <c r="AP238" s="1263"/>
      <c r="AQ238" s="1263"/>
      <c r="AR238" s="1236"/>
      <c r="AS238" s="1410"/>
      <c r="AT238" s="1284"/>
      <c r="AU238" s="1236"/>
      <c r="AV238" s="1236">
        <f>IFERROR(Model!AV238/Model!AU238-1,"NA")</f>
        <v>3.0172413793103425E-2</v>
      </c>
      <c r="AW238" s="1236">
        <f>IFERROR(Model!AW238/Model!AV238-1,"NA")</f>
        <v>-1.2552301255229992E-2</v>
      </c>
      <c r="AX238" s="1236">
        <f>IFERROR(Model!AX238/Model!AW238-1,"NA")</f>
        <v>-4.2372881355933201E-3</v>
      </c>
      <c r="AY238" s="1236">
        <f>IFERROR(Model!AY238/Model!AX238-1,"NA")</f>
        <v>0.39999999999999991</v>
      </c>
      <c r="AZ238" s="1236">
        <f>IFERROR(Model!AZ238/Model!AY238-1,"NA")</f>
        <v>3.9513677811550352E-2</v>
      </c>
      <c r="BA238" s="1236" t="str">
        <f>IFERROR(Model!BA238/Model!AZ238-1,"NA")</f>
        <v>NA</v>
      </c>
      <c r="BB238" s="1263" t="str">
        <f>IFERROR(Model!BB238/Model!BA238-1,"NA")</f>
        <v>NA</v>
      </c>
      <c r="BC238" s="1263" t="str">
        <f>IFERROR(Model!BC238/Model!BB238-1,"NA")</f>
        <v>NA</v>
      </c>
      <c r="BD238" s="1263" t="str">
        <f>IFERROR(Model!BD238/Model!BC238-1,"NA")</f>
        <v>NA</v>
      </c>
      <c r="BE238" s="1263" t="str">
        <f>IFERROR(Model!BE238/Model!BD238-1,"NA")</f>
        <v>NA</v>
      </c>
    </row>
    <row r="239" spans="1:57" s="369" customFormat="1" x14ac:dyDescent="0.2">
      <c r="A239" s="411"/>
      <c r="B239" s="375" t="s">
        <v>1296</v>
      </c>
      <c r="C239" s="376"/>
      <c r="D239" s="1424"/>
      <c r="E239" s="1424"/>
      <c r="F239" s="1424"/>
      <c r="G239" s="1424"/>
      <c r="H239" s="1424">
        <f>IFERROR(Model!H239/Model!D239-1,"NA")</f>
        <v>-3.9903264812575556E-2</v>
      </c>
      <c r="I239" s="1424">
        <f>IFERROR(Model!I239/Model!E239-1,"NA")</f>
        <v>-4.7794117647058765E-2</v>
      </c>
      <c r="J239" s="1424">
        <f>IFERROR(Model!J239/Model!F239-1,"NA")</f>
        <v>0.12731767614338696</v>
      </c>
      <c r="K239" s="1424">
        <f>IFERROR(Model!K239/Model!G239-1,"NA")</f>
        <v>0.13647642679900751</v>
      </c>
      <c r="L239" s="1424">
        <f>IFERROR(Model!L239/Model!H239-1,"NA")</f>
        <v>0.12972292191435764</v>
      </c>
      <c r="M239" s="1424">
        <f>IFERROR(Model!M239/Model!I239-1,"NA")</f>
        <v>0.16216216216216206</v>
      </c>
      <c r="N239" s="1424">
        <f>IFERROR(Model!N239/Model!J239-1,"NA")</f>
        <v>-2.8508771929824706E-2</v>
      </c>
      <c r="O239" s="1424">
        <f>IFERROR(Model!O239/Model!K239-1,"NA")</f>
        <v>-2.2925764192139653E-2</v>
      </c>
      <c r="P239" s="1424">
        <f>IFERROR(Model!P239/Model!L239-1,"NA")</f>
        <v>-1.1148272017837191E-2</v>
      </c>
      <c r="Q239" s="1424">
        <f>IFERROR(Model!Q239/Model!M239-1,"NA")</f>
        <v>-8.8593576965669829E-3</v>
      </c>
      <c r="R239" s="1424">
        <f>IFERROR(Model!R239/Model!N239-1,"NA")</f>
        <v>1.0158013544018019E-2</v>
      </c>
      <c r="S239" s="1424">
        <f>IFERROR(Model!S239/Model!O239-1,"NA")</f>
        <v>4.4692737430167551E-3</v>
      </c>
      <c r="T239" s="1424">
        <f>IFERROR(Model!T239/Model!P239-1,"NA")</f>
        <v>-6.7643742953777952E-3</v>
      </c>
      <c r="U239" s="1424">
        <f>IFERROR(Model!U239/Model!Q239-1,"NA")</f>
        <v>-6.7039106145250216E-3</v>
      </c>
      <c r="V239" s="1424">
        <f>IFERROR(Model!V239/Model!R239-1,"NA")</f>
        <v>-1.3407821229050265E-2</v>
      </c>
      <c r="W239" s="1424">
        <f>IFERROR(Model!W239/Model!S239-1,"NA")</f>
        <v>-2.4471635150166926E-2</v>
      </c>
      <c r="X239" s="1424">
        <f>IFERROR(Model!X239/Model!T239-1,"NA")</f>
        <v>-1.4755959137343844E-2</v>
      </c>
      <c r="Y239" s="1424">
        <f>IFERROR(Model!Y239/Model!U239-1,"NA")</f>
        <v>-2.6996625421822351E-2</v>
      </c>
      <c r="Z239" s="1424">
        <f>IFERROR(Model!Z239/Model!V239-1,"NA")</f>
        <v>-2.6047565118912819E-2</v>
      </c>
      <c r="AA239" s="1424">
        <f>IFERROR(Model!AA239/Model!W239-1,"NA")</f>
        <v>-1.4823261117445807E-2</v>
      </c>
      <c r="AB239" s="1424">
        <f>IFERROR(Model!AB239/Model!X239-1,"NA")</f>
        <v>-1.6129032258064391E-2</v>
      </c>
      <c r="AC239" s="1270" t="str">
        <f>IFERROR(Model!AC239/Model!Y239-1,"NA")</f>
        <v>NA</v>
      </c>
      <c r="AD239" s="1270" t="str">
        <f>IFERROR(Model!AD239/Model!Z239-1,"NA")</f>
        <v>NA</v>
      </c>
      <c r="AE239" s="1270" t="str">
        <f>IFERROR(Model!AE239/Model!AA239-1,"NA")</f>
        <v>NA</v>
      </c>
      <c r="AF239" s="1270" t="str">
        <f>IFERROR(Model!AF239/Model!AB239-1,"NA")</f>
        <v>NA</v>
      </c>
      <c r="AG239" s="1270" t="str">
        <f>IFERROR(Model!AG239/Model!AC239-1,"NA")</f>
        <v>NA</v>
      </c>
      <c r="AH239" s="1270" t="str">
        <f>IFERROR(Model!AH239/Model!AD239-1,"NA")</f>
        <v>NA</v>
      </c>
      <c r="AI239" s="1270" t="str">
        <f>IFERROR(Model!AI239/Model!AE239-1,"NA")</f>
        <v>NA</v>
      </c>
      <c r="AJ239" s="1263"/>
      <c r="AK239" s="1263"/>
      <c r="AL239" s="1263"/>
      <c r="AM239" s="1263"/>
      <c r="AN239" s="1263"/>
      <c r="AO239" s="1263"/>
      <c r="AP239" s="1263"/>
      <c r="AQ239" s="1263"/>
      <c r="AR239" s="1236"/>
      <c r="AS239" s="1402"/>
      <c r="AT239" s="1270"/>
      <c r="AU239" s="1246"/>
      <c r="AV239" s="1246">
        <f>IFERROR(Model!AV239/Model!AU239-1,"NA")</f>
        <v>0.13647642679900751</v>
      </c>
      <c r="AW239" s="1246">
        <f>IFERROR(Model!AW239/Model!AV239-1,"NA")</f>
        <v>-2.2925764192139653E-2</v>
      </c>
      <c r="AX239" s="1246">
        <f>IFERROR(Model!AX239/Model!AW239-1,"NA")</f>
        <v>4.4692737430167551E-3</v>
      </c>
      <c r="AY239" s="1246">
        <f>IFERROR(Model!AY239/Model!AX239-1,"NA")</f>
        <v>-2.4471635150166926E-2</v>
      </c>
      <c r="AZ239" s="1246">
        <f>IFERROR(Model!AZ239/Model!AY239-1,"NA")</f>
        <v>-1.4823261117445807E-2</v>
      </c>
      <c r="BA239" s="1246" t="str">
        <f>IFERROR(Model!BA239/Model!AZ239-1,"NA")</f>
        <v>NA</v>
      </c>
      <c r="BB239" s="1270" t="str">
        <f>IFERROR(Model!BB239/Model!BA239-1,"NA")</f>
        <v>NA</v>
      </c>
      <c r="BC239" s="1270" t="str">
        <f>IFERROR(Model!BC239/Model!BB239-1,"NA")</f>
        <v>NA</v>
      </c>
      <c r="BD239" s="1270" t="str">
        <f>IFERROR(Model!BD239/Model!BC239-1,"NA")</f>
        <v>NA</v>
      </c>
      <c r="BE239" s="1270" t="str">
        <f>IFERROR(Model!BE239/Model!BD239-1,"NA")</f>
        <v>NA</v>
      </c>
    </row>
    <row r="240" spans="1:57" s="369" customFormat="1" x14ac:dyDescent="0.2">
      <c r="A240" s="411"/>
      <c r="B240" s="334"/>
      <c r="C240" s="321" t="s">
        <v>1297</v>
      </c>
      <c r="D240" s="1311"/>
      <c r="E240" s="1311"/>
      <c r="F240" s="1311"/>
      <c r="G240" s="1311"/>
      <c r="H240" s="1311">
        <f>IFERROR(Model!H240/Model!D240-1,"NA")</f>
        <v>-2.4667931688804545E-2</v>
      </c>
      <c r="I240" s="1311">
        <f>IFERROR(Model!I240/Model!E240-1,"NA")</f>
        <v>-3.0622009569377884E-2</v>
      </c>
      <c r="J240" s="1311">
        <f>IFERROR(Model!J240/Model!F240-1,"NA")</f>
        <v>0.10576923076923084</v>
      </c>
      <c r="K240" s="1311">
        <f>IFERROR(Model!K240/Model!G240-1,"NA")</f>
        <v>0.11271676300578037</v>
      </c>
      <c r="L240" s="1311">
        <f>IFERROR(Model!L240/Model!H240-1,"NA")</f>
        <v>0.10603112840466911</v>
      </c>
      <c r="M240" s="1311">
        <f>IFERROR(Model!M240/Model!I240-1,"NA")</f>
        <v>0.12931885488647565</v>
      </c>
      <c r="N240" s="1311">
        <f>IFERROR(Model!N240/Model!J240-1,"NA")</f>
        <v>-2.5217391304347858E-2</v>
      </c>
      <c r="O240" s="1311">
        <f>IFERROR(Model!O240/Model!K240-1,"NA")</f>
        <v>-2.0779220779220786E-2</v>
      </c>
      <c r="P240" s="1311">
        <f>IFERROR(Model!P240/Model!L240-1,"NA")</f>
        <v>-1.1433597185576017E-2</v>
      </c>
      <c r="Q240" s="1311">
        <f>IFERROR(Model!Q240/Model!M240-1,"NA")</f>
        <v>-1.4860139860139898E-2</v>
      </c>
      <c r="R240" s="1311">
        <f>IFERROR(Model!R240/Model!N240-1,"NA")</f>
        <v>6.2444246208741561E-3</v>
      </c>
      <c r="S240" s="1311">
        <f>IFERROR(Model!S240/Model!O240-1,"NA")</f>
        <v>2.6525198938993633E-3</v>
      </c>
      <c r="T240" s="1311">
        <f>IFERROR(Model!T240/Model!P240-1,"NA")</f>
        <v>-4.44839857651258E-3</v>
      </c>
      <c r="U240" s="1311">
        <f>IFERROR(Model!U240/Model!Q240-1,"NA")</f>
        <v>7.0984915705412543E-2</v>
      </c>
      <c r="V240" s="1311">
        <f>IFERROR(Model!V240/Model!R240-1,"NA")</f>
        <v>7.0921985815602939E-2</v>
      </c>
      <c r="W240" s="1311">
        <f>IFERROR(Model!W240/Model!S240-1,"NA")</f>
        <v>6.3492063492063489E-2</v>
      </c>
      <c r="X240" s="1311">
        <f>IFERROR(Model!X240/Model!T240-1,"NA")</f>
        <v>7.2386058981233292E-2</v>
      </c>
      <c r="Y240" s="1311">
        <f>IFERROR(Model!Y240/Model!U240-1,"NA")</f>
        <v>-4.971002485501308E-3</v>
      </c>
      <c r="Z240" s="1311">
        <f>IFERROR(Model!Z240/Model!V240-1,"NA")</f>
        <v>-7.4503311258277138E-3</v>
      </c>
      <c r="AA240" s="1311">
        <f>IFERROR(Model!AA240/Model!W240-1,"NA")</f>
        <v>2.2204460492503131E-16</v>
      </c>
      <c r="AB240" s="1311">
        <f>IFERROR(Model!AB240/Model!X240-1,"NA")</f>
        <v>-5.833333333333246E-3</v>
      </c>
      <c r="AC240" s="1263" t="str">
        <f>IFERROR(Model!AC240/Model!Y240-1,"NA")</f>
        <v>NA</v>
      </c>
      <c r="AD240" s="1263" t="str">
        <f>IFERROR(Model!AD240/Model!Z240-1,"NA")</f>
        <v>NA</v>
      </c>
      <c r="AE240" s="1263" t="str">
        <f>IFERROR(Model!AE240/Model!AA240-1,"NA")</f>
        <v>NA</v>
      </c>
      <c r="AF240" s="1263" t="str">
        <f>IFERROR(Model!AF240/Model!AB240-1,"NA")</f>
        <v>NA</v>
      </c>
      <c r="AG240" s="1263" t="str">
        <f>IFERROR(Model!AG240/Model!AC240-1,"NA")</f>
        <v>NA</v>
      </c>
      <c r="AH240" s="1263" t="str">
        <f>IFERROR(Model!AH240/Model!AD240-1,"NA")</f>
        <v>NA</v>
      </c>
      <c r="AI240" s="1263" t="str">
        <f>IFERROR(Model!AI240/Model!AE240-1,"NA")</f>
        <v>NA</v>
      </c>
      <c r="AJ240" s="1263"/>
      <c r="AK240" s="1263"/>
      <c r="AL240" s="1263"/>
      <c r="AM240" s="1263"/>
      <c r="AN240" s="1263"/>
      <c r="AO240" s="1263"/>
      <c r="AP240" s="1263"/>
      <c r="AQ240" s="1263"/>
      <c r="AR240" s="1236"/>
      <c r="AS240" s="1410"/>
      <c r="AT240" s="1284"/>
      <c r="AU240" s="1311"/>
      <c r="AV240" s="1311">
        <f>IFERROR(Model!AV240/Model!AU240-1,"NA")</f>
        <v>0.11271676300578037</v>
      </c>
      <c r="AW240" s="1311">
        <f>IFERROR(Model!AW240/Model!AV240-1,"NA")</f>
        <v>-2.0779220779220786E-2</v>
      </c>
      <c r="AX240" s="1311">
        <f>IFERROR(Model!AX240/Model!AW240-1,"NA")</f>
        <v>2.6525198938993633E-3</v>
      </c>
      <c r="AY240" s="1311">
        <f>IFERROR(Model!AY240/Model!AX240-1,"NA")</f>
        <v>6.3492063492063489E-2</v>
      </c>
      <c r="AZ240" s="1236">
        <f>IFERROR(Model!AZ240/Model!AY240-1,"NA")</f>
        <v>2.2204460492503131E-16</v>
      </c>
      <c r="BA240" s="1236" t="str">
        <f>IFERROR(Model!BA240/Model!AZ240-1,"NA")</f>
        <v>NA</v>
      </c>
      <c r="BB240" s="1263" t="str">
        <f>IFERROR(Model!BB240/Model!BA240-1,"NA")</f>
        <v>NA</v>
      </c>
      <c r="BC240" s="1263" t="str">
        <f>IFERROR(Model!BC240/Model!BB240-1,"NA")</f>
        <v>NA</v>
      </c>
      <c r="BD240" s="1263" t="str">
        <f>IFERROR(Model!BD240/Model!BC240-1,"NA")</f>
        <v>NA</v>
      </c>
      <c r="BE240" s="1263" t="str">
        <f>IFERROR(Model!BE240/Model!BD240-1,"NA")</f>
        <v>NA</v>
      </c>
    </row>
    <row r="241" spans="1:57" s="369" customFormat="1" x14ac:dyDescent="0.2">
      <c r="A241" s="411"/>
      <c r="B241" s="334"/>
      <c r="C241" s="321"/>
      <c r="D241" s="1311"/>
      <c r="E241" s="1311"/>
      <c r="F241" s="1311"/>
      <c r="G241" s="1311"/>
      <c r="H241" s="1311"/>
      <c r="I241" s="1311"/>
      <c r="J241" s="1311"/>
      <c r="K241" s="1311"/>
      <c r="L241" s="1311"/>
      <c r="M241" s="1311"/>
      <c r="N241" s="1311"/>
      <c r="O241" s="1311"/>
      <c r="P241" s="1311"/>
      <c r="Q241" s="1311"/>
      <c r="R241" s="1311"/>
      <c r="S241" s="1311"/>
      <c r="T241" s="1311"/>
      <c r="U241" s="1311"/>
      <c r="V241" s="1311"/>
      <c r="W241" s="1311"/>
      <c r="X241" s="1311"/>
      <c r="Y241" s="1311"/>
      <c r="Z241" s="1311"/>
      <c r="AA241" s="1311"/>
      <c r="AB241" s="1311"/>
      <c r="AC241" s="1284"/>
      <c r="AD241" s="1284"/>
      <c r="AE241" s="1284"/>
      <c r="AF241" s="1284"/>
      <c r="AG241" s="1284"/>
      <c r="AH241" s="1284"/>
      <c r="AI241" s="1284"/>
      <c r="AJ241" s="1284"/>
      <c r="AK241" s="1284"/>
      <c r="AL241" s="1284"/>
      <c r="AM241" s="1284"/>
      <c r="AN241" s="1284"/>
      <c r="AO241" s="1284"/>
      <c r="AP241" s="1284"/>
      <c r="AQ241" s="1284"/>
      <c r="AR241" s="1236"/>
      <c r="AS241" s="1410"/>
      <c r="AT241" s="1284"/>
      <c r="AU241" s="1263"/>
      <c r="AV241" s="1263"/>
      <c r="AW241" s="1263"/>
      <c r="AX241" s="1263"/>
      <c r="AY241" s="1263"/>
      <c r="AZ241" s="1263"/>
      <c r="BA241" s="1263"/>
      <c r="BB241" s="1263"/>
      <c r="BC241" s="1263"/>
      <c r="BD241" s="1263"/>
      <c r="BE241" s="1263"/>
    </row>
    <row r="242" spans="1:57" s="369" customFormat="1" x14ac:dyDescent="0.2">
      <c r="A242" s="411"/>
      <c r="B242" s="450" t="s">
        <v>217</v>
      </c>
      <c r="C242" s="321"/>
      <c r="D242" s="1311"/>
      <c r="E242" s="1311"/>
      <c r="F242" s="1311"/>
      <c r="G242" s="1311"/>
      <c r="H242" s="1311"/>
      <c r="I242" s="1311"/>
      <c r="J242" s="1311"/>
      <c r="K242" s="1311"/>
      <c r="L242" s="1311"/>
      <c r="M242" s="1311"/>
      <c r="N242" s="1311"/>
      <c r="O242" s="1311"/>
      <c r="P242" s="1311"/>
      <c r="Q242" s="1311"/>
      <c r="R242" s="1311"/>
      <c r="S242" s="1311"/>
      <c r="T242" s="1311"/>
      <c r="U242" s="1311"/>
      <c r="V242" s="1311"/>
      <c r="W242" s="1311"/>
      <c r="X242" s="1311"/>
      <c r="Y242" s="1311"/>
      <c r="Z242" s="1311"/>
      <c r="AA242" s="1311"/>
      <c r="AB242" s="1311"/>
      <c r="AC242" s="1284"/>
      <c r="AD242" s="1284"/>
      <c r="AE242" s="1284"/>
      <c r="AF242" s="1284"/>
      <c r="AG242" s="1284"/>
      <c r="AH242" s="1284"/>
      <c r="AI242" s="1284"/>
      <c r="AJ242" s="1284"/>
      <c r="AK242" s="1284"/>
      <c r="AL242" s="1284"/>
      <c r="AM242" s="1284"/>
      <c r="AN242" s="1284"/>
      <c r="AO242" s="1284"/>
      <c r="AP242" s="1284"/>
      <c r="AQ242" s="1284"/>
      <c r="AR242" s="1236"/>
      <c r="AS242" s="1413"/>
      <c r="AT242" s="1284"/>
      <c r="AU242" s="1263"/>
      <c r="AV242" s="1263"/>
      <c r="AW242" s="1263"/>
      <c r="AX242" s="1263"/>
      <c r="AY242" s="1263"/>
      <c r="AZ242" s="1263"/>
      <c r="BA242" s="1263"/>
      <c r="BB242" s="1263"/>
      <c r="BC242" s="1263"/>
      <c r="BD242" s="1263"/>
      <c r="BE242" s="1263"/>
    </row>
    <row r="243" spans="1:57" s="369" customFormat="1" x14ac:dyDescent="0.2">
      <c r="A243" s="411"/>
      <c r="B243" s="334" t="s">
        <v>492</v>
      </c>
      <c r="C243" s="321"/>
      <c r="D243" s="1240"/>
      <c r="E243" s="1240"/>
      <c r="F243" s="1240"/>
      <c r="G243" s="1240"/>
      <c r="H243" s="1240">
        <f>IFERROR(Model!H243/Model!D243-1,"NA")</f>
        <v>0</v>
      </c>
      <c r="I243" s="1240">
        <f>IFERROR(Model!I243/Model!E243-1,"NA")</f>
        <v>2.6960784313725616E-2</v>
      </c>
      <c r="J243" s="1240">
        <f>IFERROR(Model!J243/Model!F243-1,"NA")</f>
        <v>3.473945409429291E-2</v>
      </c>
      <c r="K243" s="1240">
        <f>IFERROR(Model!K243/Model!G243-1,"NA")</f>
        <v>4.3269230769230616E-2</v>
      </c>
      <c r="L243" s="1240">
        <f>IFERROR(Model!L243/Model!H243-1,"NA")</f>
        <v>3.6649214659685736E-2</v>
      </c>
      <c r="M243" s="1240">
        <f>IFERROR(Model!M243/Model!I243-1,"NA")</f>
        <v>4.7732696897374804E-2</v>
      </c>
      <c r="N243" s="1240">
        <f>IFERROR(Model!N243/Model!J243-1,"NA")</f>
        <v>3.8369304556354678E-2</v>
      </c>
      <c r="O243" s="1240">
        <f>IFERROR(Model!O243/Model!K243-1,"NA")</f>
        <v>3.9170506912442393E-2</v>
      </c>
      <c r="P243" s="1240">
        <f>IFERROR(Model!P243/Model!L243-1,"NA")</f>
        <v>3.2828282828282651E-2</v>
      </c>
      <c r="Q243" s="1240">
        <f>IFERROR(Model!Q243/Model!M243-1,"NA")</f>
        <v>5.0113895216401083E-2</v>
      </c>
      <c r="R243" s="1240">
        <f>IFERROR(Model!R243/Model!N243-1,"NA")</f>
        <v>7.621247113163987E-2</v>
      </c>
      <c r="S243" s="1240">
        <f>IFERROR(Model!S243/Model!O243-1,"NA")</f>
        <v>8.6474501108647406E-2</v>
      </c>
      <c r="T243" s="1240">
        <f>IFERROR(Model!T243/Model!P243-1,"NA")</f>
        <v>0.12224938875305624</v>
      </c>
      <c r="U243" s="1240">
        <f>IFERROR(Model!U243/Model!Q243-1,"NA")</f>
        <v>0.15184381778741862</v>
      </c>
      <c r="V243" s="1240">
        <f>IFERROR(Model!V243/Model!R243-1,"NA")</f>
        <v>0.56866952789699554</v>
      </c>
      <c r="W243" s="1240">
        <f>IFERROR(Model!W243/Model!S243-1,"NA")</f>
        <v>0.6020408163265305</v>
      </c>
      <c r="X243" s="1240">
        <f>IFERROR(Model!X243/Model!T243-1,"NA")</f>
        <v>0.579520697167756</v>
      </c>
      <c r="Y243" s="1240">
        <f>IFERROR(Model!Y243/Model!U243-1,"NA")</f>
        <v>0.51600753295668556</v>
      </c>
      <c r="Z243" s="1240">
        <f>IFERROR(Model!Z243/Model!V243-1,"NA")</f>
        <v>9.9863201094391396E-2</v>
      </c>
      <c r="AA243" s="1240">
        <f>IFERROR(Model!AA243/Model!W243-1,"NA")</f>
        <v>9.9363057324840742E-2</v>
      </c>
      <c r="AB243" s="1240">
        <f>IFERROR(Model!AB243/Model!X243-1,"NA")</f>
        <v>8.4137931034482749E-2</v>
      </c>
      <c r="AC243" s="1381">
        <f>IFERROR(Model!AC243/Model!Y243-1,"NA")</f>
        <v>8.0000000000000071E-2</v>
      </c>
      <c r="AD243" s="1381">
        <f>IFERROR(Model!AD243/Model!Z243-1,"NA")</f>
        <v>8.0000000000000071E-2</v>
      </c>
      <c r="AE243" s="1381">
        <f>IFERROR(Model!AE243/Model!AA243-1,"NA")</f>
        <v>8.0000000000000071E-2</v>
      </c>
      <c r="AF243" s="1381">
        <f>IFERROR(Model!AF243/Model!AB243-1,"NA")</f>
        <v>7.0000000000000062E-2</v>
      </c>
      <c r="AG243" s="1381">
        <f>IFERROR(Model!AG243/Model!AC243-1,"NA")</f>
        <v>7.0000000000000062E-2</v>
      </c>
      <c r="AH243" s="1381">
        <f>IFERROR(Model!AH243/Model!AD243-1,"NA")</f>
        <v>7.0000000000000062E-2</v>
      </c>
      <c r="AI243" s="1381">
        <f>IFERROR(Model!AI243/Model!AE243-1,"NA")</f>
        <v>7.0000000000000062E-2</v>
      </c>
      <c r="AJ243" s="1381"/>
      <c r="AK243" s="1381"/>
      <c r="AL243" s="1381"/>
      <c r="AM243" s="1381"/>
      <c r="AN243" s="1381"/>
      <c r="AO243" s="1381"/>
      <c r="AP243" s="1381"/>
      <c r="AQ243" s="1381"/>
      <c r="AR243" s="1236"/>
      <c r="AS243" s="1410"/>
      <c r="AT243" s="1284"/>
      <c r="AU243" s="1236"/>
      <c r="AV243" s="1236">
        <f>IFERROR(Model!AV243/Model!AU243-1,"NA")</f>
        <v>2.672467371037901E-2</v>
      </c>
      <c r="AW243" s="1236">
        <f>IFERROR(Model!AW243/Model!AV243-1,"NA")</f>
        <v>4.0556900726392398E-2</v>
      </c>
      <c r="AX243" s="1236">
        <f>IFERROR(Model!AX243/Model!AW243-1,"NA")</f>
        <v>6.2245491564863142E-2</v>
      </c>
      <c r="AY243" s="1236">
        <f>IFERROR(Model!AY243/Model!AX243-1,"NA")</f>
        <v>0.37239868565169765</v>
      </c>
      <c r="AZ243" s="1236">
        <f>IFERROR(Model!AZ243/Model!AY243-1,"NA")</f>
        <v>0.27573822825219474</v>
      </c>
      <c r="BA243" s="1236">
        <f>IFERROR(Model!BA243/Model!AZ243-1,"NA")</f>
        <v>8.0938379730997934E-2</v>
      </c>
      <c r="BB243" s="1381">
        <f>IFERROR(Model!BB243/Model!BA243-1,"NA")</f>
        <v>7.0000000000000062E-2</v>
      </c>
      <c r="BC243" s="1381">
        <f>IFERROR(Model!BC243/Model!BB243-1,"NA")</f>
        <v>6.0000000000000053E-2</v>
      </c>
      <c r="BD243" s="1381">
        <f>IFERROR(Model!BD243/Model!BC243-1,"NA")</f>
        <v>6.0000000000000053E-2</v>
      </c>
      <c r="BE243" s="1381">
        <f>IFERROR(Model!BE243/Model!BD243-1,"NA")</f>
        <v>6.0000000000000053E-2</v>
      </c>
    </row>
    <row r="244" spans="1:57" s="369" customFormat="1" x14ac:dyDescent="0.2">
      <c r="A244" s="411"/>
      <c r="B244" s="375" t="s">
        <v>493</v>
      </c>
      <c r="C244" s="376"/>
      <c r="D244" s="1408"/>
      <c r="E244" s="1408"/>
      <c r="F244" s="1408"/>
      <c r="G244" s="1408"/>
      <c r="H244" s="1408">
        <f>IFERROR(Model!H244/Model!D244-1,"NA")</f>
        <v>-1.2903225806451535E-2</v>
      </c>
      <c r="I244" s="1408">
        <f>IFERROR(Model!I244/Model!E244-1,"NA")</f>
        <v>1.1049723756906049E-2</v>
      </c>
      <c r="J244" s="1408">
        <f>IFERROR(Model!J244/Model!F244-1,"NA")</f>
        <v>3.4285714285714475E-2</v>
      </c>
      <c r="K244" s="1408">
        <f>IFERROR(Model!K244/Model!G244-1,"NA")</f>
        <v>0.1421568627450982</v>
      </c>
      <c r="L244" s="1408">
        <f>IFERROR(Model!L244/Model!H244-1,"NA")</f>
        <v>9.1503267973856106E-2</v>
      </c>
      <c r="M244" s="1408">
        <f>IFERROR(Model!M244/Model!I244-1,"NA")</f>
        <v>0.11475409836065564</v>
      </c>
      <c r="N244" s="1408">
        <f>IFERROR(Model!N244/Model!J244-1,"NA")</f>
        <v>8.8397790055248393E-2</v>
      </c>
      <c r="O244" s="1408">
        <f>IFERROR(Model!O244/Model!K244-1,"NA")</f>
        <v>8.5836909871244149E-3</v>
      </c>
      <c r="P244" s="1408">
        <f>IFERROR(Model!P244/Model!L244-1,"NA")</f>
        <v>-1.19760479041916E-2</v>
      </c>
      <c r="Q244" s="1408">
        <f>IFERROR(Model!Q244/Model!M244-1,"NA")</f>
        <v>-9.8039215686274161E-3</v>
      </c>
      <c r="R244" s="1408">
        <f>IFERROR(Model!R244/Model!N244-1,"NA")</f>
        <v>5.0761421319798217E-3</v>
      </c>
      <c r="S244" s="1408">
        <f>IFERROR(Model!S244/Model!O244-1,"NA")</f>
        <v>0</v>
      </c>
      <c r="T244" s="1408">
        <f>IFERROR(Model!T244/Model!P244-1,"NA")</f>
        <v>2.4242424242424176E-2</v>
      </c>
      <c r="U244" s="1408">
        <f>IFERROR(Model!U244/Model!Q244-1,"NA")</f>
        <v>-4.9504950495048439E-3</v>
      </c>
      <c r="V244" s="1408">
        <f>IFERROR(Model!V244/Model!R244-1,"NA")</f>
        <v>-5.050505050505083E-3</v>
      </c>
      <c r="W244" s="1408">
        <f>IFERROR(Model!W244/Model!S244-1,"NA")</f>
        <v>-1.2765957446808529E-2</v>
      </c>
      <c r="X244" s="1408">
        <f>IFERROR(Model!X244/Model!T244-1,"NA")</f>
        <v>0</v>
      </c>
      <c r="Y244" s="1408">
        <f>IFERROR(Model!Y244/Model!U244-1,"NA")</f>
        <v>2.4875621890547261E-2</v>
      </c>
      <c r="Z244" s="1408">
        <f>IFERROR(Model!Z244/Model!V244-1,"NA")</f>
        <v>1.5228426395939021E-2</v>
      </c>
      <c r="AA244" s="1408">
        <f>IFERROR(Model!AA244/Model!W244-1,"NA")</f>
        <v>1.7241379310344973E-2</v>
      </c>
      <c r="AB244" s="1408">
        <f>IFERROR(Model!AB244/Model!X244-1,"NA")</f>
        <v>2.9585798816567976E-2</v>
      </c>
      <c r="AC244" s="1425">
        <f>IFERROR(Model!AC244/Model!Y244-1,"NA")</f>
        <v>2.4999999999999911E-2</v>
      </c>
      <c r="AD244" s="1425">
        <f>IFERROR(Model!AD244/Model!Z244-1,"NA")</f>
        <v>3.0000000000000027E-2</v>
      </c>
      <c r="AE244" s="1425">
        <f>IFERROR(Model!AE244/Model!AA244-1,"NA")</f>
        <v>3.0000000000000027E-2</v>
      </c>
      <c r="AF244" s="1425">
        <f>IFERROR(Model!AF244/Model!AB244-1,"NA")</f>
        <v>3.0000000000000027E-2</v>
      </c>
      <c r="AG244" s="1425">
        <f>IFERROR(Model!AG244/Model!AC244-1,"NA")</f>
        <v>3.0000000000000027E-2</v>
      </c>
      <c r="AH244" s="1425">
        <f>IFERROR(Model!AH244/Model!AD244-1,"NA")</f>
        <v>3.0000000000000027E-2</v>
      </c>
      <c r="AI244" s="1425">
        <f>IFERROR(Model!AI244/Model!AE244-1,"NA")</f>
        <v>3.0000000000000027E-2</v>
      </c>
      <c r="AJ244" s="1585"/>
      <c r="AK244" s="1585"/>
      <c r="AL244" s="1585"/>
      <c r="AM244" s="1585"/>
      <c r="AN244" s="1585"/>
      <c r="AO244" s="1585"/>
      <c r="AP244" s="1585"/>
      <c r="AQ244" s="1585"/>
      <c r="AR244" s="1236"/>
      <c r="AS244" s="1402"/>
      <c r="AT244" s="1270"/>
      <c r="AU244" s="1246"/>
      <c r="AV244" s="1246">
        <f>IFERROR(Model!AV244/Model!AU244-1,"NA")</f>
        <v>4.8951048951048959E-2</v>
      </c>
      <c r="AW244" s="1246">
        <f>IFERROR(Model!AW244/Model!AV244-1,"NA")</f>
        <v>7.0666666666666655E-2</v>
      </c>
      <c r="AX244" s="1246">
        <f>IFERROR(Model!AX244/Model!AW244-1,"NA")</f>
        <v>-3.7359900373599153E-3</v>
      </c>
      <c r="AY244" s="1246">
        <f>IFERROR(Model!AY244/Model!AX244-1,"NA")</f>
        <v>-1.2499999999999734E-3</v>
      </c>
      <c r="AZ244" s="1246">
        <f>IFERROR(Model!AZ244/Model!AY244-1,"NA")</f>
        <v>1.5018773466833446E-2</v>
      </c>
      <c r="BA244" s="1246">
        <f>IFERROR(Model!BA244/Model!AZ244-1,"NA")</f>
        <v>2.8643649815043304E-2</v>
      </c>
      <c r="BB244" s="1425">
        <f>IFERROR(Model!BB244/Model!BA244-1,"NA")</f>
        <v>3.0000000000000027E-2</v>
      </c>
      <c r="BC244" s="1425">
        <f>IFERROR(Model!BC244/Model!BB244-1,"NA")</f>
        <v>4.0000000000000036E-2</v>
      </c>
      <c r="BD244" s="1425">
        <f>IFERROR(Model!BD244/Model!BC244-1,"NA")</f>
        <v>4.0000000000000036E-2</v>
      </c>
      <c r="BE244" s="1425">
        <f>IFERROR(Model!BE244/Model!BD244-1,"NA")</f>
        <v>4.0000000000000036E-2</v>
      </c>
    </row>
    <row r="245" spans="1:57" s="369" customFormat="1" x14ac:dyDescent="0.2">
      <c r="A245" s="411"/>
      <c r="B245" s="334"/>
      <c r="C245" s="334" t="s">
        <v>494</v>
      </c>
      <c r="D245" s="1311"/>
      <c r="E245" s="1311"/>
      <c r="F245" s="1311"/>
      <c r="G245" s="1311"/>
      <c r="H245" s="1311">
        <f>IFERROR(Model!H245/Model!D245-1,"NA")</f>
        <v>-3.7243947858474069E-3</v>
      </c>
      <c r="I245" s="1311">
        <f>IFERROR(Model!I245/Model!E245-1,"NA")</f>
        <v>2.2071307300509435E-2</v>
      </c>
      <c r="J245" s="1311">
        <f>IFERROR(Model!J245/Model!F245-1,"NA")</f>
        <v>3.460207612456756E-2</v>
      </c>
      <c r="K245" s="1311">
        <f>IFERROR(Model!K245/Model!G245-1,"NA")</f>
        <v>7.5806451612903336E-2</v>
      </c>
      <c r="L245" s="1311">
        <f>IFERROR(Model!L245/Model!H245-1,"NA")</f>
        <v>5.2336448598130803E-2</v>
      </c>
      <c r="M245" s="1311">
        <f>IFERROR(Model!M245/Model!I245-1,"NA")</f>
        <v>6.8106312292358639E-2</v>
      </c>
      <c r="N245" s="1311">
        <f>IFERROR(Model!N245/Model!J245-1,"NA")</f>
        <v>5.3511705685618693E-2</v>
      </c>
      <c r="O245" s="1311">
        <f>IFERROR(Model!O245/Model!K245-1,"NA")</f>
        <v>2.8485757121439192E-2</v>
      </c>
      <c r="P245" s="1311">
        <f>IFERROR(Model!P245/Model!L245-1,"NA")</f>
        <v>1.9538188277087087E-2</v>
      </c>
      <c r="Q245" s="1311">
        <f>IFERROR(Model!Q245/Model!M245-1,"NA")</f>
        <v>3.1104199066874116E-2</v>
      </c>
      <c r="R245" s="1311">
        <f>IFERROR(Model!R245/Model!N245-1,"NA")</f>
        <v>5.3968253968253999E-2</v>
      </c>
      <c r="S245" s="1311">
        <f>IFERROR(Model!S245/Model!O245-1,"NA")</f>
        <v>5.6851311953352912E-2</v>
      </c>
      <c r="T245" s="1311">
        <f>IFERROR(Model!T245/Model!P245-1,"NA")</f>
        <v>9.4076655052264702E-2</v>
      </c>
      <c r="U245" s="1311">
        <f>IFERROR(Model!U245/Model!Q245-1,"NA")</f>
        <v>0.10407239819004532</v>
      </c>
      <c r="V245" s="1311">
        <f>IFERROR(Model!V245/Model!R245-1,"NA")</f>
        <v>0.39759036144578297</v>
      </c>
      <c r="W245" s="1311">
        <f>IFERROR(Model!W245/Model!S245-1,"NA")</f>
        <v>0.40275862068965518</v>
      </c>
      <c r="X245" s="1311">
        <f>IFERROR(Model!X245/Model!T245-1,"NA")</f>
        <v>0.42356687898089196</v>
      </c>
      <c r="Y245" s="1311">
        <f>IFERROR(Model!Y245/Model!U245-1,"NA")</f>
        <v>0.38114754098360648</v>
      </c>
      <c r="Z245" s="1311">
        <f>IFERROR(Model!Z245/Model!V245-1,"NA")</f>
        <v>8.1896551724138122E-2</v>
      </c>
      <c r="AA245" s="1311">
        <f>IFERROR(Model!AA245/Model!W245-1,"NA")</f>
        <v>8.0629301868240022E-2</v>
      </c>
      <c r="AB245" s="1311">
        <f>IFERROR(Model!AB245/Model!X245-1,"NA")</f>
        <v>7.3825503355704702E-2</v>
      </c>
      <c r="AC245" s="1311">
        <f>IFERROR(Model!AC245/Model!Y245-1,"NA")</f>
        <v>6.8793273986152537E-2</v>
      </c>
      <c r="AD245" s="1311">
        <f>IFERROR(Model!AD245/Model!Z245-1,"NA")</f>
        <v>7.0039840637450279E-2</v>
      </c>
      <c r="AE245" s="1311">
        <f>IFERROR(Model!AE245/Model!AA245-1,"NA")</f>
        <v>6.9262966333030196E-2</v>
      </c>
      <c r="AF245" s="1311">
        <f>IFERROR(Model!AF245/Model!AB245-1,"NA")</f>
        <v>6.2750000000000083E-2</v>
      </c>
      <c r="AG245" s="1311">
        <f>IFERROR(Model!AG245/Model!AC245-1,"NA")</f>
        <v>6.2183610198510264E-2</v>
      </c>
      <c r="AH245" s="1311">
        <f>IFERROR(Model!AH245/Model!AD245-1,"NA")</f>
        <v>6.2330032020254666E-2</v>
      </c>
      <c r="AI245" s="1311">
        <f>IFERROR(Model!AI245/Model!AE245-1,"NA")</f>
        <v>6.1725781196813934E-2</v>
      </c>
      <c r="AJ245" s="1311"/>
      <c r="AK245" s="1311"/>
      <c r="AL245" s="1311"/>
      <c r="AM245" s="1311"/>
      <c r="AN245" s="1311"/>
      <c r="AO245" s="1311"/>
      <c r="AP245" s="1311"/>
      <c r="AQ245" s="1311"/>
      <c r="AR245" s="1236"/>
      <c r="AS245" s="1410"/>
      <c r="AT245" s="1410"/>
      <c r="AU245" s="1311"/>
      <c r="AV245" s="1311">
        <f>IFERROR(Model!AV245/Model!AU245-1,"NA")</f>
        <v>3.3562822719449104E-2</v>
      </c>
      <c r="AW245" s="1311">
        <f>IFERROR(Model!AW245/Model!AV245-1,"NA")</f>
        <v>4.995836802664444E-2</v>
      </c>
      <c r="AX245" s="1311">
        <f>IFERROR(Model!AX245/Model!AW245-1,"NA")</f>
        <v>4.1237113402061931E-2</v>
      </c>
      <c r="AY245" s="1311">
        <f>IFERROR(Model!AY245/Model!AX245-1,"NA")</f>
        <v>0.25856816450875852</v>
      </c>
      <c r="AZ245" s="1311">
        <f>IFERROR(Model!AZ245/Model!AY245-1,"NA")</f>
        <v>0.21270801815431151</v>
      </c>
      <c r="BA245" s="1311">
        <f>IFERROR(Model!BA245/Model!AZ245-1,"NA")</f>
        <v>7.0356786427145934E-2</v>
      </c>
      <c r="BB245" s="1311">
        <f>IFERROR(Model!BB245/Model!BA245-1,"NA")</f>
        <v>6.2221613570194956E-2</v>
      </c>
      <c r="BC245" s="1311">
        <f>IFERROR(Model!BC245/Model!BB245-1,"NA")</f>
        <v>5.6228782242637942E-2</v>
      </c>
      <c r="BD245" s="1311">
        <f>IFERROR(Model!BD245/Model!BC245-1,"NA")</f>
        <v>5.6286726385803565E-2</v>
      </c>
      <c r="BE245" s="1311">
        <f>IFERROR(Model!BE245/Model!BD245-1,"NA")</f>
        <v>5.6343980793947868E-2</v>
      </c>
    </row>
    <row r="246" spans="1:57" s="369" customFormat="1" x14ac:dyDescent="0.2">
      <c r="A246" s="411"/>
      <c r="B246" s="334"/>
      <c r="C246" s="334"/>
      <c r="D246" s="1311"/>
      <c r="E246" s="1311"/>
      <c r="F246" s="1311"/>
      <c r="G246" s="1311"/>
      <c r="H246" s="1311"/>
      <c r="I246" s="1311"/>
      <c r="J246" s="1311"/>
      <c r="K246" s="1311"/>
      <c r="L246" s="1311"/>
      <c r="M246" s="1311"/>
      <c r="N246" s="1311"/>
      <c r="O246" s="1311"/>
      <c r="P246" s="1311"/>
      <c r="Q246" s="1311"/>
      <c r="R246" s="1311"/>
      <c r="S246" s="1311"/>
      <c r="T246" s="1311"/>
      <c r="U246" s="1311"/>
      <c r="V246" s="1311"/>
      <c r="W246" s="1311"/>
      <c r="X246" s="1311"/>
      <c r="Y246" s="1311"/>
      <c r="Z246" s="1311"/>
      <c r="AA246" s="1311"/>
      <c r="AB246" s="1311"/>
      <c r="AC246" s="1284"/>
      <c r="AD246" s="1284"/>
      <c r="AE246" s="1284"/>
      <c r="AF246" s="1284"/>
      <c r="AG246" s="1284"/>
      <c r="AH246" s="1284"/>
      <c r="AI246" s="1284"/>
      <c r="AJ246" s="1284"/>
      <c r="AK246" s="1284"/>
      <c r="AL246" s="1284"/>
      <c r="AM246" s="1284"/>
      <c r="AN246" s="1284"/>
      <c r="AO246" s="1284"/>
      <c r="AP246" s="1284"/>
      <c r="AQ246" s="1284"/>
      <c r="AR246" s="1236"/>
      <c r="AS246" s="1410"/>
      <c r="AT246" s="1410"/>
      <c r="AU246" s="1263"/>
      <c r="AV246" s="1263"/>
      <c r="AW246" s="1263"/>
      <c r="AX246" s="1263"/>
      <c r="AY246" s="1263"/>
      <c r="AZ246" s="1263"/>
      <c r="BA246" s="1263"/>
      <c r="BB246" s="1263"/>
      <c r="BC246" s="1263"/>
      <c r="BD246" s="1263"/>
      <c r="BE246" s="1263"/>
    </row>
    <row r="247" spans="1:57" s="369" customFormat="1" x14ac:dyDescent="0.2">
      <c r="A247" s="411"/>
      <c r="B247" s="337" t="s">
        <v>228</v>
      </c>
      <c r="C247" s="366"/>
      <c r="D247" s="1426"/>
      <c r="E247" s="1426"/>
      <c r="F247" s="1426"/>
      <c r="G247" s="1426"/>
      <c r="H247" s="1426"/>
      <c r="I247" s="1426"/>
      <c r="J247" s="1426"/>
      <c r="K247" s="1426"/>
      <c r="L247" s="1426"/>
      <c r="M247" s="1426"/>
      <c r="N247" s="1426"/>
      <c r="O247" s="1426"/>
      <c r="P247" s="1426"/>
      <c r="Q247" s="1426"/>
      <c r="R247" s="1426"/>
      <c r="S247" s="1426"/>
      <c r="T247" s="1426"/>
      <c r="U247" s="1426"/>
      <c r="V247" s="1426"/>
      <c r="W247" s="1426"/>
      <c r="X247" s="1426"/>
      <c r="Y247" s="1426"/>
      <c r="Z247" s="1426"/>
      <c r="AA247" s="1417"/>
      <c r="AB247" s="1417"/>
      <c r="AC247" s="1417"/>
      <c r="AD247" s="1417"/>
      <c r="AE247" s="1417"/>
      <c r="AF247" s="1417"/>
      <c r="AG247" s="1417"/>
      <c r="AH247" s="1417"/>
      <c r="AI247" s="1417"/>
      <c r="AJ247" s="1417"/>
      <c r="AK247" s="1417"/>
      <c r="AL247" s="1417"/>
      <c r="AM247" s="1417"/>
      <c r="AN247" s="1417"/>
      <c r="AO247" s="1417"/>
      <c r="AP247" s="1417"/>
      <c r="AQ247" s="1417"/>
      <c r="AR247" s="1236"/>
      <c r="AS247" s="1418"/>
      <c r="AT247" s="1419"/>
      <c r="AU247" s="1398"/>
      <c r="AV247" s="1398"/>
      <c r="AW247" s="1398"/>
      <c r="AX247" s="1398"/>
      <c r="AY247" s="1398"/>
      <c r="AZ247" s="1398"/>
      <c r="BA247" s="1398"/>
      <c r="BB247" s="1398"/>
      <c r="BC247" s="1398"/>
      <c r="BD247" s="1398"/>
      <c r="BE247" s="1398"/>
    </row>
    <row r="248" spans="1:57" s="369" customFormat="1" x14ac:dyDescent="0.2">
      <c r="A248" s="411"/>
      <c r="B248" s="334" t="s">
        <v>195</v>
      </c>
      <c r="C248" s="334"/>
      <c r="D248" s="1427"/>
      <c r="E248" s="1427"/>
      <c r="F248" s="1427"/>
      <c r="G248" s="1427"/>
      <c r="H248" s="1427"/>
      <c r="I248" s="1427"/>
      <c r="J248" s="1427"/>
      <c r="K248" s="1427"/>
      <c r="L248" s="1427"/>
      <c r="M248" s="1427"/>
      <c r="N248" s="1427"/>
      <c r="O248" s="1427"/>
      <c r="P248" s="1427"/>
      <c r="Q248" s="1427"/>
      <c r="R248" s="1427"/>
      <c r="S248" s="1427"/>
      <c r="T248" s="1427"/>
      <c r="U248" s="1427"/>
      <c r="V248" s="1427"/>
      <c r="W248" s="1427"/>
      <c r="X248" s="1427"/>
      <c r="Y248" s="1427"/>
      <c r="Z248" s="1250"/>
      <c r="AA248" s="1250"/>
      <c r="AB248" s="1250"/>
      <c r="AC248" s="1250"/>
      <c r="AD248" s="1250"/>
      <c r="AE248" s="1250"/>
      <c r="AF248" s="1250"/>
      <c r="AG248" s="1250"/>
      <c r="AH248" s="1250"/>
      <c r="AI248" s="1250"/>
      <c r="AJ248" s="1250"/>
      <c r="AK248" s="1250"/>
      <c r="AL248" s="1250"/>
      <c r="AM248" s="1250"/>
      <c r="AN248" s="1250"/>
      <c r="AO248" s="1250"/>
      <c r="AP248" s="1250"/>
      <c r="AQ248" s="1250"/>
      <c r="AR248" s="1236"/>
      <c r="AS248" s="1410"/>
      <c r="AT248" s="1410"/>
      <c r="AU248" s="1261"/>
      <c r="AV248" s="1261"/>
      <c r="AW248" s="1261"/>
      <c r="AX248" s="1261"/>
      <c r="AY248" s="1261"/>
      <c r="AZ248" s="1261"/>
      <c r="BA248" s="1261"/>
      <c r="BB248" s="1261"/>
      <c r="BC248" s="1261"/>
      <c r="BD248" s="1261"/>
      <c r="BE248" s="1261"/>
    </row>
    <row r="249" spans="1:57" s="369" customFormat="1" x14ac:dyDescent="0.2">
      <c r="A249" s="411"/>
      <c r="B249" s="334" t="s">
        <v>486</v>
      </c>
      <c r="C249" s="334"/>
      <c r="D249" s="1427"/>
      <c r="E249" s="1427"/>
      <c r="F249" s="1427"/>
      <c r="G249" s="1427"/>
      <c r="H249" s="1427"/>
      <c r="I249" s="1427"/>
      <c r="J249" s="1427"/>
      <c r="K249" s="1427"/>
      <c r="L249" s="1427"/>
      <c r="M249" s="1427"/>
      <c r="N249" s="1427"/>
      <c r="O249" s="1427"/>
      <c r="P249" s="1427"/>
      <c r="Q249" s="1427"/>
      <c r="R249" s="1427"/>
      <c r="S249" s="1427"/>
      <c r="T249" s="1427"/>
      <c r="U249" s="1427"/>
      <c r="V249" s="1427"/>
      <c r="W249" s="1427"/>
      <c r="X249" s="1427"/>
      <c r="Y249" s="1427"/>
      <c r="Z249" s="1250"/>
      <c r="AA249" s="1250"/>
      <c r="AB249" s="1250"/>
      <c r="AC249" s="1250"/>
      <c r="AD249" s="1250"/>
      <c r="AE249" s="1250"/>
      <c r="AF249" s="1250"/>
      <c r="AG249" s="1250"/>
      <c r="AH249" s="1250"/>
      <c r="AI249" s="1250"/>
      <c r="AJ249" s="1250"/>
      <c r="AK249" s="1250"/>
      <c r="AL249" s="1250"/>
      <c r="AM249" s="1250"/>
      <c r="AN249" s="1250"/>
      <c r="AO249" s="1250"/>
      <c r="AP249" s="1250"/>
      <c r="AQ249" s="1250"/>
      <c r="AR249" s="1236"/>
      <c r="AS249" s="1410"/>
      <c r="AT249" s="1410"/>
      <c r="AU249" s="1261"/>
      <c r="AV249" s="1261"/>
      <c r="AW249" s="1261"/>
      <c r="AX249" s="1261"/>
      <c r="AY249" s="1261"/>
      <c r="AZ249" s="1261"/>
      <c r="BA249" s="1261"/>
      <c r="BB249" s="1261"/>
      <c r="BC249" s="1261"/>
      <c r="BD249" s="1261"/>
      <c r="BE249" s="1261"/>
    </row>
    <row r="250" spans="1:57" s="369" customFormat="1" x14ac:dyDescent="0.2">
      <c r="A250" s="411"/>
      <c r="B250" s="334"/>
      <c r="C250" s="334"/>
      <c r="D250" s="1274"/>
      <c r="E250" s="1274"/>
      <c r="F250" s="1274"/>
      <c r="G250" s="1274"/>
      <c r="H250" s="1274"/>
      <c r="I250" s="1274"/>
      <c r="J250" s="1274"/>
      <c r="K250" s="1274"/>
      <c r="L250" s="1274"/>
      <c r="M250" s="1274"/>
      <c r="N250" s="1274"/>
      <c r="O250" s="1274"/>
      <c r="P250" s="1274"/>
      <c r="Q250" s="1274"/>
      <c r="R250" s="1274"/>
      <c r="S250" s="1274"/>
      <c r="T250" s="1274"/>
      <c r="U250" s="1274"/>
      <c r="V250" s="1274"/>
      <c r="W250" s="1274"/>
      <c r="X250" s="1274"/>
      <c r="Y250" s="1274"/>
      <c r="Z250" s="1250"/>
      <c r="AA250" s="407"/>
      <c r="AB250" s="407"/>
      <c r="AC250" s="1250"/>
      <c r="AD250" s="1250"/>
      <c r="AE250" s="1250"/>
      <c r="AF250" s="1250"/>
      <c r="AG250" s="1250"/>
      <c r="AH250" s="1250"/>
      <c r="AI250" s="1250"/>
      <c r="AJ250" s="1250"/>
      <c r="AK250" s="1250"/>
      <c r="AL250" s="1250"/>
      <c r="AM250" s="1250"/>
      <c r="AN250" s="1250"/>
      <c r="AO250" s="1250"/>
      <c r="AP250" s="1250"/>
      <c r="AQ250" s="1250"/>
      <c r="AR250" s="1236"/>
      <c r="AS250" s="1410"/>
      <c r="AT250" s="1410"/>
      <c r="AU250" s="1263"/>
      <c r="AV250" s="1263"/>
      <c r="AW250" s="1263"/>
      <c r="AX250" s="1263"/>
      <c r="AY250" s="1263"/>
      <c r="AZ250" s="1263"/>
      <c r="BA250" s="1263"/>
      <c r="BB250" s="1263"/>
      <c r="BC250" s="1263"/>
      <c r="BD250" s="1263"/>
      <c r="BE250" s="1263"/>
    </row>
    <row r="251" spans="1:57" s="369" customFormat="1" x14ac:dyDescent="0.2">
      <c r="A251" s="411"/>
      <c r="B251" s="337" t="s">
        <v>219</v>
      </c>
      <c r="C251" s="366"/>
      <c r="D251" s="1428"/>
      <c r="E251" s="1428"/>
      <c r="F251" s="1428"/>
      <c r="G251" s="1428"/>
      <c r="H251" s="1428"/>
      <c r="I251" s="1428"/>
      <c r="J251" s="1428"/>
      <c r="K251" s="1428"/>
      <c r="L251" s="1428"/>
      <c r="M251" s="1428"/>
      <c r="N251" s="1428"/>
      <c r="O251" s="1428"/>
      <c r="P251" s="1428"/>
      <c r="Q251" s="1428"/>
      <c r="R251" s="1428"/>
      <c r="S251" s="1428"/>
      <c r="T251" s="1428"/>
      <c r="U251" s="1428"/>
      <c r="V251" s="1428"/>
      <c r="W251" s="1428"/>
      <c r="X251" s="1428"/>
      <c r="Y251" s="1428"/>
      <c r="Z251" s="1398"/>
      <c r="AA251" s="1398"/>
      <c r="AB251" s="1398"/>
      <c r="AC251" s="1398"/>
      <c r="AD251" s="1398"/>
      <c r="AE251" s="1398"/>
      <c r="AF251" s="1398"/>
      <c r="AG251" s="1398"/>
      <c r="AH251" s="1398"/>
      <c r="AI251" s="1398"/>
      <c r="AJ251" s="1398"/>
      <c r="AK251" s="1398"/>
      <c r="AL251" s="1398"/>
      <c r="AM251" s="1398"/>
      <c r="AN251" s="1398"/>
      <c r="AO251" s="1398"/>
      <c r="AP251" s="1398"/>
      <c r="AQ251" s="1398"/>
      <c r="AR251" s="1236"/>
      <c r="AS251" s="1418"/>
      <c r="AT251" s="1419"/>
      <c r="AU251" s="1398"/>
      <c r="AV251" s="1398"/>
      <c r="AW251" s="1398"/>
      <c r="AX251" s="1398"/>
      <c r="AY251" s="1398"/>
      <c r="AZ251" s="1398"/>
      <c r="BA251" s="1398"/>
      <c r="BB251" s="1398"/>
      <c r="BC251" s="1398"/>
      <c r="BD251" s="1398"/>
      <c r="BE251" s="1398"/>
    </row>
    <row r="252" spans="1:57" s="369" customFormat="1" x14ac:dyDescent="0.2">
      <c r="A252" s="411"/>
      <c r="B252" s="334" t="s">
        <v>195</v>
      </c>
      <c r="C252" s="334"/>
      <c r="D252" s="1274"/>
      <c r="E252" s="1274"/>
      <c r="F252" s="1274"/>
      <c r="G252" s="1274"/>
      <c r="H252" s="1274"/>
      <c r="I252" s="1274"/>
      <c r="J252" s="1274"/>
      <c r="K252" s="1274"/>
      <c r="L252" s="1274"/>
      <c r="M252" s="1274"/>
      <c r="N252" s="1274"/>
      <c r="O252" s="1274"/>
      <c r="P252" s="1274"/>
      <c r="Q252" s="1274"/>
      <c r="R252" s="1274"/>
      <c r="S252" s="1274"/>
      <c r="T252" s="1274"/>
      <c r="U252" s="1274"/>
      <c r="V252" s="1274"/>
      <c r="W252" s="1274"/>
      <c r="X252" s="1274"/>
      <c r="Y252" s="1274"/>
      <c r="Z252" s="1274"/>
      <c r="AA252" s="1274"/>
      <c r="AB252" s="1274"/>
      <c r="AC252" s="1250"/>
      <c r="AD252" s="1250"/>
      <c r="AE252" s="1250"/>
      <c r="AF252" s="1250"/>
      <c r="AG252" s="1250"/>
      <c r="AH252" s="1250"/>
      <c r="AI252" s="1250"/>
      <c r="AJ252" s="1250"/>
      <c r="AK252" s="1250"/>
      <c r="AL252" s="1250"/>
      <c r="AM252" s="1250"/>
      <c r="AN252" s="1250"/>
      <c r="AO252" s="1250"/>
      <c r="AP252" s="1250"/>
      <c r="AQ252" s="1250"/>
      <c r="AR252" s="1236"/>
      <c r="AS252" s="1410"/>
      <c r="AT252" s="1410"/>
      <c r="AU252" s="1261"/>
      <c r="AV252" s="1261"/>
      <c r="AW252" s="1261"/>
      <c r="AX252" s="1261"/>
      <c r="AY252" s="1261"/>
      <c r="AZ252" s="1261"/>
      <c r="BA252" s="1261"/>
      <c r="BB252" s="1261"/>
      <c r="BC252" s="1261"/>
      <c r="BD252" s="1261"/>
      <c r="BE252" s="1261"/>
    </row>
    <row r="253" spans="1:57" s="369" customFormat="1" x14ac:dyDescent="0.2">
      <c r="A253" s="411"/>
      <c r="B253" s="334" t="s">
        <v>486</v>
      </c>
      <c r="C253" s="334"/>
      <c r="D253" s="1274"/>
      <c r="E253" s="1274"/>
      <c r="F253" s="1274"/>
      <c r="G253" s="1274"/>
      <c r="H253" s="1274"/>
      <c r="I253" s="1274"/>
      <c r="J253" s="1274"/>
      <c r="K253" s="1274"/>
      <c r="L253" s="1274"/>
      <c r="M253" s="1274"/>
      <c r="N253" s="1274"/>
      <c r="O253" s="1274"/>
      <c r="P253" s="1274"/>
      <c r="Q253" s="1274"/>
      <c r="R253" s="1274"/>
      <c r="S253" s="1274"/>
      <c r="T253" s="1274"/>
      <c r="U253" s="1274"/>
      <c r="V253" s="1274"/>
      <c r="W253" s="1274"/>
      <c r="X253" s="1274"/>
      <c r="Y253" s="1274"/>
      <c r="Z253" s="1274"/>
      <c r="AA253" s="1274"/>
      <c r="AB253" s="1274"/>
      <c r="AC253" s="1250"/>
      <c r="AD253" s="1250"/>
      <c r="AE253" s="1250"/>
      <c r="AF253" s="1250"/>
      <c r="AG253" s="1250"/>
      <c r="AH253" s="1250"/>
      <c r="AI253" s="1250"/>
      <c r="AJ253" s="1250"/>
      <c r="AK253" s="1250"/>
      <c r="AL253" s="1250"/>
      <c r="AM253" s="1250"/>
      <c r="AN253" s="1250"/>
      <c r="AO253" s="1250"/>
      <c r="AP253" s="1250"/>
      <c r="AQ253" s="1250"/>
      <c r="AR253" s="1236"/>
      <c r="AS253" s="1410"/>
      <c r="AT253" s="1410"/>
      <c r="AU253" s="1261"/>
      <c r="AV253" s="1261"/>
      <c r="AW253" s="1261"/>
      <c r="AX253" s="1261"/>
      <c r="AY253" s="1261"/>
      <c r="AZ253" s="1261"/>
      <c r="BA253" s="1261"/>
      <c r="BB253" s="1261"/>
      <c r="BC253" s="1261"/>
      <c r="BD253" s="1261"/>
      <c r="BE253" s="1261"/>
    </row>
    <row r="254" spans="1:57" s="369" customFormat="1" x14ac:dyDescent="0.2">
      <c r="A254" s="411"/>
      <c r="B254" s="334"/>
      <c r="C254" s="334"/>
      <c r="D254" s="1274"/>
      <c r="E254" s="1274"/>
      <c r="F254" s="1274"/>
      <c r="G254" s="1274"/>
      <c r="H254" s="1274"/>
      <c r="I254" s="1274"/>
      <c r="J254" s="1274"/>
      <c r="K254" s="1274"/>
      <c r="L254" s="1274"/>
      <c r="M254" s="1274"/>
      <c r="N254" s="1274"/>
      <c r="O254" s="1274"/>
      <c r="P254" s="1274"/>
      <c r="Q254" s="1274"/>
      <c r="R254" s="1274"/>
      <c r="S254" s="1274"/>
      <c r="T254" s="1274"/>
      <c r="U254" s="1274"/>
      <c r="V254" s="1274"/>
      <c r="W254" s="1274"/>
      <c r="X254" s="1274"/>
      <c r="Y254" s="1274"/>
      <c r="Z254" s="1274"/>
      <c r="AA254" s="1274"/>
      <c r="AB254" s="1274"/>
      <c r="AC254" s="1284"/>
      <c r="AD254" s="1284"/>
      <c r="AE254" s="1284"/>
      <c r="AF254" s="1284"/>
      <c r="AG254" s="1284"/>
      <c r="AH254" s="1284"/>
      <c r="AI254" s="1284"/>
      <c r="AJ254" s="1284"/>
      <c r="AK254" s="1284"/>
      <c r="AL254" s="1284"/>
      <c r="AM254" s="1284"/>
      <c r="AN254" s="1284"/>
      <c r="AO254" s="1284"/>
      <c r="AP254" s="1284"/>
      <c r="AQ254" s="1284"/>
      <c r="AR254" s="1236"/>
      <c r="AS254" s="1410"/>
      <c r="AT254" s="1410"/>
      <c r="AU254" s="1263"/>
      <c r="AV254" s="1263"/>
      <c r="AW254" s="1263"/>
      <c r="AX254" s="1263"/>
      <c r="AY254" s="1263"/>
      <c r="AZ254" s="1263"/>
      <c r="BA254" s="1263"/>
      <c r="BB254" s="1263"/>
      <c r="BC254" s="1263"/>
      <c r="BD254" s="1263"/>
      <c r="BE254" s="1263"/>
    </row>
    <row r="255" spans="1:57" s="369" customFormat="1" x14ac:dyDescent="0.2">
      <c r="A255" s="411"/>
      <c r="B255" s="337" t="s">
        <v>302</v>
      </c>
      <c r="C255" s="366"/>
      <c r="D255" s="1417"/>
      <c r="E255" s="1417"/>
      <c r="F255" s="1417"/>
      <c r="G255" s="1417"/>
      <c r="H255" s="1417"/>
      <c r="I255" s="1417"/>
      <c r="J255" s="1417"/>
      <c r="K255" s="1417"/>
      <c r="L255" s="1417"/>
      <c r="M255" s="1417"/>
      <c r="N255" s="1417"/>
      <c r="O255" s="1417"/>
      <c r="P255" s="1417"/>
      <c r="Q255" s="1417"/>
      <c r="R255" s="1417"/>
      <c r="S255" s="1417"/>
      <c r="T255" s="1417"/>
      <c r="U255" s="1417"/>
      <c r="V255" s="1417"/>
      <c r="W255" s="1417"/>
      <c r="X255" s="1417"/>
      <c r="Y255" s="1417"/>
      <c r="Z255" s="1417"/>
      <c r="AA255" s="1417"/>
      <c r="AB255" s="1417"/>
      <c r="AC255" s="1417"/>
      <c r="AD255" s="1417"/>
      <c r="AE255" s="1417"/>
      <c r="AF255" s="1417"/>
      <c r="AG255" s="1417"/>
      <c r="AH255" s="1417"/>
      <c r="AI255" s="1417"/>
      <c r="AJ255" s="1417"/>
      <c r="AK255" s="1417"/>
      <c r="AL255" s="1417"/>
      <c r="AM255" s="1417"/>
      <c r="AN255" s="1417"/>
      <c r="AO255" s="1417"/>
      <c r="AP255" s="1417"/>
      <c r="AQ255" s="1417"/>
      <c r="AR255" s="1236"/>
      <c r="AS255" s="1418"/>
      <c r="AT255" s="1419"/>
      <c r="AU255" s="1398"/>
      <c r="AV255" s="1398"/>
      <c r="AW255" s="1398"/>
      <c r="AX255" s="1398"/>
      <c r="AY255" s="1398"/>
      <c r="AZ255" s="1398"/>
      <c r="BA255" s="1398"/>
      <c r="BB255" s="1398"/>
      <c r="BC255" s="1398"/>
      <c r="BD255" s="1398"/>
      <c r="BE255" s="1398"/>
    </row>
    <row r="256" spans="1:57" s="369" customFormat="1" x14ac:dyDescent="0.2">
      <c r="A256" s="411"/>
      <c r="B256" s="17" t="s">
        <v>74</v>
      </c>
      <c r="C256" s="334"/>
      <c r="D256" s="1272"/>
      <c r="E256" s="1272"/>
      <c r="F256" s="1272"/>
      <c r="G256" s="1272"/>
      <c r="H256" s="1272"/>
      <c r="I256" s="1272"/>
      <c r="J256" s="1272"/>
      <c r="K256" s="1272"/>
      <c r="L256" s="1272"/>
      <c r="M256" s="1272"/>
      <c r="N256" s="1272"/>
      <c r="O256" s="1272"/>
      <c r="P256" s="1272"/>
      <c r="Q256" s="1272"/>
      <c r="R256" s="1272"/>
      <c r="S256" s="1272"/>
      <c r="T256" s="1272"/>
      <c r="U256" s="1272"/>
      <c r="V256" s="1272"/>
      <c r="W256" s="1272"/>
      <c r="X256" s="1272"/>
      <c r="Y256" s="1272"/>
      <c r="Z256" s="1272"/>
      <c r="AA256" s="1272"/>
      <c r="AB256" s="1272"/>
      <c r="AC256" s="1429"/>
      <c r="AD256" s="1429"/>
      <c r="AE256" s="1429"/>
      <c r="AF256" s="1429"/>
      <c r="AG256" s="1429"/>
      <c r="AH256" s="1429"/>
      <c r="AI256" s="1429"/>
      <c r="AJ256" s="1429"/>
      <c r="AK256" s="1429"/>
      <c r="AL256" s="1429"/>
      <c r="AM256" s="1429"/>
      <c r="AN256" s="1429"/>
      <c r="AO256" s="1429"/>
      <c r="AP256" s="1429"/>
      <c r="AQ256" s="1429"/>
      <c r="AR256" s="1236"/>
      <c r="AS256" s="1372"/>
      <c r="AT256" s="1410"/>
      <c r="AU256" s="1261"/>
      <c r="AV256" s="1261"/>
      <c r="AW256" s="1261"/>
      <c r="AX256" s="1261"/>
      <c r="AY256" s="1261"/>
      <c r="AZ256" s="1261"/>
      <c r="BA256" s="1261"/>
      <c r="BB256" s="1429"/>
      <c r="BC256" s="1429"/>
      <c r="BD256" s="1429"/>
      <c r="BE256" s="1429"/>
    </row>
    <row r="257" spans="1:57" s="369" customFormat="1" x14ac:dyDescent="0.2">
      <c r="A257" s="411"/>
      <c r="B257" s="334" t="s">
        <v>195</v>
      </c>
      <c r="C257" s="334"/>
      <c r="D257" s="1272"/>
      <c r="E257" s="1272"/>
      <c r="F257" s="1272"/>
      <c r="G257" s="1272"/>
      <c r="H257" s="1272"/>
      <c r="I257" s="1272"/>
      <c r="J257" s="1272"/>
      <c r="K257" s="1272"/>
      <c r="L257" s="1272"/>
      <c r="M257" s="1272"/>
      <c r="N257" s="1272"/>
      <c r="O257" s="1272"/>
      <c r="P257" s="1272"/>
      <c r="Q257" s="1272"/>
      <c r="R257" s="1272"/>
      <c r="S257" s="1272"/>
      <c r="T257" s="1272"/>
      <c r="U257" s="1272"/>
      <c r="V257" s="1272"/>
      <c r="W257" s="1272"/>
      <c r="X257" s="1272"/>
      <c r="Y257" s="1272"/>
      <c r="Z257" s="1272"/>
      <c r="AA257" s="1272"/>
      <c r="AB257" s="1272"/>
      <c r="AC257" s="1429"/>
      <c r="AD257" s="1429"/>
      <c r="AE257" s="1429"/>
      <c r="AF257" s="1429"/>
      <c r="AG257" s="1429"/>
      <c r="AH257" s="1429"/>
      <c r="AI257" s="1429"/>
      <c r="AJ257" s="1429"/>
      <c r="AK257" s="1429"/>
      <c r="AL257" s="1429"/>
      <c r="AM257" s="1429"/>
      <c r="AN257" s="1429"/>
      <c r="AO257" s="1429"/>
      <c r="AP257" s="1429"/>
      <c r="AQ257" s="1429"/>
      <c r="AR257" s="1236"/>
      <c r="AS257" s="1410"/>
      <c r="AT257" s="1410"/>
      <c r="AU257" s="1261"/>
      <c r="AV257" s="1261"/>
      <c r="AW257" s="1261"/>
      <c r="AX257" s="1261"/>
      <c r="AY257" s="1261"/>
      <c r="AZ257" s="1261"/>
      <c r="BA257" s="1261"/>
      <c r="BB257" s="1429"/>
      <c r="BC257" s="1429"/>
      <c r="BD257" s="1429"/>
      <c r="BE257" s="1429"/>
    </row>
    <row r="258" spans="1:57" s="369" customFormat="1" x14ac:dyDescent="0.2">
      <c r="A258" s="411"/>
      <c r="B258" s="334" t="s">
        <v>486</v>
      </c>
      <c r="C258" s="334"/>
      <c r="D258" s="1272"/>
      <c r="E258" s="1272"/>
      <c r="F258" s="1272"/>
      <c r="G258" s="1272"/>
      <c r="H258" s="1272"/>
      <c r="I258" s="1272"/>
      <c r="J258" s="1272"/>
      <c r="K258" s="1272"/>
      <c r="L258" s="1272"/>
      <c r="M258" s="1272"/>
      <c r="N258" s="1272"/>
      <c r="O258" s="1272"/>
      <c r="P258" s="1272"/>
      <c r="Q258" s="1272"/>
      <c r="R258" s="1272"/>
      <c r="S258" s="1272"/>
      <c r="T258" s="1272"/>
      <c r="U258" s="1272"/>
      <c r="V258" s="1272"/>
      <c r="W258" s="1272"/>
      <c r="X258" s="1272"/>
      <c r="Y258" s="1272"/>
      <c r="Z258" s="1272"/>
      <c r="AA258" s="1272"/>
      <c r="AB258" s="1272"/>
      <c r="AC258" s="1429"/>
      <c r="AD258" s="1429"/>
      <c r="AE258" s="1429"/>
      <c r="AF258" s="1429"/>
      <c r="AG258" s="1429"/>
      <c r="AH258" s="1429"/>
      <c r="AI258" s="1429"/>
      <c r="AJ258" s="1429"/>
      <c r="AK258" s="1429"/>
      <c r="AL258" s="1429"/>
      <c r="AM258" s="1429"/>
      <c r="AN258" s="1429"/>
      <c r="AO258" s="1429"/>
      <c r="AP258" s="1429"/>
      <c r="AQ258" s="1429"/>
      <c r="AR258" s="1236"/>
      <c r="AS258" s="1410"/>
      <c r="AT258" s="1410"/>
      <c r="AU258" s="1261"/>
      <c r="AV258" s="1261"/>
      <c r="AW258" s="1261"/>
      <c r="AX258" s="1261"/>
      <c r="AY258" s="1261"/>
      <c r="AZ258" s="1261"/>
      <c r="BA258" s="1261"/>
      <c r="BB258" s="1429"/>
      <c r="BC258" s="1429"/>
      <c r="BD258" s="1429"/>
      <c r="BE258" s="1429"/>
    </row>
    <row r="259" spans="1:57" s="369" customFormat="1" x14ac:dyDescent="0.2">
      <c r="A259" s="411"/>
      <c r="B259" s="334"/>
      <c r="C259" s="334"/>
      <c r="D259" s="1272"/>
      <c r="E259" s="1272"/>
      <c r="F259" s="1272"/>
      <c r="G259" s="1272"/>
      <c r="H259" s="1272"/>
      <c r="I259" s="1272"/>
      <c r="J259" s="1272"/>
      <c r="K259" s="1272"/>
      <c r="L259" s="1272"/>
      <c r="M259" s="1272"/>
      <c r="N259" s="1272"/>
      <c r="O259" s="1272"/>
      <c r="P259" s="1272"/>
      <c r="Q259" s="1272"/>
      <c r="R259" s="1272"/>
      <c r="S259" s="1272"/>
      <c r="T259" s="1272"/>
      <c r="U259" s="1272"/>
      <c r="V259" s="1272"/>
      <c r="W259" s="1272"/>
      <c r="X259" s="1272"/>
      <c r="Y259" s="1272"/>
      <c r="Z259" s="1272"/>
      <c r="AA259" s="1272"/>
      <c r="AB259" s="1272"/>
      <c r="AC259" s="1284"/>
      <c r="AD259" s="1284"/>
      <c r="AE259" s="1284"/>
      <c r="AF259" s="1284"/>
      <c r="AG259" s="1284"/>
      <c r="AH259" s="1284"/>
      <c r="AI259" s="1284"/>
      <c r="AJ259" s="1284"/>
      <c r="AK259" s="1284"/>
      <c r="AL259" s="1284"/>
      <c r="AM259" s="1284"/>
      <c r="AN259" s="1284"/>
      <c r="AO259" s="1284"/>
      <c r="AP259" s="1284"/>
      <c r="AQ259" s="1284"/>
      <c r="AR259" s="1236"/>
      <c r="AS259" s="1410"/>
      <c r="AT259" s="1410"/>
      <c r="AU259" s="1263"/>
      <c r="AV259" s="1263"/>
      <c r="AW259" s="1263"/>
      <c r="AX259" s="1263"/>
      <c r="AY259" s="1263"/>
      <c r="AZ259" s="1263"/>
      <c r="BA259" s="1263"/>
      <c r="BB259" s="1263"/>
      <c r="BC259" s="1263"/>
      <c r="BD259" s="1263"/>
      <c r="BE259" s="1263"/>
    </row>
    <row r="260" spans="1:57" s="369" customFormat="1" x14ac:dyDescent="0.2">
      <c r="A260" s="411"/>
      <c r="B260" s="337" t="s">
        <v>487</v>
      </c>
      <c r="C260" s="366"/>
      <c r="D260" s="1273"/>
      <c r="E260" s="1273"/>
      <c r="F260" s="1273"/>
      <c r="G260" s="1273"/>
      <c r="H260" s="1273"/>
      <c r="I260" s="1273"/>
      <c r="J260" s="1273"/>
      <c r="K260" s="1273"/>
      <c r="L260" s="1273"/>
      <c r="M260" s="1273"/>
      <c r="N260" s="1273"/>
      <c r="O260" s="1273"/>
      <c r="P260" s="1273"/>
      <c r="Q260" s="1273"/>
      <c r="R260" s="1273"/>
      <c r="S260" s="1273"/>
      <c r="T260" s="1273"/>
      <c r="U260" s="1273"/>
      <c r="V260" s="1273"/>
      <c r="W260" s="1273"/>
      <c r="X260" s="1273"/>
      <c r="Y260" s="1273"/>
      <c r="Z260" s="1273"/>
      <c r="AA260" s="1273"/>
      <c r="AB260" s="1273"/>
      <c r="AC260" s="1417"/>
      <c r="AD260" s="1417"/>
      <c r="AE260" s="1417"/>
      <c r="AF260" s="1417"/>
      <c r="AG260" s="1417"/>
      <c r="AH260" s="1417"/>
      <c r="AI260" s="1417"/>
      <c r="AJ260" s="1417"/>
      <c r="AK260" s="1417"/>
      <c r="AL260" s="1417"/>
      <c r="AM260" s="1417"/>
      <c r="AN260" s="1417"/>
      <c r="AO260" s="1417"/>
      <c r="AP260" s="1417"/>
      <c r="AQ260" s="1417"/>
      <c r="AR260" s="1236"/>
      <c r="AS260" s="1418"/>
      <c r="AT260" s="1419"/>
      <c r="AU260" s="1398"/>
      <c r="AV260" s="1398"/>
      <c r="AW260" s="1398"/>
      <c r="AX260" s="1398"/>
      <c r="AY260" s="1398"/>
      <c r="AZ260" s="1398"/>
      <c r="BA260" s="1398"/>
      <c r="BB260" s="1398"/>
      <c r="BC260" s="1398"/>
      <c r="BD260" s="1398"/>
      <c r="BE260" s="1398"/>
    </row>
    <row r="261" spans="1:57" s="369" customFormat="1" x14ac:dyDescent="0.2">
      <c r="A261" s="411"/>
      <c r="B261" s="334" t="s">
        <v>489</v>
      </c>
      <c r="C261" s="321"/>
      <c r="D261" s="1262"/>
      <c r="E261" s="1262"/>
      <c r="F261" s="1262"/>
      <c r="G261" s="1262"/>
      <c r="H261" s="1262"/>
      <c r="I261" s="1262"/>
      <c r="J261" s="1262"/>
      <c r="K261" s="1262"/>
      <c r="L261" s="1262"/>
      <c r="M261" s="1262"/>
      <c r="N261" s="1262"/>
      <c r="O261" s="1262"/>
      <c r="P261" s="1262"/>
      <c r="Q261" s="1262"/>
      <c r="R261" s="1262"/>
      <c r="S261" s="1262"/>
      <c r="T261" s="1262"/>
      <c r="U261" s="1262"/>
      <c r="V261" s="1262"/>
      <c r="W261" s="1262"/>
      <c r="X261" s="1262"/>
      <c r="Y261" s="1262"/>
      <c r="Z261" s="1262"/>
      <c r="AA261" s="1262"/>
      <c r="AB261" s="1262"/>
      <c r="AC261" s="1429"/>
      <c r="AD261" s="1429"/>
      <c r="AE261" s="1429"/>
      <c r="AF261" s="1429"/>
      <c r="AG261" s="1429"/>
      <c r="AH261" s="1429"/>
      <c r="AI261" s="1429"/>
      <c r="AJ261" s="1429"/>
      <c r="AK261" s="1429"/>
      <c r="AL261" s="1429"/>
      <c r="AM261" s="1429"/>
      <c r="AN261" s="1429"/>
      <c r="AO261" s="1429"/>
      <c r="AP261" s="1429"/>
      <c r="AQ261" s="1429"/>
      <c r="AR261" s="1236"/>
      <c r="AS261" s="1410"/>
      <c r="AT261" s="1284"/>
      <c r="AU261" s="1262"/>
      <c r="AV261" s="1262"/>
      <c r="AW261" s="1262"/>
      <c r="AX261" s="1262"/>
      <c r="AY261" s="1262"/>
      <c r="AZ261" s="1262"/>
      <c r="BA261" s="1262"/>
      <c r="BB261" s="1429"/>
      <c r="BC261" s="1429"/>
      <c r="BD261" s="1429"/>
      <c r="BE261" s="1429"/>
    </row>
    <row r="262" spans="1:57" x14ac:dyDescent="0.2">
      <c r="B262" s="334" t="s">
        <v>674</v>
      </c>
      <c r="C262" s="16"/>
      <c r="D262" s="1243"/>
      <c r="E262" s="1243"/>
      <c r="F262" s="1243"/>
      <c r="G262" s="1243"/>
      <c r="H262" s="1243"/>
      <c r="I262" s="1243"/>
      <c r="J262" s="1243"/>
      <c r="K262" s="1243"/>
      <c r="L262" s="1243"/>
      <c r="M262" s="1243"/>
      <c r="N262" s="1243"/>
      <c r="O262" s="1243"/>
      <c r="P262" s="1243"/>
      <c r="Q262" s="1243"/>
      <c r="R262" s="1243"/>
      <c r="S262" s="1243"/>
      <c r="T262" s="1243"/>
      <c r="U262" s="1243"/>
      <c r="V262" s="1243"/>
      <c r="W262" s="1243"/>
      <c r="X262" s="1243"/>
      <c r="Y262" s="1243"/>
      <c r="Z262" s="1243"/>
      <c r="AA262" s="1243"/>
      <c r="AB262" s="1243"/>
      <c r="AC262" s="1429"/>
      <c r="AD262" s="1429"/>
      <c r="AE262" s="1429"/>
      <c r="AF262" s="1429"/>
      <c r="AG262" s="1429"/>
      <c r="AH262" s="1429"/>
      <c r="AI262" s="1429"/>
      <c r="AJ262" s="1429"/>
      <c r="AK262" s="1429"/>
      <c r="AL262" s="1429"/>
      <c r="AM262" s="1429"/>
      <c r="AN262" s="1429"/>
      <c r="AO262" s="1429"/>
      <c r="AP262" s="1429"/>
      <c r="AQ262" s="1429"/>
      <c r="AR262" s="1236"/>
      <c r="AS262" s="1410"/>
      <c r="AT262" s="1371"/>
      <c r="AU262" s="1243"/>
      <c r="AV262" s="1243"/>
      <c r="AW262" s="1243"/>
      <c r="AX262" s="1243"/>
      <c r="AY262" s="1243"/>
      <c r="AZ262" s="1243"/>
      <c r="BA262" s="1243"/>
      <c r="BB262" s="1429"/>
      <c r="BC262" s="1429"/>
      <c r="BD262" s="1429"/>
      <c r="BE262" s="1429"/>
    </row>
    <row r="263" spans="1:57" x14ac:dyDescent="0.2">
      <c r="B263" s="334" t="s">
        <v>488</v>
      </c>
      <c r="C263" s="16"/>
      <c r="D263" s="1243"/>
      <c r="E263" s="1243"/>
      <c r="F263" s="1243"/>
      <c r="G263" s="1243"/>
      <c r="H263" s="1243"/>
      <c r="I263" s="1243"/>
      <c r="J263" s="1243"/>
      <c r="K263" s="1243"/>
      <c r="L263" s="1243"/>
      <c r="M263" s="1243"/>
      <c r="N263" s="1243"/>
      <c r="O263" s="1243"/>
      <c r="P263" s="1243"/>
      <c r="Q263" s="1243"/>
      <c r="R263" s="1243"/>
      <c r="S263" s="1243"/>
      <c r="T263" s="1243"/>
      <c r="U263" s="1243"/>
      <c r="V263" s="1243"/>
      <c r="W263" s="1243"/>
      <c r="X263" s="1243"/>
      <c r="Y263" s="1243"/>
      <c r="Z263" s="1243"/>
      <c r="AA263" s="1243"/>
      <c r="AB263" s="1243"/>
      <c r="AC263" s="1429"/>
      <c r="AD263" s="1429"/>
      <c r="AE263" s="1429"/>
      <c r="AF263" s="1429"/>
      <c r="AG263" s="1429"/>
      <c r="AH263" s="1429"/>
      <c r="AI263" s="1429"/>
      <c r="AJ263" s="1429"/>
      <c r="AK263" s="1429"/>
      <c r="AL263" s="1429"/>
      <c r="AM263" s="1429"/>
      <c r="AN263" s="1429"/>
      <c r="AO263" s="1429"/>
      <c r="AP263" s="1429"/>
      <c r="AQ263" s="1429"/>
      <c r="AR263" s="1236"/>
      <c r="AS263" s="1410"/>
      <c r="AT263" s="1371"/>
      <c r="AU263" s="1243"/>
      <c r="AV263" s="1243"/>
      <c r="AW263" s="1243"/>
      <c r="AX263" s="1243"/>
      <c r="AY263" s="1243"/>
      <c r="AZ263" s="1243"/>
      <c r="BA263" s="1243"/>
      <c r="BB263" s="1362"/>
      <c r="BC263" s="1362"/>
      <c r="BD263" s="1362"/>
      <c r="BE263" s="1362"/>
    </row>
    <row r="264" spans="1:57" x14ac:dyDescent="0.2">
      <c r="B264" s="334"/>
      <c r="C264" s="16"/>
      <c r="D264" s="1243"/>
      <c r="E264" s="1243"/>
      <c r="F264" s="1243"/>
      <c r="G264" s="1243"/>
      <c r="H264" s="1243"/>
      <c r="I264" s="1243"/>
      <c r="J264" s="1243"/>
      <c r="K264" s="1243"/>
      <c r="L264" s="1243"/>
      <c r="M264" s="1243"/>
      <c r="N264" s="1243"/>
      <c r="O264" s="1243"/>
      <c r="P264" s="1243"/>
      <c r="Q264" s="1243"/>
      <c r="R264" s="1243"/>
      <c r="S264" s="1243"/>
      <c r="T264" s="1243"/>
      <c r="U264" s="1243"/>
      <c r="V264" s="1243"/>
      <c r="W264" s="1243"/>
      <c r="X264" s="1243"/>
      <c r="Y264" s="1243"/>
      <c r="Z264" s="1243"/>
      <c r="AA264" s="1243"/>
      <c r="AB264" s="1243"/>
      <c r="AC264" s="1250"/>
      <c r="AD264" s="1250"/>
      <c r="AE264" s="1250"/>
      <c r="AF264" s="1250"/>
      <c r="AG264" s="1250"/>
      <c r="AH264" s="1250"/>
      <c r="AI264" s="1250"/>
      <c r="AJ264" s="1250"/>
      <c r="AK264" s="1250"/>
      <c r="AL264" s="1250"/>
      <c r="AM264" s="1250"/>
      <c r="AN264" s="1250"/>
      <c r="AO264" s="1250"/>
      <c r="AP264" s="1250"/>
      <c r="AQ264" s="1250"/>
      <c r="AR264" s="1236"/>
      <c r="AS264" s="1410"/>
      <c r="AT264" s="1371"/>
      <c r="AU264" s="1236"/>
      <c r="AV264" s="1236"/>
      <c r="AW264" s="1236"/>
      <c r="AX264" s="1236"/>
      <c r="AY264" s="1236"/>
      <c r="AZ264" s="1236"/>
      <c r="BA264" s="1236"/>
      <c r="BB264" s="1236"/>
      <c r="BC264" s="1236"/>
      <c r="BD264" s="1236"/>
      <c r="BE264" s="1236"/>
    </row>
    <row r="265" spans="1:57" x14ac:dyDescent="0.2">
      <c r="B265" s="11" t="s">
        <v>216</v>
      </c>
      <c r="C265" s="11"/>
      <c r="D265" s="1398"/>
      <c r="E265" s="1398"/>
      <c r="F265" s="1398"/>
      <c r="G265" s="1398"/>
      <c r="H265" s="1398"/>
      <c r="I265" s="1398"/>
      <c r="J265" s="1398"/>
      <c r="K265" s="1398"/>
      <c r="L265" s="1398"/>
      <c r="M265" s="1398"/>
      <c r="N265" s="1398"/>
      <c r="O265" s="1398"/>
      <c r="P265" s="1398"/>
      <c r="Q265" s="1398"/>
      <c r="R265" s="1398"/>
      <c r="S265" s="1398"/>
      <c r="T265" s="1398"/>
      <c r="U265" s="1398"/>
      <c r="V265" s="1398"/>
      <c r="W265" s="1398"/>
      <c r="X265" s="1398"/>
      <c r="Y265" s="1398"/>
      <c r="Z265" s="1398"/>
      <c r="AA265" s="1398"/>
      <c r="AB265" s="1398"/>
      <c r="AC265" s="1398"/>
      <c r="AD265" s="1398"/>
      <c r="AE265" s="1398"/>
      <c r="AF265" s="1398"/>
      <c r="AG265" s="1398"/>
      <c r="AH265" s="1398"/>
      <c r="AI265" s="1398"/>
      <c r="AJ265" s="1398"/>
      <c r="AK265" s="1398"/>
      <c r="AL265" s="1398"/>
      <c r="AM265" s="1398"/>
      <c r="AN265" s="1398"/>
      <c r="AO265" s="1398"/>
      <c r="AP265" s="1398"/>
      <c r="AQ265" s="1398"/>
      <c r="AR265" s="1236"/>
      <c r="AS265" s="1399"/>
      <c r="AT265" s="1399"/>
      <c r="AU265" s="1398"/>
      <c r="AV265" s="1398"/>
      <c r="AW265" s="1398"/>
      <c r="AX265" s="1398"/>
      <c r="AY265" s="1398"/>
      <c r="AZ265" s="1398"/>
      <c r="BA265" s="1398"/>
      <c r="BB265" s="1398"/>
      <c r="BC265" s="1398"/>
      <c r="BD265" s="1398"/>
      <c r="BE265" s="1398"/>
    </row>
    <row r="266" spans="1:57" s="351" customFormat="1" x14ac:dyDescent="0.2">
      <c r="A266" s="411"/>
      <c r="B266" s="334" t="s">
        <v>220</v>
      </c>
      <c r="C266" s="334"/>
      <c r="D266" s="1421"/>
      <c r="E266" s="1421"/>
      <c r="F266" s="1421"/>
      <c r="G266" s="1421"/>
      <c r="H266" s="1421">
        <f>IFERROR(Model!H266/Model!D266-1,"NA")</f>
        <v>0.16549912434325753</v>
      </c>
      <c r="I266" s="1421">
        <f>IFERROR(Model!I266/Model!E266-1,"NA")</f>
        <v>0.14685314685314688</v>
      </c>
      <c r="J266" s="1421">
        <f>IFERROR(Model!J266/Model!F266-1,"NA")</f>
        <v>0.10097232610321605</v>
      </c>
      <c r="K266" s="1421">
        <f>IFERROR(Model!K266/Model!G266-1,"NA")</f>
        <v>8.6709310589907496E-2</v>
      </c>
      <c r="L266" s="1421">
        <f>IFERROR(Model!L266/Model!H266-1,"NA")</f>
        <v>7.3628850488354658E-2</v>
      </c>
      <c r="M266" s="1421">
        <f>IFERROR(Model!M266/Model!I266-1,"NA")</f>
        <v>0.1082317073170731</v>
      </c>
      <c r="N266" s="1421">
        <f>IFERROR(Model!N266/Model!J266-1,"NA")</f>
        <v>7.8804347826086918E-2</v>
      </c>
      <c r="O266" s="1421">
        <f>IFERROR(Model!O266/Model!K266-1,"NA")</f>
        <v>4.9705689993459812E-2</v>
      </c>
      <c r="P266" s="1421">
        <f>IFERROR(Model!P266/Model!L266-1,"NA")</f>
        <v>5.3883834849545176E-2</v>
      </c>
      <c r="Q266" s="1421">
        <f>IFERROR(Model!Q266/Model!M266-1,"NA")</f>
        <v>-2.3383768913342484E-2</v>
      </c>
      <c r="R266" s="1421">
        <f>IFERROR(Model!R266/Model!N266-1,"NA")</f>
        <v>-7.115869017632237E-2</v>
      </c>
      <c r="S266" s="1421">
        <f>IFERROR(Model!S266/Model!O266-1,"NA")</f>
        <v>-8.1619937694704103E-2</v>
      </c>
      <c r="T266" s="1421">
        <f>IFERROR(Model!T266/Model!P266-1,"NA")</f>
        <v>-6.9721115537848655E-2</v>
      </c>
      <c r="U266" s="1421">
        <f>IFERROR(Model!U266/Model!Q266-1,"NA")</f>
        <v>-3.5211267605633756E-3</v>
      </c>
      <c r="V266" s="1421">
        <f>IFERROR(Model!V266/Model!R266-1,"NA")</f>
        <v>0.1796610169491526</v>
      </c>
      <c r="W266" s="1421">
        <f>IFERROR(Model!W266/Model!S266-1,"NA")</f>
        <v>0.13297150610583452</v>
      </c>
      <c r="X266" s="1421">
        <f>IFERROR(Model!X266/Model!T266-1,"NA")</f>
        <v>4.2826552462526868E-2</v>
      </c>
      <c r="Y266" s="1421">
        <f>IFERROR(Model!Y266/Model!U266-1,"NA")</f>
        <v>3.6042402826855113E-2</v>
      </c>
      <c r="Z266" s="1421">
        <f>IFERROR(Model!Z266/Model!V266-1,"NA")</f>
        <v>-0.10114942528735638</v>
      </c>
      <c r="AA266" s="1421">
        <f>IFERROR(Model!AA266/Model!W266-1,"NA")</f>
        <v>-3.59281437125748E-2</v>
      </c>
      <c r="AB266" s="1421">
        <f>IFERROR(Model!AB266/Model!X266-1,"NA")</f>
        <v>7.6659822039698788E-2</v>
      </c>
      <c r="AC266" s="1284">
        <f>IFERROR(Model!AC266/Model!Y266-1,"NA")</f>
        <v>-1</v>
      </c>
      <c r="AD266" s="1284">
        <f>IFERROR(Model!AD266/Model!Z266-1,"NA")</f>
        <v>-1</v>
      </c>
      <c r="AE266" s="1284">
        <f>IFERROR(Model!AE266/Model!AA266-1,"NA")</f>
        <v>-1</v>
      </c>
      <c r="AF266" s="1284">
        <f>IFERROR(Model!AF266/Model!AB266-1,"NA")</f>
        <v>-1</v>
      </c>
      <c r="AG266" s="1284" t="str">
        <f>IFERROR(Model!AG266/Model!AC266-1,"NA")</f>
        <v>NA</v>
      </c>
      <c r="AH266" s="1284" t="str">
        <f>IFERROR(Model!AH266/Model!AD266-1,"NA")</f>
        <v>NA</v>
      </c>
      <c r="AI266" s="1284" t="str">
        <f>IFERROR(Model!AI266/Model!AE266-1,"NA")</f>
        <v>NA</v>
      </c>
      <c r="AJ266" s="1284"/>
      <c r="AK266" s="1284"/>
      <c r="AL266" s="1284"/>
      <c r="AM266" s="1284"/>
      <c r="AN266" s="1284"/>
      <c r="AO266" s="1284"/>
      <c r="AP266" s="1284"/>
      <c r="AQ266" s="1284"/>
      <c r="AR266" s="1236"/>
      <c r="AS266" s="1410"/>
      <c r="AT266" s="1410"/>
      <c r="AU266" s="1236"/>
      <c r="AV266" s="1236">
        <f>IFERROR(Model!AV266/Model!AU266-1,"NA")</f>
        <v>0.12206759443339954</v>
      </c>
      <c r="AW266" s="1236">
        <f>IFERROR(Model!AW266/Model!AV266-1,"NA")</f>
        <v>7.6541459957476965E-2</v>
      </c>
      <c r="AX266" s="1236">
        <f>IFERROR(Model!AX266/Model!AW266-1,"NA")</f>
        <v>-3.3080974325213952E-2</v>
      </c>
      <c r="AY266" s="1236">
        <f>IFERROR(Model!AY266/Model!AX266-1,"NA")</f>
        <v>5.9744680851063769E-2</v>
      </c>
      <c r="AZ266" s="1236" t="str">
        <f>IFERROR(Model!AZ266/Model!AY266-1,"NA")</f>
        <v>NA</v>
      </c>
      <c r="BA266" s="1236" t="str">
        <f>IFERROR(Model!BA266/Model!AZ266-1,"NA")</f>
        <v>NA</v>
      </c>
      <c r="BB266" s="1236" t="str">
        <f>IFERROR(Model!BB266/Model!BA266-1,"NA")</f>
        <v>NA</v>
      </c>
      <c r="BC266" s="1236" t="str">
        <f>IFERROR(Model!BC266/Model!BB266-1,"NA")</f>
        <v>NA</v>
      </c>
      <c r="BD266" s="1236" t="str">
        <f>IFERROR(Model!BD266/Model!BC266-1,"NA")</f>
        <v>NA</v>
      </c>
      <c r="BE266" s="1236" t="str">
        <f>IFERROR(Model!BE266/Model!BD266-1,"NA")</f>
        <v>NA</v>
      </c>
    </row>
    <row r="267" spans="1:57" s="351" customFormat="1" x14ac:dyDescent="0.2">
      <c r="A267" s="411"/>
      <c r="B267" s="334"/>
      <c r="C267" s="334" t="s">
        <v>221</v>
      </c>
      <c r="D267" s="1262"/>
      <c r="E267" s="1262"/>
      <c r="F267" s="1262"/>
      <c r="G267" s="1262"/>
      <c r="H267" s="1262"/>
      <c r="I267" s="1262"/>
      <c r="J267" s="1262"/>
      <c r="K267" s="1262"/>
      <c r="L267" s="1262"/>
      <c r="M267" s="1262"/>
      <c r="N267" s="1262"/>
      <c r="O267" s="1262"/>
      <c r="P267" s="1262"/>
      <c r="Q267" s="1262"/>
      <c r="R267" s="1262"/>
      <c r="S267" s="1262"/>
      <c r="T267" s="1272"/>
      <c r="U267" s="1272"/>
      <c r="V267" s="1272"/>
      <c r="W267" s="1272"/>
      <c r="X267" s="1272"/>
      <c r="Y267" s="1272"/>
      <c r="Z267" s="1272"/>
      <c r="AA267" s="1272"/>
      <c r="AB267" s="1272"/>
      <c r="AC267" s="1284"/>
      <c r="AD267" s="1284"/>
      <c r="AE267" s="1284"/>
      <c r="AF267" s="1284"/>
      <c r="AG267" s="1284"/>
      <c r="AH267" s="1284"/>
      <c r="AI267" s="1284"/>
      <c r="AJ267" s="1284"/>
      <c r="AK267" s="1284"/>
      <c r="AL267" s="1284"/>
      <c r="AM267" s="1284"/>
      <c r="AN267" s="1284"/>
      <c r="AO267" s="1284"/>
      <c r="AP267" s="1284"/>
      <c r="AQ267" s="1284"/>
      <c r="AR267" s="1236"/>
      <c r="AS267" s="1410"/>
      <c r="AT267" s="1410"/>
      <c r="AU267" s="1274"/>
      <c r="AV267" s="1274"/>
      <c r="AW267" s="1274"/>
      <c r="AX267" s="1274"/>
      <c r="AY267" s="1274"/>
      <c r="AZ267" s="1274"/>
      <c r="BA267" s="1274"/>
      <c r="BB267" s="1274"/>
      <c r="BC267" s="1274"/>
      <c r="BD267" s="1274"/>
      <c r="BE267" s="1274"/>
    </row>
    <row r="268" spans="1:57" s="255" customFormat="1" x14ac:dyDescent="0.2">
      <c r="A268" s="829"/>
      <c r="B268" s="16"/>
      <c r="C268" s="16"/>
      <c r="D268" s="1345"/>
      <c r="E268" s="1345"/>
      <c r="F268" s="1345"/>
      <c r="G268" s="1345"/>
      <c r="H268" s="1345"/>
      <c r="I268" s="1345"/>
      <c r="J268" s="1345"/>
      <c r="K268" s="1345"/>
      <c r="L268" s="1345"/>
      <c r="M268" s="1345"/>
      <c r="N268" s="1345"/>
      <c r="O268" s="1345"/>
      <c r="P268" s="1345"/>
      <c r="Q268" s="1345"/>
      <c r="R268" s="1345"/>
      <c r="S268" s="1345"/>
      <c r="T268" s="1345"/>
      <c r="U268" s="1345"/>
      <c r="V268" s="1345"/>
      <c r="W268" s="1345"/>
      <c r="X268" s="1345"/>
      <c r="Y268" s="1345"/>
      <c r="Z268" s="1345"/>
      <c r="AA268" s="1345"/>
      <c r="AB268" s="1345"/>
      <c r="AC268" s="1345"/>
      <c r="AD268" s="1345"/>
      <c r="AE268" s="1345"/>
      <c r="AF268" s="1345"/>
      <c r="AG268" s="1345"/>
      <c r="AH268" s="1345"/>
      <c r="AI268" s="1345"/>
      <c r="AJ268" s="1345"/>
      <c r="AK268" s="1345"/>
      <c r="AL268" s="1345"/>
      <c r="AM268" s="1345"/>
      <c r="AN268" s="1345"/>
      <c r="AO268" s="1345"/>
      <c r="AP268" s="1345"/>
      <c r="AQ268" s="1345"/>
      <c r="AR268" s="1236"/>
      <c r="AS268" s="1371"/>
      <c r="AT268" s="1371"/>
      <c r="AU268" s="1396"/>
      <c r="AV268" s="1396"/>
      <c r="AW268" s="1396"/>
      <c r="AX268" s="1396"/>
      <c r="AY268" s="1396"/>
      <c r="AZ268" s="1236"/>
      <c r="BA268" s="1236"/>
      <c r="BB268" s="1236"/>
      <c r="BC268" s="1236"/>
      <c r="BD268" s="1236"/>
      <c r="BE268" s="1236"/>
    </row>
    <row r="269" spans="1:57" s="241" customFormat="1" x14ac:dyDescent="0.2">
      <c r="A269" s="411"/>
      <c r="B269" s="11" t="s">
        <v>222</v>
      </c>
      <c r="C269" s="11"/>
      <c r="D269" s="1398"/>
      <c r="E269" s="1398"/>
      <c r="F269" s="1398"/>
      <c r="G269" s="1398"/>
      <c r="H269" s="1398"/>
      <c r="I269" s="1398"/>
      <c r="J269" s="1398"/>
      <c r="K269" s="1398"/>
      <c r="L269" s="1398"/>
      <c r="M269" s="1398"/>
      <c r="N269" s="1398"/>
      <c r="O269" s="1398"/>
      <c r="P269" s="1398"/>
      <c r="Q269" s="1398"/>
      <c r="R269" s="1398"/>
      <c r="S269" s="1398"/>
      <c r="T269" s="1398"/>
      <c r="U269" s="1398"/>
      <c r="V269" s="1398"/>
      <c r="W269" s="1398"/>
      <c r="X269" s="1398"/>
      <c r="Y269" s="1398"/>
      <c r="Z269" s="1398"/>
      <c r="AA269" s="1398"/>
      <c r="AB269" s="1398"/>
      <c r="AC269" s="1398"/>
      <c r="AD269" s="1398"/>
      <c r="AE269" s="1398"/>
      <c r="AF269" s="1398"/>
      <c r="AG269" s="1398"/>
      <c r="AH269" s="1398"/>
      <c r="AI269" s="1398"/>
      <c r="AJ269" s="1398"/>
      <c r="AK269" s="1398"/>
      <c r="AL269" s="1398"/>
      <c r="AM269" s="1398"/>
      <c r="AN269" s="1398"/>
      <c r="AO269" s="1398"/>
      <c r="AP269" s="1398"/>
      <c r="AQ269" s="1398"/>
      <c r="AR269" s="1236"/>
      <c r="AS269" s="1399"/>
      <c r="AT269" s="1399"/>
      <c r="AU269" s="1236"/>
      <c r="AV269" s="1236"/>
      <c r="AW269" s="1236"/>
      <c r="AX269" s="1236"/>
      <c r="AY269" s="1236"/>
      <c r="AZ269" s="1236"/>
      <c r="BA269" s="1236"/>
      <c r="BB269" s="1236"/>
      <c r="BC269" s="1236"/>
      <c r="BD269" s="1236"/>
      <c r="BE269" s="1236"/>
    </row>
    <row r="270" spans="1:57" s="351" customFormat="1" x14ac:dyDescent="0.2">
      <c r="A270" s="411"/>
      <c r="B270" s="334" t="s">
        <v>223</v>
      </c>
      <c r="C270" s="334"/>
      <c r="D270" s="1421"/>
      <c r="E270" s="1421"/>
      <c r="F270" s="1421"/>
      <c r="G270" s="1421"/>
      <c r="H270" s="1421">
        <f>IFERROR(Model!H270/Model!D270-1,"NA")</f>
        <v>0.21813725490196068</v>
      </c>
      <c r="I270" s="1421">
        <f>IFERROR(Model!I270/Model!E270-1,"NA")</f>
        <v>0.17933491686460812</v>
      </c>
      <c r="J270" s="1421">
        <f>IFERROR(Model!J270/Model!F270-1,"NA")</f>
        <v>8.5255767301905649E-2</v>
      </c>
      <c r="K270" s="1421">
        <f>IFERROR(Model!K270/Model!G270-1,"NA")</f>
        <v>0.17443012884043618</v>
      </c>
      <c r="L270" s="1421">
        <f>IFERROR(Model!L270/Model!H270-1,"NA")</f>
        <v>0.147887323943662</v>
      </c>
      <c r="M270" s="1421">
        <f>IFERROR(Model!M270/Model!I270-1,"NA")</f>
        <v>0.11883182275931525</v>
      </c>
      <c r="N270" s="1421">
        <f>IFERROR(Model!N270/Model!J270-1,"NA")</f>
        <v>9.1497227356746702E-2</v>
      </c>
      <c r="O270" s="1421">
        <f>IFERROR(Model!O270/Model!K270-1,"NA")</f>
        <v>-3.881856540084383E-2</v>
      </c>
      <c r="P270" s="1421">
        <f>IFERROR(Model!P270/Model!L270-1,"NA")</f>
        <v>4.8203330411919376E-2</v>
      </c>
      <c r="Q270" s="1421">
        <f>IFERROR(Model!Q270/Model!M270-1,"NA")</f>
        <v>7.2007200720072273E-3</v>
      </c>
      <c r="R270" s="1421">
        <f>IFERROR(Model!R270/Model!N270-1,"NA")</f>
        <v>2.1168501270110163E-2</v>
      </c>
      <c r="S270" s="1421">
        <f>IFERROR(Model!S270/Model!O270-1,"NA")</f>
        <v>2.5460930640913038E-2</v>
      </c>
      <c r="T270" s="1421">
        <f>IFERROR(Model!T270/Model!P270-1,"NA")</f>
        <v>2.1739130434782705E-2</v>
      </c>
      <c r="U270" s="1421">
        <f>IFERROR(Model!U270/Model!Q270-1,"NA")</f>
        <v>-5.0044682752457548E-2</v>
      </c>
      <c r="V270" s="1421">
        <f>IFERROR(Model!V270/Model!R270-1,"NA")</f>
        <v>-1.9900497512437831E-2</v>
      </c>
      <c r="W270" s="1421">
        <f>IFERROR(Model!W270/Model!S270-1,"NA")</f>
        <v>-6.164383561643838E-2</v>
      </c>
      <c r="X270" s="1421">
        <f>IFERROR(Model!X270/Model!T270-1,"NA")</f>
        <v>-0.12684124386252049</v>
      </c>
      <c r="Y270" s="1421">
        <f>IFERROR(Model!Y270/Model!U270-1,"NA")</f>
        <v>-2.4459078080903085E-2</v>
      </c>
      <c r="Z270" s="1421">
        <f>IFERROR(Model!Z270/Model!V270-1,"NA")</f>
        <v>-6.260575296108295E-2</v>
      </c>
      <c r="AA270" s="1421">
        <f>IFERROR(Model!AA270/Model!W270-1,"NA")</f>
        <v>-5.2919708029197099E-2</v>
      </c>
      <c r="AB270" s="1421">
        <f>IFERROR(Model!AB270/Model!X270-1,"NA")</f>
        <v>-5.1546391752577359E-2</v>
      </c>
      <c r="AC270" s="1284">
        <f>IFERROR(Model!AC270/Model!Y270-1,"NA")</f>
        <v>-1</v>
      </c>
      <c r="AD270" s="1284">
        <f>IFERROR(Model!AD270/Model!Z270-1,"NA")</f>
        <v>-1</v>
      </c>
      <c r="AE270" s="1284">
        <f>IFERROR(Model!AE270/Model!AA270-1,"NA")</f>
        <v>-1</v>
      </c>
      <c r="AF270" s="1284">
        <f>IFERROR(Model!AF270/Model!AB270-1,"NA")</f>
        <v>-1</v>
      </c>
      <c r="AG270" s="1284" t="str">
        <f>IFERROR(Model!AG270/Model!AC270-1,"NA")</f>
        <v>NA</v>
      </c>
      <c r="AH270" s="1284" t="str">
        <f>IFERROR(Model!AH270/Model!AD270-1,"NA")</f>
        <v>NA</v>
      </c>
      <c r="AI270" s="1284" t="str">
        <f>IFERROR(Model!AI270/Model!AE270-1,"NA")</f>
        <v>NA</v>
      </c>
      <c r="AJ270" s="1284"/>
      <c r="AK270" s="1284"/>
      <c r="AL270" s="1284"/>
      <c r="AM270" s="1284"/>
      <c r="AN270" s="1284"/>
      <c r="AO270" s="1284"/>
      <c r="AP270" s="1284"/>
      <c r="AQ270" s="1284"/>
      <c r="AR270" s="1236"/>
      <c r="AS270" s="1410"/>
      <c r="AT270" s="1410"/>
      <c r="AU270" s="1236"/>
      <c r="AV270" s="1236">
        <f>IFERROR(Model!AV270/Model!AU270-1,"NA")</f>
        <v>0.1610262008733625</v>
      </c>
      <c r="AW270" s="1236">
        <f>IFERROR(Model!AW270/Model!AV270-1,"NA")</f>
        <v>7.4753173483780078E-2</v>
      </c>
      <c r="AX270" s="1236">
        <f>IFERROR(Model!AX270/Model!AW270-1,"NA")</f>
        <v>2.5590551181102317E-2</v>
      </c>
      <c r="AY270" s="1236">
        <f>IFERROR(Model!AY270/Model!AX270-1,"NA")</f>
        <v>-2.6871401151631447E-2</v>
      </c>
      <c r="AZ270" s="1236" t="str">
        <f>IFERROR(Model!AZ270/Model!AY270-1,"NA")</f>
        <v>NA</v>
      </c>
      <c r="BA270" s="1236" t="str">
        <f>IFERROR(Model!BA270/Model!AZ270-1,"NA")</f>
        <v>NA</v>
      </c>
      <c r="BB270" s="1236" t="str">
        <f>IFERROR(Model!BB270/Model!BA270-1,"NA")</f>
        <v>NA</v>
      </c>
      <c r="BC270" s="1236" t="str">
        <f>IFERROR(Model!BC270/Model!BB270-1,"NA")</f>
        <v>NA</v>
      </c>
      <c r="BD270" s="1236" t="str">
        <f>IFERROR(Model!BD270/Model!BC270-1,"NA")</f>
        <v>NA</v>
      </c>
      <c r="BE270" s="1236" t="str">
        <f>IFERROR(Model!BE270/Model!BD270-1,"NA")</f>
        <v>NA</v>
      </c>
    </row>
    <row r="271" spans="1:57" s="369" customFormat="1" x14ac:dyDescent="0.2">
      <c r="A271" s="411"/>
      <c r="B271" s="334"/>
      <c r="C271" s="334" t="s">
        <v>221</v>
      </c>
      <c r="D271" s="1262"/>
      <c r="E271" s="1262"/>
      <c r="F271" s="1262"/>
      <c r="G271" s="1262"/>
      <c r="H271" s="1262"/>
      <c r="I271" s="1262"/>
      <c r="J271" s="1262"/>
      <c r="K271" s="1262"/>
      <c r="L271" s="1262"/>
      <c r="M271" s="1262"/>
      <c r="N271" s="1262"/>
      <c r="O271" s="1262"/>
      <c r="P271" s="1262"/>
      <c r="Q271" s="1262"/>
      <c r="R271" s="1262"/>
      <c r="S271" s="1262"/>
      <c r="T271" s="1272"/>
      <c r="U271" s="1272"/>
      <c r="V271" s="1272"/>
      <c r="W271" s="1272"/>
      <c r="X271" s="1272"/>
      <c r="Y271" s="1272"/>
      <c r="Z271" s="1284"/>
      <c r="AA271" s="1284"/>
      <c r="AB271" s="1284"/>
      <c r="AC271" s="1284"/>
      <c r="AD271" s="1284"/>
      <c r="AE271" s="1284"/>
      <c r="AF271" s="1284"/>
      <c r="AG271" s="1284"/>
      <c r="AH271" s="1284"/>
      <c r="AI271" s="1284"/>
      <c r="AJ271" s="1284"/>
      <c r="AK271" s="1284"/>
      <c r="AL271" s="1284"/>
      <c r="AM271" s="1284"/>
      <c r="AN271" s="1284"/>
      <c r="AO271" s="1284"/>
      <c r="AP271" s="1284"/>
      <c r="AQ271" s="1284"/>
      <c r="AR271" s="1236"/>
      <c r="AS271" s="1410"/>
      <c r="AT271" s="1410"/>
      <c r="AU271" s="1274"/>
      <c r="AV271" s="1274"/>
      <c r="AW271" s="1274"/>
      <c r="AX271" s="1274"/>
      <c r="AY271" s="1274"/>
      <c r="AZ271" s="1274"/>
      <c r="BA271" s="1274"/>
      <c r="BB271" s="1274"/>
      <c r="BC271" s="1274"/>
      <c r="BD271" s="1274"/>
      <c r="BE271" s="1274"/>
    </row>
    <row r="272" spans="1:57" x14ac:dyDescent="0.2">
      <c r="B272" s="334"/>
      <c r="C272" s="16"/>
      <c r="D272" s="1243"/>
      <c r="E272" s="1243"/>
      <c r="F272" s="1243"/>
      <c r="G272" s="1243"/>
      <c r="H272" s="1243"/>
      <c r="I272" s="1243"/>
      <c r="J272" s="1243"/>
      <c r="K272" s="1243"/>
      <c r="L272" s="1243"/>
      <c r="M272" s="1243"/>
      <c r="N272" s="1243"/>
      <c r="O272" s="1243"/>
      <c r="P272" s="1243"/>
      <c r="Q272" s="1243"/>
      <c r="R272" s="1243"/>
      <c r="S272" s="1243"/>
      <c r="T272" s="1243"/>
      <c r="U272" s="1243"/>
      <c r="V272" s="1243"/>
      <c r="W272" s="1243"/>
      <c r="X272" s="1250"/>
      <c r="Y272" s="1250"/>
      <c r="Z272" s="1250"/>
      <c r="AA272" s="1250"/>
      <c r="AB272" s="1250"/>
      <c r="AC272" s="1250"/>
      <c r="AD272" s="1250"/>
      <c r="AE272" s="1250"/>
      <c r="AF272" s="1250"/>
      <c r="AG272" s="1250"/>
      <c r="AH272" s="1250"/>
      <c r="AI272" s="1250"/>
      <c r="AJ272" s="1250"/>
      <c r="AK272" s="1250"/>
      <c r="AL272" s="1250"/>
      <c r="AM272" s="1250"/>
      <c r="AN272" s="1250"/>
      <c r="AO272" s="1250"/>
      <c r="AP272" s="1250"/>
      <c r="AQ272" s="1250"/>
      <c r="AR272" s="1236"/>
      <c r="AS272" s="1410"/>
      <c r="AT272" s="1371"/>
      <c r="AU272" s="1236"/>
      <c r="AV272" s="1236"/>
      <c r="AW272" s="1236"/>
      <c r="AX272" s="1236"/>
      <c r="AY272" s="1236"/>
      <c r="AZ272" s="1236"/>
      <c r="BA272" s="1236"/>
      <c r="BB272" s="1236"/>
      <c r="BC272" s="1236"/>
      <c r="BD272" s="1236"/>
      <c r="BE272" s="1236"/>
    </row>
    <row r="273" spans="1:68" x14ac:dyDescent="0.2">
      <c r="A273" s="411" t="s">
        <v>194</v>
      </c>
      <c r="B273" s="166" t="s">
        <v>179</v>
      </c>
      <c r="C273" s="166"/>
      <c r="D273" s="1405"/>
      <c r="E273" s="1405"/>
      <c r="F273" s="1405"/>
      <c r="G273" s="1405"/>
      <c r="H273" s="1405"/>
      <c r="I273" s="1405"/>
      <c r="J273" s="1405"/>
      <c r="K273" s="1405"/>
      <c r="L273" s="1405"/>
      <c r="M273" s="1405"/>
      <c r="N273" s="1405"/>
      <c r="O273" s="1405"/>
      <c r="P273" s="1405"/>
      <c r="Q273" s="1405"/>
      <c r="R273" s="1405"/>
      <c r="S273" s="1405"/>
      <c r="T273" s="1405"/>
      <c r="U273" s="1405"/>
      <c r="V273" s="1405"/>
      <c r="W273" s="1405"/>
      <c r="X273" s="1405"/>
      <c r="Y273" s="1405"/>
      <c r="Z273" s="1405"/>
      <c r="AA273" s="1405"/>
      <c r="AB273" s="1405"/>
      <c r="AC273" s="1405"/>
      <c r="AD273" s="1405"/>
      <c r="AE273" s="1405"/>
      <c r="AF273" s="1405"/>
      <c r="AG273" s="1405"/>
      <c r="AH273" s="1405"/>
      <c r="AI273" s="1405"/>
      <c r="AJ273" s="1405"/>
      <c r="AK273" s="1405"/>
      <c r="AL273" s="1405"/>
      <c r="AM273" s="1405"/>
      <c r="AN273" s="1405"/>
      <c r="AO273" s="1405"/>
      <c r="AP273" s="1405"/>
      <c r="AQ273" s="1405"/>
      <c r="AR273" s="1236"/>
      <c r="AS273" s="1406"/>
      <c r="AT273" s="1406"/>
      <c r="AU273" s="1405"/>
      <c r="AV273" s="1405"/>
      <c r="AW273" s="1405"/>
      <c r="AX273" s="1405"/>
      <c r="AY273" s="1405"/>
      <c r="AZ273" s="1405"/>
      <c r="BA273" s="1405"/>
      <c r="BB273" s="1405"/>
      <c r="BC273" s="1405"/>
      <c r="BD273" s="1405"/>
      <c r="BE273" s="1405"/>
      <c r="BF273" s="15"/>
      <c r="BG273" s="15"/>
      <c r="BH273" s="15"/>
      <c r="BI273" s="15"/>
      <c r="BJ273" s="15"/>
      <c r="BK273" s="15"/>
      <c r="BL273" s="15"/>
      <c r="BM273" s="15"/>
      <c r="BN273" s="15"/>
      <c r="BO273" s="15"/>
      <c r="BP273" s="15"/>
    </row>
    <row r="274" spans="1:68" x14ac:dyDescent="0.2">
      <c r="B274" s="16"/>
      <c r="C274" s="16"/>
      <c r="D274" s="1250"/>
      <c r="E274" s="1250"/>
      <c r="F274" s="1250"/>
      <c r="G274" s="1250"/>
      <c r="H274" s="1250"/>
      <c r="I274" s="1250"/>
      <c r="J274" s="1250"/>
      <c r="K274" s="1250"/>
      <c r="L274" s="1250"/>
      <c r="M274" s="1250"/>
      <c r="N274" s="1250"/>
      <c r="O274" s="1250"/>
      <c r="P274" s="1250"/>
      <c r="Q274" s="1250"/>
      <c r="R274" s="1250"/>
      <c r="S274" s="1250"/>
      <c r="T274" s="1250"/>
      <c r="U274" s="1250"/>
      <c r="V274" s="1250"/>
      <c r="W274" s="1250"/>
      <c r="X274" s="1250"/>
      <c r="Y274" s="1250"/>
      <c r="Z274" s="1250"/>
      <c r="AA274" s="1250"/>
      <c r="AB274" s="1250"/>
      <c r="AC274" s="1250"/>
      <c r="AD274" s="1250"/>
      <c r="AE274" s="1250"/>
      <c r="AF274" s="1250"/>
      <c r="AG274" s="1250"/>
      <c r="AH274" s="1250"/>
      <c r="AI274" s="1250"/>
      <c r="AJ274" s="1250"/>
      <c r="AK274" s="1250"/>
      <c r="AL274" s="1250"/>
      <c r="AM274" s="1250"/>
      <c r="AN274" s="1250"/>
      <c r="AO274" s="1250"/>
      <c r="AP274" s="1250"/>
      <c r="AQ274" s="1250"/>
      <c r="AR274" s="1236"/>
      <c r="AS274" s="1371"/>
      <c r="AT274" s="1371"/>
      <c r="AU274" s="1236"/>
      <c r="AV274" s="1236"/>
      <c r="AW274" s="1236"/>
      <c r="AX274" s="1236"/>
      <c r="AY274" s="1236"/>
      <c r="AZ274" s="1236"/>
      <c r="BA274" s="1236"/>
      <c r="BB274" s="1236"/>
      <c r="BC274" s="1236"/>
      <c r="BD274" s="1236"/>
      <c r="BE274" s="1236"/>
    </row>
    <row r="275" spans="1:68" x14ac:dyDescent="0.2">
      <c r="B275" s="315" t="s">
        <v>642</v>
      </c>
      <c r="C275" s="321"/>
      <c r="D275" s="1267"/>
      <c r="E275" s="1267"/>
      <c r="F275" s="1267"/>
      <c r="G275" s="1267"/>
      <c r="H275" s="1267">
        <f>IFERROR(Model!H275/Model!D275-1,"NA")</f>
        <v>7.6452599388379117E-2</v>
      </c>
      <c r="I275" s="1267">
        <f>IFERROR(Model!I275/Model!E275-1,"NA")</f>
        <v>0.10885045778229907</v>
      </c>
      <c r="J275" s="1267">
        <f>IFERROR(Model!J275/Model!F275-1,"NA")</f>
        <v>8.7169441723800256E-2</v>
      </c>
      <c r="K275" s="1267">
        <f>IFERROR(Model!K275/Model!G275-1,"NA")</f>
        <v>6.0861423220973876E-2</v>
      </c>
      <c r="L275" s="1267">
        <f>IFERROR(Model!L275/Model!H275-1,"NA")</f>
        <v>1.8939393939394034E-2</v>
      </c>
      <c r="M275" s="1267">
        <f>IFERROR(Model!M275/Model!I275-1,"NA")</f>
        <v>3.0275229357798139E-2</v>
      </c>
      <c r="N275" s="1267">
        <f>IFERROR(Model!N275/Model!J275-1,"NA")</f>
        <v>5.7657657657657735E-2</v>
      </c>
      <c r="O275" s="1267">
        <f>IFERROR(Model!O275/Model!K275-1,"NA")</f>
        <v>-4.4130626654897975E-3</v>
      </c>
      <c r="P275" s="1267">
        <f>IFERROR(Model!P275/Model!L275-1,"NA")</f>
        <v>-8.8289962825278789E-2</v>
      </c>
      <c r="Q275" s="1267">
        <f>IFERROR(Model!Q275/Model!M275-1,"NA")</f>
        <v>-0.12555654496883351</v>
      </c>
      <c r="R275" s="1267">
        <f>IFERROR(Model!R275/Model!N275-1,"NA")</f>
        <v>-0.19080068143100515</v>
      </c>
      <c r="S275" s="1267">
        <f>IFERROR(Model!S275/Model!O275-1,"NA")</f>
        <v>-0.17021276595744683</v>
      </c>
      <c r="T275" s="1252">
        <f>IFERROR(Model!T275/Model!P275-1,"NA")</f>
        <v>-0.13047910295616716</v>
      </c>
      <c r="U275" s="1252">
        <f>IFERROR(Model!U275/Model!Q275-1,"NA")</f>
        <v>-0.12321792260692466</v>
      </c>
      <c r="V275" s="1252">
        <f>IFERROR(Model!V275/Model!R275-1,"NA")</f>
        <v>-7.6842105263157934E-2</v>
      </c>
      <c r="W275" s="1252">
        <f>IFERROR(Model!W275/Model!S275-1,"NA")</f>
        <v>-0.10256410256410253</v>
      </c>
      <c r="X275" s="1252">
        <f>IFERROR(Model!X275/Model!T275-1,"NA")</f>
        <v>-5.8616647127783805E-3</v>
      </c>
      <c r="Y275" s="1252">
        <f>IFERROR(Model!Y275/Model!U275-1,"NA")</f>
        <v>0.12311265969802565</v>
      </c>
      <c r="Z275" s="1252">
        <f>IFERROR(Model!Z275/Model!V275-1,"NA")</f>
        <v>0.18358038768529084</v>
      </c>
      <c r="AA275" s="1252">
        <f>IFERROR(Model!AA275/Model!W275-1,"NA")</f>
        <v>0.17976190476190479</v>
      </c>
      <c r="AB275" s="1252">
        <f>IFERROR(Model!AB275/Model!X275-1,"NA")</f>
        <v>0.1757075471698113</v>
      </c>
      <c r="AC275" s="407">
        <f>IFERROR(Model!AC275/Model!Y275-1,"NA")</f>
        <v>5.0431546514428272E-2</v>
      </c>
      <c r="AD275" s="407">
        <f>IFERROR(Model!AD275/Model!Z275-1,"NA")</f>
        <v>1.3758841634333718E-2</v>
      </c>
      <c r="AE275" s="407">
        <f>IFERROR(Model!AE275/Model!AA275-1,"NA")</f>
        <v>9.2265933575328862E-2</v>
      </c>
      <c r="AF275" s="407">
        <f>IFERROR(Model!AF275/Model!AB275-1,"NA")</f>
        <v>4.5479299311509847E-2</v>
      </c>
      <c r="AG275" s="407">
        <f>IFERROR(Model!AG275/Model!AC275-1,"NA")</f>
        <v>5.225189888653925E-2</v>
      </c>
      <c r="AH275" s="407">
        <f>IFERROR(Model!AH275/Model!AD275-1,"NA")</f>
        <v>4.3882603410271281E-2</v>
      </c>
      <c r="AI275" s="407">
        <f>IFERROR(Model!AI275/Model!AE275-1,"NA")</f>
        <v>4.1450843376567237E-2</v>
      </c>
      <c r="AJ275" s="407"/>
      <c r="AK275" s="407"/>
      <c r="AL275" s="407"/>
      <c r="AM275" s="407"/>
      <c r="AN275" s="407"/>
      <c r="AO275" s="407"/>
      <c r="AP275" s="407"/>
      <c r="AQ275" s="407"/>
      <c r="AR275" s="1236"/>
      <c r="AS275" s="1400"/>
      <c r="AT275" s="1284"/>
      <c r="AU275" s="1236"/>
      <c r="AV275" s="1236">
        <f>IFERROR(Model!AV275/Model!AU275-1,"NA")</f>
        <v>8.290155440414515E-2</v>
      </c>
      <c r="AW275" s="1236">
        <f>IFERROR(Model!AW275/Model!AV275-1,"NA")</f>
        <v>2.5518341307815051E-2</v>
      </c>
      <c r="AX275" s="1236">
        <f>IFERROR(Model!AX275/Model!AW275-1,"NA")</f>
        <v>-0.14485669851144189</v>
      </c>
      <c r="AY275" s="1236">
        <f>IFERROR(Model!AY275/Model!AX275-1,"NA")</f>
        <v>-0.1085996362691608</v>
      </c>
      <c r="AZ275" s="1236">
        <f>IFERROR(Model!AZ275/Model!AY275-1,"NA")</f>
        <v>0.12037306907607115</v>
      </c>
      <c r="BA275" s="1236">
        <f>IFERROR(Model!BA275/Model!AZ275-1,"NA")</f>
        <v>7.8950188155317624E-2</v>
      </c>
      <c r="BB275" s="407">
        <f>IFERROR(Model!BB275/Model!BA275-1,"NA")</f>
        <v>4.5681510434688821E-2</v>
      </c>
      <c r="BC275" s="407">
        <f>IFERROR(Model!BC275/Model!BB275-1,"NA")</f>
        <v>3.9072342498028378E-2</v>
      </c>
      <c r="BD275" s="407">
        <f>IFERROR(Model!BD275/Model!BC275-1,"NA")</f>
        <v>4.3909000544404053E-2</v>
      </c>
      <c r="BE275" s="407">
        <f>IFERROR(Model!BE275/Model!BD275-1,"NA")</f>
        <v>2.3712947932770234E-3</v>
      </c>
    </row>
    <row r="276" spans="1:68" x14ac:dyDescent="0.2">
      <c r="B276" s="375" t="s">
        <v>206</v>
      </c>
      <c r="C276" s="376"/>
      <c r="D276" s="1275"/>
      <c r="E276" s="1275"/>
      <c r="F276" s="1275"/>
      <c r="G276" s="1275"/>
      <c r="H276" s="1275">
        <f>IFERROR(Model!H276/Model!D276-1,"NA")</f>
        <v>0.13404255319148928</v>
      </c>
      <c r="I276" s="1275">
        <f>IFERROR(Model!I276/Model!E276-1,"NA")</f>
        <v>0.279126213592233</v>
      </c>
      <c r="J276" s="1275">
        <f>IFERROR(Model!J276/Model!F276-1,"NA")</f>
        <v>3.7037037037036979E-2</v>
      </c>
      <c r="K276" s="1275">
        <f>IFERROR(Model!K276/Model!G276-1,"NA")</f>
        <v>0.12323232323232314</v>
      </c>
      <c r="L276" s="1275">
        <f>IFERROR(Model!L276/Model!H276-1,"NA")</f>
        <v>-8.4427767354596672E-2</v>
      </c>
      <c r="M276" s="1275">
        <f>IFERROR(Model!M276/Model!I276-1,"NA")</f>
        <v>-4.5540796963946861E-2</v>
      </c>
      <c r="N276" s="1275">
        <f>IFERROR(Model!N276/Model!J276-1,"NA")</f>
        <v>7.7731092436974736E-2</v>
      </c>
      <c r="O276" s="1275">
        <f>IFERROR(Model!O276/Model!K276-1,"NA")</f>
        <v>-9.3525179856115082E-2</v>
      </c>
      <c r="P276" s="1275">
        <f>IFERROR(Model!P276/Model!L276-1,"NA")</f>
        <v>-0.10040983606557374</v>
      </c>
      <c r="Q276" s="1275">
        <f>IFERROR(Model!Q276/Model!M276-1,"NA")</f>
        <v>-0.12922465208747513</v>
      </c>
      <c r="R276" s="1275">
        <f>IFERROR(Model!R276/Model!N276-1,"NA")</f>
        <v>0.13645224171539971</v>
      </c>
      <c r="S276" s="1275">
        <f>IFERROR(Model!S276/Model!O276-1,"NA")</f>
        <v>-0.18055555555555558</v>
      </c>
      <c r="T276" s="1276">
        <f>IFERROR(Model!T276/Model!P276-1,"NA")</f>
        <v>-0.14350797266514803</v>
      </c>
      <c r="U276" s="1276">
        <f>IFERROR(Model!U276/Model!Q276-1,"NA")</f>
        <v>-0.14383561643835618</v>
      </c>
      <c r="V276" s="1276">
        <f>IFERROR(Model!V276/Model!R276-1,"NA")</f>
        <v>-0.36878216123499141</v>
      </c>
      <c r="W276" s="1276">
        <f>IFERROR(Model!W276/Model!S276-1,"NA")</f>
        <v>-9.9273607748184056E-2</v>
      </c>
      <c r="X276" s="1276">
        <f>IFERROR(Model!X276/Model!T276-1,"NA")</f>
        <v>-0.15159574468085102</v>
      </c>
      <c r="Y276" s="1276">
        <f>IFERROR(Model!Y276/Model!U276-1,"NA")</f>
        <v>-9.0666666666666673E-2</v>
      </c>
      <c r="Z276" s="1276">
        <f>IFERROR(Model!Z276/Model!V276-1,"NA")</f>
        <v>-4.8913043478260865E-2</v>
      </c>
      <c r="AA276" s="1276">
        <f>IFERROR(Model!AA276/Model!W276-1,"NA")</f>
        <v>-1.0752688172043001E-2</v>
      </c>
      <c r="AB276" s="1276">
        <f>IFERROR(Model!AB276/Model!X276-1,"NA")</f>
        <v>9.7178683385579889E-2</v>
      </c>
      <c r="AC276" s="1307">
        <f>IFERROR(Model!AC276/Model!Y276-1,"NA")</f>
        <v>9.8313244687261658E-2</v>
      </c>
      <c r="AD276" s="1307">
        <f>IFERROR(Model!AD276/Model!Z276-1,"NA")</f>
        <v>9.2335960547945239E-2</v>
      </c>
      <c r="AE276" s="1307">
        <f>IFERROR(Model!AE276/Model!AA276-1,"NA")</f>
        <v>6.1824788189398516E-2</v>
      </c>
      <c r="AF276" s="1307">
        <f>IFERROR(Model!AF276/Model!AB276-1,"NA")</f>
        <v>0.10131811174500993</v>
      </c>
      <c r="AG276" s="1307">
        <f>IFERROR(Model!AG276/Model!AC276-1,"NA")</f>
        <v>6.2679683264579733E-2</v>
      </c>
      <c r="AH276" s="1307">
        <f>IFERROR(Model!AH276/Model!AD276-1,"NA")</f>
        <v>5.8122126381118244E-2</v>
      </c>
      <c r="AI276" s="1307">
        <f>IFERROR(Model!AI276/Model!AE276-1,"NA")</f>
        <v>5.5677444475818572E-2</v>
      </c>
      <c r="AJ276" s="1318"/>
      <c r="AK276" s="1318"/>
      <c r="AL276" s="1318"/>
      <c r="AM276" s="1318"/>
      <c r="AN276" s="1318"/>
      <c r="AO276" s="1318"/>
      <c r="AP276" s="1318"/>
      <c r="AQ276" s="1318"/>
      <c r="AR276" s="1236"/>
      <c r="AS276" s="1402"/>
      <c r="AT276" s="1270"/>
      <c r="AU276" s="1246"/>
      <c r="AV276" s="1246">
        <f>IFERROR(Model!AV276/Model!AU276-1,"NA")</f>
        <v>0.13943355119825718</v>
      </c>
      <c r="AW276" s="1246">
        <f>IFERROR(Model!AW276/Model!AV276-1,"NA")</f>
        <v>-4.0152963671128084E-2</v>
      </c>
      <c r="AX276" s="1246">
        <f>IFERROR(Model!AX276/Model!AW276-1,"NA")</f>
        <v>-6.7231075697211207E-2</v>
      </c>
      <c r="AY276" s="1246">
        <f>IFERROR(Model!AY276/Model!AX276-1,"NA")</f>
        <v>-0.20395088093966895</v>
      </c>
      <c r="AZ276" s="1246">
        <f>IFERROR(Model!AZ276/Model!AY276-1,"NA")</f>
        <v>-7.5788061703554677E-2</v>
      </c>
      <c r="BA276" s="1246">
        <f>IFERROR(Model!BA276/Model!AZ276-1,"NA")</f>
        <v>8.678804403761653E-2</v>
      </c>
      <c r="BB276" s="1307">
        <f>IFERROR(Model!BB276/Model!BA276-1,"NA")</f>
        <v>6.8719291337209887E-2</v>
      </c>
      <c r="BC276" s="1307">
        <f>IFERROR(Model!BC276/Model!BB276-1,"NA")</f>
        <v>4.7589025920907968E-2</v>
      </c>
      <c r="BD276" s="1307">
        <f>IFERROR(Model!BD276/Model!BC276-1,"NA")</f>
        <v>5.6370970820009525E-2</v>
      </c>
      <c r="BE276" s="1307">
        <f>IFERROR(Model!BE276/Model!BD276-1,"NA")</f>
        <v>6.5984258239362381E-2</v>
      </c>
    </row>
    <row r="277" spans="1:68" x14ac:dyDescent="0.2">
      <c r="B277" s="316" t="s">
        <v>643</v>
      </c>
      <c r="C277" s="387"/>
      <c r="D277" s="1256"/>
      <c r="E277" s="1256"/>
      <c r="F277" s="1256"/>
      <c r="G277" s="1256"/>
      <c r="H277" s="1256">
        <f>IFERROR(Model!H277/Model!D277-1,"NA")</f>
        <v>9.510682288077188E-2</v>
      </c>
      <c r="I277" s="1256">
        <f>IFERROR(Model!I277/Model!E277-1,"NA")</f>
        <v>0.1591397849462366</v>
      </c>
      <c r="J277" s="1256">
        <f>IFERROR(Model!J277/Model!F277-1,"NA")</f>
        <v>7.1621621621621667E-2</v>
      </c>
      <c r="K277" s="1256">
        <f>IFERROR(Model!K277/Model!G277-1,"NA")</f>
        <v>8.0614203454894451E-2</v>
      </c>
      <c r="L277" s="1256">
        <f>IFERROR(Model!L277/Model!H277-1,"NA")</f>
        <v>-1.5733165512901159E-2</v>
      </c>
      <c r="M277" s="1256">
        <f>IFERROR(Model!M277/Model!I277-1,"NA")</f>
        <v>5.5658627087198376E-3</v>
      </c>
      <c r="N277" s="1256">
        <f>IFERROR(Model!N277/Model!J277-1,"NA")</f>
        <v>6.3682219419924246E-2</v>
      </c>
      <c r="O277" s="1256">
        <f>IFERROR(Model!O277/Model!K277-1,"NA")</f>
        <v>-3.3747779751332141E-2</v>
      </c>
      <c r="P277" s="1256">
        <f>IFERROR(Model!P277/Model!L277-1,"NA")</f>
        <v>-9.2071611253196961E-2</v>
      </c>
      <c r="Q277" s="1256">
        <f>IFERROR(Model!Q277/Model!M277-1,"NA")</f>
        <v>-0.12669126691266908</v>
      </c>
      <c r="R277" s="1256">
        <f>IFERROR(Model!R277/Model!N277-1,"NA")</f>
        <v>-9.1286307053941917E-2</v>
      </c>
      <c r="S277" s="1256">
        <f>IFERROR(Model!S277/Model!O277-1,"NA")</f>
        <v>-0.17340686274509809</v>
      </c>
      <c r="T277" s="1256">
        <f>IFERROR(Model!T277/Model!P277-1,"NA")</f>
        <v>-0.13450704225352117</v>
      </c>
      <c r="U277" s="1256">
        <f>IFERROR(Model!U277/Model!Q277-1,"NA")</f>
        <v>-0.12957746478873244</v>
      </c>
      <c r="V277" s="1256">
        <f>IFERROR(Model!V277/Model!R277-1,"NA")</f>
        <v>-0.18786692759295498</v>
      </c>
      <c r="W277" s="1256">
        <f>IFERROR(Model!W277/Model!S277-1,"NA")</f>
        <v>-0.10155670867309119</v>
      </c>
      <c r="X277" s="1256">
        <f>IFERROR(Model!X277/Model!T277-1,"NA")</f>
        <v>-5.0447518307567107E-2</v>
      </c>
      <c r="Y277" s="1256">
        <f>IFERROR(Model!Y277/Model!U277-1,"NA")</f>
        <v>5.8252427184465994E-2</v>
      </c>
      <c r="Z277" s="1256">
        <f>IFERROR(Model!Z277/Model!V277-1,"NA")</f>
        <v>0.11485943775100393</v>
      </c>
      <c r="AA277" s="1256">
        <f>IFERROR(Model!AA277/Model!W277-1,"NA")</f>
        <v>0.12128712871287139</v>
      </c>
      <c r="AB277" s="1256">
        <f>IFERROR(Model!AB277/Model!X277-1,"NA")</f>
        <v>0.15424164524421591</v>
      </c>
      <c r="AC277" s="1256">
        <f>IFERROR(Model!AC277/Model!Y277-1,"NA")</f>
        <v>6.2914466298018557E-2</v>
      </c>
      <c r="AD277" s="1256">
        <f>IFERROR(Model!AD277/Model!Z277-1,"NA")</f>
        <v>3.357295663416382E-2</v>
      </c>
      <c r="AE277" s="1256">
        <f>IFERROR(Model!AE277/Model!AA277-1,"NA")</f>
        <v>8.4022856679065061E-2</v>
      </c>
      <c r="AF277" s="1256">
        <f>IFERROR(Model!AF277/Model!AB277-1,"NA")</f>
        <v>5.998827061939771E-2</v>
      </c>
      <c r="AG277" s="1256">
        <f>IFERROR(Model!AG277/Model!AC277-1,"NA")</f>
        <v>5.5060994880449465E-2</v>
      </c>
      <c r="AH277" s="1256">
        <f>IFERROR(Model!AH277/Model!AD277-1,"NA")</f>
        <v>4.7677405337246404E-2</v>
      </c>
      <c r="AI277" s="1256">
        <f>IFERROR(Model!AI277/Model!AE277-1,"NA")</f>
        <v>4.5224339747612197E-2</v>
      </c>
      <c r="AJ277" s="1256"/>
      <c r="AK277" s="1256"/>
      <c r="AL277" s="1256"/>
      <c r="AM277" s="1256"/>
      <c r="AN277" s="1256"/>
      <c r="AO277" s="1256"/>
      <c r="AP277" s="1256"/>
      <c r="AQ277" s="1256"/>
      <c r="AR277" s="1236"/>
      <c r="AS277" s="1239"/>
      <c r="AT277" s="1248"/>
      <c r="AU277" s="1236"/>
      <c r="AV277" s="1236">
        <f>IFERROR(Model!AV277/Model!AU277-1,"NA")</f>
        <v>0.10052640516216682</v>
      </c>
      <c r="AW277" s="1236">
        <f>IFERROR(Model!AW277/Model!AV277-1,"NA")</f>
        <v>4.3203209381268426E-3</v>
      </c>
      <c r="AX277" s="1236">
        <f>IFERROR(Model!AX277/Model!AW277-1,"NA")</f>
        <v>-0.12090950990935623</v>
      </c>
      <c r="AY277" s="1236">
        <f>IFERROR(Model!AY277/Model!AX277-1,"NA")</f>
        <v>-0.13981125480601186</v>
      </c>
      <c r="AZ277" s="1236">
        <f>IFERROR(Model!AZ277/Model!AY277-1,"NA")</f>
        <v>6.0950832994717485E-2</v>
      </c>
      <c r="BA277" s="1236">
        <f>IFERROR(Model!BA277/Model!AZ277-1,"NA")</f>
        <v>8.1018469542871951E-2</v>
      </c>
      <c r="BB277" s="1256">
        <f>IFERROR(Model!BB277/Model!BA277-1,"NA")</f>
        <v>5.1793248479768295E-2</v>
      </c>
      <c r="BC277" s="1256">
        <f>IFERROR(Model!BC277/Model!BB277-1,"NA")</f>
        <v>4.1368109780571816E-2</v>
      </c>
      <c r="BD277" s="1256">
        <f>IFERROR(Model!BD277/Model!BC277-1,"NA")</f>
        <v>4.7288331569509623E-2</v>
      </c>
      <c r="BE277" s="1256">
        <f>IFERROR(Model!BE277/Model!BD277-1,"NA")</f>
        <v>1.97709180868475E-2</v>
      </c>
    </row>
    <row r="278" spans="1:68" x14ac:dyDescent="0.2">
      <c r="B278" s="316"/>
      <c r="C278" s="387"/>
      <c r="D278" s="407"/>
      <c r="E278" s="407"/>
      <c r="F278" s="407"/>
      <c r="G278" s="407"/>
      <c r="H278" s="407"/>
      <c r="I278" s="407"/>
      <c r="J278" s="407"/>
      <c r="K278" s="407"/>
      <c r="L278" s="407"/>
      <c r="M278" s="407"/>
      <c r="N278" s="407"/>
      <c r="O278" s="407"/>
      <c r="P278" s="407"/>
      <c r="Q278" s="407"/>
      <c r="R278" s="407"/>
      <c r="S278" s="407"/>
      <c r="T278" s="407"/>
      <c r="U278" s="407"/>
      <c r="V278" s="407"/>
      <c r="W278" s="407"/>
      <c r="X278" s="407"/>
      <c r="Y278" s="407"/>
      <c r="Z278" s="407"/>
      <c r="AA278" s="407"/>
      <c r="AB278" s="407"/>
      <c r="AC278" s="407"/>
      <c r="AD278" s="407"/>
      <c r="AE278" s="407"/>
      <c r="AF278" s="407"/>
      <c r="AG278" s="407"/>
      <c r="AH278" s="407"/>
      <c r="AI278" s="407"/>
      <c r="AJ278" s="407"/>
      <c r="AK278" s="407"/>
      <c r="AL278" s="407"/>
      <c r="AM278" s="407"/>
      <c r="AN278" s="407"/>
      <c r="AO278" s="407"/>
      <c r="AP278" s="407"/>
      <c r="AQ278" s="407"/>
      <c r="AR278" s="1236"/>
      <c r="AS278" s="1239"/>
      <c r="AT278" s="1248"/>
      <c r="AU278" s="1236"/>
      <c r="AV278" s="1236"/>
      <c r="AW278" s="1236"/>
      <c r="AX278" s="1236"/>
      <c r="AY278" s="1236"/>
      <c r="AZ278" s="1236"/>
      <c r="BA278" s="1236"/>
      <c r="BB278" s="407"/>
      <c r="BC278" s="407"/>
      <c r="BD278" s="407"/>
      <c r="BE278" s="407"/>
    </row>
    <row r="279" spans="1:68" x14ac:dyDescent="0.2">
      <c r="B279" s="322" t="s">
        <v>184</v>
      </c>
      <c r="C279" s="387"/>
      <c r="D279" s="1252"/>
      <c r="E279" s="1252"/>
      <c r="F279" s="1252"/>
      <c r="G279" s="1252"/>
      <c r="H279" s="1252">
        <f>IFERROR(Model!H279/Model!D279-1,"NA")</f>
        <v>0.10256410256410264</v>
      </c>
      <c r="I279" s="1252">
        <f>IFERROR(Model!I279/Model!E279-1,"NA")</f>
        <v>0.17250673854447429</v>
      </c>
      <c r="J279" s="1252">
        <f>IFERROR(Model!J279/Model!F279-1,"NA")</f>
        <v>6.1173533083645371E-2</v>
      </c>
      <c r="K279" s="1252">
        <f>IFERROR(Model!K279/Model!G279-1,"NA")</f>
        <v>-9.0909090909090384E-3</v>
      </c>
      <c r="L279" s="1252">
        <f>IFERROR(Model!L279/Model!H279-1,"NA")</f>
        <v>5.1407588739290189E-2</v>
      </c>
      <c r="M279" s="1252">
        <f>IFERROR(Model!M279/Model!I279-1,"NA")</f>
        <v>4.8275862068965614E-2</v>
      </c>
      <c r="N279" s="1252">
        <f>IFERROR(Model!N279/Model!J279-1,"NA")</f>
        <v>5.7647058823529385E-2</v>
      </c>
      <c r="O279" s="1252">
        <f>IFERROR(Model!O279/Model!K279-1,"NA")</f>
        <v>3.325688073394506E-2</v>
      </c>
      <c r="P279" s="1252">
        <f>IFERROR(Model!P279/Model!L279-1,"NA")</f>
        <v>-7.4505238649592576E-2</v>
      </c>
      <c r="Q279" s="1252">
        <f>IFERROR(Model!Q279/Model!M279-1,"NA")</f>
        <v>-7.5657894736842146E-2</v>
      </c>
      <c r="R279" s="1252">
        <f>IFERROR(Model!R279/Model!N279-1,"NA")</f>
        <v>-0.11902113459399333</v>
      </c>
      <c r="S279" s="1252">
        <f>IFERROR(Model!S279/Model!O279-1,"NA")</f>
        <v>-8.8790233074361846E-2</v>
      </c>
      <c r="T279" s="1252">
        <f>IFERROR(Model!T279/Model!P279-1,"NA")</f>
        <v>-9.6855345911949664E-2</v>
      </c>
      <c r="U279" s="1252">
        <f>IFERROR(Model!U279/Model!Q279-1,"NA")</f>
        <v>-0.13997627520759193</v>
      </c>
      <c r="V279" s="1252">
        <f>IFERROR(Model!V279/Model!R279-1,"NA")</f>
        <v>-0.10732323232323238</v>
      </c>
      <c r="W279" s="1252">
        <f>IFERROR(Model!W279/Model!S279-1,"NA")</f>
        <v>-0.16199756394640685</v>
      </c>
      <c r="X279" s="1252">
        <f>IFERROR(Model!X279/Model!T279-1,"NA")</f>
        <v>-7.1030640668523715E-2</v>
      </c>
      <c r="Y279" s="1252">
        <f>IFERROR(Model!Y279/Model!U279-1,"NA")</f>
        <v>2.7586206896551779E-2</v>
      </c>
      <c r="Z279" s="1252">
        <f>IFERROR(Model!Z279/Model!V279-1,"NA")</f>
        <v>0.1018387553041018</v>
      </c>
      <c r="AA279" s="1252">
        <f>IFERROR(Model!AA279/Model!W279-1,"NA")</f>
        <v>0.11627906976744184</v>
      </c>
      <c r="AB279" s="1252">
        <f>IFERROR(Model!AB279/Model!X279-1,"NA")</f>
        <v>0.13793103448275867</v>
      </c>
      <c r="AC279" s="1429">
        <f>IFERROR(Model!AC279/Model!Y279-1,"NA")</f>
        <v>3.5720976730716281E-2</v>
      </c>
      <c r="AD279" s="1429">
        <f>IFERROR(Model!AD279/Model!Z279-1,"NA")</f>
        <v>1.2874961610424451E-2</v>
      </c>
      <c r="AE279" s="1429">
        <f>IFERROR(Model!AE279/Model!AA279-1,"NA")</f>
        <v>5.5016776334332329E-2</v>
      </c>
      <c r="AF279" s="1429">
        <f>IFERROR(Model!AF279/Model!AB279-1,"NA")</f>
        <v>1.5829075471854415E-2</v>
      </c>
      <c r="AG279" s="1429">
        <f>IFERROR(Model!AG279/Model!AC279-1,"NA")</f>
        <v>2.6545832856653684E-2</v>
      </c>
      <c r="AH279" s="1429">
        <f>IFERROR(Model!AH279/Model!AD279-1,"NA")</f>
        <v>9.5800451431646838E-3</v>
      </c>
      <c r="AI279" s="1429">
        <f>IFERROR(Model!AI279/Model!AE279-1,"NA")</f>
        <v>7.2161819386082904E-3</v>
      </c>
      <c r="AJ279" s="1429"/>
      <c r="AK279" s="1429"/>
      <c r="AL279" s="1429"/>
      <c r="AM279" s="1429"/>
      <c r="AN279" s="1429"/>
      <c r="AO279" s="1429"/>
      <c r="AP279" s="1429"/>
      <c r="AQ279" s="1429"/>
      <c r="AR279" s="1236"/>
      <c r="AS279" s="1248"/>
      <c r="AT279" s="1248"/>
      <c r="AU279" s="1236"/>
      <c r="AV279" s="1236">
        <f>IFERROR(Model!AV279/Model!AU279-1,"NA")</f>
        <v>7.7433628318584136E-2</v>
      </c>
      <c r="AW279" s="1236">
        <f>IFERROR(Model!AW279/Model!AV279-1,"NA")</f>
        <v>4.7521267233792797E-2</v>
      </c>
      <c r="AX279" s="1236">
        <f>IFERROR(Model!AX279/Model!AW279-1,"NA")</f>
        <v>-8.9610753290394807E-2</v>
      </c>
      <c r="AY279" s="1236">
        <f>IFERROR(Model!AY279/Model!AX279-1,"NA")</f>
        <v>-0.12703783451245776</v>
      </c>
      <c r="AZ279" s="1236">
        <f>IFERROR(Model!AZ279/Model!AY279-1,"NA")</f>
        <v>4.2635658914728758E-2</v>
      </c>
      <c r="BA279" s="1236">
        <f>IFERROR(Model!BA279/Model!AZ279-1,"NA")</f>
        <v>5.7754176067479568E-2</v>
      </c>
      <c r="BB279" s="1429">
        <f>IFERROR(Model!BB279/Model!BA279-1,"NA")</f>
        <v>1.4666061317530232E-2</v>
      </c>
      <c r="BC279" s="1429">
        <f>IFERROR(Model!BC279/Model!BB279-1,"NA")</f>
        <v>1.2406977929389162E-2</v>
      </c>
      <c r="BD279" s="1429">
        <f>IFERROR(Model!BD279/Model!BC279-1,"NA")</f>
        <v>2.7148171347018968E-2</v>
      </c>
      <c r="BE279" s="1429">
        <f>IFERROR(Model!BE279/Model!BD279-1,"NA")</f>
        <v>1.97709180868475E-2</v>
      </c>
    </row>
    <row r="280" spans="1:68" s="382" customFormat="1" x14ac:dyDescent="0.2">
      <c r="A280" s="833"/>
      <c r="B280" s="322"/>
      <c r="C280" s="387"/>
      <c r="D280" s="1262"/>
      <c r="E280" s="1262"/>
      <c r="F280" s="1262"/>
      <c r="G280" s="1262"/>
      <c r="H280" s="1262"/>
      <c r="I280" s="1262"/>
      <c r="J280" s="1262"/>
      <c r="K280" s="1262"/>
      <c r="L280" s="1262"/>
      <c r="M280" s="1262"/>
      <c r="N280" s="1262"/>
      <c r="O280" s="1262"/>
      <c r="P280" s="1262"/>
      <c r="Q280" s="1262"/>
      <c r="R280" s="1262"/>
      <c r="S280" s="1262"/>
      <c r="T280" s="1262"/>
      <c r="U280" s="1262"/>
      <c r="V280" s="1262"/>
      <c r="W280" s="1262"/>
      <c r="X280" s="1262"/>
      <c r="Y280" s="1262"/>
      <c r="Z280" s="1262"/>
      <c r="AA280" s="1262"/>
      <c r="AB280" s="1262"/>
      <c r="AC280" s="1277"/>
      <c r="AD280" s="1263"/>
      <c r="AE280" s="1263"/>
      <c r="AF280" s="1263"/>
      <c r="AG280" s="1263"/>
      <c r="AH280" s="1263"/>
      <c r="AI280" s="1262"/>
      <c r="AJ280" s="1262"/>
      <c r="AK280" s="1262"/>
      <c r="AL280" s="1262"/>
      <c r="AM280" s="1262"/>
      <c r="AN280" s="1262"/>
      <c r="AO280" s="1262"/>
      <c r="AP280" s="1262"/>
      <c r="AQ280" s="1262"/>
      <c r="AR280" s="1236"/>
      <c r="AS280" s="1248"/>
      <c r="AT280" s="1248"/>
      <c r="AU280" s="1262"/>
      <c r="AV280" s="1263"/>
      <c r="AW280" s="1262"/>
      <c r="AX280" s="1277"/>
      <c r="AY280" s="1263"/>
      <c r="AZ280" s="1262"/>
      <c r="BA280" s="1277"/>
      <c r="BB280" s="1262"/>
      <c r="BC280" s="1262"/>
      <c r="BD280" s="1262"/>
      <c r="BE280" s="1262"/>
    </row>
    <row r="281" spans="1:68" x14ac:dyDescent="0.2">
      <c r="B281" s="322" t="s">
        <v>190</v>
      </c>
      <c r="C281" s="387"/>
      <c r="D281" s="1252"/>
      <c r="E281" s="1252"/>
      <c r="F281" s="1252"/>
      <c r="G281" s="1252"/>
      <c r="H281" s="1252">
        <f>IFERROR(Model!H281/Model!D281-1,"NA")</f>
        <v>0.13770491803278695</v>
      </c>
      <c r="I281" s="1252">
        <f>IFERROR(Model!I281/Model!E281-1,"NA")</f>
        <v>0.40344827586206899</v>
      </c>
      <c r="J281" s="1252">
        <f>IFERROR(Model!J281/Model!F281-1,"NA")</f>
        <v>0.64137931034482754</v>
      </c>
      <c r="K281" s="1252">
        <f>IFERROR(Model!K281/Model!G281-1,"NA")</f>
        <v>0.23291925465838514</v>
      </c>
      <c r="L281" s="1252">
        <f>IFERROR(Model!L281/Model!H281-1,"NA")</f>
        <v>0.22478386167146969</v>
      </c>
      <c r="M281" s="1252">
        <f>IFERROR(Model!M281/Model!I281-1,"NA")</f>
        <v>0.19901719901719894</v>
      </c>
      <c r="N281" s="1252">
        <f>IFERROR(Model!N281/Model!J281-1,"NA")</f>
        <v>-0.13025210084033612</v>
      </c>
      <c r="O281" s="1252">
        <f>IFERROR(Model!O281/Model!K281-1,"NA")</f>
        <v>5.7934508816120944E-2</v>
      </c>
      <c r="P281" s="1252">
        <f>IFERROR(Model!P281/Model!L281-1,"NA")</f>
        <v>-0.14588235294117646</v>
      </c>
      <c r="Q281" s="1252">
        <f>IFERROR(Model!Q281/Model!M281-1,"NA")</f>
        <v>-0.28893442622950816</v>
      </c>
      <c r="R281" s="1252">
        <f>IFERROR(Model!R281/Model!N281-1,"NA")</f>
        <v>-0.18357487922705318</v>
      </c>
      <c r="S281" s="1252">
        <f>IFERROR(Model!S281/Model!O281-1,"NA")</f>
        <v>-0.20952380952380956</v>
      </c>
      <c r="T281" s="1252">
        <f>IFERROR(Model!T281/Model!P281-1,"NA")</f>
        <v>-0.13223140495867769</v>
      </c>
      <c r="U281" s="1252">
        <f>IFERROR(Model!U281/Model!Q281-1,"NA")</f>
        <v>-0.21902017291066278</v>
      </c>
      <c r="V281" s="1252">
        <f>IFERROR(Model!V281/Model!R281-1,"NA")</f>
        <v>-0.10059171597633132</v>
      </c>
      <c r="W281" s="1252">
        <f>IFERROR(Model!W281/Model!S281-1,"NA")</f>
        <v>-7.8313253012048167E-2</v>
      </c>
      <c r="X281" s="1252">
        <f>IFERROR(Model!X281/Model!T281-1,"NA")</f>
        <v>-8.5714285714285743E-2</v>
      </c>
      <c r="Y281" s="1252">
        <f>IFERROR(Model!Y281/Model!U281-1,"NA")</f>
        <v>0.25830258302583031</v>
      </c>
      <c r="Z281" s="1252">
        <f>IFERROR(Model!Z281/Model!V281-1,"NA")</f>
        <v>0.17434210526315796</v>
      </c>
      <c r="AA281" s="1252">
        <f>IFERROR(Model!AA281/Model!W281-1,"NA")</f>
        <v>0.10457516339869288</v>
      </c>
      <c r="AB281" s="1252">
        <f>IFERROR(Model!AB281/Model!X281-1,"NA")</f>
        <v>0.18402777777777768</v>
      </c>
      <c r="AC281" s="407">
        <f>IFERROR(Model!AC281/Model!Y281-1,"NA")</f>
        <v>-4.0876633190053302E-2</v>
      </c>
      <c r="AD281" s="407">
        <f>IFERROR(Model!AD281/Model!Z281-1,"NA")</f>
        <v>-2.0763538920225866E-2</v>
      </c>
      <c r="AE281" s="407">
        <f>IFERROR(Model!AE281/Model!AA281-1,"NA")</f>
        <v>8.1128258194050229E-2</v>
      </c>
      <c r="AF281" s="407">
        <f>IFERROR(Model!AF281/Model!AB281-1,"NA")</f>
        <v>1.7956661759743531E-2</v>
      </c>
      <c r="AG281" s="407">
        <f>IFERROR(Model!AG281/Model!AC281-1,"NA")</f>
        <v>0.10288997058154892</v>
      </c>
      <c r="AH281" s="407">
        <f>IFERROR(Model!AH281/Model!AD281-1,"NA")</f>
        <v>7.2205453844942147E-2</v>
      </c>
      <c r="AI281" s="407">
        <f>IFERROR(Model!AI281/Model!AE281-1,"NA")</f>
        <v>6.6661050067571725E-2</v>
      </c>
      <c r="AJ281" s="407"/>
      <c r="AK281" s="407"/>
      <c r="AL281" s="407"/>
      <c r="AM281" s="407"/>
      <c r="AN281" s="407"/>
      <c r="AO281" s="407"/>
      <c r="AP281" s="407"/>
      <c r="AQ281" s="407"/>
      <c r="AR281" s="1236"/>
      <c r="AS281" s="1248"/>
      <c r="AT281" s="1248"/>
      <c r="AU281" s="1236"/>
      <c r="AV281" s="1236">
        <f>IFERROR(Model!AV281/Model!AU281-1,"NA")</f>
        <v>0.34797017398508689</v>
      </c>
      <c r="AW281" s="1236">
        <f>IFERROR(Model!AW281/Model!AV281-1,"NA")</f>
        <v>7.3755377996312266E-2</v>
      </c>
      <c r="AX281" s="1236">
        <f>IFERROR(Model!AX281/Model!AW281-1,"NA")</f>
        <v>-0.21007441327990839</v>
      </c>
      <c r="AY281" s="1236">
        <f>IFERROR(Model!AY281/Model!AX281-1,"NA")</f>
        <v>-0.1333333333333333</v>
      </c>
      <c r="AZ281" s="1236">
        <f>IFERROR(Model!AZ281/Model!AY281-1,"NA")</f>
        <v>0.10702341137123739</v>
      </c>
      <c r="BA281" s="1236">
        <f>IFERROR(Model!BA281/Model!AZ281-1,"NA")</f>
        <v>4.4614679726027395E-2</v>
      </c>
      <c r="BB281" s="407">
        <f>IFERROR(Model!BB281/Model!BA281-1,"NA")</f>
        <v>6.4621476137378675E-2</v>
      </c>
      <c r="BC281" s="407">
        <f>IFERROR(Model!BC281/Model!BB281-1,"NA")</f>
        <v>8.5411727768728296E-2</v>
      </c>
      <c r="BD281" s="407">
        <f>IFERROR(Model!BD281/Model!BC281-1,"NA")</f>
        <v>8.1695104948241504E-2</v>
      </c>
      <c r="BE281" s="407">
        <f>IFERROR(Model!BE281/Model!BD281-1,"NA")</f>
        <v>8.0213772602323541E-2</v>
      </c>
    </row>
    <row r="282" spans="1:68" x14ac:dyDescent="0.2">
      <c r="B282" s="322"/>
      <c r="C282" s="322" t="s">
        <v>193</v>
      </c>
      <c r="D282" s="1252"/>
      <c r="E282" s="1252"/>
      <c r="F282" s="1252"/>
      <c r="G282" s="1252"/>
      <c r="H282" s="1252">
        <f>IFERROR(Model!H282/Model!D282-1,"NA")</f>
        <v>0.3632075471698113</v>
      </c>
      <c r="I282" s="1252">
        <f>IFERROR(Model!I282/Model!E282-1,"NA")</f>
        <v>0.53333333333333344</v>
      </c>
      <c r="J282" s="1252">
        <f>IFERROR(Model!J282/Model!F282-1,"NA")</f>
        <v>0.29955947136563887</v>
      </c>
      <c r="K282" s="1252">
        <f>IFERROR(Model!K282/Model!G282-1,"NA")</f>
        <v>0.15579710144927539</v>
      </c>
      <c r="L282" s="1252">
        <f>IFERROR(Model!L282/Model!H282-1,"NA")</f>
        <v>0.19723183391003452</v>
      </c>
      <c r="M282" s="1252">
        <f>IFERROR(Model!M282/Model!I282-1,"NA")</f>
        <v>0.2240802675585285</v>
      </c>
      <c r="N282" s="1252">
        <f>IFERROR(Model!N282/Model!J282-1,"NA")</f>
        <v>0.28813559322033888</v>
      </c>
      <c r="O282" s="1252">
        <f>IFERROR(Model!O282/Model!K282-1,"NA")</f>
        <v>0.32601880877742939</v>
      </c>
      <c r="P282" s="1252">
        <f>IFERROR(Model!P282/Model!L282-1,"NA")</f>
        <v>2.8901734104046284E-2</v>
      </c>
      <c r="Q282" s="1252">
        <f>IFERROR(Model!Q282/Model!M282-1,"NA")</f>
        <v>-0.13661202185792354</v>
      </c>
      <c r="R282" s="1252">
        <f>IFERROR(Model!R282/Model!N282-1,"NA")</f>
        <v>-0.20789473684210524</v>
      </c>
      <c r="S282" s="1252">
        <f>IFERROR(Model!S282/Model!O282-1,"NA")</f>
        <v>-0.27423167848699759</v>
      </c>
      <c r="T282" s="1252">
        <f>IFERROR(Model!T282/Model!P282-1,"NA")</f>
        <v>-0.2191011235955056</v>
      </c>
      <c r="U282" s="1252">
        <f>IFERROR(Model!U282/Model!Q282-1,"NA")</f>
        <v>-0.17721518987341767</v>
      </c>
      <c r="V282" s="1252">
        <f>IFERROR(Model!V282/Model!R282-1,"NA")</f>
        <v>-0.15614617940199338</v>
      </c>
      <c r="W282" s="1252">
        <f>IFERROR(Model!W282/Model!S282-1,"NA")</f>
        <v>-0.19218241042345274</v>
      </c>
      <c r="X282" s="1252">
        <f>IFERROR(Model!X282/Model!T282-1,"NA")</f>
        <v>-8.9928057553956831E-2</v>
      </c>
      <c r="Y282" s="1252">
        <f>IFERROR(Model!Y282/Model!U282-1,"NA")</f>
        <v>6.5384615384615374E-2</v>
      </c>
      <c r="Z282" s="1252">
        <f>IFERROR(Model!Z282/Model!V282-1,"NA")</f>
        <v>0.1614173228346456</v>
      </c>
      <c r="AA282" s="1252">
        <f>IFERROR(Model!AA282/Model!W282-1,"NA")</f>
        <v>0.17741935483870974</v>
      </c>
      <c r="AB282" s="1252">
        <f>IFERROR(Model!AB282/Model!X282-1,"NA")</f>
        <v>9.8814229249011953E-2</v>
      </c>
      <c r="AC282" s="407">
        <f>IFERROR(Model!AC282/Model!Y282-1,"NA")</f>
        <v>2.671815439394698E-2</v>
      </c>
      <c r="AD282" s="407">
        <f>IFERROR(Model!AD282/Model!Z282-1,"NA")</f>
        <v>3.0471382772231159E-2</v>
      </c>
      <c r="AE282" s="407">
        <f>IFERROR(Model!AE282/Model!AA282-1,"NA")</f>
        <v>8.8211290260836961E-2</v>
      </c>
      <c r="AF282" s="407">
        <f>IFERROR(Model!AF282/Model!AB282-1,"NA")</f>
        <v>0.13513152930043337</v>
      </c>
      <c r="AG282" s="407">
        <f>IFERROR(Model!AG282/Model!AC282-1,"NA")</f>
        <v>0.15302133288070996</v>
      </c>
      <c r="AH282" s="407">
        <f>IFERROR(Model!AH282/Model!AD282-1,"NA")</f>
        <v>0.1209420653833484</v>
      </c>
      <c r="AI282" s="407">
        <f>IFERROR(Model!AI282/Model!AE282-1,"NA")</f>
        <v>0.11514564325246113</v>
      </c>
      <c r="AJ282" s="407"/>
      <c r="AK282" s="407"/>
      <c r="AL282" s="407"/>
      <c r="AM282" s="407"/>
      <c r="AN282" s="407"/>
      <c r="AO282" s="407"/>
      <c r="AP282" s="407"/>
      <c r="AQ282" s="407"/>
      <c r="AR282" s="1236"/>
      <c r="AS282" s="1248"/>
      <c r="AT282" s="1248"/>
      <c r="AU282" s="1236"/>
      <c r="AV282" s="1236">
        <f>IFERROR(Model!AV282/Model!AU282-1,"NA")</f>
        <v>0.32087912087912085</v>
      </c>
      <c r="AW282" s="1236">
        <f>IFERROR(Model!AW282/Model!AV282-1,"NA")</f>
        <v>0.26039933444259566</v>
      </c>
      <c r="AX282" s="1236">
        <f>IFERROR(Model!AX282/Model!AW282-1,"NA")</f>
        <v>-0.15511551155115511</v>
      </c>
      <c r="AY282" s="1236">
        <f>IFERROR(Model!AY282/Model!AX282-1,"NA")</f>
        <v>-0.1875</v>
      </c>
      <c r="AZ282" s="1236">
        <f>IFERROR(Model!AZ282/Model!AY282-1,"NA")</f>
        <v>7.4038461538461497E-2</v>
      </c>
      <c r="BA282" s="1236">
        <f>IFERROR(Model!BA282/Model!AZ282-1,"NA")</f>
        <v>6.0114309257919496E-2</v>
      </c>
      <c r="BB282" s="407">
        <f>IFERROR(Model!BB282/Model!BA282-1,"NA")</f>
        <v>0.13042245946815378</v>
      </c>
      <c r="BC282" s="407">
        <f>IFERROR(Model!BC282/Model!BB282-1,"NA")</f>
        <v>8.5411727768728296E-2</v>
      </c>
      <c r="BD282" s="407">
        <f>IFERROR(Model!BD282/Model!BC282-1,"NA")</f>
        <v>8.1695104948241504E-2</v>
      </c>
      <c r="BE282" s="407">
        <f>IFERROR(Model!BE282/Model!BD282-1,"NA")</f>
        <v>8.0213772602323541E-2</v>
      </c>
    </row>
    <row r="283" spans="1:68" x14ac:dyDescent="0.2">
      <c r="B283" s="322"/>
      <c r="C283" s="322" t="s">
        <v>192</v>
      </c>
      <c r="D283" s="1278"/>
      <c r="E283" s="1278"/>
      <c r="F283" s="1278"/>
      <c r="G283" s="1278"/>
      <c r="H283" s="1278">
        <f>IFERROR(Model!H283/Model!D283-1,"NA")</f>
        <v>-0.37634408602150538</v>
      </c>
      <c r="I283" s="1278">
        <f>IFERROR(Model!I283/Model!E283-1,"NA")</f>
        <v>0.13684210526315788</v>
      </c>
      <c r="J283" s="1278">
        <f>IFERROR(Model!J283/Model!F283-1,"NA")</f>
        <v>1.873015873015873</v>
      </c>
      <c r="K283" s="1278">
        <f>IFERROR(Model!K283/Model!G283-1,"NA")</f>
        <v>0.69565217391304346</v>
      </c>
      <c r="L283" s="1278">
        <f>IFERROR(Model!L283/Model!H283-1,"NA")</f>
        <v>0.36206896551724133</v>
      </c>
      <c r="M283" s="1278">
        <f>IFERROR(Model!M283/Model!I283-1,"NA")</f>
        <v>0.12962962962962954</v>
      </c>
      <c r="N283" s="1278">
        <f>IFERROR(Model!N283/Model!J283-1,"NA")</f>
        <v>-0.81215469613259672</v>
      </c>
      <c r="O283" s="1278">
        <f>IFERROR(Model!O283/Model!K283-1,"NA")</f>
        <v>-1.0384615384615385</v>
      </c>
      <c r="P283" s="1278">
        <f>IFERROR(Model!P283/Model!L283-1,"NA")</f>
        <v>-0.91139240506329111</v>
      </c>
      <c r="Q283" s="1278">
        <f>IFERROR(Model!Q283/Model!M283-1,"NA")</f>
        <v>-0.74590163934426235</v>
      </c>
      <c r="R283" s="1278">
        <f>IFERROR(Model!R283/Model!N283-1,"NA")</f>
        <v>8.8235294117646967E-2</v>
      </c>
      <c r="S283" s="1278">
        <f>IFERROR(Model!S283/Model!O283-1,"NA")</f>
        <v>-9.3333333333333339</v>
      </c>
      <c r="T283" s="1278">
        <f>IFERROR(Model!T283/Model!P283-1,"NA")</f>
        <v>4.2857142857142856</v>
      </c>
      <c r="U283" s="1278">
        <f>IFERROR(Model!U283/Model!Q283-1,"NA")</f>
        <v>-0.64516129032258063</v>
      </c>
      <c r="V283" s="1278">
        <f>IFERROR(Model!V283/Model!R283-1,"NA")</f>
        <v>0.35135135135135132</v>
      </c>
      <c r="W283" s="1278">
        <f>IFERROR(Model!W283/Model!S283-1,"NA")</f>
        <v>1.3199999999999998</v>
      </c>
      <c r="X283" s="1278">
        <f>IFERROR(Model!X283/Model!T283-1,"NA")</f>
        <v>-5.4054054054054057E-2</v>
      </c>
      <c r="Y283" s="1278">
        <f>IFERROR(Model!Y283/Model!U283-1,"NA")</f>
        <v>4.8181818181818183</v>
      </c>
      <c r="Z283" s="1278">
        <f>IFERROR(Model!Z283/Model!V283-1,"NA")</f>
        <v>0.24</v>
      </c>
      <c r="AA283" s="1278">
        <f>IFERROR(Model!AA283/Model!W283-1,"NA")</f>
        <v>-0.2068965517241379</v>
      </c>
      <c r="AB283" s="1278">
        <f>IFERROR(Model!AB283/Model!X283-1,"NA")</f>
        <v>0.8</v>
      </c>
      <c r="AC283" s="1278">
        <f>IFERROR(Model!AC283/Model!Y283-1,"NA")</f>
        <v>-0.33343532320205505</v>
      </c>
      <c r="AD283" s="1278">
        <f>IFERROR(Model!AD283/Model!Z283-1,"NA")</f>
        <v>-0.26454260181175515</v>
      </c>
      <c r="AE283" s="1278">
        <f>IFERROR(Model!AE283/Model!AA283-1,"NA")</f>
        <v>3.6166402465752201E-2</v>
      </c>
      <c r="AF283" s="1278">
        <f>IFERROR(Model!AF283/Model!AB283-1,"NA")</f>
        <v>-0.49910069024520543</v>
      </c>
      <c r="AG283" s="1278">
        <f>IFERROR(Model!AG283/Model!AC283-1,"NA")</f>
        <v>-0.23131911141285944</v>
      </c>
      <c r="AH283" s="1278">
        <f>IFERROR(Model!AH283/Model!AD283-1,"NA")</f>
        <v>-0.25270528974443351</v>
      </c>
      <c r="AI283" s="1278">
        <f>IFERROR(Model!AI283/Model!AE283-1,"NA")</f>
        <v>-0.2565695711650241</v>
      </c>
      <c r="AJ283" s="1278"/>
      <c r="AK283" s="1278"/>
      <c r="AL283" s="1278"/>
      <c r="AM283" s="1278"/>
      <c r="AN283" s="1278"/>
      <c r="AO283" s="1278"/>
      <c r="AP283" s="1278"/>
      <c r="AQ283" s="1278"/>
      <c r="AR283" s="1236"/>
      <c r="AS283" s="1248"/>
      <c r="AT283" s="1248"/>
      <c r="AU283" s="1236"/>
      <c r="AV283" s="1236">
        <f>IFERROR(Model!AV283/Model!AU283-1,"NA")</f>
        <v>0.43097643097643101</v>
      </c>
      <c r="AW283" s="1236">
        <f>IFERROR(Model!AW283/Model!AV283-1,"NA")</f>
        <v>-0.45411764705882351</v>
      </c>
      <c r="AX283" s="1236">
        <f>IFERROR(Model!AX283/Model!AW283-1,"NA")</f>
        <v>-0.56896551724137934</v>
      </c>
      <c r="AY283" s="1236">
        <f>IFERROR(Model!AY283/Model!AX283-1,"NA")</f>
        <v>0.56000000000000005</v>
      </c>
      <c r="AZ283" s="1236">
        <f>IFERROR(Model!AZ283/Model!AY283-1,"NA")</f>
        <v>0.32692307692307687</v>
      </c>
      <c r="BA283" s="1236">
        <f>IFERROR(Model!BA283/Model!AZ283-1,"NA")</f>
        <v>-3.9023417796307913E-2</v>
      </c>
      <c r="BB283" s="1278">
        <f>IFERROR(Model!BB283/Model!BA283-1,"NA")</f>
        <v>-0.32707990550211408</v>
      </c>
      <c r="BC283" s="1278">
        <f>IFERROR(Model!BC283/Model!BB283-1,"NA")</f>
        <v>8.5411727768728962E-2</v>
      </c>
      <c r="BD283" s="1278">
        <f>IFERROR(Model!BD283/Model!BC283-1,"NA")</f>
        <v>8.1695104948240838E-2</v>
      </c>
      <c r="BE283" s="1278">
        <f>IFERROR(Model!BE283/Model!BD283-1,"NA")</f>
        <v>8.0213772602323319E-2</v>
      </c>
    </row>
    <row r="284" spans="1:68" x14ac:dyDescent="0.2">
      <c r="B284" s="322"/>
      <c r="C284" s="322"/>
      <c r="D284" s="407"/>
      <c r="E284" s="407"/>
      <c r="F284" s="407"/>
      <c r="G284" s="407"/>
      <c r="H284" s="407"/>
      <c r="I284" s="407"/>
      <c r="J284" s="407"/>
      <c r="K284" s="407"/>
      <c r="L284" s="407"/>
      <c r="M284" s="407"/>
      <c r="N284" s="407"/>
      <c r="O284" s="407"/>
      <c r="P284" s="407"/>
      <c r="Q284" s="407"/>
      <c r="R284" s="407"/>
      <c r="S284" s="407"/>
      <c r="T284" s="407"/>
      <c r="U284" s="407"/>
      <c r="V284" s="407"/>
      <c r="W284" s="407"/>
      <c r="X284" s="407"/>
      <c r="Y284" s="407"/>
      <c r="Z284" s="407"/>
      <c r="AA284" s="407"/>
      <c r="AB284" s="407"/>
      <c r="AC284" s="407"/>
      <c r="AD284" s="407"/>
      <c r="AE284" s="407"/>
      <c r="AF284" s="407"/>
      <c r="AG284" s="407"/>
      <c r="AH284" s="407"/>
      <c r="AI284" s="407"/>
      <c r="AJ284" s="407"/>
      <c r="AK284" s="407"/>
      <c r="AL284" s="407"/>
      <c r="AM284" s="407"/>
      <c r="AN284" s="407"/>
      <c r="AO284" s="407"/>
      <c r="AP284" s="407"/>
      <c r="AQ284" s="407"/>
      <c r="AR284" s="1236"/>
      <c r="AS284" s="1248"/>
      <c r="AT284" s="1248"/>
      <c r="AU284" s="1236"/>
      <c r="AV284" s="1236"/>
      <c r="AW284" s="1236"/>
      <c r="AX284" s="1236"/>
      <c r="AY284" s="1236"/>
      <c r="AZ284" s="1236"/>
      <c r="BA284" s="1236"/>
      <c r="BB284" s="407"/>
      <c r="BC284" s="407"/>
      <c r="BD284" s="407"/>
      <c r="BE284" s="407"/>
    </row>
    <row r="285" spans="1:68" x14ac:dyDescent="0.2">
      <c r="B285" s="322" t="s">
        <v>89</v>
      </c>
      <c r="C285" s="387"/>
      <c r="D285" s="1278"/>
      <c r="E285" s="1278"/>
      <c r="F285" s="1278"/>
      <c r="G285" s="1278"/>
      <c r="H285" s="1278">
        <f>IFERROR(Model!H285/Model!D285-1,"NA")</f>
        <v>4.9382716049382713E-2</v>
      </c>
      <c r="I285" s="1278">
        <f>IFERROR(Model!I285/Model!E285-1,"NA")</f>
        <v>-6.3360881542699699E-2</v>
      </c>
      <c r="J285" s="1278">
        <f>IFERROR(Model!J285/Model!F285-1,"NA")</f>
        <v>-0.33161953727506421</v>
      </c>
      <c r="K285" s="1278">
        <f>IFERROR(Model!K285/Model!G285-1,"NA")</f>
        <v>0.16343490304709141</v>
      </c>
      <c r="L285" s="1278">
        <f>IFERROR(Model!L285/Model!H285-1,"NA")</f>
        <v>-0.3411764705882353</v>
      </c>
      <c r="M285" s="1278">
        <f>IFERROR(Model!M285/Model!I285-1,"NA")</f>
        <v>-0.33529411764705885</v>
      </c>
      <c r="N285" s="1278">
        <f>IFERROR(Model!N285/Model!J285-1,"NA")</f>
        <v>0.43846153846153846</v>
      </c>
      <c r="O285" s="1278">
        <f>IFERROR(Model!O285/Model!K285-1,"NA")</f>
        <v>-0.25952380952380949</v>
      </c>
      <c r="P285" s="1278">
        <f>IFERROR(Model!P285/Model!L285-1,"NA")</f>
        <v>-6.4285714285714279E-2</v>
      </c>
      <c r="Q285" s="1278">
        <f>IFERROR(Model!Q285/Model!M285-1,"NA")</f>
        <v>1.7699115044247815E-2</v>
      </c>
      <c r="R285" s="1278">
        <f>IFERROR(Model!R285/Model!N285-1,"NA")</f>
        <v>7.7540106951871746E-2</v>
      </c>
      <c r="S285" s="1278">
        <f>IFERROR(Model!S285/Model!O285-1,"NA")</f>
        <v>-0.36977491961414788</v>
      </c>
      <c r="T285" s="1278">
        <f>IFERROR(Model!T285/Model!P285-1,"NA")</f>
        <v>-0.25190839694656486</v>
      </c>
      <c r="U285" s="1278">
        <f>IFERROR(Model!U285/Model!Q285-1,"NA")</f>
        <v>4.3478260869565188E-2</v>
      </c>
      <c r="V285" s="1278">
        <f>IFERROR(Model!V285/Model!R285-1,"NA")</f>
        <v>-0.41935483870967738</v>
      </c>
      <c r="W285" s="1278">
        <f>IFERROR(Model!W285/Model!S285-1,"NA")</f>
        <v>0.11224489795918369</v>
      </c>
      <c r="X285" s="1278">
        <f>IFERROR(Model!X285/Model!T285-1,"NA")</f>
        <v>8.163265306122458E-2</v>
      </c>
      <c r="Y285" s="1278">
        <f>IFERROR(Model!Y285/Model!U285-1,"NA")</f>
        <v>-7.4999999999999956E-2</v>
      </c>
      <c r="Z285" s="1278">
        <f>IFERROR(Model!Z285/Model!V285-1,"NA")</f>
        <v>7.6923076923076872E-2</v>
      </c>
      <c r="AA285" s="1278">
        <f>IFERROR(Model!AA285/Model!W285-1,"NA")</f>
        <v>0.16055045871559637</v>
      </c>
      <c r="AB285" s="1278">
        <f>IFERROR(Model!AB285/Model!X285-1,"NA")</f>
        <v>0.16509433962264142</v>
      </c>
      <c r="AC285" s="1278">
        <f>IFERROR(Model!AC285/Model!Y285-1,"NA")</f>
        <v>0.31359876653708474</v>
      </c>
      <c r="AD285" s="1278">
        <f>IFERROR(Model!AD285/Model!Z285-1,"NA")</f>
        <v>0.17453274646118766</v>
      </c>
      <c r="AE285" s="1278">
        <f>IFERROR(Model!AE285/Model!AA285-1,"NA")</f>
        <v>0.17594002661064545</v>
      </c>
      <c r="AF285" s="1278">
        <f>IFERROR(Model!AF285/Model!AB285-1,"NA")</f>
        <v>0.25371137887092576</v>
      </c>
      <c r="AG285" s="1278">
        <f>IFERROR(Model!AG285/Model!AC285-1,"NA")</f>
        <v>7.6869075190239888E-2</v>
      </c>
      <c r="AH285" s="1278">
        <f>IFERROR(Model!AH285/Model!AD285-1,"NA")</f>
        <v>0.12026705361139856</v>
      </c>
      <c r="AI285" s="1278">
        <f>IFERROR(Model!AI285/Model!AE285-1,"NA")</f>
        <v>0.12240685348698843</v>
      </c>
      <c r="AJ285" s="1278"/>
      <c r="AK285" s="1278"/>
      <c r="AL285" s="1278"/>
      <c r="AM285" s="1278"/>
      <c r="AN285" s="1278"/>
      <c r="AO285" s="1278"/>
      <c r="AP285" s="1278"/>
      <c r="AQ285" s="1278"/>
      <c r="AR285" s="1236"/>
      <c r="AS285" s="1248"/>
      <c r="AT285" s="1248"/>
      <c r="AU285" s="1236"/>
      <c r="AV285" s="1236">
        <f>IFERROR(Model!AV285/Model!AU285-1,"NA")</f>
        <v>-4.8089591567852419E-2</v>
      </c>
      <c r="AW285" s="1236">
        <f>IFERROR(Model!AW285/Model!AV285-1,"NA")</f>
        <v>-0.1757785467128028</v>
      </c>
      <c r="AX285" s="1236">
        <f>IFERROR(Model!AX285/Model!AW285-1,"NA")</f>
        <v>-8.3963056255247692E-2</v>
      </c>
      <c r="AY285" s="1236">
        <f>IFERROR(Model!AY285/Model!AX285-1,"NA")</f>
        <v>-0.18606782768102659</v>
      </c>
      <c r="AZ285" s="1236">
        <f>IFERROR(Model!AZ285/Model!AY285-1,"NA")</f>
        <v>5.7432432432432456E-2</v>
      </c>
      <c r="BA285" s="1236">
        <f>IFERROR(Model!BA285/Model!AZ285-1,"NA")</f>
        <v>0.20565921726511771</v>
      </c>
      <c r="BB285" s="1278">
        <f>IFERROR(Model!BB285/Model!BA285-1,"NA")</f>
        <v>0.1387649206908983</v>
      </c>
      <c r="BC285" s="1278">
        <f>IFERROR(Model!BC285/Model!BB285-1,"NA")</f>
        <v>6.2406436473139815E-2</v>
      </c>
      <c r="BD285" s="1278">
        <f>IFERROR(Model!BD285/Model!BC285-1,"NA")</f>
        <v>5.4418088678524823E-2</v>
      </c>
      <c r="BE285" s="1278">
        <f>IFERROR(Model!BE285/Model!BD285-1,"NA")</f>
        <v>-5.2581972912002062E-2</v>
      </c>
    </row>
    <row r="286" spans="1:68" x14ac:dyDescent="0.2">
      <c r="B286" s="15"/>
      <c r="C286" s="322" t="s">
        <v>90</v>
      </c>
      <c r="D286" s="1279"/>
      <c r="E286" s="1279"/>
      <c r="F286" s="1279"/>
      <c r="G286" s="1279"/>
      <c r="H286" s="1279">
        <f>IFERROR(Model!H286/Model!D286-1,"NA")</f>
        <v>6.0000000000000053E-2</v>
      </c>
      <c r="I286" s="1279">
        <f>IFERROR(Model!I286/Model!E286-1,"NA")</f>
        <v>-0.13580246913580252</v>
      </c>
      <c r="J286" s="1279">
        <f>IFERROR(Model!J286/Model!F286-1,"NA")</f>
        <v>-0.4731182795698925</v>
      </c>
      <c r="K286" s="1279">
        <f>IFERROR(Model!K286/Model!G286-1,"NA")</f>
        <v>-5.375</v>
      </c>
      <c r="L286" s="1279">
        <f>IFERROR(Model!L286/Model!H286-1,"NA")</f>
        <v>-0.44339622641509435</v>
      </c>
      <c r="M286" s="1279">
        <f>IFERROR(Model!M286/Model!I286-1,"NA")</f>
        <v>-0.7142857142857143</v>
      </c>
      <c r="N286" s="1279">
        <f>IFERROR(Model!N286/Model!J286-1,"NA")</f>
        <v>0.83673469387755106</v>
      </c>
      <c r="O286" s="1279">
        <f>IFERROR(Model!O286/Model!K286-1,"NA")</f>
        <v>-0.35238095238095235</v>
      </c>
      <c r="P286" s="1279">
        <f>IFERROR(Model!P286/Model!L286-1,"NA")</f>
        <v>-6.7796610169491567E-2</v>
      </c>
      <c r="Q286" s="1279">
        <f>IFERROR(Model!Q286/Model!M286-1,"NA")</f>
        <v>1.4500000000000002</v>
      </c>
      <c r="R286" s="1279">
        <f>IFERROR(Model!R286/Model!N286-1,"NA")</f>
        <v>0.17777777777777781</v>
      </c>
      <c r="S286" s="1279">
        <f>IFERROR(Model!S286/Model!O286-1,"NA")</f>
        <v>-0.19117647058823528</v>
      </c>
      <c r="T286" s="1279">
        <f>IFERROR(Model!T286/Model!P286-1,"NA")</f>
        <v>-9.0909090909090939E-2</v>
      </c>
      <c r="U286" s="1279">
        <f>IFERROR(Model!U286/Model!Q286-1,"NA")</f>
        <v>0.36734693877551017</v>
      </c>
      <c r="V286" s="1279">
        <f>IFERROR(Model!V286/Model!R286-1,"NA")</f>
        <v>-0.30188679245283023</v>
      </c>
      <c r="W286" s="1279">
        <f>IFERROR(Model!W286/Model!S286-1,"NA")</f>
        <v>0.16363636363636358</v>
      </c>
      <c r="X286" s="1279">
        <f>IFERROR(Model!X286/Model!T286-1,"NA")</f>
        <v>0.54</v>
      </c>
      <c r="Y286" s="1279">
        <f>IFERROR(Model!Y286/Model!U286-1,"NA")</f>
        <v>0.20895522388059695</v>
      </c>
      <c r="Z286" s="1279">
        <f>IFERROR(Model!Z286/Model!V286-1,"NA")</f>
        <v>0.12162162162162171</v>
      </c>
      <c r="AA286" s="1279">
        <f>IFERROR(Model!AA286/Model!W286-1,"NA")</f>
        <v>0.375</v>
      </c>
      <c r="AB286" s="1279">
        <f>IFERROR(Model!AB286/Model!X286-1,"NA")</f>
        <v>-0.16883116883116878</v>
      </c>
      <c r="AC286" s="1256">
        <f>IFERROR(Model!AC286/Model!Y286-1,"NA")</f>
        <v>-9.9941585891256679E-2</v>
      </c>
      <c r="AD286" s="1256">
        <f>IFERROR(Model!AD286/Model!Z286-1,"NA")</f>
        <v>-0.1084871924451225</v>
      </c>
      <c r="AE286" s="1256">
        <f>IFERROR(Model!AE286/Model!AA286-1,"NA")</f>
        <v>-0.15479310587359862</v>
      </c>
      <c r="AF286" s="1256">
        <f>IFERROR(Model!AF286/Model!AB286-1,"NA")</f>
        <v>0.16125016467919484</v>
      </c>
      <c r="AG286" s="1256">
        <f>IFERROR(Model!AG286/Model!AC286-1,"NA")</f>
        <v>3.3794312182630293E-2</v>
      </c>
      <c r="AH286" s="1256">
        <f>IFERROR(Model!AH286/Model!AD286-1,"NA")</f>
        <v>7.5456371466942729E-2</v>
      </c>
      <c r="AI286" s="1256">
        <f>IFERROR(Model!AI286/Model!AE286-1,"NA")</f>
        <v>7.7510579347508823E-2</v>
      </c>
      <c r="AJ286" s="1256"/>
      <c r="AK286" s="1256"/>
      <c r="AL286" s="1256"/>
      <c r="AM286" s="1256"/>
      <c r="AN286" s="1256"/>
      <c r="AO286" s="1256"/>
      <c r="AP286" s="1256"/>
      <c r="AQ286" s="1256"/>
      <c r="AR286" s="1236"/>
      <c r="AS286" s="1250"/>
      <c r="AT286" s="1248"/>
      <c r="AU286" s="1236"/>
      <c r="AV286" s="1236">
        <f>IFERROR(Model!AV286/Model!AU286-1,"NA")</f>
        <v>0.32000000000000006</v>
      </c>
      <c r="AW286" s="1236">
        <f>IFERROR(Model!AW286/Model!AV286-1,"NA")</f>
        <v>-0.28181818181818186</v>
      </c>
      <c r="AX286" s="1236">
        <f>IFERROR(Model!AX286/Model!AW286-1,"NA")</f>
        <v>0.1181434599156117</v>
      </c>
      <c r="AY286" s="1236">
        <f>IFERROR(Model!AY286/Model!AX286-1,"NA")</f>
        <v>-3.7735849056603765E-2</v>
      </c>
      <c r="AZ286" s="1236">
        <f>IFERROR(Model!AZ286/Model!AY286-1,"NA")</f>
        <v>0.29019607843137263</v>
      </c>
      <c r="BA286" s="1236">
        <f>IFERROR(Model!BA286/Model!AZ286-1,"NA")</f>
        <v>-0.13289209345596831</v>
      </c>
      <c r="BB286" s="1256">
        <f>IFERROR(Model!BB286/Model!BA286-1,"NA")</f>
        <v>8.4592110069061421E-2</v>
      </c>
      <c r="BC286" s="1256">
        <f>IFERROR(Model!BC286/Model!BB286-1,"NA")</f>
        <v>6.2406436473140037E-2</v>
      </c>
      <c r="BD286" s="1256">
        <f>IFERROR(Model!BD286/Model!BC286-1,"NA")</f>
        <v>5.4418088678524823E-2</v>
      </c>
      <c r="BE286" s="1256">
        <f>IFERROR(Model!BE286/Model!BD286-1,"NA")</f>
        <v>-5.2581972912001951E-2</v>
      </c>
    </row>
    <row r="287" spans="1:68" x14ac:dyDescent="0.2">
      <c r="B287" s="322"/>
      <c r="C287" s="434" t="s">
        <v>191</v>
      </c>
      <c r="D287" s="1242"/>
      <c r="E287" s="1242"/>
      <c r="F287" s="1242"/>
      <c r="G287" s="1242"/>
      <c r="H287" s="1242"/>
      <c r="I287" s="1242"/>
      <c r="J287" s="1242"/>
      <c r="K287" s="1242"/>
      <c r="L287" s="1242"/>
      <c r="M287" s="1242"/>
      <c r="N287" s="1242"/>
      <c r="O287" s="1242"/>
      <c r="P287" s="1242"/>
      <c r="Q287" s="1242"/>
      <c r="R287" s="1242"/>
      <c r="S287" s="1242"/>
      <c r="T287" s="1242"/>
      <c r="U287" s="1242"/>
      <c r="V287" s="1242"/>
      <c r="W287" s="1242"/>
      <c r="X287" s="1242"/>
      <c r="Y287" s="1242"/>
      <c r="Z287" s="1242"/>
      <c r="AA287" s="1242"/>
      <c r="AB287" s="1242"/>
      <c r="AC287" s="1429"/>
      <c r="AD287" s="1429"/>
      <c r="AE287" s="1429"/>
      <c r="AF287" s="1429"/>
      <c r="AG287" s="1429"/>
      <c r="AH287" s="1429"/>
      <c r="AI287" s="1429"/>
      <c r="AJ287" s="1429"/>
      <c r="AK287" s="1429"/>
      <c r="AL287" s="1429"/>
      <c r="AM287" s="1429"/>
      <c r="AN287" s="1429"/>
      <c r="AO287" s="1429"/>
      <c r="AP287" s="1429"/>
      <c r="AQ287" s="1429"/>
      <c r="AR287" s="1236"/>
      <c r="AS287" s="1248"/>
      <c r="AT287" s="1248"/>
      <c r="AU287" s="1412"/>
      <c r="AV287" s="1412"/>
      <c r="AW287" s="1412"/>
      <c r="AX287" s="1412"/>
      <c r="AY287" s="1412"/>
      <c r="AZ287" s="1412"/>
      <c r="BA287" s="1412"/>
      <c r="BB287" s="1429"/>
      <c r="BC287" s="1429"/>
      <c r="BD287" s="1429"/>
      <c r="BE287" s="1429"/>
    </row>
    <row r="288" spans="1:68" x14ac:dyDescent="0.2">
      <c r="B288" s="316" t="s">
        <v>80</v>
      </c>
      <c r="C288" s="427"/>
      <c r="D288" s="1252"/>
      <c r="E288" s="1252"/>
      <c r="F288" s="1252"/>
      <c r="G288" s="1252"/>
      <c r="H288" s="1252">
        <f>IFERROR(Model!H288/Model!D288-1,"NA")</f>
        <v>4.590163934426239E-2</v>
      </c>
      <c r="I288" s="1252">
        <f>IFERROR(Model!I288/Model!E288-1,"NA")</f>
        <v>-4.2553191489361653E-2</v>
      </c>
      <c r="J288" s="1252">
        <f>IFERROR(Model!J288/Model!F288-1,"NA")</f>
        <v>-0.28716216216216217</v>
      </c>
      <c r="K288" s="1252">
        <f>IFERROR(Model!K288/Model!G288-1,"NA")</f>
        <v>-0.18181818181818177</v>
      </c>
      <c r="L288" s="1252">
        <f>IFERROR(Model!L288/Model!H288-1,"NA")</f>
        <v>-0.30721003134796243</v>
      </c>
      <c r="M288" s="1252">
        <f>IFERROR(Model!M288/Model!I288-1,"NA")</f>
        <v>-0.23703703703703705</v>
      </c>
      <c r="N288" s="1252">
        <f>IFERROR(Model!N288/Model!J288-1,"NA")</f>
        <v>0.34597156398104256</v>
      </c>
      <c r="O288" s="1252">
        <f>IFERROR(Model!O288/Model!K288-1,"NA")</f>
        <v>-0.22857142857142854</v>
      </c>
      <c r="P288" s="1252">
        <f>IFERROR(Model!P288/Model!L288-1,"NA")</f>
        <v>-6.3348416289592757E-2</v>
      </c>
      <c r="Q288" s="1252">
        <f>IFERROR(Model!Q288/Model!M288-1,"NA")</f>
        <v>-0.12135922330097082</v>
      </c>
      <c r="R288" s="1252">
        <f>IFERROR(Model!R288/Model!N288-1,"NA")</f>
        <v>4.5774647887323994E-2</v>
      </c>
      <c r="S288" s="1252">
        <f>IFERROR(Model!S288/Model!O288-1,"NA")</f>
        <v>-0.41975308641975306</v>
      </c>
      <c r="T288" s="1252">
        <f>IFERROR(Model!T288/Model!P288-1,"NA")</f>
        <v>-0.29468599033816423</v>
      </c>
      <c r="U288" s="1252">
        <f>IFERROR(Model!U288/Model!Q288-1,"NA")</f>
        <v>-4.4198895027624308E-2</v>
      </c>
      <c r="V288" s="1252">
        <f>IFERROR(Model!V288/Model!R288-1,"NA")</f>
        <v>-0.46127946127946129</v>
      </c>
      <c r="W288" s="1252">
        <f>IFERROR(Model!W288/Model!S288-1,"NA")</f>
        <v>9.219858156028371E-2</v>
      </c>
      <c r="X288" s="1252">
        <f>IFERROR(Model!X288/Model!T288-1,"NA")</f>
        <v>-7.5342465753424626E-2</v>
      </c>
      <c r="Y288" s="1252">
        <f>IFERROR(Model!Y288/Model!U288-1,"NA")</f>
        <v>-0.18497109826589597</v>
      </c>
      <c r="Z288" s="1252">
        <f>IFERROR(Model!Z288/Model!V288-1,"NA")</f>
        <v>5.6249999999999911E-2</v>
      </c>
      <c r="AA288" s="1252">
        <f>IFERROR(Model!AA288/Model!W288-1,"NA")</f>
        <v>7.1428571428571397E-2</v>
      </c>
      <c r="AB288" s="1252">
        <f>IFERROR(Model!AB288/Model!X288-1,"NA")</f>
        <v>0.35555555555555562</v>
      </c>
      <c r="AC288" s="1280">
        <f>IFERROR(Model!AC288/Model!Y288-1,"NA")</f>
        <v>0.55116450091081282</v>
      </c>
      <c r="AD288" s="1280">
        <f>IFERROR(Model!AD288/Model!Z288-1,"NA")</f>
        <v>0.31353070462227506</v>
      </c>
      <c r="AE288" s="1280">
        <f>IFERROR(Model!AE288/Model!AA288-1,"NA")</f>
        <v>0.35233103060224225</v>
      </c>
      <c r="AF288" s="1280">
        <f>IFERROR(Model!AF288/Model!AB288-1,"NA")</f>
        <v>0.28604754121120335</v>
      </c>
      <c r="AG288" s="1280">
        <f>IFERROR(Model!AG288/Model!AC288-1,"NA")</f>
        <v>9.1227329526109679E-2</v>
      </c>
      <c r="AH288" s="1280">
        <f>IFERROR(Model!AH288/Model!AD288-1,"NA")</f>
        <v>0.13520394765955057</v>
      </c>
      <c r="AI288" s="1280">
        <f>IFERROR(Model!AI288/Model!AE288-1,"NA")</f>
        <v>0.1373722782001483</v>
      </c>
      <c r="AJ288" s="1280"/>
      <c r="AK288" s="1280"/>
      <c r="AL288" s="1280"/>
      <c r="AM288" s="1280"/>
      <c r="AN288" s="1280"/>
      <c r="AO288" s="1280"/>
      <c r="AP288" s="1280"/>
      <c r="AQ288" s="1280"/>
      <c r="AR288" s="1236"/>
      <c r="AS288" s="1239"/>
      <c r="AT288" s="1239"/>
      <c r="AU288" s="1236"/>
      <c r="AV288" s="1236">
        <f>IFERROR(Model!AV288/Model!AU288-1,"NA")</f>
        <v>-0.12066246056782337</v>
      </c>
      <c r="AW288" s="1236">
        <f>IFERROR(Model!AW288/Model!AV288-1,"NA")</f>
        <v>-0.14439461883408067</v>
      </c>
      <c r="AX288" s="1236">
        <f>IFERROR(Model!AX288/Model!AW288-1,"NA")</f>
        <v>-0.13417190775681342</v>
      </c>
      <c r="AY288" s="1236">
        <f>IFERROR(Model!AY288/Model!AX288-1,"NA")</f>
        <v>-0.23365617433414043</v>
      </c>
      <c r="AZ288" s="1236">
        <f>IFERROR(Model!AZ288/Model!AY288-1,"NA")</f>
        <v>-3.6334913112164302E-2</v>
      </c>
      <c r="BA288" s="1236">
        <f>IFERROR(Model!BA288/Model!AZ288-1,"NA")</f>
        <v>0.38825492419501484</v>
      </c>
      <c r="BB288" s="1280">
        <f>IFERROR(Model!BB288/Model!BA288-1,"NA")</f>
        <v>0.15701443686524419</v>
      </c>
      <c r="BC288" s="1280">
        <f>IFERROR(Model!BC288/Model!BB288-1,"NA")</f>
        <v>6.2406436473139815E-2</v>
      </c>
      <c r="BD288" s="1280">
        <f>IFERROR(Model!BD288/Model!BC288-1,"NA")</f>
        <v>5.4418088678524823E-2</v>
      </c>
      <c r="BE288" s="1280">
        <f>IFERROR(Model!BE288/Model!BD288-1,"NA")</f>
        <v>-5.2581972912002062E-2</v>
      </c>
    </row>
    <row r="289" spans="1:65" x14ac:dyDescent="0.2">
      <c r="B289" s="1217"/>
      <c r="D289" s="407"/>
      <c r="E289" s="407"/>
      <c r="F289" s="407"/>
      <c r="G289" s="407"/>
      <c r="H289" s="407"/>
      <c r="I289" s="407"/>
      <c r="J289" s="407"/>
      <c r="K289" s="407"/>
      <c r="L289" s="407"/>
      <c r="M289" s="407"/>
      <c r="N289" s="407"/>
      <c r="O289" s="407"/>
      <c r="P289" s="407"/>
      <c r="Q289" s="407"/>
      <c r="R289" s="407"/>
      <c r="S289" s="407"/>
      <c r="T289" s="407"/>
      <c r="U289" s="407"/>
      <c r="V289" s="407"/>
      <c r="W289" s="407"/>
      <c r="X289" s="407"/>
      <c r="Y289" s="407"/>
      <c r="Z289" s="407"/>
      <c r="AA289" s="407"/>
      <c r="AB289" s="407"/>
      <c r="AC289" s="407"/>
      <c r="AD289" s="407"/>
      <c r="AE289" s="407"/>
      <c r="AF289" s="407"/>
      <c r="AG289" s="407"/>
      <c r="AH289" s="407"/>
      <c r="AI289" s="407"/>
      <c r="AJ289" s="407"/>
      <c r="AK289" s="407"/>
      <c r="AL289" s="407"/>
      <c r="AM289" s="407"/>
      <c r="AN289" s="407"/>
      <c r="AO289" s="407"/>
      <c r="AP289" s="407"/>
      <c r="AQ289" s="407"/>
      <c r="AR289" s="1236"/>
      <c r="AS289" s="407"/>
      <c r="AT289" s="407"/>
      <c r="AU289" s="1236"/>
      <c r="AV289" s="1236"/>
      <c r="AW289" s="1236"/>
      <c r="AX289" s="1236"/>
      <c r="AY289" s="1236"/>
      <c r="AZ289" s="1236"/>
      <c r="BA289" s="1236"/>
      <c r="BB289" s="1236"/>
      <c r="BC289" s="1236"/>
      <c r="BD289" s="1236"/>
      <c r="BE289" s="1236"/>
    </row>
    <row r="290" spans="1:65" x14ac:dyDescent="0.2">
      <c r="B290" s="340" t="s">
        <v>232</v>
      </c>
      <c r="C290" s="388"/>
      <c r="D290" s="1398"/>
      <c r="E290" s="1398"/>
      <c r="F290" s="1398"/>
      <c r="G290" s="1398"/>
      <c r="H290" s="1398"/>
      <c r="I290" s="1398"/>
      <c r="J290" s="1398"/>
      <c r="K290" s="1398"/>
      <c r="L290" s="1398"/>
      <c r="M290" s="1398"/>
      <c r="N290" s="1398"/>
      <c r="O290" s="1398"/>
      <c r="P290" s="1398"/>
      <c r="Q290" s="1398"/>
      <c r="R290" s="1398"/>
      <c r="S290" s="1398"/>
      <c r="T290" s="1398"/>
      <c r="U290" s="1398"/>
      <c r="V290" s="1398"/>
      <c r="W290" s="1398"/>
      <c r="X290" s="1398"/>
      <c r="Y290" s="1398"/>
      <c r="Z290" s="1398"/>
      <c r="AA290" s="1398"/>
      <c r="AB290" s="1398"/>
      <c r="AC290" s="1398"/>
      <c r="AD290" s="1398"/>
      <c r="AE290" s="1398"/>
      <c r="AF290" s="1398"/>
      <c r="AG290" s="1398"/>
      <c r="AH290" s="1398"/>
      <c r="AI290" s="1398"/>
      <c r="AJ290" s="1398"/>
      <c r="AK290" s="1398"/>
      <c r="AL290" s="1398"/>
      <c r="AM290" s="1398"/>
      <c r="AN290" s="1398"/>
      <c r="AO290" s="1398"/>
      <c r="AP290" s="1398"/>
      <c r="AQ290" s="1398"/>
      <c r="AR290" s="1236"/>
      <c r="AS290" s="1313"/>
      <c r="AT290" s="1407"/>
      <c r="AU290" s="1398"/>
      <c r="AV290" s="1398"/>
      <c r="AW290" s="1398"/>
      <c r="AX290" s="1398"/>
      <c r="AY290" s="1398"/>
      <c r="AZ290" s="1398"/>
      <c r="BA290" s="1398"/>
      <c r="BB290" s="1398"/>
      <c r="BC290" s="1398"/>
      <c r="BD290" s="1398"/>
      <c r="BE290" s="1398"/>
      <c r="BF290" s="15"/>
      <c r="BG290" s="15"/>
      <c r="BH290" s="15"/>
      <c r="BI290" s="15"/>
      <c r="BJ290" s="15"/>
      <c r="BK290" s="15"/>
      <c r="BL290" s="15"/>
      <c r="BM290" s="15"/>
    </row>
    <row r="291" spans="1:65" x14ac:dyDescent="0.2">
      <c r="B291" s="321" t="s">
        <v>74</v>
      </c>
      <c r="C291" s="15"/>
      <c r="D291" s="1253"/>
      <c r="E291" s="1253"/>
      <c r="F291" s="1253"/>
      <c r="G291" s="1253"/>
      <c r="H291" s="1253">
        <f>IFERROR(Model!H291/Model!D291-1,"NA")</f>
        <v>8.3333333333333259E-2</v>
      </c>
      <c r="I291" s="1253">
        <f>IFERROR(Model!I291/Model!E291-1,"NA")</f>
        <v>0.13435897435897437</v>
      </c>
      <c r="J291" s="1253">
        <f>IFERROR(Model!J291/Model!F291-1,"NA")</f>
        <v>2.8901734104046284E-2</v>
      </c>
      <c r="K291" s="1253">
        <f>IFERROR(Model!K291/Model!G291-1,"NA")</f>
        <v>6.1682242990654279E-2</v>
      </c>
      <c r="L291" s="1253">
        <f>IFERROR(Model!L291/Model!H291-1,"NA")</f>
        <v>-4.4343891402714886E-2</v>
      </c>
      <c r="M291" s="1253">
        <f>IFERROR(Model!M291/Model!I291-1,"NA")</f>
        <v>-1.8083182640144635E-2</v>
      </c>
      <c r="N291" s="1253">
        <f>IFERROR(Model!N291/Model!J291-1,"NA")</f>
        <v>4.4943820224719211E-2</v>
      </c>
      <c r="O291" s="1253">
        <f>IFERROR(Model!O291/Model!K291-1,"NA")</f>
        <v>-5.8098591549295753E-2</v>
      </c>
      <c r="P291" s="1253">
        <f>IFERROR(Model!P291/Model!L291-1,"NA")</f>
        <v>-9.0909090909090939E-2</v>
      </c>
      <c r="Q291" s="1253">
        <f>IFERROR(Model!Q291/Model!M291-1,"NA")</f>
        <v>-0.11325966850828728</v>
      </c>
      <c r="R291" s="1253">
        <f>IFERROR(Model!R291/Model!N291-1,"NA")</f>
        <v>-2.508960573476704E-2</v>
      </c>
      <c r="S291" s="1253">
        <f>IFERROR(Model!S291/Model!O291-1,"NA")</f>
        <v>-0.13831775700934579</v>
      </c>
      <c r="T291" s="1253">
        <f>IFERROR(Model!T291/Model!P291-1,"NA")</f>
        <v>-0.10833333333333328</v>
      </c>
      <c r="U291" s="1253">
        <f>IFERROR(Model!U291/Model!Q291-1,"NA")</f>
        <v>-0.11422637590861895</v>
      </c>
      <c r="V291" s="1253">
        <f>IFERROR(Model!V291/Model!R291-1,"NA")</f>
        <v>-0.19025735294117652</v>
      </c>
      <c r="W291" s="1253">
        <f>IFERROR(Model!W291/Model!S291-1,"NA")</f>
        <v>-7.0498915401301487E-2</v>
      </c>
      <c r="X291" s="1253">
        <f>IFERROR(Model!X291/Model!T291-1,"NA")</f>
        <v>-7.0093457943924964E-3</v>
      </c>
      <c r="Y291" s="1253">
        <f>IFERROR(Model!Y291/Model!U291-1,"NA")</f>
        <v>0.10082063305978894</v>
      </c>
      <c r="Z291" s="1253">
        <f>IFERROR(Model!Z291/Model!V291-1,"NA")</f>
        <v>0.12599318955732119</v>
      </c>
      <c r="AA291" s="1253">
        <f>IFERROR(Model!AA291/Model!W291-1,"NA")</f>
        <v>0.13302217036172692</v>
      </c>
      <c r="AB291" s="1253">
        <f>IFERROR(Model!AB291/Model!X291-1,"NA")</f>
        <v>0.13647058823529412</v>
      </c>
      <c r="AC291" s="1287">
        <f>IFERROR(Model!AC291/Model!Y291-1,"NA")</f>
        <v>7.2115729353582347E-2</v>
      </c>
      <c r="AD291" s="1287">
        <f>IFERROR(Model!AD291/Model!Z291-1,"NA")</f>
        <v>4.5211613151789898E-2</v>
      </c>
      <c r="AE291" s="1287">
        <f>IFERROR(Model!AE291/Model!AA291-1,"NA")</f>
        <v>8.8768123541046684E-2</v>
      </c>
      <c r="AF291" s="1287">
        <f>IFERROR(Model!AF291/Model!AB291-1,"NA")</f>
        <v>6.7393693736577998E-2</v>
      </c>
      <c r="AG291" s="1287">
        <f>IFERROR(Model!AG291/Model!AC291-1,"NA")</f>
        <v>4.7031205379707064E-2</v>
      </c>
      <c r="AH291" s="1287">
        <f>IFERROR(Model!AH291/Model!AD291-1,"NA")</f>
        <v>4.3223113609883068E-2</v>
      </c>
      <c r="AI291" s="1287">
        <f>IFERROR(Model!AI291/Model!AE291-1,"NA")</f>
        <v>4.2105121193979356E-2</v>
      </c>
      <c r="AJ291" s="1287"/>
      <c r="AK291" s="1287"/>
      <c r="AL291" s="1287"/>
      <c r="AM291" s="1287"/>
      <c r="AN291" s="1287"/>
      <c r="AO291" s="1287"/>
      <c r="AP291" s="1287"/>
      <c r="AQ291" s="1287"/>
      <c r="AR291" s="1236"/>
      <c r="AS291" s="1284"/>
      <c r="AT291" s="1250"/>
      <c r="AU291" s="1236"/>
      <c r="AV291" s="1236">
        <f>IFERROR(Model!AV291/Model!AU291-1,"NA")</f>
        <v>7.6041920545941943E-2</v>
      </c>
      <c r="AW291" s="1236">
        <f>IFERROR(Model!AW291/Model!AV291-1,"NA")</f>
        <v>-1.9705549263873134E-2</v>
      </c>
      <c r="AX291" s="1236">
        <f>IFERROR(Model!AX291/Model!AW291-1,"NA")</f>
        <v>-9.1266173752310498E-2</v>
      </c>
      <c r="AY291" s="1236">
        <f>IFERROR(Model!AY291/Model!AX291-1,"NA")</f>
        <v>-0.1235697940503433</v>
      </c>
      <c r="AZ291" s="1236">
        <f>IFERROR(Model!AZ291/Model!AY291-1,"NA")</f>
        <v>8.8482738613286926E-2</v>
      </c>
      <c r="BA291" s="1236">
        <f>IFERROR(Model!BA291/Model!AZ291-1,"NA")</f>
        <v>8.3891374751584591E-2</v>
      </c>
      <c r="BB291" s="1287">
        <f>IFERROR(Model!BB291/Model!BA291-1,"NA")</f>
        <v>4.9616535489346525E-2</v>
      </c>
      <c r="BC291" s="1287">
        <f>IFERROR(Model!BC291/Model!BB291-1,"NA")</f>
        <v>3.5170321780325864E-2</v>
      </c>
      <c r="BD291" s="1287">
        <f>IFERROR(Model!BD291/Model!BC291-1,"NA")</f>
        <v>4.3736266872753227E-2</v>
      </c>
      <c r="BE291" s="1287">
        <f>IFERROR(Model!BE291/Model!BD291-1,"NA")</f>
        <v>5.0111826048437003E-2</v>
      </c>
    </row>
    <row r="292" spans="1:65" x14ac:dyDescent="0.2">
      <c r="B292" s="376" t="s">
        <v>75</v>
      </c>
      <c r="C292" s="28"/>
      <c r="D292" s="1408"/>
      <c r="E292" s="1408"/>
      <c r="F292" s="1408"/>
      <c r="G292" s="1408"/>
      <c r="H292" s="1408">
        <f>IFERROR(Model!H292/Model!D292-1,"NA")</f>
        <v>0.12296983758700697</v>
      </c>
      <c r="I292" s="1408">
        <f>IFERROR(Model!I292/Model!E292-1,"NA")</f>
        <v>0.21666666666666656</v>
      </c>
      <c r="J292" s="1408">
        <f>IFERROR(Model!J292/Model!F292-1,"NA")</f>
        <v>0.17194570135746612</v>
      </c>
      <c r="K292" s="1408">
        <f>IFERROR(Model!K292/Model!G292-1,"NA")</f>
        <v>0.1217038539553752</v>
      </c>
      <c r="L292" s="1408">
        <f>IFERROR(Model!L292/Model!H292-1,"NA")</f>
        <v>4.9586776859504189E-2</v>
      </c>
      <c r="M292" s="1408">
        <f>IFERROR(Model!M292/Model!I292-1,"NA")</f>
        <v>5.6751467710371761E-2</v>
      </c>
      <c r="N292" s="1408">
        <f>IFERROR(Model!N292/Model!J292-1,"NA")</f>
        <v>0.10231660231660222</v>
      </c>
      <c r="O292" s="1408">
        <f>IFERROR(Model!O292/Model!K292-1,"NA")</f>
        <v>1.6274864376130127E-2</v>
      </c>
      <c r="P292" s="1408">
        <f>IFERROR(Model!P292/Model!L292-1,"NA")</f>
        <v>-9.4488188976378007E-2</v>
      </c>
      <c r="Q292" s="1408">
        <f>IFERROR(Model!Q292/Model!M292-1,"NA")</f>
        <v>-0.15370370370370368</v>
      </c>
      <c r="R292" s="1408">
        <f>IFERROR(Model!R292/Model!N292-1,"NA")</f>
        <v>-0.2206654991243433</v>
      </c>
      <c r="S292" s="1408">
        <f>IFERROR(Model!S292/Model!O292-1,"NA")</f>
        <v>-0.24021352313167255</v>
      </c>
      <c r="T292" s="1408">
        <f>IFERROR(Model!T292/Model!P292-1,"NA")</f>
        <v>-0.18913043478260871</v>
      </c>
      <c r="U292" s="1408">
        <f>IFERROR(Model!U292/Model!Q292-1,"NA")</f>
        <v>-0.16192560175054704</v>
      </c>
      <c r="V292" s="1408">
        <f>IFERROR(Model!V292/Model!R292-1,"NA")</f>
        <v>-0.18202247191011234</v>
      </c>
      <c r="W292" s="1408">
        <f>IFERROR(Model!W292/Model!S292-1,"NA")</f>
        <v>-0.16861826697892268</v>
      </c>
      <c r="X292" s="1408">
        <f>IFERROR(Model!X292/Model!T292-1,"NA")</f>
        <v>-0.15013404825737264</v>
      </c>
      <c r="Y292" s="1408">
        <f>IFERROR(Model!Y292/Model!U292-1,"NA")</f>
        <v>-3.6553524804177506E-2</v>
      </c>
      <c r="Z292" s="1408">
        <f>IFERROR(Model!Z292/Model!V292-1,"NA")</f>
        <v>8.7912087912087822E-2</v>
      </c>
      <c r="AA292" s="1408">
        <f>IFERROR(Model!AA292/Model!W292-1,"NA")</f>
        <v>9.2957746478873338E-2</v>
      </c>
      <c r="AB292" s="1408">
        <f>IFERROR(Model!AB292/Model!X292-1,"NA")</f>
        <v>0.20189274447949535</v>
      </c>
      <c r="AC292" s="1289">
        <f>IFERROR(Model!AC292/Model!Y292-1,"NA")</f>
        <v>3.9499870067193799E-2</v>
      </c>
      <c r="AD292" s="1289">
        <f>IFERROR(Model!AD292/Model!Z292-1,"NA")</f>
        <v>4.4175342465753165E-3</v>
      </c>
      <c r="AE292" s="1289">
        <f>IFERROR(Model!AE292/Model!AA292-1,"NA")</f>
        <v>7.2147459454879215E-2</v>
      </c>
      <c r="AF292" s="1289">
        <f>IFERROR(Model!AF292/Model!AB292-1,"NA")</f>
        <v>4.1212315944342492E-2</v>
      </c>
      <c r="AG292" s="1289">
        <f>IFERROR(Model!AG292/Model!AC292-1,"NA")</f>
        <v>7.6135656730117462E-2</v>
      </c>
      <c r="AH292" s="1289">
        <f>IFERROR(Model!AH292/Model!AD292-1,"NA")</f>
        <v>5.9288818648242092E-2</v>
      </c>
      <c r="AI292" s="1289">
        <f>IFERROR(Model!AI292/Model!AE292-1,"NA")</f>
        <v>5.315143699879421E-2</v>
      </c>
      <c r="AJ292" s="1301"/>
      <c r="AK292" s="1301"/>
      <c r="AL292" s="1301"/>
      <c r="AM292" s="1301"/>
      <c r="AN292" s="1301"/>
      <c r="AO292" s="1301"/>
      <c r="AP292" s="1301"/>
      <c r="AQ292" s="1301"/>
      <c r="AR292" s="1236"/>
      <c r="AS292" s="1270"/>
      <c r="AT292" s="1246"/>
      <c r="AU292" s="1246"/>
      <c r="AV292" s="1246">
        <f>IFERROR(Model!AV292/Model!AU292-1,"NA")</f>
        <v>0.15677491601343796</v>
      </c>
      <c r="AW292" s="1246">
        <f>IFERROR(Model!AW292/Model!AV292-1,"NA")</f>
        <v>5.5663117134559625E-2</v>
      </c>
      <c r="AX292" s="1246">
        <f>IFERROR(Model!AX292/Model!AW292-1,"NA")</f>
        <v>-0.17973406694176985</v>
      </c>
      <c r="AY292" s="1246">
        <f>IFERROR(Model!AY292/Model!AX292-1,"NA")</f>
        <v>-0.17551704863051987</v>
      </c>
      <c r="AZ292" s="1246">
        <f>IFERROR(Model!AZ292/Model!AY292-1,"NA")</f>
        <v>-3.3898305084745228E-3</v>
      </c>
      <c r="BA292" s="1246">
        <f>IFERROR(Model!BA292/Model!AZ292-1,"NA")</f>
        <v>7.3685721010157579E-2</v>
      </c>
      <c r="BB292" s="1289">
        <f>IFERROR(Model!BB292/Model!BA292-1,"NA")</f>
        <v>5.7401858543795203E-2</v>
      </c>
      <c r="BC292" s="1289">
        <f>IFERROR(Model!BC292/Model!BB292-1,"NA")</f>
        <v>5.7220012158835765E-2</v>
      </c>
      <c r="BD292" s="1289">
        <f>IFERROR(Model!BD292/Model!BC292-1,"NA")</f>
        <v>5.6183864601367706E-2</v>
      </c>
      <c r="BE292" s="1289">
        <f>IFERROR(Model!BE292/Model!BD292-1,"NA")</f>
        <v>-5.5317149566379342E-2</v>
      </c>
    </row>
    <row r="293" spans="1:65" x14ac:dyDescent="0.2">
      <c r="B293" s="18"/>
      <c r="C293" s="322" t="s">
        <v>55</v>
      </c>
      <c r="D293" s="1267"/>
      <c r="E293" s="1267"/>
      <c r="F293" s="1267"/>
      <c r="G293" s="1267"/>
      <c r="H293" s="1267">
        <f>IFERROR(Model!H293/Model!D293-1,"NA")</f>
        <v>9.510682288077188E-2</v>
      </c>
      <c r="I293" s="1267">
        <f>IFERROR(Model!I293/Model!E293-1,"NA")</f>
        <v>0.1591397849462366</v>
      </c>
      <c r="J293" s="1267">
        <f>IFERROR(Model!J293/Model!F293-1,"NA")</f>
        <v>7.1621621621621667E-2</v>
      </c>
      <c r="K293" s="1267">
        <f>IFERROR(Model!K293/Model!G293-1,"NA")</f>
        <v>8.0614203454894451E-2</v>
      </c>
      <c r="L293" s="1267">
        <f>IFERROR(Model!L293/Model!H293-1,"NA")</f>
        <v>-1.5733165512901159E-2</v>
      </c>
      <c r="M293" s="1267">
        <f>IFERROR(Model!M293/Model!I293-1,"NA")</f>
        <v>5.5658627087198376E-3</v>
      </c>
      <c r="N293" s="1267">
        <f>IFERROR(Model!N293/Model!J293-1,"NA")</f>
        <v>6.3682219419924246E-2</v>
      </c>
      <c r="O293" s="1267">
        <f>IFERROR(Model!O293/Model!K293-1,"NA")</f>
        <v>-3.3747779751332141E-2</v>
      </c>
      <c r="P293" s="1267">
        <f>IFERROR(Model!P293/Model!L293-1,"NA")</f>
        <v>-9.2071611253196961E-2</v>
      </c>
      <c r="Q293" s="1267">
        <f>IFERROR(Model!Q293/Model!M293-1,"NA")</f>
        <v>-0.12669126691266908</v>
      </c>
      <c r="R293" s="1267">
        <f>IFERROR(Model!R293/Model!N293-1,"NA")</f>
        <v>-9.1286307053941917E-2</v>
      </c>
      <c r="S293" s="1267">
        <f>IFERROR(Model!S293/Model!O293-1,"NA")</f>
        <v>-0.17340686274509809</v>
      </c>
      <c r="T293" s="1267">
        <f>IFERROR(Model!T293/Model!P293-1,"NA")</f>
        <v>-0.13450704225352117</v>
      </c>
      <c r="U293" s="1267">
        <f>IFERROR(Model!U293/Model!Q293-1,"NA")</f>
        <v>-0.12957746478873244</v>
      </c>
      <c r="V293" s="1267">
        <f>IFERROR(Model!V293/Model!R293-1,"NA")</f>
        <v>-0.18786692759295498</v>
      </c>
      <c r="W293" s="1267">
        <f>IFERROR(Model!W293/Model!S293-1,"NA")</f>
        <v>-0.10155670867309119</v>
      </c>
      <c r="X293" s="1267">
        <f>IFERROR(Model!X293/Model!T293-1,"NA")</f>
        <v>-5.0447518307567107E-2</v>
      </c>
      <c r="Y293" s="1267">
        <f>IFERROR(Model!Y293/Model!U293-1,"NA")</f>
        <v>5.8252427184465994E-2</v>
      </c>
      <c r="Z293" s="1267">
        <f>IFERROR(Model!Z293/Model!V293-1,"NA")</f>
        <v>0.11485943775100393</v>
      </c>
      <c r="AA293" s="1267">
        <f>IFERROR(Model!AA293/Model!W293-1,"NA")</f>
        <v>0.12128712871287139</v>
      </c>
      <c r="AB293" s="1267">
        <f>IFERROR(Model!AB293/Model!X293-1,"NA")</f>
        <v>0.15424164524421591</v>
      </c>
      <c r="AC293" s="1267">
        <f>IFERROR(Model!AC293/Model!Y293-1,"NA")</f>
        <v>6.2914466298018557E-2</v>
      </c>
      <c r="AD293" s="1267">
        <f>IFERROR(Model!AD293/Model!Z293-1,"NA")</f>
        <v>3.357295663416382E-2</v>
      </c>
      <c r="AE293" s="1267">
        <f>IFERROR(Model!AE293/Model!AA293-1,"NA")</f>
        <v>8.4022856679065061E-2</v>
      </c>
      <c r="AF293" s="1267">
        <f>IFERROR(Model!AF293/Model!AB293-1,"NA")</f>
        <v>5.998827061939771E-2</v>
      </c>
      <c r="AG293" s="1267">
        <f>IFERROR(Model!AG293/Model!AC293-1,"NA")</f>
        <v>5.5060994880449243E-2</v>
      </c>
      <c r="AH293" s="1267">
        <f>IFERROR(Model!AH293/Model!AD293-1,"NA")</f>
        <v>4.7677405337246404E-2</v>
      </c>
      <c r="AI293" s="1267">
        <f>IFERROR(Model!AI293/Model!AE293-1,"NA")</f>
        <v>4.5224339747612197E-2</v>
      </c>
      <c r="AJ293" s="1267"/>
      <c r="AK293" s="1267"/>
      <c r="AL293" s="1267"/>
      <c r="AM293" s="1267"/>
      <c r="AN293" s="1267"/>
      <c r="AO293" s="1267"/>
      <c r="AP293" s="1267"/>
      <c r="AQ293" s="1267"/>
      <c r="AR293" s="1236"/>
      <c r="AS293" s="1430"/>
      <c r="AT293" s="1248"/>
      <c r="AU293" s="1236"/>
      <c r="AV293" s="1236">
        <f>IFERROR(Model!AV293/Model!AU293-1,"NA")</f>
        <v>0.10052640516216682</v>
      </c>
      <c r="AW293" s="1236">
        <f>IFERROR(Model!AW293/Model!AV293-1,"NA")</f>
        <v>4.3203209381268426E-3</v>
      </c>
      <c r="AX293" s="1236">
        <f>IFERROR(Model!AX293/Model!AW293-1,"NA")</f>
        <v>-0.12090950990935623</v>
      </c>
      <c r="AY293" s="1236">
        <f>IFERROR(Model!AY293/Model!AX293-1,"NA")</f>
        <v>-0.13981125480601186</v>
      </c>
      <c r="AZ293" s="1236">
        <f>IFERROR(Model!AZ293/Model!AY293-1,"NA")</f>
        <v>6.0950832994717485E-2</v>
      </c>
      <c r="BA293" s="1236">
        <f>IFERROR(Model!BA293/Model!AZ293-1,"NA")</f>
        <v>8.1018469542871951E-2</v>
      </c>
      <c r="BB293" s="1267">
        <f>IFERROR(Model!BB293/Model!BA293-1,"NA")</f>
        <v>5.1793248479768295E-2</v>
      </c>
      <c r="BC293" s="1267">
        <f>IFERROR(Model!BC293/Model!BB293-1,"NA")</f>
        <v>4.1368109780571816E-2</v>
      </c>
      <c r="BD293" s="1267">
        <f>IFERROR(Model!BD293/Model!BC293-1,"NA")</f>
        <v>4.7288331569509623E-2</v>
      </c>
      <c r="BE293" s="1267">
        <f>IFERROR(Model!BE293/Model!BD293-1,"NA")</f>
        <v>1.9770918086847278E-2</v>
      </c>
    </row>
    <row r="294" spans="1:65" x14ac:dyDescent="0.2">
      <c r="B294" s="321"/>
      <c r="C294" s="319"/>
      <c r="D294" s="1250"/>
      <c r="E294" s="1250"/>
      <c r="F294" s="1250"/>
      <c r="G294" s="1250"/>
      <c r="H294" s="1250"/>
      <c r="I294" s="1250"/>
      <c r="J294" s="1250"/>
      <c r="K294" s="1250"/>
      <c r="L294" s="1250"/>
      <c r="M294" s="1250"/>
      <c r="N294" s="1250"/>
      <c r="O294" s="1250"/>
      <c r="P294" s="1250"/>
      <c r="Q294" s="1250"/>
      <c r="R294" s="1250"/>
      <c r="S294" s="1250"/>
      <c r="T294" s="1250"/>
      <c r="U294" s="1250"/>
      <c r="V294" s="1250"/>
      <c r="W294" s="1250"/>
      <c r="X294" s="1250"/>
      <c r="Y294" s="1250"/>
      <c r="Z294" s="1250"/>
      <c r="AA294" s="1250"/>
      <c r="AB294" s="1250"/>
      <c r="AC294" s="1250"/>
      <c r="AD294" s="1250"/>
      <c r="AE294" s="1250"/>
      <c r="AF294" s="1250"/>
      <c r="AG294" s="1250"/>
      <c r="AH294" s="1250"/>
      <c r="AI294" s="1250"/>
      <c r="AJ294" s="1250"/>
      <c r="AK294" s="1250"/>
      <c r="AL294" s="1250"/>
      <c r="AM294" s="1250"/>
      <c r="AN294" s="1250"/>
      <c r="AO294" s="1250"/>
      <c r="AP294" s="1250"/>
      <c r="AQ294" s="1250"/>
      <c r="AR294" s="1236"/>
      <c r="AS294" s="1284"/>
      <c r="AT294" s="1248"/>
      <c r="AU294" s="1236"/>
      <c r="AV294" s="1236"/>
      <c r="AW294" s="1236"/>
      <c r="AX294" s="1236"/>
      <c r="AY294" s="1236"/>
      <c r="AZ294" s="1236"/>
      <c r="BA294" s="1236"/>
      <c r="BB294" s="1250"/>
      <c r="BC294" s="1250"/>
      <c r="BD294" s="1250"/>
      <c r="BE294" s="1250"/>
    </row>
    <row r="295" spans="1:65" x14ac:dyDescent="0.2">
      <c r="B295" s="340" t="s">
        <v>231</v>
      </c>
      <c r="C295" s="388"/>
      <c r="D295" s="1398"/>
      <c r="E295" s="1398"/>
      <c r="F295" s="1398"/>
      <c r="G295" s="1398"/>
      <c r="H295" s="1398"/>
      <c r="I295" s="1398"/>
      <c r="J295" s="1398"/>
      <c r="K295" s="1398"/>
      <c r="L295" s="1398"/>
      <c r="M295" s="1398"/>
      <c r="N295" s="1398"/>
      <c r="O295" s="1398"/>
      <c r="P295" s="1398"/>
      <c r="Q295" s="1398"/>
      <c r="R295" s="1398"/>
      <c r="S295" s="1398"/>
      <c r="T295" s="1398"/>
      <c r="U295" s="1398"/>
      <c r="V295" s="1398"/>
      <c r="W295" s="1398"/>
      <c r="X295" s="1398"/>
      <c r="Y295" s="1398"/>
      <c r="Z295" s="1398"/>
      <c r="AA295" s="1398"/>
      <c r="AB295" s="1398"/>
      <c r="AC295" s="1398"/>
      <c r="AD295" s="1398"/>
      <c r="AE295" s="1398"/>
      <c r="AF295" s="1398"/>
      <c r="AG295" s="1398"/>
      <c r="AH295" s="1398"/>
      <c r="AI295" s="1398"/>
      <c r="AJ295" s="1398"/>
      <c r="AK295" s="1398"/>
      <c r="AL295" s="1398"/>
      <c r="AM295" s="1398"/>
      <c r="AN295" s="1398"/>
      <c r="AO295" s="1398"/>
      <c r="AP295" s="1398"/>
      <c r="AQ295" s="1398"/>
      <c r="AR295" s="1236"/>
      <c r="AS295" s="1313"/>
      <c r="AT295" s="1407"/>
      <c r="AU295" s="1398"/>
      <c r="AV295" s="1398"/>
      <c r="AW295" s="1398"/>
      <c r="AX295" s="1398"/>
      <c r="AY295" s="1398"/>
      <c r="AZ295" s="1398"/>
      <c r="BA295" s="1398"/>
      <c r="BB295" s="1398"/>
      <c r="BC295" s="1398"/>
      <c r="BD295" s="1398"/>
      <c r="BE295" s="1398"/>
    </row>
    <row r="296" spans="1:65" x14ac:dyDescent="0.2">
      <c r="B296" s="321" t="s">
        <v>74</v>
      </c>
      <c r="C296" s="15"/>
      <c r="D296" s="1240"/>
      <c r="E296" s="1240"/>
      <c r="F296" s="1240"/>
      <c r="G296" s="1240"/>
      <c r="H296" s="1240">
        <f>IFERROR(Model!H296/Model!D296-1,"NA")</f>
        <v>6.7349926793557779E-2</v>
      </c>
      <c r="I296" s="1240">
        <f>IFERROR(Model!I296/Model!E296-1,"NA")</f>
        <v>6.8249258160237414E-2</v>
      </c>
      <c r="J296" s="1240">
        <f>IFERROR(Model!J296/Model!F296-1,"NA")</f>
        <v>3.1383737517831634E-2</v>
      </c>
      <c r="K296" s="1240">
        <f>IFERROR(Model!K296/Model!G296-1,"NA")</f>
        <v>0</v>
      </c>
      <c r="L296" s="1240">
        <f>IFERROR(Model!L296/Model!H296-1,"NA")</f>
        <v>-4.3895747599451251E-2</v>
      </c>
      <c r="M296" s="1240">
        <f>IFERROR(Model!M296/Model!I296-1,"NA")</f>
        <v>-8.3333333333333037E-3</v>
      </c>
      <c r="N296" s="1240">
        <f>IFERROR(Model!N296/Model!J296-1,"NA")</f>
        <v>1.6597510373443924E-2</v>
      </c>
      <c r="O296" s="1240">
        <f>IFERROR(Model!O296/Model!K296-1,"NA")</f>
        <v>-2.4691358024691357E-2</v>
      </c>
      <c r="P296" s="1240">
        <f>IFERROR(Model!P296/Model!L296-1,"NA")</f>
        <v>-8.0344332855093237E-2</v>
      </c>
      <c r="Q296" s="1240">
        <f>IFERROR(Model!Q296/Model!M296-1,"NA")</f>
        <v>-0.10504201680672265</v>
      </c>
      <c r="R296" s="1240">
        <f>IFERROR(Model!R296/Model!N296-1,"NA")</f>
        <v>-0.15646258503401356</v>
      </c>
      <c r="S296" s="1240">
        <f>IFERROR(Model!S296/Model!O296-1,"NA")</f>
        <v>-0.1195499296765119</v>
      </c>
      <c r="T296" s="1240">
        <f>IFERROR(Model!T296/Model!P296-1,"NA")</f>
        <v>-8.4243369734789408E-2</v>
      </c>
      <c r="U296" s="1240">
        <f>IFERROR(Model!U296/Model!Q296-1,"NA")</f>
        <v>-8.4507042253521125E-2</v>
      </c>
      <c r="V296" s="1240">
        <f>IFERROR(Model!V296/Model!R296-1,"NA")</f>
        <v>-1.2903225806451646E-2</v>
      </c>
      <c r="W296" s="1240">
        <f>IFERROR(Model!W296/Model!S296-1,"NA")</f>
        <v>-5.271565495207664E-2</v>
      </c>
      <c r="X296" s="1240">
        <f>IFERROR(Model!X296/Model!T296-1,"NA")</f>
        <v>0</v>
      </c>
      <c r="Y296" s="1240">
        <f>IFERROR(Model!Y296/Model!U296-1,"NA")</f>
        <v>0.14358974358974352</v>
      </c>
      <c r="Z296" s="1240">
        <f>IFERROR(Model!Z296/Model!V296-1,"NA")</f>
        <v>0.14869281045751626</v>
      </c>
      <c r="AA296" s="1240">
        <f>IFERROR(Model!AA296/Model!W296-1,"NA")</f>
        <v>0.13322091062394614</v>
      </c>
      <c r="AB296" s="1240">
        <f>IFERROR(Model!AB296/Model!X296-1,"NA")</f>
        <v>0.15843270868824533</v>
      </c>
      <c r="AC296" s="1287">
        <f>IFERROR(Model!AC296/Model!Y296-1,"NA")</f>
        <v>4.7939990171386393E-2</v>
      </c>
      <c r="AD296" s="1287">
        <f>IFERROR(Model!AD296/Model!Z296-1,"NA")</f>
        <v>3.0947843605682257E-2</v>
      </c>
      <c r="AE296" s="1287">
        <f>IFERROR(Model!AE296/Model!AA296-1,"NA")</f>
        <v>0.1041359016438359</v>
      </c>
      <c r="AF296" s="1287">
        <f>IFERROR(Model!AF296/Model!AB296-1,"NA")</f>
        <v>5.2866130939383638E-2</v>
      </c>
      <c r="AG296" s="1287">
        <f>IFERROR(Model!AG296/Model!AC296-1,"NA")</f>
        <v>4.4432423635687668E-2</v>
      </c>
      <c r="AH296" s="1287">
        <f>IFERROR(Model!AH296/Model!AD296-1,"NA")</f>
        <v>3.901638317343159E-2</v>
      </c>
      <c r="AI296" s="1287">
        <f>IFERROR(Model!AI296/Model!AE296-1,"NA")</f>
        <v>3.7479991624999931E-2</v>
      </c>
      <c r="AJ296" s="1287"/>
      <c r="AK296" s="1287"/>
      <c r="AL296" s="1287"/>
      <c r="AM296" s="1287"/>
      <c r="AN296" s="1287"/>
      <c r="AO296" s="1287"/>
      <c r="AP296" s="1287"/>
      <c r="AQ296" s="1287"/>
      <c r="AR296" s="1236"/>
      <c r="AS296" s="1284"/>
      <c r="AT296" s="1250"/>
      <c r="AU296" s="1236"/>
      <c r="AV296" s="1236">
        <f>IFERROR(Model!AV296/Model!AU296-1,"NA")</f>
        <v>4.0904198062432728E-2</v>
      </c>
      <c r="AW296" s="1236">
        <f>IFERROR(Model!AW296/Model!AV296-1,"NA")</f>
        <v>-1.5167183729748346E-2</v>
      </c>
      <c r="AX296" s="1236">
        <f>IFERROR(Model!AX296/Model!AW296-1,"NA")</f>
        <v>-0.11585579278963953</v>
      </c>
      <c r="AY296" s="1236">
        <f>IFERROR(Model!AY296/Model!AX296-1,"NA")</f>
        <v>-5.8986539984164699E-2</v>
      </c>
      <c r="AZ296" s="1236">
        <f>IFERROR(Model!AZ296/Model!AY296-1,"NA")</f>
        <v>0.1068573832562052</v>
      </c>
      <c r="BA296" s="1236">
        <f>IFERROR(Model!BA296/Model!AZ296-1,"NA")</f>
        <v>8.2404984182481877E-2</v>
      </c>
      <c r="BB296" s="1287">
        <f>IFERROR(Model!BB296/Model!BA296-1,"NA")</f>
        <v>4.3256448972740058E-2</v>
      </c>
      <c r="BC296" s="1287">
        <f>IFERROR(Model!BC296/Model!BB296-1,"NA")</f>
        <v>3.3104289122358965E-2</v>
      </c>
      <c r="BD296" s="1287">
        <f>IFERROR(Model!BD296/Model!BC296-1,"NA")</f>
        <v>4.0000000000000258E-2</v>
      </c>
      <c r="BE296" s="1287">
        <f>IFERROR(Model!BE296/Model!BD296-1,"NA")</f>
        <v>4.3851851851852031E-2</v>
      </c>
    </row>
    <row r="297" spans="1:65" x14ac:dyDescent="0.2">
      <c r="B297" s="376" t="s">
        <v>75</v>
      </c>
      <c r="C297" s="28"/>
      <c r="D297" s="1408"/>
      <c r="E297" s="1408"/>
      <c r="F297" s="1408"/>
      <c r="G297" s="1408"/>
      <c r="H297" s="1408">
        <f>IFERROR(Model!H297/Model!D297-1,"NA")</f>
        <v>9.7315436241610653E-2</v>
      </c>
      <c r="I297" s="1408">
        <f>IFERROR(Model!I297/Model!E297-1,"NA")</f>
        <v>0.19741100323624594</v>
      </c>
      <c r="J297" s="1408">
        <f>IFERROR(Model!J297/Model!F297-1,"NA")</f>
        <v>0.20937500000000009</v>
      </c>
      <c r="K297" s="1408">
        <f>IFERROR(Model!K297/Model!G297-1,"NA")</f>
        <v>0.19174041297935096</v>
      </c>
      <c r="L297" s="1408">
        <f>IFERROR(Model!L297/Model!H297-1,"NA")</f>
        <v>0.15902140672782883</v>
      </c>
      <c r="M297" s="1408">
        <f>IFERROR(Model!M297/Model!I297-1,"NA")</f>
        <v>0.10540540540540544</v>
      </c>
      <c r="N297" s="1408">
        <f>IFERROR(Model!N297/Model!J297-1,"NA")</f>
        <v>0.13436692506459957</v>
      </c>
      <c r="O297" s="1408">
        <f>IFERROR(Model!O297/Model!K297-1,"NA")</f>
        <v>3.2178217821782207E-2</v>
      </c>
      <c r="P297" s="1408">
        <f>IFERROR(Model!P297/Model!L297-1,"NA")</f>
        <v>-0.1029023746701847</v>
      </c>
      <c r="Q297" s="1408">
        <f>IFERROR(Model!Q297/Model!M297-1,"NA")</f>
        <v>-0.1613691931540342</v>
      </c>
      <c r="R297" s="1408">
        <f>IFERROR(Model!R297/Model!N297-1,"NA")</f>
        <v>-0.24829157175398631</v>
      </c>
      <c r="S297" s="1408">
        <f>IFERROR(Model!S297/Model!O297-1,"NA")</f>
        <v>-0.25659472422062346</v>
      </c>
      <c r="T297" s="1408">
        <f>IFERROR(Model!T297/Model!P297-1,"NA")</f>
        <v>-0.21764705882352942</v>
      </c>
      <c r="U297" s="1408">
        <f>IFERROR(Model!U297/Model!Q297-1,"NA")</f>
        <v>-0.19533527696793007</v>
      </c>
      <c r="V297" s="1408">
        <f>IFERROR(Model!V297/Model!R297-1,"NA")</f>
        <v>-0.19696969696969702</v>
      </c>
      <c r="W297" s="1408">
        <f>IFERROR(Model!W297/Model!S297-1,"NA")</f>
        <v>-0.20322580645161292</v>
      </c>
      <c r="X297" s="1408">
        <f>IFERROR(Model!X297/Model!T297-1,"NA")</f>
        <v>-1.8796992481203034E-2</v>
      </c>
      <c r="Y297" s="1408">
        <f>IFERROR(Model!Y297/Model!U297-1,"NA")</f>
        <v>7.9710144927536142E-2</v>
      </c>
      <c r="Z297" s="1408">
        <f>IFERROR(Model!Z297/Model!V297-1,"NA")</f>
        <v>0.26415094339622636</v>
      </c>
      <c r="AA297" s="1408">
        <f>IFERROR(Model!AA297/Model!W297-1,"NA")</f>
        <v>0.29149797570850211</v>
      </c>
      <c r="AB297" s="1408">
        <f>IFERROR(Model!AB297/Model!X297-1,"NA")</f>
        <v>0.21455938697318011</v>
      </c>
      <c r="AC297" s="1287">
        <f>IFERROR(Model!AC297/Model!Y297-1,"NA")</f>
        <v>5.6025006895283669E-2</v>
      </c>
      <c r="AD297" s="1287">
        <f>IFERROR(Model!AD297/Model!Z297-1,"NA")</f>
        <v>-2.2312407278675228E-2</v>
      </c>
      <c r="AE297" s="1287">
        <f>IFERROR(Model!AE297/Model!AA297-1,"NA")</f>
        <v>6.7260859775840398E-2</v>
      </c>
      <c r="AF297" s="1287">
        <f>IFERROR(Model!AF297/Model!AB297-1,"NA")</f>
        <v>2.9633729888941529E-2</v>
      </c>
      <c r="AG297" s="1287">
        <f>IFERROR(Model!AG297/Model!AC297-1,"NA")</f>
        <v>6.9671959999999755E-2</v>
      </c>
      <c r="AH297" s="1287">
        <f>IFERROR(Model!AH297/Model!AD297-1,"NA")</f>
        <v>5.4650698181818003E-2</v>
      </c>
      <c r="AI297" s="1287">
        <f>IFERROR(Model!AI297/Model!AE297-1,"NA")</f>
        <v>5.0104789999999788E-2</v>
      </c>
      <c r="AJ297" s="1287"/>
      <c r="AK297" s="1287"/>
      <c r="AL297" s="1287"/>
      <c r="AM297" s="1287"/>
      <c r="AN297" s="1287"/>
      <c r="AO297" s="1287"/>
      <c r="AP297" s="1287"/>
      <c r="AQ297" s="1287"/>
      <c r="AR297" s="1236"/>
      <c r="AS297" s="1270"/>
      <c r="AT297" s="1246"/>
      <c r="AU297" s="1246"/>
      <c r="AV297" s="1246">
        <f>IFERROR(Model!AV297/Model!AU297-1,"NA")</f>
        <v>0.17535545023696675</v>
      </c>
      <c r="AW297" s="1246">
        <f>IFERROR(Model!AW297/Model!AV297-1,"NA")</f>
        <v>0.10483870967741926</v>
      </c>
      <c r="AX297" s="1246">
        <f>IFERROR(Model!AX297/Model!AW297-1,"NA")</f>
        <v>-0.19525547445255476</v>
      </c>
      <c r="AY297" s="1246">
        <f>IFERROR(Model!AY297/Model!AX297-1,"NA")</f>
        <v>-0.20332577475434621</v>
      </c>
      <c r="AZ297" s="1246">
        <f>IFERROR(Model!AZ297/Model!AY297-1,"NA")</f>
        <v>0.15085388994307403</v>
      </c>
      <c r="BA297" s="1246">
        <f>IFERROR(Model!BA297/Model!AZ297-1,"NA")</f>
        <v>7.1456727027973121E-2</v>
      </c>
      <c r="BB297" s="1287">
        <f>IFERROR(Model!BB297/Model!BA297-1,"NA")</f>
        <v>5.0995221610026897E-2</v>
      </c>
      <c r="BC297" s="1287">
        <f>IFERROR(Model!BC297/Model!BB297-1,"NA")</f>
        <v>5.2053045993646796E-2</v>
      </c>
      <c r="BD297" s="1287">
        <f>IFERROR(Model!BD297/Model!BC297-1,"NA")</f>
        <v>5.2258064516129243E-2</v>
      </c>
      <c r="BE297" s="1287">
        <f>IFERROR(Model!BE297/Model!BD297-1,"NA")</f>
        <v>-8.5193133047210212E-2</v>
      </c>
    </row>
    <row r="298" spans="1:65" x14ac:dyDescent="0.2">
      <c r="B298" s="18"/>
      <c r="C298" s="322" t="s">
        <v>55</v>
      </c>
      <c r="D298" s="1287"/>
      <c r="E298" s="1287"/>
      <c r="F298" s="1287"/>
      <c r="G298" s="1287"/>
      <c r="H298" s="1287">
        <f>IFERROR(Model!H298/Model!D298-1,"NA")</f>
        <v>7.6452599388379117E-2</v>
      </c>
      <c r="I298" s="1287">
        <f>IFERROR(Model!I298/Model!E298-1,"NA")</f>
        <v>0.10885045778229907</v>
      </c>
      <c r="J298" s="1287">
        <f>IFERROR(Model!J298/Model!F298-1,"NA")</f>
        <v>8.7169441723800256E-2</v>
      </c>
      <c r="K298" s="1287">
        <f>IFERROR(Model!K298/Model!G298-1,"NA")</f>
        <v>6.0861423220973876E-2</v>
      </c>
      <c r="L298" s="1287">
        <f>IFERROR(Model!L298/Model!H298-1,"NA")</f>
        <v>1.8939393939394034E-2</v>
      </c>
      <c r="M298" s="1287">
        <f>IFERROR(Model!M298/Model!I298-1,"NA")</f>
        <v>3.0275229357798139E-2</v>
      </c>
      <c r="N298" s="1287">
        <f>IFERROR(Model!N298/Model!J298-1,"NA")</f>
        <v>5.7657657657657735E-2</v>
      </c>
      <c r="O298" s="1287">
        <f>IFERROR(Model!O298/Model!K298-1,"NA")</f>
        <v>-4.4130626654897975E-3</v>
      </c>
      <c r="P298" s="1287">
        <f>IFERROR(Model!P298/Model!L298-1,"NA")</f>
        <v>-8.8289962825278789E-2</v>
      </c>
      <c r="Q298" s="1287">
        <f>IFERROR(Model!Q298/Model!M298-1,"NA")</f>
        <v>-0.12555654496883351</v>
      </c>
      <c r="R298" s="1287">
        <f>IFERROR(Model!R298/Model!N298-1,"NA")</f>
        <v>-0.19080068143100515</v>
      </c>
      <c r="S298" s="1287">
        <f>IFERROR(Model!S298/Model!O298-1,"NA")</f>
        <v>-0.17021276595744683</v>
      </c>
      <c r="T298" s="1287">
        <f>IFERROR(Model!T298/Model!P298-1,"NA")</f>
        <v>-0.13047910295616716</v>
      </c>
      <c r="U298" s="1287">
        <f>IFERROR(Model!U298/Model!Q298-1,"NA")</f>
        <v>-0.12321792260692466</v>
      </c>
      <c r="V298" s="1287">
        <f>IFERROR(Model!V298/Model!R298-1,"NA")</f>
        <v>-7.6842105263157934E-2</v>
      </c>
      <c r="W298" s="1287">
        <f>IFERROR(Model!W298/Model!S298-1,"NA")</f>
        <v>-0.10256410256410253</v>
      </c>
      <c r="X298" s="1287">
        <f>IFERROR(Model!X298/Model!T298-1,"NA")</f>
        <v>-5.8616647127783805E-3</v>
      </c>
      <c r="Y298" s="1287">
        <f>IFERROR(Model!Y298/Model!U298-1,"NA")</f>
        <v>0.12311265969802565</v>
      </c>
      <c r="Z298" s="1287">
        <f>IFERROR(Model!Z298/Model!V298-1,"NA")</f>
        <v>0.18358038768529084</v>
      </c>
      <c r="AA298" s="1287">
        <f>IFERROR(Model!AA298/Model!W298-1,"NA")</f>
        <v>0.17976190476190479</v>
      </c>
      <c r="AB298" s="1287">
        <f>IFERROR(Model!AB298/Model!X298-1,"NA")</f>
        <v>0.1757075471698113</v>
      </c>
      <c r="AC298" s="1431">
        <f>IFERROR(Model!AC298/Model!Y298-1,"NA")</f>
        <v>5.0431546514428272E-2</v>
      </c>
      <c r="AD298" s="1431">
        <f>IFERROR(Model!AD298/Model!Z298-1,"NA")</f>
        <v>1.3758841634333718E-2</v>
      </c>
      <c r="AE298" s="1431">
        <f>IFERROR(Model!AE298/Model!AA298-1,"NA")</f>
        <v>9.2265933575328862E-2</v>
      </c>
      <c r="AF298" s="1431">
        <f>IFERROR(Model!AF298/Model!AB298-1,"NA")</f>
        <v>4.5479299311509847E-2</v>
      </c>
      <c r="AG298" s="1431">
        <f>IFERROR(Model!AG298/Model!AC298-1,"NA")</f>
        <v>5.225189888653925E-2</v>
      </c>
      <c r="AH298" s="1431">
        <f>IFERROR(Model!AH298/Model!AD298-1,"NA")</f>
        <v>4.3882603410271281E-2</v>
      </c>
      <c r="AI298" s="1431">
        <f>IFERROR(Model!AI298/Model!AE298-1,"NA")</f>
        <v>4.1450843376567237E-2</v>
      </c>
      <c r="AJ298" s="1301"/>
      <c r="AK298" s="1301"/>
      <c r="AL298" s="1301"/>
      <c r="AM298" s="1301"/>
      <c r="AN298" s="1301"/>
      <c r="AO298" s="1301"/>
      <c r="AP298" s="1301"/>
      <c r="AQ298" s="1301"/>
      <c r="AR298" s="1236"/>
      <c r="AS298" s="1430"/>
      <c r="AT298" s="1248"/>
      <c r="AU298" s="1236"/>
      <c r="AV298" s="1236">
        <f>IFERROR(Model!AV298/Model!AU298-1,"NA")</f>
        <v>8.290155440414515E-2</v>
      </c>
      <c r="AW298" s="1236">
        <f>IFERROR(Model!AW298/Model!AV298-1,"NA")</f>
        <v>2.5518341307815051E-2</v>
      </c>
      <c r="AX298" s="1236">
        <f>IFERROR(Model!AX298/Model!AW298-1,"NA")</f>
        <v>-0.14485669851144189</v>
      </c>
      <c r="AY298" s="1236">
        <f>IFERROR(Model!AY298/Model!AX298-1,"NA")</f>
        <v>-0.1085996362691608</v>
      </c>
      <c r="AZ298" s="1236">
        <f>IFERROR(Model!AZ298/Model!AY298-1,"NA")</f>
        <v>0.12037306907607115</v>
      </c>
      <c r="BA298" s="1236">
        <f>IFERROR(Model!BA298/Model!AZ298-1,"NA")</f>
        <v>7.8950188155317624E-2</v>
      </c>
      <c r="BB298" s="1431">
        <f>IFERROR(Model!BB298/Model!BA298-1,"NA")</f>
        <v>4.5681510434688821E-2</v>
      </c>
      <c r="BC298" s="1431">
        <f>IFERROR(Model!BC298/Model!BB298-1,"NA")</f>
        <v>3.9072342498028378E-2</v>
      </c>
      <c r="BD298" s="1431">
        <f>IFERROR(Model!BD298/Model!BC298-1,"NA")</f>
        <v>4.3909000544404053E-2</v>
      </c>
      <c r="BE298" s="1431">
        <f>IFERROR(Model!BE298/Model!BD298-1,"NA")</f>
        <v>2.3712947932770234E-3</v>
      </c>
    </row>
    <row r="299" spans="1:65" x14ac:dyDescent="0.2">
      <c r="B299" s="321"/>
      <c r="C299" s="319"/>
      <c r="D299" s="1250"/>
      <c r="E299" s="1250"/>
      <c r="F299" s="1250"/>
      <c r="G299" s="1250"/>
      <c r="H299" s="1250"/>
      <c r="I299" s="1250"/>
      <c r="J299" s="1250"/>
      <c r="K299" s="1250"/>
      <c r="L299" s="1250"/>
      <c r="M299" s="1250"/>
      <c r="N299" s="1250"/>
      <c r="O299" s="1250"/>
      <c r="P299" s="1250"/>
      <c r="Q299" s="1250"/>
      <c r="R299" s="1250"/>
      <c r="S299" s="1250"/>
      <c r="T299" s="1250"/>
      <c r="U299" s="1250"/>
      <c r="V299" s="1250"/>
      <c r="W299" s="1250"/>
      <c r="X299" s="1250"/>
      <c r="Y299" s="1250"/>
      <c r="Z299" s="1250"/>
      <c r="AA299" s="1250"/>
      <c r="AB299" s="1250"/>
      <c r="AC299" s="1250"/>
      <c r="AD299" s="1250"/>
      <c r="AE299" s="1250"/>
      <c r="AF299" s="1250"/>
      <c r="AG299" s="1250"/>
      <c r="AH299" s="1250"/>
      <c r="AI299" s="1250"/>
      <c r="AJ299" s="1250"/>
      <c r="AK299" s="1250"/>
      <c r="AL299" s="1250"/>
      <c r="AM299" s="1250"/>
      <c r="AN299" s="1250"/>
      <c r="AO299" s="1250"/>
      <c r="AP299" s="1250"/>
      <c r="AQ299" s="1250"/>
      <c r="AR299" s="1236"/>
      <c r="AS299" s="1284"/>
      <c r="AT299" s="1248"/>
      <c r="AU299" s="1236"/>
      <c r="AV299" s="1236"/>
      <c r="AW299" s="1236"/>
      <c r="AX299" s="1236"/>
      <c r="AY299" s="1236"/>
      <c r="AZ299" s="1236"/>
      <c r="BA299" s="1236"/>
      <c r="BB299" s="1250"/>
      <c r="BC299" s="1250"/>
      <c r="BD299" s="1250"/>
      <c r="BE299" s="1250"/>
    </row>
    <row r="300" spans="1:65" x14ac:dyDescent="0.2">
      <c r="B300" s="340" t="s">
        <v>233</v>
      </c>
      <c r="C300" s="388"/>
      <c r="D300" s="1398"/>
      <c r="E300" s="1398"/>
      <c r="F300" s="1398"/>
      <c r="G300" s="1398"/>
      <c r="H300" s="1398"/>
      <c r="I300" s="1398"/>
      <c r="J300" s="1398"/>
      <c r="K300" s="1398"/>
      <c r="L300" s="1398"/>
      <c r="M300" s="1398"/>
      <c r="N300" s="1398"/>
      <c r="O300" s="1398"/>
      <c r="P300" s="1398"/>
      <c r="Q300" s="1398"/>
      <c r="R300" s="1398"/>
      <c r="S300" s="1398"/>
      <c r="T300" s="1398"/>
      <c r="U300" s="1398"/>
      <c r="V300" s="1398"/>
      <c r="W300" s="1398"/>
      <c r="X300" s="1398"/>
      <c r="Y300" s="1398"/>
      <c r="Z300" s="1398"/>
      <c r="AA300" s="1398"/>
      <c r="AB300" s="1398"/>
      <c r="AC300" s="1398"/>
      <c r="AD300" s="1398"/>
      <c r="AE300" s="1398"/>
      <c r="AF300" s="1398"/>
      <c r="AG300" s="1398"/>
      <c r="AH300" s="1398"/>
      <c r="AI300" s="1398"/>
      <c r="AJ300" s="1398"/>
      <c r="AK300" s="1398"/>
      <c r="AL300" s="1398"/>
      <c r="AM300" s="1398"/>
      <c r="AN300" s="1398"/>
      <c r="AO300" s="1398"/>
      <c r="AP300" s="1398"/>
      <c r="AQ300" s="1398"/>
      <c r="AR300" s="1236"/>
      <c r="AS300" s="1313"/>
      <c r="AT300" s="1407"/>
      <c r="AU300" s="1398"/>
      <c r="AV300" s="1398"/>
      <c r="AW300" s="1398"/>
      <c r="AX300" s="1398"/>
      <c r="AY300" s="1398"/>
      <c r="AZ300" s="1398"/>
      <c r="BA300" s="1398"/>
      <c r="BB300" s="1398"/>
      <c r="BC300" s="1398"/>
      <c r="BD300" s="1398"/>
      <c r="BE300" s="1398"/>
    </row>
    <row r="301" spans="1:65" x14ac:dyDescent="0.2">
      <c r="B301" s="321" t="s">
        <v>74</v>
      </c>
      <c r="C301" s="15"/>
      <c r="D301" s="1287"/>
      <c r="E301" s="1287"/>
      <c r="F301" s="1287"/>
      <c r="G301" s="1287"/>
      <c r="H301" s="1287">
        <f>IFERROR(Model!H301/Model!D301-1,"NA")</f>
        <v>0.11572700296735916</v>
      </c>
      <c r="I301" s="1287">
        <f>IFERROR(Model!I301/Model!E301-1,"NA")</f>
        <v>0.28239202657807305</v>
      </c>
      <c r="J301" s="1287">
        <f>IFERROR(Model!J301/Model!F301-1,"NA")</f>
        <v>2.3738872403560762E-2</v>
      </c>
      <c r="K301" s="1287">
        <f>IFERROR(Model!K301/Model!G301-1,"NA")</f>
        <v>0.19354838709677424</v>
      </c>
      <c r="L301" s="1287">
        <f>IFERROR(Model!L301/Model!H301-1,"NA")</f>
        <v>-4.5212765957446832E-2</v>
      </c>
      <c r="M301" s="1287">
        <f>IFERROR(Model!M301/Model!I301-1,"NA")</f>
        <v>-3.6269430051813489E-2</v>
      </c>
      <c r="N301" s="1287">
        <f>IFERROR(Model!N301/Model!J301-1,"NA")</f>
        <v>0.10434782608695659</v>
      </c>
      <c r="O301" s="1287">
        <f>IFERROR(Model!O301/Model!K301-1,"NA")</f>
        <v>-0.11793611793611791</v>
      </c>
      <c r="P301" s="1287">
        <f>IFERROR(Model!P301/Model!L301-1,"NA")</f>
        <v>-0.11142061281337046</v>
      </c>
      <c r="Q301" s="1287">
        <f>IFERROR(Model!Q301/Model!M301-1,"NA")</f>
        <v>-0.12903225806451613</v>
      </c>
      <c r="R301" s="1287">
        <f>IFERROR(Model!R301/Model!N301-1,"NA")</f>
        <v>0.22834645669291342</v>
      </c>
      <c r="S301" s="1287">
        <f>IFERROR(Model!S301/Model!O301-1,"NA")</f>
        <v>-0.17548746518105851</v>
      </c>
      <c r="T301" s="1287">
        <f>IFERROR(Model!T301/Model!P301-1,"NA")</f>
        <v>-0.15673981191222575</v>
      </c>
      <c r="U301" s="1287">
        <f>IFERROR(Model!U301/Model!Q301-1,"NA")</f>
        <v>-0.1728395061728395</v>
      </c>
      <c r="V301" s="1287">
        <f>IFERROR(Model!V301/Model!R301-1,"NA")</f>
        <v>-0.42521367521367526</v>
      </c>
      <c r="W301" s="1287">
        <f>IFERROR(Model!W301/Model!S301-1,"NA")</f>
        <v>-0.10810810810810811</v>
      </c>
      <c r="X301" s="1287">
        <f>IFERROR(Model!X301/Model!T301-1,"NA")</f>
        <v>-2.2304832713754608E-2</v>
      </c>
      <c r="Y301" s="1287">
        <f>IFERROR(Model!Y301/Model!U301-1,"NA")</f>
        <v>7.4626865671640896E-3</v>
      </c>
      <c r="Z301" s="1287">
        <f>IFERROR(Model!Z301/Model!V301-1,"NA")</f>
        <v>7.4349442379182173E-2</v>
      </c>
      <c r="AA301" s="1287">
        <f>IFERROR(Model!AA301/Model!W301-1,"NA")</f>
        <v>0.13257575757575757</v>
      </c>
      <c r="AB301" s="1287">
        <f>IFERROR(Model!AB301/Model!X301-1,"NA")</f>
        <v>8.7452471482889704E-2</v>
      </c>
      <c r="AC301" s="1287">
        <f>IFERROR(Model!AC301/Model!Y301-1,"NA")</f>
        <v>0.13201783866057859</v>
      </c>
      <c r="AD301" s="1287">
        <f>IFERROR(Model!AD301/Model!Z301-1,"NA")</f>
        <v>7.9908602739725998E-2</v>
      </c>
      <c r="AE301" s="1287">
        <f>IFERROR(Model!AE301/Model!AA301-1,"NA")</f>
        <v>5.4229170748156141E-2</v>
      </c>
      <c r="AF301" s="1287">
        <f>IFERROR(Model!AF301/Model!AB301-1,"NA")</f>
        <v>0.10193475213550163</v>
      </c>
      <c r="AG301" s="1287">
        <f>IFERROR(Model!AG301/Model!AC301-1,"NA")</f>
        <v>5.2992152976190532E-2</v>
      </c>
      <c r="AH301" s="1287">
        <f>IFERROR(Model!AH301/Model!AD301-1,"NA")</f>
        <v>5.299215297619031E-2</v>
      </c>
      <c r="AI301" s="1287">
        <f>IFERROR(Model!AI301/Model!AE301-1,"NA")</f>
        <v>5.2992152976190532E-2</v>
      </c>
      <c r="AJ301" s="1287"/>
      <c r="AK301" s="1287"/>
      <c r="AL301" s="1287"/>
      <c r="AM301" s="1287"/>
      <c r="AN301" s="1287"/>
      <c r="AO301" s="1287"/>
      <c r="AP301" s="1287"/>
      <c r="AQ301" s="1287"/>
      <c r="AR301" s="1236"/>
      <c r="AS301" s="1284"/>
      <c r="AT301" s="1250"/>
      <c r="AU301" s="1236"/>
      <c r="AV301" s="1236">
        <f>IFERROR(Model!AV301/Model!AU301-1,"NA")</f>
        <v>0.15045592705167166</v>
      </c>
      <c r="AW301" s="1236">
        <f>IFERROR(Model!AW301/Model!AV301-1,"NA")</f>
        <v>-2.8401585204755664E-2</v>
      </c>
      <c r="AX301" s="1236">
        <f>IFERROR(Model!AX301/Model!AW301-1,"NA")</f>
        <v>-4.3507817811012872E-2</v>
      </c>
      <c r="AY301" s="1236">
        <f>IFERROR(Model!AY301/Model!AX301-1,"NA")</f>
        <v>-0.23951670220326937</v>
      </c>
      <c r="AZ301" s="1236">
        <f>IFERROR(Model!AZ301/Model!AY301-1,"NA")</f>
        <v>4.7663551401869064E-2</v>
      </c>
      <c r="BA301" s="1236">
        <f>IFERROR(Model!BA301/Model!AZ301-1,"NA")</f>
        <v>8.7379950654625782E-2</v>
      </c>
      <c r="BB301" s="1287">
        <f>IFERROR(Model!BB301/Model!BA301-1,"NA")</f>
        <v>6.4475437585556072E-2</v>
      </c>
      <c r="BC301" s="1287">
        <f>IFERROR(Model!BC301/Model!BB301-1,"NA")</f>
        <v>3.9900922715066178E-2</v>
      </c>
      <c r="BD301" s="1287">
        <f>IFERROR(Model!BD301/Model!BC301-1,"NA")</f>
        <v>5.2235294117646713E-2</v>
      </c>
      <c r="BE301" s="1287">
        <f>IFERROR(Model!BE301/Model!BD301-1,"NA")</f>
        <v>6.4186046511628181E-2</v>
      </c>
    </row>
    <row r="302" spans="1:65" x14ac:dyDescent="0.2">
      <c r="B302" s="376" t="s">
        <v>75</v>
      </c>
      <c r="C302" s="28"/>
      <c r="D302" s="1289"/>
      <c r="E302" s="1289"/>
      <c r="F302" s="1289"/>
      <c r="G302" s="1289"/>
      <c r="H302" s="1289">
        <f>IFERROR(Model!H302/Model!D302-1,"NA")</f>
        <v>0.18045112781954886</v>
      </c>
      <c r="I302" s="1289">
        <f>IFERROR(Model!I302/Model!E302-1,"NA")</f>
        <v>0.27027027027027017</v>
      </c>
      <c r="J302" s="1289">
        <f>IFERROR(Model!J302/Model!F302-1,"NA")</f>
        <v>7.3770491803278659E-2</v>
      </c>
      <c r="K302" s="1289">
        <f>IFERROR(Model!K302/Model!G302-1,"NA")</f>
        <v>-3.2467532467532423E-2</v>
      </c>
      <c r="L302" s="1289">
        <f>IFERROR(Model!L302/Model!H302-1,"NA")</f>
        <v>-0.17834394904458595</v>
      </c>
      <c r="M302" s="1289">
        <f>IFERROR(Model!M302/Model!I302-1,"NA")</f>
        <v>-7.0921985815602828E-2</v>
      </c>
      <c r="N302" s="1289">
        <f>IFERROR(Model!N302/Model!J302-1,"NA")</f>
        <v>7.6335877862594437E-3</v>
      </c>
      <c r="O302" s="1289">
        <f>IFERROR(Model!O302/Model!K302-1,"NA")</f>
        <v>-2.6845637583892579E-2</v>
      </c>
      <c r="P302" s="1289">
        <f>IFERROR(Model!P302/Model!L302-1,"NA")</f>
        <v>-6.9767441860465129E-2</v>
      </c>
      <c r="Q302" s="1289">
        <f>IFERROR(Model!Q302/Model!M302-1,"NA")</f>
        <v>-0.12977099236641221</v>
      </c>
      <c r="R302" s="1289">
        <f>IFERROR(Model!R302/Model!N302-1,"NA")</f>
        <v>-0.12878787878787878</v>
      </c>
      <c r="S302" s="1289">
        <f>IFERROR(Model!S302/Model!O302-1,"NA")</f>
        <v>-0.19310344827586212</v>
      </c>
      <c r="T302" s="1289">
        <f>IFERROR(Model!T302/Model!P302-1,"NA")</f>
        <v>-0.10833333333333328</v>
      </c>
      <c r="U302" s="1289">
        <f>IFERROR(Model!U302/Model!Q302-1,"NA")</f>
        <v>-6.1403508771929793E-2</v>
      </c>
      <c r="V302" s="1289">
        <f>IFERROR(Model!V302/Model!R302-1,"NA")</f>
        <v>-0.13913043478260867</v>
      </c>
      <c r="W302" s="1289">
        <f>IFERROR(Model!W302/Model!S302-1,"NA")</f>
        <v>-7.6923076923076872E-2</v>
      </c>
      <c r="X302" s="1289">
        <f>IFERROR(Model!X302/Model!T302-1,"NA")</f>
        <v>-0.47663551401869164</v>
      </c>
      <c r="Y302" s="1289">
        <f>IFERROR(Model!Y302/Model!U302-1,"NA")</f>
        <v>-0.33644859813084116</v>
      </c>
      <c r="Z302" s="1289">
        <f>IFERROR(Model!Z302/Model!V302-1,"NA")</f>
        <v>-0.38383838383838387</v>
      </c>
      <c r="AA302" s="1289">
        <f>IFERROR(Model!AA302/Model!W302-1,"NA")</f>
        <v>-0.36111111111111116</v>
      </c>
      <c r="AB302" s="1289">
        <f>IFERROR(Model!AB302/Model!X302-1,"NA")</f>
        <v>0.14285714285714279</v>
      </c>
      <c r="AC302" s="1289">
        <f>IFERROR(Model!AC302/Model!Y302-1,"NA")</f>
        <v>-2.985915492957758E-2</v>
      </c>
      <c r="AD302" s="1289">
        <f>IFERROR(Model!AD302/Model!Z302-1,"NA")</f>
        <v>0.15121311475409871</v>
      </c>
      <c r="AE302" s="1289">
        <f>IFERROR(Model!AE302/Model!AA302-1,"NA")</f>
        <v>9.4739130434782659E-2</v>
      </c>
      <c r="AF302" s="1289">
        <f>IFERROR(Model!AF302/Model!AB302-1,"NA")</f>
        <v>9.8562500000000108E-2</v>
      </c>
      <c r="AG302" s="1289">
        <f>IFERROR(Model!AG302/Model!AC302-1,"NA")</f>
        <v>0.10566666666666658</v>
      </c>
      <c r="AH302" s="1289">
        <f>IFERROR(Model!AH302/Model!AD302-1,"NA")</f>
        <v>8.0921052631579116E-2</v>
      </c>
      <c r="AI302" s="1289">
        <f>IFERROR(Model!AI302/Model!AE302-1,"NA")</f>
        <v>6.6883116883116989E-2</v>
      </c>
      <c r="AJ302" s="1301"/>
      <c r="AK302" s="1301"/>
      <c r="AL302" s="1301"/>
      <c r="AM302" s="1301"/>
      <c r="AN302" s="1301"/>
      <c r="AO302" s="1301"/>
      <c r="AP302" s="1301"/>
      <c r="AQ302" s="1301"/>
      <c r="AR302" s="1236"/>
      <c r="AS302" s="1270"/>
      <c r="AT302" s="1246"/>
      <c r="AU302" s="1246"/>
      <c r="AV302" s="1246">
        <f>IFERROR(Model!AV302/Model!AU302-1,"NA")</f>
        <v>0.11153846153846159</v>
      </c>
      <c r="AW302" s="1246">
        <f>IFERROR(Model!AW302/Model!AV302-1,"NA")</f>
        <v>-7.0934256055363298E-2</v>
      </c>
      <c r="AX302" s="1246">
        <f>IFERROR(Model!AX302/Model!AW302-1,"NA")</f>
        <v>-0.13221601489757917</v>
      </c>
      <c r="AY302" s="1246">
        <f>IFERROR(Model!AY302/Model!AX302-1,"NA")</f>
        <v>-9.6566523605150167E-2</v>
      </c>
      <c r="AZ302" s="1246">
        <f>IFERROR(Model!AZ302/Model!AY302-1,"NA")</f>
        <v>-0.3895486935866983</v>
      </c>
      <c r="BA302" s="1246">
        <f>IFERROR(Model!BA302/Model!AZ302-1,"NA")</f>
        <v>8.4206225680933944E-2</v>
      </c>
      <c r="BB302" s="1289">
        <f>IFERROR(Model!BB302/Model!BA302-1,"NA")</f>
        <v>8.7284606357284078E-2</v>
      </c>
      <c r="BC302" s="1289">
        <f>IFERROR(Model!BC302/Model!BB302-1,"NA")</f>
        <v>8.0516129032258021E-2</v>
      </c>
      <c r="BD302" s="1289">
        <f>IFERROR(Model!BD302/Model!BC302-1,"NA")</f>
        <v>7.3417721518987511E-2</v>
      </c>
      <c r="BE302" s="1289">
        <f>IFERROR(Model!BE302/Model!BD302-1,"NA")</f>
        <v>7.3249999999999815E-2</v>
      </c>
    </row>
    <row r="303" spans="1:65" x14ac:dyDescent="0.2">
      <c r="B303" s="18"/>
      <c r="C303" s="322" t="s">
        <v>55</v>
      </c>
      <c r="D303" s="1287"/>
      <c r="E303" s="1287"/>
      <c r="F303" s="1287"/>
      <c r="G303" s="1287"/>
      <c r="H303" s="1287">
        <f>IFERROR(Model!H303/Model!D303-1,"NA")</f>
        <v>0.13404255319148928</v>
      </c>
      <c r="I303" s="1287">
        <f>IFERROR(Model!I303/Model!E303-1,"NA")</f>
        <v>0.279126213592233</v>
      </c>
      <c r="J303" s="1287">
        <f>IFERROR(Model!J303/Model!F303-1,"NA")</f>
        <v>3.7037037037036979E-2</v>
      </c>
      <c r="K303" s="1287">
        <f>IFERROR(Model!K303/Model!G303-1,"NA")</f>
        <v>0.12323232323232314</v>
      </c>
      <c r="L303" s="1287">
        <f>IFERROR(Model!L303/Model!H303-1,"NA")</f>
        <v>-8.4427767354596672E-2</v>
      </c>
      <c r="M303" s="1287">
        <f>IFERROR(Model!M303/Model!I303-1,"NA")</f>
        <v>-4.5540796963946861E-2</v>
      </c>
      <c r="N303" s="1287">
        <f>IFERROR(Model!N303/Model!J303-1,"NA")</f>
        <v>7.7731092436974736E-2</v>
      </c>
      <c r="O303" s="1287">
        <f>IFERROR(Model!O303/Model!K303-1,"NA")</f>
        <v>-9.3525179856115082E-2</v>
      </c>
      <c r="P303" s="1287">
        <f>IFERROR(Model!P303/Model!L303-1,"NA")</f>
        <v>-0.10040983606557374</v>
      </c>
      <c r="Q303" s="1287">
        <f>IFERROR(Model!Q303/Model!M303-1,"NA")</f>
        <v>-0.12922465208747513</v>
      </c>
      <c r="R303" s="1287">
        <f>IFERROR(Model!R303/Model!N303-1,"NA")</f>
        <v>0.13645224171539971</v>
      </c>
      <c r="S303" s="1287">
        <f>IFERROR(Model!S303/Model!O303-1,"NA")</f>
        <v>-0.18055555555555558</v>
      </c>
      <c r="T303" s="1287">
        <f>IFERROR(Model!T303/Model!P303-1,"NA")</f>
        <v>-0.14350797266514803</v>
      </c>
      <c r="U303" s="1287">
        <f>IFERROR(Model!U303/Model!Q303-1,"NA")</f>
        <v>-0.14383561643835618</v>
      </c>
      <c r="V303" s="1287">
        <f>IFERROR(Model!V303/Model!R303-1,"NA")</f>
        <v>-0.36878216123499141</v>
      </c>
      <c r="W303" s="1287">
        <f>IFERROR(Model!W303/Model!S303-1,"NA")</f>
        <v>-9.9273607748184056E-2</v>
      </c>
      <c r="X303" s="1287">
        <f>IFERROR(Model!X303/Model!T303-1,"NA")</f>
        <v>-0.15159574468085102</v>
      </c>
      <c r="Y303" s="1287">
        <f>IFERROR(Model!Y303/Model!U303-1,"NA")</f>
        <v>-9.0666666666666673E-2</v>
      </c>
      <c r="Z303" s="1287">
        <f>IFERROR(Model!Z303/Model!V303-1,"NA")</f>
        <v>-4.8913043478260865E-2</v>
      </c>
      <c r="AA303" s="1287">
        <f>IFERROR(Model!AA303/Model!W303-1,"NA")</f>
        <v>-1.0752688172043001E-2</v>
      </c>
      <c r="AB303" s="1287">
        <f>IFERROR(Model!AB303/Model!X303-1,"NA")</f>
        <v>9.7178683385579889E-2</v>
      </c>
      <c r="AC303" s="1287">
        <f>IFERROR(Model!AC303/Model!Y303-1,"NA")</f>
        <v>9.8313244687261658E-2</v>
      </c>
      <c r="AD303" s="1287">
        <f>IFERROR(Model!AD303/Model!Z303-1,"NA")</f>
        <v>9.2335960547945239E-2</v>
      </c>
      <c r="AE303" s="1287">
        <f>IFERROR(Model!AE303/Model!AA303-1,"NA")</f>
        <v>6.1824788189398516E-2</v>
      </c>
      <c r="AF303" s="1287">
        <f>IFERROR(Model!AF303/Model!AB303-1,"NA")</f>
        <v>0.10131811174500993</v>
      </c>
      <c r="AG303" s="1287">
        <f>IFERROR(Model!AG303/Model!AC303-1,"NA")</f>
        <v>6.2679683264579733E-2</v>
      </c>
      <c r="AH303" s="1287">
        <f>IFERROR(Model!AH303/Model!AD303-1,"NA")</f>
        <v>5.8122126381118244E-2</v>
      </c>
      <c r="AI303" s="1287">
        <f>IFERROR(Model!AI303/Model!AE303-1,"NA")</f>
        <v>5.5677444475818572E-2</v>
      </c>
      <c r="AJ303" s="1287"/>
      <c r="AK303" s="1287"/>
      <c r="AL303" s="1287"/>
      <c r="AM303" s="1287"/>
      <c r="AN303" s="1287"/>
      <c r="AO303" s="1287"/>
      <c r="AP303" s="1287"/>
      <c r="AQ303" s="1287"/>
      <c r="AR303" s="1236"/>
      <c r="AS303" s="1430"/>
      <c r="AT303" s="1248"/>
      <c r="AU303" s="1236"/>
      <c r="AV303" s="1236">
        <f>IFERROR(Model!AV303/Model!AU303-1,"NA")</f>
        <v>0.13943355119825718</v>
      </c>
      <c r="AW303" s="1236">
        <f>IFERROR(Model!AW303/Model!AV303-1,"NA")</f>
        <v>-4.0152963671128084E-2</v>
      </c>
      <c r="AX303" s="1236">
        <f>IFERROR(Model!AX303/Model!AW303-1,"NA")</f>
        <v>-6.7231075697211207E-2</v>
      </c>
      <c r="AY303" s="1236">
        <f>IFERROR(Model!AY303/Model!AX303-1,"NA")</f>
        <v>-0.20395088093966895</v>
      </c>
      <c r="AZ303" s="1236">
        <f>IFERROR(Model!AZ303/Model!AY303-1,"NA")</f>
        <v>-7.5788061703554677E-2</v>
      </c>
      <c r="BA303" s="1236">
        <f>IFERROR(Model!BA303/Model!AZ303-1,"NA")</f>
        <v>8.678804403761653E-2</v>
      </c>
      <c r="BB303" s="1287">
        <f>IFERROR(Model!BB303/Model!BA303-1,"NA")</f>
        <v>6.8719291337209665E-2</v>
      </c>
      <c r="BC303" s="1287">
        <f>IFERROR(Model!BC303/Model!BB303-1,"NA")</f>
        <v>4.758902592090819E-2</v>
      </c>
      <c r="BD303" s="1287">
        <f>IFERROR(Model!BD303/Model!BC303-1,"NA")</f>
        <v>5.6370970820009525E-2</v>
      </c>
      <c r="BE303" s="1287">
        <f>IFERROR(Model!BE303/Model!BD303-1,"NA")</f>
        <v>6.5984258239362381E-2</v>
      </c>
    </row>
    <row r="304" spans="1:65" x14ac:dyDescent="0.2">
      <c r="A304" s="830"/>
      <c r="B304" s="369"/>
      <c r="C304" s="382"/>
      <c r="D304" s="1236"/>
      <c r="E304" s="1236"/>
      <c r="F304" s="1236"/>
      <c r="G304" s="1236"/>
      <c r="H304" s="1236"/>
      <c r="I304" s="1236"/>
      <c r="J304" s="1236"/>
      <c r="K304" s="1236"/>
      <c r="L304" s="1236"/>
      <c r="M304" s="1236"/>
      <c r="N304" s="1236"/>
      <c r="O304" s="1236"/>
      <c r="P304" s="1236"/>
      <c r="Q304" s="1236"/>
      <c r="R304" s="1236"/>
      <c r="S304" s="1236"/>
      <c r="T304" s="1236"/>
      <c r="U304" s="1236"/>
      <c r="V304" s="1236"/>
      <c r="W304" s="1236"/>
      <c r="X304" s="1236"/>
      <c r="Y304" s="1236"/>
      <c r="Z304" s="1236"/>
      <c r="AA304" s="1236"/>
      <c r="AB304" s="1236"/>
      <c r="AC304" s="1236"/>
      <c r="AD304" s="1236"/>
      <c r="AE304" s="1236"/>
      <c r="AF304" s="1236"/>
      <c r="AG304" s="1236"/>
      <c r="AH304" s="1236"/>
      <c r="AI304" s="1236"/>
      <c r="AJ304" s="1236"/>
      <c r="AK304" s="1236"/>
      <c r="AL304" s="1236"/>
      <c r="AM304" s="1236"/>
      <c r="AN304" s="1236"/>
      <c r="AO304" s="1236"/>
      <c r="AP304" s="1236"/>
      <c r="AQ304" s="1236"/>
      <c r="AR304" s="1236"/>
      <c r="AS304" s="1263"/>
      <c r="AT304" s="1308"/>
      <c r="AU304" s="1236"/>
      <c r="AV304" s="1236"/>
      <c r="AW304" s="1236"/>
      <c r="AX304" s="1236"/>
      <c r="AY304" s="1236"/>
      <c r="AZ304" s="1236"/>
      <c r="BA304" s="1236"/>
      <c r="BB304" s="1236"/>
      <c r="BC304" s="1236"/>
      <c r="BD304" s="1236"/>
      <c r="BE304" s="1236"/>
    </row>
    <row r="305" spans="1:57" x14ac:dyDescent="0.2">
      <c r="B305" s="340" t="s">
        <v>534</v>
      </c>
      <c r="C305" s="388"/>
      <c r="D305" s="1398"/>
      <c r="E305" s="1398"/>
      <c r="F305" s="1398"/>
      <c r="G305" s="1398"/>
      <c r="H305" s="1398"/>
      <c r="I305" s="1398"/>
      <c r="J305" s="1398"/>
      <c r="K305" s="1398"/>
      <c r="L305" s="1398"/>
      <c r="M305" s="1398"/>
      <c r="N305" s="1398"/>
      <c r="O305" s="1398"/>
      <c r="P305" s="1398"/>
      <c r="Q305" s="1398"/>
      <c r="R305" s="1398"/>
      <c r="S305" s="1398"/>
      <c r="T305" s="1398"/>
      <c r="U305" s="1398"/>
      <c r="V305" s="1398"/>
      <c r="W305" s="1398"/>
      <c r="X305" s="1398"/>
      <c r="Y305" s="1398"/>
      <c r="Z305" s="1398"/>
      <c r="AA305" s="1398"/>
      <c r="AB305" s="1398"/>
      <c r="AC305" s="1398"/>
      <c r="AD305" s="1398"/>
      <c r="AE305" s="1398"/>
      <c r="AF305" s="1398"/>
      <c r="AG305" s="1398"/>
      <c r="AH305" s="1398"/>
      <c r="AI305" s="1398"/>
      <c r="AJ305" s="1398"/>
      <c r="AK305" s="1398"/>
      <c r="AL305" s="1398"/>
      <c r="AM305" s="1398"/>
      <c r="AN305" s="1398"/>
      <c r="AO305" s="1398"/>
      <c r="AP305" s="1398"/>
      <c r="AQ305" s="1398"/>
      <c r="AR305" s="1236"/>
      <c r="AS305" s="1313"/>
      <c r="AT305" s="1407"/>
      <c r="AU305" s="1398"/>
      <c r="AV305" s="1398"/>
      <c r="AW305" s="1398"/>
      <c r="AX305" s="1398"/>
      <c r="AY305" s="1398"/>
      <c r="AZ305" s="1398"/>
      <c r="BA305" s="1398"/>
      <c r="BB305" s="1398"/>
      <c r="BC305" s="1398"/>
      <c r="BD305" s="1398"/>
      <c r="BE305" s="1398"/>
    </row>
    <row r="306" spans="1:57" x14ac:dyDescent="0.2">
      <c r="B306" s="321" t="s">
        <v>74</v>
      </c>
      <c r="C306" s="15"/>
      <c r="D306" s="1432"/>
      <c r="E306" s="1432"/>
      <c r="F306" s="1432"/>
      <c r="G306" s="1432"/>
      <c r="H306" s="1432">
        <f>IFERROR(Model!H306/Model!D306-1,"NA")</f>
        <v>8.6956521739130377E-2</v>
      </c>
      <c r="I306" s="1432">
        <f>IFERROR(Model!I306/Model!E306-1,"NA")</f>
        <v>-0.15384615384615385</v>
      </c>
      <c r="J306" s="1432">
        <f>IFERROR(Model!J306/Model!F306-1,"NA")</f>
        <v>-0.46666666666666667</v>
      </c>
      <c r="K306" s="1432">
        <f>IFERROR(Model!K306/Model!G306-1,"NA")</f>
        <v>-0.203125</v>
      </c>
      <c r="L306" s="1432">
        <f>IFERROR(Model!L306/Model!H306-1,"NA")</f>
        <v>-0.34666666666666668</v>
      </c>
      <c r="M306" s="1432">
        <f>IFERROR(Model!M306/Model!I306-1,"NA")</f>
        <v>-3.0303030303030276E-2</v>
      </c>
      <c r="N306" s="1432">
        <f>IFERROR(Model!N306/Model!J306-1,"NA")</f>
        <v>0.53571428571428581</v>
      </c>
      <c r="O306" s="1432">
        <f>IFERROR(Model!O306/Model!K306-1,"NA")</f>
        <v>-0.36764705882352944</v>
      </c>
      <c r="P306" s="1432">
        <f>IFERROR(Model!P306/Model!L306-1,"NA")</f>
        <v>-8.1632653061224469E-2</v>
      </c>
      <c r="Q306" s="1432">
        <f>IFERROR(Model!Q306/Model!M306-1,"NA")</f>
        <v>-0.30000000000000004</v>
      </c>
      <c r="R306" s="1432">
        <f>IFERROR(Model!R306/Model!N306-1,"NA")</f>
        <v>0.27325581395348841</v>
      </c>
      <c r="S306" s="1432">
        <f>IFERROR(Model!S306/Model!O306-1,"NA")</f>
        <v>-0.58139534883720922</v>
      </c>
      <c r="T306" s="1432">
        <f>IFERROR(Model!T306/Model!P306-1,"NA")</f>
        <v>-0.33333333333333337</v>
      </c>
      <c r="U306" s="1432">
        <f>IFERROR(Model!U306/Model!Q306-1,"NA")</f>
        <v>-0.1428571428571429</v>
      </c>
      <c r="V306" s="1432">
        <f>IFERROR(Model!V306/Model!R306-1,"NA")</f>
        <v>-0.61643835616438358</v>
      </c>
      <c r="W306" s="1432">
        <f>IFERROR(Model!W306/Model!S306-1,"NA")</f>
        <v>0.57407407407407418</v>
      </c>
      <c r="X306" s="1432">
        <f>IFERROR(Model!X306/Model!T306-1,"NA")</f>
        <v>0</v>
      </c>
      <c r="Y306" s="1432">
        <f>IFERROR(Model!Y306/Model!U306-1,"NA")</f>
        <v>-5.208333333333337E-2</v>
      </c>
      <c r="Z306" s="1432">
        <f>IFERROR(Model!Z306/Model!V306-1,"NA")</f>
        <v>0.53571428571428581</v>
      </c>
      <c r="AA306" s="1432">
        <f>IFERROR(Model!AA306/Model!W306-1,"NA")</f>
        <v>0.36470588235294121</v>
      </c>
      <c r="AB306" s="1432">
        <f>IFERROR(Model!AB306/Model!X306-1,"NA")</f>
        <v>0.53333333333333344</v>
      </c>
      <c r="AC306" s="1250" t="str">
        <f>IFERROR(Model!AC306/Model!Y306-1,"NA")</f>
        <v>NA</v>
      </c>
      <c r="AD306" s="1250" t="str">
        <f>IFERROR(Model!AD306/Model!Z306-1,"NA")</f>
        <v>NA</v>
      </c>
      <c r="AE306" s="1250" t="str">
        <f>IFERROR(Model!AE306/Model!AA306-1,"NA")</f>
        <v>NA</v>
      </c>
      <c r="AF306" s="1250" t="str">
        <f>IFERROR(Model!AF306/Model!AB306-1,"NA")</f>
        <v>NA</v>
      </c>
      <c r="AG306" s="1250" t="str">
        <f>IFERROR(Model!AG306/Model!AC306-1,"NA")</f>
        <v>NA</v>
      </c>
      <c r="AH306" s="1250" t="str">
        <f>IFERROR(Model!AH306/Model!AD306-1,"NA")</f>
        <v>NA</v>
      </c>
      <c r="AI306" s="1250" t="str">
        <f>IFERROR(Model!AI306/Model!AE306-1,"NA")</f>
        <v>NA</v>
      </c>
      <c r="AJ306" s="1250"/>
      <c r="AK306" s="1250"/>
      <c r="AL306" s="1250"/>
      <c r="AM306" s="1250"/>
      <c r="AN306" s="1250"/>
      <c r="AO306" s="1250"/>
      <c r="AP306" s="1250"/>
      <c r="AQ306" s="1250"/>
      <c r="AR306" s="1236"/>
      <c r="AS306" s="1284"/>
      <c r="AT306" s="1250"/>
      <c r="AU306" s="1236"/>
      <c r="AV306" s="1236">
        <f>IFERROR(Model!AV306/Model!AU306-1,"NA")</f>
        <v>-0.18663594470046085</v>
      </c>
      <c r="AW306" s="1236">
        <f>IFERROR(Model!AW306/Model!AV306-1,"NA")</f>
        <v>-0.13881019830028329</v>
      </c>
      <c r="AX306" s="1236">
        <f>IFERROR(Model!AX306/Model!AW306-1,"NA")</f>
        <v>-0.14473684210526316</v>
      </c>
      <c r="AY306" s="1236">
        <f>IFERROR(Model!AY306/Model!AX306-1,"NA")</f>
        <v>-0.31730769230769229</v>
      </c>
      <c r="AZ306" s="1236" t="str">
        <f>IFERROR(Model!AZ306/Model!AY306-1,"NA")</f>
        <v>NA</v>
      </c>
      <c r="BA306" s="1236" t="str">
        <f>IFERROR(Model!BA306/Model!AZ306-1,"NA")</f>
        <v>NA</v>
      </c>
      <c r="BB306" s="1236" t="str">
        <f>IFERROR(Model!BB306/Model!BA306-1,"NA")</f>
        <v>NA</v>
      </c>
      <c r="BC306" s="1236" t="str">
        <f>IFERROR(Model!BC306/Model!BB306-1,"NA")</f>
        <v>NA</v>
      </c>
      <c r="BD306" s="1236" t="str">
        <f>IFERROR(Model!BD306/Model!BC306-1,"NA")</f>
        <v>NA</v>
      </c>
      <c r="BE306" s="1236" t="str">
        <f>IFERROR(Model!BE306/Model!BD306-1,"NA")</f>
        <v>NA</v>
      </c>
    </row>
    <row r="307" spans="1:57" x14ac:dyDescent="0.2">
      <c r="B307" s="376" t="s">
        <v>75</v>
      </c>
      <c r="C307" s="25"/>
      <c r="D307" s="1283"/>
      <c r="E307" s="1283"/>
      <c r="F307" s="1283"/>
      <c r="G307" s="1283"/>
      <c r="H307" s="1283">
        <f>IFERROR(Model!H307/Model!D307-1,"NA")</f>
        <v>-4.081632653061229E-2</v>
      </c>
      <c r="I307" s="1283">
        <f>IFERROR(Model!I307/Model!E307-1,"NA")</f>
        <v>0.2068965517241379</v>
      </c>
      <c r="J307" s="1283">
        <f>IFERROR(Model!J307/Model!F307-1,"NA")</f>
        <v>0.15116279069767447</v>
      </c>
      <c r="K307" s="1283">
        <f>IFERROR(Model!K307/Model!G307-1,"NA")</f>
        <v>-0.13953488372093026</v>
      </c>
      <c r="L307" s="1283">
        <f>IFERROR(Model!L307/Model!H307-1,"NA")</f>
        <v>-0.21276595744680848</v>
      </c>
      <c r="M307" s="1283">
        <f>IFERROR(Model!M307/Model!I307-1,"NA")</f>
        <v>-0.56190476190476191</v>
      </c>
      <c r="N307" s="1283">
        <f>IFERROR(Model!N307/Model!J307-1,"NA")</f>
        <v>0.13131313131313127</v>
      </c>
      <c r="O307" s="1283">
        <f>IFERROR(Model!O307/Model!K307-1,"NA")</f>
        <v>2.7027027027026973E-2</v>
      </c>
      <c r="P307" s="1283">
        <f>IFERROR(Model!P307/Model!L307-1,"NA")</f>
        <v>-2.7027027027026973E-2</v>
      </c>
      <c r="Q307" s="1283">
        <f>IFERROR(Model!Q307/Model!M307-1,"NA")</f>
        <v>0.5</v>
      </c>
      <c r="R307" s="1283">
        <f>IFERROR(Model!R307/Model!N307-1,"NA")</f>
        <v>-0.3035714285714286</v>
      </c>
      <c r="S307" s="1283">
        <f>IFERROR(Model!S307/Model!O307-1,"NA")</f>
        <v>-0.23684210526315785</v>
      </c>
      <c r="T307" s="1283">
        <f>IFERROR(Model!T307/Model!P307-1,"NA")</f>
        <v>-0.22222222222222221</v>
      </c>
      <c r="U307" s="1283">
        <f>IFERROR(Model!U307/Model!Q307-1,"NA")</f>
        <v>0.11594202898550732</v>
      </c>
      <c r="V307" s="1283">
        <f>IFERROR(Model!V307/Model!R307-1,"NA")</f>
        <v>-2.5641025641025661E-2</v>
      </c>
      <c r="W307" s="1283">
        <f>IFERROR(Model!W307/Model!S307-1,"NA")</f>
        <v>-0.2068965517241379</v>
      </c>
      <c r="X307" s="1283">
        <f>IFERROR(Model!X307/Model!T307-1,"NA")</f>
        <v>-0.1964285714285714</v>
      </c>
      <c r="Y307" s="1283">
        <f>IFERROR(Model!Y307/Model!U307-1,"NA")</f>
        <v>-0.35064935064935066</v>
      </c>
      <c r="Z307" s="1283">
        <f>IFERROR(Model!Z307/Model!V307-1,"NA")</f>
        <v>-0.47368421052631582</v>
      </c>
      <c r="AA307" s="1283">
        <f>IFERROR(Model!AA307/Model!W307-1,"NA")</f>
        <v>-0.28985507246376807</v>
      </c>
      <c r="AB307" s="1283">
        <f>IFERROR(Model!AB307/Model!X307-1,"NA")</f>
        <v>0</v>
      </c>
      <c r="AC307" s="1246" t="str">
        <f>IFERROR(Model!AC307/Model!Y307-1,"NA")</f>
        <v>NA</v>
      </c>
      <c r="AD307" s="1246" t="str">
        <f>IFERROR(Model!AD307/Model!Z307-1,"NA")</f>
        <v>NA</v>
      </c>
      <c r="AE307" s="1246" t="str">
        <f>IFERROR(Model!AE307/Model!AA307-1,"NA")</f>
        <v>NA</v>
      </c>
      <c r="AF307" s="1246" t="str">
        <f>IFERROR(Model!AF307/Model!AB307-1,"NA")</f>
        <v>NA</v>
      </c>
      <c r="AG307" s="1246" t="str">
        <f>IFERROR(Model!AG307/Model!AC307-1,"NA")</f>
        <v>NA</v>
      </c>
      <c r="AH307" s="1246" t="str">
        <f>IFERROR(Model!AH307/Model!AD307-1,"NA")</f>
        <v>NA</v>
      </c>
      <c r="AI307" s="1246" t="str">
        <f>IFERROR(Model!AI307/Model!AE307-1,"NA")</f>
        <v>NA</v>
      </c>
      <c r="AJ307" s="1236"/>
      <c r="AK307" s="1236"/>
      <c r="AL307" s="1236"/>
      <c r="AM307" s="1236"/>
      <c r="AN307" s="1236"/>
      <c r="AO307" s="1236"/>
      <c r="AP307" s="1236"/>
      <c r="AQ307" s="1236"/>
      <c r="AR307" s="1236"/>
      <c r="AS307" s="1270"/>
      <c r="AT307" s="1307"/>
      <c r="AU307" s="1246"/>
      <c r="AV307" s="1246">
        <f>IFERROR(Model!AV307/Model!AU307-1,"NA")</f>
        <v>2.2499999999999964E-2</v>
      </c>
      <c r="AW307" s="1246">
        <f>IFERROR(Model!AW307/Model!AV307-1,"NA")</f>
        <v>-0.15403422982885084</v>
      </c>
      <c r="AX307" s="1246">
        <f>IFERROR(Model!AX307/Model!AW307-1,"NA")</f>
        <v>-0.11560693641618502</v>
      </c>
      <c r="AY307" s="1246">
        <f>IFERROR(Model!AY307/Model!AX307-1,"NA")</f>
        <v>-9.1503267973856217E-2</v>
      </c>
      <c r="AZ307" s="1246" t="str">
        <f>IFERROR(Model!AZ307/Model!AY307-1,"NA")</f>
        <v>NA</v>
      </c>
      <c r="BA307" s="1246" t="str">
        <f>IFERROR(Model!BA307/Model!AZ307-1,"NA")</f>
        <v>NA</v>
      </c>
      <c r="BB307" s="1246" t="str">
        <f>IFERROR(Model!BB307/Model!BA307-1,"NA")</f>
        <v>NA</v>
      </c>
      <c r="BC307" s="1246" t="str">
        <f>IFERROR(Model!BC307/Model!BB307-1,"NA")</f>
        <v>NA</v>
      </c>
      <c r="BD307" s="1246" t="str">
        <f>IFERROR(Model!BD307/Model!BC307-1,"NA")</f>
        <v>NA</v>
      </c>
      <c r="BE307" s="1246" t="str">
        <f>IFERROR(Model!BE307/Model!BD307-1,"NA")</f>
        <v>NA</v>
      </c>
    </row>
    <row r="308" spans="1:57" x14ac:dyDescent="0.2">
      <c r="B308" s="321"/>
      <c r="C308" s="319" t="s">
        <v>21</v>
      </c>
      <c r="D308" s="1311"/>
      <c r="E308" s="1311"/>
      <c r="F308" s="1311"/>
      <c r="G308" s="1311"/>
      <c r="H308" s="1311">
        <f>IFERROR(Model!H308/Model!D308-1,"NA")</f>
        <v>4.590163934426239E-2</v>
      </c>
      <c r="I308" s="1311">
        <f>IFERROR(Model!I308/Model!E308-1,"NA")</f>
        <v>-4.2553191489361653E-2</v>
      </c>
      <c r="J308" s="1311">
        <f>IFERROR(Model!J308/Model!F308-1,"NA")</f>
        <v>-0.28716216216216217</v>
      </c>
      <c r="K308" s="1311">
        <f>IFERROR(Model!K308/Model!G308-1,"NA")</f>
        <v>-0.18181818181818177</v>
      </c>
      <c r="L308" s="1311">
        <f>IFERROR(Model!L308/Model!H308-1,"NA")</f>
        <v>-0.30721003134796243</v>
      </c>
      <c r="M308" s="1311">
        <f>IFERROR(Model!M308/Model!I308-1,"NA")</f>
        <v>-0.23703703703703705</v>
      </c>
      <c r="N308" s="1311">
        <f>IFERROR(Model!N308/Model!J308-1,"NA")</f>
        <v>0.34597156398104256</v>
      </c>
      <c r="O308" s="1311">
        <f>IFERROR(Model!O308/Model!K308-1,"NA")</f>
        <v>-0.22857142857142854</v>
      </c>
      <c r="P308" s="1311">
        <f>IFERROR(Model!P308/Model!L308-1,"NA")</f>
        <v>-6.3348416289592757E-2</v>
      </c>
      <c r="Q308" s="1311">
        <f>IFERROR(Model!Q308/Model!M308-1,"NA")</f>
        <v>-0.12135922330097082</v>
      </c>
      <c r="R308" s="1311">
        <f>IFERROR(Model!R308/Model!N308-1,"NA")</f>
        <v>4.5774647887323994E-2</v>
      </c>
      <c r="S308" s="1311">
        <f>IFERROR(Model!S308/Model!O308-1,"NA")</f>
        <v>-0.41975308641975306</v>
      </c>
      <c r="T308" s="1311">
        <f>IFERROR(Model!T308/Model!P308-1,"NA")</f>
        <v>-0.29468599033816423</v>
      </c>
      <c r="U308" s="1311">
        <f>IFERROR(Model!U308/Model!Q308-1,"NA")</f>
        <v>-4.4198895027624308E-2</v>
      </c>
      <c r="V308" s="1311">
        <f>IFERROR(Model!V308/Model!R308-1,"NA")</f>
        <v>-0.46127946127946129</v>
      </c>
      <c r="W308" s="1311">
        <f>IFERROR(Model!W308/Model!S308-1,"NA")</f>
        <v>9.219858156028371E-2</v>
      </c>
      <c r="X308" s="1311">
        <f>IFERROR(Model!X308/Model!T308-1,"NA")</f>
        <v>-7.5342465753424626E-2</v>
      </c>
      <c r="Y308" s="1311">
        <f>IFERROR(Model!Y308/Model!U308-1,"NA")</f>
        <v>-0.18497109826589597</v>
      </c>
      <c r="Z308" s="1311">
        <f>IFERROR(Model!Z308/Model!V308-1,"NA")</f>
        <v>5.6249999999999911E-2</v>
      </c>
      <c r="AA308" s="1311">
        <f>IFERROR(Model!AA308/Model!W308-1,"NA")</f>
        <v>7.1428571428571397E-2</v>
      </c>
      <c r="AB308" s="1311">
        <f>IFERROR(Model!AB308/Model!X308-1,"NA")</f>
        <v>0.35555555555555562</v>
      </c>
      <c r="AC308" s="407">
        <f>IFERROR(Model!AC308/Model!Y308-1,"NA")</f>
        <v>0.55116450091081282</v>
      </c>
      <c r="AD308" s="407">
        <f>IFERROR(Model!AD308/Model!Z308-1,"NA")</f>
        <v>0.31353070462227506</v>
      </c>
      <c r="AE308" s="407">
        <f>IFERROR(Model!AE308/Model!AA308-1,"NA")</f>
        <v>0.35233103060224225</v>
      </c>
      <c r="AF308" s="407">
        <f>IFERROR(Model!AF308/Model!AB308-1,"NA")</f>
        <v>0.28604754121120335</v>
      </c>
      <c r="AG308" s="407">
        <f>IFERROR(Model!AG308/Model!AC308-1,"NA")</f>
        <v>9.1227329526109679E-2</v>
      </c>
      <c r="AH308" s="407">
        <f>IFERROR(Model!AH308/Model!AD308-1,"NA")</f>
        <v>0.13520394765955057</v>
      </c>
      <c r="AI308" s="407">
        <f>IFERROR(Model!AI308/Model!AE308-1,"NA")</f>
        <v>0.1373722782001483</v>
      </c>
      <c r="AJ308" s="407"/>
      <c r="AK308" s="407"/>
      <c r="AL308" s="407"/>
      <c r="AM308" s="407"/>
      <c r="AN308" s="407"/>
      <c r="AO308" s="407"/>
      <c r="AP308" s="407"/>
      <c r="AQ308" s="407"/>
      <c r="AR308" s="1236"/>
      <c r="AS308" s="1284"/>
      <c r="AT308" s="1248"/>
      <c r="AU308" s="1236"/>
      <c r="AV308" s="1236">
        <f>IFERROR(Model!AV308/Model!AU308-1,"NA")</f>
        <v>-0.12066246056782337</v>
      </c>
      <c r="AW308" s="1236">
        <f>IFERROR(Model!AW308/Model!AV308-1,"NA")</f>
        <v>-0.14439461883408067</v>
      </c>
      <c r="AX308" s="1236">
        <f>IFERROR(Model!AX308/Model!AW308-1,"NA")</f>
        <v>-0.13417190775681342</v>
      </c>
      <c r="AY308" s="1236">
        <f>IFERROR(Model!AY308/Model!AX308-1,"NA")</f>
        <v>-0.23365617433414043</v>
      </c>
      <c r="AZ308" s="1236">
        <f>IFERROR(Model!AZ308/Model!AY308-1,"NA")</f>
        <v>-1</v>
      </c>
      <c r="BA308" s="1236" t="str">
        <f>IFERROR(Model!BA308/Model!AZ308-1,"NA")</f>
        <v>NA</v>
      </c>
      <c r="BB308" s="1236" t="str">
        <f>IFERROR(Model!BB308/Model!BA308-1,"NA")</f>
        <v>NA</v>
      </c>
      <c r="BC308" s="1236" t="str">
        <f>IFERROR(Model!BC308/Model!BB308-1,"NA")</f>
        <v>NA</v>
      </c>
      <c r="BD308" s="1236" t="str">
        <f>IFERROR(Model!BD308/Model!BC308-1,"NA")</f>
        <v>NA</v>
      </c>
      <c r="BE308" s="1236" t="str">
        <f>IFERROR(Model!BE308/Model!BD308-1,"NA")</f>
        <v>NA</v>
      </c>
    </row>
    <row r="309" spans="1:57" x14ac:dyDescent="0.2">
      <c r="A309" s="830"/>
      <c r="B309" s="369"/>
      <c r="C309" s="382"/>
      <c r="D309" s="1318"/>
      <c r="E309" s="1318"/>
      <c r="F309" s="1318"/>
      <c r="G309" s="1318"/>
      <c r="H309" s="1318"/>
      <c r="I309" s="1318"/>
      <c r="J309" s="1318"/>
      <c r="K309" s="1318"/>
      <c r="L309" s="1318"/>
      <c r="M309" s="1318"/>
      <c r="N309" s="1318"/>
      <c r="O309" s="1318"/>
      <c r="P309" s="1318"/>
      <c r="Q309" s="1318"/>
      <c r="R309" s="1318"/>
      <c r="S309" s="1318"/>
      <c r="T309" s="1318"/>
      <c r="U309" s="1318"/>
      <c r="V309" s="1318"/>
      <c r="W309" s="1318"/>
      <c r="X309" s="1318"/>
      <c r="Y309" s="1318"/>
      <c r="Z309" s="1318"/>
      <c r="AA309" s="1318"/>
      <c r="AB309" s="1318"/>
      <c r="AC309" s="1318"/>
      <c r="AD309" s="1318"/>
      <c r="AE309" s="1318"/>
      <c r="AF309" s="1318"/>
      <c r="AG309" s="1318"/>
      <c r="AH309" s="1318"/>
      <c r="AI309" s="1318"/>
      <c r="AJ309" s="1318"/>
      <c r="AK309" s="1318"/>
      <c r="AL309" s="1318"/>
      <c r="AM309" s="1318"/>
      <c r="AN309" s="1318"/>
      <c r="AO309" s="1318"/>
      <c r="AP309" s="1318"/>
      <c r="AQ309" s="1318"/>
      <c r="AR309" s="1236"/>
      <c r="AS309" s="1263"/>
      <c r="AT309" s="1308"/>
      <c r="AU309" s="1236"/>
      <c r="AV309" s="1236"/>
      <c r="AW309" s="1236"/>
      <c r="AX309" s="1236"/>
      <c r="AY309" s="1236"/>
      <c r="AZ309" s="1236"/>
      <c r="BA309" s="1236"/>
      <c r="BB309" s="1236"/>
      <c r="BC309" s="1236"/>
      <c r="BD309" s="1236"/>
      <c r="BE309" s="1236"/>
    </row>
    <row r="310" spans="1:57" s="369" customFormat="1" x14ac:dyDescent="0.2">
      <c r="A310" s="411"/>
      <c r="B310" s="337" t="s">
        <v>302</v>
      </c>
      <c r="C310" s="367"/>
      <c r="D310" s="1428"/>
      <c r="E310" s="1428"/>
      <c r="F310" s="1428"/>
      <c r="G310" s="1428"/>
      <c r="H310" s="1428"/>
      <c r="I310" s="1428"/>
      <c r="J310" s="1428"/>
      <c r="K310" s="1428"/>
      <c r="L310" s="1428"/>
      <c r="M310" s="1428"/>
      <c r="N310" s="1428"/>
      <c r="O310" s="1428"/>
      <c r="P310" s="1428"/>
      <c r="Q310" s="1428"/>
      <c r="R310" s="1428"/>
      <c r="S310" s="1428"/>
      <c r="T310" s="1428"/>
      <c r="U310" s="1428"/>
      <c r="V310" s="1428"/>
      <c r="W310" s="1428"/>
      <c r="X310" s="1428"/>
      <c r="Y310" s="1428"/>
      <c r="Z310" s="1428"/>
      <c r="AA310" s="1428"/>
      <c r="AB310" s="1428"/>
      <c r="AC310" s="1417"/>
      <c r="AD310" s="1417"/>
      <c r="AE310" s="1417"/>
      <c r="AF310" s="1417"/>
      <c r="AG310" s="1417"/>
      <c r="AH310" s="1417"/>
      <c r="AI310" s="1417"/>
      <c r="AJ310" s="1417"/>
      <c r="AK310" s="1417"/>
      <c r="AL310" s="1417"/>
      <c r="AM310" s="1417"/>
      <c r="AN310" s="1417"/>
      <c r="AO310" s="1417"/>
      <c r="AP310" s="1417"/>
      <c r="AQ310" s="1417"/>
      <c r="AR310" s="1236"/>
      <c r="AS310" s="1418"/>
      <c r="AT310" s="1417"/>
      <c r="AU310" s="1398"/>
      <c r="AV310" s="1398"/>
      <c r="AW310" s="1398"/>
      <c r="AX310" s="1398"/>
      <c r="AY310" s="1398"/>
      <c r="AZ310" s="1398"/>
      <c r="BA310" s="1398"/>
      <c r="BB310" s="1398"/>
      <c r="BC310" s="1398"/>
      <c r="BD310" s="1398"/>
      <c r="BE310" s="1398"/>
    </row>
    <row r="311" spans="1:57" s="369" customFormat="1" x14ac:dyDescent="0.2">
      <c r="A311" s="411"/>
      <c r="B311" s="334" t="s">
        <v>511</v>
      </c>
      <c r="C311" s="321"/>
      <c r="D311" s="1272"/>
      <c r="E311" s="1272"/>
      <c r="F311" s="1272"/>
      <c r="G311" s="1272"/>
      <c r="H311" s="1272"/>
      <c r="I311" s="1272"/>
      <c r="J311" s="1272"/>
      <c r="K311" s="1272"/>
      <c r="L311" s="1272"/>
      <c r="M311" s="1272"/>
      <c r="N311" s="1272"/>
      <c r="O311" s="1272"/>
      <c r="P311" s="1272"/>
      <c r="Q311" s="1272"/>
      <c r="R311" s="1272"/>
      <c r="S311" s="1272"/>
      <c r="T311" s="1272"/>
      <c r="U311" s="1272"/>
      <c r="V311" s="1272"/>
      <c r="W311" s="1272"/>
      <c r="X311" s="1272"/>
      <c r="Y311" s="1272"/>
      <c r="Z311" s="1272"/>
      <c r="AA311" s="1272"/>
      <c r="AB311" s="1272"/>
      <c r="AC311" s="1429"/>
      <c r="AD311" s="1429"/>
      <c r="AE311" s="1429"/>
      <c r="AF311" s="1429"/>
      <c r="AG311" s="1429"/>
      <c r="AH311" s="1429"/>
      <c r="AI311" s="1429"/>
      <c r="AJ311" s="1429"/>
      <c r="AK311" s="1429"/>
      <c r="AL311" s="1429"/>
      <c r="AM311" s="1429"/>
      <c r="AN311" s="1429"/>
      <c r="AO311" s="1429"/>
      <c r="AP311" s="1429"/>
      <c r="AQ311" s="1429"/>
      <c r="AR311" s="1236"/>
      <c r="AS311" s="1410"/>
      <c r="AT311" s="1284"/>
      <c r="AU311" s="1284"/>
      <c r="AV311" s="1284"/>
      <c r="AW311" s="1284"/>
      <c r="AX311" s="1284"/>
      <c r="AY311" s="1284"/>
      <c r="AZ311" s="1284"/>
      <c r="BA311" s="1284"/>
      <c r="BB311" s="1429"/>
      <c r="BC311" s="1429"/>
      <c r="BD311" s="1429"/>
      <c r="BE311" s="1429"/>
    </row>
    <row r="312" spans="1:57" s="369" customFormat="1" x14ac:dyDescent="0.2">
      <c r="A312" s="411"/>
      <c r="B312" s="334"/>
      <c r="C312" s="321"/>
      <c r="D312" s="1274"/>
      <c r="E312" s="1274"/>
      <c r="F312" s="1274"/>
      <c r="G312" s="1274"/>
      <c r="H312" s="1274"/>
      <c r="I312" s="1274"/>
      <c r="J312" s="1274"/>
      <c r="K312" s="1274"/>
      <c r="L312" s="1274"/>
      <c r="M312" s="1274"/>
      <c r="N312" s="1274"/>
      <c r="O312" s="1274"/>
      <c r="P312" s="1274"/>
      <c r="Q312" s="1274"/>
      <c r="R312" s="1274"/>
      <c r="S312" s="1274"/>
      <c r="T312" s="1274"/>
      <c r="U312" s="1274"/>
      <c r="V312" s="1274"/>
      <c r="W312" s="1274"/>
      <c r="X312" s="1274"/>
      <c r="Y312" s="1274"/>
      <c r="Z312" s="1274"/>
      <c r="AA312" s="1274"/>
      <c r="AB312" s="1274"/>
      <c r="AC312" s="1284"/>
      <c r="AD312" s="1284"/>
      <c r="AE312" s="1284"/>
      <c r="AF312" s="1284"/>
      <c r="AG312" s="1284"/>
      <c r="AH312" s="1284"/>
      <c r="AI312" s="1284"/>
      <c r="AJ312" s="1284"/>
      <c r="AK312" s="1284"/>
      <c r="AL312" s="1284"/>
      <c r="AM312" s="1284"/>
      <c r="AN312" s="1284"/>
      <c r="AO312" s="1284"/>
      <c r="AP312" s="1284"/>
      <c r="AQ312" s="1284"/>
      <c r="AR312" s="1236"/>
      <c r="AS312" s="1410"/>
      <c r="AT312" s="1284"/>
      <c r="AU312" s="1263"/>
      <c r="AV312" s="1263"/>
      <c r="AW312" s="1263"/>
      <c r="AX312" s="1263"/>
      <c r="AY312" s="1263"/>
      <c r="AZ312" s="1263"/>
      <c r="BA312" s="1263"/>
      <c r="BB312" s="1284"/>
      <c r="BC312" s="1284"/>
      <c r="BD312" s="1284"/>
      <c r="BE312" s="1284"/>
    </row>
    <row r="313" spans="1:57" s="369" customFormat="1" x14ac:dyDescent="0.2">
      <c r="A313" s="411"/>
      <c r="B313" s="334" t="s">
        <v>195</v>
      </c>
      <c r="C313" s="321"/>
      <c r="D313" s="1274"/>
      <c r="E313" s="1274"/>
      <c r="F313" s="1274"/>
      <c r="G313" s="1274"/>
      <c r="H313" s="1274"/>
      <c r="I313" s="1274"/>
      <c r="J313" s="1274"/>
      <c r="K313" s="1274"/>
      <c r="L313" s="1274"/>
      <c r="M313" s="1274"/>
      <c r="N313" s="1274"/>
      <c r="O313" s="1274"/>
      <c r="P313" s="1274"/>
      <c r="Q313" s="1274"/>
      <c r="R313" s="1274"/>
      <c r="S313" s="1274"/>
      <c r="T313" s="1274"/>
      <c r="U313" s="1274"/>
      <c r="V313" s="1274"/>
      <c r="W313" s="1274"/>
      <c r="X313" s="1274"/>
      <c r="Y313" s="1274"/>
      <c r="Z313" s="1274"/>
      <c r="AA313" s="1274"/>
      <c r="AB313" s="1274"/>
      <c r="AC313" s="1284"/>
      <c r="AD313" s="1284"/>
      <c r="AE313" s="1284"/>
      <c r="AF313" s="1284"/>
      <c r="AG313" s="1284"/>
      <c r="AH313" s="1284"/>
      <c r="AI313" s="1284"/>
      <c r="AJ313" s="1284"/>
      <c r="AK313" s="1284"/>
      <c r="AL313" s="1284"/>
      <c r="AM313" s="1284"/>
      <c r="AN313" s="1284"/>
      <c r="AO313" s="1284"/>
      <c r="AP313" s="1284"/>
      <c r="AQ313" s="1284"/>
      <c r="AR313" s="1236"/>
      <c r="AS313" s="1410"/>
      <c r="AT313" s="1284"/>
      <c r="AU313" s="1263"/>
      <c r="AV313" s="1263"/>
      <c r="AW313" s="1263"/>
      <c r="AX313" s="1263"/>
      <c r="AY313" s="1263"/>
      <c r="AZ313" s="1263"/>
      <c r="BA313" s="1263"/>
      <c r="BB313" s="1284"/>
      <c r="BC313" s="1284"/>
      <c r="BD313" s="1284"/>
      <c r="BE313" s="1284"/>
    </row>
    <row r="314" spans="1:57" s="369" customFormat="1" x14ac:dyDescent="0.2">
      <c r="A314" s="411"/>
      <c r="B314" s="321"/>
      <c r="C314" s="334" t="s">
        <v>228</v>
      </c>
      <c r="D314" s="1427"/>
      <c r="E314" s="1427"/>
      <c r="F314" s="1427"/>
      <c r="G314" s="1427"/>
      <c r="H314" s="1427"/>
      <c r="I314" s="1427"/>
      <c r="J314" s="1427"/>
      <c r="K314" s="1427"/>
      <c r="L314" s="1427"/>
      <c r="M314" s="1427"/>
      <c r="N314" s="1427"/>
      <c r="O314" s="1427"/>
      <c r="P314" s="1427"/>
      <c r="Q314" s="1427"/>
      <c r="R314" s="1427"/>
      <c r="S314" s="1427"/>
      <c r="T314" s="1427"/>
      <c r="U314" s="1427"/>
      <c r="V314" s="1427"/>
      <c r="W314" s="1427"/>
      <c r="X314" s="1427"/>
      <c r="Y314" s="1427"/>
      <c r="Z314" s="1427"/>
      <c r="AA314" s="1427"/>
      <c r="AB314" s="1427"/>
      <c r="AC314" s="1281"/>
      <c r="AD314" s="1281"/>
      <c r="AE314" s="1281"/>
      <c r="AF314" s="1281"/>
      <c r="AG314" s="1281"/>
      <c r="AH314" s="1281"/>
      <c r="AI314" s="1281"/>
      <c r="AJ314" s="1281"/>
      <c r="AK314" s="1281"/>
      <c r="AL314" s="1281"/>
      <c r="AM314" s="1281"/>
      <c r="AN314" s="1281"/>
      <c r="AO314" s="1281"/>
      <c r="AP314" s="1281"/>
      <c r="AQ314" s="1281"/>
      <c r="AR314" s="1236"/>
      <c r="AS314" s="1284"/>
      <c r="AT314" s="1410"/>
      <c r="AU314" s="1282"/>
      <c r="AV314" s="1282"/>
      <c r="AW314" s="1282"/>
      <c r="AX314" s="1282"/>
      <c r="AY314" s="1282"/>
      <c r="AZ314" s="1250"/>
      <c r="BA314" s="1250"/>
      <c r="BB314" s="1250"/>
      <c r="BC314" s="1250"/>
      <c r="BD314" s="1250"/>
      <c r="BE314" s="1250"/>
    </row>
    <row r="315" spans="1:57" x14ac:dyDescent="0.2">
      <c r="B315" s="28"/>
      <c r="C315" s="29" t="s">
        <v>219</v>
      </c>
      <c r="D315" s="1246"/>
      <c r="E315" s="1246"/>
      <c r="F315" s="1246"/>
      <c r="G315" s="1246"/>
      <c r="H315" s="1246"/>
      <c r="I315" s="1246"/>
      <c r="J315" s="1246"/>
      <c r="K315" s="1246"/>
      <c r="L315" s="1246"/>
      <c r="M315" s="1246"/>
      <c r="N315" s="1246"/>
      <c r="O315" s="1246"/>
      <c r="P315" s="1246"/>
      <c r="Q315" s="1246"/>
      <c r="R315" s="1246"/>
      <c r="S315" s="1246"/>
      <c r="T315" s="1246"/>
      <c r="U315" s="1246"/>
      <c r="V315" s="1246"/>
      <c r="W315" s="1246"/>
      <c r="X315" s="1246"/>
      <c r="Y315" s="1246"/>
      <c r="Z315" s="1246"/>
      <c r="AA315" s="1246"/>
      <c r="AB315" s="1246"/>
      <c r="AC315" s="1283"/>
      <c r="AD315" s="1283"/>
      <c r="AE315" s="1283"/>
      <c r="AF315" s="1283"/>
      <c r="AG315" s="1283"/>
      <c r="AH315" s="1283"/>
      <c r="AI315" s="1283"/>
      <c r="AJ315" s="1288"/>
      <c r="AK315" s="1288"/>
      <c r="AL315" s="1288"/>
      <c r="AM315" s="1288"/>
      <c r="AN315" s="1288"/>
      <c r="AO315" s="1288"/>
      <c r="AP315" s="1288"/>
      <c r="AQ315" s="1288"/>
      <c r="AR315" s="1236"/>
      <c r="AS315" s="1246"/>
      <c r="AT315" s="1373"/>
      <c r="AU315" s="1433"/>
      <c r="AV315" s="1433"/>
      <c r="AW315" s="1433"/>
      <c r="AX315" s="1433"/>
      <c r="AY315" s="1433"/>
      <c r="AZ315" s="1246"/>
      <c r="BA315" s="1246"/>
      <c r="BB315" s="1246"/>
      <c r="BC315" s="1246"/>
      <c r="BD315" s="1246"/>
      <c r="BE315" s="1246"/>
    </row>
    <row r="316" spans="1:57" s="369" customFormat="1" x14ac:dyDescent="0.2">
      <c r="A316" s="411"/>
      <c r="B316" s="321"/>
      <c r="C316" s="334" t="s">
        <v>512</v>
      </c>
      <c r="D316" s="1272"/>
      <c r="E316" s="1272"/>
      <c r="F316" s="1272"/>
      <c r="G316" s="1272"/>
      <c r="H316" s="1272"/>
      <c r="I316" s="1272"/>
      <c r="J316" s="1272"/>
      <c r="K316" s="1272"/>
      <c r="L316" s="1272"/>
      <c r="M316" s="1272"/>
      <c r="N316" s="1272"/>
      <c r="O316" s="1272"/>
      <c r="P316" s="1272"/>
      <c r="Q316" s="1272"/>
      <c r="R316" s="1272"/>
      <c r="S316" s="1272"/>
      <c r="T316" s="1272"/>
      <c r="U316" s="1272"/>
      <c r="V316" s="1272"/>
      <c r="W316" s="1272"/>
      <c r="X316" s="1272"/>
      <c r="Y316" s="1272"/>
      <c r="Z316" s="1272"/>
      <c r="AA316" s="1272"/>
      <c r="AB316" s="1272"/>
      <c r="AC316" s="1429"/>
      <c r="AD316" s="1429"/>
      <c r="AE316" s="1429"/>
      <c r="AF316" s="1429"/>
      <c r="AG316" s="1429"/>
      <c r="AH316" s="1429"/>
      <c r="AI316" s="1429"/>
      <c r="AJ316" s="1429"/>
      <c r="AK316" s="1429"/>
      <c r="AL316" s="1429"/>
      <c r="AM316" s="1429"/>
      <c r="AN316" s="1429"/>
      <c r="AO316" s="1429"/>
      <c r="AP316" s="1429"/>
      <c r="AQ316" s="1429"/>
      <c r="AR316" s="1236"/>
      <c r="AS316" s="1284"/>
      <c r="AT316" s="1410"/>
      <c r="AU316" s="1261"/>
      <c r="AV316" s="1261"/>
      <c r="AW316" s="1261"/>
      <c r="AX316" s="1261"/>
      <c r="AY316" s="1261"/>
      <c r="AZ316" s="1261"/>
      <c r="BA316" s="1261"/>
      <c r="BB316" s="1429"/>
      <c r="BC316" s="1429"/>
      <c r="BD316" s="1429"/>
      <c r="BE316" s="1429"/>
    </row>
    <row r="317" spans="1:57" s="369" customFormat="1" x14ac:dyDescent="0.2">
      <c r="A317" s="411"/>
      <c r="B317" s="321"/>
      <c r="C317" s="334"/>
      <c r="D317" s="1262"/>
      <c r="E317" s="1262"/>
      <c r="F317" s="1262"/>
      <c r="G317" s="1262"/>
      <c r="H317" s="1262"/>
      <c r="I317" s="1262"/>
      <c r="J317" s="1262"/>
      <c r="K317" s="1262"/>
      <c r="L317" s="1262"/>
      <c r="M317" s="1262"/>
      <c r="N317" s="1262"/>
      <c r="O317" s="1262"/>
      <c r="P317" s="1262"/>
      <c r="Q317" s="1262"/>
      <c r="R317" s="1262"/>
      <c r="S317" s="1262"/>
      <c r="T317" s="1262"/>
      <c r="U317" s="1262"/>
      <c r="V317" s="1262"/>
      <c r="W317" s="1262"/>
      <c r="X317" s="1284"/>
      <c r="Y317" s="1284"/>
      <c r="Z317" s="1284"/>
      <c r="AA317" s="1284"/>
      <c r="AB317" s="1284"/>
      <c r="AC317" s="1284"/>
      <c r="AD317" s="1284"/>
      <c r="AE317" s="1284"/>
      <c r="AF317" s="1284"/>
      <c r="AG317" s="1284"/>
      <c r="AH317" s="1284"/>
      <c r="AI317" s="1284"/>
      <c r="AJ317" s="1284"/>
      <c r="AK317" s="1284"/>
      <c r="AL317" s="1284"/>
      <c r="AM317" s="1284"/>
      <c r="AN317" s="1284"/>
      <c r="AO317" s="1284"/>
      <c r="AP317" s="1284"/>
      <c r="AQ317" s="1284"/>
      <c r="AR317" s="1236"/>
      <c r="AS317" s="1284"/>
      <c r="AT317" s="1410"/>
      <c r="AU317" s="1263"/>
      <c r="AV317" s="1263"/>
      <c r="AW317" s="1263"/>
      <c r="AX317" s="1263"/>
      <c r="AY317" s="1263"/>
      <c r="AZ317" s="1263"/>
      <c r="BA317" s="1263"/>
      <c r="BB317" s="1263"/>
      <c r="BC317" s="1263"/>
      <c r="BD317" s="1263"/>
      <c r="BE317" s="1263"/>
    </row>
    <row r="318" spans="1:57" s="369" customFormat="1" x14ac:dyDescent="0.2">
      <c r="A318" s="411"/>
      <c r="B318" s="337" t="s">
        <v>487</v>
      </c>
      <c r="C318" s="367"/>
      <c r="D318" s="1428"/>
      <c r="E318" s="1428"/>
      <c r="F318" s="1428"/>
      <c r="G318" s="1428"/>
      <c r="H318" s="1428"/>
      <c r="I318" s="1428"/>
      <c r="J318" s="1428"/>
      <c r="K318" s="1428"/>
      <c r="L318" s="1428"/>
      <c r="M318" s="1428"/>
      <c r="N318" s="1428"/>
      <c r="O318" s="1428"/>
      <c r="P318" s="1428"/>
      <c r="Q318" s="1428"/>
      <c r="R318" s="1428"/>
      <c r="S318" s="1428"/>
      <c r="T318" s="1428"/>
      <c r="U318" s="1428"/>
      <c r="V318" s="1428"/>
      <c r="W318" s="1428"/>
      <c r="X318" s="1417"/>
      <c r="Y318" s="1417"/>
      <c r="Z318" s="1417"/>
      <c r="AA318" s="1417"/>
      <c r="AB318" s="1417"/>
      <c r="AC318" s="1417"/>
      <c r="AD318" s="1417"/>
      <c r="AE318" s="1417"/>
      <c r="AF318" s="1417"/>
      <c r="AG318" s="1417"/>
      <c r="AH318" s="1417"/>
      <c r="AI318" s="1417"/>
      <c r="AJ318" s="1417"/>
      <c r="AK318" s="1417"/>
      <c r="AL318" s="1417"/>
      <c r="AM318" s="1417"/>
      <c r="AN318" s="1417"/>
      <c r="AO318" s="1417"/>
      <c r="AP318" s="1417"/>
      <c r="AQ318" s="1417"/>
      <c r="AR318" s="1236"/>
      <c r="AS318" s="1418"/>
      <c r="AT318" s="1417"/>
      <c r="AU318" s="1398"/>
      <c r="AV318" s="1398"/>
      <c r="AW318" s="1398"/>
      <c r="AX318" s="1398"/>
      <c r="AY318" s="1398"/>
      <c r="AZ318" s="1398"/>
      <c r="BA318" s="1398"/>
      <c r="BB318" s="1398"/>
      <c r="BC318" s="1398"/>
      <c r="BD318" s="1398"/>
      <c r="BE318" s="1398"/>
    </row>
    <row r="319" spans="1:57" s="369" customFormat="1" x14ac:dyDescent="0.2">
      <c r="A319" s="411"/>
      <c r="B319" s="334" t="s">
        <v>504</v>
      </c>
      <c r="C319" s="334"/>
      <c r="D319" s="1262"/>
      <c r="E319" s="1262"/>
      <c r="F319" s="1262"/>
      <c r="G319" s="1262"/>
      <c r="H319" s="1262"/>
      <c r="I319" s="1262"/>
      <c r="J319" s="1262"/>
      <c r="K319" s="1262"/>
      <c r="L319" s="1262"/>
      <c r="M319" s="1262"/>
      <c r="N319" s="1262"/>
      <c r="O319" s="1262"/>
      <c r="P319" s="1262"/>
      <c r="Q319" s="1262"/>
      <c r="R319" s="1262"/>
      <c r="S319" s="1262"/>
      <c r="T319" s="1262"/>
      <c r="U319" s="1262"/>
      <c r="V319" s="1262"/>
      <c r="W319" s="1262"/>
      <c r="X319" s="1262"/>
      <c r="Y319" s="1262"/>
      <c r="Z319" s="1262"/>
      <c r="AA319" s="1262"/>
      <c r="AB319" s="1262"/>
      <c r="AC319" s="1429"/>
      <c r="AD319" s="1429"/>
      <c r="AE319" s="1429"/>
      <c r="AF319" s="1429"/>
      <c r="AG319" s="1429"/>
      <c r="AH319" s="1429"/>
      <c r="AI319" s="1429"/>
      <c r="AJ319" s="1429"/>
      <c r="AK319" s="1429"/>
      <c r="AL319" s="1429"/>
      <c r="AM319" s="1429"/>
      <c r="AN319" s="1429"/>
      <c r="AO319" s="1429"/>
      <c r="AP319" s="1429"/>
      <c r="AQ319" s="1429"/>
      <c r="AR319" s="1236"/>
      <c r="AS319" s="1410"/>
      <c r="AT319" s="1410"/>
      <c r="AU319" s="1261"/>
      <c r="AV319" s="1261"/>
      <c r="AW319" s="1261"/>
      <c r="AX319" s="1261"/>
      <c r="AY319" s="1261"/>
      <c r="AZ319" s="1261"/>
      <c r="BA319" s="1261"/>
      <c r="BB319" s="1429"/>
      <c r="BC319" s="1429"/>
      <c r="BD319" s="1429"/>
      <c r="BE319" s="1429"/>
    </row>
    <row r="320" spans="1:57" s="369" customFormat="1" x14ac:dyDescent="0.2">
      <c r="A320" s="411"/>
      <c r="B320" s="334" t="s">
        <v>677</v>
      </c>
      <c r="C320" s="321"/>
      <c r="D320" s="1262"/>
      <c r="E320" s="1262"/>
      <c r="F320" s="1262"/>
      <c r="G320" s="1262"/>
      <c r="H320" s="1262"/>
      <c r="I320" s="1262"/>
      <c r="J320" s="1262"/>
      <c r="K320" s="1262"/>
      <c r="L320" s="1262"/>
      <c r="M320" s="1262"/>
      <c r="N320" s="1262"/>
      <c r="O320" s="1262"/>
      <c r="P320" s="1262"/>
      <c r="Q320" s="1262"/>
      <c r="R320" s="1262"/>
      <c r="S320" s="1262"/>
      <c r="T320" s="1262"/>
      <c r="U320" s="1262"/>
      <c r="V320" s="1262"/>
      <c r="W320" s="1262"/>
      <c r="X320" s="1262"/>
      <c r="Y320" s="1262"/>
      <c r="Z320" s="1262"/>
      <c r="AA320" s="1262"/>
      <c r="AB320" s="1262"/>
      <c r="AC320" s="1429"/>
      <c r="AD320" s="1429"/>
      <c r="AE320" s="1429"/>
      <c r="AF320" s="1429"/>
      <c r="AG320" s="1429"/>
      <c r="AH320" s="1429"/>
      <c r="AI320" s="1429"/>
      <c r="AJ320" s="1429"/>
      <c r="AK320" s="1429"/>
      <c r="AL320" s="1429"/>
      <c r="AM320" s="1429"/>
      <c r="AN320" s="1429"/>
      <c r="AO320" s="1429"/>
      <c r="AP320" s="1429"/>
      <c r="AQ320" s="1429"/>
      <c r="AR320" s="1236"/>
      <c r="AS320" s="1410"/>
      <c r="AT320" s="1284"/>
      <c r="AU320" s="1262"/>
      <c r="AV320" s="1262"/>
      <c r="AW320" s="1262"/>
      <c r="AX320" s="1262"/>
      <c r="AY320" s="1262"/>
      <c r="AZ320" s="1262"/>
      <c r="BA320" s="1262"/>
      <c r="BB320" s="1429"/>
      <c r="BC320" s="1429"/>
      <c r="BD320" s="1429"/>
      <c r="BE320" s="1429"/>
    </row>
    <row r="321" spans="1:57" s="369" customFormat="1" x14ac:dyDescent="0.2">
      <c r="A321" s="411"/>
      <c r="B321" s="334"/>
      <c r="C321" s="321"/>
      <c r="D321" s="1262"/>
      <c r="E321" s="1262"/>
      <c r="F321" s="1262"/>
      <c r="G321" s="1262"/>
      <c r="H321" s="1262"/>
      <c r="I321" s="1262"/>
      <c r="J321" s="1262"/>
      <c r="K321" s="1262"/>
      <c r="L321" s="1262"/>
      <c r="M321" s="1262"/>
      <c r="N321" s="1262"/>
      <c r="O321" s="1262"/>
      <c r="P321" s="1262"/>
      <c r="Q321" s="1262"/>
      <c r="R321" s="1262"/>
      <c r="S321" s="1262"/>
      <c r="T321" s="1262"/>
      <c r="U321" s="1262"/>
      <c r="V321" s="1262"/>
      <c r="W321" s="1262"/>
      <c r="X321" s="1284"/>
      <c r="Y321" s="1284"/>
      <c r="Z321" s="1284"/>
      <c r="AA321" s="1284"/>
      <c r="AB321" s="1284"/>
      <c r="AC321" s="1284"/>
      <c r="AD321" s="1284"/>
      <c r="AE321" s="1284"/>
      <c r="AF321" s="1284"/>
      <c r="AG321" s="1284"/>
      <c r="AH321" s="1284"/>
      <c r="AI321" s="1284"/>
      <c r="AJ321" s="1284"/>
      <c r="AK321" s="1284"/>
      <c r="AL321" s="1284"/>
      <c r="AM321" s="1284"/>
      <c r="AN321" s="1284"/>
      <c r="AO321" s="1284"/>
      <c r="AP321" s="1284"/>
      <c r="AQ321" s="1284"/>
      <c r="AR321" s="1236"/>
      <c r="AS321" s="1410"/>
      <c r="AT321" s="1284"/>
      <c r="AU321" s="1263"/>
      <c r="AV321" s="1263"/>
      <c r="AW321" s="1263"/>
      <c r="AX321" s="1263"/>
      <c r="AY321" s="1263"/>
      <c r="AZ321" s="1263"/>
      <c r="BA321" s="1263"/>
      <c r="BB321" s="1263"/>
      <c r="BC321" s="1263"/>
      <c r="BD321" s="1263"/>
      <c r="BE321" s="1263"/>
    </row>
    <row r="322" spans="1:57" s="369" customFormat="1" x14ac:dyDescent="0.2">
      <c r="A322" s="411"/>
      <c r="B322" s="337" t="s">
        <v>210</v>
      </c>
      <c r="C322" s="366"/>
      <c r="D322" s="1264"/>
      <c r="E322" s="1264"/>
      <c r="F322" s="1264"/>
      <c r="G322" s="1264"/>
      <c r="H322" s="1264"/>
      <c r="I322" s="1264"/>
      <c r="J322" s="1264"/>
      <c r="K322" s="1264"/>
      <c r="L322" s="1264"/>
      <c r="M322" s="1264"/>
      <c r="N322" s="1264"/>
      <c r="O322" s="1264"/>
      <c r="P322" s="1264"/>
      <c r="Q322" s="1264"/>
      <c r="R322" s="1264"/>
      <c r="S322" s="1264"/>
      <c r="T322" s="1264"/>
      <c r="U322" s="1264"/>
      <c r="V322" s="1264"/>
      <c r="W322" s="1264"/>
      <c r="X322" s="1417"/>
      <c r="Y322" s="1417"/>
      <c r="Z322" s="1417"/>
      <c r="AA322" s="1417"/>
      <c r="AB322" s="1417"/>
      <c r="AC322" s="1417"/>
      <c r="AD322" s="1417"/>
      <c r="AE322" s="1417"/>
      <c r="AF322" s="1417"/>
      <c r="AG322" s="1417"/>
      <c r="AH322" s="1417"/>
      <c r="AI322" s="1417"/>
      <c r="AJ322" s="1417"/>
      <c r="AK322" s="1417"/>
      <c r="AL322" s="1417"/>
      <c r="AM322" s="1417"/>
      <c r="AN322" s="1417"/>
      <c r="AO322" s="1417"/>
      <c r="AP322" s="1417"/>
      <c r="AQ322" s="1417"/>
      <c r="AR322" s="1236"/>
      <c r="AS322" s="1418"/>
      <c r="AT322" s="1419"/>
      <c r="AU322" s="1398"/>
      <c r="AV322" s="1398"/>
      <c r="AW322" s="1398"/>
      <c r="AX322" s="1398"/>
      <c r="AY322" s="1398"/>
      <c r="AZ322" s="1398"/>
      <c r="BA322" s="1398"/>
      <c r="BB322" s="1398"/>
      <c r="BC322" s="1398"/>
      <c r="BD322" s="1398"/>
      <c r="BE322" s="1398"/>
    </row>
    <row r="323" spans="1:57" s="369" customFormat="1" x14ac:dyDescent="0.2">
      <c r="A323" s="411"/>
      <c r="B323" s="334" t="s">
        <v>74</v>
      </c>
      <c r="C323" s="321"/>
      <c r="D323" s="1262"/>
      <c r="E323" s="1262"/>
      <c r="F323" s="1262"/>
      <c r="G323" s="1262"/>
      <c r="H323" s="1262"/>
      <c r="I323" s="1262"/>
      <c r="J323" s="1262"/>
      <c r="K323" s="1262"/>
      <c r="L323" s="1262"/>
      <c r="M323" s="1262"/>
      <c r="N323" s="1262"/>
      <c r="O323" s="1262"/>
      <c r="P323" s="1262"/>
      <c r="Q323" s="1262"/>
      <c r="R323" s="1262"/>
      <c r="S323" s="1262"/>
      <c r="T323" s="1262"/>
      <c r="U323" s="1262"/>
      <c r="V323" s="1262"/>
      <c r="W323" s="1262"/>
      <c r="X323" s="1284"/>
      <c r="Y323" s="1284"/>
      <c r="Z323" s="1284"/>
      <c r="AA323" s="1284"/>
      <c r="AB323" s="1284"/>
      <c r="AC323" s="1284"/>
      <c r="AD323" s="1284"/>
      <c r="AE323" s="1284"/>
      <c r="AF323" s="1284"/>
      <c r="AG323" s="1284"/>
      <c r="AH323" s="1284"/>
      <c r="AI323" s="1284"/>
      <c r="AJ323" s="1284"/>
      <c r="AK323" s="1284"/>
      <c r="AL323" s="1284"/>
      <c r="AM323" s="1284"/>
      <c r="AN323" s="1284"/>
      <c r="AO323" s="1284"/>
      <c r="AP323" s="1284"/>
      <c r="AQ323" s="1284"/>
      <c r="AR323" s="1236"/>
      <c r="AS323" s="1410"/>
      <c r="AT323" s="1284"/>
      <c r="AU323" s="1263"/>
      <c r="AV323" s="1263"/>
      <c r="AW323" s="1263"/>
      <c r="AX323" s="1263"/>
      <c r="AY323" s="1263"/>
      <c r="AZ323" s="1263"/>
      <c r="BA323" s="1263"/>
      <c r="BB323" s="1263"/>
      <c r="BC323" s="1263"/>
      <c r="BD323" s="1263"/>
      <c r="BE323" s="1263"/>
    </row>
    <row r="324" spans="1:57" s="369" customFormat="1" x14ac:dyDescent="0.2">
      <c r="A324" s="411"/>
      <c r="B324" s="321"/>
      <c r="C324" s="334" t="s">
        <v>41</v>
      </c>
      <c r="D324" s="1240"/>
      <c r="E324" s="1240"/>
      <c r="F324" s="1240"/>
      <c r="G324" s="1240"/>
      <c r="H324" s="1240">
        <f>IFERROR(Model!H324/Model!D324-1,"NA")</f>
        <v>2.7972027972027913E-2</v>
      </c>
      <c r="I324" s="1240">
        <f>IFERROR(Model!I324/Model!E324-1,"NA")</f>
        <v>6.6914498141263934E-2</v>
      </c>
      <c r="J324" s="1240">
        <f>IFERROR(Model!J324/Model!F324-1,"NA")</f>
        <v>1.7857142857142794E-2</v>
      </c>
      <c r="K324" s="1240">
        <f>IFERROR(Model!K324/Model!G324-1,"NA")</f>
        <v>5.1903114186851118E-2</v>
      </c>
      <c r="L324" s="1240">
        <f>IFERROR(Model!L324/Model!H324-1,"NA")</f>
        <v>-1.0204081632652962E-2</v>
      </c>
      <c r="M324" s="1240">
        <f>IFERROR(Model!M324/Model!I324-1,"NA")</f>
        <v>4.5296167247386832E-2</v>
      </c>
      <c r="N324" s="1240">
        <f>IFERROR(Model!N324/Model!J324-1,"NA")</f>
        <v>5.2631578947368363E-2</v>
      </c>
      <c r="O324" s="1240">
        <f>IFERROR(Model!O324/Model!K324-1,"NA")</f>
        <v>-3.289473684210531E-2</v>
      </c>
      <c r="P324" s="1240">
        <f>IFERROR(Model!P324/Model!L324-1,"NA")</f>
        <v>-3.7800687285223455E-2</v>
      </c>
      <c r="Q324" s="1240">
        <f>IFERROR(Model!Q324/Model!M324-1,"NA")</f>
        <v>-8.9999999999999969E-2</v>
      </c>
      <c r="R324" s="1240">
        <f>IFERROR(Model!R324/Model!N324-1,"NA")</f>
        <v>-0.14333333333333331</v>
      </c>
      <c r="S324" s="1240">
        <f>IFERROR(Model!S324/Model!O324-1,"NA")</f>
        <v>-0.11904761904761907</v>
      </c>
      <c r="T324" s="1240">
        <f>IFERROR(Model!T324/Model!P324-1,"NA")</f>
        <v>-6.7857142857142838E-2</v>
      </c>
      <c r="U324" s="1240">
        <f>IFERROR(Model!U324/Model!Q324-1,"NA")</f>
        <v>-5.1282051282051322E-2</v>
      </c>
      <c r="V324" s="1240">
        <f>IFERROR(Model!V324/Model!R324-1,"NA")</f>
        <v>0</v>
      </c>
      <c r="W324" s="1240">
        <f>IFERROR(Model!W324/Model!S324-1,"NA")</f>
        <v>-2.7027027027026973E-2</v>
      </c>
      <c r="X324" s="1240">
        <f>IFERROR(Model!X324/Model!T324-1,"NA")</f>
        <v>-3.0651340996168619E-2</v>
      </c>
      <c r="Y324" s="1240">
        <f>IFERROR(Model!Y324/Model!U324-1,"NA")</f>
        <v>7.3359073359073435E-2</v>
      </c>
      <c r="Z324" s="1240">
        <f>IFERROR(Model!Z324/Model!V324-1,"NA")</f>
        <v>0.12062256809338523</v>
      </c>
      <c r="AA324" s="1240">
        <f>IFERROR(Model!AA324/Model!W324-1,"NA")</f>
        <v>0.10317460317460325</v>
      </c>
      <c r="AB324" s="1240">
        <f>IFERROR(Model!AB324/Model!X324-1,"NA")</f>
        <v>0.14229249011857692</v>
      </c>
      <c r="AC324" s="1381">
        <f>IFERROR(Model!AC324/Model!Y324-1,"NA")</f>
        <v>4.9964028776978475E-2</v>
      </c>
      <c r="AD324" s="1381">
        <f>IFERROR(Model!AD324/Model!Z324-1,"NA")</f>
        <v>2.3642013888888869E-2</v>
      </c>
      <c r="AE324" s="1381">
        <f>IFERROR(Model!AE324/Model!AA324-1,"NA")</f>
        <v>7.1068305755395578E-2</v>
      </c>
      <c r="AF324" s="1381">
        <f>IFERROR(Model!AF324/Model!AB324-1,"NA")</f>
        <v>4.0604010000000024E-2</v>
      </c>
      <c r="AG324" s="1381">
        <f>IFERROR(Model!AG324/Model!AC324-1,"NA")</f>
        <v>4.0604010000000024E-2</v>
      </c>
      <c r="AH324" s="1381">
        <f>IFERROR(Model!AH324/Model!AD324-1,"NA")</f>
        <v>4.0604010000000024E-2</v>
      </c>
      <c r="AI324" s="1381">
        <f>IFERROR(Model!AI324/Model!AE324-1,"NA")</f>
        <v>4.0604010000000024E-2</v>
      </c>
      <c r="AJ324" s="1381"/>
      <c r="AK324" s="1381"/>
      <c r="AL324" s="1381"/>
      <c r="AM324" s="1381"/>
      <c r="AN324" s="1381"/>
      <c r="AO324" s="1381"/>
      <c r="AP324" s="1381"/>
      <c r="AQ324" s="1381"/>
      <c r="AR324" s="1236"/>
      <c r="AS324" s="1284"/>
      <c r="AT324" s="1410"/>
      <c r="AU324" s="1236"/>
      <c r="AV324" s="1236">
        <f>IFERROR(Model!AV324/Model!AU324-1,"NA")</f>
        <v>4.0925266903914626E-2</v>
      </c>
      <c r="AW324" s="1236">
        <f>IFERROR(Model!AW324/Model!AV324-1,"NA")</f>
        <v>1.2820512820512775E-2</v>
      </c>
      <c r="AX324" s="1236">
        <f>IFERROR(Model!AX324/Model!AW324-1,"NA")</f>
        <v>-9.7890295358649793E-2</v>
      </c>
      <c r="AY324" s="1236">
        <f>IFERROR(Model!AY324/Model!AX324-1,"NA")</f>
        <v>-3.7418147801683843E-2</v>
      </c>
      <c r="AZ324" s="1236">
        <f>IFERROR(Model!AZ324/Model!AY324-1,"NA")</f>
        <v>6.608357628765793E-2</v>
      </c>
      <c r="BA324" s="1236">
        <f>IFERROR(Model!BA324/Model!AZ324-1,"NA")</f>
        <v>6.9695432087511389E-2</v>
      </c>
      <c r="BB324" s="1381">
        <f>IFERROR(Model!BB324/Model!BA324-1,"NA")</f>
        <v>4.0604010000000024E-2</v>
      </c>
      <c r="BC324" s="1381">
        <f>IFERROR(Model!BC324/Model!BB324-1,"NA")</f>
        <v>4.0000000000000036E-2</v>
      </c>
      <c r="BD324" s="1381">
        <f>IFERROR(Model!BD324/Model!BC324-1,"NA")</f>
        <v>4.0000000000000036E-2</v>
      </c>
      <c r="BE324" s="1381">
        <f>IFERROR(Model!BE324/Model!BD324-1,"NA")</f>
        <v>4.0000000000000036E-2</v>
      </c>
    </row>
    <row r="325" spans="1:57" s="369" customFormat="1" x14ac:dyDescent="0.2">
      <c r="A325" s="411"/>
      <c r="B325" s="321"/>
      <c r="C325" s="334" t="s">
        <v>70</v>
      </c>
      <c r="D325" s="1240"/>
      <c r="E325" s="1240"/>
      <c r="F325" s="1240"/>
      <c r="G325" s="1240"/>
      <c r="H325" s="1240">
        <f>IFERROR(Model!H325/Model!D325-1,"NA")</f>
        <v>0.1649484536082475</v>
      </c>
      <c r="I325" s="1240">
        <f>IFERROR(Model!I325/Model!E325-1,"NA")</f>
        <v>0.21052631578947367</v>
      </c>
      <c r="J325" s="1240">
        <f>IFERROR(Model!J325/Model!F325-1,"NA")</f>
        <v>0.11330049261083741</v>
      </c>
      <c r="K325" s="1240">
        <f>IFERROR(Model!K325/Model!G325-1,"NA")</f>
        <v>8.4507042253521236E-2</v>
      </c>
      <c r="L325" s="1240">
        <f>IFERROR(Model!L325/Model!H325-1,"NA")</f>
        <v>1.327433628318575E-2</v>
      </c>
      <c r="M325" s="1240">
        <f>IFERROR(Model!M325/Model!I325-1,"NA")</f>
        <v>1.7391304347825987E-2</v>
      </c>
      <c r="N325" s="1240">
        <f>IFERROR(Model!N325/Model!J325-1,"NA")</f>
        <v>1.7699115044247815E-2</v>
      </c>
      <c r="O325" s="1240">
        <f>IFERROR(Model!O325/Model!K325-1,"NA")</f>
        <v>-4.3290043290043267E-2</v>
      </c>
      <c r="P325" s="1240">
        <f>IFERROR(Model!P325/Model!L325-1,"NA")</f>
        <v>-9.1703056768558833E-2</v>
      </c>
      <c r="Q325" s="1240">
        <f>IFERROR(Model!Q325/Model!M325-1,"NA")</f>
        <v>-0.11111111111111105</v>
      </c>
      <c r="R325" s="1240">
        <f>IFERROR(Model!R325/Model!N325-1,"NA")</f>
        <v>-0.13913043478260867</v>
      </c>
      <c r="S325" s="1240">
        <f>IFERROR(Model!S325/Model!O325-1,"NA")</f>
        <v>-9.5022624434389247E-2</v>
      </c>
      <c r="T325" s="1240">
        <f>IFERROR(Model!T325/Model!P325-1,"NA")</f>
        <v>-7.6923076923076983E-2</v>
      </c>
      <c r="U325" s="1240">
        <f>IFERROR(Model!U325/Model!Q325-1,"NA")</f>
        <v>-7.6923076923076983E-2</v>
      </c>
      <c r="V325" s="1240">
        <f>IFERROR(Model!V325/Model!R325-1,"NA")</f>
        <v>-3.5353535353535359E-2</v>
      </c>
      <c r="W325" s="1240">
        <f>IFERROR(Model!W325/Model!S325-1,"NA")</f>
        <v>-7.4999999999999956E-2</v>
      </c>
      <c r="X325" s="1240">
        <f>IFERROR(Model!X325/Model!T325-1,"NA")</f>
        <v>-4.6874999999999889E-2</v>
      </c>
      <c r="Y325" s="1240">
        <f>IFERROR(Model!Y325/Model!U325-1,"NA")</f>
        <v>5.2083333333333259E-2</v>
      </c>
      <c r="Z325" s="1240">
        <f>IFERROR(Model!Z325/Model!V325-1,"NA")</f>
        <v>0.10994764397905743</v>
      </c>
      <c r="AA325" s="1240">
        <f>IFERROR(Model!AA325/Model!W325-1,"NA")</f>
        <v>9.7297297297297414E-2</v>
      </c>
      <c r="AB325" s="1240">
        <f>IFERROR(Model!AB325/Model!X325-1,"NA")</f>
        <v>0.13114754098360648</v>
      </c>
      <c r="AC325" s="1381">
        <f>IFERROR(Model!AC325/Model!Y325-1,"NA")</f>
        <v>3.5000000000000142E-2</v>
      </c>
      <c r="AD325" s="1381">
        <f>IFERROR(Model!AD325/Model!Z325-1,"NA")</f>
        <v>9.7193396226424866E-4</v>
      </c>
      <c r="AE325" s="1381">
        <f>IFERROR(Model!AE325/Model!AA325-1,"NA")</f>
        <v>6.625700000000001E-2</v>
      </c>
      <c r="AF325" s="1381">
        <f>IFERROR(Model!AF325/Model!AB325-1,"NA")</f>
        <v>3.5196470000000035E-2</v>
      </c>
      <c r="AG325" s="1381">
        <f>IFERROR(Model!AG325/Model!AC325-1,"NA")</f>
        <v>3.5196469999999813E-2</v>
      </c>
      <c r="AH325" s="1381">
        <f>IFERROR(Model!AH325/Model!AD325-1,"NA")</f>
        <v>3.5196469999999813E-2</v>
      </c>
      <c r="AI325" s="1381">
        <f>IFERROR(Model!AI325/Model!AE325-1,"NA")</f>
        <v>3.5196469999999813E-2</v>
      </c>
      <c r="AJ325" s="1381"/>
      <c r="AK325" s="1381"/>
      <c r="AL325" s="1381"/>
      <c r="AM325" s="1381"/>
      <c r="AN325" s="1381"/>
      <c r="AO325" s="1381"/>
      <c r="AP325" s="1381"/>
      <c r="AQ325" s="1381"/>
      <c r="AR325" s="1236"/>
      <c r="AS325" s="1284"/>
      <c r="AT325" s="1410"/>
      <c r="AU325" s="1236"/>
      <c r="AV325" s="1236">
        <f>IFERROR(Model!AV325/Model!AU325-1,"NA")</f>
        <v>0.1412500000000001</v>
      </c>
      <c r="AW325" s="1236">
        <f>IFERROR(Model!AW325/Model!AV325-1,"NA")</f>
        <v>1.0952902519167917E-3</v>
      </c>
      <c r="AX325" s="1236">
        <f>IFERROR(Model!AX325/Model!AW325-1,"NA")</f>
        <v>-0.10940919037199126</v>
      </c>
      <c r="AY325" s="1236">
        <f>IFERROR(Model!AY325/Model!AX325-1,"NA")</f>
        <v>-6.6339066339066388E-2</v>
      </c>
      <c r="AZ325" s="1236">
        <f>IFERROR(Model!AZ325/Model!AY325-1,"NA")</f>
        <v>5.2631578947368363E-2</v>
      </c>
      <c r="BA325" s="1236">
        <f>IFERROR(Model!BA325/Model!AZ325-1,"NA")</f>
        <v>5.5907776249999985E-2</v>
      </c>
      <c r="BB325" s="1381">
        <f>IFERROR(Model!BB325/Model!BA325-1,"NA")</f>
        <v>3.5196469999999813E-2</v>
      </c>
      <c r="BC325" s="1381">
        <f>IFERROR(Model!BC325/Model!BB325-1,"NA")</f>
        <v>4.0000000000000036E-2</v>
      </c>
      <c r="BD325" s="1381">
        <f>IFERROR(Model!BD325/Model!BC325-1,"NA")</f>
        <v>4.0000000000000036E-2</v>
      </c>
      <c r="BE325" s="1381">
        <f>IFERROR(Model!BE325/Model!BD325-1,"NA")</f>
        <v>4.0000000000000036E-2</v>
      </c>
    </row>
    <row r="326" spans="1:57" s="369" customFormat="1" x14ac:dyDescent="0.2">
      <c r="A326" s="411"/>
      <c r="B326" s="334"/>
      <c r="C326" s="321"/>
      <c r="D326" s="1260"/>
      <c r="E326" s="1260"/>
      <c r="F326" s="1260"/>
      <c r="G326" s="1260"/>
      <c r="H326" s="1260"/>
      <c r="I326" s="1260"/>
      <c r="J326" s="1260"/>
      <c r="K326" s="1260"/>
      <c r="L326" s="1260"/>
      <c r="M326" s="1260"/>
      <c r="N326" s="1260"/>
      <c r="O326" s="1260"/>
      <c r="P326" s="1260"/>
      <c r="Q326" s="1260"/>
      <c r="R326" s="1260"/>
      <c r="S326" s="1260"/>
      <c r="T326" s="1260"/>
      <c r="U326" s="1260"/>
      <c r="V326" s="1260"/>
      <c r="W326" s="1260"/>
      <c r="X326" s="1260"/>
      <c r="Y326" s="1260"/>
      <c r="Z326" s="1260"/>
      <c r="AA326" s="1260"/>
      <c r="AB326" s="1260"/>
      <c r="AC326" s="1434"/>
      <c r="AD326" s="1434"/>
      <c r="AE326" s="1434"/>
      <c r="AF326" s="1434"/>
      <c r="AG326" s="1434"/>
      <c r="AH326" s="1434"/>
      <c r="AI326" s="1434"/>
      <c r="AJ326" s="1434"/>
      <c r="AK326" s="1434"/>
      <c r="AL326" s="1434"/>
      <c r="AM326" s="1434"/>
      <c r="AN326" s="1434"/>
      <c r="AO326" s="1434"/>
      <c r="AP326" s="1434"/>
      <c r="AQ326" s="1434"/>
      <c r="AR326" s="1236"/>
      <c r="AS326" s="1410"/>
      <c r="AT326" s="1284"/>
      <c r="AU326" s="1236"/>
      <c r="AV326" s="1236"/>
      <c r="AW326" s="1236"/>
      <c r="AX326" s="1236"/>
      <c r="AY326" s="1236"/>
      <c r="AZ326" s="1236"/>
      <c r="BA326" s="1236"/>
      <c r="BB326" s="1434"/>
      <c r="BC326" s="1434"/>
      <c r="BD326" s="1434"/>
      <c r="BE326" s="1434"/>
    </row>
    <row r="327" spans="1:57" s="369" customFormat="1" x14ac:dyDescent="0.2">
      <c r="A327" s="411"/>
      <c r="B327" s="334" t="s">
        <v>499</v>
      </c>
      <c r="C327" s="321"/>
      <c r="D327" s="1240"/>
      <c r="E327" s="1240"/>
      <c r="F327" s="1240"/>
      <c r="G327" s="1240"/>
      <c r="H327" s="1240">
        <f>IFERROR(Model!H327/Model!D327-1,"NA")</f>
        <v>0.15254237288135575</v>
      </c>
      <c r="I327" s="1240">
        <f>IFERROR(Model!I327/Model!E327-1,"NA")</f>
        <v>0.22807017543859653</v>
      </c>
      <c r="J327" s="1240">
        <f>IFERROR(Model!J327/Model!F327-1,"NA")</f>
        <v>0.14754098360655754</v>
      </c>
      <c r="K327" s="1240">
        <f>IFERROR(Model!K327/Model!G327-1,"NA")</f>
        <v>0.15625</v>
      </c>
      <c r="L327" s="1240">
        <f>IFERROR(Model!L327/Model!H327-1,"NA")</f>
        <v>5.8823529411764719E-2</v>
      </c>
      <c r="M327" s="1240">
        <f>IFERROR(Model!M327/Model!I327-1,"NA")</f>
        <v>5.7142857142857162E-2</v>
      </c>
      <c r="N327" s="1240">
        <f>IFERROR(Model!N327/Model!J327-1,"NA")</f>
        <v>4.2857142857142927E-2</v>
      </c>
      <c r="O327" s="1240">
        <f>IFERROR(Model!O327/Model!K327-1,"NA")</f>
        <v>-4.0540540540540682E-2</v>
      </c>
      <c r="P327" s="1240">
        <f>IFERROR(Model!P327/Model!L327-1,"NA")</f>
        <v>-0.11111111111111105</v>
      </c>
      <c r="Q327" s="1240">
        <f>IFERROR(Model!Q327/Model!M327-1,"NA")</f>
        <v>-0.17567567567567577</v>
      </c>
      <c r="R327" s="1240">
        <f>IFERROR(Model!R327/Model!N327-1,"NA")</f>
        <v>-0.23287671232876717</v>
      </c>
      <c r="S327" s="1240">
        <f>IFERROR(Model!S327/Model!O327-1,"NA")</f>
        <v>-0.22535211267605626</v>
      </c>
      <c r="T327" s="1240">
        <f>IFERROR(Model!T327/Model!P327-1,"NA")</f>
        <v>-0.1875</v>
      </c>
      <c r="U327" s="1240">
        <f>IFERROR(Model!U327/Model!Q327-1,"NA")</f>
        <v>-0.16393442622950816</v>
      </c>
      <c r="V327" s="1240">
        <f>IFERROR(Model!V327/Model!R327-1,"NA")</f>
        <v>-8.9285714285714302E-2</v>
      </c>
      <c r="W327" s="1240">
        <f>IFERROR(Model!W327/Model!S327-1,"NA")</f>
        <v>-9.0909090909090939E-2</v>
      </c>
      <c r="X327" s="1240">
        <f>IFERROR(Model!X327/Model!T327-1,"NA")</f>
        <v>-7.6923076923076983E-2</v>
      </c>
      <c r="Y327" s="1240">
        <f>IFERROR(Model!Y327/Model!U327-1,"NA")</f>
        <v>3.9215686274509887E-2</v>
      </c>
      <c r="Z327" s="1240">
        <f>IFERROR(Model!Z327/Model!V327-1,"NA")</f>
        <v>9.8039215686274606E-2</v>
      </c>
      <c r="AA327" s="1240">
        <f>IFERROR(Model!AA327/Model!W327-1,"NA")</f>
        <v>8.0000000000000071E-2</v>
      </c>
      <c r="AB327" s="1240">
        <f>IFERROR(Model!AB327/Model!X327-1,"NA")</f>
        <v>0.16666666666666674</v>
      </c>
      <c r="AC327" s="1381">
        <f>IFERROR(Model!AC327/Model!Y327-1,"NA")</f>
        <v>3.5471698113207495E-2</v>
      </c>
      <c r="AD327" s="1381">
        <f>IFERROR(Model!AD327/Model!Z327-1,"NA")</f>
        <v>4.4999999999997264E-3</v>
      </c>
      <c r="AE327" s="1381">
        <f>IFERROR(Model!AE327/Model!AA327-1,"NA")</f>
        <v>7.8163333333332918E-2</v>
      </c>
      <c r="AF327" s="1381">
        <f>IFERROR(Model!AF327/Model!AB327-1,"NA")</f>
        <v>1.8864349999999863E-2</v>
      </c>
      <c r="AG327" s="1381">
        <f>IFERROR(Model!AG327/Model!AC327-1,"NA")</f>
        <v>6.0450649999999717E-2</v>
      </c>
      <c r="AH327" s="1381">
        <f>IFERROR(Model!AH327/Model!AD327-1,"NA")</f>
        <v>5.010479000000001E-2</v>
      </c>
      <c r="AI327" s="1381">
        <f>IFERROR(Model!AI327/Model!AE327-1,"NA")</f>
        <v>5.0104789999999788E-2</v>
      </c>
      <c r="AJ327" s="1381"/>
      <c r="AK327" s="1381"/>
      <c r="AL327" s="1381"/>
      <c r="AM327" s="1381"/>
      <c r="AN327" s="1381"/>
      <c r="AO327" s="1381"/>
      <c r="AP327" s="1381"/>
      <c r="AQ327" s="1381"/>
      <c r="AR327" s="1236"/>
      <c r="AS327" s="1410"/>
      <c r="AT327" s="1284"/>
      <c r="AU327" s="1236"/>
      <c r="AV327" s="1236">
        <f>IFERROR(Model!AV327/Model!AU327-1,"NA")</f>
        <v>0.17012448132780089</v>
      </c>
      <c r="AW327" s="1236">
        <f>IFERROR(Model!AW327/Model!AV327-1,"NA")</f>
        <v>2.8368794326240954E-2</v>
      </c>
      <c r="AX327" s="1236">
        <f>IFERROR(Model!AX327/Model!AW327-1,"NA")</f>
        <v>-0.18620689655172407</v>
      </c>
      <c r="AY327" s="1236">
        <f>IFERROR(Model!AY327/Model!AX327-1,"NA")</f>
        <v>-0.13559322033898313</v>
      </c>
      <c r="AZ327" s="1236">
        <f>IFERROR(Model!AZ327/Model!AY327-1,"NA")</f>
        <v>3.4313725490196179E-2</v>
      </c>
      <c r="BA327" s="1236">
        <f>IFERROR(Model!BA327/Model!AZ327-1,"NA")</f>
        <v>6.8022843601895477E-2</v>
      </c>
      <c r="BB327" s="1381">
        <f>IFERROR(Model!BB327/Model!BA327-1,"NA")</f>
        <v>4.4861084404480778E-2</v>
      </c>
      <c r="BC327" s="1381">
        <f>IFERROR(Model!BC327/Model!BB327-1,"NA")</f>
        <v>5.0000000000000044E-2</v>
      </c>
      <c r="BD327" s="1381">
        <f>IFERROR(Model!BD327/Model!BC327-1,"NA")</f>
        <v>5.0000000000000044E-2</v>
      </c>
      <c r="BE327" s="1381">
        <f>IFERROR(Model!BE327/Model!BD327-1,"NA")</f>
        <v>5.0000000000000044E-2</v>
      </c>
    </row>
    <row r="328" spans="1:57" s="369" customFormat="1" x14ac:dyDescent="0.2">
      <c r="A328" s="411"/>
      <c r="B328" s="334"/>
      <c r="C328" s="321"/>
      <c r="D328" s="1240"/>
      <c r="E328" s="1240"/>
      <c r="F328" s="1240"/>
      <c r="G328" s="1240"/>
      <c r="H328" s="1240"/>
      <c r="I328" s="1240"/>
      <c r="J328" s="1240"/>
      <c r="K328" s="1240"/>
      <c r="L328" s="1240"/>
      <c r="M328" s="1240"/>
      <c r="N328" s="1240"/>
      <c r="O328" s="1240"/>
      <c r="P328" s="1240"/>
      <c r="Q328" s="1240"/>
      <c r="R328" s="1240"/>
      <c r="S328" s="1240"/>
      <c r="T328" s="1240"/>
      <c r="U328" s="1240"/>
      <c r="V328" s="1240"/>
      <c r="W328" s="1240"/>
      <c r="X328" s="1240"/>
      <c r="Y328" s="1240"/>
      <c r="Z328" s="1240"/>
      <c r="AA328" s="1240"/>
      <c r="AB328" s="1240"/>
      <c r="AC328" s="1435"/>
      <c r="AD328" s="1435"/>
      <c r="AE328" s="1435"/>
      <c r="AF328" s="1435"/>
      <c r="AG328" s="1435"/>
      <c r="AH328" s="1435"/>
      <c r="AI328" s="1435"/>
      <c r="AJ328" s="1435"/>
      <c r="AK328" s="1435"/>
      <c r="AL328" s="1435"/>
      <c r="AM328" s="1435"/>
      <c r="AN328" s="1435"/>
      <c r="AO328" s="1435"/>
      <c r="AP328" s="1435"/>
      <c r="AQ328" s="1435"/>
      <c r="AR328" s="1236"/>
      <c r="AS328" s="1410"/>
      <c r="AT328" s="1284"/>
      <c r="AU328" s="1236"/>
      <c r="AV328" s="1236"/>
      <c r="AW328" s="1236"/>
      <c r="AX328" s="1236"/>
      <c r="AY328" s="1236"/>
      <c r="AZ328" s="1236"/>
      <c r="BA328" s="1236"/>
      <c r="BB328" s="1435"/>
      <c r="BC328" s="1435"/>
      <c r="BD328" s="1435"/>
      <c r="BE328" s="1435"/>
    </row>
    <row r="329" spans="1:57" s="369" customFormat="1" x14ac:dyDescent="0.2">
      <c r="A329" s="411"/>
      <c r="B329" s="334" t="s">
        <v>179</v>
      </c>
      <c r="C329" s="321"/>
      <c r="D329" s="1284"/>
      <c r="E329" s="1284"/>
      <c r="F329" s="1284"/>
      <c r="G329" s="1284"/>
      <c r="H329" s="1284">
        <f>IFERROR(Model!H329/Model!D329-1,"NA")</f>
        <v>0.16205533596837962</v>
      </c>
      <c r="I329" s="1284">
        <f>IFERROR(Model!I329/Model!E329-1,"NA")</f>
        <v>0.21457489878542524</v>
      </c>
      <c r="J329" s="1284">
        <f>IFERROR(Model!J329/Model!F329-1,"NA")</f>
        <v>0.12121212121212133</v>
      </c>
      <c r="K329" s="1284">
        <f>IFERROR(Model!K329/Model!G329-1,"NA")</f>
        <v>0.10108303249097461</v>
      </c>
      <c r="L329" s="1284">
        <f>IFERROR(Model!L329/Model!H329-1,"NA")</f>
        <v>2.3809523809523725E-2</v>
      </c>
      <c r="M329" s="1284">
        <f>IFERROR(Model!M329/Model!I329-1,"NA")</f>
        <v>2.6666666666666616E-2</v>
      </c>
      <c r="N329" s="1284">
        <f>IFERROR(Model!N329/Model!J329-1,"NA")</f>
        <v>2.3648648648648685E-2</v>
      </c>
      <c r="O329" s="1284">
        <f>IFERROR(Model!O329/Model!K329-1,"NA")</f>
        <v>-4.2622950819672045E-2</v>
      </c>
      <c r="P329" s="1284">
        <f>IFERROR(Model!P329/Model!L329-1,"NA")</f>
        <v>-9.6345514950165967E-2</v>
      </c>
      <c r="Q329" s="1284">
        <f>IFERROR(Model!Q329/Model!M329-1,"NA")</f>
        <v>-0.12662337662337664</v>
      </c>
      <c r="R329" s="1284">
        <f>IFERROR(Model!R329/Model!N329-1,"NA")</f>
        <v>-0.16171617161716179</v>
      </c>
      <c r="S329" s="1284">
        <f>IFERROR(Model!S329/Model!O329-1,"NA")</f>
        <v>-0.12671232876712335</v>
      </c>
      <c r="T329" s="1284">
        <f>IFERROR(Model!T329/Model!P329-1,"NA")</f>
        <v>-0.10294117647058842</v>
      </c>
      <c r="U329" s="1284">
        <f>IFERROR(Model!U329/Model!Q329-1,"NA")</f>
        <v>-9.6654275092936892E-2</v>
      </c>
      <c r="V329" s="1284">
        <f>IFERROR(Model!V329/Model!R329-1,"NA")</f>
        <v>-4.7244094488188781E-2</v>
      </c>
      <c r="W329" s="1284">
        <f>IFERROR(Model!W329/Model!S329-1,"NA")</f>
        <v>-7.8431372549019662E-2</v>
      </c>
      <c r="X329" s="1284">
        <f>IFERROR(Model!X329/Model!T329-1,"NA")</f>
        <v>-5.3278688524590057E-2</v>
      </c>
      <c r="Y329" s="1284">
        <f>IFERROR(Model!Y329/Model!U329-1,"NA")</f>
        <v>4.9382716049382935E-2</v>
      </c>
      <c r="Z329" s="1284">
        <f>IFERROR(Model!Z329/Model!V329-1,"NA")</f>
        <v>0.10743801652892526</v>
      </c>
      <c r="AA329" s="1284">
        <f>IFERROR(Model!AA329/Model!W329-1,"NA")</f>
        <v>9.361702127659588E-2</v>
      </c>
      <c r="AB329" s="1284">
        <f>IFERROR(Model!AB329/Model!X329-1,"NA")</f>
        <v>0.13852813852813828</v>
      </c>
      <c r="AC329" s="1284">
        <f>IFERROR(Model!AC329/Model!Y329-1,"NA")</f>
        <v>3.5098039215686327E-2</v>
      </c>
      <c r="AD329" s="1284">
        <f>IFERROR(Model!AD329/Model!Z329-1,"NA")</f>
        <v>1.7091417910448659E-3</v>
      </c>
      <c r="AE329" s="1284">
        <f>IFERROR(Model!AE329/Model!AA329-1,"NA")</f>
        <v>6.8758719844357774E-2</v>
      </c>
      <c r="AF329" s="1284">
        <f>IFERROR(Model!AF329/Model!AB329-1,"NA")</f>
        <v>3.1718908326996198E-2</v>
      </c>
      <c r="AG329" s="1284">
        <f>IFERROR(Model!AG329/Model!AC329-1,"NA")</f>
        <v>4.0447272797499378E-2</v>
      </c>
      <c r="AH329" s="1284">
        <f>IFERROR(Model!AH329/Model!AD329-1,"NA")</f>
        <v>3.8320320510871086E-2</v>
      </c>
      <c r="AI329" s="1284">
        <f>IFERROR(Model!AI329/Model!AE329-1,"NA")</f>
        <v>3.835652200280637E-2</v>
      </c>
      <c r="AJ329" s="1284"/>
      <c r="AK329" s="1284"/>
      <c r="AL329" s="1284"/>
      <c r="AM329" s="1284"/>
      <c r="AN329" s="1284"/>
      <c r="AO329" s="1284"/>
      <c r="AP329" s="1284"/>
      <c r="AQ329" s="1284"/>
      <c r="AR329" s="1236"/>
      <c r="AS329" s="1410"/>
      <c r="AT329" s="1284"/>
      <c r="AU329" s="1236"/>
      <c r="AV329" s="1236">
        <f>IFERROR(Model!AV329/Model!AU329-1,"NA")</f>
        <v>0.14793467819404404</v>
      </c>
      <c r="AW329" s="1236">
        <f>IFERROR(Model!AW329/Model!AV329-1,"NA")</f>
        <v>7.5313807531380839E-3</v>
      </c>
      <c r="AX329" s="1236">
        <f>IFERROR(Model!AX329/Model!AW329-1,"NA")</f>
        <v>-0.12790697674418594</v>
      </c>
      <c r="AY329" s="1236">
        <f>IFERROR(Model!AY329/Model!AX329-1,"NA")</f>
        <v>-8.1904761904761814E-2</v>
      </c>
      <c r="AZ329" s="1236">
        <f>IFERROR(Model!AZ329/Model!AY329-1,"NA")</f>
        <v>4.875518672199175E-2</v>
      </c>
      <c r="BA329" s="1236">
        <f>IFERROR(Model!BA329/Model!AZ329-1,"NA")</f>
        <v>5.8436242334322319E-2</v>
      </c>
      <c r="BB329" s="1284">
        <f>IFERROR(Model!BB329/Model!BA329-1,"NA")</f>
        <v>3.7231785174687504E-2</v>
      </c>
      <c r="BC329" s="1284">
        <f>IFERROR(Model!BC329/Model!BB329-1,"NA")</f>
        <v>4.212143571750282E-2</v>
      </c>
      <c r="BD329" s="1284">
        <f>IFERROR(Model!BD329/Model!BC329-1,"NA")</f>
        <v>4.2137474028489219E-2</v>
      </c>
      <c r="BE329" s="1284">
        <f>IFERROR(Model!BE329/Model!BD329-1,"NA")</f>
        <v>4.215360044701022E-2</v>
      </c>
    </row>
    <row r="330" spans="1:57" s="369" customFormat="1" x14ac:dyDescent="0.2">
      <c r="A330" s="411"/>
      <c r="B330" s="321"/>
      <c r="C330" s="334"/>
      <c r="D330" s="1311"/>
      <c r="E330" s="1311"/>
      <c r="F330" s="1311"/>
      <c r="G330" s="1311"/>
      <c r="H330" s="1311"/>
      <c r="I330" s="1311"/>
      <c r="J330" s="1311"/>
      <c r="K330" s="1311"/>
      <c r="L330" s="1311"/>
      <c r="M330" s="1311"/>
      <c r="N330" s="1311"/>
      <c r="O330" s="1311"/>
      <c r="P330" s="1311"/>
      <c r="Q330" s="1311"/>
      <c r="R330" s="1311"/>
      <c r="S330" s="1311"/>
      <c r="T330" s="1311"/>
      <c r="U330" s="1311"/>
      <c r="V330" s="1311"/>
      <c r="W330" s="1311"/>
      <c r="X330" s="1284"/>
      <c r="Y330" s="1284"/>
      <c r="Z330" s="1284"/>
      <c r="AA330" s="1284"/>
      <c r="AB330" s="1284"/>
      <c r="AC330" s="1284"/>
      <c r="AD330" s="1284"/>
      <c r="AE330" s="1284"/>
      <c r="AF330" s="1284"/>
      <c r="AG330" s="1284"/>
      <c r="AH330" s="1284"/>
      <c r="AI330" s="1284"/>
      <c r="AJ330" s="1284"/>
      <c r="AK330" s="1284"/>
      <c r="AL330" s="1284"/>
      <c r="AM330" s="1284"/>
      <c r="AN330" s="1284"/>
      <c r="AO330" s="1284"/>
      <c r="AP330" s="1284"/>
      <c r="AQ330" s="1284"/>
      <c r="AR330" s="1236"/>
      <c r="AS330" s="1284"/>
      <c r="AT330" s="1410"/>
      <c r="AU330" s="1263"/>
      <c r="AV330" s="1263"/>
      <c r="AW330" s="1263"/>
      <c r="AX330" s="1263"/>
      <c r="AY330" s="1263"/>
      <c r="AZ330" s="1263"/>
      <c r="BA330" s="1263"/>
      <c r="BB330" s="1263"/>
      <c r="BC330" s="1263"/>
      <c r="BD330" s="1263"/>
      <c r="BE330" s="1263"/>
    </row>
    <row r="331" spans="1:57" s="369" customFormat="1" x14ac:dyDescent="0.2">
      <c r="A331" s="411"/>
      <c r="B331" s="337" t="s">
        <v>212</v>
      </c>
      <c r="C331" s="366"/>
      <c r="D331" s="1264"/>
      <c r="E331" s="1264"/>
      <c r="F331" s="1264"/>
      <c r="G331" s="1264"/>
      <c r="H331" s="1264"/>
      <c r="I331" s="1264"/>
      <c r="J331" s="1264"/>
      <c r="K331" s="1264"/>
      <c r="L331" s="1264"/>
      <c r="M331" s="1264"/>
      <c r="N331" s="1264"/>
      <c r="O331" s="1264"/>
      <c r="P331" s="1264"/>
      <c r="Q331" s="1264"/>
      <c r="R331" s="1264"/>
      <c r="S331" s="1264"/>
      <c r="T331" s="1264"/>
      <c r="U331" s="1264"/>
      <c r="V331" s="1264"/>
      <c r="W331" s="1264"/>
      <c r="X331" s="1417"/>
      <c r="Y331" s="1417"/>
      <c r="Z331" s="1417"/>
      <c r="AA331" s="1417"/>
      <c r="AB331" s="1417"/>
      <c r="AC331" s="1417"/>
      <c r="AD331" s="1417"/>
      <c r="AE331" s="1417"/>
      <c r="AF331" s="1417"/>
      <c r="AG331" s="1417"/>
      <c r="AH331" s="1417"/>
      <c r="AI331" s="1417"/>
      <c r="AJ331" s="1417"/>
      <c r="AK331" s="1417"/>
      <c r="AL331" s="1417"/>
      <c r="AM331" s="1417"/>
      <c r="AN331" s="1417"/>
      <c r="AO331" s="1417"/>
      <c r="AP331" s="1417"/>
      <c r="AQ331" s="1417"/>
      <c r="AR331" s="1236"/>
      <c r="AS331" s="1418"/>
      <c r="AT331" s="1419"/>
      <c r="AU331" s="1398"/>
      <c r="AV331" s="1398"/>
      <c r="AW331" s="1398"/>
      <c r="AX331" s="1398"/>
      <c r="AY331" s="1398"/>
      <c r="AZ331" s="1398"/>
      <c r="BA331" s="1398"/>
      <c r="BB331" s="1398"/>
      <c r="BC331" s="1398"/>
      <c r="BD331" s="1398"/>
      <c r="BE331" s="1398"/>
    </row>
    <row r="332" spans="1:57" s="369" customFormat="1" x14ac:dyDescent="0.2">
      <c r="A332" s="411"/>
      <c r="B332" s="450" t="s">
        <v>501</v>
      </c>
      <c r="C332" s="321"/>
      <c r="D332" s="1311"/>
      <c r="E332" s="1311"/>
      <c r="F332" s="1311"/>
      <c r="G332" s="1311"/>
      <c r="H332" s="1311"/>
      <c r="I332" s="1311"/>
      <c r="J332" s="1311"/>
      <c r="K332" s="1311"/>
      <c r="L332" s="1311"/>
      <c r="M332" s="1311"/>
      <c r="N332" s="1311"/>
      <c r="O332" s="1311"/>
      <c r="P332" s="1311"/>
      <c r="Q332" s="1311"/>
      <c r="R332" s="1311"/>
      <c r="S332" s="1311"/>
      <c r="T332" s="1311"/>
      <c r="U332" s="1311"/>
      <c r="V332" s="1311"/>
      <c r="W332" s="1311"/>
      <c r="X332" s="1284"/>
      <c r="Y332" s="1284"/>
      <c r="Z332" s="1284"/>
      <c r="AA332" s="1284"/>
      <c r="AB332" s="1284"/>
      <c r="AC332" s="1284"/>
      <c r="AD332" s="1284"/>
      <c r="AE332" s="1284"/>
      <c r="AF332" s="1284"/>
      <c r="AG332" s="1284"/>
      <c r="AH332" s="1284"/>
      <c r="AI332" s="1284"/>
      <c r="AJ332" s="1284"/>
      <c r="AK332" s="1284"/>
      <c r="AL332" s="1284"/>
      <c r="AM332" s="1284"/>
      <c r="AN332" s="1284"/>
      <c r="AO332" s="1284"/>
      <c r="AP332" s="1284"/>
      <c r="AQ332" s="1284"/>
      <c r="AR332" s="1236"/>
      <c r="AS332" s="1413"/>
      <c r="AT332" s="1284"/>
      <c r="AU332" s="1263"/>
      <c r="AV332" s="1263"/>
      <c r="AW332" s="1263"/>
      <c r="AX332" s="1263"/>
      <c r="AY332" s="1263"/>
      <c r="AZ332" s="1263"/>
      <c r="BA332" s="1263"/>
      <c r="BB332" s="1263"/>
      <c r="BC332" s="1263"/>
      <c r="BD332" s="1263"/>
      <c r="BE332" s="1263"/>
    </row>
    <row r="333" spans="1:57" s="369" customFormat="1" x14ac:dyDescent="0.2">
      <c r="A333" s="411"/>
      <c r="B333" s="321" t="s">
        <v>1298</v>
      </c>
      <c r="C333" s="321"/>
      <c r="D333" s="1240"/>
      <c r="E333" s="1240"/>
      <c r="F333" s="1240"/>
      <c r="G333" s="1240"/>
      <c r="H333" s="1240">
        <f>IFERROR(Model!H333/Model!D333-1,"NA")</f>
        <v>0.16666666666666674</v>
      </c>
      <c r="I333" s="1240">
        <f>IFERROR(Model!I333/Model!E333-1,"NA")</f>
        <v>0.17021276595744683</v>
      </c>
      <c r="J333" s="1240">
        <f>IFERROR(Model!J333/Model!F333-1,"NA")</f>
        <v>4.0000000000000036E-2</v>
      </c>
      <c r="K333" s="1240">
        <f>IFERROR(Model!K333/Model!G333-1,"NA")</f>
        <v>7.8431372549019773E-2</v>
      </c>
      <c r="L333" s="1240">
        <f>IFERROR(Model!L333/Model!H333-1,"NA")</f>
        <v>0</v>
      </c>
      <c r="M333" s="1240">
        <f>IFERROR(Model!M333/Model!I333-1,"NA")</f>
        <v>1.8181818181818077E-2</v>
      </c>
      <c r="N333" s="1240">
        <f>IFERROR(Model!N333/Model!J333-1,"NA")</f>
        <v>1.9230769230769162E-2</v>
      </c>
      <c r="O333" s="1240">
        <f>IFERROR(Model!O333/Model!K333-1,"NA")</f>
        <v>-0.14545454545454539</v>
      </c>
      <c r="P333" s="1240">
        <f>IFERROR(Model!P333/Model!L333-1,"NA")</f>
        <v>-0.16071428571428559</v>
      </c>
      <c r="Q333" s="1240">
        <f>IFERROR(Model!Q333/Model!M333-1,"NA")</f>
        <v>-0.1964285714285714</v>
      </c>
      <c r="R333" s="1240">
        <f>IFERROR(Model!R333/Model!N333-1,"NA")</f>
        <v>-0.2264150943396227</v>
      </c>
      <c r="S333" s="1240">
        <f>IFERROR(Model!S333/Model!O333-1,"NA")</f>
        <v>-0.17021276595744683</v>
      </c>
      <c r="T333" s="1240">
        <f>IFERROR(Model!T333/Model!P333-1,"NA")</f>
        <v>-2.1276595744680993E-2</v>
      </c>
      <c r="U333" s="1240">
        <f>IFERROR(Model!U333/Model!Q333-1,"NA")</f>
        <v>-6.6666666666666652E-2</v>
      </c>
      <c r="V333" s="1240">
        <f>IFERROR(Model!V333/Model!R333-1,"NA")</f>
        <v>0</v>
      </c>
      <c r="W333" s="1240">
        <f>IFERROR(Model!W333/Model!S333-1,"NA")</f>
        <v>0</v>
      </c>
      <c r="X333" s="1240">
        <f>IFERROR(Model!X333/Model!T333-1,"NA")</f>
        <v>-4.3478260869565077E-2</v>
      </c>
      <c r="Y333" s="1240">
        <f>IFERROR(Model!Y333/Model!U333-1,"NA")</f>
        <v>9.5238095238095122E-2</v>
      </c>
      <c r="Z333" s="1240">
        <f>IFERROR(Model!Z333/Model!V333-1,"NA")</f>
        <v>0.12195121951219523</v>
      </c>
      <c r="AA333" s="1240">
        <f>IFERROR(Model!AA333/Model!W333-1,"NA")</f>
        <v>5.1282051282051322E-2</v>
      </c>
      <c r="AB333" s="1240">
        <f>IFERROR(Model!AB333/Model!X333-1,"NA")</f>
        <v>2.2727272727272707E-2</v>
      </c>
      <c r="AC333" s="1284">
        <f>IFERROR(Model!AC333/Model!Y333-1,"NA")</f>
        <v>-1.1956521739130421E-2</v>
      </c>
      <c r="AD333" s="1284">
        <f>IFERROR(Model!AD333/Model!Z333-1,"NA")</f>
        <v>2.8641304347827301E-3</v>
      </c>
      <c r="AE333" s="1284">
        <f>IFERROR(Model!AE333/Model!AA333-1,"NA")</f>
        <v>0.14766792682926844</v>
      </c>
      <c r="AF333" s="1284">
        <f>IFERROR(Model!AF333/Model!AB333-1,"NA")</f>
        <v>3.5196469999999813E-2</v>
      </c>
      <c r="AG333" s="1284">
        <f>IFERROR(Model!AG333/Model!AC333-1,"NA")</f>
        <v>3.5196469999999813E-2</v>
      </c>
      <c r="AH333" s="1284">
        <f>IFERROR(Model!AH333/Model!AD333-1,"NA")</f>
        <v>3.5196469999999813E-2</v>
      </c>
      <c r="AI333" s="1284">
        <f>IFERROR(Model!AI333/Model!AE333-1,"NA")</f>
        <v>3.5196469999999813E-2</v>
      </c>
      <c r="AJ333" s="1284"/>
      <c r="AK333" s="1284"/>
      <c r="AL333" s="1284"/>
      <c r="AM333" s="1284"/>
      <c r="AN333" s="1284"/>
      <c r="AO333" s="1284"/>
      <c r="AP333" s="1284"/>
      <c r="AQ333" s="1284"/>
      <c r="AR333" s="1236"/>
      <c r="AS333" s="1284"/>
      <c r="AT333" s="1284"/>
      <c r="AU333" s="1236"/>
      <c r="AV333" s="1236">
        <f>IFERROR(Model!AV333/Model!AU333-1,"NA")</f>
        <v>7.8431372549019773E-2</v>
      </c>
      <c r="AW333" s="1236">
        <f>IFERROR(Model!AW333/Model!AV333-1,"NA")</f>
        <v>-0.14545454545454539</v>
      </c>
      <c r="AX333" s="1236">
        <f>IFERROR(Model!AX333/Model!AW333-1,"NA")</f>
        <v>-0.17021276595744683</v>
      </c>
      <c r="AY333" s="1236">
        <f>IFERROR(Model!AY333/Model!AX333-1,"NA")</f>
        <v>0</v>
      </c>
      <c r="AZ333" s="1236">
        <f>IFERROR(Model!AZ333/Model!AY333-1,"NA")</f>
        <v>5.1282051282051322E-2</v>
      </c>
      <c r="BA333" s="1236">
        <f>IFERROR(Model!BA333/Model!AZ333-1,"NA")</f>
        <v>0.14766792682926844</v>
      </c>
      <c r="BB333" s="1284">
        <f>IFERROR(Model!BB333/Model!BA333-1,"NA")</f>
        <v>3.5196469999999813E-2</v>
      </c>
      <c r="BC333" s="1284">
        <f>IFERROR(Model!BC333/Model!BB333-1,"NA")</f>
        <v>3.9999999999999813E-2</v>
      </c>
      <c r="BD333" s="1284">
        <f>IFERROR(Model!BD333/Model!BC333-1,"NA")</f>
        <v>4.0000000000000258E-2</v>
      </c>
      <c r="BE333" s="1284">
        <f>IFERROR(Model!BE333/Model!BD333-1,"NA")</f>
        <v>4.0000000000000258E-2</v>
      </c>
    </row>
    <row r="334" spans="1:57" s="369" customFormat="1" x14ac:dyDescent="0.2">
      <c r="A334" s="411"/>
      <c r="B334" s="321" t="s">
        <v>1290</v>
      </c>
      <c r="C334" s="321"/>
      <c r="D334" s="1240"/>
      <c r="E334" s="1240"/>
      <c r="F334" s="1240"/>
      <c r="G334" s="1240"/>
      <c r="H334" s="1240">
        <f>IFERROR(Model!H334/Model!D334-1,"NA")</f>
        <v>0.18823529411764706</v>
      </c>
      <c r="I334" s="1240">
        <f>IFERROR(Model!I334/Model!E334-1,"NA")</f>
        <v>0.16666666666666674</v>
      </c>
      <c r="J334" s="1240">
        <f>IFERROR(Model!J334/Model!F334-1,"NA")</f>
        <v>5.6179775280898792E-2</v>
      </c>
      <c r="K334" s="1240">
        <f>IFERROR(Model!K334/Model!G334-1,"NA")</f>
        <v>8.4210526315789513E-2</v>
      </c>
      <c r="L334" s="1240">
        <f>IFERROR(Model!L334/Model!H334-1,"NA")</f>
        <v>-4.9504950495049549E-2</v>
      </c>
      <c r="M334" s="1240">
        <f>IFERROR(Model!M334/Model!I334-1,"NA")</f>
        <v>1.0204081632652962E-2</v>
      </c>
      <c r="N334" s="1240">
        <f>IFERROR(Model!N334/Model!J334-1,"NA")</f>
        <v>1.0638297872340496E-2</v>
      </c>
      <c r="O334" s="1240">
        <f>IFERROR(Model!O334/Model!K334-1,"NA")</f>
        <v>-0.15533980582524287</v>
      </c>
      <c r="P334" s="1240">
        <f>IFERROR(Model!P334/Model!L334-1,"NA")</f>
        <v>-0.11458333333333326</v>
      </c>
      <c r="Q334" s="1240">
        <f>IFERROR(Model!Q334/Model!M334-1,"NA")</f>
        <v>-0.11111111111111105</v>
      </c>
      <c r="R334" s="1240">
        <f>IFERROR(Model!R334/Model!N334-1,"NA")</f>
        <v>-0.12631578947368416</v>
      </c>
      <c r="S334" s="1240">
        <f>IFERROR(Model!S334/Model!O334-1,"NA")</f>
        <v>1.1494252873563315E-2</v>
      </c>
      <c r="T334" s="1240">
        <f>IFERROR(Model!T334/Model!P334-1,"NA")</f>
        <v>3.529411764705892E-2</v>
      </c>
      <c r="U334" s="1240">
        <f>IFERROR(Model!U334/Model!Q334-1,"NA")</f>
        <v>-2.2727272727272818E-2</v>
      </c>
      <c r="V334" s="1240">
        <f>IFERROR(Model!V334/Model!R334-1,"NA")</f>
        <v>3.6144578313252795E-2</v>
      </c>
      <c r="W334" s="1240">
        <f>IFERROR(Model!W334/Model!S334-1,"NA")</f>
        <v>-3.4090909090909172E-2</v>
      </c>
      <c r="X334" s="1240">
        <f>IFERROR(Model!X334/Model!T334-1,"NA")</f>
        <v>4.5454545454545192E-2</v>
      </c>
      <c r="Y334" s="1240">
        <f>IFERROR(Model!Y334/Model!U334-1,"NA")</f>
        <v>0.15116279069767447</v>
      </c>
      <c r="Z334" s="1240">
        <f>IFERROR(Model!Z334/Model!V334-1,"NA")</f>
        <v>0.19767441860465129</v>
      </c>
      <c r="AA334" s="1240">
        <f>IFERROR(Model!AA334/Model!W334-1,"NA")</f>
        <v>0.17647058823529416</v>
      </c>
      <c r="AB334" s="1240">
        <f>IFERROR(Model!AB334/Model!X334-1,"NA")</f>
        <v>0.14130434782608714</v>
      </c>
      <c r="AC334" s="1284">
        <f>IFERROR(Model!AC334/Model!Y334-1,"NA")</f>
        <v>7.1212121212121282E-2</v>
      </c>
      <c r="AD334" s="1284">
        <f>IFERROR(Model!AD334/Model!Z334-1,"NA")</f>
        <v>4.505582524271845E-2</v>
      </c>
      <c r="AE334" s="1284">
        <f>IFERROR(Model!AE334/Model!AA334-1,"NA")</f>
        <v>9.793564999999993E-2</v>
      </c>
      <c r="AF334" s="1284">
        <f>IFERROR(Model!AF334/Model!AB334-1,"NA")</f>
        <v>3.5196470000000035E-2</v>
      </c>
      <c r="AG334" s="1284">
        <f>IFERROR(Model!AG334/Model!AC334-1,"NA")</f>
        <v>3.5196470000000035E-2</v>
      </c>
      <c r="AH334" s="1284">
        <f>IFERROR(Model!AH334/Model!AD334-1,"NA")</f>
        <v>3.5196470000000035E-2</v>
      </c>
      <c r="AI334" s="1284">
        <f>IFERROR(Model!AI334/Model!AE334-1,"NA")</f>
        <v>3.5196470000000257E-2</v>
      </c>
      <c r="AJ334" s="1284"/>
      <c r="AK334" s="1284"/>
      <c r="AL334" s="1284"/>
      <c r="AM334" s="1284"/>
      <c r="AN334" s="1284"/>
      <c r="AO334" s="1284"/>
      <c r="AP334" s="1284"/>
      <c r="AQ334" s="1284"/>
      <c r="AR334" s="1236"/>
      <c r="AS334" s="1284"/>
      <c r="AT334" s="1284"/>
      <c r="AU334" s="1236"/>
      <c r="AV334" s="1236">
        <f>IFERROR(Model!AV334/Model!AU334-1,"NA")</f>
        <v>8.4210526315789513E-2</v>
      </c>
      <c r="AW334" s="1236">
        <f>IFERROR(Model!AW334/Model!AV334-1,"NA")</f>
        <v>-0.15533980582524287</v>
      </c>
      <c r="AX334" s="1236">
        <f>IFERROR(Model!AX334/Model!AW334-1,"NA")</f>
        <v>1.1494252873563315E-2</v>
      </c>
      <c r="AY334" s="1236">
        <f>IFERROR(Model!AY334/Model!AX334-1,"NA")</f>
        <v>-3.4090909090909172E-2</v>
      </c>
      <c r="AZ334" s="1236">
        <f>IFERROR(Model!AZ334/Model!AY334-1,"NA")</f>
        <v>0.17647058823529416</v>
      </c>
      <c r="BA334" s="1236">
        <f>IFERROR(Model!BA334/Model!AZ334-1,"NA")</f>
        <v>9.793564999999993E-2</v>
      </c>
      <c r="BB334" s="1284">
        <f>IFERROR(Model!BB334/Model!BA334-1,"NA")</f>
        <v>3.5196470000000257E-2</v>
      </c>
      <c r="BC334" s="1284">
        <f>IFERROR(Model!BC334/Model!BB334-1,"NA")</f>
        <v>3.9999999999999813E-2</v>
      </c>
      <c r="BD334" s="1284">
        <f>IFERROR(Model!BD334/Model!BC334-1,"NA")</f>
        <v>4.0000000000000036E-2</v>
      </c>
      <c r="BE334" s="1284">
        <f>IFERROR(Model!BE334/Model!BD334-1,"NA")</f>
        <v>4.0000000000000258E-2</v>
      </c>
    </row>
    <row r="335" spans="1:57" s="369" customFormat="1" x14ac:dyDescent="0.2">
      <c r="A335" s="411"/>
      <c r="B335" s="376" t="s">
        <v>1291</v>
      </c>
      <c r="C335" s="376"/>
      <c r="D335" s="1408"/>
      <c r="E335" s="1408"/>
      <c r="F335" s="1408"/>
      <c r="G335" s="1408"/>
      <c r="H335" s="1408">
        <f>IFERROR(Model!H335/Model!D335-1,"NA")</f>
        <v>0.18461538461538463</v>
      </c>
      <c r="I335" s="1408">
        <f>IFERROR(Model!I335/Model!E335-1,"NA")</f>
        <v>0.15384615384615374</v>
      </c>
      <c r="J335" s="1408">
        <f>IFERROR(Model!J335/Model!F335-1,"NA")</f>
        <v>7.0422535211267512E-2</v>
      </c>
      <c r="K335" s="1408">
        <f>IFERROR(Model!K335/Model!G335-1,"NA")</f>
        <v>8.4507042253521236E-2</v>
      </c>
      <c r="L335" s="1408">
        <f>IFERROR(Model!L335/Model!H335-1,"NA")</f>
        <v>2.5974025974025983E-2</v>
      </c>
      <c r="M335" s="1408">
        <f>IFERROR(Model!M335/Model!I335-1,"NA")</f>
        <v>6.6666666666666652E-2</v>
      </c>
      <c r="N335" s="1408">
        <f>IFERROR(Model!N335/Model!J335-1,"NA")</f>
        <v>5.2631578947368363E-2</v>
      </c>
      <c r="O335" s="1408">
        <f>IFERROR(Model!O335/Model!K335-1,"NA")</f>
        <v>-1.2987012987013102E-2</v>
      </c>
      <c r="P335" s="1408">
        <f>IFERROR(Model!P335/Model!L335-1,"NA")</f>
        <v>-3.7974683544303889E-2</v>
      </c>
      <c r="Q335" s="1408">
        <f>IFERROR(Model!Q335/Model!M335-1,"NA")</f>
        <v>-6.25E-2</v>
      </c>
      <c r="R335" s="1408">
        <f>IFERROR(Model!R335/Model!N335-1,"NA")</f>
        <v>-0.11250000000000004</v>
      </c>
      <c r="S335" s="1408">
        <f>IFERROR(Model!S335/Model!O335-1,"NA")</f>
        <v>-7.8947368421052544E-2</v>
      </c>
      <c r="T335" s="1408">
        <f>IFERROR(Model!T335/Model!P335-1,"NA")</f>
        <v>-0.1578947368421052</v>
      </c>
      <c r="U335" s="1408">
        <f>IFERROR(Model!U335/Model!Q335-1,"NA")</f>
        <v>-0.16000000000000003</v>
      </c>
      <c r="V335" s="1408">
        <f>IFERROR(Model!V335/Model!R335-1,"NA")</f>
        <v>-0.15492957746478864</v>
      </c>
      <c r="W335" s="1408">
        <f>IFERROR(Model!W335/Model!S335-1,"NA")</f>
        <v>-0.20000000000000007</v>
      </c>
      <c r="X335" s="1408">
        <f>IFERROR(Model!X335/Model!T335-1,"NA")</f>
        <v>-4.6875000000000111E-2</v>
      </c>
      <c r="Y335" s="1408">
        <f>IFERROR(Model!Y335/Model!U335-1,"NA")</f>
        <v>3.1746031746031855E-2</v>
      </c>
      <c r="Z335" s="1408">
        <f>IFERROR(Model!Z335/Model!V335-1,"NA")</f>
        <v>1.6666666666666607E-2</v>
      </c>
      <c r="AA335" s="1408">
        <f>IFERROR(Model!AA335/Model!W335-1,"NA")</f>
        <v>3.5714285714285809E-2</v>
      </c>
      <c r="AB335" s="1408">
        <f>IFERROR(Model!AB335/Model!X335-1,"NA")</f>
        <v>1.6393442622950838E-2</v>
      </c>
      <c r="AC335" s="1270">
        <f>IFERROR(Model!AC335/Model!Y335-1,"NA")</f>
        <v>-3.6615384615384716E-2</v>
      </c>
      <c r="AD335" s="1270">
        <f>IFERROR(Model!AD335/Model!Z335-1,"NA")</f>
        <v>4.1955737704918006E-2</v>
      </c>
      <c r="AE335" s="1270">
        <f>IFERROR(Model!AE335/Model!AA335-1,"NA")</f>
        <v>0.11776699999999996</v>
      </c>
      <c r="AF335" s="1270">
        <f>IFERROR(Model!AF335/Model!AB335-1,"NA")</f>
        <v>3.5196469999999591E-2</v>
      </c>
      <c r="AG335" s="1270">
        <f>IFERROR(Model!AG335/Model!AC335-1,"NA")</f>
        <v>3.5196469999999813E-2</v>
      </c>
      <c r="AH335" s="1270">
        <f>IFERROR(Model!AH335/Model!AD335-1,"NA")</f>
        <v>3.5196469999999813E-2</v>
      </c>
      <c r="AI335" s="1270">
        <f>IFERROR(Model!AI335/Model!AE335-1,"NA")</f>
        <v>3.5196470000000035E-2</v>
      </c>
      <c r="AJ335" s="1263"/>
      <c r="AK335" s="1263"/>
      <c r="AL335" s="1263"/>
      <c r="AM335" s="1263"/>
      <c r="AN335" s="1263"/>
      <c r="AO335" s="1263"/>
      <c r="AP335" s="1263"/>
      <c r="AQ335" s="1263"/>
      <c r="AR335" s="1236"/>
      <c r="AS335" s="1270"/>
      <c r="AT335" s="1270"/>
      <c r="AU335" s="1246"/>
      <c r="AV335" s="1246">
        <f>IFERROR(Model!AV335/Model!AU335-1,"NA")</f>
        <v>8.4507042253521236E-2</v>
      </c>
      <c r="AW335" s="1246">
        <f>IFERROR(Model!AW335/Model!AV335-1,"NA")</f>
        <v>-1.2987012987013102E-2</v>
      </c>
      <c r="AX335" s="1246">
        <f>IFERROR(Model!AX335/Model!AW335-1,"NA")</f>
        <v>-7.8947368421052544E-2</v>
      </c>
      <c r="AY335" s="1246">
        <f>IFERROR(Model!AY335/Model!AX335-1,"NA")</f>
        <v>-0.20000000000000007</v>
      </c>
      <c r="AZ335" s="1246">
        <f>IFERROR(Model!AZ335/Model!AY335-1,"NA")</f>
        <v>3.5714285714285809E-2</v>
      </c>
      <c r="BA335" s="1246">
        <f>IFERROR(Model!BA335/Model!AZ335-1,"NA")</f>
        <v>0.11776699999999996</v>
      </c>
      <c r="BB335" s="1270">
        <f>IFERROR(Model!BB335/Model!BA335-1,"NA")</f>
        <v>3.5196470000000035E-2</v>
      </c>
      <c r="BC335" s="1270">
        <f>IFERROR(Model!BC335/Model!BB335-1,"NA")</f>
        <v>3.9999999999999813E-2</v>
      </c>
      <c r="BD335" s="1270">
        <f>IFERROR(Model!BD335/Model!BC335-1,"NA")</f>
        <v>4.0000000000000258E-2</v>
      </c>
      <c r="BE335" s="1270">
        <f>IFERROR(Model!BE335/Model!BD335-1,"NA")</f>
        <v>4.0000000000000258E-2</v>
      </c>
    </row>
    <row r="336" spans="1:57" s="369" customFormat="1" x14ac:dyDescent="0.2">
      <c r="A336" s="411"/>
      <c r="B336" s="321"/>
      <c r="C336" s="334" t="s">
        <v>87</v>
      </c>
      <c r="D336" s="1267"/>
      <c r="E336" s="1267"/>
      <c r="F336" s="1267"/>
      <c r="G336" s="1267"/>
      <c r="H336" s="1267">
        <f>IFERROR(Model!H336/Model!D336-1,"NA")</f>
        <v>0.18181818181818166</v>
      </c>
      <c r="I336" s="1267">
        <f>IFERROR(Model!I336/Model!E336-1,"NA")</f>
        <v>0.16326530612244894</v>
      </c>
      <c r="J336" s="1267">
        <f>IFERROR(Model!J336/Model!F336-1,"NA")</f>
        <v>5.7142857142857384E-2</v>
      </c>
      <c r="K336" s="1267">
        <f>IFERROR(Model!K336/Model!G336-1,"NA")</f>
        <v>8.2949308755760454E-2</v>
      </c>
      <c r="L336" s="1267">
        <f>IFERROR(Model!L336/Model!H336-1,"NA")</f>
        <v>-1.2820512820512664E-2</v>
      </c>
      <c r="M336" s="1267">
        <f>IFERROR(Model!M336/Model!I336-1,"NA")</f>
        <v>3.0701754385964897E-2</v>
      </c>
      <c r="N336" s="1267">
        <f>IFERROR(Model!N336/Model!J336-1,"NA")</f>
        <v>2.7027027027026973E-2</v>
      </c>
      <c r="O336" s="1267">
        <f>IFERROR(Model!O336/Model!K336-1,"NA")</f>
        <v>-0.1063829787234043</v>
      </c>
      <c r="P336" s="1267">
        <f>IFERROR(Model!P336/Model!L336-1,"NA")</f>
        <v>-9.9567099567099748E-2</v>
      </c>
      <c r="Q336" s="1267">
        <f>IFERROR(Model!Q336/Model!M336-1,"NA")</f>
        <v>-0.11489361702127654</v>
      </c>
      <c r="R336" s="1267">
        <f>IFERROR(Model!R336/Model!N336-1,"NA")</f>
        <v>-0.14473684210526316</v>
      </c>
      <c r="S336" s="1267">
        <f>IFERROR(Model!S336/Model!O336-1,"NA")</f>
        <v>-6.1904761904761796E-2</v>
      </c>
      <c r="T336" s="1267">
        <f>IFERROR(Model!T336/Model!P336-1,"NA")</f>
        <v>-4.8076923076922906E-2</v>
      </c>
      <c r="U336" s="1267">
        <f>IFERROR(Model!U336/Model!Q336-1,"NA")</f>
        <v>-8.1730769230769162E-2</v>
      </c>
      <c r="V336" s="1267">
        <f>IFERROR(Model!V336/Model!R336-1,"NA")</f>
        <v>-4.1025641025641102E-2</v>
      </c>
      <c r="W336" s="1267">
        <f>IFERROR(Model!W336/Model!S336-1,"NA")</f>
        <v>-8.629441624365497E-2</v>
      </c>
      <c r="X336" s="1267">
        <f>IFERROR(Model!X336/Model!T336-1,"NA")</f>
        <v>-5.050505050505083E-3</v>
      </c>
      <c r="Y336" s="1267">
        <f>IFERROR(Model!Y336/Model!U336-1,"NA")</f>
        <v>9.9476439790575855E-2</v>
      </c>
      <c r="Z336" s="1267">
        <f>IFERROR(Model!Z336/Model!V336-1,"NA")</f>
        <v>0.12299465240641716</v>
      </c>
      <c r="AA336" s="1267">
        <f>IFERROR(Model!AA336/Model!W336-1,"NA")</f>
        <v>0.1055555555555554</v>
      </c>
      <c r="AB336" s="1267">
        <f>IFERROR(Model!AB336/Model!X336-1,"NA")</f>
        <v>7.6142131979695327E-2</v>
      </c>
      <c r="AC336" s="1284">
        <f>IFERROR(Model!AC336/Model!Y336-1,"NA")</f>
        <v>1.9619047619047647E-2</v>
      </c>
      <c r="AD336" s="1284">
        <f>IFERROR(Model!AD336/Model!Z336-1,"NA")</f>
        <v>3.491333333333313E-2</v>
      </c>
      <c r="AE336" s="1284">
        <f>IFERROR(Model!AE336/Model!AA336-1,"NA")</f>
        <v>0.1139619899497486</v>
      </c>
      <c r="AF336" s="1284">
        <f>IFERROR(Model!AF336/Model!AB336-1,"NA")</f>
        <v>3.5196469999999813E-2</v>
      </c>
      <c r="AG336" s="1284">
        <f>IFERROR(Model!AG336/Model!AC336-1,"NA")</f>
        <v>3.5196469999999813E-2</v>
      </c>
      <c r="AH336" s="1284">
        <f>IFERROR(Model!AH336/Model!AD336-1,"NA")</f>
        <v>3.5196469999999813E-2</v>
      </c>
      <c r="AI336" s="1284">
        <f>IFERROR(Model!AI336/Model!AE336-1,"NA")</f>
        <v>3.5196470000000035E-2</v>
      </c>
      <c r="AJ336" s="1284"/>
      <c r="AK336" s="1284"/>
      <c r="AL336" s="1284"/>
      <c r="AM336" s="1284"/>
      <c r="AN336" s="1284"/>
      <c r="AO336" s="1284"/>
      <c r="AP336" s="1284"/>
      <c r="AQ336" s="1284"/>
      <c r="AR336" s="1236"/>
      <c r="AS336" s="1284"/>
      <c r="AT336" s="1410"/>
      <c r="AU336" s="1263"/>
      <c r="AV336" s="1263">
        <f>IFERROR(Model!AV336/Model!AU336-1,"NA")</f>
        <v>8.2949308755760454E-2</v>
      </c>
      <c r="AW336" s="1263">
        <f>IFERROR(Model!AW336/Model!AV336-1,"NA")</f>
        <v>-0.1063829787234043</v>
      </c>
      <c r="AX336" s="1263">
        <f>IFERROR(Model!AX336/Model!AW336-1,"NA")</f>
        <v>-6.1904761904761796E-2</v>
      </c>
      <c r="AY336" s="1263">
        <f>IFERROR(Model!AY336/Model!AX336-1,"NA")</f>
        <v>-8.629441624365497E-2</v>
      </c>
      <c r="AZ336" s="1263">
        <f>IFERROR(Model!AZ336/Model!AY336-1,"NA")</f>
        <v>0.1055555555555554</v>
      </c>
      <c r="BA336" s="1263">
        <f>IFERROR(Model!BA336/Model!AZ336-1,"NA")</f>
        <v>0.11396198994974882</v>
      </c>
      <c r="BB336" s="1284">
        <f>IFERROR(Model!BB336/Model!BA336-1,"NA")</f>
        <v>3.5196470000000035E-2</v>
      </c>
      <c r="BC336" s="1284">
        <f>IFERROR(Model!BC336/Model!BB336-1,"NA")</f>
        <v>3.9999999999999813E-2</v>
      </c>
      <c r="BD336" s="1284">
        <f>IFERROR(Model!BD336/Model!BC336-1,"NA")</f>
        <v>4.0000000000000258E-2</v>
      </c>
      <c r="BE336" s="1284">
        <f>IFERROR(Model!BE336/Model!BD336-1,"NA")</f>
        <v>4.0000000000000258E-2</v>
      </c>
    </row>
    <row r="337" spans="1:74" s="369" customFormat="1" x14ac:dyDescent="0.2">
      <c r="A337" s="830"/>
      <c r="C337" s="334"/>
      <c r="D337" s="1267"/>
      <c r="E337" s="1267"/>
      <c r="F337" s="1267"/>
      <c r="G337" s="1267"/>
      <c r="H337" s="1267"/>
      <c r="I337" s="1267"/>
      <c r="J337" s="1267"/>
      <c r="K337" s="1267"/>
      <c r="L337" s="1267"/>
      <c r="M337" s="1267"/>
      <c r="N337" s="1267"/>
      <c r="O337" s="1267"/>
      <c r="P337" s="1267"/>
      <c r="Q337" s="1267"/>
      <c r="R337" s="1267"/>
      <c r="S337" s="1267"/>
      <c r="T337" s="1267"/>
      <c r="U337" s="1267"/>
      <c r="V337" s="1267"/>
      <c r="W337" s="1267"/>
      <c r="X337" s="1267"/>
      <c r="Y337" s="1267"/>
      <c r="Z337" s="1267"/>
      <c r="AA337" s="1267"/>
      <c r="AB337" s="1267"/>
      <c r="AC337" s="1263"/>
      <c r="AD337" s="1263"/>
      <c r="AE337" s="1263"/>
      <c r="AF337" s="1263"/>
      <c r="AG337" s="1263"/>
      <c r="AH337" s="1263"/>
      <c r="AI337" s="1263"/>
      <c r="AJ337" s="1263"/>
      <c r="AK337" s="1263"/>
      <c r="AL337" s="1263"/>
      <c r="AM337" s="1263"/>
      <c r="AN337" s="1263"/>
      <c r="AO337" s="1263"/>
      <c r="AP337" s="1263"/>
      <c r="AQ337" s="1263"/>
      <c r="AR337" s="1236"/>
      <c r="AS337" s="1263"/>
      <c r="AT337" s="1410"/>
      <c r="AU337" s="1263"/>
      <c r="AV337" s="1263"/>
      <c r="AW337" s="1263"/>
      <c r="AX337" s="1263"/>
      <c r="AY337" s="1263"/>
      <c r="AZ337" s="1263"/>
      <c r="BA337" s="1263"/>
      <c r="BB337" s="1263"/>
      <c r="BC337" s="1263"/>
      <c r="BD337" s="1263"/>
      <c r="BE337" s="1263"/>
    </row>
    <row r="338" spans="1:74" s="369" customFormat="1" x14ac:dyDescent="0.2">
      <c r="A338" s="411"/>
      <c r="B338" s="334" t="s">
        <v>507</v>
      </c>
      <c r="C338" s="321"/>
      <c r="D338" s="1240"/>
      <c r="E338" s="1240"/>
      <c r="F338" s="1240"/>
      <c r="G338" s="1240"/>
      <c r="H338" s="1240">
        <f>IFERROR(Model!H338/Model!D338-1,"NA")</f>
        <v>0.18333333333333335</v>
      </c>
      <c r="I338" s="1240">
        <f>IFERROR(Model!I338/Model!E338-1,"NA")</f>
        <v>0.18644067796610164</v>
      </c>
      <c r="J338" s="1240">
        <f>IFERROR(Model!J338/Model!F338-1,"NA")</f>
        <v>0.12698412698412698</v>
      </c>
      <c r="K338" s="1240">
        <f>IFERROR(Model!K338/Model!G338-1,"NA")</f>
        <v>0.12121212121212133</v>
      </c>
      <c r="L338" s="1240">
        <f>IFERROR(Model!L338/Model!H338-1,"NA")</f>
        <v>1.4084507042253502E-2</v>
      </c>
      <c r="M338" s="1240">
        <f>IFERROR(Model!M338/Model!I338-1,"NA")</f>
        <v>5.7142857142857162E-2</v>
      </c>
      <c r="N338" s="1240">
        <f>IFERROR(Model!N338/Model!J338-1,"NA")</f>
        <v>2.8169014084507005E-2</v>
      </c>
      <c r="O338" s="1240">
        <f>IFERROR(Model!O338/Model!K338-1,"NA")</f>
        <v>-9.4594594594594628E-2</v>
      </c>
      <c r="P338" s="1240">
        <f>IFERROR(Model!P338/Model!L338-1,"NA")</f>
        <v>-0.1527777777777779</v>
      </c>
      <c r="Q338" s="1240">
        <f>IFERROR(Model!Q338/Model!M338-1,"NA")</f>
        <v>-0.20270270270270274</v>
      </c>
      <c r="R338" s="1240">
        <f>IFERROR(Model!R338/Model!N338-1,"NA")</f>
        <v>-0.26027397260273966</v>
      </c>
      <c r="S338" s="1240">
        <f>IFERROR(Model!S338/Model!O338-1,"NA")</f>
        <v>-0.19402985074626866</v>
      </c>
      <c r="T338" s="1240">
        <f>IFERROR(Model!T338/Model!P338-1,"NA")</f>
        <v>-0.13114754098360648</v>
      </c>
      <c r="U338" s="1240">
        <f>IFERROR(Model!U338/Model!Q338-1,"NA")</f>
        <v>-0.15254237288135597</v>
      </c>
      <c r="V338" s="1240">
        <f>IFERROR(Model!V338/Model!R338-1,"NA")</f>
        <v>-9.259259259259256E-2</v>
      </c>
      <c r="W338" s="1240">
        <f>IFERROR(Model!W338/Model!S338-1,"NA")</f>
        <v>-0.11111111111111116</v>
      </c>
      <c r="X338" s="1240">
        <f>IFERROR(Model!X338/Model!T338-1,"NA")</f>
        <v>-1.8867924528301772E-2</v>
      </c>
      <c r="Y338" s="1240">
        <f>IFERROR(Model!Y338/Model!U338-1,"NA")</f>
        <v>0.10000000000000009</v>
      </c>
      <c r="Z338" s="1240">
        <f>IFERROR(Model!Z338/Model!V338-1,"NA")</f>
        <v>0.14285714285714279</v>
      </c>
      <c r="AA338" s="1240">
        <f>IFERROR(Model!AA338/Model!W338-1,"NA")</f>
        <v>0.12500000000000022</v>
      </c>
      <c r="AB338" s="1240">
        <f>IFERROR(Model!AB338/Model!X338-1,"NA")</f>
        <v>9.6153846153846256E-2</v>
      </c>
      <c r="AC338" s="1284">
        <f>IFERROR(Model!AC338/Model!Y338-1,"NA")</f>
        <v>1.563636363636367E-2</v>
      </c>
      <c r="AD338" s="1284">
        <f>IFERROR(Model!AD338/Model!Z338-1,"NA")</f>
        <v>2.2437499999999888E-2</v>
      </c>
      <c r="AE338" s="1284">
        <f>IFERROR(Model!AE338/Model!AA338-1,"NA")</f>
        <v>9.741624999999976E-2</v>
      </c>
      <c r="AF338" s="1284">
        <f>IFERROR(Model!AF338/Model!AB338-1,"NA")</f>
        <v>1.8864349999999863E-2</v>
      </c>
      <c r="AG338" s="1284">
        <f>IFERROR(Model!AG338/Model!AC338-1,"NA")</f>
        <v>6.0450649999999939E-2</v>
      </c>
      <c r="AH338" s="1284">
        <f>IFERROR(Model!AH338/Model!AD338-1,"NA")</f>
        <v>5.010479000000001E-2</v>
      </c>
      <c r="AI338" s="1284">
        <f>IFERROR(Model!AI338/Model!AE338-1,"NA")</f>
        <v>5.010479000000001E-2</v>
      </c>
      <c r="AJ338" s="1284"/>
      <c r="AK338" s="1284"/>
      <c r="AL338" s="1284"/>
      <c r="AM338" s="1284"/>
      <c r="AN338" s="1284"/>
      <c r="AO338" s="1284"/>
      <c r="AP338" s="1284"/>
      <c r="AQ338" s="1284"/>
      <c r="AR338" s="1236"/>
      <c r="AS338" s="1410"/>
      <c r="AT338" s="1284"/>
      <c r="AU338" s="1236"/>
      <c r="AV338" s="1236">
        <f>IFERROR(Model!AV338/Model!AU338-1,"NA")</f>
        <v>0.12121212121212133</v>
      </c>
      <c r="AW338" s="1236">
        <f>IFERROR(Model!AW338/Model!AV338-1,"NA")</f>
        <v>-9.4594594594594628E-2</v>
      </c>
      <c r="AX338" s="1236">
        <f>IFERROR(Model!AX338/Model!AW338-1,"NA")</f>
        <v>-0.19402985074626866</v>
      </c>
      <c r="AY338" s="1236">
        <f>IFERROR(Model!AY338/Model!AX338-1,"NA")</f>
        <v>-0.11111111111111116</v>
      </c>
      <c r="AZ338" s="1236">
        <f>IFERROR(Model!AZ338/Model!AY338-1,"NA")</f>
        <v>0.12500000000000022</v>
      </c>
      <c r="BA338" s="1236">
        <f>IFERROR(Model!BA338/Model!AZ338-1,"NA")</f>
        <v>9.741624999999976E-2</v>
      </c>
      <c r="BB338" s="1284">
        <f>IFERROR(Model!BB338/Model!BA338-1,"NA")</f>
        <v>5.010479000000001E-2</v>
      </c>
      <c r="BC338" s="1284">
        <f>IFERROR(Model!BC338/Model!BB338-1,"NA")</f>
        <v>5.0000000000000044E-2</v>
      </c>
      <c r="BD338" s="1284">
        <f>IFERROR(Model!BD338/Model!BC338-1,"NA")</f>
        <v>5.0000000000000044E-2</v>
      </c>
      <c r="BE338" s="1284">
        <f>IFERROR(Model!BE338/Model!BD338-1,"NA")</f>
        <v>5.0000000000000044E-2</v>
      </c>
    </row>
    <row r="339" spans="1:74" s="369" customFormat="1" x14ac:dyDescent="0.2">
      <c r="A339" s="411"/>
      <c r="B339" s="334"/>
      <c r="C339" s="321"/>
      <c r="D339" s="1267"/>
      <c r="E339" s="1267"/>
      <c r="F339" s="1267"/>
      <c r="G339" s="1267"/>
      <c r="H339" s="1267"/>
      <c r="I339" s="1267"/>
      <c r="J339" s="1267"/>
      <c r="K339" s="1267"/>
      <c r="L339" s="1267"/>
      <c r="M339" s="1267"/>
      <c r="N339" s="1267"/>
      <c r="O339" s="1267"/>
      <c r="P339" s="1267"/>
      <c r="Q339" s="1267"/>
      <c r="R339" s="1267"/>
      <c r="S339" s="1267"/>
      <c r="T339" s="1267"/>
      <c r="U339" s="1267"/>
      <c r="V339" s="1267"/>
      <c r="W339" s="1267"/>
      <c r="X339" s="1267"/>
      <c r="Y339" s="1267"/>
      <c r="Z339" s="1267"/>
      <c r="AA339" s="1267"/>
      <c r="AB339" s="1267"/>
      <c r="AC339" s="1284"/>
      <c r="AD339" s="1284"/>
      <c r="AE339" s="1284"/>
      <c r="AF339" s="1284"/>
      <c r="AG339" s="1284"/>
      <c r="AH339" s="1284"/>
      <c r="AI339" s="1284"/>
      <c r="AJ339" s="1284"/>
      <c r="AK339" s="1284"/>
      <c r="AL339" s="1284"/>
      <c r="AM339" s="1284"/>
      <c r="AN339" s="1284"/>
      <c r="AO339" s="1284"/>
      <c r="AP339" s="1284"/>
      <c r="AQ339" s="1284"/>
      <c r="AR339" s="1236"/>
      <c r="AS339" s="1410"/>
      <c r="AT339" s="1284"/>
      <c r="AU339" s="1263"/>
      <c r="AV339" s="1263"/>
      <c r="AW339" s="1263"/>
      <c r="AX339" s="1263"/>
      <c r="AY339" s="1263"/>
      <c r="AZ339" s="1263"/>
      <c r="BA339" s="1263"/>
      <c r="BB339" s="1284"/>
      <c r="BC339" s="1284"/>
      <c r="BD339" s="1284"/>
      <c r="BE339" s="1284"/>
    </row>
    <row r="340" spans="1:74" s="369" customFormat="1" x14ac:dyDescent="0.2">
      <c r="A340" s="411"/>
      <c r="B340" s="334" t="s">
        <v>179</v>
      </c>
      <c r="C340" s="321"/>
      <c r="D340" s="1267"/>
      <c r="E340" s="1267"/>
      <c r="F340" s="1267"/>
      <c r="G340" s="1267"/>
      <c r="H340" s="1267">
        <f>IFERROR(Model!H340/Model!D340-1,"NA")</f>
        <v>0.18217054263565879</v>
      </c>
      <c r="I340" s="1267">
        <f>IFERROR(Model!I340/Model!E340-1,"NA")</f>
        <v>0.16862745098039222</v>
      </c>
      <c r="J340" s="1267">
        <f>IFERROR(Model!J340/Model!F340-1,"NA")</f>
        <v>7.3260073260073444E-2</v>
      </c>
      <c r="K340" s="1267">
        <f>IFERROR(Model!K340/Model!G340-1,"NA")</f>
        <v>9.1872791519434616E-2</v>
      </c>
      <c r="L340" s="1267">
        <f>IFERROR(Model!L340/Model!H340-1,"NA")</f>
        <v>-6.5573770491803574E-3</v>
      </c>
      <c r="M340" s="1267">
        <f>IFERROR(Model!M340/Model!I340-1,"NA")</f>
        <v>3.691275167785224E-2</v>
      </c>
      <c r="N340" s="1267">
        <f>IFERROR(Model!N340/Model!J340-1,"NA")</f>
        <v>2.7303754266211566E-2</v>
      </c>
      <c r="O340" s="1267">
        <f>IFERROR(Model!O340/Model!K340-1,"NA")</f>
        <v>-0.1035598705501618</v>
      </c>
      <c r="P340" s="1267">
        <f>IFERROR(Model!P340/Model!L340-1,"NA")</f>
        <v>-0.11221122112211224</v>
      </c>
      <c r="Q340" s="1267">
        <f>IFERROR(Model!Q340/Model!M340-1,"NA")</f>
        <v>-0.13592233009708721</v>
      </c>
      <c r="R340" s="1267">
        <f>IFERROR(Model!R340/Model!N340-1,"NA")</f>
        <v>-0.17275747508305661</v>
      </c>
      <c r="S340" s="1267">
        <f>IFERROR(Model!S340/Model!O340-1,"NA")</f>
        <v>-9.3862815884476425E-2</v>
      </c>
      <c r="T340" s="1267">
        <f>IFERROR(Model!T340/Model!P340-1,"NA")</f>
        <v>-6.6914498141263823E-2</v>
      </c>
      <c r="U340" s="1267">
        <f>IFERROR(Model!U340/Model!Q340-1,"NA")</f>
        <v>-9.7378277153558068E-2</v>
      </c>
      <c r="V340" s="1267">
        <f>IFERROR(Model!V340/Model!R340-1,"NA")</f>
        <v>-5.2208835341365334E-2</v>
      </c>
      <c r="W340" s="1267">
        <f>IFERROR(Model!W340/Model!S340-1,"NA")</f>
        <v>-9.1633466135458197E-2</v>
      </c>
      <c r="X340" s="1267">
        <f>IFERROR(Model!X340/Model!T340-1,"NA")</f>
        <v>-7.9681274900399446E-3</v>
      </c>
      <c r="Y340" s="1267">
        <f>IFERROR(Model!Y340/Model!U340-1,"NA")</f>
        <v>9.9585062240663769E-2</v>
      </c>
      <c r="Z340" s="1267">
        <f>IFERROR(Model!Z340/Model!V340-1,"NA")</f>
        <v>0.12711864406779649</v>
      </c>
      <c r="AA340" s="1267">
        <f>IFERROR(Model!AA340/Model!W340-1,"NA")</f>
        <v>0.10964912280701733</v>
      </c>
      <c r="AB340" s="1267">
        <f>IFERROR(Model!AB340/Model!X340-1,"NA")</f>
        <v>8.032128514056236E-2</v>
      </c>
      <c r="AC340" s="1267">
        <f>IFERROR(Model!AC340/Model!Y340-1,"NA")</f>
        <v>1.87924528301886E-2</v>
      </c>
      <c r="AD340" s="1267">
        <f>IFERROR(Model!AD340/Model!Z340-1,"NA")</f>
        <v>3.2286842105262892E-2</v>
      </c>
      <c r="AE340" s="1267">
        <f>IFERROR(Model!AE340/Model!AA340-1,"NA")</f>
        <v>0.11043048814229239</v>
      </c>
      <c r="AF340" s="1267">
        <f>IFERROR(Model!AF340/Model!AB340-1,"NA")</f>
        <v>3.1735760557620729E-2</v>
      </c>
      <c r="AG340" s="1267">
        <f>IFERROR(Model!AG340/Model!AC340-1,"NA")</f>
        <v>4.0421666291577063E-2</v>
      </c>
      <c r="AH340" s="1267">
        <f>IFERROR(Model!AH340/Model!AD340-1,"NA")</f>
        <v>3.8305117469976002E-2</v>
      </c>
      <c r="AI340" s="1267">
        <f>IFERROR(Model!AI340/Model!AE340-1,"NA")</f>
        <v>3.8341189793055008E-2</v>
      </c>
      <c r="AJ340" s="1267"/>
      <c r="AK340" s="1267"/>
      <c r="AL340" s="1267"/>
      <c r="AM340" s="1267"/>
      <c r="AN340" s="1267"/>
      <c r="AO340" s="1267"/>
      <c r="AP340" s="1267"/>
      <c r="AQ340" s="1267"/>
      <c r="AR340" s="1236"/>
      <c r="AS340" s="1410"/>
      <c r="AT340" s="1284"/>
      <c r="AU340" s="1236"/>
      <c r="AV340" s="1236">
        <f>IFERROR(Model!AV340/Model!AU340-1,"NA")</f>
        <v>9.1872791519434616E-2</v>
      </c>
      <c r="AW340" s="1236">
        <f>IFERROR(Model!AW340/Model!AV340-1,"NA")</f>
        <v>-0.1035598705501618</v>
      </c>
      <c r="AX340" s="1236">
        <f>IFERROR(Model!AX340/Model!AW340-1,"NA")</f>
        <v>-9.3862815884476425E-2</v>
      </c>
      <c r="AY340" s="1236">
        <f>IFERROR(Model!AY340/Model!AX340-1,"NA")</f>
        <v>-9.1633466135458197E-2</v>
      </c>
      <c r="AZ340" s="1236">
        <f>IFERROR(Model!AZ340/Model!AY340-1,"NA")</f>
        <v>0.10964912280701733</v>
      </c>
      <c r="BA340" s="1236">
        <f>IFERROR(Model!BA340/Model!AZ340-1,"NA")</f>
        <v>0.11043048814229239</v>
      </c>
      <c r="BB340" s="1267">
        <f>IFERROR(Model!BB340/Model!BA340-1,"NA")</f>
        <v>3.8341189793055008E-2</v>
      </c>
      <c r="BC340" s="1267">
        <f>IFERROR(Model!BC340/Model!BB340-1,"NA")</f>
        <v>4.2133269898186887E-2</v>
      </c>
      <c r="BD340" s="1267">
        <f>IFERROR(Model!BD340/Model!BC340-1,"NA")</f>
        <v>4.2149373269039891E-2</v>
      </c>
      <c r="BE340" s="1267">
        <f>IFERROR(Model!BE340/Model!BD340-1,"NA")</f>
        <v>4.2165564736092342E-2</v>
      </c>
    </row>
    <row r="341" spans="1:74" s="369" customFormat="1" x14ac:dyDescent="0.2">
      <c r="A341" s="411"/>
      <c r="B341" s="334"/>
      <c r="C341" s="321"/>
      <c r="D341" s="1311"/>
      <c r="E341" s="1311"/>
      <c r="F341" s="1311"/>
      <c r="G341" s="1311"/>
      <c r="H341" s="1311"/>
      <c r="I341" s="1311"/>
      <c r="J341" s="1311"/>
      <c r="K341" s="1311"/>
      <c r="L341" s="1311"/>
      <c r="M341" s="1311"/>
      <c r="N341" s="1311"/>
      <c r="O341" s="1311"/>
      <c r="P341" s="1311"/>
      <c r="Q341" s="1311"/>
      <c r="R341" s="1311"/>
      <c r="S341" s="1311"/>
      <c r="T341" s="1311"/>
      <c r="U341" s="1311"/>
      <c r="V341" s="1311"/>
      <c r="W341" s="1311"/>
      <c r="X341" s="1284"/>
      <c r="Y341" s="1284"/>
      <c r="Z341" s="1284"/>
      <c r="AA341" s="1284"/>
      <c r="AB341" s="1284"/>
      <c r="AC341" s="1284"/>
      <c r="AD341" s="1284"/>
      <c r="AE341" s="1284"/>
      <c r="AF341" s="1284"/>
      <c r="AG341" s="1284"/>
      <c r="AH341" s="1284"/>
      <c r="AI341" s="1284"/>
      <c r="AJ341" s="1284"/>
      <c r="AK341" s="1284"/>
      <c r="AL341" s="1284"/>
      <c r="AM341" s="1284"/>
      <c r="AN341" s="1284"/>
      <c r="AO341" s="1284"/>
      <c r="AP341" s="1284"/>
      <c r="AQ341" s="1284"/>
      <c r="AR341" s="1236"/>
      <c r="AS341" s="1410"/>
      <c r="AT341" s="1284"/>
      <c r="AU341" s="1263"/>
      <c r="AV341" s="1263"/>
      <c r="AW341" s="1263"/>
      <c r="AX341" s="1263"/>
      <c r="AY341" s="1263"/>
      <c r="AZ341" s="1263"/>
      <c r="BA341" s="1263"/>
      <c r="BB341" s="1263"/>
      <c r="BC341" s="1263"/>
      <c r="BD341" s="1263"/>
      <c r="BE341" s="1263"/>
    </row>
    <row r="342" spans="1:74" x14ac:dyDescent="0.2">
      <c r="B342" s="337" t="s">
        <v>506</v>
      </c>
      <c r="C342" s="11"/>
      <c r="D342" s="1398"/>
      <c r="E342" s="1398"/>
      <c r="F342" s="1398"/>
      <c r="G342" s="1398"/>
      <c r="H342" s="1398"/>
      <c r="I342" s="1398"/>
      <c r="J342" s="1398"/>
      <c r="K342" s="1398"/>
      <c r="L342" s="1398"/>
      <c r="M342" s="1398"/>
      <c r="N342" s="1398"/>
      <c r="O342" s="1398"/>
      <c r="P342" s="1398"/>
      <c r="Q342" s="1398"/>
      <c r="R342" s="1398"/>
      <c r="S342" s="1398"/>
      <c r="T342" s="1398"/>
      <c r="U342" s="1398"/>
      <c r="V342" s="1398"/>
      <c r="W342" s="1398"/>
      <c r="X342" s="1398"/>
      <c r="Y342" s="1398"/>
      <c r="Z342" s="1398"/>
      <c r="AA342" s="1398"/>
      <c r="AB342" s="1398"/>
      <c r="AC342" s="1398"/>
      <c r="AD342" s="1398"/>
      <c r="AE342" s="1398"/>
      <c r="AF342" s="1398"/>
      <c r="AG342" s="1398"/>
      <c r="AH342" s="1398"/>
      <c r="AI342" s="1398"/>
      <c r="AJ342" s="1398"/>
      <c r="AK342" s="1398"/>
      <c r="AL342" s="1398"/>
      <c r="AM342" s="1398"/>
      <c r="AN342" s="1398"/>
      <c r="AO342" s="1398"/>
      <c r="AP342" s="1398"/>
      <c r="AQ342" s="1398"/>
      <c r="AR342" s="1236"/>
      <c r="AS342" s="1418"/>
      <c r="AT342" s="1399"/>
      <c r="AU342" s="1398"/>
      <c r="AV342" s="1398"/>
      <c r="AW342" s="1398"/>
      <c r="AX342" s="1398"/>
      <c r="AY342" s="1398"/>
      <c r="AZ342" s="1398"/>
      <c r="BA342" s="1398"/>
      <c r="BB342" s="1398"/>
      <c r="BC342" s="1398"/>
      <c r="BD342" s="1398"/>
      <c r="BE342" s="1398"/>
    </row>
    <row r="343" spans="1:74" s="369" customFormat="1" x14ac:dyDescent="0.2">
      <c r="A343" s="411"/>
      <c r="B343" s="334" t="s">
        <v>50</v>
      </c>
      <c r="C343" s="321"/>
      <c r="D343" s="1421"/>
      <c r="E343" s="1421"/>
      <c r="F343" s="1421"/>
      <c r="G343" s="1421"/>
      <c r="H343" s="1421">
        <f>IFERROR(Model!H343/Model!D343-1,"NA")</f>
        <v>7.0175438596491224E-2</v>
      </c>
      <c r="I343" s="1421">
        <f>IFERROR(Model!I343/Model!E343-1,"NA")</f>
        <v>8.7719298245614086E-2</v>
      </c>
      <c r="J343" s="1421">
        <f>IFERROR(Model!J343/Model!F343-1,"NA")</f>
        <v>6.7796610169491345E-2</v>
      </c>
      <c r="K343" s="1421">
        <f>IFERROR(Model!K343/Model!G343-1,"NA")</f>
        <v>3.3333333333333437E-2</v>
      </c>
      <c r="L343" s="1421">
        <f>IFERROR(Model!L343/Model!H343-1,"NA")</f>
        <v>1.6393442622950838E-2</v>
      </c>
      <c r="M343" s="1421">
        <f>IFERROR(Model!M343/Model!I343-1,"NA")</f>
        <v>-1.6129032258064613E-2</v>
      </c>
      <c r="N343" s="1421">
        <f>IFERROR(Model!N343/Model!J343-1,"NA")</f>
        <v>-3.1746031746031744E-2</v>
      </c>
      <c r="O343" s="1421">
        <f>IFERROR(Model!O343/Model!K343-1,"NA")</f>
        <v>-4.8387096774193505E-2</v>
      </c>
      <c r="P343" s="1421">
        <f>IFERROR(Model!P343/Model!L343-1,"NA")</f>
        <v>-4.8387096774193505E-2</v>
      </c>
      <c r="Q343" s="1421">
        <f>IFERROR(Model!Q343/Model!M343-1,"NA")</f>
        <v>-3.2786885245901565E-2</v>
      </c>
      <c r="R343" s="1421">
        <f>IFERROR(Model!R343/Model!N343-1,"NA")</f>
        <v>-6.557377049180324E-2</v>
      </c>
      <c r="S343" s="1421">
        <f>IFERROR(Model!S343/Model!O343-1,"NA")</f>
        <v>-5.0847457627118731E-2</v>
      </c>
      <c r="T343" s="1421">
        <f>IFERROR(Model!T343/Model!P343-1,"NA")</f>
        <v>-5.0847457627118731E-2</v>
      </c>
      <c r="U343" s="1421">
        <f>IFERROR(Model!U343/Model!Q343-1,"NA")</f>
        <v>-3.3898305084745783E-2</v>
      </c>
      <c r="V343" s="1421">
        <f>IFERROR(Model!V343/Model!R343-1,"NA")</f>
        <v>1.754385964912264E-2</v>
      </c>
      <c r="W343" s="1421">
        <f>IFERROR(Model!W343/Model!S343-1,"NA")</f>
        <v>3.5714285714285809E-2</v>
      </c>
      <c r="X343" s="1421">
        <f>IFERROR(Model!X343/Model!T343-1,"NA")</f>
        <v>1.7857142857143016E-2</v>
      </c>
      <c r="Y343" s="1421">
        <f>IFERROR(Model!Y343/Model!U343-1,"NA")</f>
        <v>0</v>
      </c>
      <c r="Z343" s="1421">
        <f>IFERROR(Model!Z343/Model!V343-1,"NA")</f>
        <v>-1.7241379310344751E-2</v>
      </c>
      <c r="AA343" s="1421">
        <f>IFERROR(Model!AA343/Model!W343-1,"NA")</f>
        <v>-3.4482758620689724E-2</v>
      </c>
      <c r="AB343" s="1421">
        <f>IFERROR(Model!AB343/Model!X343-1,"NA")</f>
        <v>0</v>
      </c>
      <c r="AC343" s="1284" t="str">
        <f>IFERROR(Model!AC343/Model!Y343-1,"NA")</f>
        <v>NA</v>
      </c>
      <c r="AD343" s="1284" t="str">
        <f>IFERROR(Model!AD343/Model!Z343-1,"NA")</f>
        <v>NA</v>
      </c>
      <c r="AE343" s="1284" t="str">
        <f>IFERROR(Model!AE343/Model!AA343-1,"NA")</f>
        <v>NA</v>
      </c>
      <c r="AF343" s="1284" t="str">
        <f>IFERROR(Model!AF343/Model!AB343-1,"NA")</f>
        <v>NA</v>
      </c>
      <c r="AG343" s="1284" t="str">
        <f>IFERROR(Model!AG343/Model!AC343-1,"NA")</f>
        <v>NA</v>
      </c>
      <c r="AH343" s="1284" t="str">
        <f>IFERROR(Model!AH343/Model!AD343-1,"NA")</f>
        <v>NA</v>
      </c>
      <c r="AI343" s="1284" t="str">
        <f>IFERROR(Model!AI343/Model!AE343-1,"NA")</f>
        <v>NA</v>
      </c>
      <c r="AJ343" s="1284"/>
      <c r="AK343" s="1284"/>
      <c r="AL343" s="1284"/>
      <c r="AM343" s="1284"/>
      <c r="AN343" s="1284"/>
      <c r="AO343" s="1284"/>
      <c r="AP343" s="1284"/>
      <c r="AQ343" s="1284"/>
      <c r="AR343" s="1236"/>
      <c r="AS343" s="1410"/>
      <c r="AT343" s="1284"/>
      <c r="AU343" s="1236"/>
      <c r="AV343" s="1236">
        <f>IFERROR(Model!AV343/Model!AU343-1,"NA")</f>
        <v>3.3333333333333437E-2</v>
      </c>
      <c r="AW343" s="1236">
        <f>IFERROR(Model!AW343/Model!AV343-1,"NA")</f>
        <v>-4.8387096774193505E-2</v>
      </c>
      <c r="AX343" s="1236">
        <f>IFERROR(Model!AX343/Model!AW343-1,"NA")</f>
        <v>-5.0847457627118731E-2</v>
      </c>
      <c r="AY343" s="1236">
        <f>IFERROR(Model!AY343/Model!AX343-1,"NA")</f>
        <v>3.5714285714285809E-2</v>
      </c>
      <c r="AZ343" s="1263" t="str">
        <f>IFERROR(Model!AZ343/Model!AY343-1,"NA")</f>
        <v>NA</v>
      </c>
      <c r="BA343" s="1263" t="str">
        <f>IFERROR(Model!BA343/Model!AZ343-1,"NA")</f>
        <v>NA</v>
      </c>
      <c r="BB343" s="1263" t="str">
        <f>IFERROR(Model!BB343/Model!BA343-1,"NA")</f>
        <v>NA</v>
      </c>
      <c r="BC343" s="1263" t="str">
        <f>IFERROR(Model!BC343/Model!BB343-1,"NA")</f>
        <v>NA</v>
      </c>
      <c r="BD343" s="1263" t="str">
        <f>IFERROR(Model!BD343/Model!BC343-1,"NA")</f>
        <v>NA</v>
      </c>
      <c r="BE343" s="1263" t="str">
        <f>IFERROR(Model!BE343/Model!BD343-1,"NA")</f>
        <v>NA</v>
      </c>
    </row>
    <row r="344" spans="1:74" s="369" customFormat="1" x14ac:dyDescent="0.2">
      <c r="A344" s="411"/>
      <c r="B344" s="334" t="s">
        <v>98</v>
      </c>
      <c r="C344" s="321"/>
      <c r="D344" s="1240"/>
      <c r="E344" s="1240"/>
      <c r="F344" s="1240"/>
      <c r="G344" s="1240"/>
      <c r="H344" s="1240">
        <f>IFERROR(Model!H344/Model!D344-1,"NA")</f>
        <v>0.15384615384615397</v>
      </c>
      <c r="I344" s="1240">
        <f>IFERROR(Model!I344/Model!E344-1,"NA")</f>
        <v>0.25641025641025661</v>
      </c>
      <c r="J344" s="1240">
        <f>IFERROR(Model!J344/Model!F344-1,"NA")</f>
        <v>0.16279069767441867</v>
      </c>
      <c r="K344" s="1240">
        <f>IFERROR(Model!K344/Model!G344-1,"NA")</f>
        <v>0.10000000000000009</v>
      </c>
      <c r="L344" s="1240">
        <f>IFERROR(Model!L344/Model!H344-1,"NA")</f>
        <v>0</v>
      </c>
      <c r="M344" s="1240">
        <f>IFERROR(Model!M344/Model!I344-1,"NA")</f>
        <v>0</v>
      </c>
      <c r="N344" s="1240">
        <f>IFERROR(Model!N344/Model!J344-1,"NA")</f>
        <v>-1.9999999999999907E-2</v>
      </c>
      <c r="O344" s="1240">
        <f>IFERROR(Model!O344/Model!K344-1,"NA")</f>
        <v>-9.0909090909090939E-2</v>
      </c>
      <c r="P344" s="1240">
        <f>IFERROR(Model!P344/Model!L344-1,"NA")</f>
        <v>-8.8888888888889017E-2</v>
      </c>
      <c r="Q344" s="1240">
        <f>IFERROR(Model!Q344/Model!M344-1,"NA")</f>
        <v>-0.1428571428571429</v>
      </c>
      <c r="R344" s="1240">
        <f>IFERROR(Model!R344/Model!N344-1,"NA")</f>
        <v>-0.18367346938775519</v>
      </c>
      <c r="S344" s="1240">
        <f>IFERROR(Model!S344/Model!O344-1,"NA")</f>
        <v>-0.11999999999999988</v>
      </c>
      <c r="T344" s="1240">
        <f>IFERROR(Model!T344/Model!P344-1,"NA")</f>
        <v>-9.7560975609755962E-2</v>
      </c>
      <c r="U344" s="1240">
        <f>IFERROR(Model!U344/Model!Q344-1,"NA")</f>
        <v>-9.5238095238095344E-2</v>
      </c>
      <c r="V344" s="1240">
        <f>IFERROR(Model!V344/Model!R344-1,"NA")</f>
        <v>-5.0000000000000044E-2</v>
      </c>
      <c r="W344" s="1240">
        <f>IFERROR(Model!W344/Model!S344-1,"NA")</f>
        <v>-9.0909090909090939E-2</v>
      </c>
      <c r="X344" s="1240">
        <f>IFERROR(Model!X344/Model!T344-1,"NA")</f>
        <v>-2.7027027027027084E-2</v>
      </c>
      <c r="Y344" s="1240">
        <f>IFERROR(Model!Y344/Model!U344-1,"NA")</f>
        <v>7.8947368421052655E-2</v>
      </c>
      <c r="Z344" s="1240">
        <f>IFERROR(Model!Z344/Model!V344-1,"NA")</f>
        <v>0.10526315789473695</v>
      </c>
      <c r="AA344" s="1240">
        <f>IFERROR(Model!AA344/Model!W344-1,"NA")</f>
        <v>0.125</v>
      </c>
      <c r="AB344" s="1240">
        <f>IFERROR(Model!AB344/Model!X344-1,"NA")</f>
        <v>0.16666666666666674</v>
      </c>
      <c r="AC344" s="1381">
        <f>IFERROR(Model!AC344/Model!Y344-1,"NA")</f>
        <v>0.12000000000000011</v>
      </c>
      <c r="AD344" s="1381">
        <f>IFERROR(Model!AD344/Model!Z344-1,"NA")</f>
        <v>0.10000000000000009</v>
      </c>
      <c r="AE344" s="1381">
        <f>IFERROR(Model!AE344/Model!AA344-1,"NA")</f>
        <v>9.000000000000008E-2</v>
      </c>
      <c r="AF344" s="1381">
        <f>IFERROR(Model!AF344/Model!AB344-1,"NA")</f>
        <v>8.0000000000000071E-2</v>
      </c>
      <c r="AG344" s="1381">
        <f>IFERROR(Model!AG344/Model!AC344-1,"NA")</f>
        <v>7.0000000000000062E-2</v>
      </c>
      <c r="AH344" s="1381">
        <f>IFERROR(Model!AH344/Model!AD344-1,"NA")</f>
        <v>6.0000000000000053E-2</v>
      </c>
      <c r="AI344" s="1381">
        <f>IFERROR(Model!AI344/Model!AE344-1,"NA")</f>
        <v>6.0000000000000053E-2</v>
      </c>
      <c r="AJ344" s="1381"/>
      <c r="AK344" s="1381"/>
      <c r="AL344" s="1381"/>
      <c r="AM344" s="1381"/>
      <c r="AN344" s="1381"/>
      <c r="AO344" s="1381"/>
      <c r="AP344" s="1381"/>
      <c r="AQ344" s="1381"/>
      <c r="AR344" s="1236"/>
      <c r="AS344" s="1410"/>
      <c r="AT344" s="1284"/>
      <c r="AU344" s="1236"/>
      <c r="AV344" s="1236">
        <f>IFERROR(Model!AV344/Model!AU344-1,"NA")</f>
        <v>0.1637426900584793</v>
      </c>
      <c r="AW344" s="1236">
        <f>IFERROR(Model!AW344/Model!AV344-1,"NA")</f>
        <v>-3.015075376884413E-2</v>
      </c>
      <c r="AX344" s="1236">
        <f>IFERROR(Model!AX344/Model!AW344-1,"NA")</f>
        <v>-0.13471502590673567</v>
      </c>
      <c r="AY344" s="1236">
        <f>IFERROR(Model!AY344/Model!AX344-1,"NA")</f>
        <v>-8.3832335329341423E-2</v>
      </c>
      <c r="AZ344" s="1263">
        <f>IFERROR(Model!AZ344/Model!AY344-1,"NA")</f>
        <v>7.1895424836601274E-2</v>
      </c>
      <c r="BA344" s="1263">
        <f>IFERROR(Model!BA344/Model!AZ344-1,"NA")</f>
        <v>0.11689024390243907</v>
      </c>
      <c r="BB344" s="1381">
        <f>IFERROR(Model!BB344/Model!BA344-1,"NA")</f>
        <v>6.7092864552055653E-2</v>
      </c>
      <c r="BC344" s="1381">
        <f>IFERROR(Model!BC344/Model!BB344-1,"NA")</f>
        <v>6.0000000000000053E-2</v>
      </c>
      <c r="BD344" s="1381">
        <f>IFERROR(Model!BD344/Model!BC344-1,"NA")</f>
        <v>6.0000000000000053E-2</v>
      </c>
      <c r="BE344" s="1381">
        <f>IFERROR(Model!BE344/Model!BD344-1,"NA")</f>
        <v>6.0000000000000053E-2</v>
      </c>
    </row>
    <row r="345" spans="1:74" s="369" customFormat="1" x14ac:dyDescent="0.2">
      <c r="A345" s="411"/>
      <c r="B345" s="334"/>
      <c r="C345" s="321"/>
      <c r="D345" s="1311"/>
      <c r="E345" s="1311"/>
      <c r="F345" s="1311"/>
      <c r="G345" s="1311"/>
      <c r="H345" s="1311"/>
      <c r="I345" s="1311"/>
      <c r="J345" s="1311"/>
      <c r="K345" s="1311"/>
      <c r="L345" s="1311"/>
      <c r="M345" s="1311"/>
      <c r="N345" s="1311"/>
      <c r="O345" s="1311"/>
      <c r="P345" s="1311"/>
      <c r="Q345" s="1311"/>
      <c r="R345" s="1311"/>
      <c r="S345" s="1311"/>
      <c r="T345" s="1311"/>
      <c r="U345" s="1311"/>
      <c r="V345" s="1311"/>
      <c r="W345" s="1311"/>
      <c r="X345" s="1311"/>
      <c r="Y345" s="1311"/>
      <c r="Z345" s="1311"/>
      <c r="AA345" s="1311"/>
      <c r="AB345" s="1311"/>
      <c r="AC345" s="1284"/>
      <c r="AD345" s="1284"/>
      <c r="AE345" s="1284"/>
      <c r="AF345" s="1284"/>
      <c r="AG345" s="1284"/>
      <c r="AH345" s="1284"/>
      <c r="AI345" s="1284"/>
      <c r="AJ345" s="1284"/>
      <c r="AK345" s="1284"/>
      <c r="AL345" s="1284"/>
      <c r="AM345" s="1284"/>
      <c r="AN345" s="1284"/>
      <c r="AO345" s="1284"/>
      <c r="AP345" s="1284"/>
      <c r="AQ345" s="1284"/>
      <c r="AR345" s="1236"/>
      <c r="AS345" s="1410"/>
      <c r="AT345" s="1284"/>
      <c r="AU345" s="1263"/>
      <c r="AV345" s="1263"/>
      <c r="AW345" s="1263"/>
      <c r="AX345" s="1263"/>
      <c r="AY345" s="1263"/>
      <c r="AZ345" s="1263"/>
      <c r="BA345" s="1263"/>
      <c r="BB345" s="1263"/>
      <c r="BC345" s="1263"/>
      <c r="BD345" s="1263"/>
      <c r="BE345" s="1263"/>
    </row>
    <row r="346" spans="1:74" s="369" customFormat="1" x14ac:dyDescent="0.2">
      <c r="A346" s="411"/>
      <c r="B346" s="337" t="s">
        <v>508</v>
      </c>
      <c r="C346" s="367"/>
      <c r="D346" s="1426"/>
      <c r="E346" s="1426"/>
      <c r="F346" s="1426"/>
      <c r="G346" s="1426"/>
      <c r="H346" s="1426"/>
      <c r="I346" s="1426"/>
      <c r="J346" s="1426"/>
      <c r="K346" s="1426"/>
      <c r="L346" s="1426"/>
      <c r="M346" s="1426"/>
      <c r="N346" s="1426"/>
      <c r="O346" s="1426"/>
      <c r="P346" s="1426"/>
      <c r="Q346" s="1426"/>
      <c r="R346" s="1426"/>
      <c r="S346" s="1426"/>
      <c r="T346" s="1426"/>
      <c r="U346" s="1426"/>
      <c r="V346" s="1426"/>
      <c r="W346" s="1426"/>
      <c r="X346" s="1426"/>
      <c r="Y346" s="1426"/>
      <c r="Z346" s="1426"/>
      <c r="AA346" s="1426"/>
      <c r="AB346" s="1426"/>
      <c r="AC346" s="1417"/>
      <c r="AD346" s="1417"/>
      <c r="AE346" s="1417"/>
      <c r="AF346" s="1417"/>
      <c r="AG346" s="1417"/>
      <c r="AH346" s="1417"/>
      <c r="AI346" s="1417"/>
      <c r="AJ346" s="1417"/>
      <c r="AK346" s="1417"/>
      <c r="AL346" s="1417"/>
      <c r="AM346" s="1417"/>
      <c r="AN346" s="1417"/>
      <c r="AO346" s="1417"/>
      <c r="AP346" s="1417"/>
      <c r="AQ346" s="1417"/>
      <c r="AR346" s="1236"/>
      <c r="AS346" s="1418"/>
      <c r="AT346" s="1417"/>
      <c r="AU346" s="1398"/>
      <c r="AV346" s="1398"/>
      <c r="AW346" s="1398"/>
      <c r="AX346" s="1398"/>
      <c r="AY346" s="1398"/>
      <c r="AZ346" s="1398"/>
      <c r="BA346" s="1398"/>
      <c r="BB346" s="1398"/>
      <c r="BC346" s="1398"/>
      <c r="BD346" s="1398"/>
      <c r="BE346" s="1398"/>
    </row>
    <row r="347" spans="1:74" s="369" customFormat="1" x14ac:dyDescent="0.2">
      <c r="A347" s="411"/>
      <c r="B347" s="334" t="s">
        <v>223</v>
      </c>
      <c r="C347" s="321"/>
      <c r="D347" s="1436"/>
      <c r="E347" s="1436"/>
      <c r="F347" s="1436"/>
      <c r="G347" s="1436"/>
      <c r="H347" s="1436">
        <f>IFERROR(Model!H347/Model!D347-1,"NA")</f>
        <v>6.0702875399361034E-2</v>
      </c>
      <c r="I347" s="1436">
        <f>IFERROR(Model!I347/Model!E347-1,"NA")</f>
        <v>0.15960912052117271</v>
      </c>
      <c r="J347" s="1436">
        <f>IFERROR(Model!J347/Model!F347-1,"NA")</f>
        <v>0.15238095238095228</v>
      </c>
      <c r="K347" s="1436">
        <f>IFERROR(Model!K347/Model!G347-1,"NA")</f>
        <v>8.1460674157303403E-2</v>
      </c>
      <c r="L347" s="1436">
        <f>IFERROR(Model!L347/Model!H347-1,"NA")</f>
        <v>-4.5180722891566272E-2</v>
      </c>
      <c r="M347" s="1436">
        <f>IFERROR(Model!M347/Model!I347-1,"NA")</f>
        <v>-6.1797752808988804E-2</v>
      </c>
      <c r="N347" s="1436">
        <f>IFERROR(Model!N347/Model!J347-1,"NA")</f>
        <v>-2.2038567493112948E-2</v>
      </c>
      <c r="O347" s="1436">
        <f>IFERROR(Model!O347/Model!K347-1,"NA")</f>
        <v>-6.7532467532467555E-2</v>
      </c>
      <c r="P347" s="1436">
        <f>IFERROR(Model!P347/Model!L347-1,"NA")</f>
        <v>-0.19873817034700314</v>
      </c>
      <c r="Q347" s="1436">
        <f>IFERROR(Model!Q347/Model!M347-1,"NA")</f>
        <v>-0.15269461077844315</v>
      </c>
      <c r="R347" s="1436">
        <f>IFERROR(Model!R347/Model!N347-1,"NA")</f>
        <v>-0.20563380281690136</v>
      </c>
      <c r="S347" s="1436">
        <f>IFERROR(Model!S347/Model!O347-1,"NA")</f>
        <v>-0.22284122562674091</v>
      </c>
      <c r="T347" s="1432">
        <f>IFERROR(Model!T347/Model!P347-1,"NA")</f>
        <v>-9.8425196850393748E-2</v>
      </c>
      <c r="U347" s="1432">
        <f>IFERROR(Model!U347/Model!Q347-1,"NA")</f>
        <v>-8.1272084805653733E-2</v>
      </c>
      <c r="V347" s="1432">
        <f>IFERROR(Model!V347/Model!R347-1,"NA")</f>
        <v>-0.14184397163120566</v>
      </c>
      <c r="W347" s="1432">
        <f>IFERROR(Model!W347/Model!S347-1,"NA")</f>
        <v>-0.12186379928315416</v>
      </c>
      <c r="X347" s="1432">
        <f>IFERROR(Model!X347/Model!T347-1,"NA")</f>
        <v>-0.12227074235807855</v>
      </c>
      <c r="Y347" s="1432">
        <f>IFERROR(Model!Y347/Model!U347-1,"NA")</f>
        <v>-5.7692307692307709E-2</v>
      </c>
      <c r="Z347" s="1432">
        <f>IFERROR(Model!Z347/Model!V347-1,"NA")</f>
        <v>2.8925619834710758E-2</v>
      </c>
      <c r="AA347" s="1284">
        <f>IFERROR(Model!AA347/Model!W347-1,"NA")</f>
        <v>3.2653061224489743E-2</v>
      </c>
      <c r="AB347" s="1284">
        <f>IFERROR(Model!AB347/Model!X347-1,"NA")</f>
        <v>0.19402985074626855</v>
      </c>
      <c r="AC347" s="1284">
        <f>IFERROR(Model!AC347/Model!Y347-1,"NA")</f>
        <v>-1</v>
      </c>
      <c r="AD347" s="1284">
        <f>IFERROR(Model!AD347/Model!Z347-1,"NA")</f>
        <v>-1</v>
      </c>
      <c r="AE347" s="1284">
        <f>IFERROR(Model!AE347/Model!AA347-1,"NA")</f>
        <v>-1</v>
      </c>
      <c r="AF347" s="1284">
        <f>IFERROR(Model!AF347/Model!AB347-1,"NA")</f>
        <v>-1</v>
      </c>
      <c r="AG347" s="1284" t="str">
        <f>IFERROR(Model!AG347/Model!AC347-1,"NA")</f>
        <v>NA</v>
      </c>
      <c r="AH347" s="1284" t="str">
        <f>IFERROR(Model!AH347/Model!AD347-1,"NA")</f>
        <v>NA</v>
      </c>
      <c r="AI347" s="1284" t="str">
        <f>IFERROR(Model!AI347/Model!AE347-1,"NA")</f>
        <v>NA</v>
      </c>
      <c r="AJ347" s="1284"/>
      <c r="AK347" s="1284"/>
      <c r="AL347" s="1284"/>
      <c r="AM347" s="1284"/>
      <c r="AN347" s="1284"/>
      <c r="AO347" s="1284"/>
      <c r="AP347" s="1284"/>
      <c r="AQ347" s="1284"/>
      <c r="AR347" s="1236"/>
      <c r="AS347" s="1410"/>
      <c r="AT347" s="1284"/>
      <c r="AU347" s="1236"/>
      <c r="AV347" s="1236">
        <f>IFERROR(Model!AV347/Model!AU347-1,"NA")</f>
        <v>0.112316034082107</v>
      </c>
      <c r="AW347" s="1236">
        <f>IFERROR(Model!AW347/Model!AV347-1,"NA")</f>
        <v>-4.9442896935933178E-2</v>
      </c>
      <c r="AX347" s="1236">
        <f>IFERROR(Model!AX347/Model!AW347-1,"NA")</f>
        <v>-0.19560439560439558</v>
      </c>
      <c r="AY347" s="1236">
        <f>IFERROR(Model!AY347/Model!AX347-1,"NA")</f>
        <v>-0.11111111111111116</v>
      </c>
      <c r="AZ347" s="1263" t="str">
        <f>IFERROR(Model!AZ347/Model!AY347-1,"NA")</f>
        <v>NA</v>
      </c>
      <c r="BA347" s="1263" t="str">
        <f>IFERROR(Model!BA347/Model!AZ347-1,"NA")</f>
        <v>NA</v>
      </c>
      <c r="BB347" s="1263" t="str">
        <f>IFERROR(Model!BB347/Model!BA347-1,"NA")</f>
        <v>NA</v>
      </c>
      <c r="BC347" s="1263" t="str">
        <f>IFERROR(Model!BC347/Model!BB347-1,"NA")</f>
        <v>NA</v>
      </c>
      <c r="BD347" s="1263" t="str">
        <f>IFERROR(Model!BD347/Model!BC347-1,"NA")</f>
        <v>NA</v>
      </c>
      <c r="BE347" s="1263" t="str">
        <f>IFERROR(Model!BE347/Model!BD347-1,"NA")</f>
        <v>NA</v>
      </c>
    </row>
    <row r="348" spans="1:74" s="369" customFormat="1" x14ac:dyDescent="0.2">
      <c r="A348" s="411"/>
      <c r="B348" s="334"/>
      <c r="C348" s="334" t="s">
        <v>105</v>
      </c>
      <c r="D348" s="1262"/>
      <c r="E348" s="1262"/>
      <c r="F348" s="1262"/>
      <c r="G348" s="1262"/>
      <c r="H348" s="1262"/>
      <c r="I348" s="1262"/>
      <c r="J348" s="1262"/>
      <c r="K348" s="1262"/>
      <c r="L348" s="1262"/>
      <c r="M348" s="1262"/>
      <c r="N348" s="1262"/>
      <c r="O348" s="1262"/>
      <c r="P348" s="1262"/>
      <c r="Q348" s="1262"/>
      <c r="R348" s="1262"/>
      <c r="S348" s="1262"/>
      <c r="T348" s="1272"/>
      <c r="U348" s="1272"/>
      <c r="V348" s="1272"/>
      <c r="W348" s="1272"/>
      <c r="X348" s="1272"/>
      <c r="Y348" s="1272"/>
      <c r="Z348" s="1272"/>
      <c r="AA348" s="1272"/>
      <c r="AB348" s="1272"/>
      <c r="AC348" s="1284"/>
      <c r="AD348" s="1284"/>
      <c r="AE348" s="1284"/>
      <c r="AF348" s="1284"/>
      <c r="AG348" s="1284"/>
      <c r="AH348" s="1284"/>
      <c r="AI348" s="1284"/>
      <c r="AJ348" s="1284"/>
      <c r="AK348" s="1284"/>
      <c r="AL348" s="1284"/>
      <c r="AM348" s="1284"/>
      <c r="AN348" s="1284"/>
      <c r="AO348" s="1284"/>
      <c r="AP348" s="1284"/>
      <c r="AQ348" s="1284"/>
      <c r="AR348" s="1236"/>
      <c r="AS348" s="1410"/>
      <c r="AT348" s="1410"/>
      <c r="AU348" s="1274"/>
      <c r="AV348" s="1274"/>
      <c r="AW348" s="1274"/>
      <c r="AX348" s="1274"/>
      <c r="AY348" s="1274"/>
      <c r="AZ348" s="1263"/>
      <c r="BA348" s="1263"/>
      <c r="BB348" s="1263"/>
      <c r="BC348" s="1263"/>
      <c r="BD348" s="1263"/>
      <c r="BE348" s="1263"/>
    </row>
    <row r="349" spans="1:74" x14ac:dyDescent="0.2">
      <c r="B349" s="321"/>
      <c r="C349" s="319"/>
      <c r="D349" s="407"/>
      <c r="E349" s="407"/>
      <c r="F349" s="407"/>
      <c r="G349" s="407"/>
      <c r="H349" s="407"/>
      <c r="I349" s="407"/>
      <c r="J349" s="407"/>
      <c r="K349" s="407"/>
      <c r="L349" s="407"/>
      <c r="M349" s="407"/>
      <c r="N349" s="407"/>
      <c r="O349" s="407"/>
      <c r="P349" s="407"/>
      <c r="Q349" s="407"/>
      <c r="R349" s="407"/>
      <c r="S349" s="407"/>
      <c r="T349" s="407"/>
      <c r="U349" s="407"/>
      <c r="V349" s="407"/>
      <c r="W349" s="407"/>
      <c r="X349" s="407"/>
      <c r="Y349" s="407"/>
      <c r="Z349" s="407"/>
      <c r="AA349" s="407"/>
      <c r="AB349" s="407"/>
      <c r="AC349" s="407"/>
      <c r="AD349" s="407"/>
      <c r="AE349" s="407"/>
      <c r="AF349" s="407"/>
      <c r="AG349" s="407"/>
      <c r="AH349" s="407"/>
      <c r="AI349" s="407"/>
      <c r="AJ349" s="407"/>
      <c r="AK349" s="407"/>
      <c r="AL349" s="407"/>
      <c r="AM349" s="407"/>
      <c r="AN349" s="407"/>
      <c r="AO349" s="407"/>
      <c r="AP349" s="407"/>
      <c r="AQ349" s="407"/>
      <c r="AR349" s="1236"/>
      <c r="AS349" s="1284"/>
      <c r="AT349" s="1248"/>
      <c r="AU349" s="1236"/>
      <c r="AV349" s="1236"/>
      <c r="AW349" s="1236"/>
      <c r="AX349" s="1236"/>
      <c r="AY349" s="1236"/>
      <c r="AZ349" s="1236"/>
      <c r="BA349" s="1236"/>
      <c r="BB349" s="1236"/>
      <c r="BC349" s="1236"/>
      <c r="BD349" s="1236"/>
      <c r="BE349" s="1236"/>
    </row>
    <row r="350" spans="1:74" x14ac:dyDescent="0.2">
      <c r="A350" s="829"/>
      <c r="B350" s="16"/>
      <c r="C350" s="16"/>
      <c r="D350" s="407"/>
      <c r="E350" s="407"/>
      <c r="F350" s="407"/>
      <c r="G350" s="407"/>
      <c r="H350" s="407"/>
      <c r="I350" s="407"/>
      <c r="J350" s="407"/>
      <c r="K350" s="407"/>
      <c r="L350" s="407"/>
      <c r="M350" s="407"/>
      <c r="N350" s="407"/>
      <c r="O350" s="407"/>
      <c r="P350" s="407"/>
      <c r="Q350" s="407"/>
      <c r="R350" s="407"/>
      <c r="S350" s="407"/>
      <c r="T350" s="407"/>
      <c r="U350" s="407"/>
      <c r="V350" s="407"/>
      <c r="W350" s="407"/>
      <c r="X350" s="407"/>
      <c r="Y350" s="407"/>
      <c r="Z350" s="407"/>
      <c r="AA350" s="407"/>
      <c r="AB350" s="407"/>
      <c r="AC350" s="407"/>
      <c r="AD350" s="407"/>
      <c r="AE350" s="407"/>
      <c r="AF350" s="407"/>
      <c r="AG350" s="407"/>
      <c r="AH350" s="407"/>
      <c r="AI350" s="407"/>
      <c r="AJ350" s="407"/>
      <c r="AK350" s="407"/>
      <c r="AL350" s="407"/>
      <c r="AM350" s="407"/>
      <c r="AN350" s="407"/>
      <c r="AO350" s="407"/>
      <c r="AP350" s="407"/>
      <c r="AQ350" s="407"/>
      <c r="AR350" s="1236"/>
      <c r="AS350" s="1371"/>
      <c r="AT350" s="1371"/>
      <c r="AU350" s="1236"/>
      <c r="AV350" s="1236"/>
      <c r="AW350" s="1236"/>
      <c r="AX350" s="1236"/>
      <c r="AY350" s="1236"/>
      <c r="AZ350" s="1236"/>
      <c r="BA350" s="1236"/>
      <c r="BB350" s="1236"/>
      <c r="BC350" s="1236"/>
      <c r="BD350" s="1236"/>
      <c r="BE350" s="1236"/>
    </row>
    <row r="351" spans="1:74" x14ac:dyDescent="0.2">
      <c r="A351" s="411" t="s">
        <v>194</v>
      </c>
      <c r="B351" s="166" t="s">
        <v>230</v>
      </c>
      <c r="C351" s="166"/>
      <c r="D351" s="1405"/>
      <c r="E351" s="1405"/>
      <c r="F351" s="1405"/>
      <c r="G351" s="1405"/>
      <c r="H351" s="1405"/>
      <c r="I351" s="1405"/>
      <c r="J351" s="1405"/>
      <c r="K351" s="1405"/>
      <c r="L351" s="1405"/>
      <c r="M351" s="1405"/>
      <c r="N351" s="1405"/>
      <c r="O351" s="1405"/>
      <c r="P351" s="1405"/>
      <c r="Q351" s="1405"/>
      <c r="R351" s="1405"/>
      <c r="S351" s="1405"/>
      <c r="T351" s="1405"/>
      <c r="U351" s="1405"/>
      <c r="V351" s="1405"/>
      <c r="W351" s="1405"/>
      <c r="X351" s="1405"/>
      <c r="Y351" s="1405"/>
      <c r="Z351" s="1405"/>
      <c r="AA351" s="1405"/>
      <c r="AB351" s="1405"/>
      <c r="AC351" s="1405"/>
      <c r="AD351" s="1405"/>
      <c r="AE351" s="1405"/>
      <c r="AF351" s="1405"/>
      <c r="AG351" s="1405"/>
      <c r="AH351" s="1405"/>
      <c r="AI351" s="1405"/>
      <c r="AJ351" s="1405"/>
      <c r="AK351" s="1405"/>
      <c r="AL351" s="1405"/>
      <c r="AM351" s="1405"/>
      <c r="AN351" s="1405"/>
      <c r="AO351" s="1405"/>
      <c r="AP351" s="1405"/>
      <c r="AQ351" s="1405"/>
      <c r="AR351" s="1236"/>
      <c r="AS351" s="1406"/>
      <c r="AT351" s="1406"/>
      <c r="AU351" s="1405"/>
      <c r="AV351" s="1405"/>
      <c r="AW351" s="1405"/>
      <c r="AX351" s="1405"/>
      <c r="AY351" s="1405"/>
      <c r="AZ351" s="1405"/>
      <c r="BA351" s="1405"/>
      <c r="BB351" s="1405"/>
      <c r="BC351" s="1405"/>
      <c r="BD351" s="1405"/>
      <c r="BE351" s="1405"/>
      <c r="BF351" s="15"/>
      <c r="BG351" s="15"/>
      <c r="BH351" s="15"/>
      <c r="BI351" s="15"/>
      <c r="BJ351" s="15"/>
      <c r="BK351" s="15"/>
      <c r="BL351" s="15"/>
      <c r="BM351" s="15"/>
      <c r="BN351" s="15"/>
      <c r="BO351" s="15"/>
      <c r="BP351" s="15"/>
      <c r="BQ351" s="15"/>
      <c r="BR351" s="15"/>
      <c r="BS351" s="15"/>
      <c r="BT351" s="15"/>
      <c r="BU351" s="15"/>
      <c r="BV351" s="15"/>
    </row>
    <row r="352" spans="1:74" x14ac:dyDescent="0.2">
      <c r="B352" s="16"/>
      <c r="C352" s="16"/>
      <c r="D352" s="1250"/>
      <c r="E352" s="1250"/>
      <c r="F352" s="1250"/>
      <c r="G352" s="1250"/>
      <c r="H352" s="1250"/>
      <c r="I352" s="1250"/>
      <c r="J352" s="1250"/>
      <c r="K352" s="1250"/>
      <c r="L352" s="1250"/>
      <c r="M352" s="1250"/>
      <c r="N352" s="1250"/>
      <c r="O352" s="1250"/>
      <c r="P352" s="1250"/>
      <c r="Q352" s="1250"/>
      <c r="R352" s="1250"/>
      <c r="S352" s="1250"/>
      <c r="T352" s="1250"/>
      <c r="U352" s="1250"/>
      <c r="V352" s="1250"/>
      <c r="W352" s="1250"/>
      <c r="X352" s="1250"/>
      <c r="Y352" s="1250"/>
      <c r="Z352" s="1250"/>
      <c r="AA352" s="1250"/>
      <c r="AB352" s="1250"/>
      <c r="AC352" s="1250"/>
      <c r="AD352" s="1250"/>
      <c r="AE352" s="1250"/>
      <c r="AF352" s="1250"/>
      <c r="AG352" s="1250"/>
      <c r="AH352" s="1250"/>
      <c r="AI352" s="1250"/>
      <c r="AJ352" s="1250"/>
      <c r="AK352" s="1250"/>
      <c r="AL352" s="1250"/>
      <c r="AM352" s="1250"/>
      <c r="AN352" s="1250"/>
      <c r="AO352" s="1250"/>
      <c r="AP352" s="1250"/>
      <c r="AQ352" s="1250"/>
      <c r="AR352" s="1236"/>
      <c r="AS352" s="1371"/>
      <c r="AT352" s="1371"/>
      <c r="AU352" s="1236"/>
      <c r="AV352" s="1236"/>
      <c r="AW352" s="1236"/>
      <c r="AX352" s="1236"/>
      <c r="AY352" s="1236"/>
      <c r="AZ352" s="1236"/>
      <c r="BA352" s="1236"/>
      <c r="BB352" s="1236"/>
      <c r="BC352" s="1236"/>
      <c r="BD352" s="1236"/>
      <c r="BE352" s="1236"/>
    </row>
    <row r="353" spans="1:57" x14ac:dyDescent="0.2">
      <c r="B353" s="315" t="s">
        <v>642</v>
      </c>
      <c r="C353" s="321"/>
      <c r="D353" s="1267"/>
      <c r="E353" s="1267"/>
      <c r="F353" s="1267"/>
      <c r="G353" s="1267"/>
      <c r="H353" s="1267">
        <f>IFERROR(Model!H353/Model!D353-1,"NA")</f>
        <v>-5.4953000723065748E-2</v>
      </c>
      <c r="I353" s="1267">
        <f>IFERROR(Model!I353/Model!E353-1,"NA")</f>
        <v>-5.2122114668652242E-2</v>
      </c>
      <c r="J353" s="1267">
        <f>IFERROR(Model!J353/Model!F353-1,"NA")</f>
        <v>-6.9767441860465129E-2</v>
      </c>
      <c r="K353" s="1267">
        <f>IFERROR(Model!K353/Model!G353-1,"NA")</f>
        <v>-5.5720653789004482E-2</v>
      </c>
      <c r="L353" s="1267">
        <f>IFERROR(Model!L353/Model!H353-1,"NA")</f>
        <v>-5.8913542463657209E-2</v>
      </c>
      <c r="M353" s="1267">
        <f>IFERROR(Model!M353/Model!I353-1,"NA")</f>
        <v>-1.5710919088767206E-3</v>
      </c>
      <c r="N353" s="1267">
        <f>IFERROR(Model!N353/Model!J353-1,"NA")</f>
        <v>1.9354838709677358E-2</v>
      </c>
      <c r="O353" s="1267">
        <f>IFERROR(Model!O353/Model!K353-1,"NA")</f>
        <v>-5.2714398111723071E-2</v>
      </c>
      <c r="P353" s="1267">
        <f>IFERROR(Model!P353/Model!L353-1,"NA")</f>
        <v>-7.8048780487804836E-2</v>
      </c>
      <c r="Q353" s="1267">
        <f>IFERROR(Model!Q353/Model!M353-1,"NA")</f>
        <v>-9.0479937057435067E-2</v>
      </c>
      <c r="R353" s="1267">
        <f>IFERROR(Model!R353/Model!N353-1,"NA")</f>
        <v>-0.12420886075949367</v>
      </c>
      <c r="S353" s="1267">
        <f>IFERROR(Model!S353/Model!O353-1,"NA")</f>
        <v>-8.8870431893687707E-2</v>
      </c>
      <c r="T353" s="1252">
        <f>IFERROR(Model!T353/Model!P353-1,"NA")</f>
        <v>-2.9100529100529071E-2</v>
      </c>
      <c r="U353" s="1252">
        <f>IFERROR(Model!U353/Model!Q353-1,"NA")</f>
        <v>-3.4602076124567449E-2</v>
      </c>
      <c r="V353" s="1252">
        <f>IFERROR(Model!V353/Model!R353-1,"NA")</f>
        <v>2.6196928635953132E-2</v>
      </c>
      <c r="W353" s="1252">
        <f>IFERROR(Model!W353/Model!S353-1,"NA")</f>
        <v>1.185050136736554E-2</v>
      </c>
      <c r="X353" s="1252">
        <f>IFERROR(Model!X353/Model!T353-1,"NA")</f>
        <v>1.180744777475029E-2</v>
      </c>
      <c r="Y353" s="1252">
        <f>IFERROR(Model!Y353/Model!U353-1,"NA")</f>
        <v>4.0322580645161255E-2</v>
      </c>
      <c r="Z353" s="1252">
        <f>IFERROR(Model!Z353/Model!V353-1,"NA")</f>
        <v>6.3380281690140761E-2</v>
      </c>
      <c r="AA353" s="1252">
        <f>IFERROR(Model!AA353/Model!W353-1,"NA")</f>
        <v>9.8198198198198305E-2</v>
      </c>
      <c r="AB353" s="1252">
        <f>IFERROR(Model!AB353/Model!X353-1,"NA")</f>
        <v>0.106822262118492</v>
      </c>
      <c r="AC353" s="1250">
        <f>IFERROR(Model!AC353/Model!Y353-1,"NA")</f>
        <v>9.5125006548440583E-2</v>
      </c>
      <c r="AD353" s="1250">
        <f>IFERROR(Model!AD353/Model!Z353-1,"NA")</f>
        <v>8.4415671618434107E-2</v>
      </c>
      <c r="AE353" s="1250">
        <f>IFERROR(Model!AE353/Model!AA353-1,"NA")</f>
        <v>9.6122734980615299E-2</v>
      </c>
      <c r="AF353" s="1250">
        <f>IFERROR(Model!AF353/Model!AB353-1,"NA")</f>
        <v>7.4169163548425177E-2</v>
      </c>
      <c r="AG353" s="1250">
        <f>IFERROR(Model!AG353/Model!AC353-1,"NA")</f>
        <v>6.4845043324009977E-2</v>
      </c>
      <c r="AH353" s="1250">
        <f>IFERROR(Model!AH353/Model!AD353-1,"NA")</f>
        <v>6.4139533286968087E-2</v>
      </c>
      <c r="AI353" s="1250">
        <f>IFERROR(Model!AI353/Model!AE353-1,"NA")</f>
        <v>6.7397205486015022E-2</v>
      </c>
      <c r="AJ353" s="1250"/>
      <c r="AK353" s="1250"/>
      <c r="AL353" s="1250"/>
      <c r="AM353" s="1250"/>
      <c r="AN353" s="1250"/>
      <c r="AO353" s="1250"/>
      <c r="AP353" s="1250"/>
      <c r="AQ353" s="1250"/>
      <c r="AR353" s="1236"/>
      <c r="AS353" s="1400"/>
      <c r="AT353" s="1284"/>
      <c r="AU353" s="1236"/>
      <c r="AV353" s="1236">
        <f>IFERROR(Model!AV353/Model!AU353-1,"NA")</f>
        <v>-5.8094357076780789E-2</v>
      </c>
      <c r="AW353" s="1236">
        <f>IFERROR(Model!AW353/Model!AV353-1,"NA")</f>
        <v>-2.3963857788253828E-2</v>
      </c>
      <c r="AX353" s="1236">
        <f>IFERROR(Model!AX353/Model!AW353-1,"NA")</f>
        <v>-9.5592674582410941E-2</v>
      </c>
      <c r="AY353" s="1236">
        <f>IFERROR(Model!AY353/Model!AX353-1,"NA")</f>
        <v>-6.8980863373386825E-3</v>
      </c>
      <c r="AZ353" s="1236">
        <f>IFERROR(Model!AZ353/Model!AY353-1,"NA")</f>
        <v>5.3551422809769322E-2</v>
      </c>
      <c r="BA353" s="1236">
        <f>IFERROR(Model!BA353/Model!AZ353-1,"NA")</f>
        <v>9.5403632041509479E-2</v>
      </c>
      <c r="BB353" s="1250">
        <f>IFERROR(Model!BB353/Model!BA353-1,"NA")</f>
        <v>6.7559795971620096E-2</v>
      </c>
      <c r="BC353" s="1250">
        <f>IFERROR(Model!BC353/Model!BB353-1,"NA")</f>
        <v>5.4488608601452659E-2</v>
      </c>
      <c r="BD353" s="1250">
        <f>IFERROR(Model!BD353/Model!BC353-1,"NA")</f>
        <v>5.9057804897016064E-2</v>
      </c>
      <c r="BE353" s="1250">
        <f>IFERROR(Model!BE353/Model!BD353-1,"NA")</f>
        <v>5.8980336198732441E-2</v>
      </c>
    </row>
    <row r="354" spans="1:57" x14ac:dyDescent="0.2">
      <c r="B354" s="375" t="s">
        <v>206</v>
      </c>
      <c r="C354" s="376"/>
      <c r="D354" s="1285"/>
      <c r="E354" s="1285"/>
      <c r="F354" s="1285"/>
      <c r="G354" s="1285"/>
      <c r="H354" s="1285">
        <f>IFERROR(Model!H354/Model!D354-1,"NA")</f>
        <v>0.10917721518987333</v>
      </c>
      <c r="I354" s="1285">
        <f>IFERROR(Model!I354/Model!E354-1,"NA")</f>
        <v>0.19838709677419364</v>
      </c>
      <c r="J354" s="1285">
        <f>IFERROR(Model!J354/Model!F354-1,"NA")</f>
        <v>0</v>
      </c>
      <c r="K354" s="1285">
        <f>IFERROR(Model!K354/Model!G354-1,"NA")</f>
        <v>-7.2058823529411731E-2</v>
      </c>
      <c r="L354" s="1285">
        <f>IFERROR(Model!L354/Model!H354-1,"NA")</f>
        <v>2.1398002853067144E-2</v>
      </c>
      <c r="M354" s="1285">
        <f>IFERROR(Model!M354/Model!I354-1,"NA")</f>
        <v>-2.1534320323014833E-2</v>
      </c>
      <c r="N354" s="1285">
        <f>IFERROR(Model!N354/Model!J354-1,"NA")</f>
        <v>0.10549777117384851</v>
      </c>
      <c r="O354" s="1285">
        <f>IFERROR(Model!O354/Model!K354-1,"NA")</f>
        <v>6.3391442155309452E-3</v>
      </c>
      <c r="P354" s="1285">
        <f>IFERROR(Model!P354/Model!L354-1,"NA")</f>
        <v>-5.5865921787709549E-2</v>
      </c>
      <c r="Q354" s="1285">
        <f>IFERROR(Model!Q354/Model!M354-1,"NA")</f>
        <v>-3.1636863823933936E-2</v>
      </c>
      <c r="R354" s="1285">
        <f>IFERROR(Model!R354/Model!N354-1,"NA")</f>
        <v>-0.20564516129032262</v>
      </c>
      <c r="S354" s="1285">
        <f>IFERROR(Model!S354/Model!O354-1,"NA")</f>
        <v>-0.13543307086614176</v>
      </c>
      <c r="T354" s="1276">
        <f>IFERROR(Model!T354/Model!P354-1,"NA")</f>
        <v>-0.18047337278106512</v>
      </c>
      <c r="U354" s="1276">
        <f>IFERROR(Model!U354/Model!Q354-1,"NA")</f>
        <v>-0.12926136363636365</v>
      </c>
      <c r="V354" s="1276">
        <f>IFERROR(Model!V354/Model!R354-1,"NA")</f>
        <v>5.2453468697123418E-2</v>
      </c>
      <c r="W354" s="1276">
        <f>IFERROR(Model!W354/Model!S354-1,"NA")</f>
        <v>6.7395264116575593E-2</v>
      </c>
      <c r="X354" s="1276">
        <f>IFERROR(Model!X354/Model!T354-1,"NA")</f>
        <v>0.11913357400722013</v>
      </c>
      <c r="Y354" s="1276">
        <f>IFERROR(Model!Y354/Model!U354-1,"NA")</f>
        <v>7.3409461663947795E-2</v>
      </c>
      <c r="Z354" s="1276">
        <f>IFERROR(Model!Z354/Model!V354-1,"NA")</f>
        <v>8.8424437299035263E-2</v>
      </c>
      <c r="AA354" s="1276">
        <f>IFERROR(Model!AA354/Model!W354-1,"NA")</f>
        <v>0.17576791808873726</v>
      </c>
      <c r="AB354" s="1276">
        <f>IFERROR(Model!AB354/Model!X354-1,"NA")</f>
        <v>0.1225806451612903</v>
      </c>
      <c r="AC354" s="1246">
        <f>IFERROR(Model!AC354/Model!Y354-1,"NA")</f>
        <v>9.4504392721821873E-2</v>
      </c>
      <c r="AD354" s="1246">
        <f>IFERROR(Model!AD354/Model!Z354-1,"NA")</f>
        <v>8.6129116772222458E-2</v>
      </c>
      <c r="AE354" s="1246">
        <f>IFERROR(Model!AE354/Model!AA354-1,"NA")</f>
        <v>7.850914132214637E-2</v>
      </c>
      <c r="AF354" s="1246">
        <f>IFERROR(Model!AF354/Model!AB354-1,"NA")</f>
        <v>3.059575935117298E-2</v>
      </c>
      <c r="AG354" s="1246">
        <f>IFERROR(Model!AG354/Model!AC354-1,"NA")</f>
        <v>2.677326256448298E-2</v>
      </c>
      <c r="AH354" s="1246">
        <f>IFERROR(Model!AH354/Model!AD354-1,"NA")</f>
        <v>7.4156730704216356E-2</v>
      </c>
      <c r="AI354" s="1246">
        <f>IFERROR(Model!AI354/Model!AE354-1,"NA")</f>
        <v>7.3615028057521181E-2</v>
      </c>
      <c r="AJ354" s="1236"/>
      <c r="AK354" s="1236"/>
      <c r="AL354" s="1236"/>
      <c r="AM354" s="1236"/>
      <c r="AN354" s="1236"/>
      <c r="AO354" s="1236"/>
      <c r="AP354" s="1236"/>
      <c r="AQ354" s="1236"/>
      <c r="AR354" s="1236"/>
      <c r="AS354" s="1402"/>
      <c r="AT354" s="1270"/>
      <c r="AU354" s="1246"/>
      <c r="AV354" s="1246">
        <f>IFERROR(Model!AV354/Model!AU354-1,"NA")</f>
        <v>5.4894433781190077E-2</v>
      </c>
      <c r="AW354" s="1246">
        <f>IFERROR(Model!AW354/Model!AV354-1,"NA")</f>
        <v>2.6928675400291091E-2</v>
      </c>
      <c r="AX354" s="1246">
        <f>IFERROR(Model!AX354/Model!AW354-1,"NA")</f>
        <v>-0.107016300496102</v>
      </c>
      <c r="AY354" s="1246">
        <f>IFERROR(Model!AY354/Model!AX354-1,"NA")</f>
        <v>-5.7539682539682557E-2</v>
      </c>
      <c r="AZ354" s="1246">
        <f>IFERROR(Model!AZ354/Model!AY354-1,"NA")</f>
        <v>0.11326315789473673</v>
      </c>
      <c r="BA354" s="1246">
        <f>IFERROR(Model!BA354/Model!AZ354-1,"NA")</f>
        <v>9.4775378531283039E-2</v>
      </c>
      <c r="BB354" s="1246">
        <f>IFERROR(Model!BB354/Model!BA354-1,"NA")</f>
        <v>5.175429402954701E-2</v>
      </c>
      <c r="BC354" s="1246">
        <f>IFERROR(Model!BC354/Model!BB354-1,"NA")</f>
        <v>6.8910507062572401E-2</v>
      </c>
      <c r="BD354" s="1246">
        <f>IFERROR(Model!BD354/Model!BC354-1,"NA")</f>
        <v>5.3248084550753028E-2</v>
      </c>
      <c r="BE354" s="1246">
        <f>IFERROR(Model!BE354/Model!BD354-1,"NA")</f>
        <v>5.326890660832917E-2</v>
      </c>
    </row>
    <row r="355" spans="1:57" x14ac:dyDescent="0.2">
      <c r="B355" s="316" t="s">
        <v>643</v>
      </c>
      <c r="C355" s="387"/>
      <c r="D355" s="1287"/>
      <c r="E355" s="1287"/>
      <c r="F355" s="1287"/>
      <c r="G355" s="1287"/>
      <c r="H355" s="1287">
        <f>IFERROR(Model!H355/Model!D355-1,"NA")</f>
        <v>-3.4739454094292466E-3</v>
      </c>
      <c r="I355" s="1287">
        <f>IFERROR(Model!I355/Model!E355-1,"NA")</f>
        <v>2.6999490575649432E-2</v>
      </c>
      <c r="J355" s="1287">
        <f>IFERROR(Model!J355/Model!F355-1,"NA")</f>
        <v>-4.6360917248255196E-2</v>
      </c>
      <c r="K355" s="1287">
        <f>IFERROR(Model!K355/Model!G355-1,"NA")</f>
        <v>-6.1204343534057237E-2</v>
      </c>
      <c r="L355" s="1287">
        <f>IFERROR(Model!L355/Model!H355-1,"NA")</f>
        <v>-3.0876494023904355E-2</v>
      </c>
      <c r="M355" s="1287">
        <f>IFERROR(Model!M355/Model!I355-1,"NA")</f>
        <v>-8.9285714285713969E-3</v>
      </c>
      <c r="N355" s="1287">
        <f>IFERROR(Model!N355/Model!J355-1,"NA")</f>
        <v>4.9660219550444307E-2</v>
      </c>
      <c r="O355" s="1287">
        <f>IFERROR(Model!O355/Model!K355-1,"NA")</f>
        <v>-3.3123028391167209E-2</v>
      </c>
      <c r="P355" s="1287">
        <f>IFERROR(Model!P355/Model!L355-1,"NA")</f>
        <v>-6.9886947584789305E-2</v>
      </c>
      <c r="Q355" s="1287">
        <f>IFERROR(Model!Q355/Model!M355-1,"NA")</f>
        <v>-6.9069069069069067E-2</v>
      </c>
      <c r="R355" s="1287">
        <f>IFERROR(Model!R355/Model!N355-1,"NA")</f>
        <v>-0.15438247011952189</v>
      </c>
      <c r="S355" s="1287">
        <f>IFERROR(Model!S355/Model!O355-1,"NA")</f>
        <v>-0.10494834148994014</v>
      </c>
      <c r="T355" s="1287">
        <f>IFERROR(Model!T355/Model!P355-1,"NA")</f>
        <v>-8.5635359116022047E-2</v>
      </c>
      <c r="U355" s="1287">
        <f>IFERROR(Model!U355/Model!Q355-1,"NA")</f>
        <v>-7.0430107526881724E-2</v>
      </c>
      <c r="V355" s="1287">
        <f>IFERROR(Model!V355/Model!R355-1,"NA")</f>
        <v>3.5335689045936425E-2</v>
      </c>
      <c r="W355" s="1287">
        <f>IFERROR(Model!W355/Model!S355-1,"NA")</f>
        <v>3.037667071688932E-2</v>
      </c>
      <c r="X355" s="1287">
        <f>IFERROR(Model!X355/Model!T355-1,"NA")</f>
        <v>4.7734138972809648E-2</v>
      </c>
      <c r="Y355" s="1287">
        <f>IFERROR(Model!Y355/Model!U355-1,"NA")</f>
        <v>5.205320994794671E-2</v>
      </c>
      <c r="Z355" s="1287">
        <f>IFERROR(Model!Z355/Model!V355-1,"NA")</f>
        <v>7.2241183162684797E-2</v>
      </c>
      <c r="AA355" s="1287">
        <f>IFERROR(Model!AA355/Model!W355-1,"NA")</f>
        <v>0.125</v>
      </c>
      <c r="AB355" s="1287">
        <f>IFERROR(Model!AB355/Model!X355-1,"NA")</f>
        <v>0.11245674740484435</v>
      </c>
      <c r="AC355" s="1287">
        <f>IFERROR(Model!AC355/Model!Y355-1,"NA")</f>
        <v>9.4900507429191094E-2</v>
      </c>
      <c r="AD355" s="1287">
        <f>IFERROR(Model!AD355/Model!Z355-1,"NA")</f>
        <v>8.5031057490643436E-2</v>
      </c>
      <c r="AE355" s="1287">
        <f>IFERROR(Model!AE355/Model!AA355-1,"NA")</f>
        <v>8.9762270603946037E-2</v>
      </c>
      <c r="AF355" s="1287">
        <f>IFERROR(Model!AF355/Model!AB355-1,"NA")</f>
        <v>5.8447499825621918E-2</v>
      </c>
      <c r="AG355" s="1287">
        <f>IFERROR(Model!AG355/Model!AC355-1,"NA")</f>
        <v>5.1078045705262864E-2</v>
      </c>
      <c r="AH355" s="1287">
        <f>IFERROR(Model!AH355/Model!AD355-1,"NA")</f>
        <v>6.7740862582943207E-2</v>
      </c>
      <c r="AI355" s="1287">
        <f>IFERROR(Model!AI355/Model!AE355-1,"NA")</f>
        <v>6.9619344576549391E-2</v>
      </c>
      <c r="AJ355" s="1287"/>
      <c r="AK355" s="1287"/>
      <c r="AL355" s="1287"/>
      <c r="AM355" s="1287"/>
      <c r="AN355" s="1287"/>
      <c r="AO355" s="1287"/>
      <c r="AP355" s="1287"/>
      <c r="AQ355" s="1287"/>
      <c r="AR355" s="1236"/>
      <c r="AS355" s="1248"/>
      <c r="AT355" s="1248"/>
      <c r="AU355" s="1236"/>
      <c r="AV355" s="1236">
        <f>IFERROR(Model!AV355/Model!AU355-1,"NA")</f>
        <v>-2.1348314606741581E-2</v>
      </c>
      <c r="AW355" s="1236">
        <f>IFERROR(Model!AW355/Model!AV355-1,"NA")</f>
        <v>-6.1232300038269738E-3</v>
      </c>
      <c r="AX355" s="1236">
        <f>IFERROR(Model!AX355/Model!AW355-1,"NA")</f>
        <v>-9.9730458221024221E-2</v>
      </c>
      <c r="AY355" s="1236">
        <f>IFERROR(Model!AY355/Model!AX355-1,"NA")</f>
        <v>-2.509267179925867E-2</v>
      </c>
      <c r="AZ355" s="1236">
        <f>IFERROR(Model!AZ355/Model!AY355-1,"NA")</f>
        <v>7.4290728283123775E-2</v>
      </c>
      <c r="BA355" s="1236">
        <f>IFERROR(Model!BA355/Model!AZ355-1,"NA")</f>
        <v>9.5177508670826194E-2</v>
      </c>
      <c r="BB355" s="1287">
        <f>IFERROR(Model!BB355/Model!BA355-1,"NA")</f>
        <v>6.1873108976482127E-2</v>
      </c>
      <c r="BC355" s="1287">
        <f>IFERROR(Model!BC355/Model!BB355-1,"NA")</f>
        <v>5.9628040748239686E-2</v>
      </c>
      <c r="BD355" s="1287">
        <f>IFERROR(Model!BD355/Model!BC355-1,"NA")</f>
        <v>5.6969298380470823E-2</v>
      </c>
      <c r="BE355" s="1287">
        <f>IFERROR(Model!BE355/Model!BD355-1,"NA")</f>
        <v>5.6934392212704132E-2</v>
      </c>
    </row>
    <row r="356" spans="1:57" x14ac:dyDescent="0.2">
      <c r="B356" s="316"/>
      <c r="C356" s="387"/>
      <c r="D356" s="1250"/>
      <c r="E356" s="1250"/>
      <c r="F356" s="1250"/>
      <c r="G356" s="1250"/>
      <c r="H356" s="1250"/>
      <c r="I356" s="1250"/>
      <c r="J356" s="1250"/>
      <c r="K356" s="1250"/>
      <c r="L356" s="1250"/>
      <c r="M356" s="1250"/>
      <c r="N356" s="1250"/>
      <c r="O356" s="1250"/>
      <c r="P356" s="1250"/>
      <c r="Q356" s="1250"/>
      <c r="R356" s="1250"/>
      <c r="S356" s="1250"/>
      <c r="T356" s="1250"/>
      <c r="U356" s="1250"/>
      <c r="V356" s="1250"/>
      <c r="W356" s="1250"/>
      <c r="X356" s="1250"/>
      <c r="Y356" s="1250"/>
      <c r="Z356" s="1250"/>
      <c r="AA356" s="1250"/>
      <c r="AB356" s="1250"/>
      <c r="AC356" s="1250"/>
      <c r="AD356" s="1250"/>
      <c r="AE356" s="1250"/>
      <c r="AF356" s="1250"/>
      <c r="AG356" s="1250"/>
      <c r="AH356" s="1250"/>
      <c r="AI356" s="1250"/>
      <c r="AJ356" s="1250"/>
      <c r="AK356" s="1250"/>
      <c r="AL356" s="1250"/>
      <c r="AM356" s="1250"/>
      <c r="AN356" s="1250"/>
      <c r="AO356" s="1250"/>
      <c r="AP356" s="1250"/>
      <c r="AQ356" s="1250"/>
      <c r="AR356" s="1236"/>
      <c r="AS356" s="1239"/>
      <c r="AT356" s="1248"/>
      <c r="AU356" s="1236"/>
      <c r="AV356" s="1236"/>
      <c r="AW356" s="1236"/>
      <c r="AX356" s="1236"/>
      <c r="AY356" s="1236"/>
      <c r="AZ356" s="1236"/>
      <c r="BA356" s="1236"/>
      <c r="BB356" s="1250"/>
      <c r="BC356" s="1250"/>
      <c r="BD356" s="1250"/>
      <c r="BE356" s="1250"/>
    </row>
    <row r="357" spans="1:57" x14ac:dyDescent="0.2">
      <c r="B357" s="322" t="s">
        <v>184</v>
      </c>
      <c r="C357" s="387"/>
      <c r="D357" s="1252"/>
      <c r="E357" s="1252"/>
      <c r="F357" s="1252"/>
      <c r="G357" s="1252"/>
      <c r="H357" s="1252">
        <f>IFERROR(Model!H357/Model!D357-1,"NA")</f>
        <v>-1.0196078431372602E-2</v>
      </c>
      <c r="I357" s="1252">
        <f>IFERROR(Model!I357/Model!E357-1,"NA")</f>
        <v>-2.0766773162939289E-2</v>
      </c>
      <c r="J357" s="1252">
        <f>IFERROR(Model!J357/Model!F357-1,"NA")</f>
        <v>-5.7210031347962431E-2</v>
      </c>
      <c r="K357" s="1252">
        <f>IFERROR(Model!K357/Model!G357-1,"NA")</f>
        <v>-0.10721944245889925</v>
      </c>
      <c r="L357" s="1252">
        <f>IFERROR(Model!L357/Model!H357-1,"NA")</f>
        <v>-4.041204437400947E-2</v>
      </c>
      <c r="M357" s="1252">
        <f>IFERROR(Model!M357/Model!I357-1,"NA")</f>
        <v>0.22267536704730828</v>
      </c>
      <c r="N357" s="1252">
        <f>IFERROR(Model!N357/Model!J357-1,"NA")</f>
        <v>6.0681629260182834E-2</v>
      </c>
      <c r="O357" s="1252">
        <f>IFERROR(Model!O357/Model!K357-1,"NA")</f>
        <v>-2.7221777421937543E-2</v>
      </c>
      <c r="P357" s="1252">
        <f>IFERROR(Model!P357/Model!L357-1,"NA")</f>
        <v>-3.6333608587943877E-2</v>
      </c>
      <c r="Q357" s="1252">
        <f>IFERROR(Model!Q357/Model!M357-1,"NA")</f>
        <v>-0.21547698465643761</v>
      </c>
      <c r="R357" s="1252">
        <f>IFERROR(Model!R357/Model!N357-1,"NA")</f>
        <v>-0.12382445141065834</v>
      </c>
      <c r="S357" s="1252">
        <f>IFERROR(Model!S357/Model!O357-1,"NA")</f>
        <v>-7.9835390946502049E-2</v>
      </c>
      <c r="T357" s="1252">
        <f>IFERROR(Model!T357/Model!P357-1,"NA")</f>
        <v>1.3710368466152589E-2</v>
      </c>
      <c r="U357" s="1252">
        <f>IFERROR(Model!U357/Model!Q357-1,"NA")</f>
        <v>-2.5510204081632626E-2</v>
      </c>
      <c r="V357" s="1252">
        <f>IFERROR(Model!V357/Model!R357-1,"NA")</f>
        <v>8.0500894454382799E-3</v>
      </c>
      <c r="W357" s="1252">
        <f>IFERROR(Model!W357/Model!S357-1,"NA")</f>
        <v>1.1627906976744207E-2</v>
      </c>
      <c r="X357" s="1252">
        <f>IFERROR(Model!X357/Model!T357-1,"NA")</f>
        <v>3.3812341504648735E-3</v>
      </c>
      <c r="Y357" s="1252">
        <f>IFERROR(Model!Y357/Model!U357-1,"NA")</f>
        <v>4.1884816753926746E-2</v>
      </c>
      <c r="Z357" s="1252">
        <f>IFERROR(Model!Z357/Model!V357-1,"NA")</f>
        <v>5.6787932564330124E-2</v>
      </c>
      <c r="AA357" s="1252">
        <f>IFERROR(Model!AA357/Model!W357-1,"NA")</f>
        <v>8.4880636604774518E-2</v>
      </c>
      <c r="AB357" s="1252">
        <f>IFERROR(Model!AB357/Model!X357-1,"NA")</f>
        <v>7.5821398483572056E-2</v>
      </c>
      <c r="AC357" s="1429">
        <f>IFERROR(Model!AC357/Model!Y357-1,"NA")</f>
        <v>8.4217432963906269E-2</v>
      </c>
      <c r="AD357" s="1429">
        <f>IFERROR(Model!AD357/Model!Z357-1,"NA")</f>
        <v>9.0474433282840661E-2</v>
      </c>
      <c r="AE357" s="1429">
        <f>IFERROR(Model!AE357/Model!AA357-1,"NA")</f>
        <v>7.6066969697089704E-2</v>
      </c>
      <c r="AF357" s="1429">
        <f>IFERROR(Model!AF357/Model!AB357-1,"NA")</f>
        <v>-7.1200706557139615E-4</v>
      </c>
      <c r="AG357" s="1429">
        <f>IFERROR(Model!AG357/Model!AC357-1,"NA")</f>
        <v>-5.5184644480976708E-3</v>
      </c>
      <c r="AH357" s="1429">
        <f>IFERROR(Model!AH357/Model!AD357-1,"NA")</f>
        <v>2.5703820748969042E-2</v>
      </c>
      <c r="AI357" s="1429">
        <f>IFERROR(Model!AI357/Model!AE357-1,"NA")</f>
        <v>2.7508346758575053E-2</v>
      </c>
      <c r="AJ357" s="1429"/>
      <c r="AK357" s="1429"/>
      <c r="AL357" s="1429"/>
      <c r="AM357" s="1429"/>
      <c r="AN357" s="1429"/>
      <c r="AO357" s="1429"/>
      <c r="AP357" s="1429"/>
      <c r="AQ357" s="1429"/>
      <c r="AR357" s="1236"/>
      <c r="AS357" s="1248"/>
      <c r="AT357" s="1248"/>
      <c r="AU357" s="1236"/>
      <c r="AV357" s="1236">
        <f>IFERROR(Model!AV357/Model!AU357-1,"NA")</f>
        <v>-5.036524413687038E-2</v>
      </c>
      <c r="AW357" s="1236">
        <f>IFERROR(Model!AW357/Model!AV357-1,"NA")</f>
        <v>5.2834008097166096E-2</v>
      </c>
      <c r="AX357" s="1236">
        <f>IFERROR(Model!AX357/Model!AW357-1,"NA")</f>
        <v>-0.1195923860796001</v>
      </c>
      <c r="AY357" s="1236">
        <f>IFERROR(Model!AY357/Model!AX357-1,"NA")</f>
        <v>1.7471063550993371E-3</v>
      </c>
      <c r="AZ357" s="1236">
        <f>IFERROR(Model!AZ357/Model!AY357-1,"NA")</f>
        <v>4.6217571397427548E-2</v>
      </c>
      <c r="BA357" s="1236">
        <f>IFERROR(Model!BA357/Model!AZ357-1,"NA")</f>
        <v>8.1609676352801808E-2</v>
      </c>
      <c r="BB357" s="1429">
        <f>IFERROR(Model!BB357/Model!BA357-1,"NA")</f>
        <v>1.1877134155156455E-2</v>
      </c>
      <c r="BC357" s="1429">
        <f>IFERROR(Model!BC357/Model!BB357-1,"NA")</f>
        <v>3.4102671179343735E-2</v>
      </c>
      <c r="BD357" s="1429">
        <f>IFERROR(Model!BD357/Model!BC357-1,"NA")</f>
        <v>3.9353143407462987E-2</v>
      </c>
      <c r="BE357" s="1429">
        <f>IFERROR(Model!BE357/Model!BD357-1,"NA")</f>
        <v>3.9020249971811083E-2</v>
      </c>
    </row>
    <row r="358" spans="1:57" x14ac:dyDescent="0.2">
      <c r="B358" s="322"/>
      <c r="C358" s="387"/>
      <c r="D358" s="1250"/>
      <c r="E358" s="1250"/>
      <c r="F358" s="1250"/>
      <c r="G358" s="1250"/>
      <c r="H358" s="1250"/>
      <c r="I358" s="1250"/>
      <c r="J358" s="1250"/>
      <c r="K358" s="1250"/>
      <c r="L358" s="1250"/>
      <c r="M358" s="1250"/>
      <c r="N358" s="1250"/>
      <c r="O358" s="1250"/>
      <c r="P358" s="1250"/>
      <c r="Q358" s="1250"/>
      <c r="R358" s="1250"/>
      <c r="S358" s="1250"/>
      <c r="T358" s="1250"/>
      <c r="U358" s="1250"/>
      <c r="V358" s="1250"/>
      <c r="W358" s="1250"/>
      <c r="X358" s="1250"/>
      <c r="Y358" s="1250"/>
      <c r="Z358" s="1250"/>
      <c r="AA358" s="1250"/>
      <c r="AB358" s="1250"/>
      <c r="AC358" s="1250"/>
      <c r="AD358" s="1250"/>
      <c r="AE358" s="1250"/>
      <c r="AF358" s="1250"/>
      <c r="AG358" s="1250"/>
      <c r="AH358" s="1250"/>
      <c r="AI358" s="1250"/>
      <c r="AJ358" s="1250"/>
      <c r="AK358" s="1250"/>
      <c r="AL358" s="1250"/>
      <c r="AM358" s="1250"/>
      <c r="AN358" s="1250"/>
      <c r="AO358" s="1250"/>
      <c r="AP358" s="1250"/>
      <c r="AQ358" s="1250"/>
      <c r="AR358" s="1236"/>
      <c r="AS358" s="1248"/>
      <c r="AT358" s="1248"/>
      <c r="AU358" s="1236"/>
      <c r="AV358" s="1236"/>
      <c r="AW358" s="1236"/>
      <c r="AX358" s="1236"/>
      <c r="AY358" s="1236"/>
      <c r="AZ358" s="1236"/>
      <c r="BA358" s="1236"/>
      <c r="BB358" s="1250"/>
      <c r="BC358" s="1250"/>
      <c r="BD358" s="1250"/>
      <c r="BE358" s="1250"/>
    </row>
    <row r="359" spans="1:57" x14ac:dyDescent="0.2">
      <c r="B359" s="322" t="s">
        <v>190</v>
      </c>
      <c r="C359" s="387"/>
      <c r="D359" s="1252"/>
      <c r="E359" s="1252"/>
      <c r="F359" s="1252"/>
      <c r="G359" s="1252"/>
      <c r="H359" s="1252">
        <f>IFERROR(Model!H359/Model!D359-1,"NA")</f>
        <v>0.26162790697674421</v>
      </c>
      <c r="I359" s="1252">
        <f>IFERROR(Model!I359/Model!E359-1,"NA")</f>
        <v>0.38095238095238093</v>
      </c>
      <c r="J359" s="1252">
        <f>IFERROR(Model!J359/Model!F359-1,"NA")</f>
        <v>-1.6129032258064502E-2</v>
      </c>
      <c r="K359" s="1252">
        <f>IFERROR(Model!K359/Model!G359-1,"NA")</f>
        <v>-0.15537848605577687</v>
      </c>
      <c r="L359" s="1252">
        <f>IFERROR(Model!L359/Model!H359-1,"NA")</f>
        <v>-8.7557603686635899E-2</v>
      </c>
      <c r="M359" s="1252">
        <f>IFERROR(Model!M359/Model!I359-1,"NA")</f>
        <v>-4.4334975369458074E-2</v>
      </c>
      <c r="N359" s="1252">
        <f>IFERROR(Model!N359/Model!J359-1,"NA")</f>
        <v>-3.2786885245901676E-2</v>
      </c>
      <c r="O359" s="1252">
        <f>IFERROR(Model!O359/Model!K359-1,"NA")</f>
        <v>-5.6603773584905648E-2</v>
      </c>
      <c r="P359" s="1252">
        <f>IFERROR(Model!P359/Model!L359-1,"NA")</f>
        <v>-0.32828282828282829</v>
      </c>
      <c r="Q359" s="1252">
        <f>IFERROR(Model!Q359/Model!M359-1,"NA")</f>
        <v>-8.7628865979381465E-2</v>
      </c>
      <c r="R359" s="1252">
        <f>IFERROR(Model!R359/Model!N359-1,"NA")</f>
        <v>-0.35593220338983056</v>
      </c>
      <c r="S359" s="1252">
        <f>IFERROR(Model!S359/Model!O359-1,"NA")</f>
        <v>3.0000000000000027E-2</v>
      </c>
      <c r="T359" s="1252">
        <f>IFERROR(Model!T359/Model!P359-1,"NA")</f>
        <v>0.12030075187969924</v>
      </c>
      <c r="U359" s="1252">
        <f>IFERROR(Model!U359/Model!Q359-1,"NA")</f>
        <v>-0.23163841807909602</v>
      </c>
      <c r="V359" s="1252">
        <f>IFERROR(Model!V359/Model!R359-1,"NA")</f>
        <v>0.41228070175438591</v>
      </c>
      <c r="W359" s="1252">
        <f>IFERROR(Model!W359/Model!S359-1,"NA")</f>
        <v>-0.16019417475728159</v>
      </c>
      <c r="X359" s="1252">
        <f>IFERROR(Model!X359/Model!T359-1,"NA")</f>
        <v>0.15436241610738266</v>
      </c>
      <c r="Y359" s="1252">
        <f>IFERROR(Model!Y359/Model!U359-1,"NA")</f>
        <v>-5.1470588235294157E-2</v>
      </c>
      <c r="Z359" s="1252">
        <f>IFERROR(Model!Z359/Model!V359-1,"NA")</f>
        <v>-8.0745341614906874E-2</v>
      </c>
      <c r="AA359" s="1252">
        <f>IFERROR(Model!AA359/Model!W359-1,"NA")</f>
        <v>-4.0462427745664775E-2</v>
      </c>
      <c r="AB359" s="1252">
        <f>IFERROR(Model!AB359/Model!X359-1,"NA")</f>
        <v>-0.16860465116279066</v>
      </c>
      <c r="AC359" s="1250">
        <f>IFERROR(Model!AC359/Model!Y359-1,"NA")</f>
        <v>0.35232725708824475</v>
      </c>
      <c r="AD359" s="1250">
        <f>IFERROR(Model!AD359/Model!Z359-1,"NA")</f>
        <v>0.24286778378378404</v>
      </c>
      <c r="AE359" s="1250">
        <f>IFERROR(Model!AE359/Model!AA359-1,"NA")</f>
        <v>0.21034692463528648</v>
      </c>
      <c r="AF359" s="1250">
        <f>IFERROR(Model!AF359/Model!AB359-1,"NA")</f>
        <v>0.41231150903053737</v>
      </c>
      <c r="AG359" s="1250">
        <f>IFERROR(Model!AG359/Model!AC359-1,"NA")</f>
        <v>0.24060959129622606</v>
      </c>
      <c r="AH359" s="1250">
        <f>IFERROR(Model!AH359/Model!AD359-1,"NA")</f>
        <v>0.27714533984285095</v>
      </c>
      <c r="AI359" s="1250">
        <f>IFERROR(Model!AI359/Model!AE359-1,"NA")</f>
        <v>0.25537256891939708</v>
      </c>
      <c r="AJ359" s="1250"/>
      <c r="AK359" s="1250"/>
      <c r="AL359" s="1250"/>
      <c r="AM359" s="1250"/>
      <c r="AN359" s="1250"/>
      <c r="AO359" s="1250"/>
      <c r="AP359" s="1250"/>
      <c r="AQ359" s="1250"/>
      <c r="AR359" s="1236"/>
      <c r="AS359" s="1248"/>
      <c r="AT359" s="1248"/>
      <c r="AU359" s="1236"/>
      <c r="AV359" s="1236">
        <f>IFERROR(Model!AV359/Model!AU359-1,"NA")</f>
        <v>7.8042328042328135E-2</v>
      </c>
      <c r="AW359" s="1236">
        <f>IFERROR(Model!AW359/Model!AV359-1,"NA")</f>
        <v>-5.644171779141105E-2</v>
      </c>
      <c r="AX359" s="1236">
        <f>IFERROR(Model!AX359/Model!AW359-1,"NA")</f>
        <v>-0.1807542262678804</v>
      </c>
      <c r="AY359" s="1236">
        <f>IFERROR(Model!AY359/Model!AX359-1,"NA")</f>
        <v>-1.7460317460317509E-2</v>
      </c>
      <c r="AZ359" s="1236">
        <f>IFERROR(Model!AZ359/Model!AY359-1,"NA")</f>
        <v>-6.4620355411955099E-3</v>
      </c>
      <c r="BA359" s="1236">
        <f>IFERROR(Model!BA359/Model!AZ359-1,"NA")</f>
        <v>0.14197111813632701</v>
      </c>
      <c r="BB359" s="1250">
        <f>IFERROR(Model!BB359/Model!BA359-1,"NA")</f>
        <v>0.28936292605546021</v>
      </c>
      <c r="BC359" s="1250">
        <f>IFERROR(Model!BC359/Model!BB359-1,"NA")</f>
        <v>0.16296566860808004</v>
      </c>
      <c r="BD359" s="1250">
        <f>IFERROR(Model!BD359/Model!BC359-1,"NA")</f>
        <v>0.11692673481645466</v>
      </c>
      <c r="BE359" s="1250">
        <f>IFERROR(Model!BE359/Model!BD359-1,"NA")</f>
        <v>0.1531404092991191</v>
      </c>
    </row>
    <row r="360" spans="1:57" x14ac:dyDescent="0.2">
      <c r="B360" s="322"/>
      <c r="C360" s="322" t="s">
        <v>193</v>
      </c>
      <c r="D360" s="1252"/>
      <c r="E360" s="1252"/>
      <c r="F360" s="1252"/>
      <c r="G360" s="1252"/>
      <c r="H360" s="1252">
        <f>IFERROR(Model!H360/Model!D360-1,"NA")</f>
        <v>3.5714285714285809E-2</v>
      </c>
      <c r="I360" s="1252">
        <f>IFERROR(Model!I360/Model!E360-1,"NA")</f>
        <v>-3.3707865168539297E-2</v>
      </c>
      <c r="J360" s="1252">
        <f>IFERROR(Model!J360/Model!F360-1,"NA")</f>
        <v>-8.1730769230769273E-2</v>
      </c>
      <c r="K360" s="1252">
        <f>IFERROR(Model!K360/Model!G360-1,"NA")</f>
        <v>-0.12888888888888894</v>
      </c>
      <c r="L360" s="1252">
        <f>IFERROR(Model!L360/Model!H360-1,"NA")</f>
        <v>-3.4482758620689613E-2</v>
      </c>
      <c r="M360" s="1252">
        <f>IFERROR(Model!M360/Model!I360-1,"NA")</f>
        <v>0.23255813953488369</v>
      </c>
      <c r="N360" s="1252">
        <f>IFERROR(Model!N360/Model!J360-1,"NA")</f>
        <v>3.6649214659685958E-2</v>
      </c>
      <c r="O360" s="1252">
        <f>IFERROR(Model!O360/Model!K360-1,"NA")</f>
        <v>-3.5714285714285698E-2</v>
      </c>
      <c r="P360" s="1252">
        <f>IFERROR(Model!P360/Model!L360-1,"NA")</f>
        <v>-0.11734693877551017</v>
      </c>
      <c r="Q360" s="1252">
        <f>IFERROR(Model!Q360/Model!M360-1,"NA")</f>
        <v>-0.10849056603773588</v>
      </c>
      <c r="R360" s="1252">
        <f>IFERROR(Model!R360/Model!N360-1,"NA")</f>
        <v>-0.11616161616161613</v>
      </c>
      <c r="S360" s="1252">
        <f>IFERROR(Model!S360/Model!O360-1,"NA")</f>
        <v>-2.6455026455026509E-2</v>
      </c>
      <c r="T360" s="1252">
        <f>IFERROR(Model!T360/Model!P360-1,"NA")</f>
        <v>-7.5144508670520249E-2</v>
      </c>
      <c r="U360" s="1252">
        <f>IFERROR(Model!U360/Model!Q360-1,"NA")</f>
        <v>-0.15343915343915349</v>
      </c>
      <c r="V360" s="1252">
        <f>IFERROR(Model!V360/Model!R360-1,"NA")</f>
        <v>-4.0000000000000036E-2</v>
      </c>
      <c r="W360" s="1252">
        <f>IFERROR(Model!W360/Model!S360-1,"NA")</f>
        <v>-0.11413043478260865</v>
      </c>
      <c r="X360" s="1252">
        <f>IFERROR(Model!X360/Model!T360-1,"NA")</f>
        <v>0</v>
      </c>
      <c r="Y360" s="1252">
        <f>IFERROR(Model!Y360/Model!U360-1,"NA")</f>
        <v>-1.8750000000000044E-2</v>
      </c>
      <c r="Z360" s="1252">
        <f>IFERROR(Model!Z360/Model!V360-1,"NA")</f>
        <v>1.1904761904761862E-2</v>
      </c>
      <c r="AA360" s="1252">
        <f>IFERROR(Model!AA360/Model!W360-1,"NA")</f>
        <v>-6.1349693251533388E-3</v>
      </c>
      <c r="AB360" s="1252">
        <f>IFERROR(Model!AB360/Model!X360-1,"NA")</f>
        <v>1.2499999999999956E-2</v>
      </c>
      <c r="AC360" s="1250">
        <f>IFERROR(Model!AC360/Model!Y360-1,"NA")</f>
        <v>0.1111478736584941</v>
      </c>
      <c r="AD360" s="1250">
        <f>IFERROR(Model!AD360/Model!Z360-1,"NA")</f>
        <v>8.2026070588235411E-2</v>
      </c>
      <c r="AE360" s="1250">
        <f>IFERROR(Model!AE360/Model!AA360-1,"NA")</f>
        <v>0.18117336560527653</v>
      </c>
      <c r="AF360" s="1250">
        <f>IFERROR(Model!AF360/Model!AB360-1,"NA")</f>
        <v>0.1873047959515981</v>
      </c>
      <c r="AG360" s="1250">
        <f>IFERROR(Model!AG360/Model!AC360-1,"NA")</f>
        <v>0.12782690117838724</v>
      </c>
      <c r="AH360" s="1250">
        <f>IFERROR(Model!AH360/Model!AD360-1,"NA")</f>
        <v>0.16104121803895532</v>
      </c>
      <c r="AI360" s="1250">
        <f>IFERROR(Model!AI360/Model!AE360-1,"NA")</f>
        <v>0.19831017942306062</v>
      </c>
      <c r="AJ360" s="1250"/>
      <c r="AK360" s="1250"/>
      <c r="AL360" s="1250"/>
      <c r="AM360" s="1250"/>
      <c r="AN360" s="1250"/>
      <c r="AO360" s="1250"/>
      <c r="AP360" s="1250"/>
      <c r="AQ360" s="1250"/>
      <c r="AR360" s="1236"/>
      <c r="AS360" s="1248"/>
      <c r="AT360" s="1248"/>
      <c r="AU360" s="1236"/>
      <c r="AV360" s="1236">
        <f>IFERROR(Model!AV360/Model!AU360-1,"NA")</f>
        <v>-5.5762081784386575E-2</v>
      </c>
      <c r="AW360" s="1236">
        <f>IFERROR(Model!AW360/Model!AV360-1,"NA")</f>
        <v>4.3307086614173151E-2</v>
      </c>
      <c r="AX360" s="1236">
        <f>IFERROR(Model!AX360/Model!AW360-1,"NA")</f>
        <v>-9.3081761006289288E-2</v>
      </c>
      <c r="AY360" s="1236">
        <f>IFERROR(Model!AY360/Model!AX360-1,"NA")</f>
        <v>-9.7087378640776656E-2</v>
      </c>
      <c r="AZ360" s="1236">
        <f>IFERROR(Model!AZ360/Model!AY360-1,"NA")</f>
        <v>-3.072196620583667E-3</v>
      </c>
      <c r="BA360" s="1236">
        <f>IFERROR(Model!BA360/Model!AZ360-1,"NA")</f>
        <v>9.6679096136268683E-2</v>
      </c>
      <c r="BB360" s="1250">
        <f>IFERROR(Model!BB360/Model!BA360-1,"NA")</f>
        <v>0.1688977901224975</v>
      </c>
      <c r="BC360" s="1250">
        <f>IFERROR(Model!BC360/Model!BB360-1,"NA")</f>
        <v>0.15074427728300654</v>
      </c>
      <c r="BD360" s="1250">
        <f>IFERROR(Model!BD360/Model!BC360-1,"NA")</f>
        <v>0.11692673481645488</v>
      </c>
      <c r="BE360" s="1250">
        <f>IFERROR(Model!BE360/Model!BD360-1,"NA")</f>
        <v>0.1531404092991191</v>
      </c>
    </row>
    <row r="361" spans="1:57" x14ac:dyDescent="0.2">
      <c r="B361" s="322"/>
      <c r="C361" s="322" t="s">
        <v>192</v>
      </c>
      <c r="D361" s="1278"/>
      <c r="E361" s="1278"/>
      <c r="F361" s="1278"/>
      <c r="G361" s="1278"/>
      <c r="H361" s="1278">
        <f>IFERROR(Model!H361/Model!D361-1,"NA")</f>
        <v>-1.5833333333333335</v>
      </c>
      <c r="I361" s="1278">
        <f>IFERROR(Model!I361/Model!E361-1,"NA")</f>
        <v>-2</v>
      </c>
      <c r="J361" s="1278">
        <f>IFERROR(Model!J361/Model!F361-1,"NA")</f>
        <v>-0.63636363636363635</v>
      </c>
      <c r="K361" s="1278">
        <f>IFERROR(Model!K361/Model!G361-1,"NA")</f>
        <v>-0.38461538461538458</v>
      </c>
      <c r="L361" s="1278">
        <f>IFERROR(Model!L361/Model!H361-1,"NA")</f>
        <v>-0.85714285714285721</v>
      </c>
      <c r="M361" s="1278">
        <f>IFERROR(Model!M361/Model!I361-1,"NA")</f>
        <v>-1.5806451612903225</v>
      </c>
      <c r="N361" s="1278">
        <f>IFERROR(Model!N361/Model!J361-1,"NA")</f>
        <v>1.625</v>
      </c>
      <c r="O361" s="1278">
        <f>IFERROR(Model!O361/Model!K361-1,"NA")</f>
        <v>-0.3125</v>
      </c>
      <c r="P361" s="1278">
        <f>IFERROR(Model!P361/Model!L361-1,"NA")</f>
        <v>-21</v>
      </c>
      <c r="Q361" s="1278">
        <f>IFERROR(Model!Q361/Model!M361-1,"NA")</f>
        <v>-0.33333333333333337</v>
      </c>
      <c r="R361" s="1278">
        <f>IFERROR(Model!R361/Model!N361-1,"NA")</f>
        <v>1.9047619047619047</v>
      </c>
      <c r="S361" s="1278">
        <f>IFERROR(Model!S361/Model!O361-1,"NA")</f>
        <v>1</v>
      </c>
      <c r="T361" s="1278">
        <f>IFERROR(Model!T361/Model!P361-1,"NA")</f>
        <v>-0.72499999999999998</v>
      </c>
      <c r="U361" s="1278">
        <f>IFERROR(Model!U361/Model!Q361-1,"NA")</f>
        <v>1</v>
      </c>
      <c r="V361" s="1278">
        <f>IFERROR(Model!V361/Model!R361-1,"NA")</f>
        <v>-0.88524590163934425</v>
      </c>
      <c r="W361" s="1278">
        <f>IFERROR(Model!W361/Model!S361-1,"NA")</f>
        <v>-0.54545454545454541</v>
      </c>
      <c r="X361" s="1278">
        <f>IFERROR(Model!X361/Model!T361-1,"NA")</f>
        <v>-2.0909090909090908</v>
      </c>
      <c r="Y361" s="1278">
        <f>IFERROR(Model!Y361/Model!U361-1,"NA")</f>
        <v>0.16666666666666674</v>
      </c>
      <c r="Z361" s="1278">
        <f>IFERROR(Model!Z361/Model!V361-1,"NA")</f>
        <v>2.1428571428571428</v>
      </c>
      <c r="AA361" s="1278">
        <f>IFERROR(Model!AA361/Model!W361-1,"NA")</f>
        <v>-0.6</v>
      </c>
      <c r="AB361" s="1278">
        <f>IFERROR(Model!AB361/Model!X361-1,"NA")</f>
        <v>-2.583333333333333</v>
      </c>
      <c r="AC361" s="1278">
        <f>IFERROR(Model!AC361/Model!Y361-1,"NA")</f>
        <v>-1</v>
      </c>
      <c r="AD361" s="1278">
        <f>IFERROR(Model!AD361/Model!Z361-1,"NA")</f>
        <v>-1</v>
      </c>
      <c r="AE361" s="1278">
        <f>IFERROR(Model!AE361/Model!AA361-1,"NA")</f>
        <v>1.3918760653506865</v>
      </c>
      <c r="AF361" s="1278">
        <f>IFERROR(Model!AF361/Model!AB361-1,"NA")</f>
        <v>-1.5061667814319972</v>
      </c>
      <c r="AG361" s="1278" t="str">
        <f>IFERROR(Model!AG361/Model!AC361-1,"NA")</f>
        <v>NA</v>
      </c>
      <c r="AH361" s="1278" t="str">
        <f>IFERROR(Model!AH361/Model!AD361-1,"NA")</f>
        <v>NA</v>
      </c>
      <c r="AI361" s="1278">
        <f>IFERROR(Model!AI361/Model!AE361-1,"NA")</f>
        <v>1.396620358846123</v>
      </c>
      <c r="AJ361" s="1278"/>
      <c r="AK361" s="1278"/>
      <c r="AL361" s="1278"/>
      <c r="AM361" s="1278"/>
      <c r="AN361" s="1278"/>
      <c r="AO361" s="1278"/>
      <c r="AP361" s="1278"/>
      <c r="AQ361" s="1278"/>
      <c r="AR361" s="1236"/>
      <c r="AS361" s="1248"/>
      <c r="AT361" s="1248"/>
      <c r="AU361" s="1236"/>
      <c r="AV361" s="1236">
        <f>IFERROR(Model!AV361/Model!AU361-1,"NA")</f>
        <v>-2.0392156862745097</v>
      </c>
      <c r="AW361" s="1236">
        <f>IFERROR(Model!AW361/Model!AV361-1,"NA")</f>
        <v>-1.4905660377358489</v>
      </c>
      <c r="AX361" s="1236">
        <f>IFERROR(Model!AX361/Model!AW361-1,"NA")</f>
        <v>2.5</v>
      </c>
      <c r="AY361" s="1236">
        <f>IFERROR(Model!AY361/Model!AX361-1,"NA")</f>
        <v>-0.64835164835164827</v>
      </c>
      <c r="AZ361" s="1236">
        <f>IFERROR(Model!AZ361/Model!AY361-1,"NA")</f>
        <v>6.25E-2</v>
      </c>
      <c r="BA361" s="1236">
        <f>IFERROR(Model!BA361/Model!AZ361-1,"NA")</f>
        <v>-0.72257365474713953</v>
      </c>
      <c r="BB361" s="1278">
        <f>IFERROR(Model!BB361/Model!BA361-1,"NA")</f>
        <v>-8.800535276267091</v>
      </c>
      <c r="BC361" s="1278">
        <f>IFERROR(Model!BC361/Model!BB361-1,"NA")</f>
        <v>0.30115369912926049</v>
      </c>
      <c r="BD361" s="1278">
        <f>IFERROR(Model!BD361/Model!BC361-1,"NA")</f>
        <v>0.11692673481645444</v>
      </c>
      <c r="BE361" s="1278">
        <f>IFERROR(Model!BE361/Model!BD361-1,"NA")</f>
        <v>0.15314040929911954</v>
      </c>
    </row>
    <row r="362" spans="1:57" x14ac:dyDescent="0.2">
      <c r="B362" s="322"/>
      <c r="C362" s="322"/>
      <c r="D362" s="1250"/>
      <c r="E362" s="1250"/>
      <c r="F362" s="1250"/>
      <c r="G362" s="1250"/>
      <c r="H362" s="1250"/>
      <c r="I362" s="1250"/>
      <c r="J362" s="1250"/>
      <c r="K362" s="1250"/>
      <c r="L362" s="1250"/>
      <c r="M362" s="1250"/>
      <c r="N362" s="1250"/>
      <c r="O362" s="1250"/>
      <c r="P362" s="1250"/>
      <c r="Q362" s="1250"/>
      <c r="R362" s="1250"/>
      <c r="S362" s="1250"/>
      <c r="T362" s="1250"/>
      <c r="U362" s="1250"/>
      <c r="V362" s="1250"/>
      <c r="W362" s="1250"/>
      <c r="X362" s="1250"/>
      <c r="Y362" s="1250"/>
      <c r="Z362" s="1250"/>
      <c r="AA362" s="1250"/>
      <c r="AB362" s="1250"/>
      <c r="AC362" s="1250"/>
      <c r="AD362" s="1250"/>
      <c r="AE362" s="1250"/>
      <c r="AF362" s="1250"/>
      <c r="AG362" s="1250"/>
      <c r="AH362" s="1250"/>
      <c r="AI362" s="1250"/>
      <c r="AJ362" s="1250"/>
      <c r="AK362" s="1250"/>
      <c r="AL362" s="1250"/>
      <c r="AM362" s="1250"/>
      <c r="AN362" s="1250"/>
      <c r="AO362" s="1250"/>
      <c r="AP362" s="1250"/>
      <c r="AQ362" s="1250"/>
      <c r="AR362" s="1236"/>
      <c r="AS362" s="1248"/>
      <c r="AT362" s="1248"/>
      <c r="AU362" s="1236"/>
      <c r="AV362" s="1236"/>
      <c r="AW362" s="1236"/>
      <c r="AX362" s="1236"/>
      <c r="AY362" s="1236"/>
      <c r="AZ362" s="1236"/>
      <c r="BA362" s="1236"/>
      <c r="BB362" s="1250"/>
      <c r="BC362" s="1250"/>
      <c r="BD362" s="1250"/>
      <c r="BE362" s="1250"/>
    </row>
    <row r="363" spans="1:57" x14ac:dyDescent="0.2">
      <c r="B363" s="322" t="s">
        <v>89</v>
      </c>
      <c r="C363" s="387"/>
      <c r="D363" s="1287"/>
      <c r="E363" s="1287"/>
      <c r="F363" s="1287"/>
      <c r="G363" s="1287"/>
      <c r="H363" s="1287">
        <f>IFERROR(Model!H363/Model!D363-1,"NA")</f>
        <v>-6.866197183098588E-2</v>
      </c>
      <c r="I363" s="1287">
        <f>IFERROR(Model!I363/Model!E363-1,"NA")</f>
        <v>4.0780141843971718E-2</v>
      </c>
      <c r="J363" s="1287">
        <f>IFERROR(Model!J363/Model!F363-1,"NA")</f>
        <v>-3.125E-2</v>
      </c>
      <c r="K363" s="1287">
        <f>IFERROR(Model!K363/Model!G363-1,"NA")</f>
        <v>0.1728723404255319</v>
      </c>
      <c r="L363" s="1287">
        <f>IFERROR(Model!L363/Model!H363-1,"NA")</f>
        <v>1.512287334593565E-2</v>
      </c>
      <c r="M363" s="1287">
        <f>IFERROR(Model!M363/Model!I363-1,"NA")</f>
        <v>-0.48040885860306648</v>
      </c>
      <c r="N363" s="1287">
        <f>IFERROR(Model!N363/Model!J363-1,"NA")</f>
        <v>5.3130929791271431E-2</v>
      </c>
      <c r="O363" s="1287">
        <f>IFERROR(Model!O363/Model!K363-1,"NA")</f>
        <v>-3.8548752834467126E-2</v>
      </c>
      <c r="P363" s="1287">
        <f>IFERROR(Model!P363/Model!L363-1,"NA")</f>
        <v>-5.027932960893855E-2</v>
      </c>
      <c r="Q363" s="1287">
        <f>IFERROR(Model!Q363/Model!M363-1,"NA")</f>
        <v>0.6622950819672131</v>
      </c>
      <c r="R363" s="1287">
        <f>IFERROR(Model!R363/Model!N363-1,"NA")</f>
        <v>-0.16036036036036039</v>
      </c>
      <c r="S363" s="1287">
        <f>IFERROR(Model!S363/Model!O363-1,"NA")</f>
        <v>-0.24056603773584906</v>
      </c>
      <c r="T363" s="1287">
        <f>IFERROR(Model!T363/Model!P363-1,"NA")</f>
        <v>-0.3666666666666667</v>
      </c>
      <c r="U363" s="1287">
        <f>IFERROR(Model!U363/Model!Q363-1,"NA")</f>
        <v>-0.11834319526627224</v>
      </c>
      <c r="V363" s="1287">
        <f>IFERROR(Model!V363/Model!R363-1,"NA")</f>
        <v>8.5836909871244149E-3</v>
      </c>
      <c r="W363" s="1287">
        <f>IFERROR(Model!W363/Model!S363-1,"NA")</f>
        <v>0.21739130434782616</v>
      </c>
      <c r="X363" s="1287">
        <f>IFERROR(Model!X363/Model!T363-1,"NA")</f>
        <v>0.16099071207430349</v>
      </c>
      <c r="Y363" s="1287">
        <f>IFERROR(Model!Y363/Model!U363-1,"NA")</f>
        <v>0.10961968680089496</v>
      </c>
      <c r="Z363" s="1287">
        <f>IFERROR(Model!Z363/Model!V363-1,"NA")</f>
        <v>0.16170212765957448</v>
      </c>
      <c r="AA363" s="1287">
        <f>IFERROR(Model!AA363/Model!W363-1,"NA")</f>
        <v>0.31377551020408156</v>
      </c>
      <c r="AB363" s="1287">
        <f>IFERROR(Model!AB363/Model!X363-1,"NA")</f>
        <v>0.35733333333333328</v>
      </c>
      <c r="AC363" s="1287">
        <f>IFERROR(Model!AC363/Model!Y363-1,"NA")</f>
        <v>5.3665709456473421E-2</v>
      </c>
      <c r="AD363" s="1287">
        <f>IFERROR(Model!AD363/Model!Z363-1,"NA")</f>
        <v>3.0373738699633668E-2</v>
      </c>
      <c r="AE363" s="1287">
        <f>IFERROR(Model!AE363/Model!AA363-1,"NA")</f>
        <v>8.3523594183577687E-2</v>
      </c>
      <c r="AF363" s="1287">
        <f>IFERROR(Model!AF363/Model!AB363-1,"NA")</f>
        <v>0.10745366285853142</v>
      </c>
      <c r="AG363" s="1287">
        <f>IFERROR(Model!AG363/Model!AC363-1,"NA")</f>
        <v>0.12800516292323461</v>
      </c>
      <c r="AH363" s="1287">
        <f>IFERROR(Model!AH363/Model!AD363-1,"NA")</f>
        <v>9.6317983493146242E-2</v>
      </c>
      <c r="AI363" s="1287">
        <f>IFERROR(Model!AI363/Model!AE363-1,"NA")</f>
        <v>0.10237744388572079</v>
      </c>
      <c r="AJ363" s="1287"/>
      <c r="AK363" s="1287"/>
      <c r="AL363" s="1287"/>
      <c r="AM363" s="1287"/>
      <c r="AN363" s="1287"/>
      <c r="AO363" s="1287"/>
      <c r="AP363" s="1287"/>
      <c r="AQ363" s="1287"/>
      <c r="AR363" s="1236"/>
      <c r="AS363" s="1248"/>
      <c r="AT363" s="1248"/>
      <c r="AU363" s="1236"/>
      <c r="AV363" s="1236">
        <f>IFERROR(Model!AV363/Model!AU363-1,"NA")</f>
        <v>1.5594541910331383E-2</v>
      </c>
      <c r="AW363" s="1236">
        <f>IFERROR(Model!AW363/Model!AV363-1,"NA")</f>
        <v>-0.1261996161228407</v>
      </c>
      <c r="AX363" s="1236">
        <f>IFERROR(Model!AX363/Model!AW363-1,"NA")</f>
        <v>-8.7863811092806499E-3</v>
      </c>
      <c r="AY363" s="1236">
        <f>IFERROR(Model!AY363/Model!AX363-1,"NA")</f>
        <v>-9.5844875346260405E-2</v>
      </c>
      <c r="AZ363" s="1236">
        <f>IFERROR(Model!AZ363/Model!AY363-1,"NA")</f>
        <v>0.18382352941176472</v>
      </c>
      <c r="BA363" s="1236">
        <f>IFERROR(Model!BA363/Model!AZ363-1,"NA")</f>
        <v>0.1139839048783402</v>
      </c>
      <c r="BB363" s="1287">
        <f>IFERROR(Model!BB363/Model!BA363-1,"NA")</f>
        <v>0.10821716746610233</v>
      </c>
      <c r="BC363" s="1287">
        <f>IFERROR(Model!BC363/Model!BB363-1,"NA")</f>
        <v>7.6604472547072477E-2</v>
      </c>
      <c r="BD363" s="1287">
        <f>IFERROR(Model!BD363/Model!BC363-1,"NA")</f>
        <v>6.9641074716043416E-2</v>
      </c>
      <c r="BE363" s="1287">
        <f>IFERROR(Model!BE363/Model!BD363-1,"NA")</f>
        <v>5.2553246337281534E-2</v>
      </c>
    </row>
    <row r="364" spans="1:57" x14ac:dyDescent="0.2">
      <c r="B364" s="15"/>
      <c r="C364" s="322" t="s">
        <v>90</v>
      </c>
      <c r="D364" s="1287"/>
      <c r="E364" s="1287"/>
      <c r="F364" s="1287"/>
      <c r="G364" s="1287"/>
      <c r="H364" s="1287">
        <f>IFERROR(Model!H364/Model!D364-1,"NA")</f>
        <v>0.31707317073170738</v>
      </c>
      <c r="I364" s="1287">
        <f>IFERROR(Model!I364/Model!E364-1,"NA")</f>
        <v>0.35862068965517246</v>
      </c>
      <c r="J364" s="1287">
        <f>IFERROR(Model!J364/Model!F364-1,"NA")</f>
        <v>0.4285714285714286</v>
      </c>
      <c r="K364" s="1287">
        <f>IFERROR(Model!K364/Model!G364-1,"NA")</f>
        <v>1.5535714285714284</v>
      </c>
      <c r="L364" s="1287">
        <f>IFERROR(Model!L364/Model!H364-1,"NA")</f>
        <v>9.8765432098765427E-2</v>
      </c>
      <c r="M364" s="1287">
        <f>IFERROR(Model!M364/Model!I364-1,"NA")</f>
        <v>-0.51776649746192893</v>
      </c>
      <c r="N364" s="1287">
        <f>IFERROR(Model!N364/Model!J364-1,"NA")</f>
        <v>2.7777777777777679E-2</v>
      </c>
      <c r="O364" s="1287">
        <f>IFERROR(Model!O364/Model!K364-1,"NA")</f>
        <v>-6.9930069930069783E-3</v>
      </c>
      <c r="P364" s="1287">
        <f>IFERROR(Model!P364/Model!L364-1,"NA")</f>
        <v>-3.9325842696629199E-2</v>
      </c>
      <c r="Q364" s="1287">
        <f>IFERROR(Model!Q364/Model!M364-1,"NA")</f>
        <v>0.77894736842105261</v>
      </c>
      <c r="R364" s="1287">
        <f>IFERROR(Model!R364/Model!N364-1,"NA")</f>
        <v>-0.13513513513513509</v>
      </c>
      <c r="S364" s="1287">
        <f>IFERROR(Model!S364/Model!O364-1,"NA")</f>
        <v>-0.26056338028169013</v>
      </c>
      <c r="T364" s="1287">
        <f>IFERROR(Model!T364/Model!P364-1,"NA")</f>
        <v>-0.36842105263157898</v>
      </c>
      <c r="U364" s="1287">
        <f>IFERROR(Model!U364/Model!Q364-1,"NA")</f>
        <v>-0.1124260355029586</v>
      </c>
      <c r="V364" s="1287">
        <f>IFERROR(Model!V364/Model!R364-1,"NA")</f>
        <v>0</v>
      </c>
      <c r="W364" s="1287">
        <f>IFERROR(Model!W364/Model!S364-1,"NA")</f>
        <v>0.24761904761904763</v>
      </c>
      <c r="X364" s="1287">
        <f>IFERROR(Model!X364/Model!T364-1,"NA")</f>
        <v>0.16666666666666674</v>
      </c>
      <c r="Y364" s="1287">
        <f>IFERROR(Model!Y364/Model!U364-1,"NA")</f>
        <v>0.10666666666666669</v>
      </c>
      <c r="Z364" s="1287">
        <f>IFERROR(Model!Z364/Model!V364-1,"NA")</f>
        <v>0.16874999999999996</v>
      </c>
      <c r="AA364" s="1287">
        <f>IFERROR(Model!AA364/Model!W364-1,"NA")</f>
        <v>0.33587786259541974</v>
      </c>
      <c r="AB364" s="1287">
        <f>IFERROR(Model!AB364/Model!X364-1,"NA")</f>
        <v>7.9365079365079305E-2</v>
      </c>
      <c r="AC364" s="1287">
        <f>IFERROR(Model!AC364/Model!Y364-1,"NA")</f>
        <v>-0.21292440980359817</v>
      </c>
      <c r="AD364" s="1287">
        <f>IFERROR(Model!AD364/Model!Z364-1,"NA")</f>
        <v>-0.2478822709491979</v>
      </c>
      <c r="AE364" s="1287">
        <f>IFERROR(Model!AE364/Model!AA364-1,"NA")</f>
        <v>-0.20283621285065356</v>
      </c>
      <c r="AF364" s="1287">
        <f>IFERROR(Model!AF364/Model!AB364-1,"NA")</f>
        <v>-5.2460334206014814E-3</v>
      </c>
      <c r="AG364" s="1287">
        <f>IFERROR(Model!AG364/Model!AC364-1,"NA")</f>
        <v>8.2884956406305221E-2</v>
      </c>
      <c r="AH364" s="1287">
        <f>IFERROR(Model!AH364/Model!AD364-1,"NA")</f>
        <v>5.2465264153420232E-2</v>
      </c>
      <c r="AI364" s="1287">
        <f>IFERROR(Model!AI364/Model!AE364-1,"NA")</f>
        <v>5.8282346130291929E-2</v>
      </c>
      <c r="AJ364" s="1287"/>
      <c r="AK364" s="1287"/>
      <c r="AL364" s="1287"/>
      <c r="AM364" s="1287"/>
      <c r="AN364" s="1287"/>
      <c r="AO364" s="1287"/>
      <c r="AP364" s="1287"/>
      <c r="AQ364" s="1287"/>
      <c r="AR364" s="1236"/>
      <c r="AS364" s="1250"/>
      <c r="AT364" s="1248"/>
      <c r="AU364" s="1236"/>
      <c r="AV364" s="1236">
        <f>IFERROR(Model!AV364/Model!AU364-1,"NA")</f>
        <v>0.51555555555555554</v>
      </c>
      <c r="AW364" s="1236">
        <f>IFERROR(Model!AW364/Model!AV364-1,"NA")</f>
        <v>-0.12023460410557185</v>
      </c>
      <c r="AX364" s="1236">
        <f>IFERROR(Model!AX364/Model!AW364-1,"NA")</f>
        <v>8.3333333333333037E-3</v>
      </c>
      <c r="AY364" s="1236">
        <f>IFERROR(Model!AY364/Model!AX364-1,"NA")</f>
        <v>-9.2561983471074361E-2</v>
      </c>
      <c r="AZ364" s="1236">
        <f>IFERROR(Model!AZ364/Model!AY364-1,"NA")</f>
        <v>0.19125683060109289</v>
      </c>
      <c r="BA364" s="1236">
        <f>IFERROR(Model!BA364/Model!AZ364-1,"NA")</f>
        <v>-0.1639079112289934</v>
      </c>
      <c r="BB364" s="1287">
        <f>IFERROR(Model!BB364/Model!BA364-1,"NA")</f>
        <v>4.6864061856405126E-2</v>
      </c>
      <c r="BC364" s="1287">
        <f>IFERROR(Model!BC364/Model!BB364-1,"NA")</f>
        <v>7.6604472547073144E-2</v>
      </c>
      <c r="BD364" s="1287">
        <f>IFERROR(Model!BD364/Model!BC364-1,"NA")</f>
        <v>6.9641074716043416E-2</v>
      </c>
      <c r="BE364" s="1287">
        <f>IFERROR(Model!BE364/Model!BD364-1,"NA")</f>
        <v>5.2553246337281756E-2</v>
      </c>
    </row>
    <row r="365" spans="1:57" x14ac:dyDescent="0.2">
      <c r="B365" s="322"/>
      <c r="C365" s="434" t="s">
        <v>191</v>
      </c>
      <c r="D365" s="1243"/>
      <c r="E365" s="1243"/>
      <c r="F365" s="1243"/>
      <c r="G365" s="1243"/>
      <c r="H365" s="1243"/>
      <c r="I365" s="1243"/>
      <c r="J365" s="1243"/>
      <c r="K365" s="1243"/>
      <c r="L365" s="1243"/>
      <c r="M365" s="1243"/>
      <c r="N365" s="1243"/>
      <c r="O365" s="1243"/>
      <c r="P365" s="1243"/>
      <c r="Q365" s="1243"/>
      <c r="R365" s="1243"/>
      <c r="S365" s="1243"/>
      <c r="T365" s="1243"/>
      <c r="U365" s="1243"/>
      <c r="V365" s="1243"/>
      <c r="W365" s="1243"/>
      <c r="X365" s="1243"/>
      <c r="Y365" s="1243"/>
      <c r="Z365" s="1243"/>
      <c r="AA365" s="1243"/>
      <c r="AB365" s="1243"/>
      <c r="AC365" s="1429"/>
      <c r="AD365" s="1429"/>
      <c r="AE365" s="1429"/>
      <c r="AF365" s="1429"/>
      <c r="AG365" s="1429"/>
      <c r="AH365" s="1429"/>
      <c r="AI365" s="1429"/>
      <c r="AJ365" s="1429"/>
      <c r="AK365" s="1429"/>
      <c r="AL365" s="1429"/>
      <c r="AM365" s="1429"/>
      <c r="AN365" s="1429"/>
      <c r="AO365" s="1429"/>
      <c r="AP365" s="1429"/>
      <c r="AQ365" s="1429"/>
      <c r="AR365" s="1236"/>
      <c r="AS365" s="1248"/>
      <c r="AT365" s="1248"/>
      <c r="AU365" s="1412"/>
      <c r="AV365" s="1412"/>
      <c r="AW365" s="1412"/>
      <c r="AX365" s="1412"/>
      <c r="AY365" s="1412"/>
      <c r="AZ365" s="1412"/>
      <c r="BA365" s="1412"/>
      <c r="BB365" s="1429"/>
      <c r="BC365" s="1429"/>
      <c r="BD365" s="1429"/>
      <c r="BE365" s="1429"/>
    </row>
    <row r="366" spans="1:57" s="160" customFormat="1" x14ac:dyDescent="0.2">
      <c r="A366" s="829"/>
      <c r="B366" s="316" t="s">
        <v>80</v>
      </c>
      <c r="C366" s="427"/>
      <c r="D366" s="1252"/>
      <c r="E366" s="1252"/>
      <c r="F366" s="1252"/>
      <c r="G366" s="1252"/>
      <c r="H366" s="1252">
        <f>IFERROR(Model!H366/Model!D366-1,"NA")</f>
        <v>-0.17528089887640452</v>
      </c>
      <c r="I366" s="1252">
        <f>IFERROR(Model!I366/Model!E366-1,"NA")</f>
        <v>-6.9212410501193311E-2</v>
      </c>
      <c r="J366" s="1252">
        <f>IFERROR(Model!J366/Model!F366-1,"NA")</f>
        <v>-0.16985645933014359</v>
      </c>
      <c r="K366" s="1252">
        <f>IFERROR(Model!K366/Model!G366-1,"NA")</f>
        <v>-6.8749999999999978E-2</v>
      </c>
      <c r="L366" s="1252">
        <f>IFERROR(Model!L366/Model!H366-1,"NA")</f>
        <v>-2.1798365122615793E-2</v>
      </c>
      <c r="M366" s="1252">
        <f>IFERROR(Model!M366/Model!I366-1,"NA")</f>
        <v>-0.46153846153846156</v>
      </c>
      <c r="N366" s="1252">
        <f>IFERROR(Model!N366/Model!J366-1,"NA")</f>
        <v>6.6282420749279591E-2</v>
      </c>
      <c r="O366" s="1252">
        <f>IFERROR(Model!O366/Model!K366-1,"NA")</f>
        <v>-5.3691275167785268E-2</v>
      </c>
      <c r="P366" s="1252">
        <f>IFERROR(Model!P366/Model!L366-1,"NA")</f>
        <v>-5.5710306406685284E-2</v>
      </c>
      <c r="Q366" s="1252">
        <f>IFERROR(Model!Q366/Model!M366-1,"NA")</f>
        <v>0.60952380952380958</v>
      </c>
      <c r="R366" s="1252">
        <f>IFERROR(Model!R366/Model!N366-1,"NA")</f>
        <v>-0.17297297297297298</v>
      </c>
      <c r="S366" s="1252">
        <f>IFERROR(Model!S366/Model!O366-1,"NA")</f>
        <v>-0.23049645390070927</v>
      </c>
      <c r="T366" s="1252">
        <f>IFERROR(Model!T366/Model!P366-1,"NA")</f>
        <v>-0.36578171091445433</v>
      </c>
      <c r="U366" s="1252">
        <f>IFERROR(Model!U366/Model!Q366-1,"NA")</f>
        <v>-0.12130177514792895</v>
      </c>
      <c r="V366" s="1252">
        <f>IFERROR(Model!V366/Model!R366-1,"NA")</f>
        <v>1.3071895424836555E-2</v>
      </c>
      <c r="W366" s="1252">
        <f>IFERROR(Model!W366/Model!S366-1,"NA")</f>
        <v>0.20276497695852536</v>
      </c>
      <c r="X366" s="1252">
        <f>IFERROR(Model!X366/Model!T366-1,"NA")</f>
        <v>0.1581395348837209</v>
      </c>
      <c r="Y366" s="1252">
        <f>IFERROR(Model!Y366/Model!U366-1,"NA")</f>
        <v>0.11111111111111116</v>
      </c>
      <c r="Z366" s="1252">
        <f>IFERROR(Model!Z366/Model!V366-1,"NA")</f>
        <v>0.15806451612903216</v>
      </c>
      <c r="AA366" s="1252">
        <f>IFERROR(Model!AA366/Model!W366-1,"NA")</f>
        <v>0.30268199233716464</v>
      </c>
      <c r="AB366" s="1252">
        <f>IFERROR(Model!AB366/Model!X366-1,"NA")</f>
        <v>0.49799196787148592</v>
      </c>
      <c r="AC366" s="1437">
        <f>IFERROR(Model!AC366/Model!Y366-1,"NA")</f>
        <v>0.18776861793275179</v>
      </c>
      <c r="AD366" s="1437">
        <f>IFERROR(Model!AD366/Model!Z366-1,"NA")</f>
        <v>0.17531489135793854</v>
      </c>
      <c r="AE366" s="1437">
        <f>IFERROR(Model!AE366/Model!AA366-1,"NA")</f>
        <v>0.2309146713335497</v>
      </c>
      <c r="AF366" s="1437">
        <f>IFERROR(Model!AF366/Model!AB366-1,"NA")</f>
        <v>0.14854524112652623</v>
      </c>
      <c r="AG366" s="1437">
        <f>IFERROR(Model!AG366/Model!AC366-1,"NA")</f>
        <v>0.14304523176221107</v>
      </c>
      <c r="AH366" s="1437">
        <f>IFERROR(Model!AH366/Model!AD366-1,"NA")</f>
        <v>0.1109355566063881</v>
      </c>
      <c r="AI366" s="1437">
        <f>IFERROR(Model!AI366/Model!AE366-1,"NA")</f>
        <v>0.11707580980419707</v>
      </c>
      <c r="AJ366" s="1437"/>
      <c r="AK366" s="1437"/>
      <c r="AL366" s="1437"/>
      <c r="AM366" s="1437"/>
      <c r="AN366" s="1437"/>
      <c r="AO366" s="1437"/>
      <c r="AP366" s="1437"/>
      <c r="AQ366" s="1437"/>
      <c r="AR366" s="1236"/>
      <c r="AS366" s="1239"/>
      <c r="AT366" s="1239"/>
      <c r="AU366" s="1396"/>
      <c r="AV366" s="1396">
        <f>IFERROR(Model!AV366/Model!AU366-1,"NA")</f>
        <v>-0.12484394506866414</v>
      </c>
      <c r="AW366" s="1396">
        <f>IFERROR(Model!AW366/Model!AV366-1,"NA")</f>
        <v>-0.12910128388017117</v>
      </c>
      <c r="AX366" s="1396">
        <f>IFERROR(Model!AX366/Model!AW366-1,"NA")</f>
        <v>-1.7199017199017175E-2</v>
      </c>
      <c r="AY366" s="1396">
        <f>IFERROR(Model!AY366/Model!AX366-1,"NA")</f>
        <v>-9.7500000000000031E-2</v>
      </c>
      <c r="AZ366" s="1396">
        <f>IFERROR(Model!AZ366/Model!AY366-1,"NA")</f>
        <v>0.18005540166204992</v>
      </c>
      <c r="BA366" s="1396">
        <f>IFERROR(Model!BA366/Model!AZ366-1,"NA")</f>
        <v>0.25619145396613074</v>
      </c>
      <c r="BB366" s="1437">
        <f>IFERROR(Model!BB366/Model!BA366-1,"NA")</f>
        <v>0.12911406076043286</v>
      </c>
      <c r="BC366" s="1437">
        <f>IFERROR(Model!BC366/Model!BB366-1,"NA")</f>
        <v>7.6604472547072255E-2</v>
      </c>
      <c r="BD366" s="1437">
        <f>IFERROR(Model!BD366/Model!BC366-1,"NA")</f>
        <v>6.9641074716043638E-2</v>
      </c>
      <c r="BE366" s="1437">
        <f>IFERROR(Model!BE366/Model!BD366-1,"NA")</f>
        <v>5.2553246337281756E-2</v>
      </c>
    </row>
    <row r="367" spans="1:57" x14ac:dyDescent="0.2">
      <c r="B367" s="16"/>
      <c r="C367" s="16"/>
      <c r="D367" s="1250"/>
      <c r="E367" s="1250"/>
      <c r="F367" s="1250"/>
      <c r="G367" s="1250"/>
      <c r="H367" s="1250"/>
      <c r="I367" s="1250"/>
      <c r="J367" s="1250"/>
      <c r="K367" s="1250"/>
      <c r="L367" s="1250"/>
      <c r="M367" s="1250"/>
      <c r="N367" s="1250"/>
      <c r="O367" s="1250"/>
      <c r="P367" s="1250"/>
      <c r="Q367" s="1250"/>
      <c r="R367" s="1250"/>
      <c r="S367" s="1250"/>
      <c r="T367" s="1250"/>
      <c r="U367" s="1250"/>
      <c r="V367" s="1250"/>
      <c r="W367" s="1250"/>
      <c r="X367" s="1250"/>
      <c r="Y367" s="1250"/>
      <c r="Z367" s="1250"/>
      <c r="AA367" s="1250"/>
      <c r="AB367" s="1250"/>
      <c r="AC367" s="1250"/>
      <c r="AD367" s="1250"/>
      <c r="AE367" s="1250"/>
      <c r="AF367" s="1250"/>
      <c r="AG367" s="1250"/>
      <c r="AH367" s="1250"/>
      <c r="AI367" s="1250"/>
      <c r="AJ367" s="1250"/>
      <c r="AK367" s="1250"/>
      <c r="AL367" s="1250"/>
      <c r="AM367" s="1250"/>
      <c r="AN367" s="1250"/>
      <c r="AO367" s="1250"/>
      <c r="AP367" s="1250"/>
      <c r="AQ367" s="1250"/>
      <c r="AR367" s="1236"/>
      <c r="AS367" s="1371"/>
      <c r="AT367" s="1371"/>
      <c r="AU367" s="1236"/>
      <c r="AV367" s="1236"/>
      <c r="AW367" s="1236"/>
      <c r="AX367" s="1236"/>
      <c r="AY367" s="1236"/>
      <c r="AZ367" s="1236"/>
      <c r="BA367" s="1236"/>
      <c r="BB367" s="1236"/>
      <c r="BC367" s="1236"/>
      <c r="BD367" s="1236"/>
      <c r="BE367" s="1236"/>
    </row>
    <row r="368" spans="1:57" s="382" customFormat="1" x14ac:dyDescent="0.2">
      <c r="A368" s="833"/>
      <c r="B368" s="340" t="s">
        <v>73</v>
      </c>
      <c r="C368" s="388"/>
      <c r="D368" s="1438"/>
      <c r="E368" s="1438"/>
      <c r="F368" s="1438"/>
      <c r="G368" s="1438"/>
      <c r="H368" s="1438"/>
      <c r="I368" s="1438"/>
      <c r="J368" s="1438"/>
      <c r="K368" s="1438"/>
      <c r="L368" s="1438"/>
      <c r="M368" s="1438"/>
      <c r="N368" s="1438"/>
      <c r="O368" s="1438"/>
      <c r="P368" s="1438"/>
      <c r="Q368" s="1438"/>
      <c r="R368" s="1438"/>
      <c r="S368" s="1438"/>
      <c r="T368" s="1438"/>
      <c r="U368" s="1438"/>
      <c r="V368" s="1438"/>
      <c r="W368" s="1438"/>
      <c r="X368" s="1438"/>
      <c r="Y368" s="1438"/>
      <c r="Z368" s="1438"/>
      <c r="AA368" s="1438"/>
      <c r="AB368" s="1438"/>
      <c r="AC368" s="1407"/>
      <c r="AD368" s="1407"/>
      <c r="AE368" s="1407"/>
      <c r="AF368" s="1407"/>
      <c r="AG368" s="1407"/>
      <c r="AH368" s="1407"/>
      <c r="AI368" s="1407"/>
      <c r="AJ368" s="1407"/>
      <c r="AK368" s="1407"/>
      <c r="AL368" s="1407"/>
      <c r="AM368" s="1407"/>
      <c r="AN368" s="1407"/>
      <c r="AO368" s="1407"/>
      <c r="AP368" s="1407"/>
      <c r="AQ368" s="1407"/>
      <c r="AR368" s="1236"/>
      <c r="AS368" s="1313"/>
      <c r="AT368" s="1407"/>
      <c r="AU368" s="1398"/>
      <c r="AV368" s="1398"/>
      <c r="AW368" s="1398"/>
      <c r="AX368" s="1398"/>
      <c r="AY368" s="1398"/>
      <c r="AZ368" s="1398"/>
      <c r="BA368" s="1398"/>
      <c r="BB368" s="1398"/>
      <c r="BC368" s="1398"/>
      <c r="BD368" s="1398"/>
      <c r="BE368" s="1398"/>
    </row>
    <row r="369" spans="1:57" s="369" customFormat="1" x14ac:dyDescent="0.2">
      <c r="A369" s="411"/>
      <c r="B369" s="321" t="s">
        <v>74</v>
      </c>
      <c r="C369" s="321"/>
      <c r="D369" s="1432"/>
      <c r="E369" s="1432"/>
      <c r="F369" s="1432"/>
      <c r="G369" s="1432"/>
      <c r="H369" s="1432">
        <f>IFERROR(Model!H369/Model!D369-1,"NA")</f>
        <v>-1.3776337115072979E-2</v>
      </c>
      <c r="I369" s="1432">
        <f>IFERROR(Model!I369/Model!E369-1,"NA")</f>
        <v>3.415883859948754E-2</v>
      </c>
      <c r="J369" s="1432">
        <f>IFERROR(Model!J369/Model!F369-1,"NA")</f>
        <v>-6.2706270627062688E-2</v>
      </c>
      <c r="K369" s="1432">
        <f>IFERROR(Model!K369/Model!G369-1,"NA")</f>
        <v>-7.2439633638634482E-2</v>
      </c>
      <c r="L369" s="1432">
        <f>IFERROR(Model!L369/Model!H369-1,"NA")</f>
        <v>-1.396877567789645E-2</v>
      </c>
      <c r="M369" s="1432">
        <f>IFERROR(Model!M369/Model!I369-1,"NA")</f>
        <v>2.4772914946324942E-3</v>
      </c>
      <c r="N369" s="1432">
        <f>IFERROR(Model!N369/Model!J369-1,"NA")</f>
        <v>8.0105633802816989E-2</v>
      </c>
      <c r="O369" s="1432">
        <f>IFERROR(Model!O369/Model!K369-1,"NA")</f>
        <v>1.1669658886894085E-2</v>
      </c>
      <c r="P369" s="1432">
        <f>IFERROR(Model!P369/Model!L369-1,"NA")</f>
        <v>-4.0000000000000036E-2</v>
      </c>
      <c r="Q369" s="1432">
        <f>IFERROR(Model!Q369/Model!M369-1,"NA")</f>
        <v>-2.8006589785831926E-2</v>
      </c>
      <c r="R369" s="1432">
        <f>IFERROR(Model!R369/Model!N369-1,"NA")</f>
        <v>-0.1295843520782396</v>
      </c>
      <c r="S369" s="1432">
        <f>IFERROR(Model!S369/Model!O369-1,"NA")</f>
        <v>-0.10470275066548362</v>
      </c>
      <c r="T369" s="1432">
        <f>IFERROR(Model!T369/Model!P369-1,"NA")</f>
        <v>-9.635416666666663E-2</v>
      </c>
      <c r="U369" s="1432">
        <f>IFERROR(Model!U369/Model!Q369-1,"NA")</f>
        <v>-8.8135593220339037E-2</v>
      </c>
      <c r="V369" s="1432">
        <f>IFERROR(Model!V369/Model!R369-1,"NA")</f>
        <v>2.3408239700374533E-2</v>
      </c>
      <c r="W369" s="1432">
        <f>IFERROR(Model!W369/Model!S369-1,"NA")</f>
        <v>2.7750247770069292E-2</v>
      </c>
      <c r="X369" s="1432">
        <f>IFERROR(Model!X369/Model!T369-1,"NA")</f>
        <v>2.5936599423631135E-2</v>
      </c>
      <c r="Y369" s="1432">
        <f>IFERROR(Model!Y369/Model!U369-1,"NA")</f>
        <v>1.8587360594795488E-2</v>
      </c>
      <c r="Z369" s="1432">
        <f>IFERROR(Model!Z369/Model!V369-1,"NA")</f>
        <v>6.40439158279964E-2</v>
      </c>
      <c r="AA369" s="1432">
        <f>IFERROR(Model!AA369/Model!W369-1,"NA")</f>
        <v>9.7396335583413762E-2</v>
      </c>
      <c r="AB369" s="1432">
        <f>IFERROR(Model!AB369/Model!X369-1,"NA")</f>
        <v>0.12172284644194753</v>
      </c>
      <c r="AC369" s="1284">
        <f>IFERROR(Model!AC369/Model!Y369-1,"NA")</f>
        <v>0.12459940105989409</v>
      </c>
      <c r="AD369" s="1284">
        <f>IFERROR(Model!AD369/Model!Z369-1,"NA")</f>
        <v>9.0072955606073091E-2</v>
      </c>
      <c r="AE369" s="1284">
        <f>IFERROR(Model!AE369/Model!AA369-1,"NA")</f>
        <v>0.12051498277006023</v>
      </c>
      <c r="AF369" s="1284">
        <f>IFERROR(Model!AF369/Model!AB369-1,"NA")</f>
        <v>3.8241886600779651E-2</v>
      </c>
      <c r="AG369" s="1284">
        <f>IFERROR(Model!AG369/Model!AC369-1,"NA")</f>
        <v>3.9170026644859357E-2</v>
      </c>
      <c r="AH369" s="1284">
        <f>IFERROR(Model!AH369/Model!AD369-1,"NA")</f>
        <v>6.5928438840827441E-2</v>
      </c>
      <c r="AI369" s="1284">
        <f>IFERROR(Model!AI369/Model!AE369-1,"NA")</f>
        <v>6.2882494733083938E-2</v>
      </c>
      <c r="AJ369" s="1284"/>
      <c r="AK369" s="1284"/>
      <c r="AL369" s="1284"/>
      <c r="AM369" s="1284"/>
      <c r="AN369" s="1284"/>
      <c r="AO369" s="1284"/>
      <c r="AP369" s="1284"/>
      <c r="AQ369" s="1284"/>
      <c r="AR369" s="1236"/>
      <c r="AS369" s="1284"/>
      <c r="AT369" s="1284"/>
      <c r="AU369" s="1236"/>
      <c r="AV369" s="1236">
        <f>IFERROR(Model!AV369/Model!AU369-1,"NA")</f>
        <v>-2.9057700290576971E-2</v>
      </c>
      <c r="AW369" s="1236">
        <f>IFERROR(Model!AW369/Model!AV369-1,"NA")</f>
        <v>1.9238991021804264E-2</v>
      </c>
      <c r="AX369" s="1236">
        <f>IFERROR(Model!AX369/Model!AW369-1,"NA")</f>
        <v>-7.529362416107388E-2</v>
      </c>
      <c r="AY369" s="1236">
        <f>IFERROR(Model!AY369/Model!AX369-1,"NA")</f>
        <v>-3.6743025629394466E-2</v>
      </c>
      <c r="AZ369" s="1236">
        <f>IFERROR(Model!AZ369/Model!AY369-1,"NA")</f>
        <v>5.133035083588422E-2</v>
      </c>
      <c r="BA369" s="1236">
        <f>IFERROR(Model!BA369/Model!AZ369-1,"NA")</f>
        <v>0.11387723209940304</v>
      </c>
      <c r="BB369" s="1284">
        <f>IFERROR(Model!BB369/Model!BA369-1,"NA")</f>
        <v>5.1846921941501201E-2</v>
      </c>
      <c r="BC369" s="1284">
        <f>IFERROR(Model!BC369/Model!BB369-1,"NA")</f>
        <v>6.136188028939582E-2</v>
      </c>
      <c r="BD369" s="1284">
        <f>IFERROR(Model!BD369/Model!BC369-1,"NA")</f>
        <v>5.7377767222680953E-2</v>
      </c>
      <c r="BE369" s="1284">
        <f>IFERROR(Model!BE369/Model!BD369-1,"NA")</f>
        <v>5.732628945297602E-2</v>
      </c>
    </row>
    <row r="370" spans="1:57" s="369" customFormat="1" x14ac:dyDescent="0.2">
      <c r="A370" s="411"/>
      <c r="B370" s="321" t="s">
        <v>195</v>
      </c>
      <c r="C370" s="321"/>
      <c r="D370" s="1408"/>
      <c r="E370" s="1408"/>
      <c r="F370" s="1408"/>
      <c r="G370" s="1408"/>
      <c r="H370" s="1408">
        <f>IFERROR(Model!H370/Model!D370-1,"NA")</f>
        <v>1.2804097311139628E-2</v>
      </c>
      <c r="I370" s="1408">
        <f>IFERROR(Model!I370/Model!E370-1,"NA")</f>
        <v>1.6414141414141437E-2</v>
      </c>
      <c r="J370" s="1408">
        <f>IFERROR(Model!J370/Model!F370-1,"NA")</f>
        <v>-2.1410579345088165E-2</v>
      </c>
      <c r="K370" s="1408">
        <f>IFERROR(Model!K370/Model!G370-1,"NA")</f>
        <v>-4.4848484848484804E-2</v>
      </c>
      <c r="L370" s="1408">
        <f>IFERROR(Model!L370/Model!H370-1,"NA")</f>
        <v>-5.6890012642225041E-2</v>
      </c>
      <c r="M370" s="1408">
        <f>IFERROR(Model!M370/Model!I370-1,"NA")</f>
        <v>-2.6086956521739091E-2</v>
      </c>
      <c r="N370" s="1408">
        <f>IFERROR(Model!N370/Model!J370-1,"NA")</f>
        <v>5.1480051480050637E-3</v>
      </c>
      <c r="O370" s="1408">
        <f>IFERROR(Model!O370/Model!K370-1,"NA")</f>
        <v>-9.6446700507614169E-2</v>
      </c>
      <c r="P370" s="1408">
        <f>IFERROR(Model!P370/Model!L370-1,"NA")</f>
        <v>-0.11796246648793562</v>
      </c>
      <c r="Q370" s="1408">
        <f>IFERROR(Model!Q370/Model!M370-1,"NA")</f>
        <v>-0.13265306122448983</v>
      </c>
      <c r="R370" s="1408">
        <f>IFERROR(Model!R370/Model!N370-1,"NA")</f>
        <v>-0.19334186939820741</v>
      </c>
      <c r="S370" s="1408">
        <f>IFERROR(Model!S370/Model!O370-1,"NA")</f>
        <v>-0.1053370786516854</v>
      </c>
      <c r="T370" s="1408">
        <f>IFERROR(Model!T370/Model!P370-1,"NA")</f>
        <v>-6.6869300911854057E-2</v>
      </c>
      <c r="U370" s="1408">
        <f>IFERROR(Model!U370/Model!Q370-1,"NA")</f>
        <v>-3.9705882352941146E-2</v>
      </c>
      <c r="V370" s="1408">
        <f>IFERROR(Model!V370/Model!R370-1,"NA")</f>
        <v>5.555555555555558E-2</v>
      </c>
      <c r="W370" s="1408">
        <f>IFERROR(Model!W370/Model!S370-1,"NA")</f>
        <v>3.4536891679748827E-2</v>
      </c>
      <c r="X370" s="1408">
        <f>IFERROR(Model!X370/Model!T370-1,"NA")</f>
        <v>8.4690553745928376E-2</v>
      </c>
      <c r="Y370" s="1408">
        <f>IFERROR(Model!Y370/Model!U370-1,"NA")</f>
        <v>0.10719754977029106</v>
      </c>
      <c r="Z370" s="1408">
        <f>IFERROR(Model!Z370/Model!V370-1,"NA")</f>
        <v>8.5714285714285632E-2</v>
      </c>
      <c r="AA370" s="1408">
        <f>IFERROR(Model!AA370/Model!W370-1,"NA")</f>
        <v>0.16843702579666164</v>
      </c>
      <c r="AB370" s="1408">
        <f>IFERROR(Model!AB370/Model!X370-1,"NA")</f>
        <v>9.7597597597597563E-2</v>
      </c>
      <c r="AC370" s="1284">
        <f>IFERROR(Model!AC370/Model!Y370-1,"NA")</f>
        <v>4.9879777941984615E-2</v>
      </c>
      <c r="AD370" s="1284">
        <f>IFERROR(Model!AD370/Model!Z370-1,"NA")</f>
        <v>7.6909551246537644E-2</v>
      </c>
      <c r="AE370" s="1284">
        <f>IFERROR(Model!AE370/Model!AA370-1,"NA")</f>
        <v>4.4312158337662666E-2</v>
      </c>
      <c r="AF370" s="1284">
        <f>IFERROR(Model!AF370/Model!AB370-1,"NA")</f>
        <v>9.1561487025842103E-2</v>
      </c>
      <c r="AG370" s="1284">
        <f>IFERROR(Model!AG370/Model!AC370-1,"NA")</f>
        <v>7.0414197872795459E-2</v>
      </c>
      <c r="AH370" s="1284">
        <f>IFERROR(Model!AH370/Model!AD370-1,"NA")</f>
        <v>7.0696006227642494E-2</v>
      </c>
      <c r="AI370" s="1284">
        <f>IFERROR(Model!AI370/Model!AE370-1,"NA")</f>
        <v>8.0302406313065733E-2</v>
      </c>
      <c r="AJ370" s="1284"/>
      <c r="AK370" s="1284"/>
      <c r="AL370" s="1284"/>
      <c r="AM370" s="1284"/>
      <c r="AN370" s="1284"/>
      <c r="AO370" s="1284"/>
      <c r="AP370" s="1284"/>
      <c r="AQ370" s="1284"/>
      <c r="AR370" s="1236"/>
      <c r="AS370" s="1284"/>
      <c r="AT370" s="1284"/>
      <c r="AU370" s="1246"/>
      <c r="AV370" s="1246">
        <f>IFERROR(Model!AV370/Model!AU370-1,"NA")</f>
        <v>-9.7117794486215603E-3</v>
      </c>
      <c r="AW370" s="1246">
        <f>IFERROR(Model!AW370/Model!AV370-1,"NA")</f>
        <v>-4.3657070547295174E-2</v>
      </c>
      <c r="AX370" s="1246">
        <f>IFERROR(Model!AX370/Model!AW370-1,"NA")</f>
        <v>-0.13827323850479656</v>
      </c>
      <c r="AY370" s="1246">
        <f>IFERROR(Model!AY370/Model!AX370-1,"NA")</f>
        <v>-5.3742802303262671E-3</v>
      </c>
      <c r="AZ370" s="1246">
        <f>IFERROR(Model!AZ370/Model!AY370-1,"NA")</f>
        <v>0.11192589733693548</v>
      </c>
      <c r="BA370" s="1246">
        <f>IFERROR(Model!BA370/Model!AZ370-1,"NA")</f>
        <v>6.6196507244725922E-2</v>
      </c>
      <c r="BB370" s="1284">
        <f>IFERROR(Model!BB370/Model!BA370-1,"NA")</f>
        <v>7.8106680483971846E-2</v>
      </c>
      <c r="BC370" s="1284">
        <f>IFERROR(Model!BC370/Model!BB370-1,"NA")</f>
        <v>5.6889129354187107E-2</v>
      </c>
      <c r="BD370" s="1284">
        <f>IFERROR(Model!BD370/Model!BC370-1,"NA")</f>
        <v>5.6321317683603045E-2</v>
      </c>
      <c r="BE370" s="1284">
        <f>IFERROR(Model!BE370/Model!BD370-1,"NA")</f>
        <v>5.6312078358487172E-2</v>
      </c>
    </row>
    <row r="371" spans="1:57" s="382" customFormat="1" x14ac:dyDescent="0.2">
      <c r="A371" s="833"/>
      <c r="B371" s="325"/>
      <c r="C371" s="322"/>
      <c r="D371" s="1439"/>
      <c r="E371" s="1439"/>
      <c r="F371" s="1439"/>
      <c r="G371" s="1439"/>
      <c r="H371" s="1439">
        <f>IFERROR(Model!H371/Model!D371-1,"NA")</f>
        <v>-3.4739454094292466E-3</v>
      </c>
      <c r="I371" s="1439">
        <f>IFERROR(Model!I371/Model!E371-1,"NA")</f>
        <v>2.6999490575649432E-2</v>
      </c>
      <c r="J371" s="1439">
        <f>IFERROR(Model!J371/Model!F371-1,"NA")</f>
        <v>-4.6360917248255196E-2</v>
      </c>
      <c r="K371" s="1439">
        <f>IFERROR(Model!K371/Model!G371-1,"NA")</f>
        <v>-6.1204343534057237E-2</v>
      </c>
      <c r="L371" s="1439">
        <f>IFERROR(Model!L371/Model!H371-1,"NA")</f>
        <v>-3.0876494023904355E-2</v>
      </c>
      <c r="M371" s="1439">
        <f>IFERROR(Model!M371/Model!I371-1,"NA")</f>
        <v>-8.9285714285713969E-3</v>
      </c>
      <c r="N371" s="1439">
        <f>IFERROR(Model!N371/Model!J371-1,"NA")</f>
        <v>4.9660219550444307E-2</v>
      </c>
      <c r="O371" s="1439">
        <f>IFERROR(Model!O371/Model!K371-1,"NA")</f>
        <v>-3.3123028391167209E-2</v>
      </c>
      <c r="P371" s="1439">
        <f>IFERROR(Model!P371/Model!L371-1,"NA")</f>
        <v>-6.9886947584789305E-2</v>
      </c>
      <c r="Q371" s="1439">
        <f>IFERROR(Model!Q371/Model!M371-1,"NA")</f>
        <v>-6.9069069069069067E-2</v>
      </c>
      <c r="R371" s="1439">
        <f>IFERROR(Model!R371/Model!N371-1,"NA")</f>
        <v>-0.15438247011952189</v>
      </c>
      <c r="S371" s="1439">
        <f>IFERROR(Model!S371/Model!O371-1,"NA")</f>
        <v>-0.10494834148994014</v>
      </c>
      <c r="T371" s="1439">
        <f>IFERROR(Model!T371/Model!P371-1,"NA")</f>
        <v>-8.5635359116022047E-2</v>
      </c>
      <c r="U371" s="1439">
        <f>IFERROR(Model!U371/Model!Q371-1,"NA")</f>
        <v>-7.0430107526881724E-2</v>
      </c>
      <c r="V371" s="1439">
        <f>IFERROR(Model!V371/Model!R371-1,"NA")</f>
        <v>3.5335689045936425E-2</v>
      </c>
      <c r="W371" s="1439">
        <f>IFERROR(Model!W371/Model!S371-1,"NA")</f>
        <v>3.037667071688932E-2</v>
      </c>
      <c r="X371" s="1439">
        <f>IFERROR(Model!X371/Model!T371-1,"NA")</f>
        <v>4.7734138972809648E-2</v>
      </c>
      <c r="Y371" s="1439">
        <f>IFERROR(Model!Y371/Model!U371-1,"NA")</f>
        <v>5.205320994794671E-2</v>
      </c>
      <c r="Z371" s="1439">
        <f>IFERROR(Model!Z371/Model!V371-1,"NA")</f>
        <v>7.2241183162684797E-2</v>
      </c>
      <c r="AA371" s="1439">
        <f>IFERROR(Model!AA371/Model!W371-1,"NA")</f>
        <v>0.125</v>
      </c>
      <c r="AB371" s="1439">
        <f>IFERROR(Model!AB371/Model!X371-1,"NA")</f>
        <v>0.11245674740484435</v>
      </c>
      <c r="AC371" s="1439">
        <f>IFERROR(Model!AC371/Model!Y371-1,"NA")</f>
        <v>9.4900507429191094E-2</v>
      </c>
      <c r="AD371" s="1439">
        <f>IFERROR(Model!AD371/Model!Z371-1,"NA")</f>
        <v>8.5031057490643658E-2</v>
      </c>
      <c r="AE371" s="1439">
        <f>IFERROR(Model!AE371/Model!AA371-1,"NA")</f>
        <v>8.9762270603945815E-2</v>
      </c>
      <c r="AF371" s="1439">
        <f>IFERROR(Model!AF371/Model!AB371-1,"NA")</f>
        <v>5.8447499825621918E-2</v>
      </c>
      <c r="AG371" s="1439">
        <f>IFERROR(Model!AG371/Model!AC371-1,"NA")</f>
        <v>5.1078045705262864E-2</v>
      </c>
      <c r="AH371" s="1439">
        <f>IFERROR(Model!AH371/Model!AD371-1,"NA")</f>
        <v>6.7740862582943207E-2</v>
      </c>
      <c r="AI371" s="1439">
        <f>IFERROR(Model!AI371/Model!AE371-1,"NA")</f>
        <v>6.9619344576549391E-2</v>
      </c>
      <c r="AJ371" s="1267"/>
      <c r="AK371" s="1267"/>
      <c r="AL371" s="1267"/>
      <c r="AM371" s="1267"/>
      <c r="AN371" s="1267"/>
      <c r="AO371" s="1267"/>
      <c r="AP371" s="1267"/>
      <c r="AQ371" s="1267"/>
      <c r="AR371" s="1236"/>
      <c r="AS371" s="1239"/>
      <c r="AT371" s="1248"/>
      <c r="AU371" s="1262"/>
      <c r="AV371" s="1262">
        <f>IFERROR(Model!AV371/Model!AU371-1,"NA")</f>
        <v>-2.1348314606741581E-2</v>
      </c>
      <c r="AW371" s="1262">
        <f>IFERROR(Model!AW371/Model!AV371-1,"NA")</f>
        <v>-6.1232300038269738E-3</v>
      </c>
      <c r="AX371" s="1262">
        <f>IFERROR(Model!AX371/Model!AW371-1,"NA")</f>
        <v>-9.9730458221024221E-2</v>
      </c>
      <c r="AY371" s="1262">
        <f>IFERROR(Model!AY371/Model!AX371-1,"NA")</f>
        <v>-2.509267179925867E-2</v>
      </c>
      <c r="AZ371" s="1262">
        <f>IFERROR(Model!AZ371/Model!AY371-1,"NA")</f>
        <v>7.4290728283123775E-2</v>
      </c>
      <c r="BA371" s="1262">
        <f>IFERROR(Model!BA371/Model!AZ371-1,"NA")</f>
        <v>9.5177508670826416E-2</v>
      </c>
      <c r="BB371" s="1439">
        <f>IFERROR(Model!BB371/Model!BA371-1,"NA")</f>
        <v>6.1873108976482127E-2</v>
      </c>
      <c r="BC371" s="1439">
        <f>IFERROR(Model!BC371/Model!BB371-1,"NA")</f>
        <v>5.9628040748239686E-2</v>
      </c>
      <c r="BD371" s="1439">
        <f>IFERROR(Model!BD371/Model!BC371-1,"NA")</f>
        <v>5.6969298380470823E-2</v>
      </c>
      <c r="BE371" s="1439">
        <f>IFERROR(Model!BE371/Model!BD371-1,"NA")</f>
        <v>5.6934392212704132E-2</v>
      </c>
    </row>
    <row r="372" spans="1:57" s="369" customFormat="1" x14ac:dyDescent="0.2">
      <c r="A372" s="830"/>
      <c r="C372" s="382"/>
      <c r="D372" s="1311"/>
      <c r="E372" s="1311"/>
      <c r="F372" s="1311"/>
      <c r="G372" s="1311"/>
      <c r="H372" s="1311"/>
      <c r="I372" s="1311"/>
      <c r="J372" s="1311"/>
      <c r="K372" s="1311"/>
      <c r="L372" s="1311"/>
      <c r="M372" s="1311"/>
      <c r="N372" s="1311"/>
      <c r="O372" s="1311"/>
      <c r="P372" s="1311"/>
      <c r="Q372" s="1311"/>
      <c r="R372" s="1311"/>
      <c r="S372" s="1311"/>
      <c r="T372" s="1311"/>
      <c r="U372" s="1311"/>
      <c r="V372" s="1311"/>
      <c r="W372" s="1311"/>
      <c r="X372" s="1311"/>
      <c r="Y372" s="1311"/>
      <c r="Z372" s="1311"/>
      <c r="AA372" s="1311"/>
      <c r="AB372" s="1311"/>
      <c r="AC372" s="1263"/>
      <c r="AD372" s="1263"/>
      <c r="AE372" s="1263"/>
      <c r="AF372" s="1263"/>
      <c r="AG372" s="1263"/>
      <c r="AH372" s="1263"/>
      <c r="AI372" s="1263"/>
      <c r="AJ372" s="1263"/>
      <c r="AK372" s="1263"/>
      <c r="AL372" s="1263"/>
      <c r="AM372" s="1263"/>
      <c r="AN372" s="1263"/>
      <c r="AO372" s="1263"/>
      <c r="AP372" s="1263"/>
      <c r="AQ372" s="1263"/>
      <c r="AR372" s="1236"/>
      <c r="AS372" s="1263"/>
      <c r="AT372" s="1308"/>
      <c r="AU372" s="1277"/>
      <c r="AV372" s="1263"/>
      <c r="AW372" s="1311"/>
      <c r="AX372" s="1277"/>
      <c r="AY372" s="1311"/>
      <c r="AZ372" s="1263"/>
      <c r="BA372" s="1308"/>
      <c r="BB372" s="1263"/>
      <c r="BC372" s="1263"/>
      <c r="BD372" s="1263"/>
      <c r="BE372" s="1263"/>
    </row>
    <row r="373" spans="1:57" s="369" customFormat="1" x14ac:dyDescent="0.2">
      <c r="A373" s="411"/>
      <c r="B373" s="340" t="s">
        <v>231</v>
      </c>
      <c r="C373" s="388"/>
      <c r="D373" s="1426"/>
      <c r="E373" s="1426"/>
      <c r="F373" s="1426"/>
      <c r="G373" s="1426"/>
      <c r="H373" s="1426"/>
      <c r="I373" s="1426"/>
      <c r="J373" s="1426"/>
      <c r="K373" s="1426"/>
      <c r="L373" s="1426"/>
      <c r="M373" s="1426"/>
      <c r="N373" s="1426"/>
      <c r="O373" s="1426"/>
      <c r="P373" s="1426"/>
      <c r="Q373" s="1426"/>
      <c r="R373" s="1426"/>
      <c r="S373" s="1426"/>
      <c r="T373" s="1426"/>
      <c r="U373" s="1426"/>
      <c r="V373" s="1426"/>
      <c r="W373" s="1426"/>
      <c r="X373" s="1426"/>
      <c r="Y373" s="1426"/>
      <c r="Z373" s="1426"/>
      <c r="AA373" s="1426"/>
      <c r="AB373" s="1426"/>
      <c r="AC373" s="1417"/>
      <c r="AD373" s="1417"/>
      <c r="AE373" s="1417"/>
      <c r="AF373" s="1417"/>
      <c r="AG373" s="1417"/>
      <c r="AH373" s="1417"/>
      <c r="AI373" s="1417"/>
      <c r="AJ373" s="1417"/>
      <c r="AK373" s="1417"/>
      <c r="AL373" s="1417"/>
      <c r="AM373" s="1417"/>
      <c r="AN373" s="1417"/>
      <c r="AO373" s="1417"/>
      <c r="AP373" s="1417"/>
      <c r="AQ373" s="1417"/>
      <c r="AR373" s="1236"/>
      <c r="AS373" s="1313"/>
      <c r="AT373" s="1407"/>
      <c r="AU373" s="1398"/>
      <c r="AV373" s="1398"/>
      <c r="AW373" s="1398"/>
      <c r="AX373" s="1398"/>
      <c r="AY373" s="1398"/>
      <c r="AZ373" s="1398"/>
      <c r="BA373" s="1398"/>
      <c r="BB373" s="1417"/>
      <c r="BC373" s="1417"/>
      <c r="BD373" s="1417"/>
      <c r="BE373" s="1417"/>
    </row>
    <row r="374" spans="1:57" s="369" customFormat="1" x14ac:dyDescent="0.2">
      <c r="A374" s="411"/>
      <c r="B374" s="321" t="s">
        <v>74</v>
      </c>
      <c r="C374" s="321"/>
      <c r="D374" s="1240"/>
      <c r="E374" s="1240"/>
      <c r="F374" s="1240"/>
      <c r="G374" s="1240"/>
      <c r="H374" s="1240">
        <f>IFERROR(Model!H374/Model!D374-1,"NA")</f>
        <v>-8.1381011097410583E-2</v>
      </c>
      <c r="I374" s="1240">
        <f>IFERROR(Model!I374/Model!E374-1,"NA")</f>
        <v>-7.0153061224489832E-2</v>
      </c>
      <c r="J374" s="1240">
        <f>IFERROR(Model!J374/Model!F374-1,"NA")</f>
        <v>-8.0103359173126609E-2</v>
      </c>
      <c r="K374" s="1240">
        <f>IFERROR(Model!K374/Model!G374-1,"NA")</f>
        <v>-5.0715214564369338E-2</v>
      </c>
      <c r="L374" s="1240">
        <f>IFERROR(Model!L374/Model!H374-1,"NA")</f>
        <v>-4.832214765100673E-2</v>
      </c>
      <c r="M374" s="1240">
        <f>IFERROR(Model!M374/Model!I374-1,"NA")</f>
        <v>1.0973936899862924E-2</v>
      </c>
      <c r="N374" s="1240">
        <f>IFERROR(Model!N374/Model!J374-1,"NA")</f>
        <v>3.2303370786516794E-2</v>
      </c>
      <c r="O374" s="1240">
        <f>IFERROR(Model!O374/Model!K374-1,"NA")</f>
        <v>-3.2876712328767099E-2</v>
      </c>
      <c r="P374" s="1240">
        <f>IFERROR(Model!P374/Model!L374-1,"NA")</f>
        <v>-5.9238363892806789E-2</v>
      </c>
      <c r="Q374" s="1240">
        <f>IFERROR(Model!Q374/Model!M374-1,"NA")</f>
        <v>-7.7340569877883292E-2</v>
      </c>
      <c r="R374" s="1240">
        <f>IFERROR(Model!R374/Model!N374-1,"NA")</f>
        <v>-0.10340136054421767</v>
      </c>
      <c r="S374" s="1240">
        <f>IFERROR(Model!S374/Model!O374-1,"NA")</f>
        <v>-8.4985835694050937E-2</v>
      </c>
      <c r="T374" s="1240">
        <f>IFERROR(Model!T374/Model!P374-1,"NA")</f>
        <v>-5.9970014992504206E-3</v>
      </c>
      <c r="U374" s="1240">
        <f>IFERROR(Model!U374/Model!Q374-1,"NA")</f>
        <v>-2.352941176470591E-2</v>
      </c>
      <c r="V374" s="1240">
        <f>IFERROR(Model!V374/Model!R374-1,"NA")</f>
        <v>1.5174506828528056E-2</v>
      </c>
      <c r="W374" s="1240">
        <f>IFERROR(Model!W374/Model!S374-1,"NA")</f>
        <v>-3.0959752321981782E-3</v>
      </c>
      <c r="X374" s="1240">
        <f>IFERROR(Model!X374/Model!T374-1,"NA")</f>
        <v>-3.3182503770739058E-2</v>
      </c>
      <c r="Y374" s="1240">
        <f>IFERROR(Model!Y374/Model!U374-1,"NA")</f>
        <v>7.5301204819278045E-3</v>
      </c>
      <c r="Z374" s="1240">
        <f>IFERROR(Model!Z374/Model!V374-1,"NA")</f>
        <v>3.1390134529148073E-2</v>
      </c>
      <c r="AA374" s="1240">
        <f>IFERROR(Model!AA374/Model!W374-1,"NA")</f>
        <v>7.9192546583850998E-2</v>
      </c>
      <c r="AB374" s="1240">
        <f>IFERROR(Model!AB374/Model!X374-1,"NA")</f>
        <v>0.10452418096723859</v>
      </c>
      <c r="AC374" s="1247">
        <f>IFERROR(Model!AC374/Model!Y374-1,"NA")</f>
        <v>9.6378255830620319E-2</v>
      </c>
      <c r="AD374" s="1247">
        <f>IFERROR(Model!AD374/Model!Z374-1,"NA")</f>
        <v>9.8754833789954199E-2</v>
      </c>
      <c r="AE374" s="1247">
        <f>IFERROR(Model!AE374/Model!AA374-1,"NA")</f>
        <v>0.11266712521060396</v>
      </c>
      <c r="AF374" s="1247">
        <f>IFERROR(Model!AF374/Model!AB374-1,"NA")</f>
        <v>8.1597643558358079E-2</v>
      </c>
      <c r="AG374" s="1247">
        <f>IFERROR(Model!AG374/Model!AC374-1,"NA")</f>
        <v>7.3597493440533457E-2</v>
      </c>
      <c r="AH374" s="1247">
        <f>IFERROR(Model!AH374/Model!AD374-1,"NA")</f>
        <v>6.5464177042168448E-2</v>
      </c>
      <c r="AI374" s="1247">
        <f>IFERROR(Model!AI374/Model!AE374-1,"NA")</f>
        <v>6.1396228340812931E-2</v>
      </c>
      <c r="AJ374" s="1247"/>
      <c r="AK374" s="1247"/>
      <c r="AL374" s="1247"/>
      <c r="AM374" s="1247"/>
      <c r="AN374" s="1247"/>
      <c r="AO374" s="1247"/>
      <c r="AP374" s="1247"/>
      <c r="AQ374" s="1247"/>
      <c r="AR374" s="1236"/>
      <c r="AS374" s="1284"/>
      <c r="AT374" s="1284"/>
      <c r="AU374" s="1236"/>
      <c r="AV374" s="1236">
        <f>IFERROR(Model!AV374/Model!AU374-1,"NA")</f>
        <v>-7.074569789674956E-2</v>
      </c>
      <c r="AW374" s="1236">
        <f>IFERROR(Model!AW374/Model!AV374-1,"NA")</f>
        <v>-9.9451303155007054E-3</v>
      </c>
      <c r="AX374" s="1236">
        <f>IFERROR(Model!AX374/Model!AW374-1,"NA")</f>
        <v>-8.1399376515413957E-2</v>
      </c>
      <c r="AY374" s="1236">
        <f>IFERROR(Model!AY374/Model!AX374-1,"NA")</f>
        <v>-4.5248868778280382E-3</v>
      </c>
      <c r="AZ374" s="1236">
        <f>IFERROR(Model!AZ374/Model!AY374-1,"NA")</f>
        <v>2.0833333333333259E-2</v>
      </c>
      <c r="BA374" s="1236">
        <f>IFERROR(Model!BA374/Model!AZ374-1,"NA")</f>
        <v>0.10312487587648356</v>
      </c>
      <c r="BB374" s="1247">
        <f>IFERROR(Model!BB374/Model!BA374-1,"NA")</f>
        <v>7.02548637309095E-2</v>
      </c>
      <c r="BC374" s="1247">
        <f>IFERROR(Model!BC374/Model!BB374-1,"NA")</f>
        <v>5.4479786285501097E-2</v>
      </c>
      <c r="BD374" s="1247">
        <f>IFERROR(Model!BD374/Model!BC374-1,"NA")</f>
        <v>6.2209302325581417E-2</v>
      </c>
      <c r="BE374" s="1247">
        <f>IFERROR(Model!BE374/Model!BD374-1,"NA")</f>
        <v>6.2068965517241503E-2</v>
      </c>
    </row>
    <row r="375" spans="1:57" s="369" customFormat="1" x14ac:dyDescent="0.2">
      <c r="A375" s="411"/>
      <c r="B375" s="376" t="s">
        <v>195</v>
      </c>
      <c r="C375" s="376"/>
      <c r="D375" s="1408"/>
      <c r="E375" s="1408"/>
      <c r="F375" s="1408"/>
      <c r="G375" s="1408"/>
      <c r="H375" s="1408">
        <f>IFERROR(Model!H375/Model!D375-1,"NA")</f>
        <v>-1.5761821366024553E-2</v>
      </c>
      <c r="I375" s="1408">
        <f>IFERROR(Model!I375/Model!E375-1,"NA")</f>
        <v>-2.6833631484794229E-2</v>
      </c>
      <c r="J375" s="1408">
        <f>IFERROR(Model!J375/Model!F375-1,"NA")</f>
        <v>-5.5456171735241533E-2</v>
      </c>
      <c r="K375" s="1408">
        <f>IFERROR(Model!K375/Model!G375-1,"NA")</f>
        <v>-6.2391681109185471E-2</v>
      </c>
      <c r="L375" s="1408">
        <f>IFERROR(Model!L375/Model!H375-1,"NA")</f>
        <v>-7.2953736654804313E-2</v>
      </c>
      <c r="M375" s="1408">
        <f>IFERROR(Model!M375/Model!I375-1,"NA")</f>
        <v>-1.8382352941176516E-2</v>
      </c>
      <c r="N375" s="1408">
        <f>IFERROR(Model!N375/Model!J375-1,"NA")</f>
        <v>1.8939393939394478E-3</v>
      </c>
      <c r="O375" s="1408">
        <f>IFERROR(Model!O375/Model!K375-1,"NA")</f>
        <v>-7.9482439926062853E-2</v>
      </c>
      <c r="P375" s="1408">
        <f>IFERROR(Model!P375/Model!L375-1,"NA")</f>
        <v>-0.10364683301343569</v>
      </c>
      <c r="Q375" s="1408">
        <f>IFERROR(Model!Q375/Model!M375-1,"NA")</f>
        <v>-0.11048689138576784</v>
      </c>
      <c r="R375" s="1408">
        <f>IFERROR(Model!R375/Model!N375-1,"NA")</f>
        <v>-0.15689981096408323</v>
      </c>
      <c r="S375" s="1408">
        <f>IFERROR(Model!S375/Model!O375-1,"NA")</f>
        <v>-9.6385542168674676E-2</v>
      </c>
      <c r="T375" s="1408">
        <f>IFERROR(Model!T375/Model!P375-1,"NA")</f>
        <v>-6.2098501070663836E-2</v>
      </c>
      <c r="U375" s="1408">
        <f>IFERROR(Model!U375/Model!Q375-1,"NA")</f>
        <v>-4.6315789473684199E-2</v>
      </c>
      <c r="V375" s="1408">
        <f>IFERROR(Model!V375/Model!R375-1,"NA")</f>
        <v>4.7085201793721998E-2</v>
      </c>
      <c r="W375" s="1408">
        <f>IFERROR(Model!W375/Model!S375-1,"NA")</f>
        <v>3.5555555555555562E-2</v>
      </c>
      <c r="X375" s="1408">
        <f>IFERROR(Model!X375/Model!T375-1,"NA")</f>
        <v>7.9908675799086781E-2</v>
      </c>
      <c r="Y375" s="1408">
        <f>IFERROR(Model!Y375/Model!U375-1,"NA")</f>
        <v>8.6092715231788075E-2</v>
      </c>
      <c r="Z375" s="1408">
        <f>IFERROR(Model!Z375/Model!V375-1,"NA")</f>
        <v>0.10920770877944319</v>
      </c>
      <c r="AA375" s="1408">
        <f>IFERROR(Model!AA375/Model!W375-1,"NA")</f>
        <v>0.12446351931330479</v>
      </c>
      <c r="AB375" s="1408">
        <f>IFERROR(Model!AB375/Model!X375-1,"NA")</f>
        <v>0.10993657505285404</v>
      </c>
      <c r="AC375" s="1247">
        <f>IFERROR(Model!AC375/Model!Y375-1,"NA")</f>
        <v>9.342089319523339E-2</v>
      </c>
      <c r="AD375" s="1247">
        <f>IFERROR(Model!AD375/Model!Z375-1,"NA")</f>
        <v>6.5315243243243559E-2</v>
      </c>
      <c r="AE375" s="1247">
        <f>IFERROR(Model!AE375/Model!AA375-1,"NA")</f>
        <v>7.4179316641221904E-2</v>
      </c>
      <c r="AF375" s="1247">
        <f>IFERROR(Model!AF375/Model!AB375-1,"NA")</f>
        <v>6.4151327649315526E-2</v>
      </c>
      <c r="AG375" s="1247">
        <f>IFERROR(Model!AG375/Model!AC375-1,"NA")</f>
        <v>5.2911656880734403E-2</v>
      </c>
      <c r="AH375" s="1247">
        <f>IFERROR(Model!AH375/Model!AD375-1,"NA")</f>
        <v>6.2319660273973065E-2</v>
      </c>
      <c r="AI375" s="1247">
        <f>IFERROR(Model!AI375/Model!AE375-1,"NA")</f>
        <v>7.5641698630137144E-2</v>
      </c>
      <c r="AJ375" s="1247"/>
      <c r="AK375" s="1247"/>
      <c r="AL375" s="1247"/>
      <c r="AM375" s="1247"/>
      <c r="AN375" s="1247"/>
      <c r="AO375" s="1247"/>
      <c r="AP375" s="1247"/>
      <c r="AQ375" s="1247"/>
      <c r="AR375" s="1236"/>
      <c r="AS375" s="1270"/>
      <c r="AT375" s="1270"/>
      <c r="AU375" s="1246"/>
      <c r="AV375" s="1246">
        <f>IFERROR(Model!AV375/Model!AU375-1,"NA")</f>
        <v>-4.0158870255957657E-2</v>
      </c>
      <c r="AW375" s="1246">
        <f>IFERROR(Model!AW375/Model!AV375-1,"NA")</f>
        <v>-4.2758620689655191E-2</v>
      </c>
      <c r="AX375" s="1246">
        <f>IFERROR(Model!AX375/Model!AW375-1,"NA")</f>
        <v>-0.11719500480307399</v>
      </c>
      <c r="AY375" s="1246">
        <f>IFERROR(Model!AY375/Model!AX375-1,"NA")</f>
        <v>-7.6169749727965641E-3</v>
      </c>
      <c r="AZ375" s="1246">
        <f>IFERROR(Model!AZ375/Model!AY375-1,"NA")</f>
        <v>0.10032894736842102</v>
      </c>
      <c r="BA375" s="1246">
        <f>IFERROR(Model!BA375/Model!AZ375-1,"NA")</f>
        <v>8.5035544281043984E-2</v>
      </c>
      <c r="BB375" s="1247">
        <f>IFERROR(Model!BB375/Model!BA375-1,"NA")</f>
        <v>6.3880524791659399E-2</v>
      </c>
      <c r="BC375" s="1247">
        <f>IFERROR(Model!BC375/Model!BB375-1,"NA")</f>
        <v>5.4500724874956941E-2</v>
      </c>
      <c r="BD375" s="1247">
        <f>IFERROR(Model!BD375/Model!BC375-1,"NA")</f>
        <v>5.4729729729729781E-2</v>
      </c>
      <c r="BE375" s="1247">
        <f>IFERROR(Model!BE375/Model!BD375-1,"NA")</f>
        <v>5.4708520179372444E-2</v>
      </c>
    </row>
    <row r="376" spans="1:57" s="369" customFormat="1" x14ac:dyDescent="0.2">
      <c r="A376" s="411"/>
      <c r="B376" s="321"/>
      <c r="C376" s="321" t="s">
        <v>21</v>
      </c>
      <c r="D376" s="1422"/>
      <c r="E376" s="1422"/>
      <c r="F376" s="1422"/>
      <c r="G376" s="1422"/>
      <c r="H376" s="1422">
        <f>IFERROR(Model!H376/Model!D376-1,"NA")</f>
        <v>-5.4269175108538348E-2</v>
      </c>
      <c r="I376" s="1422">
        <f>IFERROR(Model!I376/Model!E376-1,"NA")</f>
        <v>-5.2122114668652242E-2</v>
      </c>
      <c r="J376" s="1422">
        <f>IFERROR(Model!J376/Model!F376-1,"NA")</f>
        <v>-6.9767441860465129E-2</v>
      </c>
      <c r="K376" s="1422">
        <f>IFERROR(Model!K376/Model!G376-1,"NA")</f>
        <v>-5.5720653789004482E-2</v>
      </c>
      <c r="L376" s="1422">
        <f>IFERROR(Model!L376/Model!H376-1,"NA")</f>
        <v>-5.8913542463657209E-2</v>
      </c>
      <c r="M376" s="1422">
        <f>IFERROR(Model!M376/Model!I376-1,"NA")</f>
        <v>-1.5710919088767206E-3</v>
      </c>
      <c r="N376" s="1422">
        <f>IFERROR(Model!N376/Model!J376-1,"NA")</f>
        <v>1.9354838709677358E-2</v>
      </c>
      <c r="O376" s="1422">
        <f>IFERROR(Model!O376/Model!K376-1,"NA")</f>
        <v>-5.2714398111723071E-2</v>
      </c>
      <c r="P376" s="1422">
        <f>IFERROR(Model!P376/Model!L376-1,"NA")</f>
        <v>-7.8048780487804836E-2</v>
      </c>
      <c r="Q376" s="1422">
        <f>IFERROR(Model!Q376/Model!M376-1,"NA")</f>
        <v>-9.1266719118804129E-2</v>
      </c>
      <c r="R376" s="1422">
        <f>IFERROR(Model!R376/Model!N376-1,"NA")</f>
        <v>-0.12579113924050633</v>
      </c>
      <c r="S376" s="1422">
        <f>IFERROR(Model!S376/Model!O376-1,"NA")</f>
        <v>-8.9700996677740896E-2</v>
      </c>
      <c r="T376" s="1422">
        <f>IFERROR(Model!T376/Model!P376-1,"NA")</f>
        <v>-2.9100529100529071E-2</v>
      </c>
      <c r="U376" s="1422">
        <f>IFERROR(Model!U376/Model!Q376-1,"NA")</f>
        <v>-3.2900432900432874E-2</v>
      </c>
      <c r="V376" s="1422">
        <f>IFERROR(Model!V376/Model!R376-1,"NA")</f>
        <v>2.8054298642533837E-2</v>
      </c>
      <c r="W376" s="1422">
        <f>IFERROR(Model!W376/Model!S376-1,"NA")</f>
        <v>1.2773722627737127E-2</v>
      </c>
      <c r="X376" s="1422">
        <f>IFERROR(Model!X376/Model!T376-1,"NA")</f>
        <v>1.180744777475029E-2</v>
      </c>
      <c r="Y376" s="1422">
        <f>IFERROR(Model!Y376/Model!U376-1,"NA")</f>
        <v>3.9391226499552401E-2</v>
      </c>
      <c r="Z376" s="1422">
        <f>IFERROR(Model!Z376/Model!V376-1,"NA")</f>
        <v>6.3380281690140761E-2</v>
      </c>
      <c r="AA376" s="1422">
        <f>IFERROR(Model!AA376/Model!W376-1,"NA")</f>
        <v>9.8198198198198305E-2</v>
      </c>
      <c r="AB376" s="1422">
        <f>IFERROR(Model!AB376/Model!X376-1,"NA")</f>
        <v>0.106822262118492</v>
      </c>
      <c r="AC376" s="1422">
        <f>IFERROR(Model!AC376/Model!Y376-1,"NA")</f>
        <v>9.5125006548440583E-2</v>
      </c>
      <c r="AD376" s="1422">
        <f>IFERROR(Model!AD376/Model!Z376-1,"NA")</f>
        <v>8.4415671618434107E-2</v>
      </c>
      <c r="AE376" s="1422">
        <f>IFERROR(Model!AE376/Model!AA376-1,"NA")</f>
        <v>9.6122734980615299E-2</v>
      </c>
      <c r="AF376" s="1422">
        <f>IFERROR(Model!AF376/Model!AB376-1,"NA")</f>
        <v>7.4169163548425177E-2</v>
      </c>
      <c r="AG376" s="1422">
        <f>IFERROR(Model!AG376/Model!AC376-1,"NA")</f>
        <v>6.4845043324009977E-2</v>
      </c>
      <c r="AH376" s="1422">
        <f>IFERROR(Model!AH376/Model!AD376-1,"NA")</f>
        <v>6.4139533286968087E-2</v>
      </c>
      <c r="AI376" s="1422">
        <f>IFERROR(Model!AI376/Model!AE376-1,"NA")</f>
        <v>6.7397205486015022E-2</v>
      </c>
      <c r="AJ376" s="1311"/>
      <c r="AK376" s="1311"/>
      <c r="AL376" s="1311"/>
      <c r="AM376" s="1311"/>
      <c r="AN376" s="1311"/>
      <c r="AO376" s="1311"/>
      <c r="AP376" s="1311"/>
      <c r="AQ376" s="1311"/>
      <c r="AR376" s="1236"/>
      <c r="AS376" s="1284"/>
      <c r="AT376" s="1284"/>
      <c r="AU376" s="1277"/>
      <c r="AV376" s="1277">
        <f>IFERROR(Model!AV376/Model!AU376-1,"NA")</f>
        <v>-5.7920059215396003E-2</v>
      </c>
      <c r="AW376" s="1277">
        <f>IFERROR(Model!AW376/Model!AV376-1,"NA")</f>
        <v>-2.3963857788253828E-2</v>
      </c>
      <c r="AX376" s="1277">
        <f>IFERROR(Model!AX376/Model!AW376-1,"NA")</f>
        <v>-9.6397665526262832E-2</v>
      </c>
      <c r="AY376" s="1277">
        <f>IFERROR(Model!AY376/Model!AX376-1,"NA")</f>
        <v>-5.7906458797327698E-3</v>
      </c>
      <c r="AZ376" s="1277">
        <f>IFERROR(Model!AZ376/Model!AY376-1,"NA")</f>
        <v>5.3315412186379918E-2</v>
      </c>
      <c r="BA376" s="1277">
        <f>IFERROR(Model!BA376/Model!AZ376-1,"NA")</f>
        <v>9.5403632041509479E-2</v>
      </c>
      <c r="BB376" s="1422">
        <f>IFERROR(Model!BB376/Model!BA376-1,"NA")</f>
        <v>6.7559795971620096E-2</v>
      </c>
      <c r="BC376" s="1422">
        <f>IFERROR(Model!BC376/Model!BB376-1,"NA")</f>
        <v>5.4488608601452659E-2</v>
      </c>
      <c r="BD376" s="1422">
        <f>IFERROR(Model!BD376/Model!BC376-1,"NA")</f>
        <v>5.9057804897016064E-2</v>
      </c>
      <c r="BE376" s="1422">
        <f>IFERROR(Model!BE376/Model!BD376-1,"NA")</f>
        <v>5.8980336198732441E-2</v>
      </c>
    </row>
    <row r="377" spans="1:57" s="369" customFormat="1" x14ac:dyDescent="0.2">
      <c r="A377" s="830"/>
      <c r="C377" s="382"/>
      <c r="D377" s="1311"/>
      <c r="E377" s="1311"/>
      <c r="F377" s="1311"/>
      <c r="G377" s="1311"/>
      <c r="H377" s="1311"/>
      <c r="I377" s="1311"/>
      <c r="J377" s="1311"/>
      <c r="K377" s="1311"/>
      <c r="L377" s="1311"/>
      <c r="M377" s="1311"/>
      <c r="N377" s="1311"/>
      <c r="O377" s="1311"/>
      <c r="P377" s="1311"/>
      <c r="Q377" s="1311"/>
      <c r="R377" s="1311"/>
      <c r="S377" s="1311"/>
      <c r="T377" s="1311"/>
      <c r="U377" s="1311"/>
      <c r="V377" s="1311"/>
      <c r="W377" s="1311"/>
      <c r="X377" s="1311"/>
      <c r="Y377" s="1311"/>
      <c r="Z377" s="1311"/>
      <c r="AA377" s="1311"/>
      <c r="AB377" s="1311"/>
      <c r="AC377" s="1263"/>
      <c r="AD377" s="1263"/>
      <c r="AE377" s="1263"/>
      <c r="AF377" s="1263"/>
      <c r="AG377" s="1263"/>
      <c r="AH377" s="1263"/>
      <c r="AI377" s="1263"/>
      <c r="AJ377" s="1263"/>
      <c r="AK377" s="1263"/>
      <c r="AL377" s="1263"/>
      <c r="AM377" s="1263"/>
      <c r="AN377" s="1263"/>
      <c r="AO377" s="1263"/>
      <c r="AP377" s="1263"/>
      <c r="AQ377" s="1263"/>
      <c r="AR377" s="1236"/>
      <c r="AS377" s="1263"/>
      <c r="AT377" s="1308"/>
      <c r="AU377" s="1277"/>
      <c r="AV377" s="1263"/>
      <c r="AW377" s="1311"/>
      <c r="AX377" s="1277"/>
      <c r="AY377" s="1311"/>
      <c r="AZ377" s="1263"/>
      <c r="BA377" s="1308"/>
      <c r="BB377" s="1263"/>
      <c r="BC377" s="1263"/>
      <c r="BD377" s="1263"/>
      <c r="BE377" s="1263"/>
    </row>
    <row r="378" spans="1:57" s="369" customFormat="1" x14ac:dyDescent="0.2">
      <c r="A378" s="411"/>
      <c r="B378" s="340" t="s">
        <v>233</v>
      </c>
      <c r="C378" s="388"/>
      <c r="D378" s="1426"/>
      <c r="E378" s="1426"/>
      <c r="F378" s="1426"/>
      <c r="G378" s="1426"/>
      <c r="H378" s="1426"/>
      <c r="I378" s="1426"/>
      <c r="J378" s="1426"/>
      <c r="K378" s="1426"/>
      <c r="L378" s="1426"/>
      <c r="M378" s="1426"/>
      <c r="N378" s="1426"/>
      <c r="O378" s="1426"/>
      <c r="P378" s="1426"/>
      <c r="Q378" s="1426"/>
      <c r="R378" s="1426"/>
      <c r="S378" s="1426"/>
      <c r="T378" s="1426"/>
      <c r="U378" s="1426"/>
      <c r="V378" s="1426"/>
      <c r="W378" s="1426"/>
      <c r="X378" s="1426"/>
      <c r="Y378" s="1426"/>
      <c r="Z378" s="1426"/>
      <c r="AA378" s="1426"/>
      <c r="AB378" s="1426"/>
      <c r="AC378" s="1417"/>
      <c r="AD378" s="1417"/>
      <c r="AE378" s="1417"/>
      <c r="AF378" s="1417"/>
      <c r="AG378" s="1417"/>
      <c r="AH378" s="1417"/>
      <c r="AI378" s="1417"/>
      <c r="AJ378" s="1417"/>
      <c r="AK378" s="1417"/>
      <c r="AL378" s="1417"/>
      <c r="AM378" s="1417"/>
      <c r="AN378" s="1417"/>
      <c r="AO378" s="1417"/>
      <c r="AP378" s="1417"/>
      <c r="AQ378" s="1417"/>
      <c r="AR378" s="1236"/>
      <c r="AS378" s="1313"/>
      <c r="AT378" s="1407"/>
      <c r="AU378" s="1398"/>
      <c r="AV378" s="1398"/>
      <c r="AW378" s="1398"/>
      <c r="AX378" s="1398"/>
      <c r="AY378" s="1398"/>
      <c r="AZ378" s="1398"/>
      <c r="BA378" s="1398"/>
      <c r="BB378" s="1417"/>
      <c r="BC378" s="1417"/>
      <c r="BD378" s="1417"/>
      <c r="BE378" s="1417"/>
    </row>
    <row r="379" spans="1:57" s="369" customFormat="1" x14ac:dyDescent="0.2">
      <c r="A379" s="411"/>
      <c r="B379" s="321" t="s">
        <v>74</v>
      </c>
      <c r="C379" s="319"/>
      <c r="D379" s="1267"/>
      <c r="E379" s="1267"/>
      <c r="F379" s="1267"/>
      <c r="G379" s="1267"/>
      <c r="H379" s="1267">
        <f>IFERROR(Model!H379/Model!D379-1,"NA")</f>
        <v>0.11583924349881802</v>
      </c>
      <c r="I379" s="1267">
        <f>IFERROR(Model!I379/Model!E379-1,"NA")</f>
        <v>0.24547803617571051</v>
      </c>
      <c r="J379" s="1267">
        <f>IFERROR(Model!J379/Model!F379-1,"NA")</f>
        <v>-3.1963470319634757E-2</v>
      </c>
      <c r="K379" s="1267">
        <f>IFERROR(Model!K379/Model!G379-1,"NA")</f>
        <v>-0.11111111111111116</v>
      </c>
      <c r="L379" s="1267">
        <f>IFERROR(Model!L379/Model!H379-1,"NA")</f>
        <v>4.0254237288135597E-2</v>
      </c>
      <c r="M379" s="1267">
        <f>IFERROR(Model!M379/Model!I379-1,"NA")</f>
        <v>-1.0373443983402453E-2</v>
      </c>
      <c r="N379" s="1267">
        <f>IFERROR(Model!N379/Model!J379-1,"NA")</f>
        <v>0.16037735849056611</v>
      </c>
      <c r="O379" s="1267">
        <f>IFERROR(Model!O379/Model!K379-1,"NA")</f>
        <v>9.6354166666666741E-2</v>
      </c>
      <c r="P379" s="1267">
        <f>IFERROR(Model!P379/Model!L379-1,"NA")</f>
        <v>-1.2219959266802416E-2</v>
      </c>
      <c r="Q379" s="1267">
        <f>IFERROR(Model!Q379/Model!M379-1,"NA")</f>
        <v>4.8218029350104885E-2</v>
      </c>
      <c r="R379" s="1267">
        <f>IFERROR(Model!R379/Model!N379-1,"NA")</f>
        <v>-0.16869918699186992</v>
      </c>
      <c r="S379" s="1267">
        <f>IFERROR(Model!S379/Model!O379-1,"NA")</f>
        <v>-0.13776722090261284</v>
      </c>
      <c r="T379" s="1267">
        <f>IFERROR(Model!T379/Model!P379-1,"NA")</f>
        <v>-0.22061855670103092</v>
      </c>
      <c r="U379" s="1267">
        <f>IFERROR(Model!U379/Model!Q379-1,"NA")</f>
        <v>-0.17600000000000005</v>
      </c>
      <c r="V379" s="1267">
        <f>IFERROR(Model!V379/Model!R379-1,"NA")</f>
        <v>3.6674816625916762E-2</v>
      </c>
      <c r="W379" s="1267">
        <f>IFERROR(Model!W379/Model!S379-1,"NA")</f>
        <v>8.2644628099173501E-2</v>
      </c>
      <c r="X379" s="1267">
        <f>IFERROR(Model!X379/Model!T379-1,"NA")</f>
        <v>0.12962962962962954</v>
      </c>
      <c r="Y379" s="1267">
        <f>IFERROR(Model!Y379/Model!U379-1,"NA")</f>
        <v>3.6407766990291357E-2</v>
      </c>
      <c r="Z379" s="1267">
        <f>IFERROR(Model!Z379/Model!V379-1,"NA")</f>
        <v>0.11556603773584895</v>
      </c>
      <c r="AA379" s="1267">
        <f>IFERROR(Model!AA379/Model!W379-1,"NA")</f>
        <v>0.12722646310432562</v>
      </c>
      <c r="AB379" s="1267">
        <f>IFERROR(Model!AB379/Model!X379-1,"NA")</f>
        <v>0.14754098360655732</v>
      </c>
      <c r="AC379" s="1247">
        <f>IFERROR(Model!AC379/Model!Y379-1,"NA")</f>
        <v>0.16881473164158978</v>
      </c>
      <c r="AD379" s="1247">
        <f>IFERROR(Model!AD379/Model!Z379-1,"NA")</f>
        <v>7.7408059312461974E-2</v>
      </c>
      <c r="AE379" s="1247">
        <f>IFERROR(Model!AE379/Model!AA379-1,"NA")</f>
        <v>0.13282708435882373</v>
      </c>
      <c r="AF379" s="1247">
        <f>IFERROR(Model!AF379/Model!AB379-1,"NA")</f>
        <v>-2.4402758146088721E-2</v>
      </c>
      <c r="AG379" s="1247">
        <f>IFERROR(Model!AG379/Model!AC379-1,"NA")</f>
        <v>-1.1426190499999933E-2</v>
      </c>
      <c r="AH379" s="1247">
        <f>IFERROR(Model!AH379/Model!AD379-1,"NA")</f>
        <v>6.6619110250000002E-2</v>
      </c>
      <c r="AI379" s="1247">
        <f>IFERROR(Model!AI379/Model!AE379-1,"NA")</f>
        <v>6.5172726153846172E-2</v>
      </c>
      <c r="AJ379" s="1247"/>
      <c r="AK379" s="1247"/>
      <c r="AL379" s="1247"/>
      <c r="AM379" s="1247"/>
      <c r="AN379" s="1247"/>
      <c r="AO379" s="1247"/>
      <c r="AP379" s="1247"/>
      <c r="AQ379" s="1247"/>
      <c r="AR379" s="1236"/>
      <c r="AS379" s="1284"/>
      <c r="AT379" s="1248"/>
      <c r="AU379" s="1236"/>
      <c r="AV379" s="1236">
        <f>IFERROR(Model!AV379/Model!AU379-1,"NA")</f>
        <v>4.8809523809523858E-2</v>
      </c>
      <c r="AW379" s="1236">
        <f>IFERROR(Model!AW379/Model!AV379-1,"NA")</f>
        <v>6.7536889897843455E-2</v>
      </c>
      <c r="AX379" s="1236">
        <f>IFERROR(Model!AX379/Model!AW379-1,"NA")</f>
        <v>-6.5922381711855382E-2</v>
      </c>
      <c r="AY379" s="1236">
        <f>IFERROR(Model!AY379/Model!AX379-1,"NA")</f>
        <v>-8.5372794536141106E-2</v>
      </c>
      <c r="AZ379" s="1236">
        <f>IFERROR(Model!AZ379/Model!AY379-1,"NA")</f>
        <v>0.10143123833229617</v>
      </c>
      <c r="BA379" s="1236">
        <f>IFERROR(Model!BA379/Model!AZ379-1,"NA")</f>
        <v>0.13024875753486587</v>
      </c>
      <c r="BB379" s="1247">
        <f>IFERROR(Model!BB379/Model!BA379-1,"NA")</f>
        <v>2.4491628654544018E-2</v>
      </c>
      <c r="BC379" s="1247">
        <f>IFERROR(Model!BC379/Model!BB379-1,"NA")</f>
        <v>7.2045921133435442E-2</v>
      </c>
      <c r="BD379" s="1247">
        <f>IFERROR(Model!BD379/Model!BC379-1,"NA")</f>
        <v>5.0000000000000044E-2</v>
      </c>
      <c r="BE379" s="1247">
        <f>IFERROR(Model!BE379/Model!BD379-1,"NA")</f>
        <v>5.0000000000000044E-2</v>
      </c>
    </row>
    <row r="380" spans="1:57" s="369" customFormat="1" x14ac:dyDescent="0.2">
      <c r="A380" s="411"/>
      <c r="B380" s="321" t="s">
        <v>195</v>
      </c>
      <c r="C380" s="319"/>
      <c r="D380" s="1267"/>
      <c r="E380" s="1267"/>
      <c r="F380" s="1267"/>
      <c r="G380" s="1267"/>
      <c r="H380" s="1267">
        <f>IFERROR(Model!H380/Model!D380-1,"NA")</f>
        <v>9.0476190476190377E-2</v>
      </c>
      <c r="I380" s="1267">
        <f>IFERROR(Model!I380/Model!E380-1,"NA")</f>
        <v>0.12017167381974247</v>
      </c>
      <c r="J380" s="1267">
        <f>IFERROR(Model!J380/Model!F380-1,"NA")</f>
        <v>5.9574468085106469E-2</v>
      </c>
      <c r="K380" s="1267">
        <f>IFERROR(Model!K380/Model!G380-1,"NA")</f>
        <v>-4.0322580645161255E-3</v>
      </c>
      <c r="L380" s="1267">
        <f>IFERROR(Model!L380/Model!H380-1,"NA")</f>
        <v>-1.7467248908296984E-2</v>
      </c>
      <c r="M380" s="1267">
        <f>IFERROR(Model!M380/Model!I380-1,"NA")</f>
        <v>-4.2145593869731823E-2</v>
      </c>
      <c r="N380" s="1267">
        <f>IFERROR(Model!N380/Model!J380-1,"NA")</f>
        <v>1.2048192771084265E-2</v>
      </c>
      <c r="O380" s="1267">
        <f>IFERROR(Model!O380/Model!K380-1,"NA")</f>
        <v>-0.1336032388663968</v>
      </c>
      <c r="P380" s="1267">
        <f>IFERROR(Model!P380/Model!L380-1,"NA")</f>
        <v>-0.15111111111111108</v>
      </c>
      <c r="Q380" s="1267">
        <f>IFERROR(Model!Q380/Model!M380-1,"NA")</f>
        <v>-0.18000000000000005</v>
      </c>
      <c r="R380" s="1267">
        <f>IFERROR(Model!R380/Model!N380-1,"NA")</f>
        <v>-0.26984126984126988</v>
      </c>
      <c r="S380" s="1267">
        <f>IFERROR(Model!S380/Model!O380-1,"NA")</f>
        <v>-0.12616822429906538</v>
      </c>
      <c r="T380" s="1267">
        <f>IFERROR(Model!T380/Model!P380-1,"NA")</f>
        <v>-7.8534031413612593E-2</v>
      </c>
      <c r="U380" s="1267">
        <f>IFERROR(Model!U380/Model!Q380-1,"NA")</f>
        <v>-2.4390243902439046E-2</v>
      </c>
      <c r="V380" s="1267">
        <f>IFERROR(Model!V380/Model!R380-1,"NA")</f>
        <v>7.6086956521739024E-2</v>
      </c>
      <c r="W380" s="1267">
        <f>IFERROR(Model!W380/Model!S380-1,"NA")</f>
        <v>3.2085561497326109E-2</v>
      </c>
      <c r="X380" s="1267">
        <f>IFERROR(Model!X380/Model!T380-1,"NA")</f>
        <v>9.6590909090909172E-2</v>
      </c>
      <c r="Y380" s="1267">
        <f>IFERROR(Model!Y380/Model!U380-1,"NA")</f>
        <v>0.15500000000000003</v>
      </c>
      <c r="Z380" s="1267">
        <f>IFERROR(Model!Z380/Model!V380-1,"NA")</f>
        <v>3.0303030303030276E-2</v>
      </c>
      <c r="AA380" s="1267">
        <f>IFERROR(Model!AA380/Model!W380-1,"NA")</f>
        <v>0.27461139896373066</v>
      </c>
      <c r="AB380" s="1267">
        <f>IFERROR(Model!AB380/Model!X380-1,"NA")</f>
        <v>6.7357512953367893E-2</v>
      </c>
      <c r="AC380" s="1247">
        <f>IFERROR(Model!AC380/Model!Y380-1,"NA")</f>
        <v>-4.2857142857142927E-2</v>
      </c>
      <c r="AD380" s="1247">
        <f>IFERROR(Model!AD380/Model!Z380-1,"NA")</f>
        <v>0.10635000000000017</v>
      </c>
      <c r="AE380" s="1247">
        <f>IFERROR(Model!AE380/Model!AA380-1,"NA")</f>
        <v>-1.9307317073170571E-2</v>
      </c>
      <c r="AF380" s="1247">
        <f>IFERROR(Model!AF380/Model!AB380-1,"NA")</f>
        <v>0.16141747572815546</v>
      </c>
      <c r="AG380" s="1247">
        <f>IFERROR(Model!AG380/Model!AC380-1,"NA")</f>
        <v>0.11300000000000021</v>
      </c>
      <c r="AH380" s="1247">
        <f>IFERROR(Model!AH380/Model!AD380-1,"NA")</f>
        <v>9.117647058823497E-2</v>
      </c>
      <c r="AI380" s="1247">
        <f>IFERROR(Model!AI380/Model!AE380-1,"NA")</f>
        <v>9.1176470588235414E-2</v>
      </c>
      <c r="AJ380" s="1247"/>
      <c r="AK380" s="1247"/>
      <c r="AL380" s="1247"/>
      <c r="AM380" s="1247"/>
      <c r="AN380" s="1247"/>
      <c r="AO380" s="1247"/>
      <c r="AP380" s="1247"/>
      <c r="AQ380" s="1247"/>
      <c r="AR380" s="1236"/>
      <c r="AS380" s="1284"/>
      <c r="AT380" s="1248"/>
      <c r="AU380" s="1246"/>
      <c r="AV380" s="1246">
        <f>IFERROR(Model!AV380/Model!AU380-1,"NA")</f>
        <v>6.4794816414686762E-2</v>
      </c>
      <c r="AW380" s="1246">
        <f>IFERROR(Model!AW380/Model!AV380-1,"NA")</f>
        <v>-4.5638945233265726E-2</v>
      </c>
      <c r="AX380" s="1246">
        <f>IFERROR(Model!AX380/Model!AW380-1,"NA")</f>
        <v>-0.1849096705632306</v>
      </c>
      <c r="AY380" s="1246">
        <f>IFERROR(Model!AY380/Model!AX380-1,"NA")</f>
        <v>0</v>
      </c>
      <c r="AZ380" s="1246">
        <f>IFERROR(Model!AZ380/Model!AY380-1,"NA")</f>
        <v>0.1395045632333769</v>
      </c>
      <c r="BA380" s="1246">
        <f>IFERROR(Model!BA380/Model!AZ380-1,"NA")</f>
        <v>2.2935697940503541E-2</v>
      </c>
      <c r="BB380" s="1247">
        <f>IFERROR(Model!BB380/Model!BA380-1,"NA")</f>
        <v>0.11275794819460039</v>
      </c>
      <c r="BC380" s="1247">
        <f>IFERROR(Model!BC380/Model!BB380-1,"NA")</f>
        <v>6.2451137252880873E-2</v>
      </c>
      <c r="BD380" s="1247">
        <f>IFERROR(Model!BD380/Model!BC380-1,"NA")</f>
        <v>6.0000000000000053E-2</v>
      </c>
      <c r="BE380" s="1247">
        <f>IFERROR(Model!BE380/Model!BD380-1,"NA")</f>
        <v>6.0000000000000053E-2</v>
      </c>
    </row>
    <row r="381" spans="1:57" s="369" customFormat="1" x14ac:dyDescent="0.2">
      <c r="A381" s="411"/>
      <c r="B381" s="321"/>
      <c r="C381" s="319" t="s">
        <v>21</v>
      </c>
      <c r="D381" s="1422"/>
      <c r="E381" s="1422"/>
      <c r="F381" s="1422"/>
      <c r="G381" s="1422"/>
      <c r="H381" s="1422">
        <f>IFERROR(Model!H381/Model!D381-1,"NA")</f>
        <v>0.1074249605055293</v>
      </c>
      <c r="I381" s="1422">
        <f>IFERROR(Model!I381/Model!E381-1,"NA")</f>
        <v>0.19838709677419364</v>
      </c>
      <c r="J381" s="1422">
        <f>IFERROR(Model!J381/Model!F381-1,"NA")</f>
        <v>0</v>
      </c>
      <c r="K381" s="1422">
        <f>IFERROR(Model!K381/Model!G381-1,"NA")</f>
        <v>-7.2058823529411731E-2</v>
      </c>
      <c r="L381" s="1422">
        <f>IFERROR(Model!L381/Model!H381-1,"NA")</f>
        <v>2.1398002853067144E-2</v>
      </c>
      <c r="M381" s="1422">
        <f>IFERROR(Model!M381/Model!I381-1,"NA")</f>
        <v>-2.1534320323014833E-2</v>
      </c>
      <c r="N381" s="1422">
        <f>IFERROR(Model!N381/Model!J381-1,"NA")</f>
        <v>0.10549777117384851</v>
      </c>
      <c r="O381" s="1422">
        <f>IFERROR(Model!O381/Model!K381-1,"NA")</f>
        <v>6.3391442155309452E-3</v>
      </c>
      <c r="P381" s="1422">
        <f>IFERROR(Model!P381/Model!L381-1,"NA")</f>
        <v>-5.5865921787709549E-2</v>
      </c>
      <c r="Q381" s="1422">
        <f>IFERROR(Model!Q381/Model!M381-1,"NA")</f>
        <v>-3.0261348005502064E-2</v>
      </c>
      <c r="R381" s="1422">
        <f>IFERROR(Model!R381/Model!N381-1,"NA")</f>
        <v>-0.20295698924731187</v>
      </c>
      <c r="S381" s="1422">
        <f>IFERROR(Model!S381/Model!O381-1,"NA")</f>
        <v>-0.13385826771653542</v>
      </c>
      <c r="T381" s="1422">
        <f>IFERROR(Model!T381/Model!P381-1,"NA")</f>
        <v>-0.18047337278106512</v>
      </c>
      <c r="U381" s="1422">
        <f>IFERROR(Model!U381/Model!Q381-1,"NA")</f>
        <v>-0.13191489361702124</v>
      </c>
      <c r="V381" s="1422">
        <f>IFERROR(Model!V381/Model!R381-1,"NA")</f>
        <v>4.8903878583473892E-2</v>
      </c>
      <c r="W381" s="1422">
        <f>IFERROR(Model!W381/Model!S381-1,"NA")</f>
        <v>6.5454545454545432E-2</v>
      </c>
      <c r="X381" s="1422">
        <f>IFERROR(Model!X381/Model!T381-1,"NA")</f>
        <v>0.11913357400722013</v>
      </c>
      <c r="Y381" s="1422">
        <f>IFERROR(Model!Y381/Model!U381-1,"NA")</f>
        <v>7.5163398692810413E-2</v>
      </c>
      <c r="Z381" s="1422">
        <f>IFERROR(Model!Z381/Model!V381-1,"NA")</f>
        <v>8.8424437299035263E-2</v>
      </c>
      <c r="AA381" s="1422">
        <f>IFERROR(Model!AA381/Model!W381-1,"NA")</f>
        <v>0.17576791808873726</v>
      </c>
      <c r="AB381" s="1422">
        <f>IFERROR(Model!AB381/Model!X381-1,"NA")</f>
        <v>0.1225806451612903</v>
      </c>
      <c r="AC381" s="1422">
        <f>IFERROR(Model!AC381/Model!Y381-1,"NA")</f>
        <v>9.4504392721821873E-2</v>
      </c>
      <c r="AD381" s="1422">
        <f>IFERROR(Model!AD381/Model!Z381-1,"NA")</f>
        <v>8.6129116772222458E-2</v>
      </c>
      <c r="AE381" s="1422">
        <f>IFERROR(Model!AE381/Model!AA381-1,"NA")</f>
        <v>7.850914132214637E-2</v>
      </c>
      <c r="AF381" s="1422">
        <f>IFERROR(Model!AF381/Model!AB381-1,"NA")</f>
        <v>3.059575935117298E-2</v>
      </c>
      <c r="AG381" s="1422">
        <f>IFERROR(Model!AG381/Model!AC381-1,"NA")</f>
        <v>2.677326256448298E-2</v>
      </c>
      <c r="AH381" s="1422">
        <f>IFERROR(Model!AH381/Model!AD381-1,"NA")</f>
        <v>7.4156730704216356E-2</v>
      </c>
      <c r="AI381" s="1422">
        <f>IFERROR(Model!AI381/Model!AE381-1,"NA")</f>
        <v>7.3615028057521181E-2</v>
      </c>
      <c r="AJ381" s="1311"/>
      <c r="AK381" s="1311"/>
      <c r="AL381" s="1311"/>
      <c r="AM381" s="1311"/>
      <c r="AN381" s="1311"/>
      <c r="AO381" s="1311"/>
      <c r="AP381" s="1311"/>
      <c r="AQ381" s="1311"/>
      <c r="AR381" s="1236"/>
      <c r="AS381" s="1284"/>
      <c r="AT381" s="1248"/>
      <c r="AU381" s="1277"/>
      <c r="AV381" s="1277">
        <f>IFERROR(Model!AV381/Model!AU381-1,"NA")</f>
        <v>5.4489639293937131E-2</v>
      </c>
      <c r="AW381" s="1277">
        <f>IFERROR(Model!AW381/Model!AV381-1,"NA")</f>
        <v>2.6928675400291091E-2</v>
      </c>
      <c r="AX381" s="1277">
        <f>IFERROR(Model!AX381/Model!AW381-1,"NA")</f>
        <v>-0.10559886605244506</v>
      </c>
      <c r="AY381" s="1277">
        <f>IFERROR(Model!AY381/Model!AX381-1,"NA")</f>
        <v>-5.9429477020602195E-2</v>
      </c>
      <c r="AZ381" s="1277">
        <f>IFERROR(Model!AZ381/Model!AY381-1,"NA")</f>
        <v>0.11373209772535797</v>
      </c>
      <c r="BA381" s="1277">
        <f>IFERROR(Model!BA381/Model!AZ381-1,"NA")</f>
        <v>9.4775378531283261E-2</v>
      </c>
      <c r="BB381" s="1422">
        <f>IFERROR(Model!BB381/Model!BA381-1,"NA")</f>
        <v>5.1754294029546788E-2</v>
      </c>
      <c r="BC381" s="1422">
        <f>IFERROR(Model!BC381/Model!BB381-1,"NA")</f>
        <v>6.8910507062572401E-2</v>
      </c>
      <c r="BD381" s="1422">
        <f>IFERROR(Model!BD381/Model!BC381-1,"NA")</f>
        <v>5.3248084550753028E-2</v>
      </c>
      <c r="BE381" s="1422">
        <f>IFERROR(Model!BE381/Model!BD381-1,"NA")</f>
        <v>5.326890660832917E-2</v>
      </c>
    </row>
    <row r="382" spans="1:57" s="369" customFormat="1" x14ac:dyDescent="0.2">
      <c r="A382" s="830"/>
      <c r="C382" s="382"/>
      <c r="D382" s="1311"/>
      <c r="E382" s="1311"/>
      <c r="F382" s="1311"/>
      <c r="G382" s="1311"/>
      <c r="H382" s="1311"/>
      <c r="I382" s="1311"/>
      <c r="J382" s="1311"/>
      <c r="K382" s="1311"/>
      <c r="L382" s="1311"/>
      <c r="M382" s="1311"/>
      <c r="N382" s="1311"/>
      <c r="O382" s="1311"/>
      <c r="P382" s="1311"/>
      <c r="Q382" s="1311"/>
      <c r="R382" s="1311"/>
      <c r="S382" s="1311"/>
      <c r="T382" s="1311"/>
      <c r="U382" s="1311"/>
      <c r="V382" s="1311"/>
      <c r="W382" s="1311"/>
      <c r="X382" s="1311"/>
      <c r="Y382" s="1311"/>
      <c r="Z382" s="1311"/>
      <c r="AA382" s="1311"/>
      <c r="AB382" s="1311"/>
      <c r="AC382" s="1263"/>
      <c r="AD382" s="1311"/>
      <c r="AE382" s="1311"/>
      <c r="AF382" s="1311"/>
      <c r="AG382" s="1311"/>
      <c r="AH382" s="1311"/>
      <c r="AI382" s="1263"/>
      <c r="AJ382" s="1263"/>
      <c r="AK382" s="1263"/>
      <c r="AL382" s="1263"/>
      <c r="AM382" s="1263"/>
      <c r="AN382" s="1263"/>
      <c r="AO382" s="1263"/>
      <c r="AP382" s="1263"/>
      <c r="AQ382" s="1263"/>
      <c r="AR382" s="1236"/>
      <c r="AS382" s="1263"/>
      <c r="AT382" s="1308"/>
      <c r="AU382" s="1277"/>
      <c r="AV382" s="1263"/>
      <c r="AW382" s="1311"/>
      <c r="AX382" s="1277"/>
      <c r="AY382" s="1311"/>
      <c r="AZ382" s="1263"/>
      <c r="BA382" s="1308"/>
      <c r="BB382" s="1263"/>
      <c r="BC382" s="1263"/>
      <c r="BD382" s="1263"/>
      <c r="BE382" s="1263"/>
    </row>
    <row r="383" spans="1:57" s="382" customFormat="1" x14ac:dyDescent="0.2">
      <c r="A383" s="833"/>
      <c r="B383" s="340" t="s">
        <v>96</v>
      </c>
      <c r="C383" s="388"/>
      <c r="D383" s="1438"/>
      <c r="E383" s="1438"/>
      <c r="F383" s="1438"/>
      <c r="G383" s="1438"/>
      <c r="H383" s="1438"/>
      <c r="I383" s="1438"/>
      <c r="J383" s="1438"/>
      <c r="K383" s="1438"/>
      <c r="L383" s="1438"/>
      <c r="M383" s="1438"/>
      <c r="N383" s="1438"/>
      <c r="O383" s="1438"/>
      <c r="P383" s="1438"/>
      <c r="Q383" s="1438"/>
      <c r="R383" s="1438"/>
      <c r="S383" s="1438"/>
      <c r="T383" s="1438"/>
      <c r="U383" s="1438"/>
      <c r="V383" s="1438"/>
      <c r="W383" s="1438"/>
      <c r="X383" s="1438"/>
      <c r="Y383" s="1438"/>
      <c r="Z383" s="1438"/>
      <c r="AA383" s="1438"/>
      <c r="AB383" s="1438"/>
      <c r="AC383" s="1441"/>
      <c r="AD383" s="1441"/>
      <c r="AE383" s="1441"/>
      <c r="AF383" s="1441"/>
      <c r="AG383" s="1441"/>
      <c r="AH383" s="1441"/>
      <c r="AI383" s="1441"/>
      <c r="AJ383" s="1441"/>
      <c r="AK383" s="1441"/>
      <c r="AL383" s="1441"/>
      <c r="AM383" s="1441"/>
      <c r="AN383" s="1441"/>
      <c r="AO383" s="1441"/>
      <c r="AP383" s="1441"/>
      <c r="AQ383" s="1441"/>
      <c r="AR383" s="1236"/>
      <c r="AS383" s="1313"/>
      <c r="AT383" s="1407"/>
      <c r="AU383" s="1398"/>
      <c r="AV383" s="1398"/>
      <c r="AW383" s="1398"/>
      <c r="AX383" s="1398"/>
      <c r="AY383" s="1398"/>
      <c r="AZ383" s="1398"/>
      <c r="BA383" s="1398"/>
      <c r="BB383" s="1398"/>
      <c r="BC383" s="1398"/>
      <c r="BD383" s="1398"/>
      <c r="BE383" s="1398"/>
    </row>
    <row r="384" spans="1:57" s="369" customFormat="1" x14ac:dyDescent="0.2">
      <c r="A384" s="411"/>
      <c r="B384" s="321" t="s">
        <v>74</v>
      </c>
      <c r="C384" s="321"/>
      <c r="D384" s="1432"/>
      <c r="E384" s="1432"/>
      <c r="F384" s="1432"/>
      <c r="G384" s="1432"/>
      <c r="H384" s="1432">
        <f>IFERROR(Model!H384/Model!D384-1,"NA")</f>
        <v>-0.21014492753623193</v>
      </c>
      <c r="I384" s="1432">
        <f>IFERROR(Model!I384/Model!E384-1,"NA")</f>
        <v>-0.13913043478260867</v>
      </c>
      <c r="J384" s="1432">
        <f>IFERROR(Model!J384/Model!F384-1,"NA")</f>
        <v>-0.29831932773109249</v>
      </c>
      <c r="K384" s="1432">
        <f>IFERROR(Model!K384/Model!G384-1,"NA")</f>
        <v>-0.1216216216216216</v>
      </c>
      <c r="L384" s="1432">
        <f>IFERROR(Model!L384/Model!H384-1,"NA")</f>
        <v>-9.1743119266055051E-2</v>
      </c>
      <c r="M384" s="1432">
        <f>IFERROR(Model!M384/Model!I384-1,"NA")</f>
        <v>-0.71212121212121215</v>
      </c>
      <c r="N384" s="1432">
        <f>IFERROR(Model!N384/Model!J384-1,"NA")</f>
        <v>0.35928143712574845</v>
      </c>
      <c r="O384" s="1432">
        <f>IFERROR(Model!O384/Model!K384-1,"NA")</f>
        <v>0.39230769230769225</v>
      </c>
      <c r="P384" s="1432">
        <f>IFERROR(Model!P384/Model!L384-1,"NA")</f>
        <v>0.11616161616161613</v>
      </c>
      <c r="Q384" s="1432">
        <f>IFERROR(Model!Q384/Model!M384-1,"NA")</f>
        <v>2.8947368421052633</v>
      </c>
      <c r="R384" s="1432">
        <f>IFERROR(Model!R384/Model!N384-1,"NA")</f>
        <v>-0.18502202643171806</v>
      </c>
      <c r="S384" s="1432">
        <f>IFERROR(Model!S384/Model!O384-1,"NA")</f>
        <v>-0.38674033149171272</v>
      </c>
      <c r="T384" s="1432">
        <f>IFERROR(Model!T384/Model!P384-1,"NA")</f>
        <v>-0.46153846153846156</v>
      </c>
      <c r="U384" s="1432">
        <f>IFERROR(Model!U384/Model!Q384-1,"NA")</f>
        <v>-8.108108108108103E-2</v>
      </c>
      <c r="V384" s="1432">
        <f>IFERROR(Model!V384/Model!R384-1,"NA")</f>
        <v>2.7027027027026973E-2</v>
      </c>
      <c r="W384" s="1432">
        <f>IFERROR(Model!W384/Model!S384-1,"NA")</f>
        <v>0.4864864864864864</v>
      </c>
      <c r="X384" s="1432">
        <f>IFERROR(Model!X384/Model!T384-1,"NA")</f>
        <v>0.43697478991596639</v>
      </c>
      <c r="Y384" s="1432">
        <f>IFERROR(Model!Y384/Model!U384-1,"NA")</f>
        <v>-2.9411764705882359E-2</v>
      </c>
      <c r="Z384" s="1432">
        <f>IFERROR(Model!Z384/Model!V384-1,"NA")</f>
        <v>0.3052631578947369</v>
      </c>
      <c r="AA384" s="1432">
        <f>IFERROR(Model!AA384/Model!W384-1,"NA")</f>
        <v>0.21818181818181825</v>
      </c>
      <c r="AB384" s="1432">
        <f>IFERROR(Model!AB384/Model!X384-1,"NA")</f>
        <v>0.43859649122807021</v>
      </c>
      <c r="AC384" s="1250" t="str">
        <f>IFERROR(Model!AC384/Model!Y384-1,"NA")</f>
        <v>NA</v>
      </c>
      <c r="AD384" s="1250" t="str">
        <f>IFERROR(Model!AD384/Model!Z384-1,"NA")</f>
        <v>NA</v>
      </c>
      <c r="AE384" s="1250" t="str">
        <f>IFERROR(Model!AE384/Model!AA384-1,"NA")</f>
        <v>NA</v>
      </c>
      <c r="AF384" s="1250" t="str">
        <f>IFERROR(Model!AF384/Model!AB384-1,"NA")</f>
        <v>NA</v>
      </c>
      <c r="AG384" s="1250" t="str">
        <f>IFERROR(Model!AG384/Model!AC384-1,"NA")</f>
        <v>NA</v>
      </c>
      <c r="AH384" s="1250" t="str">
        <f>IFERROR(Model!AH384/Model!AD384-1,"NA")</f>
        <v>NA</v>
      </c>
      <c r="AI384" s="1250" t="str">
        <f>IFERROR(Model!AI384/Model!AE384-1,"NA")</f>
        <v>NA</v>
      </c>
      <c r="AJ384" s="1250"/>
      <c r="AK384" s="1250"/>
      <c r="AL384" s="1250"/>
      <c r="AM384" s="1250"/>
      <c r="AN384" s="1250"/>
      <c r="AO384" s="1250"/>
      <c r="AP384" s="1250"/>
      <c r="AQ384" s="1250"/>
      <c r="AR384" s="1236"/>
      <c r="AS384" s="1284"/>
      <c r="AT384" s="1284"/>
      <c r="AU384" s="1236"/>
      <c r="AV384" s="1236">
        <f>IFERROR(Model!AV384/Model!AU384-1,"NA")</f>
        <v>-0.20067264573991028</v>
      </c>
      <c r="AW384" s="1236">
        <f>IFERROR(Model!AW384/Model!AV384-1,"NA")</f>
        <v>-7.0126227208976211E-2</v>
      </c>
      <c r="AX384" s="1236">
        <f>IFERROR(Model!AX384/Model!AW384-1,"NA")</f>
        <v>0.11463046757164408</v>
      </c>
      <c r="AY384" s="1236">
        <f>IFERROR(Model!AY384/Model!AX384-1,"NA")</f>
        <v>-8.2543978349120417E-2</v>
      </c>
      <c r="AZ384" s="1236" t="str">
        <f>IFERROR(Model!AZ384/Model!AY384-1,"NA")</f>
        <v>NA</v>
      </c>
      <c r="BA384" s="1236" t="str">
        <f>IFERROR(Model!BA384/Model!AZ384-1,"NA")</f>
        <v>NA</v>
      </c>
      <c r="BB384" s="1236" t="str">
        <f>IFERROR(Model!BB384/Model!BA384-1,"NA")</f>
        <v>NA</v>
      </c>
      <c r="BC384" s="1236" t="str">
        <f>IFERROR(Model!BC384/Model!BB384-1,"NA")</f>
        <v>NA</v>
      </c>
      <c r="BD384" s="1236" t="str">
        <f>IFERROR(Model!BD384/Model!BC384-1,"NA")</f>
        <v>NA</v>
      </c>
      <c r="BE384" s="1236" t="str">
        <f>IFERROR(Model!BE384/Model!BD384-1,"NA")</f>
        <v>NA</v>
      </c>
    </row>
    <row r="385" spans="1:57" s="369" customFormat="1" x14ac:dyDescent="0.2">
      <c r="A385" s="411"/>
      <c r="B385" s="321" t="s">
        <v>75</v>
      </c>
      <c r="C385" s="321"/>
      <c r="D385" s="1283"/>
      <c r="E385" s="1283"/>
      <c r="F385" s="1283"/>
      <c r="G385" s="1283"/>
      <c r="H385" s="1283">
        <f>IFERROR(Model!H385/Model!D385-1,"NA")</f>
        <v>-0.11834319526627224</v>
      </c>
      <c r="I385" s="1283">
        <f>IFERROR(Model!I385/Model!E385-1,"NA")</f>
        <v>1.5873015873015817E-2</v>
      </c>
      <c r="J385" s="1283">
        <f>IFERROR(Model!J385/Model!F385-1,"NA")</f>
        <v>0</v>
      </c>
      <c r="K385" s="1283">
        <f>IFERROR(Model!K385/Model!G385-1,"NA")</f>
        <v>-2.3255813953488413E-2</v>
      </c>
      <c r="L385" s="1283">
        <f>IFERROR(Model!L385/Model!H385-1,"NA")</f>
        <v>8.0536912751677958E-2</v>
      </c>
      <c r="M385" s="1283">
        <f>IFERROR(Model!M385/Model!I385-1,"NA")</f>
        <v>-0.203125</v>
      </c>
      <c r="N385" s="1283">
        <f>IFERROR(Model!N385/Model!J385-1,"NA")</f>
        <v>-0.2055555555555556</v>
      </c>
      <c r="O385" s="1283">
        <f>IFERROR(Model!O385/Model!K385-1,"NA")</f>
        <v>-0.39880952380952384</v>
      </c>
      <c r="P385" s="1283">
        <f>IFERROR(Model!P385/Model!L385-1,"NA")</f>
        <v>-0.26708074534161486</v>
      </c>
      <c r="Q385" s="1283">
        <f>IFERROR(Model!Q385/Model!M385-1,"NA")</f>
        <v>-0.24183006535947715</v>
      </c>
      <c r="R385" s="1283">
        <f>IFERROR(Model!R385/Model!N385-1,"NA")</f>
        <v>-0.15384615384615385</v>
      </c>
      <c r="S385" s="1283">
        <f>IFERROR(Model!S385/Model!O385-1,"NA")</f>
        <v>4.9504950495049549E-2</v>
      </c>
      <c r="T385" s="1283">
        <f>IFERROR(Model!T385/Model!P385-1,"NA")</f>
        <v>-0.18644067796610164</v>
      </c>
      <c r="U385" s="1283">
        <f>IFERROR(Model!U385/Model!Q385-1,"NA")</f>
        <v>-0.19827586206896552</v>
      </c>
      <c r="V385" s="1283">
        <f>IFERROR(Model!V385/Model!R385-1,"NA")</f>
        <v>-8.2644628099173278E-3</v>
      </c>
      <c r="W385" s="1283">
        <f>IFERROR(Model!W385/Model!S385-1,"NA")</f>
        <v>-9.4339622641509413E-2</v>
      </c>
      <c r="X385" s="1283">
        <f>IFERROR(Model!X385/Model!T385-1,"NA")</f>
        <v>-0.1875</v>
      </c>
      <c r="Y385" s="1283">
        <f>IFERROR(Model!Y385/Model!U385-1,"NA")</f>
        <v>0.41935483870967749</v>
      </c>
      <c r="Z385" s="1283">
        <f>IFERROR(Model!Z385/Model!V385-1,"NA")</f>
        <v>-7.4999999999999956E-2</v>
      </c>
      <c r="AA385" s="1283">
        <f>IFERROR(Model!AA385/Model!W385-1,"NA")</f>
        <v>0.44791666666666674</v>
      </c>
      <c r="AB385" s="1283">
        <f>IFERROR(Model!AB385/Model!X385-1,"NA")</f>
        <v>0.62820512820512819</v>
      </c>
      <c r="AC385" s="1250" t="str">
        <f>IFERROR(Model!AC385/Model!Y385-1,"NA")</f>
        <v>NA</v>
      </c>
      <c r="AD385" s="1250" t="str">
        <f>IFERROR(Model!AD385/Model!Z385-1,"NA")</f>
        <v>NA</v>
      </c>
      <c r="AE385" s="1250" t="str">
        <f>IFERROR(Model!AE385/Model!AA385-1,"NA")</f>
        <v>NA</v>
      </c>
      <c r="AF385" s="1250" t="str">
        <f>IFERROR(Model!AF385/Model!AB385-1,"NA")</f>
        <v>NA</v>
      </c>
      <c r="AG385" s="1250" t="str">
        <f>IFERROR(Model!AG385/Model!AC385-1,"NA")</f>
        <v>NA</v>
      </c>
      <c r="AH385" s="1250" t="str">
        <f>IFERROR(Model!AH385/Model!AD385-1,"NA")</f>
        <v>NA</v>
      </c>
      <c r="AI385" s="1250" t="str">
        <f>IFERROR(Model!AI385/Model!AE385-1,"NA")</f>
        <v>NA</v>
      </c>
      <c r="AJ385" s="1250"/>
      <c r="AK385" s="1250"/>
      <c r="AL385" s="1250"/>
      <c r="AM385" s="1250"/>
      <c r="AN385" s="1250"/>
      <c r="AO385" s="1250"/>
      <c r="AP385" s="1250"/>
      <c r="AQ385" s="1250"/>
      <c r="AR385" s="1236"/>
      <c r="AS385" s="1284"/>
      <c r="AT385" s="1284"/>
      <c r="AU385" s="1246"/>
      <c r="AV385" s="1246">
        <f>IFERROR(Model!AV385/Model!AU385-1,"NA")</f>
        <v>-2.9577464788732355E-2</v>
      </c>
      <c r="AW385" s="1246">
        <f>IFERROR(Model!AW385/Model!AV385-1,"NA")</f>
        <v>-0.19013062409288828</v>
      </c>
      <c r="AX385" s="1246">
        <f>IFERROR(Model!AX385/Model!AW385-1,"NA")</f>
        <v>-0.1738351254480287</v>
      </c>
      <c r="AY385" s="1246">
        <f>IFERROR(Model!AY385/Model!AX385-1,"NA")</f>
        <v>-0.12147505422993488</v>
      </c>
      <c r="AZ385" s="1246" t="str">
        <f>IFERROR(Model!AZ385/Model!AY385-1,"NA")</f>
        <v>NA</v>
      </c>
      <c r="BA385" s="1246" t="str">
        <f>IFERROR(Model!BA385/Model!AZ385-1,"NA")</f>
        <v>NA</v>
      </c>
      <c r="BB385" s="1246" t="str">
        <f>IFERROR(Model!BB385/Model!BA385-1,"NA")</f>
        <v>NA</v>
      </c>
      <c r="BC385" s="1246" t="str">
        <f>IFERROR(Model!BC385/Model!BB385-1,"NA")</f>
        <v>NA</v>
      </c>
      <c r="BD385" s="1246" t="str">
        <f>IFERROR(Model!BD385/Model!BC385-1,"NA")</f>
        <v>NA</v>
      </c>
      <c r="BE385" s="1246" t="str">
        <f>IFERROR(Model!BE385/Model!BD385-1,"NA")</f>
        <v>NA</v>
      </c>
    </row>
    <row r="386" spans="1:57" s="369" customFormat="1" ht="12" thickBot="1" x14ac:dyDescent="0.25">
      <c r="A386" s="411"/>
      <c r="B386" s="321"/>
      <c r="C386" s="319" t="s">
        <v>21</v>
      </c>
      <c r="D386" s="1442"/>
      <c r="E386" s="1442"/>
      <c r="F386" s="1442"/>
      <c r="G386" s="1442"/>
      <c r="H386" s="1442">
        <f>IFERROR(Model!H386/Model!D386-1,"NA")</f>
        <v>-0.17528089887640452</v>
      </c>
      <c r="I386" s="1442">
        <f>IFERROR(Model!I386/Model!E386-1,"NA")</f>
        <v>-6.9212410501193311E-2</v>
      </c>
      <c r="J386" s="1442">
        <f>IFERROR(Model!J386/Model!F386-1,"NA")</f>
        <v>-0.16985645933014359</v>
      </c>
      <c r="K386" s="1442">
        <f>IFERROR(Model!K386/Model!G386-1,"NA")</f>
        <v>-6.8749999999999978E-2</v>
      </c>
      <c r="L386" s="1442">
        <f>IFERROR(Model!L386/Model!H386-1,"NA")</f>
        <v>-2.1798365122615793E-2</v>
      </c>
      <c r="M386" s="1442">
        <f>IFERROR(Model!M386/Model!I386-1,"NA")</f>
        <v>-0.46153846153846156</v>
      </c>
      <c r="N386" s="1442">
        <f>IFERROR(Model!N386/Model!J386-1,"NA")</f>
        <v>6.6282420749279591E-2</v>
      </c>
      <c r="O386" s="1442">
        <f>IFERROR(Model!O386/Model!K386-1,"NA")</f>
        <v>-5.3691275167785268E-2</v>
      </c>
      <c r="P386" s="1442">
        <f>IFERROR(Model!P386/Model!L386-1,"NA")</f>
        <v>-5.5710306406685284E-2</v>
      </c>
      <c r="Q386" s="1442">
        <f>IFERROR(Model!Q386/Model!M386-1,"NA")</f>
        <v>0.60952380952380958</v>
      </c>
      <c r="R386" s="1442">
        <f>IFERROR(Model!R386/Model!N386-1,"NA")</f>
        <v>-0.17297297297297298</v>
      </c>
      <c r="S386" s="1442">
        <f>IFERROR(Model!S386/Model!O386-1,"NA")</f>
        <v>-0.23049645390070927</v>
      </c>
      <c r="T386" s="1442">
        <f>IFERROR(Model!T386/Model!P386-1,"NA")</f>
        <v>-0.36578171091445433</v>
      </c>
      <c r="U386" s="1442">
        <f>IFERROR(Model!U386/Model!Q386-1,"NA")</f>
        <v>-0.12130177514792895</v>
      </c>
      <c r="V386" s="1442">
        <f>IFERROR(Model!V386/Model!R386-1,"NA")</f>
        <v>1.3071895424836555E-2</v>
      </c>
      <c r="W386" s="1442">
        <f>IFERROR(Model!W386/Model!S386-1,"NA")</f>
        <v>0.20276497695852536</v>
      </c>
      <c r="X386" s="1442">
        <f>IFERROR(Model!X386/Model!T386-1,"NA")</f>
        <v>0.1581395348837209</v>
      </c>
      <c r="Y386" s="1442">
        <f>IFERROR(Model!Y386/Model!U386-1,"NA")</f>
        <v>0.11111111111111116</v>
      </c>
      <c r="Z386" s="1442">
        <f>IFERROR(Model!Z386/Model!V386-1,"NA")</f>
        <v>0.15806451612903216</v>
      </c>
      <c r="AA386" s="1442">
        <f>IFERROR(Model!AA386/Model!W386-1,"NA")</f>
        <v>0.30268199233716464</v>
      </c>
      <c r="AB386" s="1442">
        <f>IFERROR(Model!AB386/Model!X386-1,"NA")</f>
        <v>0.49799196787148592</v>
      </c>
      <c r="AC386" s="1442">
        <f>IFERROR(Model!AC386/Model!Y386-1,"NA")</f>
        <v>0.18776861793275179</v>
      </c>
      <c r="AD386" s="1442">
        <f>IFERROR(Model!AD386/Model!Z386-1,"NA")</f>
        <v>0.17531489135793854</v>
      </c>
      <c r="AE386" s="1442">
        <f>IFERROR(Model!AE386/Model!AA386-1,"NA")</f>
        <v>0.2309146713335497</v>
      </c>
      <c r="AF386" s="1442">
        <f>IFERROR(Model!AF386/Model!AB386-1,"NA")</f>
        <v>0.14854524112652623</v>
      </c>
      <c r="AG386" s="1442">
        <f>IFERROR(Model!AG386/Model!AC386-1,"NA")</f>
        <v>0.14304523176221107</v>
      </c>
      <c r="AH386" s="1442">
        <f>IFERROR(Model!AH386/Model!AD386-1,"NA")</f>
        <v>0.1109355566063881</v>
      </c>
      <c r="AI386" s="1442">
        <f>IFERROR(Model!AI386/Model!AE386-1,"NA")</f>
        <v>0.11707580980419707</v>
      </c>
      <c r="AJ386" s="1311"/>
      <c r="AK386" s="1311"/>
      <c r="AL386" s="1311"/>
      <c r="AM386" s="1311"/>
      <c r="AN386" s="1311"/>
      <c r="AO386" s="1311"/>
      <c r="AP386" s="1311"/>
      <c r="AQ386" s="1311"/>
      <c r="AR386" s="1236"/>
      <c r="AS386" s="1284"/>
      <c r="AT386" s="1248"/>
      <c r="AU386" s="1277"/>
      <c r="AV386" s="1277">
        <f>IFERROR(Model!AV386/Model!AU386-1,"NA")</f>
        <v>-0.12484394506866414</v>
      </c>
      <c r="AW386" s="1277">
        <f>IFERROR(Model!AW386/Model!AV386-1,"NA")</f>
        <v>-0.12910128388017117</v>
      </c>
      <c r="AX386" s="1277">
        <f>IFERROR(Model!AX386/Model!AW386-1,"NA")</f>
        <v>-1.7199017199017175E-2</v>
      </c>
      <c r="AY386" s="1277">
        <f>IFERROR(Model!AY386/Model!AX386-1,"NA")</f>
        <v>-9.7500000000000031E-2</v>
      </c>
      <c r="AZ386" s="1236" t="str">
        <f>IFERROR(Model!AZ386/Model!AY386-1,"NA")</f>
        <v>NA</v>
      </c>
      <c r="BA386" s="1236" t="str">
        <f>IFERROR(Model!BA386/Model!AZ386-1,"NA")</f>
        <v>NA</v>
      </c>
      <c r="BB386" s="1236" t="str">
        <f>IFERROR(Model!BB386/Model!BA386-1,"NA")</f>
        <v>NA</v>
      </c>
      <c r="BC386" s="1236" t="str">
        <f>IFERROR(Model!BC386/Model!BB386-1,"NA")</f>
        <v>NA</v>
      </c>
      <c r="BD386" s="1236" t="str">
        <f>IFERROR(Model!BD386/Model!BC386-1,"NA")</f>
        <v>NA</v>
      </c>
      <c r="BE386" s="1236" t="str">
        <f>IFERROR(Model!BE386/Model!BD386-1,"NA")</f>
        <v>NA</v>
      </c>
    </row>
    <row r="387" spans="1:57" ht="12" thickTop="1" x14ac:dyDescent="0.2">
      <c r="B387" s="16"/>
      <c r="C387" s="16"/>
      <c r="D387" s="1250"/>
      <c r="E387" s="1250"/>
      <c r="F387" s="1250"/>
      <c r="G387" s="1250"/>
      <c r="H387" s="1250"/>
      <c r="I387" s="1250"/>
      <c r="J387" s="1250"/>
      <c r="K387" s="1250"/>
      <c r="L387" s="1250"/>
      <c r="M387" s="1250"/>
      <c r="N387" s="1250"/>
      <c r="O387" s="1250"/>
      <c r="P387" s="1250"/>
      <c r="Q387" s="1250"/>
      <c r="R387" s="1250"/>
      <c r="S387" s="1250"/>
      <c r="T387" s="1250"/>
      <c r="U387" s="1250"/>
      <c r="V387" s="1250"/>
      <c r="W387" s="1250"/>
      <c r="X387" s="1250"/>
      <c r="Y387" s="1250"/>
      <c r="Z387" s="1250"/>
      <c r="AA387" s="1250"/>
      <c r="AB387" s="1250"/>
      <c r="AC387" s="1236"/>
      <c r="AD387" s="1236"/>
      <c r="AE387" s="1236"/>
      <c r="AF387" s="1236"/>
      <c r="AG387" s="1236"/>
      <c r="AH387" s="1236"/>
      <c r="AI387" s="1236"/>
      <c r="AJ387" s="1236"/>
      <c r="AK387" s="1236"/>
      <c r="AL387" s="1236"/>
      <c r="AM387" s="1236"/>
      <c r="AN387" s="1236"/>
      <c r="AO387" s="1236"/>
      <c r="AP387" s="1236"/>
      <c r="AQ387" s="1236"/>
      <c r="AR387" s="1236"/>
      <c r="AS387" s="1371"/>
      <c r="AT387" s="1371"/>
      <c r="AU387" s="1236"/>
      <c r="AV387" s="1236"/>
      <c r="AW387" s="1236"/>
      <c r="AX387" s="1236"/>
      <c r="AY387" s="1236"/>
      <c r="AZ387" s="1236"/>
      <c r="BA387" s="1236"/>
      <c r="BB387" s="1236"/>
      <c r="BC387" s="1236"/>
      <c r="BD387" s="1236"/>
      <c r="BE387" s="1236"/>
    </row>
    <row r="388" spans="1:57" x14ac:dyDescent="0.2">
      <c r="B388" s="11" t="s">
        <v>302</v>
      </c>
      <c r="C388" s="11"/>
      <c r="D388" s="1398"/>
      <c r="E388" s="1398"/>
      <c r="F388" s="1398"/>
      <c r="G388" s="1398"/>
      <c r="H388" s="1398"/>
      <c r="I388" s="1398"/>
      <c r="J388" s="1398"/>
      <c r="K388" s="1398"/>
      <c r="L388" s="1398"/>
      <c r="M388" s="1398"/>
      <c r="N388" s="1398"/>
      <c r="O388" s="1398"/>
      <c r="P388" s="1398"/>
      <c r="Q388" s="1398"/>
      <c r="R388" s="1398"/>
      <c r="S388" s="1398"/>
      <c r="T388" s="1398"/>
      <c r="U388" s="1398"/>
      <c r="V388" s="1398"/>
      <c r="W388" s="1398"/>
      <c r="X388" s="1398"/>
      <c r="Y388" s="1398"/>
      <c r="Z388" s="1398"/>
      <c r="AA388" s="1398"/>
      <c r="AB388" s="1398"/>
      <c r="AC388" s="1398"/>
      <c r="AD388" s="1398"/>
      <c r="AE388" s="1398"/>
      <c r="AF388" s="1398"/>
      <c r="AG388" s="1398"/>
      <c r="AH388" s="1398"/>
      <c r="AI388" s="1398"/>
      <c r="AJ388" s="1398"/>
      <c r="AK388" s="1398"/>
      <c r="AL388" s="1398"/>
      <c r="AM388" s="1398"/>
      <c r="AN388" s="1398"/>
      <c r="AO388" s="1398"/>
      <c r="AP388" s="1398"/>
      <c r="AQ388" s="1398"/>
      <c r="AR388" s="1236"/>
      <c r="AS388" s="1399"/>
      <c r="AT388" s="1399"/>
      <c r="AU388" s="1398"/>
      <c r="AV388" s="1398"/>
      <c r="AW388" s="1398"/>
      <c r="AX388" s="1398"/>
      <c r="AY388" s="1398"/>
      <c r="AZ388" s="1398"/>
      <c r="BA388" s="1398"/>
      <c r="BB388" s="1398"/>
      <c r="BC388" s="1398"/>
      <c r="BD388" s="1398"/>
      <c r="BE388" s="1398"/>
    </row>
    <row r="389" spans="1:57" s="369" customFormat="1" x14ac:dyDescent="0.2">
      <c r="A389" s="411"/>
      <c r="B389" s="334" t="s">
        <v>511</v>
      </c>
      <c r="C389" s="321"/>
      <c r="D389" s="1272"/>
      <c r="E389" s="1272"/>
      <c r="F389" s="1272"/>
      <c r="G389" s="1272"/>
      <c r="H389" s="1272"/>
      <c r="I389" s="1272"/>
      <c r="J389" s="1272"/>
      <c r="K389" s="1272"/>
      <c r="L389" s="1272"/>
      <c r="M389" s="1272"/>
      <c r="N389" s="1272"/>
      <c r="O389" s="1272"/>
      <c r="P389" s="1272"/>
      <c r="Q389" s="1272"/>
      <c r="R389" s="1272"/>
      <c r="S389" s="1272"/>
      <c r="T389" s="1272"/>
      <c r="U389" s="1272"/>
      <c r="V389" s="1272"/>
      <c r="W389" s="1272"/>
      <c r="X389" s="1272"/>
      <c r="Y389" s="1272"/>
      <c r="Z389" s="1272"/>
      <c r="AA389" s="1272"/>
      <c r="AB389" s="1272"/>
      <c r="AC389" s="1429"/>
      <c r="AD389" s="1429"/>
      <c r="AE389" s="1429"/>
      <c r="AF389" s="1429"/>
      <c r="AG389" s="1429"/>
      <c r="AH389" s="1429"/>
      <c r="AI389" s="1429"/>
      <c r="AJ389" s="1429"/>
      <c r="AK389" s="1429"/>
      <c r="AL389" s="1429"/>
      <c r="AM389" s="1429"/>
      <c r="AN389" s="1429"/>
      <c r="AO389" s="1429"/>
      <c r="AP389" s="1429"/>
      <c r="AQ389" s="1429"/>
      <c r="AR389" s="1236"/>
      <c r="AS389" s="1410"/>
      <c r="AT389" s="1284"/>
      <c r="AU389" s="1284"/>
      <c r="AV389" s="1284"/>
      <c r="AW389" s="1284"/>
      <c r="AX389" s="1284"/>
      <c r="AY389" s="1284"/>
      <c r="AZ389" s="1284"/>
      <c r="BA389" s="1284"/>
      <c r="BB389" s="1429"/>
      <c r="BC389" s="1429"/>
      <c r="BD389" s="1429"/>
      <c r="BE389" s="1429"/>
    </row>
    <row r="390" spans="1:57" s="369" customFormat="1" x14ac:dyDescent="0.2">
      <c r="A390" s="411"/>
      <c r="B390" s="334"/>
      <c r="C390" s="321"/>
      <c r="D390" s="1262"/>
      <c r="E390" s="1262"/>
      <c r="F390" s="1262"/>
      <c r="G390" s="1262"/>
      <c r="H390" s="1262"/>
      <c r="I390" s="1262"/>
      <c r="J390" s="1262"/>
      <c r="K390" s="1262"/>
      <c r="L390" s="1262"/>
      <c r="M390" s="1262"/>
      <c r="N390" s="1262"/>
      <c r="O390" s="1262"/>
      <c r="P390" s="1262"/>
      <c r="Q390" s="1262"/>
      <c r="R390" s="1262"/>
      <c r="S390" s="1262"/>
      <c r="T390" s="1262"/>
      <c r="U390" s="1262"/>
      <c r="V390" s="1262"/>
      <c r="W390" s="1262"/>
      <c r="X390" s="1262"/>
      <c r="Y390" s="1262"/>
      <c r="Z390" s="1262"/>
      <c r="AA390" s="1262"/>
      <c r="AB390" s="1262"/>
      <c r="AC390" s="1284"/>
      <c r="AD390" s="1284"/>
      <c r="AE390" s="1284"/>
      <c r="AF390" s="1284"/>
      <c r="AG390" s="1284"/>
      <c r="AH390" s="1284"/>
      <c r="AI390" s="1284"/>
      <c r="AJ390" s="1284"/>
      <c r="AK390" s="1284"/>
      <c r="AL390" s="1284"/>
      <c r="AM390" s="1284"/>
      <c r="AN390" s="1284"/>
      <c r="AO390" s="1284"/>
      <c r="AP390" s="1284"/>
      <c r="AQ390" s="1284"/>
      <c r="AR390" s="1236"/>
      <c r="AS390" s="1410"/>
      <c r="AT390" s="1284"/>
      <c r="AU390" s="1263"/>
      <c r="AV390" s="1263"/>
      <c r="AW390" s="1263"/>
      <c r="AX390" s="1263"/>
      <c r="AY390" s="1263"/>
      <c r="AZ390" s="1263"/>
      <c r="BA390" s="1263"/>
      <c r="BB390" s="1284"/>
      <c r="BC390" s="1284"/>
      <c r="BD390" s="1284"/>
      <c r="BE390" s="1284"/>
    </row>
    <row r="391" spans="1:57" s="369" customFormat="1" x14ac:dyDescent="0.2">
      <c r="A391" s="411"/>
      <c r="B391" s="334" t="s">
        <v>195</v>
      </c>
      <c r="C391" s="321"/>
      <c r="D391" s="1262"/>
      <c r="E391" s="1262"/>
      <c r="F391" s="1262"/>
      <c r="G391" s="1262"/>
      <c r="H391" s="1262"/>
      <c r="I391" s="1262"/>
      <c r="J391" s="1262"/>
      <c r="K391" s="1262"/>
      <c r="L391" s="1262"/>
      <c r="M391" s="1262"/>
      <c r="N391" s="1262"/>
      <c r="O391" s="1262"/>
      <c r="P391" s="1262"/>
      <c r="Q391" s="1262"/>
      <c r="R391" s="1262"/>
      <c r="S391" s="1262"/>
      <c r="T391" s="1262"/>
      <c r="U391" s="1262"/>
      <c r="V391" s="1262"/>
      <c r="W391" s="1262"/>
      <c r="X391" s="1262"/>
      <c r="Y391" s="1262"/>
      <c r="Z391" s="1262"/>
      <c r="AA391" s="1262"/>
      <c r="AB391" s="1262"/>
      <c r="AC391" s="1284"/>
      <c r="AD391" s="1284"/>
      <c r="AE391" s="1284"/>
      <c r="AF391" s="1284"/>
      <c r="AG391" s="1284"/>
      <c r="AH391" s="1284"/>
      <c r="AI391" s="1284"/>
      <c r="AJ391" s="1284"/>
      <c r="AK391" s="1284"/>
      <c r="AL391" s="1284"/>
      <c r="AM391" s="1284"/>
      <c r="AN391" s="1284"/>
      <c r="AO391" s="1284"/>
      <c r="AP391" s="1284"/>
      <c r="AQ391" s="1284"/>
      <c r="AR391" s="1236"/>
      <c r="AS391" s="1410"/>
      <c r="AT391" s="1284"/>
      <c r="AU391" s="1263"/>
      <c r="AV391" s="1263"/>
      <c r="AW391" s="1263"/>
      <c r="AX391" s="1263"/>
      <c r="AY391" s="1263"/>
      <c r="AZ391" s="1263"/>
      <c r="BA391" s="1263"/>
      <c r="BB391" s="1284"/>
      <c r="BC391" s="1284"/>
      <c r="BD391" s="1284"/>
      <c r="BE391" s="1284"/>
    </row>
    <row r="392" spans="1:57" s="369" customFormat="1" x14ac:dyDescent="0.2">
      <c r="A392" s="411"/>
      <c r="B392" s="321"/>
      <c r="C392" s="334" t="s">
        <v>228</v>
      </c>
      <c r="D392" s="1427"/>
      <c r="E392" s="1427"/>
      <c r="F392" s="1427"/>
      <c r="G392" s="1427"/>
      <c r="H392" s="1427"/>
      <c r="I392" s="1427"/>
      <c r="J392" s="1427"/>
      <c r="K392" s="1427"/>
      <c r="L392" s="1427"/>
      <c r="M392" s="1427"/>
      <c r="N392" s="1427"/>
      <c r="O392" s="1427"/>
      <c r="P392" s="1427"/>
      <c r="Q392" s="1427"/>
      <c r="R392" s="1427"/>
      <c r="S392" s="1427"/>
      <c r="T392" s="1427"/>
      <c r="U392" s="1427"/>
      <c r="V392" s="1427"/>
      <c r="W392" s="1427"/>
      <c r="X392" s="1427"/>
      <c r="Y392" s="1427"/>
      <c r="Z392" s="1427"/>
      <c r="AA392" s="1427"/>
      <c r="AB392" s="1427"/>
      <c r="AC392" s="1250"/>
      <c r="AD392" s="1250"/>
      <c r="AE392" s="1250"/>
      <c r="AF392" s="1250"/>
      <c r="AG392" s="1250"/>
      <c r="AH392" s="1250"/>
      <c r="AI392" s="1250"/>
      <c r="AJ392" s="1250"/>
      <c r="AK392" s="1250"/>
      <c r="AL392" s="1250"/>
      <c r="AM392" s="1250"/>
      <c r="AN392" s="1250"/>
      <c r="AO392" s="1250"/>
      <c r="AP392" s="1250"/>
      <c r="AQ392" s="1250"/>
      <c r="AR392" s="1236"/>
      <c r="AS392" s="1284"/>
      <c r="AT392" s="1410"/>
      <c r="AU392" s="1284"/>
      <c r="AV392" s="1284"/>
      <c r="AW392" s="1284"/>
      <c r="AX392" s="1284"/>
      <c r="AY392" s="1284"/>
      <c r="AZ392" s="1236"/>
      <c r="BA392" s="1236"/>
      <c r="BB392" s="1250"/>
      <c r="BC392" s="1250"/>
      <c r="BD392" s="1250"/>
      <c r="BE392" s="1250"/>
    </row>
    <row r="393" spans="1:57" s="369" customFormat="1" x14ac:dyDescent="0.2">
      <c r="A393" s="411"/>
      <c r="B393" s="28"/>
      <c r="C393" s="29" t="s">
        <v>219</v>
      </c>
      <c r="D393" s="1246"/>
      <c r="E393" s="1246"/>
      <c r="F393" s="1246"/>
      <c r="G393" s="1246"/>
      <c r="H393" s="1246"/>
      <c r="I393" s="1246"/>
      <c r="J393" s="1246"/>
      <c r="K393" s="1246"/>
      <c r="L393" s="1246"/>
      <c r="M393" s="1246"/>
      <c r="N393" s="1246"/>
      <c r="O393" s="1246"/>
      <c r="P393" s="1246"/>
      <c r="Q393" s="1246"/>
      <c r="R393" s="1246"/>
      <c r="S393" s="1246"/>
      <c r="T393" s="1246"/>
      <c r="U393" s="1246"/>
      <c r="V393" s="1246"/>
      <c r="W393" s="1246"/>
      <c r="X393" s="1246"/>
      <c r="Y393" s="1246"/>
      <c r="Z393" s="1246"/>
      <c r="AA393" s="1246"/>
      <c r="AB393" s="1246"/>
      <c r="AC393" s="1250"/>
      <c r="AD393" s="1250"/>
      <c r="AE393" s="1250"/>
      <c r="AF393" s="1250"/>
      <c r="AG393" s="1250"/>
      <c r="AH393" s="1250"/>
      <c r="AI393" s="1250"/>
      <c r="AJ393" s="1250"/>
      <c r="AK393" s="1250"/>
      <c r="AL393" s="1250"/>
      <c r="AM393" s="1250"/>
      <c r="AN393" s="1250"/>
      <c r="AO393" s="1250"/>
      <c r="AP393" s="1250"/>
      <c r="AQ393" s="1250"/>
      <c r="AR393" s="1236"/>
      <c r="AS393" s="1246"/>
      <c r="AT393" s="1373"/>
      <c r="AU393" s="1270"/>
      <c r="AV393" s="1270"/>
      <c r="AW393" s="1270"/>
      <c r="AX393" s="1270"/>
      <c r="AY393" s="1270"/>
      <c r="AZ393" s="1246"/>
      <c r="BA393" s="1246"/>
      <c r="BB393" s="1250"/>
      <c r="BC393" s="1250"/>
      <c r="BD393" s="1250"/>
      <c r="BE393" s="1250"/>
    </row>
    <row r="394" spans="1:57" s="369" customFormat="1" x14ac:dyDescent="0.2">
      <c r="A394" s="411"/>
      <c r="B394" s="321"/>
      <c r="C394" s="334" t="s">
        <v>512</v>
      </c>
      <c r="D394" s="1272"/>
      <c r="E394" s="1272"/>
      <c r="F394" s="1272"/>
      <c r="G394" s="1272"/>
      <c r="H394" s="1272"/>
      <c r="I394" s="1272"/>
      <c r="J394" s="1272"/>
      <c r="K394" s="1272"/>
      <c r="L394" s="1272"/>
      <c r="M394" s="1272"/>
      <c r="N394" s="1272"/>
      <c r="O394" s="1272"/>
      <c r="P394" s="1272"/>
      <c r="Q394" s="1272"/>
      <c r="R394" s="1272"/>
      <c r="S394" s="1272"/>
      <c r="T394" s="1272"/>
      <c r="U394" s="1272"/>
      <c r="V394" s="1272"/>
      <c r="W394" s="1272"/>
      <c r="X394" s="1272"/>
      <c r="Y394" s="1272"/>
      <c r="Z394" s="1272"/>
      <c r="AA394" s="1272"/>
      <c r="AB394" s="1272"/>
      <c r="AC394" s="1443"/>
      <c r="AD394" s="1443"/>
      <c r="AE394" s="1443"/>
      <c r="AF394" s="1443"/>
      <c r="AG394" s="1443"/>
      <c r="AH394" s="1443"/>
      <c r="AI394" s="1443"/>
      <c r="AJ394" s="1449"/>
      <c r="AK394" s="1449"/>
      <c r="AL394" s="1449"/>
      <c r="AM394" s="1449"/>
      <c r="AN394" s="1449"/>
      <c r="AO394" s="1449"/>
      <c r="AP394" s="1449"/>
      <c r="AQ394" s="1449"/>
      <c r="AR394" s="1236"/>
      <c r="AS394" s="1284"/>
      <c r="AT394" s="1410"/>
      <c r="AU394" s="1284"/>
      <c r="AV394" s="1284"/>
      <c r="AW394" s="1284"/>
      <c r="AX394" s="1284"/>
      <c r="AY394" s="1284"/>
      <c r="AZ394" s="1284"/>
      <c r="BA394" s="1284"/>
      <c r="BB394" s="1443"/>
      <c r="BC394" s="1443"/>
      <c r="BD394" s="1443"/>
      <c r="BE394" s="1443"/>
    </row>
    <row r="395" spans="1:57" s="369" customFormat="1" x14ac:dyDescent="0.2">
      <c r="A395" s="411"/>
      <c r="B395" s="321"/>
      <c r="C395" s="334"/>
      <c r="D395" s="1262"/>
      <c r="E395" s="1262"/>
      <c r="F395" s="1262"/>
      <c r="G395" s="1262"/>
      <c r="H395" s="1262"/>
      <c r="I395" s="1262"/>
      <c r="J395" s="1262"/>
      <c r="K395" s="1262"/>
      <c r="L395" s="1262"/>
      <c r="M395" s="1262"/>
      <c r="N395" s="1262"/>
      <c r="O395" s="1262"/>
      <c r="P395" s="1262"/>
      <c r="Q395" s="1262"/>
      <c r="R395" s="1262"/>
      <c r="S395" s="1262"/>
      <c r="T395" s="1262"/>
      <c r="U395" s="1262"/>
      <c r="V395" s="1262"/>
      <c r="W395" s="1262"/>
      <c r="X395" s="1284"/>
      <c r="Y395" s="1284"/>
      <c r="Z395" s="1284"/>
      <c r="AA395" s="1284"/>
      <c r="AB395" s="1284"/>
      <c r="AC395" s="1284"/>
      <c r="AD395" s="1284"/>
      <c r="AE395" s="1284"/>
      <c r="AF395" s="1284"/>
      <c r="AG395" s="1284"/>
      <c r="AH395" s="1284"/>
      <c r="AI395" s="1284"/>
      <c r="AJ395" s="1284"/>
      <c r="AK395" s="1284"/>
      <c r="AL395" s="1284"/>
      <c r="AM395" s="1284"/>
      <c r="AN395" s="1284"/>
      <c r="AO395" s="1284"/>
      <c r="AP395" s="1284"/>
      <c r="AQ395" s="1284"/>
      <c r="AR395" s="1236"/>
      <c r="AS395" s="1284"/>
      <c r="AT395" s="1410"/>
      <c r="AU395" s="1263"/>
      <c r="AV395" s="1263"/>
      <c r="AW395" s="1263"/>
      <c r="AX395" s="1263"/>
      <c r="AY395" s="1263"/>
      <c r="AZ395" s="1263"/>
      <c r="BA395" s="1263"/>
      <c r="BB395" s="1263"/>
      <c r="BC395" s="1263"/>
      <c r="BD395" s="1263"/>
      <c r="BE395" s="1263"/>
    </row>
    <row r="396" spans="1:57" s="369" customFormat="1" x14ac:dyDescent="0.2">
      <c r="A396" s="411"/>
      <c r="B396" s="337" t="s">
        <v>487</v>
      </c>
      <c r="C396" s="366"/>
      <c r="D396" s="1264"/>
      <c r="E396" s="1264"/>
      <c r="F396" s="1264"/>
      <c r="G396" s="1264"/>
      <c r="H396" s="1264"/>
      <c r="I396" s="1264"/>
      <c r="J396" s="1264"/>
      <c r="K396" s="1264"/>
      <c r="L396" s="1264"/>
      <c r="M396" s="1264"/>
      <c r="N396" s="1264"/>
      <c r="O396" s="1264"/>
      <c r="P396" s="1264"/>
      <c r="Q396" s="1264"/>
      <c r="R396" s="1264"/>
      <c r="S396" s="1264"/>
      <c r="T396" s="1264"/>
      <c r="U396" s="1264"/>
      <c r="V396" s="1264"/>
      <c r="W396" s="1264"/>
      <c r="X396" s="1417"/>
      <c r="Y396" s="1417"/>
      <c r="Z396" s="1417"/>
      <c r="AA396" s="1417"/>
      <c r="AB396" s="1417"/>
      <c r="AC396" s="1417"/>
      <c r="AD396" s="1417"/>
      <c r="AE396" s="1417"/>
      <c r="AF396" s="1417"/>
      <c r="AG396" s="1417"/>
      <c r="AH396" s="1417"/>
      <c r="AI396" s="1417"/>
      <c r="AJ396" s="1417"/>
      <c r="AK396" s="1417"/>
      <c r="AL396" s="1417"/>
      <c r="AM396" s="1417"/>
      <c r="AN396" s="1417"/>
      <c r="AO396" s="1417"/>
      <c r="AP396" s="1417"/>
      <c r="AQ396" s="1417"/>
      <c r="AR396" s="1236"/>
      <c r="AS396" s="1418"/>
      <c r="AT396" s="1419"/>
      <c r="AU396" s="1398"/>
      <c r="AV396" s="1398"/>
      <c r="AW396" s="1398"/>
      <c r="AX396" s="1398"/>
      <c r="AY396" s="1398"/>
      <c r="AZ396" s="1398"/>
      <c r="BA396" s="1398"/>
      <c r="BB396" s="1398"/>
      <c r="BC396" s="1398"/>
      <c r="BD396" s="1398"/>
      <c r="BE396" s="1398"/>
    </row>
    <row r="397" spans="1:57" s="369" customFormat="1" x14ac:dyDescent="0.2">
      <c r="A397" s="411"/>
      <c r="B397" s="334" t="s">
        <v>504</v>
      </c>
      <c r="C397" s="321"/>
      <c r="D397" s="1262"/>
      <c r="E397" s="1262"/>
      <c r="F397" s="1262"/>
      <c r="G397" s="1262"/>
      <c r="H397" s="1262"/>
      <c r="I397" s="1262"/>
      <c r="J397" s="1262"/>
      <c r="K397" s="1262"/>
      <c r="L397" s="1262"/>
      <c r="M397" s="1262"/>
      <c r="N397" s="1262"/>
      <c r="O397" s="1262"/>
      <c r="P397" s="1262"/>
      <c r="Q397" s="1262"/>
      <c r="R397" s="1262"/>
      <c r="S397" s="1262"/>
      <c r="T397" s="1262"/>
      <c r="U397" s="1262"/>
      <c r="V397" s="1262"/>
      <c r="W397" s="1262"/>
      <c r="X397" s="1262"/>
      <c r="Y397" s="1262"/>
      <c r="Z397" s="1262"/>
      <c r="AA397" s="1262"/>
      <c r="AB397" s="1262"/>
      <c r="AC397" s="1429"/>
      <c r="AD397" s="1429"/>
      <c r="AE397" s="1429"/>
      <c r="AF397" s="1429"/>
      <c r="AG397" s="1429"/>
      <c r="AH397" s="1429"/>
      <c r="AI397" s="1429"/>
      <c r="AJ397" s="1429"/>
      <c r="AK397" s="1429"/>
      <c r="AL397" s="1429"/>
      <c r="AM397" s="1429"/>
      <c r="AN397" s="1429"/>
      <c r="AO397" s="1429"/>
      <c r="AP397" s="1429"/>
      <c r="AQ397" s="1429"/>
      <c r="AR397" s="1236"/>
      <c r="AS397" s="1410"/>
      <c r="AT397" s="1284"/>
      <c r="AU397" s="1261"/>
      <c r="AV397" s="1261"/>
      <c r="AW397" s="1261"/>
      <c r="AX397" s="1261"/>
      <c r="AY397" s="1261"/>
      <c r="AZ397" s="1261"/>
      <c r="BA397" s="1261"/>
      <c r="BB397" s="1429"/>
      <c r="BC397" s="1429"/>
      <c r="BD397" s="1429"/>
      <c r="BE397" s="1429"/>
    </row>
    <row r="398" spans="1:57" s="369" customFormat="1" x14ac:dyDescent="0.2">
      <c r="A398" s="411"/>
      <c r="B398" s="334" t="s">
        <v>677</v>
      </c>
      <c r="C398" s="334"/>
      <c r="D398" s="1262"/>
      <c r="E398" s="1262"/>
      <c r="F398" s="1262"/>
      <c r="G398" s="1262"/>
      <c r="H398" s="1262"/>
      <c r="I398" s="1262"/>
      <c r="J398" s="1262"/>
      <c r="K398" s="1262"/>
      <c r="L398" s="1262"/>
      <c r="M398" s="1262"/>
      <c r="N398" s="1262"/>
      <c r="O398" s="1262"/>
      <c r="P398" s="1262"/>
      <c r="Q398" s="1262"/>
      <c r="R398" s="1262"/>
      <c r="S398" s="1262"/>
      <c r="T398" s="1262"/>
      <c r="U398" s="1262"/>
      <c r="V398" s="1262"/>
      <c r="W398" s="1262"/>
      <c r="X398" s="1262"/>
      <c r="Y398" s="1262"/>
      <c r="Z398" s="1262"/>
      <c r="AA398" s="1262"/>
      <c r="AB398" s="1262"/>
      <c r="AC398" s="1429"/>
      <c r="AD398" s="1429"/>
      <c r="AE398" s="1429"/>
      <c r="AF398" s="1429"/>
      <c r="AG398" s="1429"/>
      <c r="AH398" s="1429"/>
      <c r="AI398" s="1429"/>
      <c r="AJ398" s="1429"/>
      <c r="AK398" s="1429"/>
      <c r="AL398" s="1429"/>
      <c r="AM398" s="1429"/>
      <c r="AN398" s="1429"/>
      <c r="AO398" s="1429"/>
      <c r="AP398" s="1429"/>
      <c r="AQ398" s="1429"/>
      <c r="AR398" s="1236"/>
      <c r="AS398" s="1410"/>
      <c r="AT398" s="1410"/>
      <c r="AU398" s="1262"/>
      <c r="AV398" s="1262"/>
      <c r="AW398" s="1262"/>
      <c r="AX398" s="1262"/>
      <c r="AY398" s="1262"/>
      <c r="AZ398" s="1262"/>
      <c r="BA398" s="1262"/>
      <c r="BB398" s="1429"/>
      <c r="BC398" s="1429"/>
      <c r="BD398" s="1429"/>
      <c r="BE398" s="1429"/>
    </row>
    <row r="399" spans="1:57" s="369" customFormat="1" x14ac:dyDescent="0.2">
      <c r="A399" s="411"/>
      <c r="B399" s="334"/>
      <c r="C399" s="334"/>
      <c r="D399" s="1262"/>
      <c r="E399" s="1262"/>
      <c r="F399" s="1262"/>
      <c r="G399" s="1262"/>
      <c r="H399" s="1262"/>
      <c r="I399" s="1262"/>
      <c r="J399" s="1262"/>
      <c r="K399" s="1262"/>
      <c r="L399" s="1262"/>
      <c r="M399" s="1262"/>
      <c r="N399" s="1262"/>
      <c r="O399" s="1262"/>
      <c r="P399" s="1262"/>
      <c r="Q399" s="1262"/>
      <c r="R399" s="1262"/>
      <c r="S399" s="1262"/>
      <c r="T399" s="1262"/>
      <c r="U399" s="1262"/>
      <c r="V399" s="1262"/>
      <c r="W399" s="1262"/>
      <c r="X399" s="1435"/>
      <c r="Y399" s="1435"/>
      <c r="Z399" s="1435"/>
      <c r="AA399" s="1435"/>
      <c r="AB399" s="1435"/>
      <c r="AC399" s="1435"/>
      <c r="AD399" s="1435"/>
      <c r="AE399" s="1435"/>
      <c r="AF399" s="1435"/>
      <c r="AG399" s="1435"/>
      <c r="AH399" s="1435"/>
      <c r="AI399" s="1435"/>
      <c r="AJ399" s="1435"/>
      <c r="AK399" s="1435"/>
      <c r="AL399" s="1435"/>
      <c r="AM399" s="1435"/>
      <c r="AN399" s="1435"/>
      <c r="AO399" s="1435"/>
      <c r="AP399" s="1435"/>
      <c r="AQ399" s="1435"/>
      <c r="AR399" s="1236"/>
      <c r="AS399" s="1410"/>
      <c r="AT399" s="1410"/>
      <c r="AU399" s="1263"/>
      <c r="AV399" s="1263"/>
      <c r="AW399" s="1263"/>
      <c r="AX399" s="1263"/>
      <c r="AY399" s="1263"/>
      <c r="AZ399" s="1263"/>
      <c r="BA399" s="1263"/>
      <c r="BB399" s="1435"/>
      <c r="BC399" s="1435"/>
      <c r="BD399" s="1435"/>
      <c r="BE399" s="1435"/>
    </row>
    <row r="400" spans="1:57" s="369" customFormat="1" x14ac:dyDescent="0.2">
      <c r="A400" s="411"/>
      <c r="B400" s="337" t="s">
        <v>210</v>
      </c>
      <c r="C400" s="366"/>
      <c r="D400" s="1264"/>
      <c r="E400" s="1264"/>
      <c r="F400" s="1264"/>
      <c r="G400" s="1264"/>
      <c r="H400" s="1264"/>
      <c r="I400" s="1264"/>
      <c r="J400" s="1264"/>
      <c r="K400" s="1264"/>
      <c r="L400" s="1264"/>
      <c r="M400" s="1264"/>
      <c r="N400" s="1264"/>
      <c r="O400" s="1264"/>
      <c r="P400" s="1264"/>
      <c r="Q400" s="1264"/>
      <c r="R400" s="1264"/>
      <c r="S400" s="1264"/>
      <c r="T400" s="1264"/>
      <c r="U400" s="1264"/>
      <c r="V400" s="1264"/>
      <c r="W400" s="1264"/>
      <c r="X400" s="1444"/>
      <c r="Y400" s="1444"/>
      <c r="Z400" s="1444"/>
      <c r="AA400" s="1444"/>
      <c r="AB400" s="1444"/>
      <c r="AC400" s="1444"/>
      <c r="AD400" s="1444"/>
      <c r="AE400" s="1444"/>
      <c r="AF400" s="1444"/>
      <c r="AG400" s="1444"/>
      <c r="AH400" s="1444"/>
      <c r="AI400" s="1444"/>
      <c r="AJ400" s="1444"/>
      <c r="AK400" s="1444"/>
      <c r="AL400" s="1444"/>
      <c r="AM400" s="1444"/>
      <c r="AN400" s="1444"/>
      <c r="AO400" s="1444"/>
      <c r="AP400" s="1444"/>
      <c r="AQ400" s="1444"/>
      <c r="AR400" s="1236"/>
      <c r="AS400" s="1418"/>
      <c r="AT400" s="1419"/>
      <c r="AU400" s="1398"/>
      <c r="AV400" s="1398"/>
      <c r="AW400" s="1398"/>
      <c r="AX400" s="1398"/>
      <c r="AY400" s="1398"/>
      <c r="AZ400" s="1398"/>
      <c r="BA400" s="1398"/>
      <c r="BB400" s="1444"/>
      <c r="BC400" s="1444"/>
      <c r="BD400" s="1444"/>
      <c r="BE400" s="1444"/>
    </row>
    <row r="401" spans="1:57" s="369" customFormat="1" x14ac:dyDescent="0.2">
      <c r="A401" s="411"/>
      <c r="B401" s="334" t="s">
        <v>74</v>
      </c>
      <c r="C401" s="321"/>
      <c r="D401" s="1262"/>
      <c r="E401" s="1262"/>
      <c r="F401" s="1262"/>
      <c r="G401" s="1262"/>
      <c r="H401" s="1262"/>
      <c r="I401" s="1262"/>
      <c r="J401" s="1262"/>
      <c r="K401" s="1262"/>
      <c r="L401" s="1262"/>
      <c r="M401" s="1262"/>
      <c r="N401" s="1262"/>
      <c r="O401" s="1262"/>
      <c r="P401" s="1262"/>
      <c r="Q401" s="1262"/>
      <c r="R401" s="1262"/>
      <c r="S401" s="1262"/>
      <c r="T401" s="1262"/>
      <c r="U401" s="1262"/>
      <c r="V401" s="1262"/>
      <c r="W401" s="1262"/>
      <c r="X401" s="1435"/>
      <c r="Y401" s="1435"/>
      <c r="Z401" s="1435"/>
      <c r="AA401" s="1435"/>
      <c r="AB401" s="1435"/>
      <c r="AC401" s="1435"/>
      <c r="AD401" s="1435"/>
      <c r="AE401" s="1435"/>
      <c r="AF401" s="1435"/>
      <c r="AG401" s="1435"/>
      <c r="AH401" s="1435"/>
      <c r="AI401" s="1435"/>
      <c r="AJ401" s="1435"/>
      <c r="AK401" s="1435"/>
      <c r="AL401" s="1435"/>
      <c r="AM401" s="1435"/>
      <c r="AN401" s="1435"/>
      <c r="AO401" s="1435"/>
      <c r="AP401" s="1435"/>
      <c r="AQ401" s="1435"/>
      <c r="AR401" s="1236"/>
      <c r="AS401" s="1410"/>
      <c r="AT401" s="1284"/>
      <c r="AU401" s="1263"/>
      <c r="AV401" s="1263"/>
      <c r="AW401" s="1263"/>
      <c r="AX401" s="1263"/>
      <c r="AY401" s="1263"/>
      <c r="AZ401" s="1263"/>
      <c r="BA401" s="1263"/>
      <c r="BB401" s="1435"/>
      <c r="BC401" s="1435"/>
      <c r="BD401" s="1435"/>
      <c r="BE401" s="1435"/>
    </row>
    <row r="402" spans="1:57" s="369" customFormat="1" x14ac:dyDescent="0.2">
      <c r="A402" s="411"/>
      <c r="B402" s="321"/>
      <c r="C402" s="334" t="s">
        <v>41</v>
      </c>
      <c r="D402" s="1240"/>
      <c r="E402" s="1240"/>
      <c r="F402" s="1240"/>
      <c r="G402" s="1240"/>
      <c r="H402" s="1240">
        <f>IFERROR(Model!H402/Model!D402-1,"NA")</f>
        <v>-1.6913319238900604E-2</v>
      </c>
      <c r="I402" s="1240">
        <f>IFERROR(Model!I402/Model!E402-1,"NA")</f>
        <v>-4.1845493562231773E-2</v>
      </c>
      <c r="J402" s="1240">
        <f>IFERROR(Model!J402/Model!F402-1,"NA")</f>
        <v>-0.10344827586206906</v>
      </c>
      <c r="K402" s="1240">
        <f>IFERROR(Model!K402/Model!G402-1,"NA")</f>
        <v>-6.8783068783068835E-2</v>
      </c>
      <c r="L402" s="1240">
        <f>IFERROR(Model!L402/Model!H402-1,"NA")</f>
        <v>-5.2688172043010795E-2</v>
      </c>
      <c r="M402" s="1240">
        <f>IFERROR(Model!M402/Model!I402-1,"NA")</f>
        <v>2.015677491601342E-2</v>
      </c>
      <c r="N402" s="1240">
        <f>IFERROR(Model!N402/Model!J402-1,"NA")</f>
        <v>5.9440559440559593E-2</v>
      </c>
      <c r="O402" s="1240">
        <f>IFERROR(Model!O402/Model!K402-1,"NA")</f>
        <v>0</v>
      </c>
      <c r="P402" s="1240">
        <f>IFERROR(Model!P402/Model!L402-1,"NA")</f>
        <v>1.1350737797957144E-3</v>
      </c>
      <c r="Q402" s="1240">
        <f>IFERROR(Model!Q402/Model!M402-1,"NA")</f>
        <v>-1.9758507135016479E-2</v>
      </c>
      <c r="R402" s="1240">
        <f>IFERROR(Model!R402/Model!N402-1,"NA")</f>
        <v>-4.9504950495049549E-2</v>
      </c>
      <c r="S402" s="1240">
        <f>IFERROR(Model!S402/Model!O402-1,"NA")</f>
        <v>-1.4772727272727271E-2</v>
      </c>
      <c r="T402" s="1240">
        <f>IFERROR(Model!T402/Model!P402-1,"NA")</f>
        <v>-1.1337868480725599E-2</v>
      </c>
      <c r="U402" s="1240">
        <f>IFERROR(Model!U402/Model!Q402-1,"NA")</f>
        <v>1.1198208286675726E-3</v>
      </c>
      <c r="V402" s="1240">
        <f>IFERROR(Model!V402/Model!R402-1,"NA")</f>
        <v>6.0185185185185119E-2</v>
      </c>
      <c r="W402" s="1240">
        <f>IFERROR(Model!W402/Model!S402-1,"NA")</f>
        <v>3.6908881199538612E-2</v>
      </c>
      <c r="X402" s="1240">
        <f>IFERROR(Model!X402/Model!T402-1,"NA")</f>
        <v>6.3073394495412938E-2</v>
      </c>
      <c r="Y402" s="1240">
        <f>IFERROR(Model!Y402/Model!U402-1,"NA")</f>
        <v>5.4809843400447367E-2</v>
      </c>
      <c r="Z402" s="1240">
        <f>IFERROR(Model!Z402/Model!V402-1,"NA")</f>
        <v>3.9301310043668325E-2</v>
      </c>
      <c r="AA402" s="1240">
        <f>IFERROR(Model!AA402/Model!W402-1,"NA")</f>
        <v>6.7853170189098977E-2</v>
      </c>
      <c r="AB402" s="1240">
        <f>IFERROR(Model!AB402/Model!X402-1,"NA")</f>
        <v>6.9039913700107869E-2</v>
      </c>
      <c r="AC402" s="1381">
        <f>IFERROR(Model!AC402/Model!Y402-1,"NA")</f>
        <v>6.1410392364793287E-2</v>
      </c>
      <c r="AD402" s="1381">
        <f>IFERROR(Model!AD402/Model!Z402-1,"NA")</f>
        <v>6.1889810924369737E-2</v>
      </c>
      <c r="AE402" s="1381">
        <f>IFERROR(Model!AE402/Model!AA402-1,"NA")</f>
        <v>6.3571136458333344E-2</v>
      </c>
      <c r="AF402" s="1381">
        <f>IFERROR(Model!AF402/Model!AB402-1,"NA")</f>
        <v>4.0604010000000024E-2</v>
      </c>
      <c r="AG402" s="1381">
        <f>IFERROR(Model!AG402/Model!AC402-1,"NA")</f>
        <v>4.0604010000000024E-2</v>
      </c>
      <c r="AH402" s="1381">
        <f>IFERROR(Model!AH402/Model!AD402-1,"NA")</f>
        <v>4.0604010000000024E-2</v>
      </c>
      <c r="AI402" s="1381">
        <f>IFERROR(Model!AI402/Model!AE402-1,"NA")</f>
        <v>3.8543408000000223E-2</v>
      </c>
      <c r="AJ402" s="1381"/>
      <c r="AK402" s="1381"/>
      <c r="AL402" s="1381"/>
      <c r="AM402" s="1381"/>
      <c r="AN402" s="1381"/>
      <c r="AO402" s="1381"/>
      <c r="AP402" s="1381"/>
      <c r="AQ402" s="1381"/>
      <c r="AR402" s="1236"/>
      <c r="AS402" s="1284"/>
      <c r="AT402" s="1410"/>
      <c r="AU402" s="1236"/>
      <c r="AV402" s="1236">
        <f>IFERROR(Model!AV402/Model!AU402-1,"NA")</f>
        <v>-5.7936507936507842E-2</v>
      </c>
      <c r="AW402" s="1236">
        <f>IFERROR(Model!AW402/Model!AV402-1,"NA")</f>
        <v>5.6163998876719301E-3</v>
      </c>
      <c r="AX402" s="1236">
        <f>IFERROR(Model!AX402/Model!AW402-1,"NA")</f>
        <v>-2.0943870427255096E-2</v>
      </c>
      <c r="AY402" s="1236">
        <f>IFERROR(Model!AY402/Model!AX402-1,"NA")</f>
        <v>2.1391899600684772E-2</v>
      </c>
      <c r="AZ402" s="1236">
        <f>IFERROR(Model!AZ402/Model!AY402-1,"NA")</f>
        <v>5.6129572745043266E-2</v>
      </c>
      <c r="BA402" s="1236">
        <f>IFERROR(Model!BA402/Model!AZ402-1,"NA")</f>
        <v>6.3949601004759327E-2</v>
      </c>
      <c r="BB402" s="1381">
        <f>IFERROR(Model!BB402/Model!BA402-1,"NA")</f>
        <v>4.0081145312201638E-2</v>
      </c>
      <c r="BC402" s="1381">
        <f>IFERROR(Model!BC402/Model!BB402-1,"NA")</f>
        <v>5.0000000000000044E-2</v>
      </c>
      <c r="BD402" s="1381">
        <f>IFERROR(Model!BD402/Model!BC402-1,"NA")</f>
        <v>5.0000000000000044E-2</v>
      </c>
      <c r="BE402" s="1381">
        <f>IFERROR(Model!BE402/Model!BD402-1,"NA")</f>
        <v>5.0000000000000044E-2</v>
      </c>
    </row>
    <row r="403" spans="1:57" s="369" customFormat="1" x14ac:dyDescent="0.2">
      <c r="A403" s="411"/>
      <c r="B403" s="321"/>
      <c r="C403" s="334" t="s">
        <v>70</v>
      </c>
      <c r="D403" s="1240"/>
      <c r="E403" s="1240"/>
      <c r="F403" s="1240"/>
      <c r="G403" s="1240"/>
      <c r="H403" s="1240">
        <f>IFERROR(Model!H403/Model!D403-1,"NA")</f>
        <v>2.049780380673516E-2</v>
      </c>
      <c r="I403" s="1240">
        <f>IFERROR(Model!I403/Model!E403-1,"NA")</f>
        <v>3.2738095238095344E-2</v>
      </c>
      <c r="J403" s="1240">
        <f>IFERROR(Model!J403/Model!F403-1,"NA")</f>
        <v>1.9005847953216248E-2</v>
      </c>
      <c r="K403" s="1240">
        <f>IFERROR(Model!K403/Model!G403-1,"NA")</f>
        <v>3.2951289398280847E-2</v>
      </c>
      <c r="L403" s="1240">
        <f>IFERROR(Model!L403/Model!H403-1,"NA")</f>
        <v>4.44763271162123E-2</v>
      </c>
      <c r="M403" s="1240">
        <f>IFERROR(Model!M403/Model!I403-1,"NA")</f>
        <v>9.2219020172910504E-2</v>
      </c>
      <c r="N403" s="1240">
        <f>IFERROR(Model!N403/Model!J403-1,"NA")</f>
        <v>8.8952654232424822E-2</v>
      </c>
      <c r="O403" s="1240">
        <f>IFERROR(Model!O403/Model!K403-1,"NA")</f>
        <v>3.0513176144244092E-2</v>
      </c>
      <c r="P403" s="1240">
        <f>IFERROR(Model!P403/Model!L403-1,"NA")</f>
        <v>-5.494505494505364E-3</v>
      </c>
      <c r="Q403" s="1240">
        <f>IFERROR(Model!Q403/Model!M403-1,"NA")</f>
        <v>-4.6174142480211122E-2</v>
      </c>
      <c r="R403" s="1240">
        <f>IFERROR(Model!R403/Model!N403-1,"NA")</f>
        <v>-8.1686429512516479E-2</v>
      </c>
      <c r="S403" s="1240">
        <f>IFERROR(Model!S403/Model!O403-1,"NA")</f>
        <v>-7.1332436069986516E-2</v>
      </c>
      <c r="T403" s="1240">
        <f>IFERROR(Model!T403/Model!P403-1,"NA")</f>
        <v>-6.7679558011049745E-2</v>
      </c>
      <c r="U403" s="1240">
        <f>IFERROR(Model!U403/Model!Q403-1,"NA")</f>
        <v>-6.639004149377592E-2</v>
      </c>
      <c r="V403" s="1240">
        <f>IFERROR(Model!V403/Model!R403-1,"NA")</f>
        <v>-2.5824964131994199E-2</v>
      </c>
      <c r="W403" s="1240">
        <f>IFERROR(Model!W403/Model!S403-1,"NA")</f>
        <v>-6.3768115942029024E-2</v>
      </c>
      <c r="X403" s="1240">
        <f>IFERROR(Model!X403/Model!T403-1,"NA")</f>
        <v>-3.5555555555555673E-2</v>
      </c>
      <c r="Y403" s="1240">
        <f>IFERROR(Model!Y403/Model!U403-1,"NA")</f>
        <v>-1.4814814814814836E-2</v>
      </c>
      <c r="Z403" s="1240">
        <f>IFERROR(Model!Z403/Model!V403-1,"NA")</f>
        <v>-7.3637702503681624E-3</v>
      </c>
      <c r="AA403" s="1240">
        <f>IFERROR(Model!AA403/Model!W403-1,"NA")</f>
        <v>6.5015479876161075E-2</v>
      </c>
      <c r="AB403" s="1240">
        <f>IFERROR(Model!AB403/Model!X403-1,"NA")</f>
        <v>8.6021505376344232E-2</v>
      </c>
      <c r="AC403" s="1381">
        <f>IFERROR(Model!AC403/Model!Y403-1,"NA")</f>
        <v>7.3789473684210405E-2</v>
      </c>
      <c r="AD403" s="1381">
        <f>IFERROR(Model!AD403/Model!Z403-1,"NA")</f>
        <v>7.5342804154302279E-2</v>
      </c>
      <c r="AE403" s="1381">
        <f>IFERROR(Model!AE403/Model!AA403-1,"NA")</f>
        <v>7.4530045058139205E-2</v>
      </c>
      <c r="AF403" s="1381">
        <f>IFERROR(Model!AF403/Model!AB403-1,"NA")</f>
        <v>5.0881264999999454E-2</v>
      </c>
      <c r="AG403" s="1381">
        <f>IFERROR(Model!AG403/Model!AC403-1,"NA")</f>
        <v>4.5678882499999407E-2</v>
      </c>
      <c r="AH403" s="1381">
        <f>IFERROR(Model!AH403/Model!AD403-1,"NA")</f>
        <v>3.7952191249999823E-2</v>
      </c>
      <c r="AI403" s="1381">
        <f>IFERROR(Model!AI403/Model!AE403-1,"NA")</f>
        <v>2.6758589187499737E-2</v>
      </c>
      <c r="AJ403" s="1381"/>
      <c r="AK403" s="1381"/>
      <c r="AL403" s="1381"/>
      <c r="AM403" s="1381"/>
      <c r="AN403" s="1381"/>
      <c r="AO403" s="1381"/>
      <c r="AP403" s="1381"/>
      <c r="AQ403" s="1381"/>
      <c r="AR403" s="1236"/>
      <c r="AS403" s="1284"/>
      <c r="AT403" s="1410"/>
      <c r="AU403" s="1236"/>
      <c r="AV403" s="1236">
        <f>IFERROR(Model!AV403/Model!AU403-1,"NA")</f>
        <v>2.6306174643770497E-2</v>
      </c>
      <c r="AW403" s="1236">
        <f>IFERROR(Model!AW403/Model!AV403-1,"NA")</f>
        <v>6.3723745105019658E-2</v>
      </c>
      <c r="AX403" s="1236">
        <f>IFERROR(Model!AX403/Model!AW403-1,"NA")</f>
        <v>-5.1539491298527529E-2</v>
      </c>
      <c r="AY403" s="1236">
        <f>IFERROR(Model!AY403/Model!AX403-1,"NA")</f>
        <v>-5.6104446012702813E-2</v>
      </c>
      <c r="AZ403" s="1236">
        <f>IFERROR(Model!AZ403/Model!AY403-1,"NA")</f>
        <v>1.1214953271028172E-3</v>
      </c>
      <c r="BA403" s="1236">
        <f>IFERROR(Model!BA403/Model!AZ403-1,"NA")</f>
        <v>7.7344182598954481E-2</v>
      </c>
      <c r="BB403" s="1381">
        <f>IFERROR(Model!BB403/Model!BA403-1,"NA")</f>
        <v>4.0164600997551814E-2</v>
      </c>
      <c r="BC403" s="1381">
        <f>IFERROR(Model!BC403/Model!BB403-1,"NA")</f>
        <v>4.0000000000000036E-2</v>
      </c>
      <c r="BD403" s="1381">
        <f>IFERROR(Model!BD403/Model!BC403-1,"NA")</f>
        <v>5.0000000000000044E-2</v>
      </c>
      <c r="BE403" s="1381">
        <f>IFERROR(Model!BE403/Model!BD403-1,"NA")</f>
        <v>5.0000000000000044E-2</v>
      </c>
    </row>
    <row r="404" spans="1:57" s="369" customFormat="1" x14ac:dyDescent="0.2">
      <c r="A404" s="411"/>
      <c r="B404" s="334"/>
      <c r="C404" s="321"/>
      <c r="D404" s="1260"/>
      <c r="E404" s="1260"/>
      <c r="F404" s="1260"/>
      <c r="G404" s="1260"/>
      <c r="H404" s="1260"/>
      <c r="I404" s="1260"/>
      <c r="J404" s="1260"/>
      <c r="K404" s="1260"/>
      <c r="L404" s="1260"/>
      <c r="M404" s="1260"/>
      <c r="N404" s="1260"/>
      <c r="O404" s="1260"/>
      <c r="P404" s="1260"/>
      <c r="Q404" s="1260"/>
      <c r="R404" s="1260"/>
      <c r="S404" s="1260"/>
      <c r="T404" s="1260"/>
      <c r="U404" s="1260"/>
      <c r="V404" s="1260"/>
      <c r="W404" s="1260"/>
      <c r="X404" s="1260"/>
      <c r="Y404" s="1260"/>
      <c r="Z404" s="1260"/>
      <c r="AA404" s="1260"/>
      <c r="AB404" s="1260"/>
      <c r="AC404" s="1435"/>
      <c r="AD404" s="1435"/>
      <c r="AE404" s="1435"/>
      <c r="AF404" s="1435"/>
      <c r="AG404" s="1435"/>
      <c r="AH404" s="1435"/>
      <c r="AI404" s="1435"/>
      <c r="AJ404" s="1435"/>
      <c r="AK404" s="1435"/>
      <c r="AL404" s="1435"/>
      <c r="AM404" s="1435"/>
      <c r="AN404" s="1435"/>
      <c r="AO404" s="1435"/>
      <c r="AP404" s="1435"/>
      <c r="AQ404" s="1435"/>
      <c r="AR404" s="1236"/>
      <c r="AS404" s="1410"/>
      <c r="AT404" s="1284"/>
      <c r="AU404" s="1236"/>
      <c r="AV404" s="1236"/>
      <c r="AW404" s="1236"/>
      <c r="AX404" s="1236"/>
      <c r="AY404" s="1236"/>
      <c r="AZ404" s="1236"/>
      <c r="BA404" s="1236"/>
      <c r="BB404" s="1435"/>
      <c r="BC404" s="1435"/>
      <c r="BD404" s="1435"/>
      <c r="BE404" s="1435"/>
    </row>
    <row r="405" spans="1:57" s="369" customFormat="1" x14ac:dyDescent="0.2">
      <c r="A405" s="411"/>
      <c r="B405" s="334" t="s">
        <v>499</v>
      </c>
      <c r="C405" s="321"/>
      <c r="D405" s="1240"/>
      <c r="E405" s="1240"/>
      <c r="F405" s="1240"/>
      <c r="G405" s="1240"/>
      <c r="H405" s="1240">
        <f>IFERROR(Model!H405/Model!D405-1,"NA")</f>
        <v>9.9009900990099098E-3</v>
      </c>
      <c r="I405" s="1240">
        <f>IFERROR(Model!I405/Model!E405-1,"NA")</f>
        <v>5.1020408163264808E-3</v>
      </c>
      <c r="J405" s="1240">
        <f>IFERROR(Model!J405/Model!F405-1,"NA")</f>
        <v>-7.0351758793969821E-2</v>
      </c>
      <c r="K405" s="1240">
        <f>IFERROR(Model!K405/Model!G405-1,"NA")</f>
        <v>-6.4039408866995107E-2</v>
      </c>
      <c r="L405" s="1240">
        <f>IFERROR(Model!L405/Model!H405-1,"NA")</f>
        <v>-7.3529411764705843E-2</v>
      </c>
      <c r="M405" s="1240">
        <f>IFERROR(Model!M405/Model!I405-1,"NA")</f>
        <v>-2.5380710659898442E-2</v>
      </c>
      <c r="N405" s="1240">
        <f>IFERROR(Model!N405/Model!J405-1,"NA")</f>
        <v>3.7837837837837895E-2</v>
      </c>
      <c r="O405" s="1240">
        <f>IFERROR(Model!O405/Model!K405-1,"NA")</f>
        <v>-2.1052631578947323E-2</v>
      </c>
      <c r="P405" s="1240">
        <f>IFERROR(Model!P405/Model!L405-1,"NA")</f>
        <v>-4.7619047619047561E-2</v>
      </c>
      <c r="Q405" s="1240">
        <f>IFERROR(Model!Q405/Model!M405-1,"NA")</f>
        <v>-6.25E-2</v>
      </c>
      <c r="R405" s="1240">
        <f>IFERROR(Model!R405/Model!N405-1,"NA")</f>
        <v>-0.10937499999999989</v>
      </c>
      <c r="S405" s="1240">
        <f>IFERROR(Model!S405/Model!O405-1,"NA")</f>
        <v>-6.9892473118279619E-2</v>
      </c>
      <c r="T405" s="1240">
        <f>IFERROR(Model!T405/Model!P405-1,"NA")</f>
        <v>-3.3333333333333437E-2</v>
      </c>
      <c r="U405" s="1240">
        <f>IFERROR(Model!U405/Model!Q405-1,"NA")</f>
        <v>-3.3333333333333437E-2</v>
      </c>
      <c r="V405" s="1240">
        <f>IFERROR(Model!V405/Model!R405-1,"NA")</f>
        <v>2.9239766081871288E-2</v>
      </c>
      <c r="W405" s="1240">
        <f>IFERROR(Model!W405/Model!S405-1,"NA")</f>
        <v>0</v>
      </c>
      <c r="X405" s="1240">
        <f>IFERROR(Model!X405/Model!T405-1,"NA")</f>
        <v>4.0229885057471382E-2</v>
      </c>
      <c r="Y405" s="1240">
        <f>IFERROR(Model!Y405/Model!U405-1,"NA")</f>
        <v>5.7471264367816133E-2</v>
      </c>
      <c r="Z405" s="1240">
        <f>IFERROR(Model!Z405/Model!V405-1,"NA")</f>
        <v>6.8181818181818121E-2</v>
      </c>
      <c r="AA405" s="1240">
        <f>IFERROR(Model!AA405/Model!W405-1,"NA")</f>
        <v>0.10404624277456653</v>
      </c>
      <c r="AB405" s="1240">
        <f>IFERROR(Model!AB405/Model!X405-1,"NA")</f>
        <v>8.287292817679548E-2</v>
      </c>
      <c r="AC405" s="1381">
        <f>IFERROR(Model!AC405/Model!Y405-1,"NA")</f>
        <v>7.5869565217391521E-2</v>
      </c>
      <c r="AD405" s="1381">
        <f>IFERROR(Model!AD405/Model!Z405-1,"NA")</f>
        <v>6.3508510638297988E-2</v>
      </c>
      <c r="AE405" s="1381">
        <f>IFERROR(Model!AE405/Model!AA405-1,"NA")</f>
        <v>6.7740272251309186E-2</v>
      </c>
      <c r="AF405" s="1381">
        <f>IFERROR(Model!AF405/Model!AB405-1,"NA")</f>
        <v>5.0907020000000358E-2</v>
      </c>
      <c r="AG405" s="1381">
        <f>IFERROR(Model!AG405/Model!AC405-1,"NA")</f>
        <v>4.050200000000026E-2</v>
      </c>
      <c r="AH405" s="1381">
        <f>IFERROR(Model!AH405/Model!AD405-1,"NA")</f>
        <v>5.0804000000000293E-2</v>
      </c>
      <c r="AI405" s="1381">
        <f>IFERROR(Model!AI405/Model!AE405-1,"NA")</f>
        <v>6.1106000000000105E-2</v>
      </c>
      <c r="AJ405" s="1381"/>
      <c r="AK405" s="1381"/>
      <c r="AL405" s="1381"/>
      <c r="AM405" s="1381"/>
      <c r="AN405" s="1381"/>
      <c r="AO405" s="1381"/>
      <c r="AP405" s="1381"/>
      <c r="AQ405" s="1381"/>
      <c r="AR405" s="1236"/>
      <c r="AS405" s="1410"/>
      <c r="AT405" s="1284"/>
      <c r="AU405" s="1236"/>
      <c r="AV405" s="1236">
        <f>IFERROR(Model!AV405/Model!AU405-1,"NA")</f>
        <v>-3.0000000000000027E-2</v>
      </c>
      <c r="AW405" s="1236">
        <f>IFERROR(Model!AW405/Model!AV405-1,"NA")</f>
        <v>-2.1907216494845172E-2</v>
      </c>
      <c r="AX405" s="1236">
        <f>IFERROR(Model!AX405/Model!AW405-1,"NA")</f>
        <v>-7.2463768115942018E-2</v>
      </c>
      <c r="AY405" s="1236">
        <f>IFERROR(Model!AY405/Model!AX405-1,"NA")</f>
        <v>-9.9431818181818787E-3</v>
      </c>
      <c r="AZ405" s="1236">
        <f>IFERROR(Model!AZ405/Model!AY405-1,"NA")</f>
        <v>6.7431850789096082E-2</v>
      </c>
      <c r="BA405" s="1236">
        <f>IFERROR(Model!BA405/Model!AZ405-1,"NA")</f>
        <v>7.2362892473118334E-2</v>
      </c>
      <c r="BB405" s="1381">
        <f>IFERROR(Model!BB405/Model!BA405-1,"NA")</f>
        <v>5.090650366014704E-2</v>
      </c>
      <c r="BC405" s="1381">
        <f>IFERROR(Model!BC405/Model!BB405-1,"NA")</f>
        <v>5.0000000000000044E-2</v>
      </c>
      <c r="BD405" s="1381">
        <f>IFERROR(Model!BD405/Model!BC405-1,"NA")</f>
        <v>5.0000000000000044E-2</v>
      </c>
      <c r="BE405" s="1381">
        <f>IFERROR(Model!BE405/Model!BD405-1,"NA")</f>
        <v>5.0000000000000044E-2</v>
      </c>
    </row>
    <row r="406" spans="1:57" s="369" customFormat="1" x14ac:dyDescent="0.2">
      <c r="A406" s="411"/>
      <c r="B406" s="334"/>
      <c r="C406" s="321"/>
      <c r="D406" s="1258"/>
      <c r="E406" s="1258"/>
      <c r="F406" s="1258"/>
      <c r="G406" s="1258"/>
      <c r="H406" s="1258"/>
      <c r="I406" s="1258"/>
      <c r="J406" s="1258"/>
      <c r="K406" s="1258"/>
      <c r="L406" s="1258"/>
      <c r="M406" s="1258"/>
      <c r="N406" s="1258"/>
      <c r="O406" s="1258"/>
      <c r="P406" s="1258"/>
      <c r="Q406" s="1258"/>
      <c r="R406" s="1258"/>
      <c r="S406" s="1258"/>
      <c r="T406" s="1258"/>
      <c r="U406" s="1258"/>
      <c r="V406" s="1258"/>
      <c r="W406" s="1258"/>
      <c r="X406" s="1258"/>
      <c r="Y406" s="1258"/>
      <c r="Z406" s="1258"/>
      <c r="AA406" s="1258"/>
      <c r="AB406" s="1258"/>
      <c r="AC406" s="1284"/>
      <c r="AD406" s="1284"/>
      <c r="AE406" s="1284"/>
      <c r="AF406" s="1284"/>
      <c r="AG406" s="1284"/>
      <c r="AH406" s="1284"/>
      <c r="AI406" s="1284"/>
      <c r="AJ406" s="1284"/>
      <c r="AK406" s="1284"/>
      <c r="AL406" s="1284"/>
      <c r="AM406" s="1284"/>
      <c r="AN406" s="1284"/>
      <c r="AO406" s="1284"/>
      <c r="AP406" s="1284"/>
      <c r="AQ406" s="1284"/>
      <c r="AR406" s="1236"/>
      <c r="AS406" s="1410"/>
      <c r="AT406" s="1284"/>
      <c r="AU406" s="1236"/>
      <c r="AV406" s="1236"/>
      <c r="AW406" s="1236"/>
      <c r="AX406" s="1236"/>
      <c r="AY406" s="1236"/>
      <c r="AZ406" s="1236"/>
      <c r="BA406" s="1236"/>
      <c r="BB406" s="1284"/>
      <c r="BC406" s="1284"/>
      <c r="BD406" s="1284"/>
      <c r="BE406" s="1284"/>
    </row>
    <row r="407" spans="1:57" s="369" customFormat="1" x14ac:dyDescent="0.2">
      <c r="A407" s="411"/>
      <c r="B407" s="321" t="s">
        <v>230</v>
      </c>
      <c r="C407" s="321"/>
      <c r="D407" s="1258"/>
      <c r="E407" s="1258"/>
      <c r="F407" s="1258"/>
      <c r="G407" s="1258"/>
      <c r="H407" s="1258">
        <f>IFERROR(Model!H407/Model!D407-1,"NA")</f>
        <v>1.8079096045197751E-2</v>
      </c>
      <c r="I407" s="1258">
        <f>IFERROR(Model!I407/Model!E407-1,"NA")</f>
        <v>2.6497695852534475E-2</v>
      </c>
      <c r="J407" s="1258">
        <f>IFERROR(Model!J407/Model!F407-1,"NA")</f>
        <v>-1.1325028312572094E-3</v>
      </c>
      <c r="K407" s="1258">
        <f>IFERROR(Model!K407/Model!G407-1,"NA")</f>
        <v>1.1098779134295134E-2</v>
      </c>
      <c r="L407" s="1258">
        <f>IFERROR(Model!L407/Model!H407-1,"NA")</f>
        <v>1.7758046614872347E-2</v>
      </c>
      <c r="M407" s="1258">
        <f>IFERROR(Model!M407/Model!I407-1,"NA")</f>
        <v>6.6217732884399361E-2</v>
      </c>
      <c r="N407" s="1258">
        <f>IFERROR(Model!N407/Model!J407-1,"NA")</f>
        <v>7.8231292517006779E-2</v>
      </c>
      <c r="O407" s="1258">
        <f>IFERROR(Model!O407/Model!K407-1,"NA")</f>
        <v>1.975850713501659E-2</v>
      </c>
      <c r="P407" s="1258">
        <f>IFERROR(Model!P407/Model!L407-1,"NA")</f>
        <v>-1.4176663031624681E-2</v>
      </c>
      <c r="Q407" s="1258">
        <f>IFERROR(Model!Q407/Model!M407-1,"NA")</f>
        <v>-4.9473684210526336E-2</v>
      </c>
      <c r="R407" s="1258">
        <f>IFERROR(Model!R407/Model!N407-1,"NA")</f>
        <v>-8.7276550998948488E-2</v>
      </c>
      <c r="S407" s="1258">
        <f>IFERROR(Model!S407/Model!O407-1,"NA")</f>
        <v>-7.1044133476856897E-2</v>
      </c>
      <c r="T407" s="1258">
        <f>IFERROR(Model!T407/Model!P407-1,"NA")</f>
        <v>-6.0840707964601726E-2</v>
      </c>
      <c r="U407" s="1258">
        <f>IFERROR(Model!U407/Model!Q407-1,"NA")</f>
        <v>-5.980066445182719E-2</v>
      </c>
      <c r="V407" s="1258">
        <f>IFERROR(Model!V407/Model!R407-1,"NA")</f>
        <v>-1.4976958525345752E-2</v>
      </c>
      <c r="W407" s="1258">
        <f>IFERROR(Model!W407/Model!S407-1,"NA")</f>
        <v>-5.0984936268829717E-2</v>
      </c>
      <c r="X407" s="1258">
        <f>IFERROR(Model!X407/Model!T407-1,"NA")</f>
        <v>-2.0023557126030878E-2</v>
      </c>
      <c r="Y407" s="1258">
        <f>IFERROR(Model!Y407/Model!U407-1,"NA")</f>
        <v>0</v>
      </c>
      <c r="Z407" s="1258">
        <f>IFERROR(Model!Z407/Model!V407-1,"NA")</f>
        <v>8.1871345029240761E-3</v>
      </c>
      <c r="AA407" s="1258">
        <f>IFERROR(Model!AA407/Model!W407-1,"NA")</f>
        <v>7.3260073260073444E-2</v>
      </c>
      <c r="AB407" s="1258">
        <f>IFERROR(Model!AB407/Model!X407-1,"NA")</f>
        <v>8.5336538461538769E-2</v>
      </c>
      <c r="AC407" s="1258">
        <f>IFERROR(Model!AC407/Model!Y407-1,"NA")</f>
        <v>7.4240282685512415E-2</v>
      </c>
      <c r="AD407" s="1258">
        <f>IFERROR(Model!AD407/Model!Z407-1,"NA")</f>
        <v>7.2761774941995094E-2</v>
      </c>
      <c r="AE407" s="1258">
        <f>IFERROR(Model!AE407/Model!AA407-1,"NA")</f>
        <v>7.3054679180887039E-2</v>
      </c>
      <c r="AF407" s="1258">
        <f>IFERROR(Model!AF407/Model!AB407-1,"NA")</f>
        <v>5.0886855232557648E-2</v>
      </c>
      <c r="AG407" s="1258">
        <f>IFERROR(Model!AG407/Model!AC407-1,"NA")</f>
        <v>4.4555218081394843E-2</v>
      </c>
      <c r="AH407" s="1258">
        <f>IFERROR(Model!AH407/Model!AD407-1,"NA")</f>
        <v>4.0730960709459252E-2</v>
      </c>
      <c r="AI407" s="1258">
        <f>IFERROR(Model!AI407/Model!AE407-1,"NA")</f>
        <v>3.4185056390202417E-2</v>
      </c>
      <c r="AJ407" s="1258"/>
      <c r="AK407" s="1258"/>
      <c r="AL407" s="1258"/>
      <c r="AM407" s="1258"/>
      <c r="AN407" s="1258"/>
      <c r="AO407" s="1258"/>
      <c r="AP407" s="1258"/>
      <c r="AQ407" s="1258"/>
      <c r="AR407" s="1236"/>
      <c r="AS407" s="1284"/>
      <c r="AT407" s="1284"/>
      <c r="AU407" s="1236"/>
      <c r="AV407" s="1236">
        <f>IFERROR(Model!AV407/Model!AU407-1,"NA")</f>
        <v>1.3570822731127974E-2</v>
      </c>
      <c r="AW407" s="1236">
        <f>IFERROR(Model!AW407/Model!AV407-1,"NA")</f>
        <v>4.5188284518828503E-2</v>
      </c>
      <c r="AX407" s="1236">
        <f>IFERROR(Model!AX407/Model!AW407-1,"NA")</f>
        <v>-5.5777955697891679E-2</v>
      </c>
      <c r="AY407" s="1236">
        <f>IFERROR(Model!AY407/Model!AX407-1,"NA")</f>
        <v>-4.6919163369135153E-2</v>
      </c>
      <c r="AZ407" s="1236">
        <f>IFERROR(Model!AZ407/Model!AY407-1,"NA")</f>
        <v>1.4827995255041637E-2</v>
      </c>
      <c r="BA407" s="1236">
        <f>IFERROR(Model!BA407/Model!AZ407-1,"NA")</f>
        <v>7.626116686148432E-2</v>
      </c>
      <c r="BB407" s="1258">
        <f>IFERROR(Model!BB407/Model!BA407-1,"NA")</f>
        <v>4.2491610999391582E-2</v>
      </c>
      <c r="BC407" s="1258">
        <f>IFERROR(Model!BC407/Model!BB407-1,"NA")</f>
        <v>4.2183778309934139E-2</v>
      </c>
      <c r="BD407" s="1258">
        <f>IFERROR(Model!BD407/Model!BC407-1,"NA")</f>
        <v>5.0000000000000044E-2</v>
      </c>
      <c r="BE407" s="1258">
        <f>IFERROR(Model!BE407/Model!BD407-1,"NA")</f>
        <v>5.0000000000000044E-2</v>
      </c>
    </row>
    <row r="408" spans="1:57" s="369" customFormat="1" x14ac:dyDescent="0.2">
      <c r="A408" s="411"/>
      <c r="B408" s="334"/>
      <c r="C408" s="334"/>
      <c r="D408" s="1262"/>
      <c r="E408" s="1262"/>
      <c r="F408" s="1262"/>
      <c r="G408" s="1262"/>
      <c r="H408" s="1262"/>
      <c r="I408" s="1262"/>
      <c r="J408" s="1262"/>
      <c r="K408" s="1262"/>
      <c r="L408" s="1262"/>
      <c r="M408" s="1262"/>
      <c r="N408" s="1262"/>
      <c r="O408" s="1262"/>
      <c r="P408" s="1262"/>
      <c r="Q408" s="1262"/>
      <c r="R408" s="1262"/>
      <c r="S408" s="1262"/>
      <c r="T408" s="1262"/>
      <c r="U408" s="1262"/>
      <c r="V408" s="1262"/>
      <c r="W408" s="1262"/>
      <c r="X408" s="1284"/>
      <c r="Y408" s="1284"/>
      <c r="Z408" s="1284"/>
      <c r="AA408" s="1284"/>
      <c r="AB408" s="1284"/>
      <c r="AC408" s="1284"/>
      <c r="AD408" s="1284"/>
      <c r="AE408" s="1284"/>
      <c r="AF408" s="1284"/>
      <c r="AG408" s="1284"/>
      <c r="AH408" s="1284"/>
      <c r="AI408" s="1284"/>
      <c r="AJ408" s="1284"/>
      <c r="AK408" s="1284"/>
      <c r="AL408" s="1284"/>
      <c r="AM408" s="1284"/>
      <c r="AN408" s="1284"/>
      <c r="AO408" s="1284"/>
      <c r="AP408" s="1284"/>
      <c r="AQ408" s="1284"/>
      <c r="AR408" s="1236"/>
      <c r="AS408" s="1410"/>
      <c r="AT408" s="1410"/>
      <c r="AU408" s="1263"/>
      <c r="AV408" s="1263"/>
      <c r="AW408" s="1263"/>
      <c r="AX408" s="1263"/>
      <c r="AY408" s="1263"/>
      <c r="AZ408" s="1263"/>
      <c r="BA408" s="1263"/>
      <c r="BB408" s="1284"/>
      <c r="BC408" s="1284"/>
      <c r="BD408" s="1284"/>
      <c r="BE408" s="1284"/>
    </row>
    <row r="409" spans="1:57" s="369" customFormat="1" x14ac:dyDescent="0.2">
      <c r="A409" s="411"/>
      <c r="B409" s="337" t="s">
        <v>212</v>
      </c>
      <c r="C409" s="366"/>
      <c r="D409" s="1264"/>
      <c r="E409" s="1264"/>
      <c r="F409" s="1264"/>
      <c r="G409" s="1264"/>
      <c r="H409" s="1264"/>
      <c r="I409" s="1264"/>
      <c r="J409" s="1264"/>
      <c r="K409" s="1264"/>
      <c r="L409" s="1264"/>
      <c r="M409" s="1264"/>
      <c r="N409" s="1264"/>
      <c r="O409" s="1264"/>
      <c r="P409" s="1264"/>
      <c r="Q409" s="1264"/>
      <c r="R409" s="1264"/>
      <c r="S409" s="1264"/>
      <c r="T409" s="1264"/>
      <c r="U409" s="1264"/>
      <c r="V409" s="1264"/>
      <c r="W409" s="1264"/>
      <c r="X409" s="1417"/>
      <c r="Y409" s="1417"/>
      <c r="Z409" s="1417"/>
      <c r="AA409" s="1417"/>
      <c r="AB409" s="1417"/>
      <c r="AC409" s="1417"/>
      <c r="AD409" s="1417"/>
      <c r="AE409" s="1417"/>
      <c r="AF409" s="1417"/>
      <c r="AG409" s="1417"/>
      <c r="AH409" s="1417"/>
      <c r="AI409" s="1417"/>
      <c r="AJ409" s="1417"/>
      <c r="AK409" s="1417"/>
      <c r="AL409" s="1417"/>
      <c r="AM409" s="1417"/>
      <c r="AN409" s="1417"/>
      <c r="AO409" s="1417"/>
      <c r="AP409" s="1417"/>
      <c r="AQ409" s="1417"/>
      <c r="AR409" s="1236"/>
      <c r="AS409" s="1418"/>
      <c r="AT409" s="1419"/>
      <c r="AU409" s="1398"/>
      <c r="AV409" s="1398"/>
      <c r="AW409" s="1398"/>
      <c r="AX409" s="1398"/>
      <c r="AY409" s="1398"/>
      <c r="AZ409" s="1398"/>
      <c r="BA409" s="1398"/>
      <c r="BB409" s="1417"/>
      <c r="BC409" s="1417"/>
      <c r="BD409" s="1417"/>
      <c r="BE409" s="1417"/>
    </row>
    <row r="410" spans="1:57" s="369" customFormat="1" x14ac:dyDescent="0.2">
      <c r="A410" s="411"/>
      <c r="B410" s="450" t="s">
        <v>501</v>
      </c>
      <c r="C410" s="321"/>
      <c r="D410" s="1311"/>
      <c r="E410" s="1311"/>
      <c r="F410" s="1311"/>
      <c r="G410" s="1311"/>
      <c r="H410" s="1311"/>
      <c r="I410" s="1311"/>
      <c r="J410" s="1311"/>
      <c r="K410" s="1311"/>
      <c r="L410" s="1311"/>
      <c r="M410" s="1311"/>
      <c r="N410" s="1311"/>
      <c r="O410" s="1311"/>
      <c r="P410" s="1311"/>
      <c r="Q410" s="1311"/>
      <c r="R410" s="1311"/>
      <c r="S410" s="1311"/>
      <c r="T410" s="1311"/>
      <c r="U410" s="1311"/>
      <c r="V410" s="1311"/>
      <c r="W410" s="1311"/>
      <c r="X410" s="1284"/>
      <c r="Y410" s="1284"/>
      <c r="Z410" s="1284"/>
      <c r="AA410" s="1284"/>
      <c r="AB410" s="1284"/>
      <c r="AC410" s="1284"/>
      <c r="AD410" s="1284"/>
      <c r="AE410" s="1284"/>
      <c r="AF410" s="1284"/>
      <c r="AG410" s="1284"/>
      <c r="AH410" s="1284"/>
      <c r="AI410" s="1284"/>
      <c r="AJ410" s="1284"/>
      <c r="AK410" s="1284"/>
      <c r="AL410" s="1284"/>
      <c r="AM410" s="1284"/>
      <c r="AN410" s="1284"/>
      <c r="AO410" s="1284"/>
      <c r="AP410" s="1284"/>
      <c r="AQ410" s="1284"/>
      <c r="AR410" s="1236"/>
      <c r="AS410" s="1413"/>
      <c r="AT410" s="1284"/>
      <c r="AU410" s="1236"/>
      <c r="AV410" s="1236"/>
      <c r="AW410" s="1236"/>
      <c r="AX410" s="1236"/>
      <c r="AY410" s="1236"/>
      <c r="AZ410" s="1236"/>
      <c r="BA410" s="1236"/>
      <c r="BB410" s="1284"/>
      <c r="BC410" s="1284"/>
      <c r="BD410" s="1284"/>
      <c r="BE410" s="1284"/>
    </row>
    <row r="411" spans="1:57" s="369" customFormat="1" x14ac:dyDescent="0.2">
      <c r="A411" s="411"/>
      <c r="B411" s="321" t="s">
        <v>1298</v>
      </c>
      <c r="C411" s="321"/>
      <c r="D411" s="1240"/>
      <c r="E411" s="1240"/>
      <c r="F411" s="1240"/>
      <c r="G411" s="1240"/>
      <c r="H411" s="1240">
        <f>IFERROR(Model!H411/Model!D411-1,"NA")</f>
        <v>1.9943019943019724E-2</v>
      </c>
      <c r="I411" s="1240">
        <f>IFERROR(Model!I411/Model!E411-1,"NA")</f>
        <v>1.156069364161838E-2</v>
      </c>
      <c r="J411" s="1240">
        <f>IFERROR(Model!J411/Model!F411-1,"NA")</f>
        <v>2.5352112676056304E-2</v>
      </c>
      <c r="K411" s="1240">
        <f>IFERROR(Model!K411/Model!G411-1,"NA")</f>
        <v>3.3426183844011303E-2</v>
      </c>
      <c r="L411" s="1240">
        <f>IFERROR(Model!L411/Model!H411-1,"NA")</f>
        <v>5.5865921787709549E-2</v>
      </c>
      <c r="M411" s="1240">
        <f>IFERROR(Model!M411/Model!I411-1,"NA")</f>
        <v>0.11142857142857143</v>
      </c>
      <c r="N411" s="1240">
        <f>IFERROR(Model!N411/Model!J411-1,"NA")</f>
        <v>5.4945054945054972E-2</v>
      </c>
      <c r="O411" s="1240">
        <f>IFERROR(Model!O411/Model!K411-1,"NA")</f>
        <v>2.4258760107816579E-2</v>
      </c>
      <c r="P411" s="1240">
        <f>IFERROR(Model!P411/Model!L411-1,"NA")</f>
        <v>-2.6455026455026509E-2</v>
      </c>
      <c r="Q411" s="1240">
        <f>IFERROR(Model!Q411/Model!M411-1,"NA")</f>
        <v>-5.655526992287907E-2</v>
      </c>
      <c r="R411" s="1240">
        <f>IFERROR(Model!R411/Model!N411-1,"NA")</f>
        <v>-0.10677083333333337</v>
      </c>
      <c r="S411" s="1240">
        <f>IFERROR(Model!S411/Model!O411-1,"NA")</f>
        <v>-9.473684210526323E-2</v>
      </c>
      <c r="T411" s="1240">
        <f>IFERROR(Model!T411/Model!P411-1,"NA")</f>
        <v>-5.7065217391304213E-2</v>
      </c>
      <c r="U411" s="1240">
        <f>IFERROR(Model!U411/Model!Q411-1,"NA")</f>
        <v>-8.7193460490463282E-2</v>
      </c>
      <c r="V411" s="1240">
        <f>IFERROR(Model!V411/Model!R411-1,"NA")</f>
        <v>-2.9154518950437303E-2</v>
      </c>
      <c r="W411" s="1240">
        <f>IFERROR(Model!W411/Model!S411-1,"NA")</f>
        <v>-9.011627906976738E-2</v>
      </c>
      <c r="X411" s="1240">
        <f>IFERROR(Model!X411/Model!T411-1,"NA")</f>
        <v>-6.3400576368876194E-2</v>
      </c>
      <c r="Y411" s="1240">
        <f>IFERROR(Model!Y411/Model!U411-1,"NA")</f>
        <v>-2.9850746268656692E-2</v>
      </c>
      <c r="Z411" s="1240">
        <f>IFERROR(Model!Z411/Model!V411-1,"NA")</f>
        <v>-2.102102102102088E-2</v>
      </c>
      <c r="AA411" s="1240">
        <f>IFERROR(Model!AA411/Model!W411-1,"NA")</f>
        <v>6.3897763578274702E-2</v>
      </c>
      <c r="AB411" s="1240">
        <f>IFERROR(Model!AB411/Model!X411-1,"NA")</f>
        <v>2.7692307692307683E-2</v>
      </c>
      <c r="AC411" s="1284">
        <f>IFERROR(Model!AC411/Model!Y411-1,"NA")</f>
        <v>3.7969230769230311E-2</v>
      </c>
      <c r="AD411" s="1284">
        <f>IFERROR(Model!AD411/Model!Z411-1,"NA")</f>
        <v>5.030705521472334E-2</v>
      </c>
      <c r="AE411" s="1284">
        <f>IFERROR(Model!AE411/Model!AA411-1,"NA")</f>
        <v>4.8793099099098347E-2</v>
      </c>
      <c r="AF411" s="1284">
        <f>IFERROR(Model!AF411/Model!AB411-1,"NA")</f>
        <v>5.0881264999999232E-2</v>
      </c>
      <c r="AG411" s="1284">
        <f>IFERROR(Model!AG411/Model!AC411-1,"NA")</f>
        <v>4.5678882499999407E-2</v>
      </c>
      <c r="AH411" s="1284">
        <f>IFERROR(Model!AH411/Model!AD411-1,"NA")</f>
        <v>3.7952191249999823E-2</v>
      </c>
      <c r="AI411" s="1284">
        <f>IFERROR(Model!AI411/Model!AE411-1,"NA")</f>
        <v>2.6758589187499959E-2</v>
      </c>
      <c r="AJ411" s="1284"/>
      <c r="AK411" s="1284"/>
      <c r="AL411" s="1284"/>
      <c r="AM411" s="1284"/>
      <c r="AN411" s="1284"/>
      <c r="AO411" s="1284"/>
      <c r="AP411" s="1284"/>
      <c r="AQ411" s="1284"/>
      <c r="AR411" s="1236"/>
      <c r="AS411" s="1284"/>
      <c r="AT411" s="1284"/>
      <c r="AU411" s="1236"/>
      <c r="AV411" s="1236">
        <f>IFERROR(Model!AV411/Model!AU411-1,"NA")</f>
        <v>3.3426183844011303E-2</v>
      </c>
      <c r="AW411" s="1236">
        <f>IFERROR(Model!AW411/Model!AV411-1,"NA")</f>
        <v>2.4258760107816579E-2</v>
      </c>
      <c r="AX411" s="1236">
        <f>IFERROR(Model!AX411/Model!AW411-1,"NA")</f>
        <v>-9.473684210526323E-2</v>
      </c>
      <c r="AY411" s="1236">
        <f>IFERROR(Model!AY411/Model!AX411-1,"NA")</f>
        <v>-9.011627906976738E-2</v>
      </c>
      <c r="AZ411" s="1236">
        <f>IFERROR(Model!AZ411/Model!AY411-1,"NA")</f>
        <v>6.3897763578274702E-2</v>
      </c>
      <c r="BA411" s="1236">
        <f>IFERROR(Model!BA411/Model!AZ411-1,"NA")</f>
        <v>4.8793099099098347E-2</v>
      </c>
      <c r="BB411" s="1284">
        <f>IFERROR(Model!BB411/Model!BA411-1,"NA")</f>
        <v>2.6758589187499959E-2</v>
      </c>
      <c r="BC411" s="1284">
        <f>IFERROR(Model!BC411/Model!BB411-1,"NA")</f>
        <v>4.0000000000000036E-2</v>
      </c>
      <c r="BD411" s="1284">
        <f>IFERROR(Model!BD411/Model!BC411-1,"NA")</f>
        <v>5.0000000000000044E-2</v>
      </c>
      <c r="BE411" s="1284">
        <f>IFERROR(Model!BE411/Model!BD411-1,"NA")</f>
        <v>5.0000000000000044E-2</v>
      </c>
    </row>
    <row r="412" spans="1:57" s="369" customFormat="1" x14ac:dyDescent="0.2">
      <c r="A412" s="411"/>
      <c r="B412" s="321" t="s">
        <v>1290</v>
      </c>
      <c r="C412" s="321"/>
      <c r="D412" s="1240"/>
      <c r="E412" s="1240"/>
      <c r="F412" s="1240"/>
      <c r="G412" s="1240"/>
      <c r="H412" s="1240">
        <f>IFERROR(Model!H412/Model!D412-1,"NA")</f>
        <v>-5.2941176470588158E-2</v>
      </c>
      <c r="I412" s="1240">
        <f>IFERROR(Model!I412/Model!E412-1,"NA")</f>
        <v>2.4691358024691468E-2</v>
      </c>
      <c r="J412" s="1240">
        <f>IFERROR(Model!J412/Model!F412-1,"NA")</f>
        <v>3.0674846625766916E-2</v>
      </c>
      <c r="K412" s="1240">
        <f>IFERROR(Model!K412/Model!G412-1,"NA")</f>
        <v>5.031446540880502E-2</v>
      </c>
      <c r="L412" s="1240">
        <f>IFERROR(Model!L412/Model!H412-1,"NA")</f>
        <v>8.0745341614906652E-2</v>
      </c>
      <c r="M412" s="1240">
        <f>IFERROR(Model!M412/Model!I412-1,"NA")</f>
        <v>8.43373493975903E-2</v>
      </c>
      <c r="N412" s="1240">
        <f>IFERROR(Model!N412/Model!J412-1,"NA")</f>
        <v>4.1666666666666519E-2</v>
      </c>
      <c r="O412" s="1240">
        <f>IFERROR(Model!O412/Model!K412-1,"NA")</f>
        <v>-1.7964071856287456E-2</v>
      </c>
      <c r="P412" s="1240">
        <f>IFERROR(Model!P412/Model!L412-1,"NA")</f>
        <v>-8.045977011494243E-2</v>
      </c>
      <c r="Q412" s="1240">
        <f>IFERROR(Model!Q412/Model!M412-1,"NA")</f>
        <v>-0.10555555555555551</v>
      </c>
      <c r="R412" s="1240">
        <f>IFERROR(Model!R412/Model!N412-1,"NA")</f>
        <v>-0.12571428571428567</v>
      </c>
      <c r="S412" s="1240">
        <f>IFERROR(Model!S412/Model!O412-1,"NA")</f>
        <v>-9.7560975609755962E-2</v>
      </c>
      <c r="T412" s="1240">
        <f>IFERROR(Model!T412/Model!P412-1,"NA")</f>
        <v>-7.4999999999999956E-2</v>
      </c>
      <c r="U412" s="1240">
        <f>IFERROR(Model!U412/Model!Q412-1,"NA")</f>
        <v>-5.5900621118012528E-2</v>
      </c>
      <c r="V412" s="1240">
        <f>IFERROR(Model!V412/Model!R412-1,"NA")</f>
        <v>3.2679738562091609E-2</v>
      </c>
      <c r="W412" s="1240">
        <f>IFERROR(Model!W412/Model!S412-1,"NA")</f>
        <v>-2.0270270270270285E-2</v>
      </c>
      <c r="X412" s="1240">
        <f>IFERROR(Model!X412/Model!T412-1,"NA")</f>
        <v>4.7297297297297147E-2</v>
      </c>
      <c r="Y412" s="1240">
        <f>IFERROR(Model!Y412/Model!U412-1,"NA")</f>
        <v>3.289473684210531E-2</v>
      </c>
      <c r="Z412" s="1240">
        <f>IFERROR(Model!Z412/Model!V412-1,"NA")</f>
        <v>0</v>
      </c>
      <c r="AA412" s="1240">
        <f>IFERROR(Model!AA412/Model!W412-1,"NA")</f>
        <v>0.15862068965517251</v>
      </c>
      <c r="AB412" s="1240">
        <f>IFERROR(Model!AB412/Model!X412-1,"NA")</f>
        <v>0.10967741935483866</v>
      </c>
      <c r="AC412" s="1284">
        <f>IFERROR(Model!AC412/Model!Y412-1,"NA")</f>
        <v>0.10649681528662391</v>
      </c>
      <c r="AD412" s="1284">
        <f>IFERROR(Model!AD412/Model!Z412-1,"NA")</f>
        <v>0.11598607594936694</v>
      </c>
      <c r="AE412" s="1284">
        <f>IFERROR(Model!AE412/Model!AA412-1,"NA")</f>
        <v>7.0549499999999377E-2</v>
      </c>
      <c r="AF412" s="1284">
        <f>IFERROR(Model!AF412/Model!AB412-1,"NA")</f>
        <v>5.0881264999999454E-2</v>
      </c>
      <c r="AG412" s="1284">
        <f>IFERROR(Model!AG412/Model!AC412-1,"NA")</f>
        <v>4.5678882499999407E-2</v>
      </c>
      <c r="AH412" s="1284">
        <f>IFERROR(Model!AH412/Model!AD412-1,"NA")</f>
        <v>3.7952191249999601E-2</v>
      </c>
      <c r="AI412" s="1284">
        <f>IFERROR(Model!AI412/Model!AE412-1,"NA")</f>
        <v>2.6758589187499737E-2</v>
      </c>
      <c r="AJ412" s="1284"/>
      <c r="AK412" s="1284"/>
      <c r="AL412" s="1284"/>
      <c r="AM412" s="1284"/>
      <c r="AN412" s="1284"/>
      <c r="AO412" s="1284"/>
      <c r="AP412" s="1284"/>
      <c r="AQ412" s="1284"/>
      <c r="AR412" s="1236"/>
      <c r="AS412" s="1284"/>
      <c r="AT412" s="1284"/>
      <c r="AU412" s="1236"/>
      <c r="AV412" s="1236">
        <f>IFERROR(Model!AV412/Model!AU412-1,"NA")</f>
        <v>5.031446540880502E-2</v>
      </c>
      <c r="AW412" s="1236">
        <f>IFERROR(Model!AW412/Model!AV412-1,"NA")</f>
        <v>-1.7964071856287456E-2</v>
      </c>
      <c r="AX412" s="1236">
        <f>IFERROR(Model!AX412/Model!AW412-1,"NA")</f>
        <v>-9.7560975609755962E-2</v>
      </c>
      <c r="AY412" s="1236">
        <f>IFERROR(Model!AY412/Model!AX412-1,"NA")</f>
        <v>-2.0270270270270285E-2</v>
      </c>
      <c r="AZ412" s="1236">
        <f>IFERROR(Model!AZ412/Model!AY412-1,"NA")</f>
        <v>0.15862068965517251</v>
      </c>
      <c r="BA412" s="1236">
        <f>IFERROR(Model!BA412/Model!AZ412-1,"NA")</f>
        <v>7.0549499999999377E-2</v>
      </c>
      <c r="BB412" s="1284">
        <f>IFERROR(Model!BB412/Model!BA412-1,"NA")</f>
        <v>2.6758589187499737E-2</v>
      </c>
      <c r="BC412" s="1284">
        <f>IFERROR(Model!BC412/Model!BB412-1,"NA")</f>
        <v>4.0000000000000036E-2</v>
      </c>
      <c r="BD412" s="1284">
        <f>IFERROR(Model!BD412/Model!BC412-1,"NA")</f>
        <v>5.0000000000000044E-2</v>
      </c>
      <c r="BE412" s="1284">
        <f>IFERROR(Model!BE412/Model!BD412-1,"NA")</f>
        <v>5.0000000000000044E-2</v>
      </c>
    </row>
    <row r="413" spans="1:57" s="369" customFormat="1" x14ac:dyDescent="0.2">
      <c r="A413" s="411"/>
      <c r="B413" s="376" t="s">
        <v>1291</v>
      </c>
      <c r="C413" s="376"/>
      <c r="D413" s="1408"/>
      <c r="E413" s="1408"/>
      <c r="F413" s="1408"/>
      <c r="G413" s="1408"/>
      <c r="H413" s="1408">
        <f>IFERROR(Model!H413/Model!D413-1,"NA")</f>
        <v>9.1463414634146423E-2</v>
      </c>
      <c r="I413" s="1408">
        <f>IFERROR(Model!I413/Model!E413-1,"NA")</f>
        <v>5.4216867469879526E-2</v>
      </c>
      <c r="J413" s="1408">
        <f>IFERROR(Model!J413/Model!F413-1,"NA")</f>
        <v>5.7142857142857828E-3</v>
      </c>
      <c r="K413" s="1408">
        <f>IFERROR(Model!K413/Model!G413-1,"NA")</f>
        <v>2.2099447513812098E-2</v>
      </c>
      <c r="L413" s="1408">
        <f>IFERROR(Model!L413/Model!H413-1,"NA")</f>
        <v>6.7039106145251548E-2</v>
      </c>
      <c r="M413" s="1408">
        <f>IFERROR(Model!M413/Model!I413-1,"NA")</f>
        <v>0.12571428571428567</v>
      </c>
      <c r="N413" s="1408">
        <f>IFERROR(Model!N413/Model!J413-1,"NA")</f>
        <v>0.10227272727272707</v>
      </c>
      <c r="O413" s="1408">
        <f>IFERROR(Model!O413/Model!K413-1,"NA")</f>
        <v>2.1621621621621623E-2</v>
      </c>
      <c r="P413" s="1408">
        <f>IFERROR(Model!P413/Model!L413-1,"NA")</f>
        <v>-5.2356020942408987E-3</v>
      </c>
      <c r="Q413" s="1408">
        <f>IFERROR(Model!Q413/Model!M413-1,"NA")</f>
        <v>-5.0761421319795996E-3</v>
      </c>
      <c r="R413" s="1408">
        <f>IFERROR(Model!R413/Model!N413-1,"NA")</f>
        <v>-2.0618556701030855E-2</v>
      </c>
      <c r="S413" s="1408">
        <f>IFERROR(Model!S413/Model!O413-1,"NA")</f>
        <v>1.5873015873015817E-2</v>
      </c>
      <c r="T413" s="1408">
        <f>IFERROR(Model!T413/Model!P413-1,"NA")</f>
        <v>1.0526315789473717E-2</v>
      </c>
      <c r="U413" s="1408">
        <f>IFERROR(Model!U413/Model!Q413-1,"NA")</f>
        <v>-4.081632653061229E-2</v>
      </c>
      <c r="V413" s="1408">
        <f>IFERROR(Model!V413/Model!R413-1,"NA")</f>
        <v>0</v>
      </c>
      <c r="W413" s="1408">
        <f>IFERROR(Model!W413/Model!S413-1,"NA")</f>
        <v>-0.10416666666666663</v>
      </c>
      <c r="X413" s="1408">
        <f>IFERROR(Model!X413/Model!T413-1,"NA")</f>
        <v>-5.208333333333337E-2</v>
      </c>
      <c r="Y413" s="1408">
        <f>IFERROR(Model!Y413/Model!U413-1,"NA")</f>
        <v>-1.0638297872340385E-2</v>
      </c>
      <c r="Z413" s="1408">
        <f>IFERROR(Model!Z413/Model!V413-1,"NA")</f>
        <v>5.2631578947368585E-3</v>
      </c>
      <c r="AA413" s="1408">
        <f>IFERROR(Model!AA413/Model!W413-1,"NA")</f>
        <v>0.15697674418604657</v>
      </c>
      <c r="AB413" s="1408">
        <f>IFERROR(Model!AB413/Model!X413-1,"NA")</f>
        <v>0.10989010989010994</v>
      </c>
      <c r="AC413" s="1270">
        <f>IFERROR(Model!AC413/Model!Y413-1,"NA")</f>
        <v>9.6881720430107121E-2</v>
      </c>
      <c r="AD413" s="1270">
        <f>IFERROR(Model!AD413/Model!Z413-1,"NA")</f>
        <v>8.4190052356020617E-2</v>
      </c>
      <c r="AE413" s="1270">
        <f>IFERROR(Model!AE413/Model!AA413-1,"NA")</f>
        <v>6.1416613065326198E-2</v>
      </c>
      <c r="AF413" s="1270">
        <f>IFERROR(Model!AF413/Model!AB413-1,"NA")</f>
        <v>5.0881264999999232E-2</v>
      </c>
      <c r="AG413" s="1270">
        <f>IFERROR(Model!AG413/Model!AC413-1,"NA")</f>
        <v>4.5678882499999629E-2</v>
      </c>
      <c r="AH413" s="1270">
        <f>IFERROR(Model!AH413/Model!AD413-1,"NA")</f>
        <v>3.7952191249999823E-2</v>
      </c>
      <c r="AI413" s="1270">
        <f>IFERROR(Model!AI413/Model!AE413-1,"NA")</f>
        <v>2.6758589187499737E-2</v>
      </c>
      <c r="AJ413" s="1263"/>
      <c r="AK413" s="1263"/>
      <c r="AL413" s="1263"/>
      <c r="AM413" s="1263"/>
      <c r="AN413" s="1263"/>
      <c r="AO413" s="1263"/>
      <c r="AP413" s="1263"/>
      <c r="AQ413" s="1263"/>
      <c r="AR413" s="1236"/>
      <c r="AS413" s="1270"/>
      <c r="AT413" s="1270"/>
      <c r="AU413" s="1246"/>
      <c r="AV413" s="1246">
        <f>IFERROR(Model!AV413/Model!AU413-1,"NA")</f>
        <v>2.2099447513812098E-2</v>
      </c>
      <c r="AW413" s="1246">
        <f>IFERROR(Model!AW413/Model!AV413-1,"NA")</f>
        <v>2.1621621621621623E-2</v>
      </c>
      <c r="AX413" s="1246">
        <f>IFERROR(Model!AX413/Model!AW413-1,"NA")</f>
        <v>1.5873015873015817E-2</v>
      </c>
      <c r="AY413" s="1246">
        <f>IFERROR(Model!AY413/Model!AX413-1,"NA")</f>
        <v>-0.10416666666666663</v>
      </c>
      <c r="AZ413" s="1246">
        <f>IFERROR(Model!AZ413/Model!AY413-1,"NA")</f>
        <v>0.15697674418604657</v>
      </c>
      <c r="BA413" s="1246">
        <f>IFERROR(Model!BA413/Model!AZ413-1,"NA")</f>
        <v>6.1416613065326198E-2</v>
      </c>
      <c r="BB413" s="1270">
        <f>IFERROR(Model!BB413/Model!BA413-1,"NA")</f>
        <v>2.6758589187499737E-2</v>
      </c>
      <c r="BC413" s="1270">
        <f>IFERROR(Model!BC413/Model!BB413-1,"NA")</f>
        <v>4.0000000000000036E-2</v>
      </c>
      <c r="BD413" s="1270">
        <f>IFERROR(Model!BD413/Model!BC413-1,"NA")</f>
        <v>5.0000000000000266E-2</v>
      </c>
      <c r="BE413" s="1270">
        <f>IFERROR(Model!BE413/Model!BD413-1,"NA")</f>
        <v>5.0000000000000044E-2</v>
      </c>
    </row>
    <row r="414" spans="1:57" s="369" customFormat="1" x14ac:dyDescent="0.2">
      <c r="A414" s="411"/>
      <c r="B414" s="321"/>
      <c r="C414" s="334" t="s">
        <v>87</v>
      </c>
      <c r="D414" s="1267"/>
      <c r="E414" s="1267"/>
      <c r="F414" s="1267"/>
      <c r="G414" s="1267"/>
      <c r="H414" s="1267">
        <f>IFERROR(Model!H414/Model!D414-1,"NA")</f>
        <v>1.8978102189781021E-2</v>
      </c>
      <c r="I414" s="1267">
        <f>IFERROR(Model!I414/Model!E414-1,"NA")</f>
        <v>2.5222551928783199E-2</v>
      </c>
      <c r="J414" s="1267">
        <f>IFERROR(Model!J414/Model!F414-1,"NA")</f>
        <v>2.1645021645021911E-2</v>
      </c>
      <c r="K414" s="1267">
        <f>IFERROR(Model!K414/Model!G414-1,"NA")</f>
        <v>3.433476394849766E-2</v>
      </c>
      <c r="L414" s="1267">
        <f>IFERROR(Model!L414/Model!H414-1,"NA")</f>
        <v>6.4469914040114595E-2</v>
      </c>
      <c r="M414" s="1267">
        <f>IFERROR(Model!M414/Model!I414-1,"NA")</f>
        <v>0.1085383502170767</v>
      </c>
      <c r="N414" s="1267">
        <f>IFERROR(Model!N414/Model!J414-1,"NA")</f>
        <v>6.3559322033898136E-2</v>
      </c>
      <c r="O414" s="1267">
        <f>IFERROR(Model!O414/Model!K414-1,"NA")</f>
        <v>1.3831258644536604E-2</v>
      </c>
      <c r="P414" s="1267">
        <f>IFERROR(Model!P414/Model!L414-1,"NA")</f>
        <v>-3.3647375504710642E-2</v>
      </c>
      <c r="Q414" s="1267">
        <f>IFERROR(Model!Q414/Model!M414-1,"NA")</f>
        <v>-5.4830287206266148E-2</v>
      </c>
      <c r="R414" s="1267">
        <f>IFERROR(Model!R414/Model!N414-1,"NA")</f>
        <v>-8.8977423638778252E-2</v>
      </c>
      <c r="S414" s="1267">
        <f>IFERROR(Model!S414/Model!O414-1,"NA")</f>
        <v>-6.6848567530695679E-2</v>
      </c>
      <c r="T414" s="1267">
        <f>IFERROR(Model!T414/Model!P414-1,"NA")</f>
        <v>-4.3175487465180962E-2</v>
      </c>
      <c r="U414" s="1267">
        <f>IFERROR(Model!U414/Model!Q414-1,"NA")</f>
        <v>-6.7679558011049745E-2</v>
      </c>
      <c r="V414" s="1267">
        <f>IFERROR(Model!V414/Model!R414-1,"NA")</f>
        <v>-7.2886297376093534E-3</v>
      </c>
      <c r="W414" s="1267">
        <f>IFERROR(Model!W414/Model!S414-1,"NA")</f>
        <v>-7.8947368421052655E-2</v>
      </c>
      <c r="X414" s="1267">
        <f>IFERROR(Model!X414/Model!T414-1,"NA")</f>
        <v>-3.6390101892285309E-2</v>
      </c>
      <c r="Y414" s="1267">
        <f>IFERROR(Model!Y414/Model!U414-1,"NA")</f>
        <v>-1.0370370370370252E-2</v>
      </c>
      <c r="Z414" s="1267">
        <f>IFERROR(Model!Z414/Model!V414-1,"NA")</f>
        <v>-8.8105726872246271E-3</v>
      </c>
      <c r="AA414" s="1267">
        <f>IFERROR(Model!AA414/Model!W414-1,"NA")</f>
        <v>0.11111111111111116</v>
      </c>
      <c r="AB414" s="1267">
        <f>IFERROR(Model!AB414/Model!X414-1,"NA")</f>
        <v>6.9486404833836835E-2</v>
      </c>
      <c r="AC414" s="1284">
        <f>IFERROR(Model!AC414/Model!Y414-1,"NA")</f>
        <v>7.0479041916167162E-2</v>
      </c>
      <c r="AD414" s="1284">
        <f>IFERROR(Model!AD414/Model!Z414-1,"NA")</f>
        <v>7.5268444444444249E-2</v>
      </c>
      <c r="AE414" s="1284">
        <f>IFERROR(Model!AE414/Model!AA414-1,"NA")</f>
        <v>5.7603319999999458E-2</v>
      </c>
      <c r="AF414" s="1284">
        <f>IFERROR(Model!AF414/Model!AB414-1,"NA")</f>
        <v>5.0881264999999454E-2</v>
      </c>
      <c r="AG414" s="1284">
        <f>IFERROR(Model!AG414/Model!AC414-1,"NA")</f>
        <v>4.5678882499999629E-2</v>
      </c>
      <c r="AH414" s="1284">
        <f>IFERROR(Model!AH414/Model!AD414-1,"NA")</f>
        <v>3.7952191249999823E-2</v>
      </c>
      <c r="AI414" s="1284">
        <f>IFERROR(Model!AI414/Model!AE414-1,"NA")</f>
        <v>2.6758589187499737E-2</v>
      </c>
      <c r="AJ414" s="1284"/>
      <c r="AK414" s="1284"/>
      <c r="AL414" s="1284"/>
      <c r="AM414" s="1284"/>
      <c r="AN414" s="1284"/>
      <c r="AO414" s="1284"/>
      <c r="AP414" s="1284"/>
      <c r="AQ414" s="1284"/>
      <c r="AR414" s="1236"/>
      <c r="AS414" s="1284"/>
      <c r="AT414" s="1410"/>
      <c r="AU414" s="1263"/>
      <c r="AV414" s="1263">
        <f>IFERROR(Model!AV414/Model!AU414-1,"NA")</f>
        <v>3.433476394849766E-2</v>
      </c>
      <c r="AW414" s="1263">
        <f>IFERROR(Model!AW414/Model!AV414-1,"NA")</f>
        <v>1.3831258644536604E-2</v>
      </c>
      <c r="AX414" s="1263">
        <f>IFERROR(Model!AX414/Model!AW414-1,"NA")</f>
        <v>-6.6848567530695679E-2</v>
      </c>
      <c r="AY414" s="1263">
        <f>IFERROR(Model!AY414/Model!AX414-1,"NA")</f>
        <v>-7.8947368421052655E-2</v>
      </c>
      <c r="AZ414" s="1263">
        <f>IFERROR(Model!AZ414/Model!AY414-1,"NA")</f>
        <v>0.11111111111111116</v>
      </c>
      <c r="BA414" s="1263">
        <f>IFERROR(Model!BA414/Model!AZ414-1,"NA")</f>
        <v>5.7603319999999458E-2</v>
      </c>
      <c r="BB414" s="1284">
        <f>IFERROR(Model!BB414/Model!BA414-1,"NA")</f>
        <v>2.6758589187499737E-2</v>
      </c>
      <c r="BC414" s="1284">
        <f>IFERROR(Model!BC414/Model!BB414-1,"NA")</f>
        <v>4.0000000000000036E-2</v>
      </c>
      <c r="BD414" s="1284">
        <f>IFERROR(Model!BD414/Model!BC414-1,"NA")</f>
        <v>5.0000000000000044E-2</v>
      </c>
      <c r="BE414" s="1284">
        <f>IFERROR(Model!BE414/Model!BD414-1,"NA")</f>
        <v>5.0000000000000044E-2</v>
      </c>
    </row>
    <row r="415" spans="1:57" s="369" customFormat="1" x14ac:dyDescent="0.2">
      <c r="A415" s="830"/>
      <c r="C415" s="334"/>
      <c r="D415" s="1267"/>
      <c r="E415" s="1267"/>
      <c r="F415" s="1267"/>
      <c r="G415" s="1267"/>
      <c r="H415" s="1267"/>
      <c r="I415" s="1267"/>
      <c r="J415" s="1267"/>
      <c r="K415" s="1267"/>
      <c r="L415" s="1267"/>
      <c r="M415" s="1267"/>
      <c r="N415" s="1267"/>
      <c r="O415" s="1267"/>
      <c r="P415" s="1267"/>
      <c r="Q415" s="1267"/>
      <c r="R415" s="1267"/>
      <c r="S415" s="1267"/>
      <c r="T415" s="1267"/>
      <c r="U415" s="1267"/>
      <c r="V415" s="1267"/>
      <c r="W415" s="1267"/>
      <c r="X415" s="1267"/>
      <c r="Y415" s="1267"/>
      <c r="Z415" s="1267"/>
      <c r="AA415" s="1267"/>
      <c r="AB415" s="1267"/>
      <c r="AC415" s="1263"/>
      <c r="AD415" s="1263"/>
      <c r="AE415" s="1263"/>
      <c r="AF415" s="1263"/>
      <c r="AG415" s="1263"/>
      <c r="AH415" s="1263"/>
      <c r="AI415" s="1263"/>
      <c r="AJ415" s="1263"/>
      <c r="AK415" s="1263"/>
      <c r="AL415" s="1263"/>
      <c r="AM415" s="1263"/>
      <c r="AN415" s="1263"/>
      <c r="AO415" s="1263"/>
      <c r="AP415" s="1263"/>
      <c r="AQ415" s="1263"/>
      <c r="AR415" s="1236"/>
      <c r="AS415" s="1263"/>
      <c r="AT415" s="1410"/>
      <c r="AU415" s="1263"/>
      <c r="AV415" s="1263"/>
      <c r="AW415" s="1263"/>
      <c r="AX415" s="1263"/>
      <c r="AY415" s="1263"/>
      <c r="AZ415" s="1263"/>
      <c r="BA415" s="1263"/>
      <c r="BB415" s="1263"/>
      <c r="BC415" s="1263"/>
      <c r="BD415" s="1263"/>
      <c r="BE415" s="1263"/>
    </row>
    <row r="416" spans="1:57" s="369" customFormat="1" x14ac:dyDescent="0.2">
      <c r="A416" s="411"/>
      <c r="B416" s="334" t="s">
        <v>499</v>
      </c>
      <c r="C416" s="321"/>
      <c r="D416" s="1240"/>
      <c r="E416" s="1240"/>
      <c r="F416" s="1240"/>
      <c r="G416" s="1240"/>
      <c r="H416" s="1240">
        <f>IFERROR(Model!H416/Model!D416-1,"NA")</f>
        <v>5.0251256281408363E-3</v>
      </c>
      <c r="I416" s="1240">
        <f>IFERROR(Model!I416/Model!E416-1,"NA")</f>
        <v>-1.015228426395931E-2</v>
      </c>
      <c r="J416" s="1240">
        <f>IFERROR(Model!J416/Model!F416-1,"NA")</f>
        <v>-6.4676616915422924E-2</v>
      </c>
      <c r="K416" s="1240">
        <f>IFERROR(Model!K416/Model!G416-1,"NA")</f>
        <v>-7.2115384615384581E-2</v>
      </c>
      <c r="L416" s="1240">
        <f>IFERROR(Model!L416/Model!H416-1,"NA")</f>
        <v>-5.9999999999999942E-2</v>
      </c>
      <c r="M416" s="1240">
        <f>IFERROR(Model!M416/Model!I416-1,"NA")</f>
        <v>5.12820512820511E-3</v>
      </c>
      <c r="N416" s="1240">
        <f>IFERROR(Model!N416/Model!J416-1,"NA")</f>
        <v>5.3191489361701372E-3</v>
      </c>
      <c r="O416" s="1240">
        <f>IFERROR(Model!O416/Model!K416-1,"NA")</f>
        <v>-3.6269430051813378E-2</v>
      </c>
      <c r="P416" s="1240">
        <f>IFERROR(Model!P416/Model!L416-1,"NA")</f>
        <v>-5.3191489361702149E-2</v>
      </c>
      <c r="Q416" s="1240">
        <f>IFERROR(Model!Q416/Model!M416-1,"NA")</f>
        <v>-7.6530612244897989E-2</v>
      </c>
      <c r="R416" s="1240">
        <f>IFERROR(Model!R416/Model!N416-1,"NA")</f>
        <v>-0.10052910052910047</v>
      </c>
      <c r="S416" s="1240">
        <f>IFERROR(Model!S416/Model!O416-1,"NA")</f>
        <v>-5.3763440860215006E-2</v>
      </c>
      <c r="T416" s="1240">
        <f>IFERROR(Model!T416/Model!P416-1,"NA")</f>
        <v>-1.1235955056179692E-2</v>
      </c>
      <c r="U416" s="1240">
        <f>IFERROR(Model!U416/Model!Q416-1,"NA")</f>
        <v>-2.7624309392265234E-2</v>
      </c>
      <c r="V416" s="1240">
        <f>IFERROR(Model!V416/Model!R416-1,"NA")</f>
        <v>4.1176470588235148E-2</v>
      </c>
      <c r="W416" s="1240">
        <f>IFERROR(Model!W416/Model!S416-1,"NA")</f>
        <v>-5.6818181818182323E-3</v>
      </c>
      <c r="X416" s="1240">
        <f>IFERROR(Model!X416/Model!T416-1,"NA")</f>
        <v>3.9772727272727293E-2</v>
      </c>
      <c r="Y416" s="1240">
        <f>IFERROR(Model!Y416/Model!U416-1,"NA")</f>
        <v>6.8181818181818121E-2</v>
      </c>
      <c r="Z416" s="1240">
        <f>IFERROR(Model!Z416/Model!V416-1,"NA")</f>
        <v>6.2146892655367214E-2</v>
      </c>
      <c r="AA416" s="1240">
        <f>IFERROR(Model!AA416/Model!W416-1,"NA")</f>
        <v>0.13142857142857145</v>
      </c>
      <c r="AB416" s="1240">
        <f>IFERROR(Model!AB416/Model!X416-1,"NA")</f>
        <v>4.9180327868852292E-2</v>
      </c>
      <c r="AC416" s="1284">
        <f>IFERROR(Model!AC416/Model!Y416-1,"NA")</f>
        <v>3.1489361702127683E-2</v>
      </c>
      <c r="AD416" s="1284">
        <f>IFERROR(Model!AD416/Model!Z416-1,"NA")</f>
        <v>4.1804255319148886E-2</v>
      </c>
      <c r="AE416" s="1284">
        <f>IFERROR(Model!AE416/Model!AA416-1,"NA")</f>
        <v>8.9716363636365148E-3</v>
      </c>
      <c r="AF416" s="1284">
        <f>IFERROR(Model!AF416/Model!AB416-1,"NA")</f>
        <v>5.0907020000000358E-2</v>
      </c>
      <c r="AG416" s="1284">
        <f>IFERROR(Model!AG416/Model!AC416-1,"NA")</f>
        <v>4.0502000000000482E-2</v>
      </c>
      <c r="AH416" s="1284">
        <f>IFERROR(Model!AH416/Model!AD416-1,"NA")</f>
        <v>5.0804000000000515E-2</v>
      </c>
      <c r="AI416" s="1284">
        <f>IFERROR(Model!AI416/Model!AE416-1,"NA")</f>
        <v>6.1106000000000327E-2</v>
      </c>
      <c r="AJ416" s="1284"/>
      <c r="AK416" s="1284"/>
      <c r="AL416" s="1284"/>
      <c r="AM416" s="1284"/>
      <c r="AN416" s="1284"/>
      <c r="AO416" s="1284"/>
      <c r="AP416" s="1284"/>
      <c r="AQ416" s="1284"/>
      <c r="AR416" s="1236"/>
      <c r="AS416" s="1410"/>
      <c r="AT416" s="1284"/>
      <c r="AU416" s="1236"/>
      <c r="AV416" s="1236">
        <f>IFERROR(Model!AV416/Model!AU416-1,"NA")</f>
        <v>-7.2115384615384581E-2</v>
      </c>
      <c r="AW416" s="1236">
        <f>IFERROR(Model!AW416/Model!AV416-1,"NA")</f>
        <v>-3.6269430051813378E-2</v>
      </c>
      <c r="AX416" s="1236">
        <f>IFERROR(Model!AX416/Model!AW416-1,"NA")</f>
        <v>-5.3763440860215006E-2</v>
      </c>
      <c r="AY416" s="1236">
        <f>IFERROR(Model!AY416/Model!AX416-1,"NA")</f>
        <v>-5.6818181818182323E-3</v>
      </c>
      <c r="AZ416" s="1236">
        <f>IFERROR(Model!AZ416/Model!AY416-1,"NA")</f>
        <v>0.13142857142857145</v>
      </c>
      <c r="BA416" s="1236">
        <f>IFERROR(Model!BA416/Model!AZ416-1,"NA")</f>
        <v>8.9716363636365148E-3</v>
      </c>
      <c r="BB416" s="1284">
        <f>IFERROR(Model!BB416/Model!BA416-1,"NA")</f>
        <v>6.1106000000000327E-2</v>
      </c>
      <c r="BC416" s="1284">
        <f>IFERROR(Model!BC416/Model!BB416-1,"NA")</f>
        <v>5.0000000000000266E-2</v>
      </c>
      <c r="BD416" s="1284">
        <f>IFERROR(Model!BD416/Model!BC416-1,"NA")</f>
        <v>5.0000000000000044E-2</v>
      </c>
      <c r="BE416" s="1284">
        <f>IFERROR(Model!BE416/Model!BD416-1,"NA")</f>
        <v>5.0000000000000044E-2</v>
      </c>
    </row>
    <row r="417" spans="1:74" s="369" customFormat="1" x14ac:dyDescent="0.2">
      <c r="A417" s="411"/>
      <c r="B417" s="321"/>
      <c r="C417" s="334"/>
      <c r="D417" s="1267"/>
      <c r="E417" s="1267"/>
      <c r="F417" s="1267"/>
      <c r="G417" s="1267"/>
      <c r="H417" s="1267"/>
      <c r="I417" s="1267"/>
      <c r="J417" s="1267"/>
      <c r="K417" s="1267"/>
      <c r="L417" s="1267"/>
      <c r="M417" s="1267"/>
      <c r="N417" s="1267"/>
      <c r="O417" s="1267"/>
      <c r="P417" s="1267"/>
      <c r="Q417" s="1267"/>
      <c r="R417" s="1267"/>
      <c r="S417" s="1267"/>
      <c r="T417" s="1267"/>
      <c r="U417" s="1267"/>
      <c r="V417" s="1267"/>
      <c r="W417" s="1267"/>
      <c r="X417" s="1267"/>
      <c r="Y417" s="1267"/>
      <c r="Z417" s="1267"/>
      <c r="AA417" s="1267"/>
      <c r="AB417" s="1267"/>
      <c r="AC417" s="1284"/>
      <c r="AD417" s="1284"/>
      <c r="AE417" s="1284"/>
      <c r="AF417" s="1284"/>
      <c r="AG417" s="1284"/>
      <c r="AH417" s="1284"/>
      <c r="AI417" s="1284"/>
      <c r="AJ417" s="1284"/>
      <c r="AK417" s="1284"/>
      <c r="AL417" s="1284"/>
      <c r="AM417" s="1284"/>
      <c r="AN417" s="1284"/>
      <c r="AO417" s="1284"/>
      <c r="AP417" s="1284"/>
      <c r="AQ417" s="1284"/>
      <c r="AR417" s="1236"/>
      <c r="AS417" s="1284"/>
      <c r="AT417" s="1410"/>
      <c r="AU417" s="1263"/>
      <c r="AV417" s="1263"/>
      <c r="AW417" s="1263"/>
      <c r="AX417" s="1263"/>
      <c r="AY417" s="1263"/>
      <c r="AZ417" s="1263"/>
      <c r="BA417" s="1263"/>
      <c r="BB417" s="1284"/>
      <c r="BC417" s="1284"/>
      <c r="BD417" s="1284"/>
      <c r="BE417" s="1284"/>
    </row>
    <row r="418" spans="1:74" s="369" customFormat="1" x14ac:dyDescent="0.2">
      <c r="A418" s="411"/>
      <c r="B418" s="321" t="s">
        <v>230</v>
      </c>
      <c r="C418" s="334"/>
      <c r="D418" s="1267"/>
      <c r="E418" s="1267"/>
      <c r="F418" s="1267"/>
      <c r="G418" s="1267"/>
      <c r="H418" s="1267">
        <f>IFERROR(Model!H418/Model!D418-1,"NA")</f>
        <v>1.5837104072398134E-2</v>
      </c>
      <c r="I418" s="1267">
        <f>IFERROR(Model!I418/Model!E418-1,"NA")</f>
        <v>1.7221584385763267E-2</v>
      </c>
      <c r="J418" s="1267">
        <f>IFERROR(Model!J418/Model!F418-1,"NA")</f>
        <v>2.2371364653244186E-3</v>
      </c>
      <c r="K418" s="1267">
        <f>IFERROR(Model!K418/Model!G418-1,"NA")</f>
        <v>9.9228224917309316E-3</v>
      </c>
      <c r="L418" s="1267">
        <f>IFERROR(Model!L418/Model!H418-1,"NA")</f>
        <v>3.674832962138086E-2</v>
      </c>
      <c r="M418" s="1267">
        <f>IFERROR(Model!M418/Model!I418-1,"NA")</f>
        <v>8.5778781038374552E-2</v>
      </c>
      <c r="N418" s="1267">
        <f>IFERROR(Model!N418/Model!J418-1,"NA")</f>
        <v>5.1339285714285587E-2</v>
      </c>
      <c r="O418" s="1267">
        <f>IFERROR(Model!O418/Model!K418-1,"NA")</f>
        <v>3.2751091703058233E-3</v>
      </c>
      <c r="P418" s="1267">
        <f>IFERROR(Model!P418/Model!L418-1,"NA")</f>
        <v>-3.7593984962406068E-2</v>
      </c>
      <c r="Q418" s="1267">
        <f>IFERROR(Model!Q418/Model!M418-1,"NA")</f>
        <v>-5.9251559251559116E-2</v>
      </c>
      <c r="R418" s="1267">
        <f>IFERROR(Model!R418/Model!N418-1,"NA")</f>
        <v>-9.1295116772823759E-2</v>
      </c>
      <c r="S418" s="1267">
        <f>IFERROR(Model!S418/Model!O418-1,"NA")</f>
        <v>-6.4200217627856437E-2</v>
      </c>
      <c r="T418" s="1267">
        <f>IFERROR(Model!T418/Model!P418-1,"NA")</f>
        <v>-3.6830357142856984E-2</v>
      </c>
      <c r="U418" s="1267">
        <f>IFERROR(Model!U418/Model!Q418-1,"NA")</f>
        <v>-5.9668508287292865E-2</v>
      </c>
      <c r="V418" s="1267">
        <f>IFERROR(Model!V418/Model!R418-1,"NA")</f>
        <v>2.3364485981309802E-3</v>
      </c>
      <c r="W418" s="1267">
        <f>IFERROR(Model!W418/Model!S418-1,"NA")</f>
        <v>-6.3953488372093026E-2</v>
      </c>
      <c r="X418" s="1267">
        <f>IFERROR(Model!X418/Model!T418-1,"NA")</f>
        <v>-2.0857473928157733E-2</v>
      </c>
      <c r="Y418" s="1267">
        <f>IFERROR(Model!Y418/Model!U418-1,"NA")</f>
        <v>5.8754406580494578E-3</v>
      </c>
      <c r="Z418" s="1267">
        <f>IFERROR(Model!Z418/Model!V418-1,"NA")</f>
        <v>5.8275058275059077E-3</v>
      </c>
      <c r="AA418" s="1267">
        <f>IFERROR(Model!AA418/Model!W418-1,"NA")</f>
        <v>0.11552795031055907</v>
      </c>
      <c r="AB418" s="1267">
        <f>IFERROR(Model!AB418/Model!X418-1,"NA")</f>
        <v>6.5088757396449815E-2</v>
      </c>
      <c r="AC418" s="1267">
        <f>IFERROR(Model!AC418/Model!Y418-1,"NA")</f>
        <v>6.1915887850466866E-2</v>
      </c>
      <c r="AD418" s="1267">
        <f>IFERROR(Model!AD418/Model!Z418-1,"NA")</f>
        <v>6.797844727694069E-2</v>
      </c>
      <c r="AE418" s="1267">
        <f>IFERROR(Model!AE418/Model!AA418-1,"NA")</f>
        <v>4.6880521158128907E-2</v>
      </c>
      <c r="AF418" s="1267">
        <f>IFERROR(Model!AF418/Model!AB418-1,"NA")</f>
        <v>5.0886759399999537E-2</v>
      </c>
      <c r="AG418" s="1267">
        <f>IFERROR(Model!AG418/Model!AC418-1,"NA")</f>
        <v>4.4574480899999935E-2</v>
      </c>
      <c r="AH418" s="1267">
        <f>IFERROR(Model!AH418/Model!AD418-1,"NA")</f>
        <v>4.068327454804721E-2</v>
      </c>
      <c r="AI418" s="1267">
        <f>IFERROR(Model!AI418/Model!AE418-1,"NA")</f>
        <v>3.4057611591734371E-2</v>
      </c>
      <c r="AJ418" s="1267"/>
      <c r="AK418" s="1267"/>
      <c r="AL418" s="1267"/>
      <c r="AM418" s="1267"/>
      <c r="AN418" s="1267"/>
      <c r="AO418" s="1267"/>
      <c r="AP418" s="1267"/>
      <c r="AQ418" s="1267"/>
      <c r="AR418" s="1236"/>
      <c r="AS418" s="1284"/>
      <c r="AT418" s="1410"/>
      <c r="AU418" s="1236"/>
      <c r="AV418" s="1236">
        <f>IFERROR(Model!AV418/Model!AU418-1,"NA")</f>
        <v>9.9228224917309316E-3</v>
      </c>
      <c r="AW418" s="1236">
        <f>IFERROR(Model!AW418/Model!AV418-1,"NA")</f>
        <v>3.2751091703058233E-3</v>
      </c>
      <c r="AX418" s="1236">
        <f>IFERROR(Model!AX418/Model!AW418-1,"NA")</f>
        <v>-6.4200217627856437E-2</v>
      </c>
      <c r="AY418" s="1236">
        <f>IFERROR(Model!AY418/Model!AX418-1,"NA")</f>
        <v>-6.3953488372093026E-2</v>
      </c>
      <c r="AZ418" s="1236">
        <f>IFERROR(Model!AZ418/Model!AY418-1,"NA")</f>
        <v>0.11552795031055907</v>
      </c>
      <c r="BA418" s="1236">
        <f>IFERROR(Model!BA418/Model!AZ418-1,"NA")</f>
        <v>4.6880521158128907E-2</v>
      </c>
      <c r="BB418" s="1267">
        <f>IFERROR(Model!BB418/Model!BA418-1,"NA")</f>
        <v>3.4057611591734371E-2</v>
      </c>
      <c r="BC418" s="1267">
        <f>IFERROR(Model!BC418/Model!BB418-1,"NA")</f>
        <v>4.2180643778432447E-2</v>
      </c>
      <c r="BD418" s="1267">
        <f>IFERROR(Model!BD418/Model!BC418-1,"NA")</f>
        <v>5.0000000000000044E-2</v>
      </c>
      <c r="BE418" s="1267">
        <f>IFERROR(Model!BE418/Model!BD418-1,"NA")</f>
        <v>5.0000000000000266E-2</v>
      </c>
    </row>
    <row r="419" spans="1:74" s="369" customFormat="1" x14ac:dyDescent="0.2">
      <c r="A419" s="411"/>
      <c r="B419" s="321"/>
      <c r="C419" s="334"/>
      <c r="D419" s="1311"/>
      <c r="E419" s="1311"/>
      <c r="F419" s="1311"/>
      <c r="G419" s="1311"/>
      <c r="H419" s="1311"/>
      <c r="I419" s="1311"/>
      <c r="J419" s="1311"/>
      <c r="K419" s="1311"/>
      <c r="L419" s="1311"/>
      <c r="M419" s="1311"/>
      <c r="N419" s="1311"/>
      <c r="O419" s="1311"/>
      <c r="P419" s="1311"/>
      <c r="Q419" s="1311"/>
      <c r="R419" s="1311"/>
      <c r="S419" s="1311"/>
      <c r="T419" s="1311"/>
      <c r="U419" s="1311"/>
      <c r="V419" s="1311"/>
      <c r="W419" s="1311"/>
      <c r="X419" s="1311"/>
      <c r="Y419" s="1311"/>
      <c r="Z419" s="1311"/>
      <c r="AA419" s="1311"/>
      <c r="AB419" s="1311"/>
      <c r="AC419" s="1284"/>
      <c r="AD419" s="1284"/>
      <c r="AE419" s="1284"/>
      <c r="AF419" s="1284"/>
      <c r="AG419" s="1284"/>
      <c r="AH419" s="1284"/>
      <c r="AI419" s="1284"/>
      <c r="AJ419" s="1284"/>
      <c r="AK419" s="1284"/>
      <c r="AL419" s="1284"/>
      <c r="AM419" s="1284"/>
      <c r="AN419" s="1284"/>
      <c r="AO419" s="1284"/>
      <c r="AP419" s="1284"/>
      <c r="AQ419" s="1284"/>
      <c r="AR419" s="1236"/>
      <c r="AS419" s="1284"/>
      <c r="AT419" s="1410"/>
      <c r="AU419" s="1263"/>
      <c r="AV419" s="1263"/>
      <c r="AW419" s="1263"/>
      <c r="AX419" s="1263"/>
      <c r="AY419" s="1263"/>
      <c r="AZ419" s="1263"/>
      <c r="BA419" s="1263"/>
      <c r="BB419" s="1263"/>
      <c r="BC419" s="1263"/>
      <c r="BD419" s="1263"/>
      <c r="BE419" s="1263"/>
    </row>
    <row r="420" spans="1:74" x14ac:dyDescent="0.2">
      <c r="B420" s="337" t="s">
        <v>509</v>
      </c>
      <c r="C420" s="11"/>
      <c r="D420" s="1398"/>
      <c r="E420" s="1398"/>
      <c r="F420" s="1398"/>
      <c r="G420" s="1398"/>
      <c r="H420" s="1398"/>
      <c r="I420" s="1398"/>
      <c r="J420" s="1398"/>
      <c r="K420" s="1398"/>
      <c r="L420" s="1398"/>
      <c r="M420" s="1398"/>
      <c r="N420" s="1398"/>
      <c r="O420" s="1398"/>
      <c r="P420" s="1398"/>
      <c r="Q420" s="1398"/>
      <c r="R420" s="1398"/>
      <c r="S420" s="1398"/>
      <c r="T420" s="1398"/>
      <c r="U420" s="1398"/>
      <c r="V420" s="1398"/>
      <c r="W420" s="1398"/>
      <c r="X420" s="1398"/>
      <c r="Y420" s="1398"/>
      <c r="Z420" s="1398"/>
      <c r="AA420" s="1398"/>
      <c r="AB420" s="1398"/>
      <c r="AC420" s="1398"/>
      <c r="AD420" s="1398"/>
      <c r="AE420" s="1398"/>
      <c r="AF420" s="1398"/>
      <c r="AG420" s="1398"/>
      <c r="AH420" s="1398"/>
      <c r="AI420" s="1398"/>
      <c r="AJ420" s="1398"/>
      <c r="AK420" s="1398"/>
      <c r="AL420" s="1398"/>
      <c r="AM420" s="1398"/>
      <c r="AN420" s="1398"/>
      <c r="AO420" s="1398"/>
      <c r="AP420" s="1398"/>
      <c r="AQ420" s="1398"/>
      <c r="AR420" s="1236"/>
      <c r="AS420" s="1418"/>
      <c r="AT420" s="1399"/>
      <c r="AU420" s="1398"/>
      <c r="AV420" s="1398"/>
      <c r="AW420" s="1398"/>
      <c r="AX420" s="1398"/>
      <c r="AY420" s="1398"/>
      <c r="AZ420" s="1398"/>
      <c r="BA420" s="1398"/>
      <c r="BB420" s="1398"/>
      <c r="BC420" s="1398"/>
      <c r="BD420" s="1398"/>
      <c r="BE420" s="1398"/>
    </row>
    <row r="421" spans="1:74" s="369" customFormat="1" x14ac:dyDescent="0.2">
      <c r="A421" s="411"/>
      <c r="B421" s="334" t="s">
        <v>50</v>
      </c>
      <c r="C421" s="321"/>
      <c r="D421" s="1421"/>
      <c r="E421" s="1421"/>
      <c r="F421" s="1421"/>
      <c r="G421" s="1421"/>
      <c r="H421" s="1421">
        <f>IFERROR(Model!H421/Model!D421-1,"NA")</f>
        <v>4.705882352941182E-2</v>
      </c>
      <c r="I421" s="1421">
        <f>IFERROR(Model!I421/Model!E421-1,"NA")</f>
        <v>5.8479532163742576E-2</v>
      </c>
      <c r="J421" s="1421">
        <f>IFERROR(Model!J421/Model!F421-1,"NA")</f>
        <v>1.1627906976744207E-2</v>
      </c>
      <c r="K421" s="1421">
        <f>IFERROR(Model!K421/Model!G421-1,"NA")</f>
        <v>-1.6949152542372947E-2</v>
      </c>
      <c r="L421" s="1421">
        <f>IFERROR(Model!L421/Model!H421-1,"NA")</f>
        <v>-3.3707865168539408E-2</v>
      </c>
      <c r="M421" s="1421">
        <f>IFERROR(Model!M421/Model!I421-1,"NA")</f>
        <v>-5.5248618784530357E-2</v>
      </c>
      <c r="N421" s="1421">
        <f>IFERROR(Model!N421/Model!J421-1,"NA")</f>
        <v>-1.1494252873563204E-2</v>
      </c>
      <c r="O421" s="1421">
        <f>IFERROR(Model!O421/Model!K421-1,"NA")</f>
        <v>-5.7471264367814356E-3</v>
      </c>
      <c r="P421" s="1421">
        <f>IFERROR(Model!P421/Model!L421-1,"NA")</f>
        <v>5.8139534883721034E-3</v>
      </c>
      <c r="Q421" s="1421">
        <f>IFERROR(Model!Q421/Model!M421-1,"NA")</f>
        <v>1.1695906432748426E-2</v>
      </c>
      <c r="R421" s="1421">
        <f>IFERROR(Model!R421/Model!N421-1,"NA")</f>
        <v>-5.8139534883719923E-3</v>
      </c>
      <c r="S421" s="1421">
        <f>IFERROR(Model!S421/Model!O421-1,"NA")</f>
        <v>-2.3121387283237094E-2</v>
      </c>
      <c r="T421" s="1421">
        <f>IFERROR(Model!T421/Model!P421-1,"NA")</f>
        <v>-4.0462427745664664E-2</v>
      </c>
      <c r="U421" s="1421">
        <f>IFERROR(Model!U421/Model!Q421-1,"NA")</f>
        <v>-4.0462427745664664E-2</v>
      </c>
      <c r="V421" s="1421">
        <f>IFERROR(Model!V421/Model!R421-1,"NA")</f>
        <v>-4.0935672514620047E-2</v>
      </c>
      <c r="W421" s="1421">
        <f>IFERROR(Model!W421/Model!S421-1,"NA")</f>
        <v>-3.5502958579881505E-2</v>
      </c>
      <c r="X421" s="1421">
        <f>IFERROR(Model!X421/Model!T421-1,"NA")</f>
        <v>6.0240963855420215E-3</v>
      </c>
      <c r="Y421" s="1421">
        <f>IFERROR(Model!Y421/Model!U421-1,"NA")</f>
        <v>6.0240963855420215E-3</v>
      </c>
      <c r="Z421" s="1421">
        <f>IFERROR(Model!Z421/Model!V421-1,"NA")</f>
        <v>1.2195121951219745E-2</v>
      </c>
      <c r="AA421" s="1421">
        <f>IFERROR(Model!AA421/Model!W421-1,"NA")</f>
        <v>6.1349693251533388E-3</v>
      </c>
      <c r="AB421" s="1421">
        <f>IFERROR(Model!AB421/Model!X421-1,"NA")</f>
        <v>-2.9940119760479056E-2</v>
      </c>
      <c r="AC421" s="1284" t="str">
        <f>IFERROR(Model!AC421/Model!Y421-1,"NA")</f>
        <v>NA</v>
      </c>
      <c r="AD421" s="1284" t="str">
        <f>IFERROR(Model!AD421/Model!Z421-1,"NA")</f>
        <v>NA</v>
      </c>
      <c r="AE421" s="1284" t="str">
        <f>IFERROR(Model!AE421/Model!AA421-1,"NA")</f>
        <v>NA</v>
      </c>
      <c r="AF421" s="1284" t="str">
        <f>IFERROR(Model!AF421/Model!AB421-1,"NA")</f>
        <v>NA</v>
      </c>
      <c r="AG421" s="1284" t="str">
        <f>IFERROR(Model!AG421/Model!AC421-1,"NA")</f>
        <v>NA</v>
      </c>
      <c r="AH421" s="1284" t="str">
        <f>IFERROR(Model!AH421/Model!AD421-1,"NA")</f>
        <v>NA</v>
      </c>
      <c r="AI421" s="1284" t="str">
        <f>IFERROR(Model!AI421/Model!AE421-1,"NA")</f>
        <v>NA</v>
      </c>
      <c r="AJ421" s="1284"/>
      <c r="AK421" s="1284"/>
      <c r="AL421" s="1284"/>
      <c r="AM421" s="1284"/>
      <c r="AN421" s="1284"/>
      <c r="AO421" s="1284"/>
      <c r="AP421" s="1284"/>
      <c r="AQ421" s="1284"/>
      <c r="AR421" s="1236"/>
      <c r="AS421" s="1410"/>
      <c r="AT421" s="1284"/>
      <c r="AU421" s="1236"/>
      <c r="AV421" s="1236">
        <f>IFERROR(Model!AV421/Model!AU421-1,"NA")</f>
        <v>-1.6949152542372947E-2</v>
      </c>
      <c r="AW421" s="1236">
        <f>IFERROR(Model!AW421/Model!AV421-1,"NA")</f>
        <v>-5.7471264367814356E-3</v>
      </c>
      <c r="AX421" s="1236">
        <f>IFERROR(Model!AX421/Model!AW421-1,"NA")</f>
        <v>-2.3121387283237094E-2</v>
      </c>
      <c r="AY421" s="1236">
        <f>IFERROR(Model!AY421/Model!AX421-1,"NA")</f>
        <v>-3.5502958579881505E-2</v>
      </c>
      <c r="AZ421" s="1263" t="str">
        <f>IFERROR(Model!AZ421/Model!AY421-1,"NA")</f>
        <v>NA</v>
      </c>
      <c r="BA421" s="1263" t="str">
        <f>IFERROR(Model!BA421/Model!AZ421-1,"NA")</f>
        <v>NA</v>
      </c>
      <c r="BB421" s="1263" t="str">
        <f>IFERROR(Model!BB421/Model!BA421-1,"NA")</f>
        <v>NA</v>
      </c>
      <c r="BC421" s="1263" t="str">
        <f>IFERROR(Model!BC421/Model!BB421-1,"NA")</f>
        <v>NA</v>
      </c>
      <c r="BD421" s="1263" t="str">
        <f>IFERROR(Model!BD421/Model!BC421-1,"NA")</f>
        <v>NA</v>
      </c>
      <c r="BE421" s="1263" t="str">
        <f>IFERROR(Model!BE421/Model!BD421-1,"NA")</f>
        <v>NA</v>
      </c>
    </row>
    <row r="422" spans="1:74" s="369" customFormat="1" x14ac:dyDescent="0.2">
      <c r="A422" s="411"/>
      <c r="B422" s="334" t="s">
        <v>217</v>
      </c>
      <c r="C422" s="321"/>
      <c r="D422" s="1240"/>
      <c r="E422" s="1240"/>
      <c r="F422" s="1240"/>
      <c r="G422" s="1240"/>
      <c r="H422" s="1240">
        <f>IFERROR(Model!H422/Model!D422-1,"NA")</f>
        <v>4.8387096774193505E-2</v>
      </c>
      <c r="I422" s="1240">
        <f>IFERROR(Model!I422/Model!E422-1,"NA")</f>
        <v>7.5675675675675569E-2</v>
      </c>
      <c r="J422" s="1240">
        <f>IFERROR(Model!J422/Model!F422-1,"NA")</f>
        <v>1.0638297872340496E-2</v>
      </c>
      <c r="K422" s="1240">
        <f>IFERROR(Model!K422/Model!G422-1,"NA")</f>
        <v>-9.7087378640777766E-3</v>
      </c>
      <c r="L422" s="1240">
        <f>IFERROR(Model!L422/Model!H422-1,"NA")</f>
        <v>-3.5897435897435881E-2</v>
      </c>
      <c r="M422" s="1240">
        <f>IFERROR(Model!M422/Model!I422-1,"NA")</f>
        <v>5.0251256281408363E-3</v>
      </c>
      <c r="N422" s="1240">
        <f>IFERROR(Model!N422/Model!J422-1,"NA")</f>
        <v>6.315789473684208E-2</v>
      </c>
      <c r="O422" s="1240">
        <f>IFERROR(Model!O422/Model!K422-1,"NA")</f>
        <v>0</v>
      </c>
      <c r="P422" s="1240">
        <f>IFERROR(Model!P422/Model!L422-1,"NA")</f>
        <v>-1.0638297872340385E-2</v>
      </c>
      <c r="Q422" s="1240">
        <f>IFERROR(Model!Q422/Model!M422-1,"NA")</f>
        <v>-4.0000000000000036E-2</v>
      </c>
      <c r="R422" s="1240">
        <f>IFERROR(Model!R422/Model!N422-1,"NA")</f>
        <v>-9.9009900990098987E-2</v>
      </c>
      <c r="S422" s="1240">
        <f>IFERROR(Model!S422/Model!O422-1,"NA")</f>
        <v>-5.39215686274509E-2</v>
      </c>
      <c r="T422" s="1240">
        <f>IFERROR(Model!T422/Model!P422-1,"NA")</f>
        <v>-2.6881720430107503E-2</v>
      </c>
      <c r="U422" s="1240">
        <f>IFERROR(Model!U422/Model!Q422-1,"NA")</f>
        <v>-2.604166666666663E-2</v>
      </c>
      <c r="V422" s="1240">
        <f>IFERROR(Model!V422/Model!R422-1,"NA")</f>
        <v>2.7472527472527375E-2</v>
      </c>
      <c r="W422" s="1240">
        <f>IFERROR(Model!W422/Model!S422-1,"NA")</f>
        <v>5.1813471502588637E-3</v>
      </c>
      <c r="X422" s="1240">
        <f>IFERROR(Model!X422/Model!T422-1,"NA")</f>
        <v>6.0773480662983381E-2</v>
      </c>
      <c r="Y422" s="1240">
        <f>IFERROR(Model!Y422/Model!U422-1,"NA")</f>
        <v>7.4866310160427885E-2</v>
      </c>
      <c r="Z422" s="1240">
        <f>IFERROR(Model!Z422/Model!V422-1,"NA")</f>
        <v>8.5561497326203328E-2</v>
      </c>
      <c r="AA422" s="1240">
        <f>IFERROR(Model!AA422/Model!W422-1,"NA")</f>
        <v>0.12886597938144329</v>
      </c>
      <c r="AB422" s="1240">
        <f>IFERROR(Model!AB422/Model!X422-1,"NA")</f>
        <v>0.11979166666666674</v>
      </c>
      <c r="AC422" s="1381">
        <f>IFERROR(Model!AC422/Model!Y422-1,"NA")</f>
        <v>0.10000000000000009</v>
      </c>
      <c r="AD422" s="1381">
        <f>IFERROR(Model!AD422/Model!Z422-1,"NA")</f>
        <v>9.000000000000008E-2</v>
      </c>
      <c r="AE422" s="1381">
        <f>IFERROR(Model!AE422/Model!AA422-1,"NA")</f>
        <v>8.0000000000000071E-2</v>
      </c>
      <c r="AF422" s="1381">
        <f>IFERROR(Model!AF422/Model!AB422-1,"NA")</f>
        <v>7.0000000000000062E-2</v>
      </c>
      <c r="AG422" s="1381">
        <f>IFERROR(Model!AG422/Model!AC422-1,"NA")</f>
        <v>6.0000000000000053E-2</v>
      </c>
      <c r="AH422" s="1381">
        <f>IFERROR(Model!AH422/Model!AD422-1,"NA")</f>
        <v>6.0000000000000053E-2</v>
      </c>
      <c r="AI422" s="1381">
        <f>IFERROR(Model!AI422/Model!AE422-1,"NA")</f>
        <v>6.0000000000000053E-2</v>
      </c>
      <c r="AJ422" s="1381"/>
      <c r="AK422" s="1381"/>
      <c r="AL422" s="1381"/>
      <c r="AM422" s="1381"/>
      <c r="AN422" s="1381"/>
      <c r="AO422" s="1381"/>
      <c r="AP422" s="1381"/>
      <c r="AQ422" s="1381"/>
      <c r="AR422" s="1236"/>
      <c r="AS422" s="1410"/>
      <c r="AT422" s="1284"/>
      <c r="AU422" s="1236"/>
      <c r="AV422" s="1236">
        <f>IFERROR(Model!AV422/Model!AU422-1,"NA")</f>
        <v>3.0065359477124076E-2</v>
      </c>
      <c r="AW422" s="1236">
        <f>IFERROR(Model!AW422/Model!AV422-1,"NA")</f>
        <v>7.6142131979697325E-3</v>
      </c>
      <c r="AX422" s="1236">
        <f>IFERROR(Model!AX422/Model!AW422-1,"NA")</f>
        <v>-5.1637279596977392E-2</v>
      </c>
      <c r="AY422" s="1236">
        <f>IFERROR(Model!AY422/Model!AX422-1,"NA")</f>
        <v>-5.312084993359778E-3</v>
      </c>
      <c r="AZ422" s="1263">
        <f>IFERROR(Model!AZ422/Model!AY422-1,"NA")</f>
        <v>8.8117489986648811E-2</v>
      </c>
      <c r="BA422" s="1263">
        <f>IFERROR(Model!BA422/Model!AZ422-1,"NA")</f>
        <v>9.6797546012269864E-2</v>
      </c>
      <c r="BB422" s="1381">
        <f>IFERROR(Model!BB422/Model!BA422-1,"NA")</f>
        <v>6.2405217644229349E-2</v>
      </c>
      <c r="BC422" s="1381">
        <f>IFERROR(Model!BC422/Model!BB422-1,"NA")</f>
        <v>6.0000000000000053E-2</v>
      </c>
      <c r="BD422" s="1381">
        <f>IFERROR(Model!BD422/Model!BC422-1,"NA")</f>
        <v>6.0000000000000053E-2</v>
      </c>
      <c r="BE422" s="1381">
        <f>IFERROR(Model!BE422/Model!BD422-1,"NA")</f>
        <v>6.0000000000000053E-2</v>
      </c>
    </row>
    <row r="423" spans="1:74" s="369" customFormat="1" x14ac:dyDescent="0.2">
      <c r="A423" s="411"/>
      <c r="B423" s="321"/>
      <c r="C423" s="334"/>
      <c r="D423" s="1311"/>
      <c r="E423" s="1311"/>
      <c r="F423" s="1311"/>
      <c r="G423" s="1311"/>
      <c r="H423" s="1311"/>
      <c r="I423" s="1311"/>
      <c r="J423" s="1311"/>
      <c r="K423" s="1311"/>
      <c r="L423" s="1311"/>
      <c r="M423" s="1311"/>
      <c r="N423" s="1311"/>
      <c r="O423" s="1311"/>
      <c r="P423" s="1311"/>
      <c r="Q423" s="1311"/>
      <c r="R423" s="1311"/>
      <c r="S423" s="1311"/>
      <c r="T423" s="1311"/>
      <c r="U423" s="1311"/>
      <c r="V423" s="1311"/>
      <c r="W423" s="1311"/>
      <c r="X423" s="1311"/>
      <c r="Y423" s="1311"/>
      <c r="Z423" s="1311"/>
      <c r="AA423" s="1311"/>
      <c r="AB423" s="1311"/>
      <c r="AC423" s="1284"/>
      <c r="AD423" s="1284"/>
      <c r="AE423" s="1284"/>
      <c r="AF423" s="1284"/>
      <c r="AG423" s="1284"/>
      <c r="AH423" s="1284"/>
      <c r="AI423" s="1284"/>
      <c r="AJ423" s="1284"/>
      <c r="AK423" s="1284"/>
      <c r="AL423" s="1284"/>
      <c r="AM423" s="1284"/>
      <c r="AN423" s="1284"/>
      <c r="AO423" s="1284"/>
      <c r="AP423" s="1284"/>
      <c r="AQ423" s="1284"/>
      <c r="AR423" s="1236"/>
      <c r="AS423" s="1284"/>
      <c r="AT423" s="1410"/>
      <c r="AU423" s="1263"/>
      <c r="AV423" s="1263"/>
      <c r="AW423" s="1263"/>
      <c r="AX423" s="1263"/>
      <c r="AY423" s="1263"/>
      <c r="AZ423" s="1263"/>
      <c r="BA423" s="1263"/>
      <c r="BB423" s="1263"/>
      <c r="BC423" s="1263"/>
      <c r="BD423" s="1263"/>
      <c r="BE423" s="1263"/>
    </row>
    <row r="424" spans="1:74" x14ac:dyDescent="0.2">
      <c r="B424" s="337" t="s">
        <v>510</v>
      </c>
      <c r="C424" s="12"/>
      <c r="D424" s="1398"/>
      <c r="E424" s="1398"/>
      <c r="F424" s="1398"/>
      <c r="G424" s="1398"/>
      <c r="H424" s="1398"/>
      <c r="I424" s="1398"/>
      <c r="J424" s="1398"/>
      <c r="K424" s="1398"/>
      <c r="L424" s="1398"/>
      <c r="M424" s="1398"/>
      <c r="N424" s="1398"/>
      <c r="O424" s="1398"/>
      <c r="P424" s="1398"/>
      <c r="Q424" s="1398"/>
      <c r="R424" s="1398"/>
      <c r="S424" s="1398"/>
      <c r="T424" s="1398"/>
      <c r="U424" s="1398"/>
      <c r="V424" s="1398"/>
      <c r="W424" s="1398"/>
      <c r="X424" s="1398"/>
      <c r="Y424" s="1398"/>
      <c r="Z424" s="1398"/>
      <c r="AA424" s="1398"/>
      <c r="AB424" s="1398"/>
      <c r="AC424" s="1398"/>
      <c r="AD424" s="1398"/>
      <c r="AE424" s="1398"/>
      <c r="AF424" s="1398"/>
      <c r="AG424" s="1398"/>
      <c r="AH424" s="1398"/>
      <c r="AI424" s="1398"/>
      <c r="AJ424" s="1398"/>
      <c r="AK424" s="1398"/>
      <c r="AL424" s="1398"/>
      <c r="AM424" s="1398"/>
      <c r="AN424" s="1398"/>
      <c r="AO424" s="1398"/>
      <c r="AP424" s="1398"/>
      <c r="AQ424" s="1398"/>
      <c r="AR424" s="1236"/>
      <c r="AS424" s="1418"/>
      <c r="AT424" s="1398"/>
      <c r="AU424" s="1398"/>
      <c r="AV424" s="1398"/>
      <c r="AW424" s="1398"/>
      <c r="AX424" s="1398"/>
      <c r="AY424" s="1398"/>
      <c r="AZ424" s="1398"/>
      <c r="BA424" s="1398"/>
      <c r="BB424" s="1398"/>
      <c r="BC424" s="1398"/>
      <c r="BD424" s="1398"/>
      <c r="BE424" s="1398"/>
    </row>
    <row r="425" spans="1:74" s="369" customFormat="1" x14ac:dyDescent="0.2">
      <c r="A425" s="411"/>
      <c r="B425" s="334" t="s">
        <v>223</v>
      </c>
      <c r="C425" s="321"/>
      <c r="D425" s="1311"/>
      <c r="E425" s="1311"/>
      <c r="F425" s="1311"/>
      <c r="G425" s="1311"/>
      <c r="H425" s="1311">
        <f>IFERROR(Model!H425/Model!D425-1,"NA")</f>
        <v>-3.0911901081916993E-3</v>
      </c>
      <c r="I425" s="1311">
        <f>IFERROR(Model!I425/Model!E425-1,"NA")</f>
        <v>2.8400597907324299E-2</v>
      </c>
      <c r="J425" s="1311">
        <f>IFERROR(Model!J425/Model!F425-1,"NA")</f>
        <v>3.0581039755350758E-3</v>
      </c>
      <c r="K425" s="1311">
        <f>IFERROR(Model!K425/Model!G425-1,"NA")</f>
        <v>-2.0437956204379604E-2</v>
      </c>
      <c r="L425" s="1311">
        <f>IFERROR(Model!L425/Model!H425-1,"NA")</f>
        <v>-2.0155038759689936E-2</v>
      </c>
      <c r="M425" s="1311">
        <f>IFERROR(Model!M425/Model!I425-1,"NA")</f>
        <v>-4.7965116279069742E-2</v>
      </c>
      <c r="N425" s="1311">
        <f>IFERROR(Model!N425/Model!J425-1,"NA")</f>
        <v>6.0975609756097615E-3</v>
      </c>
      <c r="O425" s="1311">
        <f>IFERROR(Model!O425/Model!K425-1,"NA")</f>
        <v>-0.10730253353204178</v>
      </c>
      <c r="P425" s="1311">
        <f>IFERROR(Model!P425/Model!L425-1,"NA")</f>
        <v>-0.12183544303797467</v>
      </c>
      <c r="Q425" s="1311">
        <f>IFERROR(Model!Q425/Model!M425-1,"NA")</f>
        <v>-0.12824427480916034</v>
      </c>
      <c r="R425" s="1311">
        <f>IFERROR(Model!R425/Model!N425-1,"NA")</f>
        <v>-0.19696969696969702</v>
      </c>
      <c r="S425" s="1311">
        <f>IFERROR(Model!S425/Model!O425-1,"NA")</f>
        <v>-8.6811352253756247E-2</v>
      </c>
      <c r="T425" s="1240">
        <f>IFERROR(Model!T425/Model!P425-1,"NA")</f>
        <v>-7.0270270270270219E-2</v>
      </c>
      <c r="U425" s="1240">
        <f>IFERROR(Model!U425/Model!Q425-1,"NA")</f>
        <v>-2.9772329246935181E-2</v>
      </c>
      <c r="V425" s="1240">
        <f>IFERROR(Model!V425/Model!R425-1,"NA")</f>
        <v>7.547169811320753E-2</v>
      </c>
      <c r="W425" s="1240">
        <f>IFERROR(Model!W425/Model!S425-1,"NA")</f>
        <v>2.5594149908592323E-2</v>
      </c>
      <c r="X425" s="1240">
        <f>IFERROR(Model!X425/Model!T425-1,"NA")</f>
        <v>0.10077519379844957</v>
      </c>
      <c r="Y425" s="1240">
        <f>IFERROR(Model!Y425/Model!U425-1,"NA")</f>
        <v>0.11913357400722013</v>
      </c>
      <c r="Z425" s="1240">
        <f>IFERROR(Model!Z425/Model!V425-1,"NA")</f>
        <v>8.9473684210526372E-2</v>
      </c>
      <c r="AA425" s="1240">
        <f>IFERROR(Model!AA425/Model!W425-1,"NA")</f>
        <v>0.19073083778966127</v>
      </c>
      <c r="AB425" s="1240">
        <f>IFERROR(Model!AB425/Model!X425-1,"NA")</f>
        <v>0.102112676056338</v>
      </c>
      <c r="AC425" s="1284">
        <f>IFERROR(Model!AC425/Model!Y425-1,"NA")</f>
        <v>-1</v>
      </c>
      <c r="AD425" s="1284">
        <f>IFERROR(Model!AD425/Model!Z425-1,"NA")</f>
        <v>-1</v>
      </c>
      <c r="AE425" s="1284">
        <f>IFERROR(Model!AE425/Model!AA425-1,"NA")</f>
        <v>-1</v>
      </c>
      <c r="AF425" s="1284">
        <f>IFERROR(Model!AF425/Model!AB425-1,"NA")</f>
        <v>-1</v>
      </c>
      <c r="AG425" s="1284" t="str">
        <f>IFERROR(Model!AG425/Model!AC425-1,"NA")</f>
        <v>NA</v>
      </c>
      <c r="AH425" s="1284" t="str">
        <f>IFERROR(Model!AH425/Model!AD425-1,"NA")</f>
        <v>NA</v>
      </c>
      <c r="AI425" s="1284" t="str">
        <f>IFERROR(Model!AI425/Model!AE425-1,"NA")</f>
        <v>NA</v>
      </c>
      <c r="AJ425" s="1284"/>
      <c r="AK425" s="1284"/>
      <c r="AL425" s="1284"/>
      <c r="AM425" s="1284"/>
      <c r="AN425" s="1284"/>
      <c r="AO425" s="1284"/>
      <c r="AP425" s="1284"/>
      <c r="AQ425" s="1284"/>
      <c r="AR425" s="1236"/>
      <c r="AS425" s="1410"/>
      <c r="AT425" s="1284"/>
      <c r="AU425" s="1236"/>
      <c r="AV425" s="1236">
        <f>IFERROR(Model!AV425/Model!AU425-1,"NA")</f>
        <v>1.8832391713747842E-3</v>
      </c>
      <c r="AW425" s="1236">
        <f>IFERROR(Model!AW425/Model!AV425-1,"NA")</f>
        <v>-4.2857142857142816E-2</v>
      </c>
      <c r="AX425" s="1236">
        <f>IFERROR(Model!AX425/Model!AW425-1,"NA")</f>
        <v>-0.13472113118617435</v>
      </c>
      <c r="AY425" s="1236">
        <f>IFERROR(Model!AY425/Model!AX425-1,"NA")</f>
        <v>-9.0785292782569194E-4</v>
      </c>
      <c r="AZ425" s="1263" t="str">
        <f>IFERROR(Model!AZ425/Model!AY425-1,"NA")</f>
        <v>NA</v>
      </c>
      <c r="BA425" s="1263" t="str">
        <f>IFERROR(Model!BA425/Model!AZ425-1,"NA")</f>
        <v>NA</v>
      </c>
      <c r="BB425" s="1263" t="str">
        <f>IFERROR(Model!BB425/Model!BA425-1,"NA")</f>
        <v>NA</v>
      </c>
      <c r="BC425" s="1263" t="str">
        <f>IFERROR(Model!BC425/Model!BB425-1,"NA")</f>
        <v>NA</v>
      </c>
      <c r="BD425" s="1263" t="str">
        <f>IFERROR(Model!BD425/Model!BC425-1,"NA")</f>
        <v>NA</v>
      </c>
      <c r="BE425" s="1263" t="str">
        <f>IFERROR(Model!BE425/Model!BD425-1,"NA")</f>
        <v>NA</v>
      </c>
    </row>
    <row r="426" spans="1:74" s="369" customFormat="1" x14ac:dyDescent="0.2">
      <c r="A426" s="411"/>
      <c r="B426" s="334"/>
      <c r="C426" s="334" t="s">
        <v>53</v>
      </c>
      <c r="D426" s="1262"/>
      <c r="E426" s="1262"/>
      <c r="F426" s="1262"/>
      <c r="G426" s="1262"/>
      <c r="H426" s="1262"/>
      <c r="I426" s="1262"/>
      <c r="J426" s="1262"/>
      <c r="K426" s="1262"/>
      <c r="L426" s="1262"/>
      <c r="M426" s="1262"/>
      <c r="N426" s="1262"/>
      <c r="O426" s="1262"/>
      <c r="P426" s="1262"/>
      <c r="Q426" s="1262"/>
      <c r="R426" s="1262"/>
      <c r="S426" s="1262"/>
      <c r="T426" s="1427"/>
      <c r="U426" s="1427"/>
      <c r="V426" s="1427"/>
      <c r="W426" s="1427"/>
      <c r="X426" s="1427"/>
      <c r="Y426" s="1427"/>
      <c r="Z426" s="1427"/>
      <c r="AA426" s="1427"/>
      <c r="AB426" s="1427"/>
      <c r="AC426" s="1284"/>
      <c r="AD426" s="1284"/>
      <c r="AE426" s="1284"/>
      <c r="AF426" s="1284"/>
      <c r="AG426" s="1284"/>
      <c r="AH426" s="1284"/>
      <c r="AI426" s="1284"/>
      <c r="AJ426" s="1284"/>
      <c r="AK426" s="1284"/>
      <c r="AL426" s="1284"/>
      <c r="AM426" s="1284"/>
      <c r="AN426" s="1284"/>
      <c r="AO426" s="1284"/>
      <c r="AP426" s="1284"/>
      <c r="AQ426" s="1284"/>
      <c r="AR426" s="1236"/>
      <c r="AS426" s="1410"/>
      <c r="AT426" s="1410"/>
      <c r="AU426" s="1274"/>
      <c r="AV426" s="1274"/>
      <c r="AW426" s="1274"/>
      <c r="AX426" s="1274"/>
      <c r="AY426" s="1274"/>
      <c r="AZ426" s="1263"/>
      <c r="BA426" s="1263"/>
      <c r="BB426" s="1263"/>
      <c r="BC426" s="1263"/>
      <c r="BD426" s="1263"/>
      <c r="BE426" s="1263"/>
    </row>
    <row r="427" spans="1:74" s="369" customFormat="1" x14ac:dyDescent="0.2">
      <c r="A427" s="411"/>
      <c r="B427" s="321"/>
      <c r="C427" s="334"/>
      <c r="D427" s="1311"/>
      <c r="E427" s="1311"/>
      <c r="F427" s="1311"/>
      <c r="G427" s="1311"/>
      <c r="H427" s="1311"/>
      <c r="I427" s="1311"/>
      <c r="J427" s="1311"/>
      <c r="K427" s="1311"/>
      <c r="L427" s="1311"/>
      <c r="M427" s="1311"/>
      <c r="N427" s="1311"/>
      <c r="O427" s="1311"/>
      <c r="P427" s="1311"/>
      <c r="Q427" s="1311"/>
      <c r="R427" s="1311"/>
      <c r="S427" s="1311"/>
      <c r="T427" s="1311"/>
      <c r="U427" s="1311"/>
      <c r="V427" s="1311"/>
      <c r="W427" s="1311"/>
      <c r="X427" s="1284"/>
      <c r="Y427" s="1284"/>
      <c r="Z427" s="1284"/>
      <c r="AA427" s="1284"/>
      <c r="AB427" s="1284"/>
      <c r="AC427" s="1284"/>
      <c r="AD427" s="1284"/>
      <c r="AE427" s="1284"/>
      <c r="AF427" s="1284"/>
      <c r="AG427" s="1284"/>
      <c r="AH427" s="1284"/>
      <c r="AI427" s="1284"/>
      <c r="AJ427" s="1284"/>
      <c r="AK427" s="1284"/>
      <c r="AL427" s="1284"/>
      <c r="AM427" s="1284"/>
      <c r="AN427" s="1284"/>
      <c r="AO427" s="1284"/>
      <c r="AP427" s="1284"/>
      <c r="AQ427" s="1284"/>
      <c r="AR427" s="1236"/>
      <c r="AS427" s="1284"/>
      <c r="AT427" s="1410"/>
      <c r="AU427" s="1263"/>
      <c r="AV427" s="1263"/>
      <c r="AW427" s="1263"/>
      <c r="AX427" s="1263"/>
      <c r="AY427" s="1263"/>
      <c r="AZ427" s="1263"/>
      <c r="BA427" s="1263"/>
      <c r="BB427" s="1263"/>
      <c r="BC427" s="1263"/>
      <c r="BD427" s="1263"/>
      <c r="BE427" s="1263"/>
    </row>
    <row r="428" spans="1:74" s="369" customFormat="1" x14ac:dyDescent="0.2">
      <c r="A428" s="411"/>
      <c r="B428" s="321"/>
      <c r="C428" s="334"/>
      <c r="D428" s="1311"/>
      <c r="E428" s="1311"/>
      <c r="F428" s="1311"/>
      <c r="G428" s="1311"/>
      <c r="H428" s="1311"/>
      <c r="I428" s="1311"/>
      <c r="J428" s="1311"/>
      <c r="K428" s="1311"/>
      <c r="L428" s="1311"/>
      <c r="M428" s="1311"/>
      <c r="N428" s="1311"/>
      <c r="O428" s="1311"/>
      <c r="P428" s="1311"/>
      <c r="Q428" s="1311"/>
      <c r="R428" s="1311"/>
      <c r="S428" s="1311"/>
      <c r="T428" s="1311"/>
      <c r="U428" s="1311"/>
      <c r="V428" s="1311"/>
      <c r="W428" s="1311"/>
      <c r="X428" s="1284"/>
      <c r="Y428" s="1284"/>
      <c r="Z428" s="1284"/>
      <c r="AA428" s="1284"/>
      <c r="AB428" s="1284"/>
      <c r="AC428" s="1284"/>
      <c r="AD428" s="1284"/>
      <c r="AE428" s="1284"/>
      <c r="AF428" s="1284"/>
      <c r="AG428" s="1284"/>
      <c r="AH428" s="1284"/>
      <c r="AI428" s="1284"/>
      <c r="AJ428" s="1284"/>
      <c r="AK428" s="1284"/>
      <c r="AL428" s="1284"/>
      <c r="AM428" s="1284"/>
      <c r="AN428" s="1284"/>
      <c r="AO428" s="1284"/>
      <c r="AP428" s="1284"/>
      <c r="AQ428" s="1284"/>
      <c r="AR428" s="1236"/>
      <c r="AS428" s="1284"/>
      <c r="AT428" s="1410"/>
      <c r="AU428" s="1263"/>
      <c r="AV428" s="1263"/>
      <c r="AW428" s="1263"/>
      <c r="AX428" s="1263"/>
      <c r="AY428" s="1263"/>
      <c r="AZ428" s="1263"/>
      <c r="BA428" s="1263"/>
      <c r="BB428" s="1263"/>
      <c r="BC428" s="1263"/>
      <c r="BD428" s="1263"/>
      <c r="BE428" s="1263"/>
    </row>
    <row r="429" spans="1:74" x14ac:dyDescent="0.2">
      <c r="A429" s="411" t="s">
        <v>194</v>
      </c>
      <c r="B429" s="1155" t="s">
        <v>180</v>
      </c>
      <c r="C429" s="1155"/>
      <c r="D429" s="1445"/>
      <c r="E429" s="1445"/>
      <c r="F429" s="1445"/>
      <c r="G429" s="1445"/>
      <c r="H429" s="1445"/>
      <c r="I429" s="1445"/>
      <c r="J429" s="1445"/>
      <c r="K429" s="1445"/>
      <c r="L429" s="1445"/>
      <c r="M429" s="1445"/>
      <c r="N429" s="1445"/>
      <c r="O429" s="1445"/>
      <c r="P429" s="1445"/>
      <c r="Q429" s="1445"/>
      <c r="R429" s="1445"/>
      <c r="S429" s="1445"/>
      <c r="T429" s="1445"/>
      <c r="U429" s="1445"/>
      <c r="V429" s="1445"/>
      <c r="W429" s="1445"/>
      <c r="X429" s="1445"/>
      <c r="Y429" s="1445"/>
      <c r="Z429" s="1445"/>
      <c r="AA429" s="1445"/>
      <c r="AB429" s="1445"/>
      <c r="AC429" s="1445"/>
      <c r="AD429" s="1445"/>
      <c r="AE429" s="1445"/>
      <c r="AF429" s="1445"/>
      <c r="AG429" s="1445"/>
      <c r="AH429" s="1445"/>
      <c r="AI429" s="1445"/>
      <c r="AJ429" s="1445"/>
      <c r="AK429" s="1445"/>
      <c r="AL429" s="1445"/>
      <c r="AM429" s="1445"/>
      <c r="AN429" s="1445"/>
      <c r="AO429" s="1445"/>
      <c r="AP429" s="1445"/>
      <c r="AQ429" s="1445"/>
      <c r="AR429" s="1236"/>
      <c r="AS429" s="1446"/>
      <c r="AT429" s="1446"/>
      <c r="AU429" s="1445"/>
      <c r="AV429" s="1445"/>
      <c r="AW429" s="1445"/>
      <c r="AX429" s="1445"/>
      <c r="AY429" s="1445"/>
      <c r="AZ429" s="1445"/>
      <c r="BA429" s="1445"/>
      <c r="BB429" s="1445"/>
      <c r="BC429" s="1445"/>
      <c r="BD429" s="1445"/>
      <c r="BE429" s="1445"/>
      <c r="BF429" s="15"/>
      <c r="BG429" s="15"/>
      <c r="BH429" s="15"/>
      <c r="BI429" s="15"/>
      <c r="BJ429" s="15"/>
      <c r="BK429" s="15"/>
      <c r="BL429" s="15"/>
      <c r="BM429" s="15"/>
      <c r="BN429" s="15"/>
      <c r="BO429" s="15"/>
      <c r="BP429" s="15"/>
      <c r="BQ429" s="15"/>
      <c r="BR429" s="15"/>
      <c r="BS429" s="15"/>
      <c r="BT429" s="15"/>
      <c r="BU429" s="15"/>
      <c r="BV429" s="15"/>
    </row>
    <row r="430" spans="1:74" x14ac:dyDescent="0.2">
      <c r="B430" s="315" t="s">
        <v>642</v>
      </c>
      <c r="C430" s="16"/>
      <c r="D430" s="1250"/>
      <c r="E430" s="1250"/>
      <c r="F430" s="1250"/>
      <c r="G430" s="1250"/>
      <c r="H430" s="1250">
        <f>IFERROR(Model!H430/Model!D430-1,"NA")</f>
        <v>-1.8703241895261846E-2</v>
      </c>
      <c r="I430" s="1250">
        <f>IFERROR(Model!I430/Model!E430-1,"NA")</f>
        <v>-1.653944020356235E-2</v>
      </c>
      <c r="J430" s="1250">
        <f>IFERROR(Model!J430/Model!F430-1,"NA")</f>
        <v>-5.7732827644332074E-2</v>
      </c>
      <c r="K430" s="1250">
        <f>IFERROR(Model!K430/Model!G430-1,"NA")</f>
        <v>-7.196339434276211E-2</v>
      </c>
      <c r="L430" s="1250">
        <f>IFERROR(Model!L430/Model!H430-1,"NA")</f>
        <v>-8.7251164760694611E-2</v>
      </c>
      <c r="M430" s="1250">
        <f>IFERROR(Model!M430/Model!I430-1,"NA")</f>
        <v>-3.1047865459249646E-2</v>
      </c>
      <c r="N430" s="1250">
        <f>IFERROR(Model!N430/Model!J430-1,"NA")</f>
        <v>2.8622540250447193E-2</v>
      </c>
      <c r="O430" s="1250">
        <f>IFERROR(Model!O430/Model!K430-1,"NA")</f>
        <v>2.6445540116539767E-2</v>
      </c>
      <c r="P430" s="1250">
        <f>IFERROR(Model!P430/Model!L430-1,"NA")</f>
        <v>-2.0881670533642649E-2</v>
      </c>
      <c r="Q430" s="1250">
        <f>IFERROR(Model!Q430/Model!M430-1,"NA")</f>
        <v>-3.5603026257231885E-2</v>
      </c>
      <c r="R430" s="1250">
        <f>IFERROR(Model!R430/Model!N430-1,"NA")</f>
        <v>-6.5217391304347783E-2</v>
      </c>
      <c r="S430" s="1250">
        <f>IFERROR(Model!S430/Model!O430-1,"NA")</f>
        <v>-5.5021834061135366E-2</v>
      </c>
      <c r="T430" s="1250">
        <f>IFERROR(Model!T430/Model!P430-1,"NA")</f>
        <v>2.6066350710900466E-2</v>
      </c>
      <c r="U430" s="1250">
        <f>IFERROR(Model!U430/Model!Q430-1,"NA")</f>
        <v>-5.5376095985233409E-3</v>
      </c>
      <c r="V430" s="1250">
        <f>IFERROR(Model!V430/Model!R430-1,"NA")</f>
        <v>1.9069767441860508E-2</v>
      </c>
      <c r="W430" s="1250">
        <f>IFERROR(Model!W430/Model!S430-1,"NA")</f>
        <v>-1.6173752310536083E-2</v>
      </c>
      <c r="X430" s="1250">
        <f>IFERROR(Model!X430/Model!T430-1,"NA")</f>
        <v>-6.0046189376443682E-3</v>
      </c>
      <c r="Y430" s="1250">
        <f>IFERROR(Model!Y430/Model!U430-1,"NA")</f>
        <v>6.0324825986078912E-2</v>
      </c>
      <c r="Z430" s="1250">
        <f>IFERROR(Model!Z430/Model!V430-1,"NA")</f>
        <v>8.7631218621633922E-2</v>
      </c>
      <c r="AA430" s="1250">
        <f>IFERROR(Model!AA430/Model!W430-1,"NA")</f>
        <v>0.1103804603100047</v>
      </c>
      <c r="AB430" s="1250">
        <f>IFERROR(Model!AB430/Model!X430-1,"NA")</f>
        <v>9.8977695167286273E-2</v>
      </c>
      <c r="AC430" s="1250">
        <f>IFERROR(Model!AC430/Model!Y430-1,"NA")</f>
        <v>3.7219140193639033E-2</v>
      </c>
      <c r="AD430" s="1250">
        <f>IFERROR(Model!AD430/Model!Z430-1,"NA")</f>
        <v>2.3474736980552802E-2</v>
      </c>
      <c r="AE430" s="1250">
        <f>IFERROR(Model!AE430/Model!AA430-1,"NA")</f>
        <v>5.1511604411097922E-2</v>
      </c>
      <c r="AF430" s="1250">
        <f>IFERROR(Model!AF430/Model!AB430-1,"NA")</f>
        <v>3.2342648001075336E-2</v>
      </c>
      <c r="AG430" s="1250">
        <f>IFERROR(Model!AG430/Model!AC430-1,"NA")</f>
        <v>5.6301693318269619E-2</v>
      </c>
      <c r="AH430" s="1250">
        <f>IFERROR(Model!AH430/Model!AD430-1,"NA")</f>
        <v>5.2246443298304301E-2</v>
      </c>
      <c r="AI430" s="1250">
        <f>IFERROR(Model!AI430/Model!AE430-1,"NA")</f>
        <v>5.0664922565162973E-2</v>
      </c>
      <c r="AJ430" s="1250"/>
      <c r="AK430" s="1250"/>
      <c r="AL430" s="1250"/>
      <c r="AM430" s="1250"/>
      <c r="AN430" s="1250"/>
      <c r="AO430" s="1250"/>
      <c r="AP430" s="1250"/>
      <c r="AQ430" s="1250"/>
      <c r="AR430" s="1236"/>
      <c r="AS430" s="1372"/>
      <c r="AT430" s="1371"/>
      <c r="AU430" s="1236"/>
      <c r="AV430" s="1236">
        <f>IFERROR(Model!AV430/Model!AU430-1,"NA")</f>
        <v>-4.1295461691646551E-2</v>
      </c>
      <c r="AW430" s="1236">
        <f>IFERROR(Model!AW430/Model!AV430-1,"NA")</f>
        <v>-1.6945446594511915E-2</v>
      </c>
      <c r="AX430" s="1236">
        <f>IFERROR(Model!AX430/Model!AW430-1,"NA")</f>
        <v>-4.4595195729537407E-2</v>
      </c>
      <c r="AY430" s="1236">
        <f>IFERROR(Model!AY430/Model!AX430-1,"NA")</f>
        <v>5.7036433476893578E-3</v>
      </c>
      <c r="AZ430" s="1263">
        <f>IFERROR(Model!AZ430/Model!AY430-1,"NA")</f>
        <v>6.2962962962962887E-2</v>
      </c>
      <c r="BA430" s="1263">
        <f>IFERROR(Model!BA430/Model!AZ430-1,"NA")</f>
        <v>5.1803077786907403E-2</v>
      </c>
      <c r="BB430" s="1250">
        <f>IFERROR(Model!BB430/Model!BA430-1,"NA")</f>
        <v>4.796138317560783E-2</v>
      </c>
      <c r="BC430" s="1250">
        <f>IFERROR(Model!BC430/Model!BB430-1,"NA")</f>
        <v>4.1489039561289243E-2</v>
      </c>
      <c r="BD430" s="1250">
        <f>IFERROR(Model!BD430/Model!BC430-1,"NA")</f>
        <v>4.5836043855082886E-2</v>
      </c>
      <c r="BE430" s="1250">
        <f>IFERROR(Model!BE430/Model!BD430-1,"NA")</f>
        <v>4.8799490510184507E-2</v>
      </c>
    </row>
    <row r="431" spans="1:74" x14ac:dyDescent="0.2">
      <c r="B431" s="375" t="s">
        <v>206</v>
      </c>
      <c r="C431" s="25"/>
      <c r="D431" s="1307"/>
      <c r="E431" s="1307"/>
      <c r="F431" s="1307"/>
      <c r="G431" s="1307"/>
      <c r="H431" s="1307">
        <f>IFERROR(Model!H431/Model!D431-1,"NA")</f>
        <v>3.0089628681178038E-2</v>
      </c>
      <c r="I431" s="1307">
        <f>IFERROR(Model!I431/Model!E431-1,"NA")</f>
        <v>9.539473684210531E-2</v>
      </c>
      <c r="J431" s="1307">
        <f>IFERROR(Model!J431/Model!F431-1,"NA")</f>
        <v>-0.3156966490299824</v>
      </c>
      <c r="K431" s="1307">
        <f>IFERROR(Model!K431/Model!G431-1,"NA")</f>
        <v>-0.27441285537700866</v>
      </c>
      <c r="L431" s="1307">
        <f>IFERROR(Model!L431/Model!H431-1,"NA")</f>
        <v>-0.18520820385332504</v>
      </c>
      <c r="M431" s="1307">
        <f>IFERROR(Model!M431/Model!I431-1,"NA")</f>
        <v>-0.2198198198198198</v>
      </c>
      <c r="N431" s="1307">
        <f>IFERROR(Model!N431/Model!J431-1,"NA")</f>
        <v>0.15893470790378017</v>
      </c>
      <c r="O431" s="1307">
        <f>IFERROR(Model!O431/Model!K431-1,"NA")</f>
        <v>0.141396933560477</v>
      </c>
      <c r="P431" s="1307">
        <f>IFERROR(Model!P431/Model!L431-1,"NA")</f>
        <v>4.7292143401983289E-2</v>
      </c>
      <c r="Q431" s="1307">
        <f>IFERROR(Model!Q431/Model!M431-1,"NA")</f>
        <v>1.3086989992301845E-2</v>
      </c>
      <c r="R431" s="1307">
        <f>IFERROR(Model!R431/Model!N431-1,"NA")</f>
        <v>-2.8169014084507005E-2</v>
      </c>
      <c r="S431" s="1307">
        <f>IFERROR(Model!S431/Model!O431-1,"NA")</f>
        <v>-0.20671641791044781</v>
      </c>
      <c r="T431" s="1307">
        <f>IFERROR(Model!T431/Model!P431-1,"NA")</f>
        <v>-0.25564457392571016</v>
      </c>
      <c r="U431" s="1307">
        <f>IFERROR(Model!U431/Model!Q431-1,"NA")</f>
        <v>-0.17401215805471126</v>
      </c>
      <c r="V431" s="1307">
        <f>IFERROR(Model!V431/Model!R431-1,"NA")</f>
        <v>-0.13119755911517927</v>
      </c>
      <c r="W431" s="1307">
        <f>IFERROR(Model!W431/Model!S431-1,"NA")</f>
        <v>-3.2925682031984982E-2</v>
      </c>
      <c r="X431" s="1307">
        <f>IFERROR(Model!X431/Model!T431-1,"NA")</f>
        <v>9.7847358121327943E-4</v>
      </c>
      <c r="Y431" s="1307">
        <f>IFERROR(Model!Y431/Model!U431-1,"NA")</f>
        <v>-4.0478380864765406E-2</v>
      </c>
      <c r="Z431" s="1307">
        <f>IFERROR(Model!Z431/Model!V431-1,"NA")</f>
        <v>-8.779631255487752E-4</v>
      </c>
      <c r="AA431" s="1307">
        <f>IFERROR(Model!AA431/Model!W431-1,"NA")</f>
        <v>6.4202334630350189E-2</v>
      </c>
      <c r="AB431" s="1307">
        <f>IFERROR(Model!AB431/Model!X431-1,"NA")</f>
        <v>8.1133919843597191E-2</v>
      </c>
      <c r="AC431" s="1307">
        <f>IFERROR(Model!AC431/Model!Y431-1,"NA")</f>
        <v>0.13045810425668858</v>
      </c>
      <c r="AD431" s="1307">
        <f>IFERROR(Model!AD431/Model!Z431-1,"NA")</f>
        <v>6.4338763897248352E-2</v>
      </c>
      <c r="AE431" s="1307">
        <f>IFERROR(Model!AE431/Model!AA431-1,"NA")</f>
        <v>0.10467494064761729</v>
      </c>
      <c r="AF431" s="1307">
        <f>IFERROR(Model!AF431/Model!AB431-1,"NA")</f>
        <v>5.2870588778572758E-2</v>
      </c>
      <c r="AG431" s="1307">
        <f>IFERROR(Model!AG431/Model!AC431-1,"NA")</f>
        <v>1.9200134165309635E-2</v>
      </c>
      <c r="AH431" s="1307">
        <f>IFERROR(Model!AH431/Model!AD431-1,"NA")</f>
        <v>4.8164233312437243E-2</v>
      </c>
      <c r="AI431" s="1307">
        <f>IFERROR(Model!AI431/Model!AE431-1,"NA")</f>
        <v>4.7412259190547701E-2</v>
      </c>
      <c r="AJ431" s="1318"/>
      <c r="AK431" s="1318"/>
      <c r="AL431" s="1318"/>
      <c r="AM431" s="1318"/>
      <c r="AN431" s="1318"/>
      <c r="AO431" s="1318"/>
      <c r="AP431" s="1318"/>
      <c r="AQ431" s="1318"/>
      <c r="AR431" s="1236"/>
      <c r="AS431" s="1307"/>
      <c r="AT431" s="1307"/>
      <c r="AU431" s="1246"/>
      <c r="AV431" s="1246">
        <f>IFERROR(Model!AV431/Model!AU431-1,"NA")</f>
        <v>-0.12326199031401341</v>
      </c>
      <c r="AW431" s="1246">
        <f>IFERROR(Model!AW431/Model!AV431-1,"NA")</f>
        <v>-5.5773342836778372E-2</v>
      </c>
      <c r="AX431" s="1246">
        <f>IFERROR(Model!AX431/Model!AW431-1,"NA")</f>
        <v>-4.4536705038686564E-2</v>
      </c>
      <c r="AY431" s="1246">
        <f>IFERROR(Model!AY431/Model!AX431-1,"NA")</f>
        <v>-0.15544143788267828</v>
      </c>
      <c r="AZ431" s="1270">
        <f>IFERROR(Model!AZ431/Model!AY431-1,"NA")</f>
        <v>5.1449953227316048E-3</v>
      </c>
      <c r="BA431" s="1270">
        <f>IFERROR(Model!BA431/Model!AZ431-1,"NA")</f>
        <v>9.4648604263212643E-2</v>
      </c>
      <c r="BB431" s="1307">
        <f>IFERROR(Model!BB431/Model!BA431-1,"NA")</f>
        <v>4.1818760383893983E-2</v>
      </c>
      <c r="BC431" s="1307">
        <f>IFERROR(Model!BC431/Model!BB431-1,"NA")</f>
        <v>6.0141084277042678E-2</v>
      </c>
      <c r="BD431" s="1307">
        <f>IFERROR(Model!BD431/Model!BC431-1,"NA")</f>
        <v>5.5507100693402922E-2</v>
      </c>
      <c r="BE431" s="1307">
        <f>IFERROR(Model!BE431/Model!BD431-1,"NA")</f>
        <v>4.7262088579715034E-2</v>
      </c>
    </row>
    <row r="432" spans="1:74" x14ac:dyDescent="0.2">
      <c r="B432" s="316" t="s">
        <v>643</v>
      </c>
      <c r="D432" s="1250"/>
      <c r="E432" s="1250"/>
      <c r="F432" s="1250"/>
      <c r="G432" s="1250"/>
      <c r="H432" s="1250">
        <f>IFERROR(Model!H432/Model!D432-1,"NA")</f>
        <v>5.040322580645018E-4</v>
      </c>
      <c r="I432" s="1250">
        <f>IFERROR(Model!I432/Model!E432-1,"NA")</f>
        <v>2.7333677153171809E-2</v>
      </c>
      <c r="J432" s="1250">
        <f>IFERROR(Model!J432/Model!F432-1,"NA")</f>
        <v>-0.1654393716249386</v>
      </c>
      <c r="K432" s="1250">
        <f>IFERROR(Model!K432/Model!G432-1,"NA")</f>
        <v>-0.15340626553953252</v>
      </c>
      <c r="L432" s="1250">
        <f>IFERROR(Model!L432/Model!H432-1,"NA")</f>
        <v>-0.12695214105793451</v>
      </c>
      <c r="M432" s="1250">
        <f>IFERROR(Model!M432/Model!I432-1,"NA")</f>
        <v>-0.10993975903614461</v>
      </c>
      <c r="N432" s="1250">
        <f>IFERROR(Model!N432/Model!J432-1,"NA")</f>
        <v>7.3235294117647065E-2</v>
      </c>
      <c r="O432" s="1250">
        <f>IFERROR(Model!O432/Model!K432-1,"NA")</f>
        <v>6.6079295154185091E-2</v>
      </c>
      <c r="P432" s="1250">
        <f>IFERROR(Model!P432/Model!L432-1,"NA")</f>
        <v>4.9047893825735489E-3</v>
      </c>
      <c r="Q432" s="1250">
        <f>IFERROR(Model!Q432/Model!M432-1,"NA")</f>
        <v>-1.7766497461928932E-2</v>
      </c>
      <c r="R432" s="1250">
        <f>IFERROR(Model!R432/Model!N432-1,"NA")</f>
        <v>-5.1520964647848722E-2</v>
      </c>
      <c r="S432" s="1250">
        <f>IFERROR(Model!S432/Model!O432-1,"NA")</f>
        <v>-0.11101928374655645</v>
      </c>
      <c r="T432" s="1250">
        <f>IFERROR(Model!T432/Model!P432-1,"NA")</f>
        <v>-8.498420901521675E-2</v>
      </c>
      <c r="U432" s="1250">
        <f>IFERROR(Model!U432/Model!Q432-1,"NA")</f>
        <v>-6.919322423198393E-2</v>
      </c>
      <c r="V432" s="1250">
        <f>IFERROR(Model!V432/Model!R432-1,"NA")</f>
        <v>-3.7850332273909326E-2</v>
      </c>
      <c r="W432" s="1250">
        <f>IFERROR(Model!W432/Model!S432-1,"NA")</f>
        <v>-2.1691973969631184E-2</v>
      </c>
      <c r="X432" s="1250">
        <f>IFERROR(Model!X432/Model!T432-1,"NA")</f>
        <v>-3.7652965171006691E-3</v>
      </c>
      <c r="Y432" s="1250">
        <f>IFERROR(Model!Y432/Model!U432-1,"NA")</f>
        <v>2.6526835286859951E-2</v>
      </c>
      <c r="Z432" s="1250">
        <f>IFERROR(Model!Z432/Model!V432-1,"NA")</f>
        <v>5.7357357357357364E-2</v>
      </c>
      <c r="AA432" s="1250">
        <f>IFERROR(Model!AA432/Model!W432-1,"NA")</f>
        <v>9.5343680709534473E-2</v>
      </c>
      <c r="AB432" s="1250">
        <f>IFERROR(Model!AB432/Model!X432-1,"NA")</f>
        <v>9.3228346456692979E-2</v>
      </c>
      <c r="AC432" s="1250">
        <f>IFERROR(Model!AC432/Model!Y432-1,"NA")</f>
        <v>6.6440366010273921E-2</v>
      </c>
      <c r="AD432" s="1250">
        <f>IFERROR(Model!AD432/Model!Z432-1,"NA")</f>
        <v>3.668213903428752E-2</v>
      </c>
      <c r="AE432" s="1250">
        <f>IFERROR(Model!AE432/Model!AA432-1,"NA")</f>
        <v>6.8330774406110351E-2</v>
      </c>
      <c r="AF432" s="1250">
        <f>IFERROR(Model!AF432/Model!AB432-1,"NA")</f>
        <v>3.8883674362329312E-2</v>
      </c>
      <c r="AG432" s="1250">
        <f>IFERROR(Model!AG432/Model!AC432-1,"NA")</f>
        <v>4.3976008789073928E-2</v>
      </c>
      <c r="AH432" s="1250">
        <f>IFERROR(Model!AH432/Model!AD432-1,"NA")</f>
        <v>5.0891859610914025E-2</v>
      </c>
      <c r="AI432" s="1250">
        <f>IFERROR(Model!AI432/Model!AE432-1,"NA")</f>
        <v>4.9600877024648771E-2</v>
      </c>
      <c r="AJ432" s="1250"/>
      <c r="AK432" s="1250"/>
      <c r="AL432" s="1250"/>
      <c r="AM432" s="1250"/>
      <c r="AN432" s="1250"/>
      <c r="AO432" s="1250"/>
      <c r="AP432" s="1250"/>
      <c r="AQ432" s="1250"/>
      <c r="AR432" s="1236"/>
      <c r="AS432" s="407"/>
      <c r="AT432" s="407"/>
      <c r="AU432" s="1236"/>
      <c r="AV432" s="1236">
        <f>IFERROR(Model!AV432/Model!AU432-1,"NA")</f>
        <v>-7.4206498557270129E-2</v>
      </c>
      <c r="AW432" s="1236">
        <f>IFERROR(Model!AW432/Model!AV432-1,"NA")</f>
        <v>-3.1709465410935667E-2</v>
      </c>
      <c r="AX432" s="1236">
        <f>IFERROR(Model!AX432/Model!AW432-1,"NA")</f>
        <v>-4.4573507802113221E-2</v>
      </c>
      <c r="AY432" s="1236">
        <f>IFERROR(Model!AY432/Model!AX432-1,"NA")</f>
        <v>-5.4050095210194771E-2</v>
      </c>
      <c r="AZ432" s="1236">
        <f>IFERROR(Model!AZ432/Model!AY432-1,"NA")</f>
        <v>4.3821616599566404E-2</v>
      </c>
      <c r="BA432" s="1236">
        <f>IFERROR(Model!BA432/Model!AZ432-1,"NA")</f>
        <v>6.5462035863985246E-2</v>
      </c>
      <c r="BB432" s="1250">
        <f>IFERROR(Model!BB432/Model!BA432-1,"NA")</f>
        <v>4.594950035083456E-2</v>
      </c>
      <c r="BC432" s="1250">
        <f>IFERROR(Model!BC432/Model!BB432-1,"NA")</f>
        <v>4.7573985737775937E-2</v>
      </c>
      <c r="BD432" s="1250">
        <f>IFERROR(Model!BD432/Model!BC432-1,"NA")</f>
        <v>4.902892821160787E-2</v>
      </c>
      <c r="BE432" s="1250">
        <f>IFERROR(Model!BE432/Model!BD432-1,"NA")</f>
        <v>4.8288785204023688E-2</v>
      </c>
    </row>
    <row r="433" spans="1:57" x14ac:dyDescent="0.2">
      <c r="A433" s="833"/>
      <c r="B433" s="334"/>
      <c r="C433" s="387"/>
      <c r="D433" s="1247"/>
      <c r="E433" s="1267"/>
      <c r="F433" s="1256"/>
      <c r="G433" s="1256"/>
      <c r="H433" s="1256"/>
      <c r="I433" s="1256"/>
      <c r="J433" s="1256"/>
      <c r="K433" s="1256"/>
      <c r="L433" s="1256"/>
      <c r="M433" s="1256"/>
      <c r="N433" s="1256"/>
      <c r="O433" s="1256"/>
      <c r="P433" s="1256"/>
      <c r="Q433" s="1256"/>
      <c r="R433" s="1256"/>
      <c r="S433" s="1256"/>
      <c r="T433" s="1256"/>
      <c r="U433" s="1256"/>
      <c r="V433" s="1256"/>
      <c r="W433" s="1256"/>
      <c r="X433" s="1256"/>
      <c r="Y433" s="1256"/>
      <c r="Z433" s="1256"/>
      <c r="AA433" s="1256"/>
      <c r="AB433" s="1256"/>
      <c r="AC433" s="407"/>
      <c r="AD433" s="407"/>
      <c r="AE433" s="407"/>
      <c r="AF433" s="407"/>
      <c r="AG433" s="407"/>
      <c r="AH433" s="407"/>
      <c r="AI433" s="407"/>
      <c r="AJ433" s="407"/>
      <c r="AK433" s="407"/>
      <c r="AL433" s="407"/>
      <c r="AM433" s="407"/>
      <c r="AN433" s="407"/>
      <c r="AO433" s="407"/>
      <c r="AP433" s="407"/>
      <c r="AQ433" s="407"/>
      <c r="AR433" s="1236"/>
      <c r="AS433" s="1410"/>
      <c r="AT433" s="1248"/>
      <c r="AU433" s="1236"/>
      <c r="AV433" s="1236"/>
      <c r="AW433" s="1236"/>
      <c r="AX433" s="1236"/>
      <c r="AY433" s="1236"/>
      <c r="AZ433" s="1236"/>
      <c r="BA433" s="1236"/>
      <c r="BB433" s="1236"/>
      <c r="BC433" s="1236"/>
      <c r="BD433" s="1236"/>
      <c r="BE433" s="1236"/>
    </row>
    <row r="434" spans="1:57" x14ac:dyDescent="0.2">
      <c r="A434" s="833"/>
      <c r="B434" s="450" t="s">
        <v>210</v>
      </c>
      <c r="C434" s="387"/>
      <c r="D434" s="1247"/>
      <c r="E434" s="1267"/>
      <c r="F434" s="1256"/>
      <c r="G434" s="1256"/>
      <c r="H434" s="1256"/>
      <c r="I434" s="1256"/>
      <c r="J434" s="1256"/>
      <c r="K434" s="1256"/>
      <c r="L434" s="1256"/>
      <c r="M434" s="1256"/>
      <c r="N434" s="1256"/>
      <c r="O434" s="1256"/>
      <c r="P434" s="1256"/>
      <c r="Q434" s="1256"/>
      <c r="R434" s="1256"/>
      <c r="S434" s="1256"/>
      <c r="T434" s="1256"/>
      <c r="U434" s="1256"/>
      <c r="V434" s="1256"/>
      <c r="W434" s="1256"/>
      <c r="X434" s="1256"/>
      <c r="Y434" s="1256"/>
      <c r="Z434" s="1256"/>
      <c r="AA434" s="1256"/>
      <c r="AB434" s="1256"/>
      <c r="AC434" s="407"/>
      <c r="AD434" s="407"/>
      <c r="AE434" s="407"/>
      <c r="AF434" s="407"/>
      <c r="AG434" s="407"/>
      <c r="AH434" s="407"/>
      <c r="AI434" s="407"/>
      <c r="AJ434" s="407"/>
      <c r="AK434" s="407"/>
      <c r="AL434" s="407"/>
      <c r="AM434" s="407"/>
      <c r="AN434" s="407"/>
      <c r="AO434" s="407"/>
      <c r="AP434" s="407"/>
      <c r="AQ434" s="407"/>
      <c r="AR434" s="1236"/>
      <c r="AS434" s="1413"/>
      <c r="AT434" s="1248"/>
      <c r="AU434" s="1236"/>
      <c r="AV434" s="1236"/>
      <c r="AW434" s="1236"/>
      <c r="AX434" s="1236"/>
      <c r="AY434" s="1236"/>
      <c r="AZ434" s="1236"/>
      <c r="BA434" s="1236"/>
      <c r="BB434" s="1236"/>
      <c r="BC434" s="1236"/>
      <c r="BD434" s="1236"/>
      <c r="BE434" s="1236"/>
    </row>
    <row r="435" spans="1:57" x14ac:dyDescent="0.2">
      <c r="A435" s="833"/>
      <c r="B435" s="334" t="s">
        <v>70</v>
      </c>
      <c r="C435" s="321"/>
      <c r="D435" s="1240"/>
      <c r="E435" s="1240"/>
      <c r="F435" s="1240"/>
      <c r="G435" s="1240"/>
      <c r="H435" s="1240">
        <f>IFERROR(Model!H435/Model!D435-1,"NA")</f>
        <v>5.7722308892355745E-2</v>
      </c>
      <c r="I435" s="1240">
        <f>IFERROR(Model!I435/Model!E435-1,"NA")</f>
        <v>4.8703849175176783E-2</v>
      </c>
      <c r="J435" s="1240">
        <f>IFERROR(Model!J435/Model!F435-1,"NA")</f>
        <v>4.0769230769230891E-2</v>
      </c>
      <c r="K435" s="1240">
        <f>IFERROR(Model!K435/Model!G435-1,"NA")</f>
        <v>4.4261065266316457E-2</v>
      </c>
      <c r="L435" s="1240">
        <f>IFERROR(Model!L435/Model!H435-1,"NA")</f>
        <v>3.7610619469026441E-2</v>
      </c>
      <c r="M435" s="1240">
        <f>IFERROR(Model!M435/Model!I435-1,"NA")</f>
        <v>8.5393258426966323E-2</v>
      </c>
      <c r="N435" s="1240">
        <f>IFERROR(Model!N435/Model!J435-1,"NA")</f>
        <v>8.0561714708055954E-2</v>
      </c>
      <c r="O435" s="1240">
        <f>IFERROR(Model!O435/Model!K435-1,"NA")</f>
        <v>4.1666666666666741E-2</v>
      </c>
      <c r="P435" s="1240">
        <f>IFERROR(Model!P435/Model!L435-1,"NA")</f>
        <v>2.1321961620470731E-3</v>
      </c>
      <c r="Q435" s="1240">
        <f>IFERROR(Model!Q435/Model!M435-1,"NA")</f>
        <v>-1.7253278122843385E-2</v>
      </c>
      <c r="R435" s="1240">
        <f>IFERROR(Model!R435/Model!N435-1,"NA")</f>
        <v>-4.377564979480153E-2</v>
      </c>
      <c r="S435" s="1240">
        <f>IFERROR(Model!S435/Model!O435-1,"NA")</f>
        <v>-2.8965517241379191E-2</v>
      </c>
      <c r="T435" s="1240">
        <f>IFERROR(Model!T435/Model!P435-1,"NA")</f>
        <v>-9.9290780141844115E-3</v>
      </c>
      <c r="U435" s="1240">
        <f>IFERROR(Model!U435/Model!Q435-1,"NA")</f>
        <v>-9.1292134831461036E-3</v>
      </c>
      <c r="V435" s="1240">
        <f>IFERROR(Model!V435/Model!R435-1,"NA")</f>
        <v>1.5736766809728131E-2</v>
      </c>
      <c r="W435" s="1240">
        <f>IFERROR(Model!W435/Model!S435-1,"NA")</f>
        <v>-1.9176136363636465E-2</v>
      </c>
      <c r="X435" s="1240">
        <f>IFERROR(Model!X435/Model!T435-1,"NA")</f>
        <v>-5.7306590257878431E-3</v>
      </c>
      <c r="Y435" s="1240">
        <f>IFERROR(Model!Y435/Model!U435-1,"NA")</f>
        <v>8.5046066619420824E-3</v>
      </c>
      <c r="Z435" s="1240">
        <f>IFERROR(Model!Z435/Model!V435-1,"NA")</f>
        <v>1.6197183098591639E-2</v>
      </c>
      <c r="AA435" s="1240">
        <f>IFERROR(Model!AA435/Model!W435-1,"NA")</f>
        <v>5.0687907313540892E-2</v>
      </c>
      <c r="AB435" s="1240">
        <f>IFERROR(Model!AB435/Model!X435-1,"NA")</f>
        <v>5.979827089337153E-2</v>
      </c>
      <c r="AC435" s="407">
        <f>IFERROR(Model!AC435/Model!Y435-1,"NA")</f>
        <v>4.4068868587491039E-2</v>
      </c>
      <c r="AD435" s="407">
        <f>IFERROR(Model!AD435/Model!Z435-1,"NA")</f>
        <v>4.3092723492723195E-2</v>
      </c>
      <c r="AE435" s="407">
        <f>IFERROR(Model!AE435/Model!AA435-1,"NA")</f>
        <v>5.8088529290144741E-2</v>
      </c>
      <c r="AF435" s="407">
        <f>IFERROR(Model!AF435/Model!AB435-1,"NA")</f>
        <v>4.8683843497620449E-2</v>
      </c>
      <c r="AG435" s="407">
        <f>IFERROR(Model!AG435/Model!AC435-1,"NA")</f>
        <v>5.0123348400747503E-2</v>
      </c>
      <c r="AH435" s="407">
        <f>IFERROR(Model!AH435/Model!AD435-1,"NA")</f>
        <v>4.6381855003158057E-2</v>
      </c>
      <c r="AI435" s="407">
        <f>IFERROR(Model!AI435/Model!AE435-1,"NA")</f>
        <v>4.0991871370511301E-2</v>
      </c>
      <c r="AJ435" s="407"/>
      <c r="AK435" s="407"/>
      <c r="AL435" s="407"/>
      <c r="AM435" s="407"/>
      <c r="AN435" s="407"/>
      <c r="AO435" s="407"/>
      <c r="AP435" s="407"/>
      <c r="AQ435" s="407"/>
      <c r="AR435" s="1236"/>
      <c r="AS435" s="1410"/>
      <c r="AT435" s="1284"/>
      <c r="AU435" s="1236"/>
      <c r="AV435" s="1236">
        <f>IFERROR(Model!AV435/Model!AU435-1,"NA")</f>
        <v>4.7802621434078763E-2</v>
      </c>
      <c r="AW435" s="1236">
        <f>IFERROR(Model!AW435/Model!AV435-1,"NA")</f>
        <v>6.107431935246499E-2</v>
      </c>
      <c r="AX435" s="1236">
        <f>IFERROR(Model!AX435/Model!AW435-1,"NA")</f>
        <v>-2.219140083217741E-2</v>
      </c>
      <c r="AY435" s="1236">
        <f>IFERROR(Model!AY435/Model!AX435-1,"NA")</f>
        <v>-5.6737588652483462E-3</v>
      </c>
      <c r="AZ435" s="1236">
        <f>IFERROR(Model!AZ435/Model!AY435-1,"NA")</f>
        <v>1.7296718972895864E-2</v>
      </c>
      <c r="BA435" s="1236">
        <f>IFERROR(Model!BA435/Model!AZ435-1,"NA")</f>
        <v>5.1214593514461004E-2</v>
      </c>
      <c r="BB435" s="407">
        <f>IFERROR(Model!BB435/Model!BA435-1,"NA")</f>
        <v>4.6493545905368805E-2</v>
      </c>
      <c r="BC435" s="407">
        <f>IFERROR(Model!BC435/Model!BB435-1,"NA")</f>
        <v>4.7649905890601696E-2</v>
      </c>
      <c r="BD435" s="407">
        <f>IFERROR(Model!BD435/Model!BC435-1,"NA")</f>
        <v>4.8616840276081374E-2</v>
      </c>
      <c r="BE435" s="407">
        <f>IFERROR(Model!BE435/Model!BD435-1,"NA")</f>
        <v>4.8628206168711996E-2</v>
      </c>
    </row>
    <row r="436" spans="1:57" s="369" customFormat="1" x14ac:dyDescent="0.2">
      <c r="A436" s="411"/>
      <c r="B436" s="334" t="s">
        <v>41</v>
      </c>
      <c r="C436" s="321"/>
      <c r="D436" s="1240"/>
      <c r="E436" s="1240"/>
      <c r="F436" s="1240"/>
      <c r="G436" s="1240"/>
      <c r="H436" s="1240">
        <f>IFERROR(Model!H436/Model!D436-1,"NA")</f>
        <v>5.0641940085592196E-2</v>
      </c>
      <c r="I436" s="1240">
        <f>IFERROR(Model!I436/Model!E436-1,"NA")</f>
        <v>4.3260636396138752E-2</v>
      </c>
      <c r="J436" s="1240">
        <f>IFERROR(Model!J436/Model!F436-1,"NA")</f>
        <v>1.1530398322851187E-2</v>
      </c>
      <c r="K436" s="1240">
        <f>IFERROR(Model!K436/Model!G436-1,"NA")</f>
        <v>1.4751286449399714E-2</v>
      </c>
      <c r="L436" s="1240">
        <f>IFERROR(Model!L436/Model!H436-1,"NA")</f>
        <v>6.4494229463678554E-3</v>
      </c>
      <c r="M436" s="1240">
        <f>IFERROR(Model!M436/Model!I436-1,"NA")</f>
        <v>3.152844413982181E-2</v>
      </c>
      <c r="N436" s="1240">
        <f>IFERROR(Model!N436/Model!J436-1,"NA")</f>
        <v>3.6960276338514619E-2</v>
      </c>
      <c r="O436" s="1240">
        <f>IFERROR(Model!O436/Model!K436-1,"NA")</f>
        <v>3.3806626098715764E-3</v>
      </c>
      <c r="P436" s="1240">
        <f>IFERROR(Model!P436/Model!L436-1,"NA")</f>
        <v>3.3726812816192719E-4</v>
      </c>
      <c r="Q436" s="1240">
        <f>IFERROR(Model!Q436/Model!M436-1,"NA")</f>
        <v>-1.4950166112956853E-2</v>
      </c>
      <c r="R436" s="1240">
        <f>IFERROR(Model!R436/Model!N436-1,"NA")</f>
        <v>-2.2318454363757456E-2</v>
      </c>
      <c r="S436" s="1240">
        <f>IFERROR(Model!S436/Model!O436-1,"NA")</f>
        <v>-1.0107816711590334E-2</v>
      </c>
      <c r="T436" s="1240">
        <f>IFERROR(Model!T436/Model!P436-1,"NA")</f>
        <v>-9.103169251517329E-3</v>
      </c>
      <c r="U436" s="1240">
        <f>IFERROR(Model!U436/Model!Q436-1,"NA")</f>
        <v>3.0354131534569007E-3</v>
      </c>
      <c r="V436" s="1240">
        <f>IFERROR(Model!V436/Model!R436-1,"NA")</f>
        <v>2.6235093696763245E-2</v>
      </c>
      <c r="W436" s="1240">
        <f>IFERROR(Model!W436/Model!S436-1,"NA")</f>
        <v>2.4846834581347954E-2</v>
      </c>
      <c r="X436" s="1240">
        <f>IFERROR(Model!X436/Model!T436-1,"NA")</f>
        <v>3.2664171486900484E-2</v>
      </c>
      <c r="Y436" s="1240">
        <f>IFERROR(Model!Y436/Model!U436-1,"NA")</f>
        <v>3.2952252858103659E-2</v>
      </c>
      <c r="Z436" s="1240">
        <f>IFERROR(Model!Z436/Model!V436-1,"NA")</f>
        <v>2.2908366533864744E-2</v>
      </c>
      <c r="AA436" s="1240">
        <f>IFERROR(Model!AA436/Model!W436-1,"NA")</f>
        <v>1.7934241115908245E-2</v>
      </c>
      <c r="AB436" s="1240">
        <f>IFERROR(Model!AB436/Model!X436-1,"NA")</f>
        <v>1.7792421746293252E-2</v>
      </c>
      <c r="AC436" s="407">
        <f>IFERROR(Model!AC436/Model!Y436-1,"NA")</f>
        <v>9.7005208333333925E-3</v>
      </c>
      <c r="AD436" s="407">
        <f>IFERROR(Model!AD436/Model!Z436-1,"NA")</f>
        <v>1.3882830249918765E-2</v>
      </c>
      <c r="AE436" s="407">
        <f>IFERROR(Model!AE436/Model!AA436-1,"NA")</f>
        <v>2.6401469820554579E-2</v>
      </c>
      <c r="AF436" s="407">
        <f>IFERROR(Model!AF436/Model!AB436-1,"NA")</f>
        <v>2.5653620564907609E-2</v>
      </c>
      <c r="AG436" s="407">
        <f>IFERROR(Model!AG436/Model!AC436-1,"NA")</f>
        <v>2.8675323927598306E-2</v>
      </c>
      <c r="AH436" s="407">
        <f>IFERROR(Model!AH436/Model!AD436-1,"NA")</f>
        <v>2.8700007868067701E-2</v>
      </c>
      <c r="AI436" s="407">
        <f>IFERROR(Model!AI436/Model!AE436-1,"NA")</f>
        <v>2.805593056516309E-2</v>
      </c>
      <c r="AJ436" s="407"/>
      <c r="AK436" s="407"/>
      <c r="AL436" s="407"/>
      <c r="AM436" s="407"/>
      <c r="AN436" s="407"/>
      <c r="AO436" s="407"/>
      <c r="AP436" s="407"/>
      <c r="AQ436" s="407"/>
      <c r="AR436" s="1236"/>
      <c r="AS436" s="1410"/>
      <c r="AT436" s="1284"/>
      <c r="AU436" s="1236"/>
      <c r="AV436" s="1236">
        <f>IFERROR(Model!AV436/Model!AU436-1,"NA")</f>
        <v>2.9794339954297921E-2</v>
      </c>
      <c r="AW436" s="1236">
        <f>IFERROR(Model!AW436/Model!AV436-1,"NA")</f>
        <v>1.9458905863275477E-2</v>
      </c>
      <c r="AX436" s="1236">
        <f>IFERROR(Model!AX436/Model!AW436-1,"NA")</f>
        <v>-1.1804102134784333E-2</v>
      </c>
      <c r="AY436" s="1236">
        <f>IFERROR(Model!AY436/Model!AX436-1,"NA")</f>
        <v>1.1182649949169621E-2</v>
      </c>
      <c r="AZ436" s="1236">
        <f>IFERROR(Model!AZ436/Model!AY436-1,"NA")</f>
        <v>2.6558310991957379E-2</v>
      </c>
      <c r="BA436" s="1236">
        <f>IFERROR(Model!BA436/Model!AZ436-1,"NA")</f>
        <v>1.6934098180037438E-2</v>
      </c>
      <c r="BB436" s="407">
        <f>IFERROR(Model!BB436/Model!BA436-1,"NA")</f>
        <v>2.7776041974148624E-2</v>
      </c>
      <c r="BC436" s="407">
        <f>IFERROR(Model!BC436/Model!BB436-1,"NA")</f>
        <v>3.4600130430592069E-2</v>
      </c>
      <c r="BD436" s="407">
        <f>IFERROR(Model!BD436/Model!BC436-1,"NA")</f>
        <v>3.7591667908283499E-2</v>
      </c>
      <c r="BE436" s="407">
        <f>IFERROR(Model!BE436/Model!BD436-1,"NA")</f>
        <v>3.7673217540102888E-2</v>
      </c>
    </row>
    <row r="437" spans="1:57" s="369" customFormat="1" x14ac:dyDescent="0.2">
      <c r="A437" s="411"/>
      <c r="B437" s="334"/>
      <c r="C437" s="321"/>
      <c r="D437" s="1240"/>
      <c r="E437" s="1240"/>
      <c r="F437" s="1240"/>
      <c r="G437" s="1240"/>
      <c r="H437" s="1240"/>
      <c r="I437" s="1240"/>
      <c r="J437" s="1240"/>
      <c r="K437" s="1240"/>
      <c r="L437" s="1240"/>
      <c r="M437" s="1240"/>
      <c r="N437" s="1240"/>
      <c r="O437" s="1240"/>
      <c r="P437" s="1240"/>
      <c r="Q437" s="1240"/>
      <c r="R437" s="1240"/>
      <c r="S437" s="1240"/>
      <c r="T437" s="1240"/>
      <c r="U437" s="1240"/>
      <c r="V437" s="1240"/>
      <c r="W437" s="1240"/>
      <c r="X437" s="1240"/>
      <c r="Y437" s="1240"/>
      <c r="Z437" s="1240"/>
      <c r="AA437" s="1240"/>
      <c r="AB437" s="1240"/>
      <c r="AC437" s="1284"/>
      <c r="AD437" s="1284"/>
      <c r="AE437" s="1284"/>
      <c r="AF437" s="1284"/>
      <c r="AG437" s="1284"/>
      <c r="AH437" s="1284"/>
      <c r="AI437" s="1284"/>
      <c r="AJ437" s="1284"/>
      <c r="AK437" s="1284"/>
      <c r="AL437" s="1284"/>
      <c r="AM437" s="1284"/>
      <c r="AN437" s="1284"/>
      <c r="AO437" s="1284"/>
      <c r="AP437" s="1284"/>
      <c r="AQ437" s="1284"/>
      <c r="AR437" s="1236"/>
      <c r="AS437" s="1410"/>
      <c r="AT437" s="1284"/>
      <c r="AU437" s="1263"/>
      <c r="AV437" s="1263"/>
      <c r="AW437" s="1263"/>
      <c r="AX437" s="1263"/>
      <c r="AY437" s="1263"/>
      <c r="AZ437" s="1263"/>
      <c r="BA437" s="1263"/>
      <c r="BB437" s="1263"/>
      <c r="BC437" s="1263"/>
      <c r="BD437" s="1263"/>
      <c r="BE437" s="1263"/>
    </row>
    <row r="438" spans="1:57" s="369" customFormat="1" x14ac:dyDescent="0.2">
      <c r="A438" s="411"/>
      <c r="B438" s="334" t="s">
        <v>109</v>
      </c>
      <c r="C438" s="321"/>
      <c r="D438" s="1240"/>
      <c r="E438" s="1240"/>
      <c r="F438" s="1240"/>
      <c r="G438" s="1240"/>
      <c r="H438" s="1240">
        <f>IFERROR(Model!H438/Model!D438-1,"NA")</f>
        <v>0.29499999999999993</v>
      </c>
      <c r="I438" s="1240">
        <f>IFERROR(Model!I438/Model!E438-1,"NA")</f>
        <v>0.43646408839778994</v>
      </c>
      <c r="J438" s="1240">
        <f>IFERROR(Model!J438/Model!F438-1,"NA")</f>
        <v>-1.8099547511312264E-2</v>
      </c>
      <c r="K438" s="1240">
        <f>IFERROR(Model!K438/Model!G438-1,"NA")</f>
        <v>-4.6296296296296502E-3</v>
      </c>
      <c r="L438" s="1240">
        <f>IFERROR(Model!L438/Model!H438-1,"NA")</f>
        <v>-2.7027027027026973E-2</v>
      </c>
      <c r="M438" s="1240">
        <f>IFERROR(Model!M438/Model!I438-1,"NA")</f>
        <v>-4.2307692307692379E-2</v>
      </c>
      <c r="N438" s="1240">
        <f>IFERROR(Model!N438/Model!J438-1,"NA")</f>
        <v>0.29493087557603692</v>
      </c>
      <c r="O438" s="1240">
        <f>IFERROR(Model!O438/Model!K438-1,"NA")</f>
        <v>5.5813953488372148E-2</v>
      </c>
      <c r="P438" s="1240">
        <f>IFERROR(Model!P438/Model!L438-1,"NA")</f>
        <v>1.1904761904761862E-2</v>
      </c>
      <c r="Q438" s="1240">
        <f>IFERROR(Model!Q438/Model!M438-1,"NA")</f>
        <v>2.4096385542168752E-2</v>
      </c>
      <c r="R438" s="1240">
        <f>IFERROR(Model!R438/Model!N438-1,"NA")</f>
        <v>-0.29893238434163705</v>
      </c>
      <c r="S438" s="1240">
        <f>IFERROR(Model!S438/Model!O438-1,"NA")</f>
        <v>-0.23788546255506604</v>
      </c>
      <c r="T438" s="1240">
        <f>IFERROR(Model!T438/Model!P438-1,"NA")</f>
        <v>-0.35686274509803928</v>
      </c>
      <c r="U438" s="1240">
        <f>IFERROR(Model!U438/Model!Q438-1,"NA")</f>
        <v>-0.26274509803921564</v>
      </c>
      <c r="V438" s="1240">
        <f>IFERROR(Model!V438/Model!R438-1,"NA")</f>
        <v>0</v>
      </c>
      <c r="W438" s="1240">
        <f>IFERROR(Model!W438/Model!S438-1,"NA")</f>
        <v>6.9364161849710948E-2</v>
      </c>
      <c r="X438" s="1240">
        <f>IFERROR(Model!X438/Model!T438-1,"NA")</f>
        <v>0.27439024390243905</v>
      </c>
      <c r="Y438" s="1240">
        <f>IFERROR(Model!Y438/Model!U438-1,"NA")</f>
        <v>0.15957446808510634</v>
      </c>
      <c r="Z438" s="1240">
        <f>IFERROR(Model!Z438/Model!V438-1,"NA")</f>
        <v>0.28426395939086313</v>
      </c>
      <c r="AA438" s="1240">
        <f>IFERROR(Model!AA438/Model!W438-1,"NA")</f>
        <v>0.2810810810810811</v>
      </c>
      <c r="AB438" s="1240">
        <f>IFERROR(Model!AB438/Model!X438-1,"NA")</f>
        <v>0.2966507177033495</v>
      </c>
      <c r="AC438" s="1284" t="str">
        <f>IFERROR(Model!AC438/Model!Y438-1,"NA")</f>
        <v>NA</v>
      </c>
      <c r="AD438" s="1284" t="str">
        <f>IFERROR(Model!AD438/Model!Z438-1,"NA")</f>
        <v>NA</v>
      </c>
      <c r="AE438" s="1284" t="str">
        <f>IFERROR(Model!AE438/Model!AA438-1,"NA")</f>
        <v>NA</v>
      </c>
      <c r="AF438" s="1284" t="str">
        <f>IFERROR(Model!AF438/Model!AB438-1,"NA")</f>
        <v>NA</v>
      </c>
      <c r="AG438" s="1284" t="str">
        <f>IFERROR(Model!AG438/Model!AC438-1,"NA")</f>
        <v>NA</v>
      </c>
      <c r="AH438" s="1284" t="str">
        <f>IFERROR(Model!AH438/Model!AD438-1,"NA")</f>
        <v>NA</v>
      </c>
      <c r="AI438" s="1284" t="str">
        <f>IFERROR(Model!AI438/Model!AE438-1,"NA")</f>
        <v>NA</v>
      </c>
      <c r="AJ438" s="1284"/>
      <c r="AK438" s="1284"/>
      <c r="AL438" s="1284"/>
      <c r="AM438" s="1284"/>
      <c r="AN438" s="1284"/>
      <c r="AO438" s="1284"/>
      <c r="AP438" s="1284"/>
      <c r="AQ438" s="1284"/>
      <c r="AR438" s="1236"/>
      <c r="AS438" s="1410"/>
      <c r="AT438" s="1284"/>
      <c r="AU438" s="1236"/>
      <c r="AV438" s="1236">
        <f>IFERROR(Model!AV438/Model!AU438-1,"NA")</f>
        <v>2.9794339954297921E-2</v>
      </c>
      <c r="AW438" s="1236">
        <f>IFERROR(Model!AW438/Model!AV438-1,"NA")</f>
        <v>1.9458905863275477E-2</v>
      </c>
      <c r="AX438" s="1236">
        <f>IFERROR(Model!AX438/Model!AW438-1,"NA")</f>
        <v>-1.1804102134784333E-2</v>
      </c>
      <c r="AY438" s="1236">
        <f>IFERROR(Model!AY438/Model!AX438-1,"NA")</f>
        <v>1.1182649949169621E-2</v>
      </c>
      <c r="AZ438" s="1284" t="str">
        <f>IFERROR(Model!AZ438/Model!AY438-1,"NA")</f>
        <v>NA</v>
      </c>
      <c r="BA438" s="1284" t="str">
        <f>IFERROR(Model!BA438/Model!AZ438-1,"NA")</f>
        <v>NA</v>
      </c>
      <c r="BB438" s="1284" t="str">
        <f>IFERROR(Model!BB438/Model!BA438-1,"NA")</f>
        <v>NA</v>
      </c>
      <c r="BC438" s="1284" t="str">
        <f>IFERROR(Model!BC438/Model!BB438-1,"NA")</f>
        <v>NA</v>
      </c>
      <c r="BD438" s="1284" t="str">
        <f>IFERROR(Model!BD438/Model!BC438-1,"NA")</f>
        <v>NA</v>
      </c>
      <c r="BE438" s="1284" t="str">
        <f>IFERROR(Model!BE438/Model!BD438-1,"NA")</f>
        <v>NA</v>
      </c>
    </row>
    <row r="439" spans="1:57" s="369" customFormat="1" x14ac:dyDescent="0.2">
      <c r="A439" s="411"/>
      <c r="B439" s="334" t="s">
        <v>241</v>
      </c>
      <c r="C439" s="321"/>
      <c r="D439" s="1240"/>
      <c r="E439" s="1240"/>
      <c r="F439" s="1240"/>
      <c r="G439" s="1240"/>
      <c r="H439" s="1240">
        <f>IFERROR(Model!H439/Model!D439-1,"NA")</f>
        <v>0.16709075487701441</v>
      </c>
      <c r="I439" s="1240">
        <f>IFERROR(Model!I439/Model!E439-1,"NA")</f>
        <v>0.13350559862187761</v>
      </c>
      <c r="J439" s="1240">
        <f>IFERROR(Model!J439/Model!F439-1,"NA")</f>
        <v>7.9176563737133998E-2</v>
      </c>
      <c r="K439" s="1240">
        <f>IFERROR(Model!K439/Model!G439-1,"NA")</f>
        <v>0.10023310023310028</v>
      </c>
      <c r="L439" s="1240">
        <f>IFERROR(Model!L439/Model!H439-1,"NA")</f>
        <v>5.4505813953488413E-2</v>
      </c>
      <c r="M439" s="1240">
        <f>IFERROR(Model!M439/Model!I439-1,"NA")</f>
        <v>0.15273556231003038</v>
      </c>
      <c r="N439" s="1240">
        <f>IFERROR(Model!N439/Model!J439-1,"NA")</f>
        <v>0.10491562729273651</v>
      </c>
      <c r="O439" s="1240">
        <f>IFERROR(Model!O439/Model!K439-1,"NA")</f>
        <v>4.0254237288135819E-2</v>
      </c>
      <c r="P439" s="1240">
        <f>IFERROR(Model!P439/Model!L439-1,"NA")</f>
        <v>1.8607856650585841E-2</v>
      </c>
      <c r="Q439" s="1240">
        <f>IFERROR(Model!Q439/Model!M439-1,"NA")</f>
        <v>-2.1094264996703971E-2</v>
      </c>
      <c r="R439" s="1240">
        <f>IFERROR(Model!R439/Model!N439-1,"NA")</f>
        <v>-7.7689243027888377E-2</v>
      </c>
      <c r="S439" s="1240">
        <f>IFERROR(Model!S439/Model!O439-1,"NA")</f>
        <v>-4.7522063815342852E-2</v>
      </c>
      <c r="T439" s="1240">
        <f>IFERROR(Model!T439/Model!P439-1,"NA")</f>
        <v>-5.4127198917455988E-2</v>
      </c>
      <c r="U439" s="1240">
        <f>IFERROR(Model!U439/Model!Q439-1,"NA")</f>
        <v>-5.7912457912457915E-2</v>
      </c>
      <c r="V439" s="1240">
        <f>IFERROR(Model!V439/Model!R439-1,"NA")</f>
        <v>1.4398848092152639E-2</v>
      </c>
      <c r="W439" s="1240">
        <f>IFERROR(Model!W439/Model!S439-1,"NA")</f>
        <v>-1.9957234497505416E-2</v>
      </c>
      <c r="X439" s="1240">
        <f>IFERROR(Model!X439/Model!T439-1,"NA")</f>
        <v>4.9356223175965441E-2</v>
      </c>
      <c r="Y439" s="1240">
        <f>IFERROR(Model!Y439/Model!U439-1,"NA")</f>
        <v>9.2208720514653342E-2</v>
      </c>
      <c r="Z439" s="1240">
        <f>IFERROR(Model!Z439/Model!V439-1,"NA")</f>
        <v>0.12278211497515956</v>
      </c>
      <c r="AA439" s="1240">
        <f>IFERROR(Model!AA439/Model!W439-1,"NA")</f>
        <v>0.17018181818181821</v>
      </c>
      <c r="AB439" s="1240">
        <f>IFERROR(Model!AB439/Model!X439-1,"NA")</f>
        <v>0.11451942740286314</v>
      </c>
      <c r="AC439" s="1284" t="str">
        <f>IFERROR(Model!AC439/Model!Y439-1,"NA")</f>
        <v>NA</v>
      </c>
      <c r="AD439" s="1284" t="str">
        <f>IFERROR(Model!AD439/Model!Z439-1,"NA")</f>
        <v>NA</v>
      </c>
      <c r="AE439" s="1284" t="str">
        <f>IFERROR(Model!AE439/Model!AA439-1,"NA")</f>
        <v>NA</v>
      </c>
      <c r="AF439" s="1284" t="str">
        <f>IFERROR(Model!AF439/Model!AB439-1,"NA")</f>
        <v>NA</v>
      </c>
      <c r="AG439" s="1284" t="str">
        <f>IFERROR(Model!AG439/Model!AC439-1,"NA")</f>
        <v>NA</v>
      </c>
      <c r="AH439" s="1284" t="str">
        <f>IFERROR(Model!AH439/Model!AD439-1,"NA")</f>
        <v>NA</v>
      </c>
      <c r="AI439" s="1284" t="str">
        <f>IFERROR(Model!AI439/Model!AE439-1,"NA")</f>
        <v>NA</v>
      </c>
      <c r="AJ439" s="1284"/>
      <c r="AK439" s="1284"/>
      <c r="AL439" s="1284"/>
      <c r="AM439" s="1284"/>
      <c r="AN439" s="1284"/>
      <c r="AO439" s="1284"/>
      <c r="AP439" s="1284"/>
      <c r="AQ439" s="1284"/>
      <c r="AR439" s="1236"/>
      <c r="AS439" s="1410"/>
      <c r="AT439" s="1284"/>
      <c r="AU439" s="1236"/>
      <c r="AV439" s="1236">
        <f>IFERROR(Model!AV439/Model!AU439-1,"NA")</f>
        <v>0.10023310023310028</v>
      </c>
      <c r="AW439" s="1236">
        <f>IFERROR(Model!AW439/Model!AV439-1,"NA")</f>
        <v>4.0254237288135819E-2</v>
      </c>
      <c r="AX439" s="1236">
        <f>IFERROR(Model!AX439/Model!AW439-1,"NA")</f>
        <v>-4.7522063815342852E-2</v>
      </c>
      <c r="AY439" s="1236">
        <f>IFERROR(Model!AY439/Model!AX439-1,"NA")</f>
        <v>-1.9957234497505416E-2</v>
      </c>
      <c r="AZ439" s="1284" t="str">
        <f>IFERROR(Model!AZ439/Model!AY439-1,"NA")</f>
        <v>NA</v>
      </c>
      <c r="BA439" s="1284" t="str">
        <f>IFERROR(Model!BA439/Model!AZ439-1,"NA")</f>
        <v>NA</v>
      </c>
      <c r="BB439" s="1284" t="str">
        <f>IFERROR(Model!BB439/Model!BA439-1,"NA")</f>
        <v>NA</v>
      </c>
      <c r="BC439" s="1284" t="str">
        <f>IFERROR(Model!BC439/Model!BB439-1,"NA")</f>
        <v>NA</v>
      </c>
      <c r="BD439" s="1284" t="str">
        <f>IFERROR(Model!BD439/Model!BC439-1,"NA")</f>
        <v>NA</v>
      </c>
      <c r="BE439" s="1284" t="str">
        <f>IFERROR(Model!BE439/Model!BD439-1,"NA")</f>
        <v>NA</v>
      </c>
    </row>
    <row r="440" spans="1:57" s="369" customFormat="1" x14ac:dyDescent="0.2">
      <c r="A440" s="411"/>
      <c r="B440" s="334"/>
      <c r="C440" s="321"/>
      <c r="D440" s="1311"/>
      <c r="E440" s="1311"/>
      <c r="F440" s="1311"/>
      <c r="G440" s="1311"/>
      <c r="H440" s="1311"/>
      <c r="I440" s="1311"/>
      <c r="J440" s="1311"/>
      <c r="K440" s="1311"/>
      <c r="L440" s="1311"/>
      <c r="M440" s="1311"/>
      <c r="N440" s="1311"/>
      <c r="O440" s="1311"/>
      <c r="P440" s="1311"/>
      <c r="Q440" s="1311"/>
      <c r="R440" s="1311"/>
      <c r="S440" s="1311"/>
      <c r="T440" s="1311"/>
      <c r="U440" s="1311"/>
      <c r="V440" s="1311"/>
      <c r="W440" s="1311"/>
      <c r="X440" s="1311"/>
      <c r="Y440" s="1311"/>
      <c r="Z440" s="1311"/>
      <c r="AA440" s="1311"/>
      <c r="AB440" s="1311"/>
      <c r="AC440" s="1284"/>
      <c r="AD440" s="1284"/>
      <c r="AE440" s="1284"/>
      <c r="AF440" s="1284"/>
      <c r="AG440" s="1284"/>
      <c r="AH440" s="1284"/>
      <c r="AI440" s="1284"/>
      <c r="AJ440" s="1284"/>
      <c r="AK440" s="1284"/>
      <c r="AL440" s="1284"/>
      <c r="AM440" s="1284"/>
      <c r="AN440" s="1284"/>
      <c r="AO440" s="1284"/>
      <c r="AP440" s="1284"/>
      <c r="AQ440" s="1284"/>
      <c r="AR440" s="1236"/>
      <c r="AS440" s="1410"/>
      <c r="AT440" s="1284"/>
      <c r="AU440" s="1263"/>
      <c r="AV440" s="1263"/>
      <c r="AW440" s="1263"/>
      <c r="AX440" s="1263"/>
      <c r="AY440" s="1263"/>
      <c r="AZ440" s="1263"/>
      <c r="BA440" s="1263"/>
      <c r="BB440" s="1263"/>
      <c r="BC440" s="1263"/>
      <c r="BD440" s="1263"/>
      <c r="BE440" s="1263"/>
    </row>
    <row r="441" spans="1:57" s="369" customFormat="1" x14ac:dyDescent="0.2">
      <c r="A441" s="411"/>
      <c r="B441" s="450" t="s">
        <v>211</v>
      </c>
      <c r="C441" s="321"/>
      <c r="D441" s="1311"/>
      <c r="E441" s="1311"/>
      <c r="F441" s="1311"/>
      <c r="G441" s="1311"/>
      <c r="H441" s="1311"/>
      <c r="I441" s="1311"/>
      <c r="J441" s="1311"/>
      <c r="K441" s="1311"/>
      <c r="L441" s="1311"/>
      <c r="M441" s="1311"/>
      <c r="N441" s="1311"/>
      <c r="O441" s="1311"/>
      <c r="P441" s="1311"/>
      <c r="Q441" s="1311"/>
      <c r="R441" s="1311"/>
      <c r="S441" s="1311"/>
      <c r="T441" s="1311"/>
      <c r="U441" s="1311"/>
      <c r="V441" s="1311"/>
      <c r="W441" s="1311"/>
      <c r="X441" s="1311"/>
      <c r="Y441" s="1311"/>
      <c r="Z441" s="1311"/>
      <c r="AA441" s="1311"/>
      <c r="AB441" s="1311"/>
      <c r="AC441" s="1284"/>
      <c r="AD441" s="1284"/>
      <c r="AE441" s="1284"/>
      <c r="AF441" s="1284"/>
      <c r="AG441" s="1284"/>
      <c r="AH441" s="1284"/>
      <c r="AI441" s="1284"/>
      <c r="AJ441" s="1284"/>
      <c r="AK441" s="1284"/>
      <c r="AL441" s="1284"/>
      <c r="AM441" s="1284"/>
      <c r="AN441" s="1284"/>
      <c r="AO441" s="1284"/>
      <c r="AP441" s="1284"/>
      <c r="AQ441" s="1284"/>
      <c r="AR441" s="1236"/>
      <c r="AS441" s="1413"/>
      <c r="AT441" s="1284"/>
      <c r="AU441" s="1263"/>
      <c r="AV441" s="1263"/>
      <c r="AW441" s="1263"/>
      <c r="AX441" s="1263"/>
      <c r="AY441" s="1263"/>
      <c r="AZ441" s="1263"/>
      <c r="BA441" s="1263"/>
      <c r="BB441" s="1263"/>
      <c r="BC441" s="1263"/>
      <c r="BD441" s="1263"/>
      <c r="BE441" s="1263"/>
    </row>
    <row r="442" spans="1:57" s="369" customFormat="1" x14ac:dyDescent="0.2">
      <c r="A442" s="411"/>
      <c r="B442" s="321" t="s">
        <v>134</v>
      </c>
      <c r="C442" s="321"/>
      <c r="D442" s="1267"/>
      <c r="E442" s="1267"/>
      <c r="F442" s="1267"/>
      <c r="G442" s="1267"/>
      <c r="H442" s="1267">
        <f>IFERROR(Model!H442/Model!D442-1,"NA")</f>
        <v>3.8620689655172402E-2</v>
      </c>
      <c r="I442" s="1267">
        <f>IFERROR(Model!I442/Model!E442-1,"NA")</f>
        <v>1.1126564673157091E-2</v>
      </c>
      <c r="J442" s="1267">
        <f>IFERROR(Model!J442/Model!F442-1,"NA")</f>
        <v>2.3129251700680253E-2</v>
      </c>
      <c r="K442" s="1267">
        <f>IFERROR(Model!K442/Model!G442-1,"NA")</f>
        <v>2.9451137884872969E-2</v>
      </c>
      <c r="L442" s="1267">
        <f>IFERROR(Model!L442/Model!H442-1,"NA")</f>
        <v>4.2496679946879112E-2</v>
      </c>
      <c r="M442" s="1267">
        <f>IFERROR(Model!M442/Model!I442-1,"NA")</f>
        <v>0.11279229711141681</v>
      </c>
      <c r="N442" s="1267">
        <f>IFERROR(Model!N442/Model!J442-1,"NA")</f>
        <v>8.1117021276595702E-2</v>
      </c>
      <c r="O442" s="1267">
        <f>IFERROR(Model!O442/Model!K442-1,"NA")</f>
        <v>3.2509752925877766E-2</v>
      </c>
      <c r="P442" s="1267">
        <f>IFERROR(Model!P442/Model!L442-1,"NA")</f>
        <v>1.0191082802547768E-2</v>
      </c>
      <c r="Q442" s="1267">
        <f>IFERROR(Model!Q442/Model!M442-1,"NA")</f>
        <v>-9.8887515451175911E-3</v>
      </c>
      <c r="R442" s="1267">
        <f>IFERROR(Model!R442/Model!N442-1,"NA")</f>
        <v>-2.8290282902828978E-2</v>
      </c>
      <c r="S442" s="1267">
        <f>IFERROR(Model!S442/Model!O442-1,"NA")</f>
        <v>1.0075566750629594E-2</v>
      </c>
      <c r="T442" s="1267">
        <f>IFERROR(Model!T442/Model!P442-1,"NA")</f>
        <v>3.6569987389659664E-2</v>
      </c>
      <c r="U442" s="1267">
        <f>IFERROR(Model!U442/Model!Q442-1,"NA")</f>
        <v>1.8726591760299671E-2</v>
      </c>
      <c r="V442" s="1267">
        <f>IFERROR(Model!V442/Model!R442-1,"NA")</f>
        <v>3.03797468354432E-2</v>
      </c>
      <c r="W442" s="1267">
        <f>IFERROR(Model!W442/Model!S442-1,"NA")</f>
        <v>-9.9750623441394737E-3</v>
      </c>
      <c r="X442" s="1267">
        <f>IFERROR(Model!X442/Model!T442-1,"NA")</f>
        <v>-1.2165450121654708E-2</v>
      </c>
      <c r="Y442" s="1267">
        <f>IFERROR(Model!Y442/Model!U442-1,"NA")</f>
        <v>-2.450980392156743E-3</v>
      </c>
      <c r="Z442" s="1267">
        <f>IFERROR(Model!Z442/Model!V442-1,"NA")</f>
        <v>0</v>
      </c>
      <c r="AA442" s="1267">
        <f>IFERROR(Model!AA442/Model!W442-1,"NA")</f>
        <v>2.8967254408060139E-2</v>
      </c>
      <c r="AB442" s="1267">
        <f>IFERROR(Model!AB442/Model!X442-1,"NA")</f>
        <v>1.1083743842364546E-2</v>
      </c>
      <c r="AC442" s="1284">
        <f>IFERROR(Model!AC442/Model!Y442-1,"NA")</f>
        <v>1.8685503685503591E-2</v>
      </c>
      <c r="AD442" s="1284">
        <f>IFERROR(Model!AD442/Model!Z442-1,"NA")</f>
        <v>3.1223648648648572E-2</v>
      </c>
      <c r="AE442" s="1284">
        <f>IFERROR(Model!AE442/Model!AA442-1,"NA")</f>
        <v>4.7985766217870207E-2</v>
      </c>
      <c r="AF442" s="1284">
        <f>IFERROR(Model!AF442/Model!AB442-1,"NA")</f>
        <v>5.0035428136418814E-2</v>
      </c>
      <c r="AG442" s="1284">
        <f>IFERROR(Model!AG442/Model!AC442-1,"NA")</f>
        <v>5.352071813032877E-2</v>
      </c>
      <c r="AH442" s="1284">
        <f>IFERROR(Model!AH442/Model!AD442-1,"NA")</f>
        <v>5.0348261675374983E-2</v>
      </c>
      <c r="AI442" s="1284">
        <f>IFERROR(Model!AI442/Model!AE442-1,"NA")</f>
        <v>4.5782360814222711E-2</v>
      </c>
      <c r="AJ442" s="1284"/>
      <c r="AK442" s="1284"/>
      <c r="AL442" s="1284"/>
      <c r="AM442" s="1284"/>
      <c r="AN442" s="1284"/>
      <c r="AO442" s="1284"/>
      <c r="AP442" s="1284"/>
      <c r="AQ442" s="1284"/>
      <c r="AR442" s="1236"/>
      <c r="AS442" s="1284"/>
      <c r="AT442" s="1284"/>
      <c r="AU442" s="1236"/>
      <c r="AV442" s="1236">
        <f>IFERROR(Model!AV442/Model!AU442-1,"NA")</f>
        <v>2.9451137884872969E-2</v>
      </c>
      <c r="AW442" s="1236">
        <f>IFERROR(Model!AW442/Model!AV442-1,"NA")</f>
        <v>3.2509752925877766E-2</v>
      </c>
      <c r="AX442" s="1236">
        <f>IFERROR(Model!AX442/Model!AW442-1,"NA")</f>
        <v>1.0075566750629594E-2</v>
      </c>
      <c r="AY442" s="1236">
        <f>IFERROR(Model!AY442/Model!AX442-1,"NA")</f>
        <v>-9.9750623441394737E-3</v>
      </c>
      <c r="AZ442" s="1236">
        <f>IFERROR(Model!AZ442/Model!AY442-1,"NA")</f>
        <v>2.8967254408060139E-2</v>
      </c>
      <c r="BA442" s="1236">
        <f>IFERROR(Model!BA442/Model!AZ442-1,"NA")</f>
        <v>4.7985766217870207E-2</v>
      </c>
      <c r="BB442" s="1284">
        <f>IFERROR(Model!BB442/Model!BA442-1,"NA")</f>
        <v>4.5782360814222711E-2</v>
      </c>
      <c r="BC442" s="1284">
        <f>IFERROR(Model!BC442/Model!BB442-1,"NA")</f>
        <v>5.0902334996777432E-2</v>
      </c>
      <c r="BD442" s="1284">
        <f>IFERROR(Model!BD442/Model!BC442-1,"NA")</f>
        <v>4.9461637113076495E-2</v>
      </c>
      <c r="BE442" s="1284">
        <f>IFERROR(Model!BE442/Model!BD442-1,"NA")</f>
        <v>4.9466490834347621E-2</v>
      </c>
    </row>
    <row r="443" spans="1:57" s="369" customFormat="1" x14ac:dyDescent="0.2">
      <c r="A443" s="411"/>
      <c r="B443" s="321" t="s">
        <v>133</v>
      </c>
      <c r="C443" s="321"/>
      <c r="D443" s="1267"/>
      <c r="E443" s="1267"/>
      <c r="F443" s="1267"/>
      <c r="G443" s="1267"/>
      <c r="H443" s="1267">
        <f>IFERROR(Model!H443/Model!D443-1,"NA")</f>
        <v>6.1728395061728447E-2</v>
      </c>
      <c r="I443" s="1267">
        <f>IFERROR(Model!I443/Model!E443-1,"NA")</f>
        <v>9.4339622641509635E-2</v>
      </c>
      <c r="J443" s="1267">
        <f>IFERROR(Model!J443/Model!F443-1,"NA")</f>
        <v>6.4417177914110502E-2</v>
      </c>
      <c r="K443" s="1267">
        <f>IFERROR(Model!K443/Model!G443-1,"NA")</f>
        <v>7.2072072072072224E-2</v>
      </c>
      <c r="L443" s="1267">
        <f>IFERROR(Model!L443/Model!H443-1,"NA")</f>
        <v>3.779069767441845E-2</v>
      </c>
      <c r="M443" s="1267">
        <f>IFERROR(Model!M443/Model!I443-1,"NA")</f>
        <v>4.5977011494252595E-2</v>
      </c>
      <c r="N443" s="1267">
        <f>IFERROR(Model!N443/Model!J443-1,"NA")</f>
        <v>2.5936599423631135E-2</v>
      </c>
      <c r="O443" s="1267">
        <f>IFERROR(Model!O443/Model!K443-1,"NA")</f>
        <v>-5.6022408963585679E-2</v>
      </c>
      <c r="P443" s="1267">
        <f>IFERROR(Model!P443/Model!L443-1,"NA")</f>
        <v>-7.5630252100840178E-2</v>
      </c>
      <c r="Q443" s="1267">
        <f>IFERROR(Model!Q443/Model!M443-1,"NA")</f>
        <v>-8.2417582417582236E-2</v>
      </c>
      <c r="R443" s="1267">
        <f>IFERROR(Model!R443/Model!N443-1,"NA")</f>
        <v>-0.101123595505618</v>
      </c>
      <c r="S443" s="1267">
        <f>IFERROR(Model!S443/Model!O443-1,"NA")</f>
        <v>-5.3412462908011715E-2</v>
      </c>
      <c r="T443" s="1267">
        <f>IFERROR(Model!T443/Model!P443-1,"NA")</f>
        <v>-2.4242424242424176E-2</v>
      </c>
      <c r="U443" s="1267">
        <f>IFERROR(Model!U443/Model!Q443-1,"NA")</f>
        <v>-2.3952095808383533E-2</v>
      </c>
      <c r="V443" s="1267">
        <f>IFERROR(Model!V443/Model!R443-1,"NA")</f>
        <v>3.7500000000000089E-2</v>
      </c>
      <c r="W443" s="1267">
        <f>IFERROR(Model!W443/Model!S443-1,"NA")</f>
        <v>3.1347962382444194E-3</v>
      </c>
      <c r="X443" s="1267">
        <f>IFERROR(Model!X443/Model!T443-1,"NA")</f>
        <v>5.2795031055900443E-2</v>
      </c>
      <c r="Y443" s="1267">
        <f>IFERROR(Model!Y443/Model!U443-1,"NA")</f>
        <v>6.7484662576687171E-2</v>
      </c>
      <c r="Z443" s="1267">
        <f>IFERROR(Model!Z443/Model!V443-1,"NA")</f>
        <v>6.9277108433734913E-2</v>
      </c>
      <c r="AA443" s="1267">
        <f>IFERROR(Model!AA443/Model!W443-1,"NA")</f>
        <v>0.13437499999999991</v>
      </c>
      <c r="AB443" s="1267">
        <f>IFERROR(Model!AB443/Model!X443-1,"NA")</f>
        <v>8.5545722713864292E-2</v>
      </c>
      <c r="AC443" s="1284">
        <f>IFERROR(Model!AC443/Model!Y443-1,"NA")</f>
        <v>6.8045977011494285E-2</v>
      </c>
      <c r="AD443" s="1284">
        <f>IFERROR(Model!AD443/Model!Z443-1,"NA")</f>
        <v>6.1396197183098522E-2</v>
      </c>
      <c r="AE443" s="1284">
        <f>IFERROR(Model!AE443/Model!AA443-1,"NA")</f>
        <v>5.8764636363636269E-2</v>
      </c>
      <c r="AF443" s="1284">
        <f>IFERROR(Model!AF443/Model!AB443-1,"NA")</f>
        <v>4.6412352581521432E-2</v>
      </c>
      <c r="AG443" s="1284">
        <f>IFERROR(Model!AG443/Model!AC443-1,"NA")</f>
        <v>4.6553784728260661E-2</v>
      </c>
      <c r="AH443" s="1284">
        <f>IFERROR(Model!AH443/Model!AD443-1,"NA")</f>
        <v>4.2919992320574085E-2</v>
      </c>
      <c r="AI443" s="1284">
        <f>IFERROR(Model!AI443/Model!AE443-1,"NA")</f>
        <v>3.768181921918079E-2</v>
      </c>
      <c r="AJ443" s="1284"/>
      <c r="AK443" s="1284"/>
      <c r="AL443" s="1284"/>
      <c r="AM443" s="1284"/>
      <c r="AN443" s="1284"/>
      <c r="AO443" s="1284"/>
      <c r="AP443" s="1284"/>
      <c r="AQ443" s="1284"/>
      <c r="AR443" s="1236"/>
      <c r="AS443" s="1284"/>
      <c r="AT443" s="1284"/>
      <c r="AU443" s="1236"/>
      <c r="AV443" s="1236">
        <f>IFERROR(Model!AV443/Model!AU443-1,"NA")</f>
        <v>7.2072072072072224E-2</v>
      </c>
      <c r="AW443" s="1236">
        <f>IFERROR(Model!AW443/Model!AV443-1,"NA")</f>
        <v>-5.6022408963585679E-2</v>
      </c>
      <c r="AX443" s="1236">
        <f>IFERROR(Model!AX443/Model!AW443-1,"NA")</f>
        <v>-5.3412462908011715E-2</v>
      </c>
      <c r="AY443" s="1236">
        <f>IFERROR(Model!AY443/Model!AX443-1,"NA")</f>
        <v>3.1347962382444194E-3</v>
      </c>
      <c r="AZ443" s="1236">
        <f>IFERROR(Model!AZ443/Model!AY443-1,"NA")</f>
        <v>0.13437499999999991</v>
      </c>
      <c r="BA443" s="1236">
        <f>IFERROR(Model!BA443/Model!AZ443-1,"NA")</f>
        <v>5.8764636363636269E-2</v>
      </c>
      <c r="BB443" s="1284">
        <f>IFERROR(Model!BB443/Model!BA443-1,"NA")</f>
        <v>3.768181921918079E-2</v>
      </c>
      <c r="BC443" s="1284">
        <f>IFERROR(Model!BC443/Model!BB443-1,"NA")</f>
        <v>4.5039496391742873E-2</v>
      </c>
      <c r="BD443" s="1284">
        <f>IFERROR(Model!BD443/Model!BC443-1,"NA")</f>
        <v>4.7163844463198101E-2</v>
      </c>
      <c r="BE443" s="1284">
        <f>IFERROR(Model!BE443/Model!BD443-1,"NA")</f>
        <v>4.7183247135708983E-2</v>
      </c>
    </row>
    <row r="444" spans="1:57" s="369" customFormat="1" x14ac:dyDescent="0.2">
      <c r="A444" s="411"/>
      <c r="B444" s="376" t="s">
        <v>86</v>
      </c>
      <c r="C444" s="376"/>
      <c r="D444" s="1401"/>
      <c r="E444" s="1401"/>
      <c r="F444" s="1401"/>
      <c r="G444" s="1401"/>
      <c r="H444" s="1401">
        <f>IFERROR(Model!H444/Model!D444-1,"NA")</f>
        <v>0.11250000000000004</v>
      </c>
      <c r="I444" s="1401">
        <f>IFERROR(Model!I444/Model!E444-1,"NA")</f>
        <v>8.2644628099173501E-2</v>
      </c>
      <c r="J444" s="1401">
        <f>IFERROR(Model!J444/Model!F444-1,"NA")</f>
        <v>2.7237354085603016E-2</v>
      </c>
      <c r="K444" s="1401">
        <f>IFERROR(Model!K444/Model!G444-1,"NA")</f>
        <v>4.5627376425855459E-2</v>
      </c>
      <c r="L444" s="1401">
        <f>IFERROR(Model!L444/Model!H444-1,"NA")</f>
        <v>6.3670411985018882E-2</v>
      </c>
      <c r="M444" s="1401">
        <f>IFERROR(Model!M444/Model!I444-1,"NA")</f>
        <v>0.11450381679389321</v>
      </c>
      <c r="N444" s="1401">
        <f>IFERROR(Model!N444/Model!J444-1,"NA")</f>
        <v>9.8484848484848619E-2</v>
      </c>
      <c r="O444" s="1401">
        <f>IFERROR(Model!O444/Model!K444-1,"NA")</f>
        <v>2.9090909090909056E-2</v>
      </c>
      <c r="P444" s="1401">
        <f>IFERROR(Model!P444/Model!L444-1,"NA")</f>
        <v>-1.1102230246251565E-16</v>
      </c>
      <c r="Q444" s="1401">
        <f>IFERROR(Model!Q444/Model!M444-1,"NA")</f>
        <v>-1.0273972602739656E-2</v>
      </c>
      <c r="R444" s="1401">
        <f>IFERROR(Model!R444/Model!N444-1,"NA")</f>
        <v>-3.1034482758620641E-2</v>
      </c>
      <c r="S444" s="1401">
        <f>IFERROR(Model!S444/Model!O444-1,"NA")</f>
        <v>-3.5335689045935537E-3</v>
      </c>
      <c r="T444" s="1401">
        <f>IFERROR(Model!T444/Model!P444-1,"NA")</f>
        <v>-2.8169014084506894E-2</v>
      </c>
      <c r="U444" s="1401">
        <f>IFERROR(Model!U444/Model!Q444-1,"NA")</f>
        <v>-5.8823529411764719E-2</v>
      </c>
      <c r="V444" s="1401">
        <f>IFERROR(Model!V444/Model!R444-1,"NA")</f>
        <v>-3.9145907473309705E-2</v>
      </c>
      <c r="W444" s="1401">
        <f>IFERROR(Model!W444/Model!S444-1,"NA")</f>
        <v>-0.11702127659574468</v>
      </c>
      <c r="X444" s="1401">
        <f>IFERROR(Model!X444/Model!T444-1,"NA")</f>
        <v>-4.7101449275362417E-2</v>
      </c>
      <c r="Y444" s="1401">
        <f>IFERROR(Model!Y444/Model!U444-1,"NA")</f>
        <v>0</v>
      </c>
      <c r="Z444" s="1401">
        <f>IFERROR(Model!Z444/Model!V444-1,"NA")</f>
        <v>1.1111111111111072E-2</v>
      </c>
      <c r="AA444" s="1401">
        <f>IFERROR(Model!AA444/Model!W444-1,"NA")</f>
        <v>0.12048192771084332</v>
      </c>
      <c r="AB444" s="1401">
        <f>IFERROR(Model!AB444/Model!X444-1,"NA")</f>
        <v>8.365019011406849E-2</v>
      </c>
      <c r="AC444" s="1270">
        <f>IFERROR(Model!AC444/Model!Y444-1,"NA")</f>
        <v>5.8272058823529038E-2</v>
      </c>
      <c r="AD444" s="1270">
        <f>IFERROR(Model!AD444/Model!Z444-1,"NA")</f>
        <v>6.9823076923076544E-2</v>
      </c>
      <c r="AE444" s="1270">
        <f>IFERROR(Model!AE444/Model!AA444-1,"NA")</f>
        <v>6.7752451612902886E-2</v>
      </c>
      <c r="AF444" s="1270">
        <f>IFERROR(Model!AF444/Model!AB444-1,"NA")</f>
        <v>4.7471031894736226E-2</v>
      </c>
      <c r="AG444" s="1270">
        <f>IFERROR(Model!AG444/Model!AC444-1,"NA")</f>
        <v>4.4550414894736656E-2</v>
      </c>
      <c r="AH444" s="1270">
        <f>IFERROR(Model!AH444/Model!AD444-1,"NA")</f>
        <v>3.9065878194444403E-2</v>
      </c>
      <c r="AI444" s="1270">
        <f>IFERROR(Model!AI444/Model!AE444-1,"NA")</f>
        <v>3.1129286463371431E-2</v>
      </c>
      <c r="AJ444" s="1263"/>
      <c r="AK444" s="1263"/>
      <c r="AL444" s="1263"/>
      <c r="AM444" s="1263"/>
      <c r="AN444" s="1263"/>
      <c r="AO444" s="1263"/>
      <c r="AP444" s="1263"/>
      <c r="AQ444" s="1263"/>
      <c r="AR444" s="1236"/>
      <c r="AS444" s="1270"/>
      <c r="AT444" s="1270"/>
      <c r="AU444" s="1246"/>
      <c r="AV444" s="1246">
        <f>IFERROR(Model!AV444/Model!AU444-1,"NA")</f>
        <v>4.5627376425855459E-2</v>
      </c>
      <c r="AW444" s="1246">
        <f>IFERROR(Model!AW444/Model!AV444-1,"NA")</f>
        <v>2.9090909090909056E-2</v>
      </c>
      <c r="AX444" s="1246">
        <f>IFERROR(Model!AX444/Model!AW444-1,"NA")</f>
        <v>-3.5335689045935537E-3</v>
      </c>
      <c r="AY444" s="1246">
        <f>IFERROR(Model!AY444/Model!AX444-1,"NA")</f>
        <v>-0.11702127659574468</v>
      </c>
      <c r="AZ444" s="1246">
        <f>IFERROR(Model!AZ444/Model!AY444-1,"NA")</f>
        <v>0.12048192771084332</v>
      </c>
      <c r="BA444" s="1246">
        <f>IFERROR(Model!BA444/Model!AZ444-1,"NA")</f>
        <v>6.7752451612902886E-2</v>
      </c>
      <c r="BB444" s="1270">
        <f>IFERROR(Model!BB444/Model!BA444-1,"NA")</f>
        <v>3.1129286463371431E-2</v>
      </c>
      <c r="BC444" s="1270">
        <f>IFERROR(Model!BC444/Model!BB444-1,"NA")</f>
        <v>4.1509897264414564E-2</v>
      </c>
      <c r="BD444" s="1270">
        <f>IFERROR(Model!BD444/Model!BC444-1,"NA")</f>
        <v>4.7818354939394236E-2</v>
      </c>
      <c r="BE444" s="1270">
        <f>IFERROR(Model!BE444/Model!BD444-1,"NA")</f>
        <v>4.7834633405365867E-2</v>
      </c>
    </row>
    <row r="445" spans="1:57" s="369" customFormat="1" x14ac:dyDescent="0.2">
      <c r="A445" s="411"/>
      <c r="B445" s="321"/>
      <c r="C445" s="334" t="s">
        <v>88</v>
      </c>
      <c r="D445" s="1267"/>
      <c r="E445" s="1267"/>
      <c r="F445" s="1267"/>
      <c r="G445" s="1267"/>
      <c r="H445" s="1267">
        <f>IFERROR(Model!H445/Model!D445-1,"NA")</f>
        <v>5.8184639255236315E-2</v>
      </c>
      <c r="I445" s="1267">
        <f>IFERROR(Model!I445/Model!E445-1,"NA")</f>
        <v>4.5347928068803611E-2</v>
      </c>
      <c r="J445" s="1267">
        <f>IFERROR(Model!J445/Model!F445-1,"NA")</f>
        <v>3.4142640364188459E-2</v>
      </c>
      <c r="K445" s="1267">
        <f>IFERROR(Model!K445/Model!G445-1,"NA")</f>
        <v>4.3186895011169124E-2</v>
      </c>
      <c r="L445" s="1267">
        <f>IFERROR(Model!L445/Model!H445-1,"NA")</f>
        <v>4.5454545454545636E-2</v>
      </c>
      <c r="M445" s="1267">
        <f>IFERROR(Model!M445/Model!I445-1,"NA")</f>
        <v>9.5736724008975482E-2</v>
      </c>
      <c r="N445" s="1267">
        <f>IFERROR(Model!N445/Model!J445-1,"NA")</f>
        <v>7.0432868672047011E-2</v>
      </c>
      <c r="O445" s="1267">
        <f>IFERROR(Model!O445/Model!K445-1,"NA")</f>
        <v>9.2790863668805734E-3</v>
      </c>
      <c r="P445" s="1267">
        <f>IFERROR(Model!P445/Model!L445-1,"NA")</f>
        <v>-1.3323983169705511E-2</v>
      </c>
      <c r="Q445" s="1267">
        <f>IFERROR(Model!Q445/Model!M445-1,"NA")</f>
        <v>-2.7986348122866822E-2</v>
      </c>
      <c r="R445" s="1267">
        <f>IFERROR(Model!R445/Model!N445-1,"NA")</f>
        <v>-4.6607265250171448E-2</v>
      </c>
      <c r="S445" s="1267">
        <f>IFERROR(Model!S445/Model!O445-1,"NA")</f>
        <v>-7.7793493635077704E-3</v>
      </c>
      <c r="T445" s="1267">
        <f>IFERROR(Model!T445/Model!P445-1,"NA")</f>
        <v>9.2395167022032432E-3</v>
      </c>
      <c r="U445" s="1267">
        <f>IFERROR(Model!U445/Model!Q445-1,"NA")</f>
        <v>-7.0224719101125155E-3</v>
      </c>
      <c r="V445" s="1267">
        <f>IFERROR(Model!V445/Model!R445-1,"NA")</f>
        <v>1.7972681524083489E-2</v>
      </c>
      <c r="W445" s="1267">
        <f>IFERROR(Model!W445/Model!S445-1,"NA")</f>
        <v>-2.851033499643596E-2</v>
      </c>
      <c r="X445" s="1267">
        <f>IFERROR(Model!X445/Model!T445-1,"NA")</f>
        <v>-4.2253521126761617E-3</v>
      </c>
      <c r="Y445" s="1267">
        <f>IFERROR(Model!Y445/Model!U445-1,"NA")</f>
        <v>1.4144271570014411E-2</v>
      </c>
      <c r="Z445" s="1267">
        <f>IFERROR(Model!Z445/Model!V445-1,"NA")</f>
        <v>1.836158192090398E-2</v>
      </c>
      <c r="AA445" s="1267">
        <f>IFERROR(Model!AA445/Model!W445-1,"NA")</f>
        <v>7.0432868672046789E-2</v>
      </c>
      <c r="AB445" s="1267">
        <f>IFERROR(Model!AB445/Model!X445-1,"NA")</f>
        <v>4.2432814710042344E-2</v>
      </c>
      <c r="AC445" s="1267">
        <f>IFERROR(Model!AC445/Model!Y445-1,"NA")</f>
        <v>3.8172942817294109E-2</v>
      </c>
      <c r="AD445" s="1267">
        <f>IFERROR(Model!AD445/Model!Z445-1,"NA")</f>
        <v>4.5959361997225834E-2</v>
      </c>
      <c r="AE445" s="1267">
        <f>IFERROR(Model!AE445/Model!AA445-1,"NA")</f>
        <v>5.4447476353666646E-2</v>
      </c>
      <c r="AF445" s="1267">
        <f>IFERROR(Model!AF445/Model!AB445-1,"NA")</f>
        <v>4.8635058575305035E-2</v>
      </c>
      <c r="AG445" s="1267">
        <f>IFERROR(Model!AG445/Model!AC445-1,"NA")</f>
        <v>5.004692714382597E-2</v>
      </c>
      <c r="AH445" s="1267">
        <f>IFERROR(Model!AH445/Model!AD445-1,"NA")</f>
        <v>4.6307819352776169E-2</v>
      </c>
      <c r="AI445" s="1267">
        <f>IFERROR(Model!AI445/Model!AE445-1,"NA")</f>
        <v>4.0921272207348203E-2</v>
      </c>
      <c r="AJ445" s="1267"/>
      <c r="AK445" s="1267"/>
      <c r="AL445" s="1267"/>
      <c r="AM445" s="1267"/>
      <c r="AN445" s="1267"/>
      <c r="AO445" s="1267"/>
      <c r="AP445" s="1267"/>
      <c r="AQ445" s="1267"/>
      <c r="AR445" s="1236"/>
      <c r="AS445" s="1284"/>
      <c r="AT445" s="1410"/>
      <c r="AU445" s="1236"/>
      <c r="AV445" s="1236">
        <f>IFERROR(Model!AV445/Model!AU445-1,"NA")</f>
        <v>4.3186895011169124E-2</v>
      </c>
      <c r="AW445" s="1236">
        <f>IFERROR(Model!AW445/Model!AV445-1,"NA")</f>
        <v>9.2790863668805734E-3</v>
      </c>
      <c r="AX445" s="1236">
        <f>IFERROR(Model!AX445/Model!AW445-1,"NA")</f>
        <v>-7.7793493635077704E-3</v>
      </c>
      <c r="AY445" s="1236">
        <f>IFERROR(Model!AY445/Model!AX445-1,"NA")</f>
        <v>-2.851033499643596E-2</v>
      </c>
      <c r="AZ445" s="1236">
        <f>IFERROR(Model!AZ445/Model!AY445-1,"NA")</f>
        <v>7.0432868672046789E-2</v>
      </c>
      <c r="BA445" s="1236">
        <f>IFERROR(Model!BA445/Model!AZ445-1,"NA")</f>
        <v>5.4447476353666646E-2</v>
      </c>
      <c r="BB445" s="1267">
        <f>IFERROR(Model!BB445/Model!BA445-1,"NA")</f>
        <v>4.0921272207348203E-2</v>
      </c>
      <c r="BC445" s="1267">
        <f>IFERROR(Model!BC445/Model!BB445-1,"NA")</f>
        <v>4.764060315266172E-2</v>
      </c>
      <c r="BD445" s="1267">
        <f>IFERROR(Model!BD445/Model!BC445-1,"NA")</f>
        <v>4.8577444821268578E-2</v>
      </c>
      <c r="BE445" s="1267">
        <f>IFERROR(Model!BE445/Model!BD445-1,"NA")</f>
        <v>4.8589081432957038E-2</v>
      </c>
    </row>
    <row r="446" spans="1:57" s="369" customFormat="1" x14ac:dyDescent="0.2">
      <c r="A446" s="411"/>
      <c r="B446" s="450"/>
      <c r="C446" s="321"/>
      <c r="D446" s="1311"/>
      <c r="E446" s="1311"/>
      <c r="F446" s="1311"/>
      <c r="G446" s="1311"/>
      <c r="H446" s="1311"/>
      <c r="I446" s="1311"/>
      <c r="J446" s="1311"/>
      <c r="K446" s="1311"/>
      <c r="L446" s="1311"/>
      <c r="M446" s="1311"/>
      <c r="N446" s="1311"/>
      <c r="O446" s="1311"/>
      <c r="P446" s="1311"/>
      <c r="Q446" s="1311"/>
      <c r="R446" s="1311"/>
      <c r="S446" s="1311"/>
      <c r="T446" s="1311"/>
      <c r="U446" s="1311"/>
      <c r="V446" s="1311"/>
      <c r="W446" s="1311"/>
      <c r="X446" s="1311"/>
      <c r="Y446" s="1311"/>
      <c r="Z446" s="1311"/>
      <c r="AA446" s="1311"/>
      <c r="AB446" s="1311"/>
      <c r="AC446" s="1284"/>
      <c r="AD446" s="1284"/>
      <c r="AE446" s="1284"/>
      <c r="AF446" s="1284"/>
      <c r="AG446" s="1284"/>
      <c r="AH446" s="1284"/>
      <c r="AI446" s="1284"/>
      <c r="AJ446" s="1284"/>
      <c r="AK446" s="1284"/>
      <c r="AL446" s="1284"/>
      <c r="AM446" s="1284"/>
      <c r="AN446" s="1284"/>
      <c r="AO446" s="1284"/>
      <c r="AP446" s="1284"/>
      <c r="AQ446" s="1284"/>
      <c r="AR446" s="1236"/>
      <c r="AS446" s="1413"/>
      <c r="AT446" s="1284"/>
      <c r="AU446" s="1263"/>
      <c r="AV446" s="1263"/>
      <c r="AW446" s="1263"/>
      <c r="AX446" s="1263"/>
      <c r="AY446" s="1263"/>
      <c r="AZ446" s="1263"/>
      <c r="BA446" s="1263"/>
      <c r="BB446" s="1263"/>
      <c r="BC446" s="1263"/>
      <c r="BD446" s="1263"/>
      <c r="BE446" s="1263"/>
    </row>
    <row r="447" spans="1:57" s="369" customFormat="1" x14ac:dyDescent="0.2">
      <c r="A447" s="411"/>
      <c r="B447" s="450" t="s">
        <v>208</v>
      </c>
      <c r="C447" s="321"/>
      <c r="D447" s="1274"/>
      <c r="E447" s="1274"/>
      <c r="F447" s="1274"/>
      <c r="G447" s="1274"/>
      <c r="H447" s="1274"/>
      <c r="I447" s="1274"/>
      <c r="J447" s="1274"/>
      <c r="K447" s="1274"/>
      <c r="L447" s="1274"/>
      <c r="M447" s="1274"/>
      <c r="N447" s="1274"/>
      <c r="O447" s="1274"/>
      <c r="P447" s="1274"/>
      <c r="Q447" s="1274"/>
      <c r="R447" s="1274"/>
      <c r="S447" s="1274"/>
      <c r="T447" s="1274"/>
      <c r="U447" s="1274"/>
      <c r="V447" s="1274"/>
      <c r="W447" s="1274"/>
      <c r="X447" s="1274"/>
      <c r="Y447" s="1274"/>
      <c r="Z447" s="1274"/>
      <c r="AA447" s="1274"/>
      <c r="AB447" s="1274"/>
      <c r="AC447" s="1274"/>
      <c r="AD447" s="1274"/>
      <c r="AE447" s="1274"/>
      <c r="AF447" s="1274"/>
      <c r="AG447" s="1274"/>
      <c r="AH447" s="1274"/>
      <c r="AI447" s="1274"/>
      <c r="AJ447" s="1274"/>
      <c r="AK447" s="1274"/>
      <c r="AL447" s="1274"/>
      <c r="AM447" s="1274"/>
      <c r="AN447" s="1274"/>
      <c r="AO447" s="1274"/>
      <c r="AP447" s="1274"/>
      <c r="AQ447" s="1274"/>
      <c r="AR447" s="1236"/>
      <c r="AS447" s="1410"/>
      <c r="AT447" s="1284"/>
      <c r="AU447" s="1274"/>
      <c r="AV447" s="1274"/>
      <c r="AW447" s="1274"/>
      <c r="AX447" s="1274"/>
      <c r="AY447" s="1274"/>
      <c r="AZ447" s="1274"/>
      <c r="BA447" s="1274"/>
      <c r="BB447" s="1274"/>
      <c r="BC447" s="1274"/>
      <c r="BD447" s="1274"/>
      <c r="BE447" s="1274"/>
    </row>
    <row r="448" spans="1:57" s="369" customFormat="1" x14ac:dyDescent="0.2">
      <c r="A448" s="411"/>
      <c r="B448" s="450"/>
      <c r="C448" s="321"/>
      <c r="D448" s="1262"/>
      <c r="E448" s="1262"/>
      <c r="F448" s="1262"/>
      <c r="G448" s="1262"/>
      <c r="H448" s="1262"/>
      <c r="I448" s="1262"/>
      <c r="J448" s="1262"/>
      <c r="K448" s="1262"/>
      <c r="L448" s="1262"/>
      <c r="M448" s="1262"/>
      <c r="N448" s="1262"/>
      <c r="O448" s="1262"/>
      <c r="P448" s="1262"/>
      <c r="Q448" s="1262"/>
      <c r="R448" s="1262"/>
      <c r="S448" s="1262"/>
      <c r="T448" s="1262"/>
      <c r="U448" s="1262"/>
      <c r="V448" s="1262"/>
      <c r="W448" s="1262"/>
      <c r="X448" s="1284"/>
      <c r="Y448" s="1284"/>
      <c r="Z448" s="1284"/>
      <c r="AA448" s="1284"/>
      <c r="AB448" s="1284"/>
      <c r="AC448" s="1284"/>
      <c r="AD448" s="1284"/>
      <c r="AE448" s="1284"/>
      <c r="AF448" s="1284"/>
      <c r="AG448" s="1284"/>
      <c r="AH448" s="1284"/>
      <c r="AI448" s="1284"/>
      <c r="AJ448" s="1284"/>
      <c r="AK448" s="1284"/>
      <c r="AL448" s="1284"/>
      <c r="AM448" s="1284"/>
      <c r="AN448" s="1284"/>
      <c r="AO448" s="1284"/>
      <c r="AP448" s="1284"/>
      <c r="AQ448" s="1284"/>
      <c r="AR448" s="1236"/>
      <c r="AS448" s="1413"/>
      <c r="AT448" s="1284"/>
      <c r="AU448" s="1263"/>
      <c r="AV448" s="1263"/>
      <c r="AW448" s="1263"/>
      <c r="AX448" s="1263"/>
      <c r="AY448" s="1263"/>
      <c r="AZ448" s="1263"/>
      <c r="BA448" s="1263"/>
      <c r="BB448" s="1263"/>
      <c r="BC448" s="1263"/>
      <c r="BD448" s="1263"/>
      <c r="BE448" s="1263"/>
    </row>
    <row r="449" spans="1:74" x14ac:dyDescent="0.2">
      <c r="D449" s="407"/>
      <c r="E449" s="407"/>
      <c r="F449" s="407"/>
      <c r="G449" s="407"/>
      <c r="H449" s="407"/>
      <c r="I449" s="407"/>
      <c r="J449" s="407"/>
      <c r="K449" s="407"/>
      <c r="L449" s="407"/>
      <c r="M449" s="407"/>
      <c r="N449" s="407"/>
      <c r="O449" s="407"/>
      <c r="P449" s="407"/>
      <c r="Q449" s="407"/>
      <c r="R449" s="407"/>
      <c r="S449" s="407"/>
      <c r="T449" s="407"/>
      <c r="U449" s="407"/>
      <c r="V449" s="407"/>
      <c r="W449" s="407"/>
      <c r="X449" s="407"/>
      <c r="Y449" s="407"/>
      <c r="Z449" s="407"/>
      <c r="AA449" s="407"/>
      <c r="AB449" s="407"/>
      <c r="AC449" s="407"/>
      <c r="AD449" s="407"/>
      <c r="AE449" s="407"/>
      <c r="AF449" s="407"/>
      <c r="AG449" s="407"/>
      <c r="AH449" s="407"/>
      <c r="AI449" s="407"/>
      <c r="AJ449" s="407"/>
      <c r="AK449" s="407"/>
      <c r="AL449" s="407"/>
      <c r="AM449" s="407"/>
      <c r="AN449" s="407"/>
      <c r="AO449" s="407"/>
      <c r="AP449" s="407"/>
      <c r="AQ449" s="407"/>
      <c r="AR449" s="1236"/>
      <c r="AS449" s="1382"/>
      <c r="AT449" s="407"/>
      <c r="AU449" s="1236"/>
      <c r="AV449" s="1236"/>
      <c r="AW449" s="1236"/>
      <c r="AX449" s="1236"/>
      <c r="AY449" s="1236"/>
      <c r="AZ449" s="1236"/>
      <c r="BA449" s="1236"/>
      <c r="BB449" s="1236"/>
      <c r="BC449" s="1236"/>
      <c r="BD449" s="1236"/>
      <c r="BE449" s="1236"/>
    </row>
    <row r="450" spans="1:74" x14ac:dyDescent="0.2">
      <c r="A450" s="411" t="s">
        <v>194</v>
      </c>
      <c r="B450" s="1155" t="s">
        <v>242</v>
      </c>
      <c r="C450" s="1155"/>
      <c r="D450" s="1445"/>
      <c r="E450" s="1445"/>
      <c r="F450" s="1445"/>
      <c r="G450" s="1445"/>
      <c r="H450" s="1445"/>
      <c r="I450" s="1445"/>
      <c r="J450" s="1445"/>
      <c r="K450" s="1445"/>
      <c r="L450" s="1445"/>
      <c r="M450" s="1445"/>
      <c r="N450" s="1445"/>
      <c r="O450" s="1445"/>
      <c r="P450" s="1445"/>
      <c r="Q450" s="1445"/>
      <c r="R450" s="1445"/>
      <c r="S450" s="1445"/>
      <c r="T450" s="1445"/>
      <c r="U450" s="1445"/>
      <c r="V450" s="1445"/>
      <c r="W450" s="1445"/>
      <c r="X450" s="1445"/>
      <c r="Y450" s="1445"/>
      <c r="Z450" s="1445"/>
      <c r="AA450" s="1445"/>
      <c r="AB450" s="1445"/>
      <c r="AC450" s="1445"/>
      <c r="AD450" s="1445"/>
      <c r="AE450" s="1445"/>
      <c r="AF450" s="1445"/>
      <c r="AG450" s="1445"/>
      <c r="AH450" s="1445"/>
      <c r="AI450" s="1445"/>
      <c r="AJ450" s="1445"/>
      <c r="AK450" s="1445"/>
      <c r="AL450" s="1445"/>
      <c r="AM450" s="1445"/>
      <c r="AN450" s="1445"/>
      <c r="AO450" s="1445"/>
      <c r="AP450" s="1445"/>
      <c r="AQ450" s="1445"/>
      <c r="AR450" s="1236"/>
      <c r="AS450" s="1446"/>
      <c r="AT450" s="1446"/>
      <c r="AU450" s="1445"/>
      <c r="AV450" s="1445"/>
      <c r="AW450" s="1445"/>
      <c r="AX450" s="1445"/>
      <c r="AY450" s="1445"/>
      <c r="AZ450" s="1445"/>
      <c r="BA450" s="1445"/>
      <c r="BB450" s="1445"/>
      <c r="BC450" s="1445"/>
      <c r="BD450" s="1445"/>
      <c r="BE450" s="1445"/>
      <c r="BF450" s="15"/>
      <c r="BG450" s="15"/>
      <c r="BH450" s="15"/>
      <c r="BI450" s="15"/>
      <c r="BJ450" s="15"/>
      <c r="BK450" s="15"/>
      <c r="BL450" s="15"/>
      <c r="BM450" s="15"/>
      <c r="BN450" s="15"/>
      <c r="BO450" s="15"/>
      <c r="BP450" s="15"/>
      <c r="BQ450" s="15"/>
      <c r="BR450" s="15"/>
      <c r="BS450" s="15"/>
      <c r="BT450" s="15"/>
      <c r="BU450" s="15"/>
      <c r="BV450" s="15"/>
    </row>
    <row r="451" spans="1:74" x14ac:dyDescent="0.2">
      <c r="B451" s="315" t="s">
        <v>642</v>
      </c>
      <c r="C451" s="16"/>
      <c r="D451" s="1287"/>
      <c r="E451" s="1287"/>
      <c r="F451" s="1287"/>
      <c r="G451" s="1287"/>
      <c r="H451" s="1287">
        <f>IFERROR(Model!H451/Model!D451-1,"NA")</f>
        <v>2.0706455542021995E-2</v>
      </c>
      <c r="I451" s="1287">
        <f>IFERROR(Model!I451/Model!E451-1,"NA")</f>
        <v>3.1343283582089487E-2</v>
      </c>
      <c r="J451" s="1287">
        <f>IFERROR(Model!J451/Model!F451-1,"NA")</f>
        <v>2.6334689968877223E-2</v>
      </c>
      <c r="K451" s="1287">
        <f>IFERROR(Model!K451/Model!G451-1,"NA")</f>
        <v>5.864414731409795E-2</v>
      </c>
      <c r="L451" s="1287">
        <f>IFERROR(Model!L451/Model!H451-1,"NA")</f>
        <v>4.24821002386635E-2</v>
      </c>
      <c r="M451" s="1287">
        <f>IFERROR(Model!M451/Model!I451-1,"NA")</f>
        <v>5.836951278340563E-2</v>
      </c>
      <c r="N451" s="1287">
        <f>IFERROR(Model!N451/Model!J451-1,"NA")</f>
        <v>5.7382785164450612E-2</v>
      </c>
      <c r="O451" s="1287">
        <f>IFERROR(Model!O451/Model!K451-1,"NA")</f>
        <v>8.8632838466651265E-4</v>
      </c>
      <c r="P451" s="1287">
        <f>IFERROR(Model!P451/Model!L451-1,"NA")</f>
        <v>-1.7857142857142905E-2</v>
      </c>
      <c r="Q451" s="1287">
        <f>IFERROR(Model!Q451/Model!M451-1,"NA")</f>
        <v>-3.4639927073837784E-2</v>
      </c>
      <c r="R451" s="1287">
        <f>IFERROR(Model!R451/Model!N451-1,"NA")</f>
        <v>-4.963600264725343E-2</v>
      </c>
      <c r="S451" s="1287">
        <f>IFERROR(Model!S451/Model!O451-1,"NA")</f>
        <v>-4.2948859862740774E-2</v>
      </c>
      <c r="T451" s="1287">
        <f>IFERROR(Model!T451/Model!P451-1,"NA")</f>
        <v>-2.4009324009323985E-2</v>
      </c>
      <c r="U451" s="1287">
        <f>IFERROR(Model!U451/Model!Q451-1,"NA")</f>
        <v>-1.9357884796978309E-2</v>
      </c>
      <c r="V451" s="1287">
        <f>IFERROR(Model!V451/Model!R451-1,"NA")</f>
        <v>4.8746518105849512E-2</v>
      </c>
      <c r="W451" s="1287">
        <f>IFERROR(Model!W451/Model!S451-1,"NA")</f>
        <v>4.718945176960454E-2</v>
      </c>
      <c r="X451" s="1287">
        <f>IFERROR(Model!X451/Model!T451-1,"NA")</f>
        <v>5.7320277048005686E-2</v>
      </c>
      <c r="Y451" s="1287">
        <f>IFERROR(Model!Y451/Model!U451-1,"NA")</f>
        <v>7.727491574386125E-2</v>
      </c>
      <c r="Z451" s="1287">
        <f>IFERROR(Model!Z451/Model!V451-1,"NA")</f>
        <v>3.7627268702965955E-2</v>
      </c>
      <c r="AA451" s="1287">
        <f>IFERROR(Model!AA451/Model!W451-1,"NA")</f>
        <v>2.7391208305721282E-2</v>
      </c>
      <c r="AB451" s="1287">
        <f>IFERROR(Model!AB451/Model!X451-1,"NA")</f>
        <v>4.2466681725773725E-2</v>
      </c>
      <c r="AC451" s="1287">
        <f>IFERROR(Model!AC451/Model!Y451-1,"NA")</f>
        <v>4.4874033978724803E-2</v>
      </c>
      <c r="AD451" s="1287">
        <f>IFERROR(Model!AD451/Model!Z451-1,"NA")</f>
        <v>3.7101482184183521E-2</v>
      </c>
      <c r="AE451" s="1287">
        <f>IFERROR(Model!AE451/Model!AA451-1,"NA")</f>
        <v>6.2319098982572596E-2</v>
      </c>
      <c r="AF451" s="1287">
        <f>IFERROR(Model!AF451/Model!AB451-1,"NA")</f>
        <v>4.0976158976767207E-2</v>
      </c>
      <c r="AG451" s="1287">
        <f>IFERROR(Model!AG451/Model!AC451-1,"NA")</f>
        <v>4.9454243747539373E-2</v>
      </c>
      <c r="AH451" s="1287">
        <f>IFERROR(Model!AH451/Model!AD451-1,"NA")</f>
        <v>4.5219976498800607E-2</v>
      </c>
      <c r="AI451" s="1287">
        <f>IFERROR(Model!AI451/Model!AE451-1,"NA")</f>
        <v>5.144175991649802E-2</v>
      </c>
      <c r="AJ451" s="1287"/>
      <c r="AK451" s="1287"/>
      <c r="AL451" s="1287"/>
      <c r="AM451" s="1287"/>
      <c r="AN451" s="1287"/>
      <c r="AO451" s="1287"/>
      <c r="AP451" s="1287"/>
      <c r="AQ451" s="1287"/>
      <c r="AR451" s="1236"/>
      <c r="AS451" s="1372"/>
      <c r="AT451" s="1371"/>
      <c r="AU451" s="1236"/>
      <c r="AV451" s="1236">
        <f>IFERROR(Model!AV451/Model!AU451-1,"NA")</f>
        <v>3.4470268638695956E-2</v>
      </c>
      <c r="AW451" s="1236">
        <f>IFERROR(Model!AW451/Model!AV451-1,"NA")</f>
        <v>3.9098972922502417E-2</v>
      </c>
      <c r="AX451" s="1236">
        <f>IFERROR(Model!AX451/Model!AW451-1,"NA")</f>
        <v>-3.6448388183758285E-2</v>
      </c>
      <c r="AY451" s="1236">
        <f>IFERROR(Model!AY451/Model!AX451-1,"NA")</f>
        <v>1.3347321792854139E-2</v>
      </c>
      <c r="AZ451" s="1236">
        <f>IFERROR(Model!AZ451/Model!AY451-1,"NA")</f>
        <v>4.9177499137236902E-2</v>
      </c>
      <c r="BA451" s="1236">
        <f>IFERROR(Model!BA451/Model!AZ451-1,"NA")</f>
        <v>4.6740265330968311E-2</v>
      </c>
      <c r="BB451" s="1287">
        <f>IFERROR(Model!BB451/Model!BA451-1,"NA")</f>
        <v>4.6841164166494975E-2</v>
      </c>
      <c r="BC451" s="1287">
        <f>IFERROR(Model!BC451/Model!BB451-1,"NA")</f>
        <v>4.9887663188093123E-2</v>
      </c>
      <c r="BD451" s="1287">
        <f>IFERROR(Model!BD451/Model!BC451-1,"NA")</f>
        <v>4.4878578928954527E-2</v>
      </c>
      <c r="BE451" s="1287">
        <f>IFERROR(Model!BE451/Model!BD451-1,"NA")</f>
        <v>3.5408219320430145E-2</v>
      </c>
    </row>
    <row r="452" spans="1:74" x14ac:dyDescent="0.2">
      <c r="B452" s="375" t="s">
        <v>206</v>
      </c>
      <c r="C452" s="44"/>
      <c r="D452" s="1289"/>
      <c r="E452" s="1289"/>
      <c r="F452" s="1289"/>
      <c r="G452" s="1289"/>
      <c r="H452" s="1289">
        <f>IFERROR(Model!H452/Model!D452-1,"NA")</f>
        <v>-3.4055727554179516E-2</v>
      </c>
      <c r="I452" s="1289">
        <f>IFERROR(Model!I452/Model!E452-1,"NA")</f>
        <v>-2.0123839009287936E-2</v>
      </c>
      <c r="J452" s="1289">
        <f>IFERROR(Model!J452/Model!F452-1,"NA")</f>
        <v>-9.2888243831640072E-2</v>
      </c>
      <c r="K452" s="1289">
        <f>IFERROR(Model!K452/Model!G452-1,"NA")</f>
        <v>-0.12091038406827881</v>
      </c>
      <c r="L452" s="1289">
        <f>IFERROR(Model!L452/Model!H452-1,"NA")</f>
        <v>-0.14743589743589747</v>
      </c>
      <c r="M452" s="1289">
        <f>IFERROR(Model!M452/Model!I452-1,"NA")</f>
        <v>-0.13744075829383884</v>
      </c>
      <c r="N452" s="1289">
        <f>IFERROR(Model!N452/Model!J452-1,"NA")</f>
        <v>-6.7200000000000037E-2</v>
      </c>
      <c r="O452" s="1289">
        <f>IFERROR(Model!O452/Model!K452-1,"NA")</f>
        <v>-0.20873786407766992</v>
      </c>
      <c r="P452" s="1289">
        <f>IFERROR(Model!P452/Model!L452-1,"NA")</f>
        <v>-0.12593984962406013</v>
      </c>
      <c r="Q452" s="1289">
        <f>IFERROR(Model!Q452/Model!M452-1,"NA")</f>
        <v>-0.25091575091575091</v>
      </c>
      <c r="R452" s="1289">
        <f>IFERROR(Model!R452/Model!N452-1,"NA")</f>
        <v>-0.48198970840480271</v>
      </c>
      <c r="S452" s="1289">
        <f>IFERROR(Model!S452/Model!O452-1,"NA")</f>
        <v>-0.46012269938650308</v>
      </c>
      <c r="T452" s="1289">
        <f>IFERROR(Model!T452/Model!P452-1,"NA")</f>
        <v>-0.26881720430107525</v>
      </c>
      <c r="U452" s="1289">
        <f>IFERROR(Model!U452/Model!Q452-1,"NA")</f>
        <v>-0.32029339853300731</v>
      </c>
      <c r="V452" s="1289">
        <f>IFERROR(Model!V452/Model!R452-1,"NA")</f>
        <v>4.635761589403975E-2</v>
      </c>
      <c r="W452" s="1289">
        <f>IFERROR(Model!W452/Model!S452-1,"NA")</f>
        <v>7.1969696969697017E-2</v>
      </c>
      <c r="X452" s="1289">
        <f>IFERROR(Model!X452/Model!T452-1,"NA")</f>
        <v>-0.28235294117647058</v>
      </c>
      <c r="Y452" s="1289">
        <f>IFERROR(Model!Y452/Model!U452-1,"NA")</f>
        <v>-2.877697841726623E-2</v>
      </c>
      <c r="Z452" s="1289">
        <f>IFERROR(Model!Z452/Model!V452-1,"NA")</f>
        <v>-0.17405063291139244</v>
      </c>
      <c r="AA452" s="1289">
        <f>IFERROR(Model!AA452/Model!W452-1,"NA")</f>
        <v>0.20141342756183755</v>
      </c>
      <c r="AB452" s="1289">
        <f>IFERROR(Model!AB452/Model!X452-1,"NA")</f>
        <v>0.42213114754098369</v>
      </c>
      <c r="AC452" s="1289">
        <f>IFERROR(Model!AC452/Model!Y452-1,"NA")</f>
        <v>-0.44587037037036992</v>
      </c>
      <c r="AD452" s="1289">
        <f>IFERROR(Model!AD452/Model!Z452-1,"NA")</f>
        <v>-0.3282934865900381</v>
      </c>
      <c r="AE452" s="1289">
        <f>IFERROR(Model!AE452/Model!AA452-1,"NA")</f>
        <v>-0.56852529411764707</v>
      </c>
      <c r="AF452" s="1289">
        <f>IFERROR(Model!AF452/Model!AB452-1,"NA")</f>
        <v>-0.26357463976945228</v>
      </c>
      <c r="AG452" s="1289">
        <f>IFERROR(Model!AG452/Model!AC452-1,"NA")</f>
        <v>0.44375370116632684</v>
      </c>
      <c r="AH452" s="1289">
        <f>IFERROR(Model!AH452/Model!AD452-1,"NA")</f>
        <v>0.22654884853241608</v>
      </c>
      <c r="AI452" s="1289">
        <f>IFERROR(Model!AI452/Model!AE452-1,"NA")</f>
        <v>8.8440969206838416E-2</v>
      </c>
      <c r="AJ452" s="1301"/>
      <c r="AK452" s="1301"/>
      <c r="AL452" s="1301"/>
      <c r="AM452" s="1301"/>
      <c r="AN452" s="1301"/>
      <c r="AO452" s="1301"/>
      <c r="AP452" s="1301"/>
      <c r="AQ452" s="1301"/>
      <c r="AR452" s="1236"/>
      <c r="AS452" s="1307"/>
      <c r="AT452" s="1391"/>
      <c r="AU452" s="1246"/>
      <c r="AV452" s="1246">
        <f>IFERROR(Model!AV452/Model!AU452-1,"NA")</f>
        <v>-6.8554396423248898E-2</v>
      </c>
      <c r="AW452" s="1246">
        <f>IFERROR(Model!AW452/Model!AV452-1,"NA")</f>
        <v>-0.14000000000000001</v>
      </c>
      <c r="AX452" s="1246">
        <f>IFERROR(Model!AX452/Model!AW452-1,"NA")</f>
        <v>-0.33023255813953489</v>
      </c>
      <c r="AY452" s="1246">
        <f>IFERROR(Model!AY452/Model!AX452-1,"NA")</f>
        <v>-0.15486111111111112</v>
      </c>
      <c r="AZ452" s="1246">
        <f>IFERROR(Model!AZ452/Model!AY452-1,"NA")</f>
        <v>-8.3812654067378811E-2</v>
      </c>
      <c r="BA452" s="1246">
        <f>IFERROR(Model!BA452/Model!AZ452-1,"NA")</f>
        <v>-0.26580107623318372</v>
      </c>
      <c r="BB452" s="1289">
        <f>IFERROR(Model!BB452/Model!BA452-1,"NA")</f>
        <v>3.3743773452240777E-2</v>
      </c>
      <c r="BC452" s="1289">
        <f>IFERROR(Model!BC452/Model!BB452-1,"NA")</f>
        <v>3.9352592564341649E-2</v>
      </c>
      <c r="BD452" s="1289">
        <f>IFERROR(Model!BD452/Model!BC452-1,"NA")</f>
        <v>0.10766565819516161</v>
      </c>
      <c r="BE452" s="1289">
        <f>IFERROR(Model!BE452/Model!BD452-1,"NA")</f>
        <v>0.10484400214203382</v>
      </c>
    </row>
    <row r="453" spans="1:74" x14ac:dyDescent="0.2">
      <c r="B453" s="316" t="s">
        <v>643</v>
      </c>
      <c r="C453" s="16"/>
      <c r="D453" s="1250"/>
      <c r="E453" s="1250"/>
      <c r="F453" s="1250"/>
      <c r="G453" s="1250"/>
      <c r="H453" s="1250">
        <f>IFERROR(Model!H453/Model!D453-1,"NA")</f>
        <v>1.3260366238686538E-2</v>
      </c>
      <c r="I453" s="1250">
        <f>IFERROR(Model!I453/Model!E453-1,"NA")</f>
        <v>2.4217745392198786E-2</v>
      </c>
      <c r="J453" s="1250">
        <f>IFERROR(Model!J453/Model!F453-1,"NA")</f>
        <v>9.4533497739417438E-3</v>
      </c>
      <c r="K453" s="1250">
        <f>IFERROR(Model!K453/Model!G453-1,"NA")</f>
        <v>3.3225936367297537E-2</v>
      </c>
      <c r="L453" s="1250">
        <f>IFERROR(Model!L453/Model!H453-1,"NA")</f>
        <v>1.7864561695056125E-2</v>
      </c>
      <c r="M453" s="1250">
        <f>IFERROR(Model!M453/Model!I453-1,"NA")</f>
        <v>3.2433563507009877E-2</v>
      </c>
      <c r="N453" s="1250">
        <f>IFERROR(Model!N453/Model!J453-1,"NA")</f>
        <v>4.1530944625407074E-2</v>
      </c>
      <c r="O453" s="1250">
        <f>IFERROR(Model!O453/Model!K453-1,"NA")</f>
        <v>-2.4361722861040769E-2</v>
      </c>
      <c r="P453" s="1250">
        <f>IFERROR(Model!P453/Model!L453-1,"NA")</f>
        <v>-2.9591836734693899E-2</v>
      </c>
      <c r="Q453" s="1250">
        <f>IFERROR(Model!Q453/Model!M453-1,"NA")</f>
        <v>-5.8573165788406989E-2</v>
      </c>
      <c r="R453" s="1250">
        <f>IFERROR(Model!R453/Model!N453-1,"NA")</f>
        <v>-9.8905394839718497E-2</v>
      </c>
      <c r="S453" s="1250">
        <f>IFERROR(Model!S453/Model!O453-1,"NA")</f>
        <v>-8.3699560527367156E-2</v>
      </c>
      <c r="T453" s="1250">
        <f>IFERROR(Model!T453/Model!P453-1,"NA")</f>
        <v>-4.7949526813880095E-2</v>
      </c>
      <c r="U453" s="1250">
        <f>IFERROR(Model!U453/Model!Q453-1,"NA")</f>
        <v>-4.5855758880516739E-2</v>
      </c>
      <c r="V453" s="1250">
        <f>IFERROR(Model!V453/Model!R453-1,"NA")</f>
        <v>4.8590021691973906E-2</v>
      </c>
      <c r="W453" s="1250">
        <f>IFERROR(Model!W453/Model!S453-1,"NA")</f>
        <v>4.8615652932199716E-2</v>
      </c>
      <c r="X453" s="1250">
        <f>IFERROR(Model!X453/Model!T453-1,"NA")</f>
        <v>3.1809145129224614E-2</v>
      </c>
      <c r="Y453" s="1250">
        <f>IFERROR(Model!Y453/Model!U453-1,"NA")</f>
        <v>7.0622743682310363E-2</v>
      </c>
      <c r="Z453" s="1250">
        <f>IFERROR(Model!Z453/Model!V453-1,"NA")</f>
        <v>2.3789822093504442E-2</v>
      </c>
      <c r="AA453" s="1250">
        <f>IFERROR(Model!AA453/Model!W453-1,"NA")</f>
        <v>3.7629937629937604E-2</v>
      </c>
      <c r="AB453" s="1250">
        <f>IFERROR(Model!AB453/Model!X453-1,"NA")</f>
        <v>6.2299293513166321E-2</v>
      </c>
      <c r="AC453" s="1250">
        <f>IFERROR(Model!AC453/Model!Y453-1,"NA")</f>
        <v>1.6949694848217733E-2</v>
      </c>
      <c r="AD453" s="1250">
        <f>IFERROR(Model!AD453/Model!Z453-1,"NA")</f>
        <v>1.7831309048182087E-2</v>
      </c>
      <c r="AE453" s="1250">
        <f>IFERROR(Model!AE453/Model!AA453-1,"NA")</f>
        <v>1.9344325659776507E-2</v>
      </c>
      <c r="AF453" s="1250">
        <f>IFERROR(Model!AF453/Model!AB453-1,"NA")</f>
        <v>1.9678471116038043E-2</v>
      </c>
      <c r="AG453" s="1250">
        <f>IFERROR(Model!AG453/Model!AC453-1,"NA")</f>
        <v>6.1679715577166228E-2</v>
      </c>
      <c r="AH453" s="1250">
        <f>IFERROR(Model!AH453/Model!AD453-1,"NA")</f>
        <v>5.1530912372121485E-2</v>
      </c>
      <c r="AI453" s="1250">
        <f>IFERROR(Model!AI453/Model!AE453-1,"NA")</f>
        <v>5.2508646421332239E-2</v>
      </c>
      <c r="AJ453" s="1250"/>
      <c r="AK453" s="1250"/>
      <c r="AL453" s="1250"/>
      <c r="AM453" s="1250"/>
      <c r="AN453" s="1250"/>
      <c r="AO453" s="1250"/>
      <c r="AP453" s="1250"/>
      <c r="AQ453" s="1250"/>
      <c r="AR453" s="1236"/>
      <c r="AS453" s="407"/>
      <c r="AT453" s="1371"/>
      <c r="AU453" s="1301"/>
      <c r="AV453" s="1301">
        <f>IFERROR(Model!AV453/Model!AU453-1,"NA")</f>
        <v>2.0104940516390446E-2</v>
      </c>
      <c r="AW453" s="1301">
        <f>IFERROR(Model!AW453/Model!AV453-1,"NA")</f>
        <v>1.6296598085149716E-2</v>
      </c>
      <c r="AX453" s="1301">
        <f>IFERROR(Model!AX453/Model!AW453-1,"NA")</f>
        <v>-6.8099819603126832E-2</v>
      </c>
      <c r="AY453" s="1301">
        <f>IFERROR(Model!AY453/Model!AX453-1,"NA")</f>
        <v>3.2263268269083767E-4</v>
      </c>
      <c r="AZ453" s="1301">
        <f>IFERROR(Model!AZ453/Model!AY453-1,"NA")</f>
        <v>4.0477342364134916E-2</v>
      </c>
      <c r="BA453" s="1301">
        <f>IFERROR(Model!BA453/Model!AZ453-1,"NA")</f>
        <v>2.873635978002631E-2</v>
      </c>
      <c r="BB453" s="1250">
        <f>IFERROR(Model!BB453/Model!BA453-1,"NA")</f>
        <v>4.6302703863823069E-2</v>
      </c>
      <c r="BC453" s="1250">
        <f>IFERROR(Model!BC453/Model!BB453-1,"NA")</f>
        <v>4.94597438451716E-2</v>
      </c>
      <c r="BD453" s="1250">
        <f>IFERROR(Model!BD453/Model!BC453-1,"NA")</f>
        <v>4.7404337684880282E-2</v>
      </c>
      <c r="BE453" s="1250">
        <f>IFERROR(Model!BE453/Model!BD453-1,"NA")</f>
        <v>3.8362142830568713E-2</v>
      </c>
    </row>
    <row r="454" spans="1:74" x14ac:dyDescent="0.2">
      <c r="B454" s="35"/>
      <c r="C454" s="16"/>
      <c r="D454" s="1250"/>
      <c r="E454" s="1250"/>
      <c r="F454" s="1250"/>
      <c r="G454" s="1250"/>
      <c r="H454" s="1250"/>
      <c r="I454" s="1250"/>
      <c r="J454" s="1250"/>
      <c r="K454" s="1250"/>
      <c r="L454" s="1250"/>
      <c r="M454" s="1250"/>
      <c r="N454" s="1250"/>
      <c r="O454" s="1250"/>
      <c r="P454" s="1250"/>
      <c r="Q454" s="1250"/>
      <c r="R454" s="1250"/>
      <c r="S454" s="1250"/>
      <c r="T454" s="1250"/>
      <c r="U454" s="1250"/>
      <c r="V454" s="1250"/>
      <c r="W454" s="1250"/>
      <c r="X454" s="1250"/>
      <c r="Y454" s="1250"/>
      <c r="Z454" s="1250"/>
      <c r="AA454" s="1250"/>
      <c r="AB454" s="1250"/>
      <c r="AC454" s="1250"/>
      <c r="AD454" s="1250"/>
      <c r="AE454" s="1250"/>
      <c r="AF454" s="1250"/>
      <c r="AG454" s="1250"/>
      <c r="AH454" s="1250"/>
      <c r="AI454" s="1250"/>
      <c r="AJ454" s="1250"/>
      <c r="AK454" s="1250"/>
      <c r="AL454" s="1250"/>
      <c r="AM454" s="1250"/>
      <c r="AN454" s="1250"/>
      <c r="AO454" s="1250"/>
      <c r="AP454" s="1250"/>
      <c r="AQ454" s="1250"/>
      <c r="AR454" s="1236"/>
      <c r="AS454" s="407"/>
      <c r="AT454" s="1371"/>
      <c r="AU454" s="1301"/>
      <c r="AV454" s="1301"/>
      <c r="AW454" s="1301"/>
      <c r="AX454" s="1301"/>
      <c r="AY454" s="1301"/>
      <c r="AZ454" s="1301"/>
      <c r="BA454" s="1301"/>
      <c r="BB454" s="1301"/>
      <c r="BC454" s="1301"/>
      <c r="BD454" s="1301"/>
      <c r="BE454" s="1301"/>
    </row>
    <row r="455" spans="1:74" x14ac:dyDescent="0.2">
      <c r="B455" s="17" t="s">
        <v>50</v>
      </c>
      <c r="C455" s="17"/>
      <c r="D455" s="1287"/>
      <c r="E455" s="1287"/>
      <c r="F455" s="1287"/>
      <c r="G455" s="1287"/>
      <c r="H455" s="1287">
        <f>IFERROR(Model!H455/Model!D455-1,"NA")</f>
        <v>-1.092896174863367E-2</v>
      </c>
      <c r="I455" s="1287">
        <f>IFERROR(Model!I455/Model!E455-1,"NA")</f>
        <v>-1.335428122545157E-2</v>
      </c>
      <c r="J455" s="1287">
        <f>IFERROR(Model!J455/Model!F455-1,"NA")</f>
        <v>9.1266719118804351E-2</v>
      </c>
      <c r="K455" s="1287">
        <f>IFERROR(Model!K455/Model!G455-1,"NA")</f>
        <v>9.09803921568626E-2</v>
      </c>
      <c r="L455" s="1287">
        <f>IFERROR(Model!L455/Model!H455-1,"NA")</f>
        <v>8.208366219415919E-2</v>
      </c>
      <c r="M455" s="1287">
        <f>IFERROR(Model!M455/Model!I455-1,"NA")</f>
        <v>9.5541401273885329E-2</v>
      </c>
      <c r="N455" s="1287">
        <f>IFERROR(Model!N455/Model!J455-1,"NA")</f>
        <v>-2.3792357606344905E-2</v>
      </c>
      <c r="O455" s="1287">
        <f>IFERROR(Model!O455/Model!K455-1,"NA")</f>
        <v>-2.0129403306973326E-2</v>
      </c>
      <c r="P455" s="1287">
        <f>IFERROR(Model!P455/Model!L455-1,"NA")</f>
        <v>-1.0940919037199071E-2</v>
      </c>
      <c r="Q455" s="1287">
        <f>IFERROR(Model!Q455/Model!M455-1,"NA")</f>
        <v>-1.2354651162790664E-2</v>
      </c>
      <c r="R455" s="1287">
        <f>IFERROR(Model!R455/Model!N455-1,"NA")</f>
        <v>1.477104874446189E-3</v>
      </c>
      <c r="S455" s="1287">
        <f>IFERROR(Model!S455/Model!O455-1,"NA")</f>
        <v>-2.9347028613353476E-3</v>
      </c>
      <c r="T455" s="1287">
        <f>IFERROR(Model!T455/Model!P455-1,"NA")</f>
        <v>-1.1061946902654829E-2</v>
      </c>
      <c r="U455" s="1287">
        <f>IFERROR(Model!U455/Model!Q455-1,"NA")</f>
        <v>5.2244297277409757E-2</v>
      </c>
      <c r="V455" s="1287">
        <f>IFERROR(Model!V455/Model!R455-1,"NA")</f>
        <v>5.4572271386430726E-2</v>
      </c>
      <c r="W455" s="1287">
        <f>IFERROR(Model!W455/Model!S455-1,"NA")</f>
        <v>5.0036791758646171E-2</v>
      </c>
      <c r="X455" s="1287">
        <f>IFERROR(Model!X455/Model!T455-1,"NA")</f>
        <v>6.1894108873974618E-2</v>
      </c>
      <c r="Y455" s="1287">
        <f>IFERROR(Model!Y455/Model!U455-1,"NA")</f>
        <v>-3.4965034965035446E-3</v>
      </c>
      <c r="Z455" s="1287">
        <f>IFERROR(Model!Z455/Model!V455-1,"NA")</f>
        <v>-5.5944055944057158E-3</v>
      </c>
      <c r="AA455" s="1287">
        <f>IFERROR(Model!AA455/Model!W455-1,"NA")</f>
        <v>-7.0077084793274125E-4</v>
      </c>
      <c r="AB455" s="1287">
        <f>IFERROR(Model!AB455/Model!X455-1,"NA")</f>
        <v>-8.4269662921345745E-3</v>
      </c>
      <c r="AC455" s="1287" t="str">
        <f>IFERROR(Model!AC455/Model!Y455-1,"NA")</f>
        <v>NA</v>
      </c>
      <c r="AD455" s="1287" t="str">
        <f>IFERROR(Model!AD455/Model!Z455-1,"NA")</f>
        <v>NA</v>
      </c>
      <c r="AE455" s="1287" t="str">
        <f>IFERROR(Model!AE455/Model!AA455-1,"NA")</f>
        <v>NA</v>
      </c>
      <c r="AF455" s="1287" t="str">
        <f>IFERROR(Model!AF455/Model!AB455-1,"NA")</f>
        <v>NA</v>
      </c>
      <c r="AG455" s="1287" t="str">
        <f>IFERROR(Model!AG455/Model!AC455-1,"NA")</f>
        <v>NA</v>
      </c>
      <c r="AH455" s="1287" t="str">
        <f>IFERROR(Model!AH455/Model!AD455-1,"NA")</f>
        <v>NA</v>
      </c>
      <c r="AI455" s="1287" t="str">
        <f>IFERROR(Model!AI455/Model!AE455-1,"NA")</f>
        <v>NA</v>
      </c>
      <c r="AJ455" s="1287"/>
      <c r="AK455" s="1287"/>
      <c r="AL455" s="1287"/>
      <c r="AM455" s="1287"/>
      <c r="AN455" s="1287"/>
      <c r="AO455" s="1287"/>
      <c r="AP455" s="1287"/>
      <c r="AQ455" s="1287"/>
      <c r="AR455" s="1236"/>
      <c r="AS455" s="1372"/>
      <c r="AT455" s="1372"/>
      <c r="AU455" s="1236"/>
      <c r="AV455" s="1236">
        <f>IFERROR(Model!AV455/Model!AU455-1,"NA")</f>
        <v>9.09803921568626E-2</v>
      </c>
      <c r="AW455" s="1236">
        <f>IFERROR(Model!AW455/Model!AV455-1,"NA")</f>
        <v>-2.0129403306973326E-2</v>
      </c>
      <c r="AX455" s="1236">
        <f>IFERROR(Model!AX455/Model!AW455-1,"NA")</f>
        <v>-2.9347028613353476E-3</v>
      </c>
      <c r="AY455" s="1236">
        <f>IFERROR(Model!AY455/Model!AX455-1,"NA")</f>
        <v>5.0036791758646171E-2</v>
      </c>
      <c r="AZ455" s="1287">
        <f>IFERROR(Model!AZ455/Model!AY455-1,"NA")</f>
        <v>-7.0077084793274125E-4</v>
      </c>
      <c r="BA455" s="1287" t="str">
        <f>IFERROR(Model!BA455/Model!AZ455-1,"NA")</f>
        <v>NA</v>
      </c>
      <c r="BB455" s="1287" t="str">
        <f>IFERROR(Model!BB455/Model!BA455-1,"NA")</f>
        <v>NA</v>
      </c>
      <c r="BC455" s="1287" t="str">
        <f>IFERROR(Model!BC455/Model!BB455-1,"NA")</f>
        <v>NA</v>
      </c>
      <c r="BD455" s="1287" t="str">
        <f>IFERROR(Model!BD455/Model!BC455-1,"NA")</f>
        <v>NA</v>
      </c>
      <c r="BE455" s="1287" t="str">
        <f>IFERROR(Model!BE455/Model!BD455-1,"NA")</f>
        <v>NA</v>
      </c>
    </row>
    <row r="456" spans="1:74" x14ac:dyDescent="0.2">
      <c r="B456" s="17" t="s">
        <v>217</v>
      </c>
      <c r="C456" s="17"/>
      <c r="D456" s="1287"/>
      <c r="E456" s="1287"/>
      <c r="F456" s="1287"/>
      <c r="G456" s="1287"/>
      <c r="H456" s="1287">
        <f>IFERROR(Model!H456/Model!D456-1,"NA")</f>
        <v>1.7060367454068137E-2</v>
      </c>
      <c r="I456" s="1287">
        <f>IFERROR(Model!I456/Model!E456-1,"NA")</f>
        <v>4.5510455104551095E-2</v>
      </c>
      <c r="J456" s="1287">
        <f>IFERROR(Model!J456/Model!F456-1,"NA")</f>
        <v>3.5846724351050741E-2</v>
      </c>
      <c r="K456" s="1287">
        <f>IFERROR(Model!K456/Model!G456-1,"NA")</f>
        <v>5.7077625570776336E-2</v>
      </c>
      <c r="L456" s="1287">
        <f>IFERROR(Model!L456/Model!H456-1,"NA")</f>
        <v>2.709677419354839E-2</v>
      </c>
      <c r="M456" s="1287">
        <f>IFERROR(Model!M456/Model!I456-1,"NA")</f>
        <v>4.9411764705882266E-2</v>
      </c>
      <c r="N456" s="1287">
        <f>IFERROR(Model!N456/Model!J456-1,"NA")</f>
        <v>5.1312649164677593E-2</v>
      </c>
      <c r="O456" s="1287">
        <f>IFERROR(Model!O456/Model!K456-1,"NA")</f>
        <v>1.5118790496760237E-2</v>
      </c>
      <c r="P456" s="1287">
        <f>IFERROR(Model!P456/Model!L456-1,"NA")</f>
        <v>6.2814070351759899E-3</v>
      </c>
      <c r="Q456" s="1287">
        <f>IFERROR(Model!Q456/Model!M456-1,"NA")</f>
        <v>5.6053811659193542E-3</v>
      </c>
      <c r="R456" s="1287">
        <f>IFERROR(Model!R456/Model!N456-1,"NA")</f>
        <v>5.6753688989783502E-3</v>
      </c>
      <c r="S456" s="1287">
        <f>IFERROR(Model!S456/Model!O456-1,"NA")</f>
        <v>2.3404255319148914E-2</v>
      </c>
      <c r="T456" s="1287">
        <f>IFERROR(Model!T456/Model!P456-1,"NA")</f>
        <v>5.6179775280898792E-2</v>
      </c>
      <c r="U456" s="1287">
        <f>IFERROR(Model!U456/Model!Q456-1,"NA")</f>
        <v>6.6889632107023589E-2</v>
      </c>
      <c r="V456" s="1287">
        <f>IFERROR(Model!V456/Model!R456-1,"NA")</f>
        <v>0.30135440180586914</v>
      </c>
      <c r="W456" s="1287">
        <f>IFERROR(Model!W456/Model!S456-1,"NA")</f>
        <v>0.3004158004158004</v>
      </c>
      <c r="X456" s="1287">
        <f>IFERROR(Model!X456/Model!T456-1,"NA")</f>
        <v>0.32624113475177308</v>
      </c>
      <c r="Y456" s="1287">
        <f>IFERROR(Model!Y456/Model!U456-1,"NA")</f>
        <v>0.30929989550679204</v>
      </c>
      <c r="Z456" s="1287">
        <f>IFERROR(Model!Z456/Model!V456-1,"NA")</f>
        <v>8.3261058109280306E-2</v>
      </c>
      <c r="AA456" s="1287">
        <f>IFERROR(Model!AA456/Model!W456-1,"NA")</f>
        <v>8.9528377298161654E-2</v>
      </c>
      <c r="AB456" s="1287">
        <f>IFERROR(Model!AB456/Model!X456-1,"NA")</f>
        <v>8.4670231729055079E-2</v>
      </c>
      <c r="AC456" s="1287">
        <f>IFERROR(Model!AC456/Model!Y456-1,"NA")</f>
        <v>7.547486033519557E-2</v>
      </c>
      <c r="AD456" s="1287">
        <f>IFERROR(Model!AD456/Model!Z456-1,"NA")</f>
        <v>7.4291433146517427E-2</v>
      </c>
      <c r="AE456" s="1287">
        <f>IFERROR(Model!AE456/Model!AA456-1,"NA")</f>
        <v>7.1672780630961164E-2</v>
      </c>
      <c r="AF456" s="1287">
        <f>IFERROR(Model!AF456/Model!AB456-1,"NA")</f>
        <v>6.4626129827444645E-2</v>
      </c>
      <c r="AG456" s="1287">
        <f>IFERROR(Model!AG456/Model!AC456-1,"NA")</f>
        <v>6.2091690969671598E-2</v>
      </c>
      <c r="AH456" s="1287">
        <f>IFERROR(Model!AH456/Model!AD456-1,"NA")</f>
        <v>6.186556763726081E-2</v>
      </c>
      <c r="AI456" s="1287">
        <f>IFERROR(Model!AI456/Model!AE456-1,"NA")</f>
        <v>6.138838494136345E-2</v>
      </c>
      <c r="AJ456" s="1287"/>
      <c r="AK456" s="1287"/>
      <c r="AL456" s="1287"/>
      <c r="AM456" s="1287"/>
      <c r="AN456" s="1287"/>
      <c r="AO456" s="1287"/>
      <c r="AP456" s="1287"/>
      <c r="AQ456" s="1287"/>
      <c r="AR456" s="1236"/>
      <c r="AS456" s="1372"/>
      <c r="AT456" s="1372"/>
      <c r="AU456" s="1236"/>
      <c r="AV456" s="1236">
        <f>IFERROR(Model!AV456/Model!AU456-1,"NA")</f>
        <v>3.9570552147239146E-2</v>
      </c>
      <c r="AW456" s="1236">
        <f>IFERROR(Model!AW456/Model!AV456-1,"NA")</f>
        <v>3.5408675125405686E-2</v>
      </c>
      <c r="AX456" s="1236">
        <f>IFERROR(Model!AX456/Model!AW456-1,"NA")</f>
        <v>1.0544314619549855E-2</v>
      </c>
      <c r="AY456" s="1236">
        <f>IFERROR(Model!AY456/Model!AX456-1,"NA")</f>
        <v>0.18640721940214333</v>
      </c>
      <c r="AZ456" s="1287">
        <f>IFERROR(Model!AZ456/Model!AY456-1,"NA")</f>
        <v>0.18540527691941988</v>
      </c>
      <c r="BA456" s="1287">
        <f>IFERROR(Model!BA456/Model!AZ456-1,"NA")</f>
        <v>7.6208141167034338E-2</v>
      </c>
      <c r="BB456" s="1287">
        <f>IFERROR(Model!BB456/Model!BA456-1,"NA")</f>
        <v>6.2418442160963705E-2</v>
      </c>
      <c r="BC456" s="1287">
        <f>IFERROR(Model!BC456/Model!BB456-1,"NA")</f>
        <v>5.6986148971013728E-2</v>
      </c>
      <c r="BD456" s="1287">
        <f>IFERROR(Model!BD456/Model!BC456-1,"NA")</f>
        <v>5.7034582645006937E-2</v>
      </c>
      <c r="BE456" s="1287">
        <f>IFERROR(Model!BE456/Model!BD456-1,"NA")</f>
        <v>5.7082371665196252E-2</v>
      </c>
    </row>
    <row r="457" spans="1:74" x14ac:dyDescent="0.2">
      <c r="B457" s="17" t="s">
        <v>121</v>
      </c>
      <c r="C457" s="17"/>
      <c r="D457" s="1253"/>
      <c r="E457" s="1253"/>
      <c r="F457" s="1253"/>
      <c r="G457" s="1253"/>
      <c r="H457" s="1253">
        <f>IFERROR(Model!H457/Model!D457-1,"NA")</f>
        <v>-2.6239067055393583E-2</v>
      </c>
      <c r="I457" s="1253">
        <f>IFERROR(Model!I457/Model!E457-1,"NA")</f>
        <v>-1.9475655430711614E-2</v>
      </c>
      <c r="J457" s="1253">
        <f>IFERROR(Model!J457/Model!F457-1,"NA")</f>
        <v>-1.716417910447765E-2</v>
      </c>
      <c r="K457" s="1253">
        <f>IFERROR(Model!K457/Model!G457-1,"NA")</f>
        <v>2.5222551928783199E-2</v>
      </c>
      <c r="L457" s="1253">
        <f>IFERROR(Model!L457/Model!H457-1,"NA")</f>
        <v>2.6946107784431073E-2</v>
      </c>
      <c r="M457" s="1253">
        <f>IFERROR(Model!M457/Model!I457-1,"NA")</f>
        <v>3.4377387318563768E-2</v>
      </c>
      <c r="N457" s="1253">
        <f>IFERROR(Model!N457/Model!J457-1,"NA")</f>
        <v>2.8853454821564206E-2</v>
      </c>
      <c r="O457" s="1253">
        <f>IFERROR(Model!O457/Model!K457-1,"NA")</f>
        <v>-2.0984081041968028E-2</v>
      </c>
      <c r="P457" s="1253">
        <f>IFERROR(Model!P457/Model!L457-1,"NA")</f>
        <v>-3.498542274052463E-2</v>
      </c>
      <c r="Q457" s="1253">
        <f>IFERROR(Model!Q457/Model!M457-1,"NA")</f>
        <v>-4.0620384047267311E-2</v>
      </c>
      <c r="R457" s="1253">
        <f>IFERROR(Model!R457/Model!N457-1,"NA")</f>
        <v>-4.2804428044280529E-2</v>
      </c>
      <c r="S457" s="1253">
        <f>IFERROR(Model!S457/Model!O457-1,"NA")</f>
        <v>-2.8085735402808676E-2</v>
      </c>
      <c r="T457" s="1253">
        <f>IFERROR(Model!T457/Model!P457-1,"NA")</f>
        <v>-8.3081570996977883E-3</v>
      </c>
      <c r="U457" s="1253">
        <f>IFERROR(Model!U457/Model!Q457-1,"NA")</f>
        <v>1.5396458814472602E-2</v>
      </c>
      <c r="V457" s="1253">
        <f>IFERROR(Model!V457/Model!R457-1,"NA")</f>
        <v>0.12181958365458767</v>
      </c>
      <c r="W457" s="1253">
        <f>IFERROR(Model!W457/Model!S457-1,"NA")</f>
        <v>0.1353612167300382</v>
      </c>
      <c r="X457" s="1253">
        <f>IFERROR(Model!X457/Model!T457-1,"NA")</f>
        <v>0.14851485148514842</v>
      </c>
      <c r="Y457" s="1253">
        <f>IFERROR(Model!Y457/Model!U457-1,"NA")</f>
        <v>0.14859742228961337</v>
      </c>
      <c r="Z457" s="1253">
        <f>IFERROR(Model!Z457/Model!V457-1,"NA")</f>
        <v>6.8041237113402042E-2</v>
      </c>
      <c r="AA457" s="1253">
        <f>IFERROR(Model!AA457/Model!W457-1,"NA")</f>
        <v>5.9611520428666909E-2</v>
      </c>
      <c r="AB457" s="1253">
        <f>IFERROR(Model!AB457/Model!X457-1,"NA")</f>
        <v>5.5702917771883076E-2</v>
      </c>
      <c r="AC457" s="1250">
        <f>IFERROR(Model!AC457/Model!Y457-1,"NA")</f>
        <v>5.2933993399339796E-2</v>
      </c>
      <c r="AD457" s="1250">
        <f>IFERROR(Model!AD457/Model!Z457-1,"NA")</f>
        <v>3.8826850064350049E-2</v>
      </c>
      <c r="AE457" s="1250">
        <f>IFERROR(Model!AE457/Model!AA457-1,"NA")</f>
        <v>4.1382707648546235E-2</v>
      </c>
      <c r="AF457" s="1250">
        <f>IFERROR(Model!AF457/Model!AB457-1,"NA")</f>
        <v>2.8228423908605471E-2</v>
      </c>
      <c r="AG457" s="1250">
        <f>IFERROR(Model!AG457/Model!AC457-1,"NA")</f>
        <v>2.8718409718282212E-2</v>
      </c>
      <c r="AH457" s="1250">
        <f>IFERROR(Model!AH457/Model!AD457-1,"NA")</f>
        <v>3.5151262636214042E-2</v>
      </c>
      <c r="AI457" s="1250">
        <f>IFERROR(Model!AI457/Model!AE457-1,"NA")</f>
        <v>4.3432611200930449E-2</v>
      </c>
      <c r="AJ457" s="1250"/>
      <c r="AK457" s="1250"/>
      <c r="AL457" s="1250"/>
      <c r="AM457" s="1250"/>
      <c r="AN457" s="1250"/>
      <c r="AO457" s="1250"/>
      <c r="AP457" s="1250"/>
      <c r="AQ457" s="1250"/>
      <c r="AR457" s="1236"/>
      <c r="AS457" s="1372"/>
      <c r="AT457" s="1372"/>
      <c r="AU457" s="1236"/>
      <c r="AV457" s="1236">
        <f>IFERROR(Model!AV457/Model!AU457-1,"NA")</f>
        <v>-9.4531974050047207E-3</v>
      </c>
      <c r="AW457" s="1236">
        <f>IFERROR(Model!AW457/Model!AV457-1,"NA")</f>
        <v>1.6841317365269726E-2</v>
      </c>
      <c r="AX457" s="1236">
        <f>IFERROR(Model!AX457/Model!AW457-1,"NA")</f>
        <v>-3.6621273463378845E-2</v>
      </c>
      <c r="AY457" s="1236">
        <f>IFERROR(Model!AY457/Model!AX457-1,"NA")</f>
        <v>6.5902578796561695E-2</v>
      </c>
      <c r="AZ457" s="1236">
        <f>IFERROR(Model!AZ457/Model!AY457-1,"NA")</f>
        <v>0.10376344086021527</v>
      </c>
      <c r="BA457" s="1236">
        <f>IFERROR(Model!BA457/Model!AZ457-1,"NA")</f>
        <v>4.7085463305731379E-2</v>
      </c>
      <c r="BB457" s="1250">
        <f>IFERROR(Model!BB457/Model!BA457-1,"NA")</f>
        <v>3.396665065540927E-2</v>
      </c>
      <c r="BC457" s="1250">
        <f>IFERROR(Model!BC457/Model!BB457-1,"NA")</f>
        <v>4.1610539036009753E-2</v>
      </c>
      <c r="BD457" s="1250">
        <f>IFERROR(Model!BD457/Model!BC457-1,"NA")</f>
        <v>4.1623510827161203E-2</v>
      </c>
      <c r="BE457" s="1250">
        <f>IFERROR(Model!BE457/Model!BD457-1,"NA")</f>
        <v>4.1636566716092505E-2</v>
      </c>
    </row>
    <row r="458" spans="1:74" x14ac:dyDescent="0.2">
      <c r="B458" s="17" t="s">
        <v>131</v>
      </c>
      <c r="C458" s="17"/>
      <c r="D458" s="1287"/>
      <c r="E458" s="1287"/>
      <c r="F458" s="1287"/>
      <c r="G458" s="1287"/>
      <c r="H458" s="1287">
        <f>IFERROR(Model!H458/Model!D458-1,"NA")</f>
        <v>-2.6607538802660868E-2</v>
      </c>
      <c r="I458" s="1287">
        <f>IFERROR(Model!I458/Model!E458-1,"NA")</f>
        <v>-2.2979985174203077E-2</v>
      </c>
      <c r="J458" s="1287">
        <f>IFERROR(Model!J458/Model!F458-1,"NA")</f>
        <v>1.849112426035493E-2</v>
      </c>
      <c r="K458" s="1287">
        <f>IFERROR(Model!K458/Model!G458-1,"NA")</f>
        <v>3.3117350611951091E-2</v>
      </c>
      <c r="L458" s="1287">
        <f>IFERROR(Model!L458/Model!H458-1,"NA")</f>
        <v>2.5816249050873319E-2</v>
      </c>
      <c r="M458" s="1287">
        <f>IFERROR(Model!M458/Model!I458-1,"NA")</f>
        <v>4.2488619119878335E-2</v>
      </c>
      <c r="N458" s="1287">
        <f>IFERROR(Model!N458/Model!J458-1,"NA")</f>
        <v>-1.4524328249818419E-2</v>
      </c>
      <c r="O458" s="1287">
        <f>IFERROR(Model!O458/Model!K458-1,"NA")</f>
        <v>-2.9268292682926744E-2</v>
      </c>
      <c r="P458" s="1287">
        <f>IFERROR(Model!P458/Model!L458-1,"NA")</f>
        <v>-3.9230199851961411E-2</v>
      </c>
      <c r="Q458" s="1287">
        <f>IFERROR(Model!Q458/Model!M458-1,"NA")</f>
        <v>-4.148471615720517E-2</v>
      </c>
      <c r="R458" s="1287">
        <f>IFERROR(Model!R458/Model!N458-1,"NA")</f>
        <v>-3.9793662490788306E-2</v>
      </c>
      <c r="S458" s="1287">
        <f>IFERROR(Model!S458/Model!O458-1,"NA")</f>
        <v>-2.1536252692031632E-2</v>
      </c>
      <c r="T458" s="1287">
        <f>IFERROR(Model!T458/Model!P458-1,"NA")</f>
        <v>3.8520801232666546E-3</v>
      </c>
      <c r="U458" s="1287">
        <f>IFERROR(Model!U458/Model!Q458-1,"NA")</f>
        <v>8.883826879271095E-2</v>
      </c>
      <c r="V458" s="1287">
        <f>IFERROR(Model!V458/Model!R458-1,"NA")</f>
        <v>0.13430544896392949</v>
      </c>
      <c r="W458" s="1287">
        <f>IFERROR(Model!W458/Model!S458-1,"NA")</f>
        <v>0.14159941305942758</v>
      </c>
      <c r="X458" s="1287">
        <f>IFERROR(Model!X458/Model!T458-1,"NA")</f>
        <v>0.15042210283960089</v>
      </c>
      <c r="Y458" s="1287">
        <f>IFERROR(Model!Y458/Model!U458-1,"NA")</f>
        <v>8.1589958158995834E-2</v>
      </c>
      <c r="Z458" s="1287">
        <f>IFERROR(Model!Z458/Model!V458-1,"NA")</f>
        <v>5.9539918809201398E-2</v>
      </c>
      <c r="AA458" s="1287">
        <f>IFERROR(Model!AA458/Model!W458-1,"NA")</f>
        <v>5.9768637532133795E-2</v>
      </c>
      <c r="AB458" s="1287">
        <f>IFERROR(Model!AB458/Model!X458-1,"NA")</f>
        <v>4.4696464309539774E-2</v>
      </c>
      <c r="AC458" s="1250">
        <f>IFERROR(Model!AC458/Model!Y458-1,"NA")</f>
        <v>1.1656995486782673E-2</v>
      </c>
      <c r="AD458" s="1250">
        <f>IFERROR(Model!AD458/Model!Z458-1,"NA")</f>
        <v>1.3997573435504451E-2</v>
      </c>
      <c r="AE458" s="1250">
        <f>IFERROR(Model!AE458/Model!AA458-1,"NA")</f>
        <v>-1.7260490297149822E-2</v>
      </c>
      <c r="AF458" s="1250">
        <f>IFERROR(Model!AF458/Model!AB458-1,"NA")</f>
        <v>2.8178860689654917E-2</v>
      </c>
      <c r="AG458" s="1250">
        <f>IFERROR(Model!AG458/Model!AC458-1,"NA")</f>
        <v>2.8721899306153986E-2</v>
      </c>
      <c r="AH458" s="1250">
        <f>IFERROR(Model!AH458/Model!AD458-1,"NA")</f>
        <v>3.5151700821583587E-2</v>
      </c>
      <c r="AI458" s="1250">
        <f>IFERROR(Model!AI458/Model!AE458-1,"NA")</f>
        <v>4.3431437650790716E-2</v>
      </c>
      <c r="AJ458" s="1250"/>
      <c r="AK458" s="1250"/>
      <c r="AL458" s="1250"/>
      <c r="AM458" s="1250"/>
      <c r="AN458" s="1250"/>
      <c r="AO458" s="1250"/>
      <c r="AP458" s="1250"/>
      <c r="AQ458" s="1250"/>
      <c r="AR458" s="1236"/>
      <c r="AS458" s="1372"/>
      <c r="AT458" s="1372"/>
      <c r="AU458" s="1236"/>
      <c r="AV458" s="1236">
        <f>IFERROR(Model!AV458/Model!AU458-1,"NA")</f>
        <v>3.3117350611951091E-2</v>
      </c>
      <c r="AW458" s="1236">
        <f>IFERROR(Model!AW458/Model!AV458-1,"NA")</f>
        <v>-2.9268292682926744E-2</v>
      </c>
      <c r="AX458" s="1236">
        <f>IFERROR(Model!AX458/Model!AW458-1,"NA")</f>
        <v>-2.1536252692031632E-2</v>
      </c>
      <c r="AY458" s="1236">
        <f>IFERROR(Model!AY458/Model!AX458-1,"NA")</f>
        <v>0.14159941305942758</v>
      </c>
      <c r="AZ458" s="1236">
        <f>IFERROR(Model!AZ458/Model!AY458-1,"NA")</f>
        <v>5.9768637532133795E-2</v>
      </c>
      <c r="BA458" s="1236">
        <f>IFERROR(Model!BA458/Model!AZ458-1,"NA")</f>
        <v>-1.7260490297149822E-2</v>
      </c>
      <c r="BB458" s="1250">
        <f>IFERROR(Model!BB458/Model!BA458-1,"NA")</f>
        <v>4.3431437650790716E-2</v>
      </c>
      <c r="BC458" s="1250">
        <f>IFERROR(Model!BC458/Model!BB458-1,"NA")</f>
        <v>4.1621683320065772E-2</v>
      </c>
      <c r="BD458" s="1250">
        <f>IFERROR(Model!BD458/Model!BC458-1,"NA")</f>
        <v>4.1634727380714498E-2</v>
      </c>
      <c r="BE458" s="1250">
        <f>IFERROR(Model!BE458/Model!BD458-1,"NA")</f>
        <v>4.1647855725841731E-2</v>
      </c>
    </row>
    <row r="459" spans="1:74" x14ac:dyDescent="0.2">
      <c r="B459" s="17"/>
      <c r="C459" s="17"/>
      <c r="D459" s="1250"/>
      <c r="E459" s="1250"/>
      <c r="F459" s="1250"/>
      <c r="G459" s="1250"/>
      <c r="H459" s="1250"/>
      <c r="I459" s="1250"/>
      <c r="J459" s="1250"/>
      <c r="K459" s="1250"/>
      <c r="L459" s="1250"/>
      <c r="M459" s="1250"/>
      <c r="N459" s="1250"/>
      <c r="O459" s="1250"/>
      <c r="P459" s="1250"/>
      <c r="Q459" s="1250"/>
      <c r="R459" s="1250"/>
      <c r="S459" s="1250"/>
      <c r="T459" s="1250"/>
      <c r="U459" s="1250"/>
      <c r="V459" s="1250"/>
      <c r="W459" s="1250"/>
      <c r="X459" s="1250"/>
      <c r="Y459" s="1250"/>
      <c r="Z459" s="1250"/>
      <c r="AA459" s="1250"/>
      <c r="AB459" s="1250"/>
      <c r="AC459" s="1250"/>
      <c r="AD459" s="1250"/>
      <c r="AE459" s="1250"/>
      <c r="AF459" s="1250"/>
      <c r="AG459" s="1250"/>
      <c r="AH459" s="1250"/>
      <c r="AI459" s="1250"/>
      <c r="AJ459" s="1250"/>
      <c r="AK459" s="1250"/>
      <c r="AL459" s="1250"/>
      <c r="AM459" s="1250"/>
      <c r="AN459" s="1250"/>
      <c r="AO459" s="1250"/>
      <c r="AP459" s="1250"/>
      <c r="AQ459" s="1250"/>
      <c r="AR459" s="1236"/>
      <c r="AS459" s="1372"/>
      <c r="AT459" s="1372"/>
      <c r="AU459" s="1301"/>
      <c r="AV459" s="1301"/>
      <c r="AW459" s="1301"/>
      <c r="AX459" s="1301"/>
      <c r="AY459" s="1301"/>
      <c r="AZ459" s="1301"/>
      <c r="BA459" s="1301"/>
      <c r="BB459" s="1250"/>
      <c r="BC459" s="1250"/>
      <c r="BD459" s="1250"/>
      <c r="BE459" s="1250"/>
    </row>
    <row r="460" spans="1:74" x14ac:dyDescent="0.2">
      <c r="B460" s="17" t="s">
        <v>218</v>
      </c>
      <c r="C460" s="17"/>
      <c r="D460" s="1288"/>
      <c r="E460" s="1288"/>
      <c r="F460" s="1288"/>
      <c r="G460" s="1288"/>
      <c r="H460" s="1288"/>
      <c r="I460" s="1288"/>
      <c r="J460" s="1288"/>
      <c r="K460" s="1288"/>
      <c r="L460" s="1288"/>
      <c r="M460" s="1288"/>
      <c r="N460" s="1288"/>
      <c r="O460" s="1288"/>
      <c r="P460" s="1288"/>
      <c r="Q460" s="1288"/>
      <c r="R460" s="1288"/>
      <c r="S460" s="1288"/>
      <c r="T460" s="1288"/>
      <c r="U460" s="1288"/>
      <c r="V460" s="1288"/>
      <c r="W460" s="1288"/>
      <c r="X460" s="1288"/>
      <c r="Y460" s="1288"/>
      <c r="Z460" s="1288"/>
      <c r="AA460" s="1288"/>
      <c r="AB460" s="1288"/>
      <c r="AC460" s="1287"/>
      <c r="AD460" s="1287"/>
      <c r="AE460" s="1287"/>
      <c r="AF460" s="1287"/>
      <c r="AG460" s="1287"/>
      <c r="AH460" s="1287"/>
      <c r="AI460" s="1287"/>
      <c r="AJ460" s="1287"/>
      <c r="AK460" s="1287"/>
      <c r="AL460" s="1287"/>
      <c r="AM460" s="1287"/>
      <c r="AN460" s="1287"/>
      <c r="AO460" s="1287"/>
      <c r="AP460" s="1287"/>
      <c r="AQ460" s="1287"/>
      <c r="AR460" s="1236"/>
      <c r="AS460" s="1372"/>
      <c r="AT460" s="1372"/>
      <c r="AU460" s="1287"/>
      <c r="AV460" s="1287"/>
      <c r="AW460" s="1287"/>
      <c r="AX460" s="1287"/>
      <c r="AY460" s="1287"/>
      <c r="AZ460" s="1287"/>
      <c r="BA460" s="1287"/>
      <c r="BB460" s="1287"/>
      <c r="BC460" s="1287"/>
      <c r="BD460" s="1287"/>
      <c r="BE460" s="1287"/>
    </row>
    <row r="461" spans="1:74" x14ac:dyDescent="0.2">
      <c r="B461" s="29" t="s">
        <v>219</v>
      </c>
      <c r="C461" s="29"/>
      <c r="D461" s="1270"/>
      <c r="E461" s="1270"/>
      <c r="F461" s="1270"/>
      <c r="G461" s="1270"/>
      <c r="H461" s="1270"/>
      <c r="I461" s="1270"/>
      <c r="J461" s="1270"/>
      <c r="K461" s="1270"/>
      <c r="L461" s="1270"/>
      <c r="M461" s="1270"/>
      <c r="N461" s="1270"/>
      <c r="O461" s="1270"/>
      <c r="P461" s="1270"/>
      <c r="Q461" s="1270"/>
      <c r="R461" s="1270"/>
      <c r="S461" s="1270"/>
      <c r="T461" s="1270"/>
      <c r="U461" s="1270"/>
      <c r="V461" s="1270"/>
      <c r="W461" s="1270"/>
      <c r="X461" s="1270"/>
      <c r="Y461" s="1270"/>
      <c r="Z461" s="1289"/>
      <c r="AA461" s="1289"/>
      <c r="AB461" s="1289"/>
      <c r="AC461" s="1289"/>
      <c r="AD461" s="1289"/>
      <c r="AE461" s="1289"/>
      <c r="AF461" s="1289"/>
      <c r="AG461" s="1289"/>
      <c r="AH461" s="1289"/>
      <c r="AI461" s="1289"/>
      <c r="AJ461" s="1301"/>
      <c r="AK461" s="1301"/>
      <c r="AL461" s="1301"/>
      <c r="AM461" s="1301"/>
      <c r="AN461" s="1301"/>
      <c r="AO461" s="1301"/>
      <c r="AP461" s="1301"/>
      <c r="AQ461" s="1301"/>
      <c r="AR461" s="1236"/>
      <c r="AS461" s="1373"/>
      <c r="AT461" s="1373"/>
      <c r="AU461" s="1289"/>
      <c r="AV461" s="1289"/>
      <c r="AW461" s="1289"/>
      <c r="AX461" s="1289"/>
      <c r="AY461" s="1289"/>
      <c r="AZ461" s="1289"/>
      <c r="BA461" s="1289"/>
      <c r="BB461" s="1289"/>
      <c r="BC461" s="1289"/>
      <c r="BD461" s="1289"/>
      <c r="BE461" s="1289"/>
    </row>
    <row r="462" spans="1:74" x14ac:dyDescent="0.2">
      <c r="B462" s="16" t="s">
        <v>208</v>
      </c>
      <c r="C462" s="15"/>
      <c r="D462" s="1243"/>
      <c r="E462" s="1243"/>
      <c r="F462" s="1243"/>
      <c r="G462" s="1243"/>
      <c r="H462" s="1243"/>
      <c r="I462" s="1243"/>
      <c r="J462" s="1243"/>
      <c r="K462" s="1243"/>
      <c r="L462" s="1243"/>
      <c r="M462" s="1243"/>
      <c r="N462" s="1243"/>
      <c r="O462" s="1243"/>
      <c r="P462" s="1243"/>
      <c r="Q462" s="1243"/>
      <c r="R462" s="1243"/>
      <c r="S462" s="1243"/>
      <c r="T462" s="1243"/>
      <c r="U462" s="1243"/>
      <c r="V462" s="1243"/>
      <c r="W462" s="1243"/>
      <c r="X462" s="1243"/>
      <c r="Y462" s="1243"/>
      <c r="Z462" s="1243"/>
      <c r="AA462" s="1243"/>
      <c r="AB462" s="1243"/>
      <c r="AC462" s="1243"/>
      <c r="AD462" s="1243"/>
      <c r="AE462" s="1243"/>
      <c r="AF462" s="1243"/>
      <c r="AG462" s="1243"/>
      <c r="AH462" s="1243"/>
      <c r="AI462" s="1243"/>
      <c r="AJ462" s="1243"/>
      <c r="AK462" s="1243"/>
      <c r="AL462" s="1243"/>
      <c r="AM462" s="1243"/>
      <c r="AN462" s="1243"/>
      <c r="AO462" s="1243"/>
      <c r="AP462" s="1243"/>
      <c r="AQ462" s="1243"/>
      <c r="AR462" s="1236"/>
      <c r="AS462" s="1372"/>
      <c r="AT462" s="1250"/>
      <c r="AU462" s="1274"/>
      <c r="AV462" s="1274"/>
      <c r="AW462" s="1274"/>
      <c r="AX462" s="1274"/>
      <c r="AY462" s="1274"/>
      <c r="AZ462" s="1274"/>
      <c r="BA462" s="1274"/>
      <c r="BB462" s="1243"/>
      <c r="BC462" s="1243"/>
      <c r="BD462" s="1243"/>
      <c r="BE462" s="1243"/>
    </row>
    <row r="463" spans="1:74" x14ac:dyDescent="0.2">
      <c r="B463" s="17"/>
      <c r="C463" s="15"/>
      <c r="D463" s="1288"/>
      <c r="E463" s="1288"/>
      <c r="F463" s="1288"/>
      <c r="G463" s="1288"/>
      <c r="H463" s="1288"/>
      <c r="I463" s="1288"/>
      <c r="J463" s="1288"/>
      <c r="K463" s="1288"/>
      <c r="L463" s="1288"/>
      <c r="M463" s="1288"/>
      <c r="N463" s="1288"/>
      <c r="O463" s="1288"/>
      <c r="P463" s="1288"/>
      <c r="Q463" s="1288"/>
      <c r="R463" s="1288"/>
      <c r="S463" s="1288"/>
      <c r="T463" s="1288"/>
      <c r="U463" s="1288"/>
      <c r="V463" s="1288"/>
      <c r="W463" s="1288"/>
      <c r="X463" s="1250"/>
      <c r="Y463" s="1250"/>
      <c r="Z463" s="1250"/>
      <c r="AA463" s="1250"/>
      <c r="AB463" s="1250"/>
      <c r="AC463" s="1250"/>
      <c r="AD463" s="1250"/>
      <c r="AE463" s="1250"/>
      <c r="AF463" s="1250"/>
      <c r="AG463" s="1250"/>
      <c r="AH463" s="1250"/>
      <c r="AI463" s="1250"/>
      <c r="AJ463" s="1250"/>
      <c r="AK463" s="1250"/>
      <c r="AL463" s="1250"/>
      <c r="AM463" s="1250"/>
      <c r="AN463" s="1250"/>
      <c r="AO463" s="1250"/>
      <c r="AP463" s="1250"/>
      <c r="AQ463" s="1250"/>
      <c r="AR463" s="1236"/>
      <c r="AS463" s="1372"/>
      <c r="AT463" s="1250"/>
      <c r="AU463" s="1236"/>
      <c r="AV463" s="1236"/>
      <c r="AW463" s="1236"/>
      <c r="AX463" s="1236"/>
      <c r="AY463" s="1236"/>
      <c r="AZ463" s="1236"/>
      <c r="BA463" s="1236"/>
      <c r="BB463" s="1236"/>
      <c r="BC463" s="1236"/>
      <c r="BD463" s="1236"/>
      <c r="BE463" s="1236"/>
    </row>
    <row r="464" spans="1:74" x14ac:dyDescent="0.2">
      <c r="D464" s="407"/>
      <c r="E464" s="407"/>
      <c r="F464" s="407"/>
      <c r="G464" s="407"/>
      <c r="H464" s="407"/>
      <c r="I464" s="407"/>
      <c r="J464" s="407"/>
      <c r="K464" s="407"/>
      <c r="L464" s="407"/>
      <c r="M464" s="407"/>
      <c r="N464" s="407"/>
      <c r="O464" s="407"/>
      <c r="P464" s="407"/>
      <c r="Q464" s="407"/>
      <c r="R464" s="407"/>
      <c r="S464" s="407"/>
      <c r="T464" s="407"/>
      <c r="U464" s="407"/>
      <c r="V464" s="407"/>
      <c r="W464" s="407"/>
      <c r="X464" s="407"/>
      <c r="Y464" s="407"/>
      <c r="Z464" s="407"/>
      <c r="AA464" s="407"/>
      <c r="AB464" s="407"/>
      <c r="AC464" s="407"/>
      <c r="AD464" s="407"/>
      <c r="AE464" s="407"/>
      <c r="AF464" s="407"/>
      <c r="AG464" s="407"/>
      <c r="AH464" s="407"/>
      <c r="AI464" s="407"/>
      <c r="AJ464" s="407"/>
      <c r="AK464" s="407"/>
      <c r="AL464" s="407"/>
      <c r="AM464" s="407"/>
      <c r="AN464" s="407"/>
      <c r="AO464" s="407"/>
      <c r="AP464" s="407"/>
      <c r="AQ464" s="407"/>
      <c r="AR464" s="1236"/>
      <c r="AS464" s="1382"/>
      <c r="AT464" s="407"/>
      <c r="AU464" s="1236"/>
      <c r="AV464" s="1236"/>
      <c r="AW464" s="1236"/>
      <c r="AX464" s="1236"/>
      <c r="AY464" s="1236"/>
      <c r="AZ464" s="1236"/>
      <c r="BA464" s="1236"/>
      <c r="BB464" s="1236"/>
      <c r="BC464" s="1236"/>
      <c r="BD464" s="1236"/>
      <c r="BE464" s="1236"/>
    </row>
    <row r="465" spans="1:64" x14ac:dyDescent="0.2">
      <c r="A465" s="411" t="s">
        <v>194</v>
      </c>
      <c r="B465" s="13" t="s">
        <v>181</v>
      </c>
      <c r="C465" s="13"/>
      <c r="D465" s="1369"/>
      <c r="E465" s="1369"/>
      <c r="F465" s="1369"/>
      <c r="G465" s="1369"/>
      <c r="H465" s="1369"/>
      <c r="I465" s="1369"/>
      <c r="J465" s="1369"/>
      <c r="K465" s="1369"/>
      <c r="L465" s="1369"/>
      <c r="M465" s="1369"/>
      <c r="N465" s="1369"/>
      <c r="O465" s="1369"/>
      <c r="P465" s="1369"/>
      <c r="Q465" s="1369"/>
      <c r="R465" s="1369"/>
      <c r="S465" s="1369"/>
      <c r="T465" s="1369"/>
      <c r="U465" s="1369"/>
      <c r="V465" s="1369"/>
      <c r="W465" s="1369"/>
      <c r="X465" s="1369"/>
      <c r="Y465" s="1369"/>
      <c r="Z465" s="1369"/>
      <c r="AA465" s="1369"/>
      <c r="AB465" s="1369"/>
      <c r="AC465" s="1369"/>
      <c r="AD465" s="1369"/>
      <c r="AE465" s="1369"/>
      <c r="AF465" s="1369"/>
      <c r="AG465" s="1369"/>
      <c r="AH465" s="1369"/>
      <c r="AI465" s="1369"/>
      <c r="AJ465" s="1369"/>
      <c r="AK465" s="1369"/>
      <c r="AL465" s="1369"/>
      <c r="AM465" s="1369"/>
      <c r="AN465" s="1369"/>
      <c r="AO465" s="1369"/>
      <c r="AP465" s="1369"/>
      <c r="AQ465" s="1369"/>
      <c r="AR465" s="1236"/>
      <c r="AS465" s="1370"/>
      <c r="AT465" s="1370"/>
      <c r="AU465" s="1369"/>
      <c r="AV465" s="1369"/>
      <c r="AW465" s="1369"/>
      <c r="AX465" s="1369"/>
      <c r="AY465" s="1369"/>
      <c r="AZ465" s="1369"/>
      <c r="BA465" s="1369"/>
      <c r="BB465" s="1369"/>
      <c r="BC465" s="1369"/>
      <c r="BD465" s="1369"/>
      <c r="BE465" s="1369"/>
      <c r="BF465" s="15"/>
      <c r="BG465" s="15"/>
      <c r="BH465" s="15"/>
      <c r="BI465" s="15"/>
      <c r="BJ465" s="15"/>
      <c r="BK465" s="15"/>
      <c r="BL465" s="15"/>
    </row>
    <row r="466" spans="1:64" x14ac:dyDescent="0.2">
      <c r="B466" s="16"/>
      <c r="C466" s="16"/>
      <c r="D466" s="1250"/>
      <c r="E466" s="1250"/>
      <c r="F466" s="1250"/>
      <c r="G466" s="1250"/>
      <c r="H466" s="1250"/>
      <c r="I466" s="1250"/>
      <c r="J466" s="1250"/>
      <c r="K466" s="1250"/>
      <c r="L466" s="1250"/>
      <c r="M466" s="1250"/>
      <c r="N466" s="1250"/>
      <c r="O466" s="1250"/>
      <c r="P466" s="1250"/>
      <c r="Q466" s="1250"/>
      <c r="R466" s="1250"/>
      <c r="S466" s="1250"/>
      <c r="T466" s="1250"/>
      <c r="U466" s="1250"/>
      <c r="V466" s="1250"/>
      <c r="W466" s="1250"/>
      <c r="X466" s="1250"/>
      <c r="Y466" s="1250"/>
      <c r="Z466" s="1250"/>
      <c r="AA466" s="1250"/>
      <c r="AB466" s="1250"/>
      <c r="AC466" s="1250"/>
      <c r="AD466" s="1250"/>
      <c r="AE466" s="1250"/>
      <c r="AF466" s="1250"/>
      <c r="AG466" s="1250"/>
      <c r="AH466" s="1250"/>
      <c r="AI466" s="1250"/>
      <c r="AJ466" s="1250"/>
      <c r="AK466" s="1250"/>
      <c r="AL466" s="1250"/>
      <c r="AM466" s="1250"/>
      <c r="AN466" s="1250"/>
      <c r="AO466" s="1250"/>
      <c r="AP466" s="1250"/>
      <c r="AQ466" s="1250"/>
      <c r="AR466" s="1236"/>
      <c r="AS466" s="1371"/>
      <c r="AT466" s="1371"/>
      <c r="AU466" s="1236"/>
      <c r="AV466" s="1236"/>
      <c r="AW466" s="1236"/>
      <c r="AX466" s="1236"/>
      <c r="AY466" s="1236"/>
      <c r="AZ466" s="1236"/>
      <c r="BA466" s="1236"/>
      <c r="BB466" s="1236"/>
      <c r="BC466" s="1236"/>
      <c r="BD466" s="1236"/>
      <c r="BE466" s="1236"/>
    </row>
    <row r="467" spans="1:64" x14ac:dyDescent="0.2">
      <c r="B467" s="11" t="s">
        <v>247</v>
      </c>
      <c r="C467" s="11"/>
      <c r="D467" s="1398"/>
      <c r="E467" s="1398"/>
      <c r="F467" s="1398"/>
      <c r="G467" s="1398"/>
      <c r="H467" s="1398"/>
      <c r="I467" s="1398"/>
      <c r="J467" s="1398"/>
      <c r="K467" s="1398"/>
      <c r="L467" s="1398"/>
      <c r="M467" s="1398"/>
      <c r="N467" s="1398"/>
      <c r="O467" s="1398"/>
      <c r="P467" s="1398"/>
      <c r="Q467" s="1398"/>
      <c r="R467" s="1398"/>
      <c r="S467" s="1398"/>
      <c r="T467" s="1398"/>
      <c r="U467" s="1398"/>
      <c r="V467" s="1398"/>
      <c r="W467" s="1398"/>
      <c r="X467" s="1398"/>
      <c r="Y467" s="1398"/>
      <c r="Z467" s="1398"/>
      <c r="AA467" s="1398"/>
      <c r="AB467" s="1398"/>
      <c r="AC467" s="1398"/>
      <c r="AD467" s="1398"/>
      <c r="AE467" s="1398"/>
      <c r="AF467" s="1398"/>
      <c r="AG467" s="1398"/>
      <c r="AH467" s="1398"/>
      <c r="AI467" s="1398"/>
      <c r="AJ467" s="1398"/>
      <c r="AK467" s="1398"/>
      <c r="AL467" s="1398"/>
      <c r="AM467" s="1398"/>
      <c r="AN467" s="1398"/>
      <c r="AO467" s="1398"/>
      <c r="AP467" s="1398"/>
      <c r="AQ467" s="1398"/>
      <c r="AR467" s="1236"/>
      <c r="AS467" s="1399"/>
      <c r="AT467" s="1399"/>
      <c r="AU467" s="1398"/>
      <c r="AV467" s="1398"/>
      <c r="AW467" s="1398"/>
      <c r="AX467" s="1398"/>
      <c r="AY467" s="1398"/>
      <c r="AZ467" s="1398"/>
      <c r="BA467" s="1398"/>
      <c r="BB467" s="1398"/>
      <c r="BC467" s="1398"/>
      <c r="BD467" s="1398"/>
      <c r="BE467" s="1398"/>
    </row>
    <row r="468" spans="1:64" x14ac:dyDescent="0.2">
      <c r="B468" s="321" t="s">
        <v>25</v>
      </c>
      <c r="C468" s="321"/>
      <c r="D468" s="1284"/>
      <c r="E468" s="1250"/>
      <c r="F468" s="1250"/>
      <c r="G468" s="1250"/>
      <c r="H468" s="1250"/>
      <c r="I468" s="1250"/>
      <c r="J468" s="1250"/>
      <c r="K468" s="1250"/>
      <c r="L468" s="1250"/>
      <c r="M468" s="1250"/>
      <c r="N468" s="1250"/>
      <c r="O468" s="1250"/>
      <c r="P468" s="1250"/>
      <c r="Q468" s="1250"/>
      <c r="R468" s="1250"/>
      <c r="S468" s="1250"/>
      <c r="T468" s="1250"/>
      <c r="U468" s="1250"/>
      <c r="V468" s="1250"/>
      <c r="W468" s="1250"/>
      <c r="X468" s="1250"/>
      <c r="Y468" s="1250"/>
      <c r="Z468" s="1250"/>
      <c r="AA468" s="1250"/>
      <c r="AB468" s="1250"/>
      <c r="AC468" s="1250"/>
      <c r="AD468" s="1250"/>
      <c r="AE468" s="1250"/>
      <c r="AF468" s="1250"/>
      <c r="AG468" s="1250"/>
      <c r="AH468" s="1250"/>
      <c r="AI468" s="1250"/>
      <c r="AJ468" s="1250"/>
      <c r="AK468" s="1250"/>
      <c r="AL468" s="1250"/>
      <c r="AM468" s="1250"/>
      <c r="AN468" s="1250"/>
      <c r="AO468" s="1250"/>
      <c r="AP468" s="1250"/>
      <c r="AQ468" s="1250"/>
      <c r="AR468" s="1236"/>
      <c r="AS468" s="1284"/>
      <c r="AT468" s="1284"/>
      <c r="AU468" s="1236"/>
      <c r="AV468" s="1236"/>
      <c r="AW468" s="1236"/>
      <c r="AX468" s="1236"/>
      <c r="AY468" s="1236"/>
      <c r="AZ468" s="1236"/>
      <c r="BA468" s="1236"/>
      <c r="BB468" s="1236"/>
      <c r="BC468" s="1236"/>
      <c r="BD468" s="1236"/>
      <c r="BE468" s="1236"/>
    </row>
    <row r="469" spans="1:64" x14ac:dyDescent="0.2">
      <c r="B469" s="315"/>
      <c r="C469" s="321" t="s">
        <v>91</v>
      </c>
      <c r="D469" s="1253"/>
      <c r="E469" s="1253"/>
      <c r="F469" s="1253"/>
      <c r="G469" s="1253"/>
      <c r="H469" s="1253">
        <f>IFERROR(Model!H469/Model!D469-1,"NA")</f>
        <v>0.83333333333333326</v>
      </c>
      <c r="I469" s="1253">
        <f>IFERROR(Model!I469/Model!E469-1,"NA")</f>
        <v>5.6122448979591733E-2</v>
      </c>
      <c r="J469" s="1253">
        <f>IFERROR(Model!J469/Model!F469-1,"NA")</f>
        <v>-0.1606217616580311</v>
      </c>
      <c r="K469" s="1253">
        <f>IFERROR(Model!K469/Model!G469-1,"NA")</f>
        <v>0.27363184079601988</v>
      </c>
      <c r="L469" s="1253">
        <f>IFERROR(Model!L469/Model!H469-1,"NA")</f>
        <v>-0.12121212121212122</v>
      </c>
      <c r="M469" s="1253">
        <f>IFERROR(Model!M469/Model!I469-1,"NA")</f>
        <v>-8.2125603864734331E-2</v>
      </c>
      <c r="N469" s="1253">
        <f>IFERROR(Model!N469/Model!J469-1,"NA")</f>
        <v>0.93827160493827155</v>
      </c>
      <c r="O469" s="1253">
        <f>IFERROR(Model!O469/Model!K469-1,"NA")</f>
        <v>1.5625E-2</v>
      </c>
      <c r="P469" s="1253">
        <f>IFERROR(Model!P469/Model!L469-1,"NA")</f>
        <v>0.69540229885057481</v>
      </c>
      <c r="Q469" s="1253">
        <f>IFERROR(Model!Q469/Model!M469-1,"NA")</f>
        <v>0.35263157894736841</v>
      </c>
      <c r="R469" s="1253">
        <f>IFERROR(Model!R469/Model!N469-1,"NA")</f>
        <v>-0.23885350318471332</v>
      </c>
      <c r="S469" s="1253">
        <f>IFERROR(Model!S469/Model!O469-1,"NA")</f>
        <v>0.16153846153846163</v>
      </c>
      <c r="T469" s="1253">
        <f>IFERROR(Model!T469/Model!P469-1,"NA")</f>
        <v>-0.23050847457627122</v>
      </c>
      <c r="U469" s="1253">
        <f>IFERROR(Model!U469/Model!Q469-1,"NA")</f>
        <v>-7.3929961089494123E-2</v>
      </c>
      <c r="V469" s="1253">
        <f>IFERROR(Model!V469/Model!R469-1,"NA")</f>
        <v>0</v>
      </c>
      <c r="W469" s="1253">
        <f>IFERROR(Model!W469/Model!S469-1,"NA")</f>
        <v>-1.9867549668874163E-2</v>
      </c>
      <c r="X469" s="1253">
        <f>IFERROR(Model!X469/Model!T469-1,"NA")</f>
        <v>9.6916299559471453E-2</v>
      </c>
      <c r="Y469" s="1253">
        <f>IFERROR(Model!Y469/Model!U469-1,"NA")</f>
        <v>0.33613445378151252</v>
      </c>
      <c r="Z469" s="1253">
        <f>IFERROR(Model!Z469/Model!V469-1,"NA")</f>
        <v>4.1841004184099972E-3</v>
      </c>
      <c r="AA469" s="1253">
        <f>IFERROR(Model!AA469/Model!W469-1,"NA")</f>
        <v>6.7567567567567544E-2</v>
      </c>
      <c r="AB469" s="1253">
        <f>IFERROR(Model!AB469/Model!X469-1,"NA")</f>
        <v>-0.13654618473895586</v>
      </c>
      <c r="AC469" s="1250">
        <f>IFERROR(Model!AC469/Model!Y469-1,"NA")</f>
        <v>-0.12430608656603737</v>
      </c>
      <c r="AD469" s="1250">
        <f>IFERROR(Model!AD469/Model!Z469-1,"NA")</f>
        <v>0.27632387883000087</v>
      </c>
      <c r="AE469" s="1250">
        <f>IFERROR(Model!AE469/Model!AA469-1,"NA")</f>
        <v>6.6295898769367811E-2</v>
      </c>
      <c r="AF469" s="1250">
        <f>IFERROR(Model!AF469/Model!AB469-1,"NA")</f>
        <v>0.62317867380772185</v>
      </c>
      <c r="AG469" s="1250">
        <f>IFERROR(Model!AG469/Model!AC469-1,"NA")</f>
        <v>0.21561785714285708</v>
      </c>
      <c r="AH469" s="1250">
        <f>IFERROR(Model!AH469/Model!AD469-1,"NA")</f>
        <v>8.3004999999999773E-2</v>
      </c>
      <c r="AI469" s="1250">
        <f>IFERROR(Model!AI469/Model!AE469-1,"NA")</f>
        <v>-3.5141000000000089E-2</v>
      </c>
      <c r="AJ469" s="1250"/>
      <c r="AK469" s="1250"/>
      <c r="AL469" s="1250"/>
      <c r="AM469" s="1250"/>
      <c r="AN469" s="1250"/>
      <c r="AO469" s="1250"/>
      <c r="AP469" s="1250"/>
      <c r="AQ469" s="1250"/>
      <c r="AR469" s="1236"/>
      <c r="AS469" s="1400"/>
      <c r="AT469" s="1284"/>
      <c r="AU469" s="1236"/>
      <c r="AV469" s="1236">
        <f>IFERROR(Model!AV469/Model!AU469-1,"NA")</f>
        <v>0.1790830945558739</v>
      </c>
      <c r="AW469" s="1236">
        <f>IFERROR(Model!AW469/Model!AV469-1,"NA")</f>
        <v>0.13973268529769145</v>
      </c>
      <c r="AX469" s="1236">
        <f>IFERROR(Model!AX469/Model!AW469-1,"NA")</f>
        <v>0.16524520255863528</v>
      </c>
      <c r="AY469" s="1236">
        <f>IFERROR(Model!AY469/Model!AX469-1,"NA")</f>
        <v>-8.5086916742909469E-2</v>
      </c>
      <c r="AZ469" s="1236">
        <f>IFERROR(Model!AZ469/Model!AY469-1,"NA")</f>
        <v>0.123</v>
      </c>
      <c r="BA469" s="1236">
        <f>IFERROR(Model!BA469/Model!AZ469-1,"NA")</f>
        <v>1.2233214071523335E-2</v>
      </c>
      <c r="BB469" s="1250">
        <f>IFERROR(Model!BB469/Model!BA469-1,"NA")</f>
        <v>0.18263825254960953</v>
      </c>
      <c r="BC469" s="1250">
        <f>IFERROR(Model!BC469/Model!BB469-1,"NA")</f>
        <v>8.6206896551723977E-2</v>
      </c>
      <c r="BD469" s="1250">
        <f>IFERROR(Model!BD469/Model!BC469-1,"NA")</f>
        <v>5.0000000000000266E-2</v>
      </c>
      <c r="BE469" s="1250">
        <f>IFERROR(Model!BE469/Model!BD469-1,"NA")</f>
        <v>5.0000000000000044E-2</v>
      </c>
    </row>
    <row r="470" spans="1:64" x14ac:dyDescent="0.2">
      <c r="B470" s="315"/>
      <c r="C470" s="321" t="s">
        <v>64</v>
      </c>
      <c r="D470" s="1253"/>
      <c r="E470" s="1253"/>
      <c r="F470" s="1253"/>
      <c r="G470" s="1253"/>
      <c r="H470" s="1253">
        <f>IFERROR(Model!H470/Model!D470-1,"NA")</f>
        <v>0.48520710059171601</v>
      </c>
      <c r="I470" s="1253">
        <f>IFERROR(Model!I470/Model!E470-1,"NA")</f>
        <v>0.48309178743961345</v>
      </c>
      <c r="J470" s="1253">
        <f>IFERROR(Model!J470/Model!F470-1,"NA")</f>
        <v>0.16959064327485374</v>
      </c>
      <c r="K470" s="1253">
        <f>IFERROR(Model!K470/Model!G470-1,"NA")</f>
        <v>0.68108108108108101</v>
      </c>
      <c r="L470" s="1253">
        <f>IFERROR(Model!L470/Model!H470-1,"NA")</f>
        <v>0.19123505976095623</v>
      </c>
      <c r="M470" s="1253">
        <f>IFERROR(Model!M470/Model!I470-1,"NA")</f>
        <v>0.29967426710097711</v>
      </c>
      <c r="N470" s="1253">
        <f>IFERROR(Model!N470/Model!J470-1,"NA")</f>
        <v>0.5</v>
      </c>
      <c r="O470" s="1253">
        <f>IFERROR(Model!O470/Model!K470-1,"NA")</f>
        <v>-0.18971061093247588</v>
      </c>
      <c r="P470" s="1253">
        <f>IFERROR(Model!P470/Model!L470-1,"NA")</f>
        <v>-0.22742474916387956</v>
      </c>
      <c r="Q470" s="1253">
        <f>IFERROR(Model!Q470/Model!M470-1,"NA")</f>
        <v>-0.25814536340852134</v>
      </c>
      <c r="R470" s="1253">
        <f>IFERROR(Model!R470/Model!N470-1,"NA")</f>
        <v>-0.42333333333333334</v>
      </c>
      <c r="S470" s="1253">
        <f>IFERROR(Model!S470/Model!O470-1,"NA")</f>
        <v>-0.18253968253968256</v>
      </c>
      <c r="T470" s="1253">
        <f>IFERROR(Model!T470/Model!P470-1,"NA")</f>
        <v>-0.48917748917748916</v>
      </c>
      <c r="U470" s="1253">
        <f>IFERROR(Model!U470/Model!Q470-1,"NA")</f>
        <v>-0.41216216216216217</v>
      </c>
      <c r="V470" s="1253">
        <f>IFERROR(Model!V470/Model!R470-1,"NA")</f>
        <v>-0.15606936416184969</v>
      </c>
      <c r="W470" s="1253">
        <f>IFERROR(Model!W470/Model!S470-1,"NA")</f>
        <v>-7.7669902912621325E-2</v>
      </c>
      <c r="X470" s="1253">
        <f>IFERROR(Model!X470/Model!T470-1,"NA")</f>
        <v>1.1186440677966103</v>
      </c>
      <c r="Y470" s="1253">
        <f>IFERROR(Model!Y470/Model!U470-1,"NA")</f>
        <v>0.77586206896551735</v>
      </c>
      <c r="Z470" s="1253">
        <f>IFERROR(Model!Z470/Model!V470-1,"NA")</f>
        <v>1.1301369863013697</v>
      </c>
      <c r="AA470" s="1253">
        <f>IFERROR(Model!AA470/Model!W470-1,"NA")</f>
        <v>0.32105263157894748</v>
      </c>
      <c r="AB470" s="1253">
        <f>IFERROR(Model!AB470/Model!X470-1,"NA")</f>
        <v>-0.13600000000000001</v>
      </c>
      <c r="AC470" s="1250">
        <f>IFERROR(Model!AC470/Model!Y470-1,"NA")</f>
        <v>-0.33762158427184463</v>
      </c>
      <c r="AD470" s="1250">
        <f>IFERROR(Model!AD470/Model!Z470-1,"NA")</f>
        <v>-0.34188125254019286</v>
      </c>
      <c r="AE470" s="1250">
        <f>IFERROR(Model!AE470/Model!AA470-1,"NA")</f>
        <v>-0.14379013154183251</v>
      </c>
      <c r="AF470" s="1250">
        <f>IFERROR(Model!AF470/Model!AB470-1,"NA")</f>
        <v>7.355666004363659E-2</v>
      </c>
      <c r="AG470" s="1250">
        <f>IFERROR(Model!AG470/Model!AC470-1,"NA")</f>
        <v>0.15561785123966954</v>
      </c>
      <c r="AH470" s="1250">
        <f>IFERROR(Model!AH470/Model!AD470-1,"NA")</f>
        <v>0.17873020826446284</v>
      </c>
      <c r="AI470" s="1250">
        <f>IFERROR(Model!AI470/Model!AE470-1,"NA")</f>
        <v>0.14505220231404947</v>
      </c>
      <c r="AJ470" s="1250"/>
      <c r="AK470" s="1250"/>
      <c r="AL470" s="1250"/>
      <c r="AM470" s="1250"/>
      <c r="AN470" s="1250"/>
      <c r="AO470" s="1250"/>
      <c r="AP470" s="1250"/>
      <c r="AQ470" s="1250"/>
      <c r="AR470" s="1236"/>
      <c r="AS470" s="1400"/>
      <c r="AT470" s="1284"/>
      <c r="AU470" s="1236"/>
      <c r="AV470" s="1236">
        <f>IFERROR(Model!AV470/Model!AU470-1,"NA")</f>
        <v>0.46038251366120209</v>
      </c>
      <c r="AW470" s="1236">
        <f>IFERROR(Model!AW470/Model!AV470-1,"NA")</f>
        <v>0.16931711880261924</v>
      </c>
      <c r="AX470" s="1236">
        <f>IFERROR(Model!AX470/Model!AW470-1,"NA")</f>
        <v>-0.2752</v>
      </c>
      <c r="AY470" s="1236">
        <f>IFERROR(Model!AY470/Model!AX470-1,"NA")</f>
        <v>-0.30684326710816778</v>
      </c>
      <c r="AZ470" s="1236">
        <f>IFERROR(Model!AZ470/Model!AY470-1,"NA")</f>
        <v>0.78503184713375807</v>
      </c>
      <c r="BA470" s="1236">
        <f>IFERROR(Model!BA470/Model!AZ470-1,"NA")</f>
        <v>-0.25043841400267608</v>
      </c>
      <c r="BB470" s="1250">
        <f>IFERROR(Model!BB470/Model!BA470-1,"NA")</f>
        <v>0.13745041089244503</v>
      </c>
      <c r="BC470" s="1250">
        <f>IFERROR(Model!BC470/Model!BB470-1,"NA")</f>
        <v>0.1375000000000004</v>
      </c>
      <c r="BD470" s="1250">
        <f>IFERROR(Model!BD470/Model!BC470-1,"NA")</f>
        <v>0.14490384615384588</v>
      </c>
      <c r="BE470" s="1250">
        <f>IFERROR(Model!BE470/Model!BD470-1,"NA")</f>
        <v>5.6481481481481577E-2</v>
      </c>
    </row>
    <row r="471" spans="1:64" x14ac:dyDescent="0.2">
      <c r="B471" s="375"/>
      <c r="C471" s="376" t="s">
        <v>63</v>
      </c>
      <c r="D471" s="1408"/>
      <c r="E471" s="1408"/>
      <c r="F471" s="1408"/>
      <c r="G471" s="1408"/>
      <c r="H471" s="1408">
        <f>IFERROR(Model!H471/Model!D471-1,"NA")</f>
        <v>5.4093567251461971E-2</v>
      </c>
      <c r="I471" s="1408">
        <f>IFERROR(Model!I471/Model!E471-1,"NA")</f>
        <v>0.10843373493975905</v>
      </c>
      <c r="J471" s="1408">
        <f>IFERROR(Model!J471/Model!F471-1,"NA")</f>
        <v>-0.14890510948905111</v>
      </c>
      <c r="K471" s="1408">
        <f>IFERROR(Model!K471/Model!G471-1,"NA")</f>
        <v>-0.19640387275242044</v>
      </c>
      <c r="L471" s="1408">
        <f>IFERROR(Model!L471/Model!H471-1,"NA")</f>
        <v>-0.18585298196948685</v>
      </c>
      <c r="M471" s="1408">
        <f>IFERROR(Model!M471/Model!I471-1,"NA")</f>
        <v>0.17391304347826098</v>
      </c>
      <c r="N471" s="1408">
        <f>IFERROR(Model!N471/Model!J471-1,"NA")</f>
        <v>9.9485420240137179E-2</v>
      </c>
      <c r="O471" s="1408">
        <f>IFERROR(Model!O471/Model!K471-1,"NA")</f>
        <v>-3.9586919104991347E-2</v>
      </c>
      <c r="P471" s="1408">
        <f>IFERROR(Model!P471/Model!L471-1,"NA")</f>
        <v>0.14821124361158433</v>
      </c>
      <c r="Q471" s="1408">
        <f>IFERROR(Model!Q471/Model!M471-1,"NA")</f>
        <v>-2.777777777777779E-2</v>
      </c>
      <c r="R471" s="1408">
        <f>IFERROR(Model!R471/Model!N471-1,"NA")</f>
        <v>-0.17628705148205925</v>
      </c>
      <c r="S471" s="1408">
        <f>IFERROR(Model!S471/Model!O471-1,"NA")</f>
        <v>0.11290322580645151</v>
      </c>
      <c r="T471" s="1408">
        <f>IFERROR(Model!T471/Model!P471-1,"NA")</f>
        <v>-0.21661721068249262</v>
      </c>
      <c r="U471" s="1408">
        <f>IFERROR(Model!U471/Model!Q471-1,"NA")</f>
        <v>9.2517006802721014E-2</v>
      </c>
      <c r="V471" s="1408">
        <f>IFERROR(Model!V471/Model!R471-1,"NA")</f>
        <v>0.32196969696969702</v>
      </c>
      <c r="W471" s="1240">
        <f>IFERROR(Model!W471/Model!S471-1,"NA")</f>
        <v>3.8647342995169032E-2</v>
      </c>
      <c r="X471" s="1240">
        <f>IFERROR(Model!X471/Model!T471-1,"NA")</f>
        <v>0.44507575757575757</v>
      </c>
      <c r="Y471" s="1240">
        <f>IFERROR(Model!Y471/Model!U471-1,"NA")</f>
        <v>0.13075965130759659</v>
      </c>
      <c r="Z471" s="1240">
        <f>IFERROR(Model!Z471/Model!V471-1,"NA")</f>
        <v>4.4412607449856756E-2</v>
      </c>
      <c r="AA471" s="1240">
        <f>IFERROR(Model!AA471/Model!W471-1,"NA")</f>
        <v>0.12558139534883717</v>
      </c>
      <c r="AB471" s="1240">
        <f>IFERROR(Model!AB471/Model!X471-1,"NA")</f>
        <v>-8.3879423328964586E-2</v>
      </c>
      <c r="AC471" s="1250">
        <f>IFERROR(Model!AC471/Model!Y471-1,"NA")</f>
        <v>-9.9287818396775807E-2</v>
      </c>
      <c r="AD471" s="1250">
        <f>IFERROR(Model!AD471/Model!Z471-1,"NA")</f>
        <v>6.578097098894542E-2</v>
      </c>
      <c r="AE471" s="1250">
        <f>IFERROR(Model!AE471/Model!AA471-1,"NA")</f>
        <v>1.6675773358669543E-2</v>
      </c>
      <c r="AF471" s="1250">
        <f>IFERROR(Model!AF471/Model!AB471-1,"NA")</f>
        <v>0.14042223229623141</v>
      </c>
      <c r="AG471" s="1250">
        <f>IFERROR(Model!AG471/Model!AC471-1,"NA")</f>
        <v>1.3687999999999922E-2</v>
      </c>
      <c r="AH471" s="1250">
        <f>IFERROR(Model!AH471/Model!AD471-1,"NA")</f>
        <v>1.8599771428571499E-2</v>
      </c>
      <c r="AI471" s="1250">
        <f>IFERROR(Model!AI471/Model!AE471-1,"NA")</f>
        <v>8.8293439999999945E-2</v>
      </c>
      <c r="AJ471" s="1250"/>
      <c r="AK471" s="1250"/>
      <c r="AL471" s="1250"/>
      <c r="AM471" s="1250"/>
      <c r="AN471" s="1250"/>
      <c r="AO471" s="1250"/>
      <c r="AP471" s="1250"/>
      <c r="AQ471" s="1250"/>
      <c r="AR471" s="1236"/>
      <c r="AS471" s="1402"/>
      <c r="AT471" s="1270"/>
      <c r="AU471" s="1246"/>
      <c r="AV471" s="1246">
        <f>IFERROR(Model!AV471/Model!AU471-1,"NA")</f>
        <v>-5.3872053872053849E-2</v>
      </c>
      <c r="AW471" s="1246">
        <f>IFERROR(Model!AW471/Model!AV471-1,"NA")</f>
        <v>5.1403716884144135E-3</v>
      </c>
      <c r="AX471" s="1246">
        <f>IFERROR(Model!AX471/Model!AW471-1,"NA")</f>
        <v>6.2942564909520549E-3</v>
      </c>
      <c r="AY471" s="1246">
        <f>IFERROR(Model!AY471/Model!AX471-1,"NA")</f>
        <v>4.5347928068803833E-2</v>
      </c>
      <c r="AZ471" s="1246">
        <f>IFERROR(Model!AZ471/Model!AY471-1,"NA")</f>
        <v>0.16903515332834695</v>
      </c>
      <c r="BA471" s="1246">
        <f>IFERROR(Model!BA471/Model!AZ471-1,"NA")</f>
        <v>-3.0099935954874368E-2</v>
      </c>
      <c r="BB471" s="1250">
        <f>IFERROR(Model!BB471/Model!BA471-1,"NA")</f>
        <v>6.2327417292498577E-2</v>
      </c>
      <c r="BC471" s="1250">
        <f>IFERROR(Model!BC471/Model!BB471-1,"NA")</f>
        <v>3.9985152743484909E-2</v>
      </c>
      <c r="BD471" s="1250">
        <f>IFERROR(Model!BD471/Model!BC471-1,"NA")</f>
        <v>4.0000000000000036E-2</v>
      </c>
      <c r="BE471" s="1250">
        <f>IFERROR(Model!BE471/Model!BD471-1,"NA")</f>
        <v>4.0000000000000258E-2</v>
      </c>
    </row>
    <row r="472" spans="1:64" x14ac:dyDescent="0.2">
      <c r="B472" s="321" t="s">
        <v>68</v>
      </c>
      <c r="C472" s="15"/>
      <c r="D472" s="1247"/>
      <c r="E472" s="1247"/>
      <c r="F472" s="1247"/>
      <c r="G472" s="1247"/>
      <c r="H472" s="1247">
        <f>IFERROR(Model!H472/Model!D472-1,"NA")</f>
        <v>0.21748178980228938</v>
      </c>
      <c r="I472" s="1247">
        <f>IFERROR(Model!I472/Model!E472-1,"NA")</f>
        <v>0.17682926829268286</v>
      </c>
      <c r="J472" s="1247">
        <f>IFERROR(Model!J472/Model!F472-1,"NA")</f>
        <v>-9.914204003813154E-2</v>
      </c>
      <c r="K472" s="1247">
        <f>IFERROR(Model!K472/Model!G472-1,"NA")</f>
        <v>3.5166816952209246E-2</v>
      </c>
      <c r="L472" s="1247">
        <f>IFERROR(Model!L472/Model!H472-1,"NA")</f>
        <v>-9.4017094017094016E-2</v>
      </c>
      <c r="M472" s="1247">
        <f>IFERROR(Model!M472/Model!I472-1,"NA")</f>
        <v>0.16148531951640765</v>
      </c>
      <c r="N472" s="1247">
        <f>IFERROR(Model!N472/Model!J472-1,"NA")</f>
        <v>0.32804232804232814</v>
      </c>
      <c r="O472" s="1247">
        <f>IFERROR(Model!O472/Model!K472-1,"NA")</f>
        <v>-6.7944250871080136E-2</v>
      </c>
      <c r="P472" s="1247">
        <f>IFERROR(Model!P472/Model!L472-1,"NA")</f>
        <v>0.13207547169811318</v>
      </c>
      <c r="Q472" s="1247">
        <f>IFERROR(Model!Q472/Model!M472-1,"NA")</f>
        <v>-4.2379182156133788E-2</v>
      </c>
      <c r="R472" s="1247">
        <f>IFERROR(Model!R472/Model!N472-1,"NA")</f>
        <v>-0.25099601593625498</v>
      </c>
      <c r="S472" s="1247">
        <f>IFERROR(Model!S472/Model!O472-1,"NA")</f>
        <v>5.5140186915887845E-2</v>
      </c>
      <c r="T472" s="1247">
        <f>IFERROR(Model!T472/Model!P472-1,"NA")</f>
        <v>-0.27249999999999996</v>
      </c>
      <c r="U472" s="1247">
        <f>IFERROR(Model!U472/Model!Q472-1,"NA")</f>
        <v>-5.6677018633540355E-2</v>
      </c>
      <c r="V472" s="1247">
        <f>IFERROR(Model!V472/Model!R472-1,"NA")</f>
        <v>0.15212765957446805</v>
      </c>
      <c r="W472" s="1439">
        <f>IFERROR(Model!W472/Model!S472-1,"NA")</f>
        <v>1.771479185119551E-3</v>
      </c>
      <c r="X472" s="1439">
        <f>IFERROR(Model!X472/Model!T472-1,"NA")</f>
        <v>0.44558991981672391</v>
      </c>
      <c r="Y472" s="1439">
        <f>IFERROR(Model!Y472/Model!U472-1,"NA")</f>
        <v>0.26337448559670773</v>
      </c>
      <c r="Z472" s="1439">
        <f>IFERROR(Model!Z472/Model!V472-1,"NA")</f>
        <v>0.18190212373037862</v>
      </c>
      <c r="AA472" s="1439">
        <f>IFERROR(Model!AA472/Model!W472-1,"NA")</f>
        <v>0.14323607427055696</v>
      </c>
      <c r="AB472" s="1439">
        <f>IFERROR(Model!AB472/Model!X472-1,"NA")</f>
        <v>-0.10459587955625993</v>
      </c>
      <c r="AC472" s="1439">
        <f>IFERROR(Model!AC472/Model!Y472-1,"NA")</f>
        <v>-0.15244804180604066</v>
      </c>
      <c r="AD472" s="1439">
        <f>IFERROR(Model!AD472/Model!Z472-1,"NA")</f>
        <v>6.2085853360478449E-3</v>
      </c>
      <c r="AE472" s="1439">
        <f>IFERROR(Model!AE472/Model!AA472-1,"NA")</f>
        <v>-2.3474149632526364E-3</v>
      </c>
      <c r="AF472" s="1439">
        <f>IFERROR(Model!AF472/Model!AB472-1,"NA")</f>
        <v>0.2194927378877447</v>
      </c>
      <c r="AG472" s="1439">
        <f>IFERROR(Model!AG472/Model!AC472-1,"NA")</f>
        <v>7.9238754469116213E-2</v>
      </c>
      <c r="AH472" s="1439">
        <f>IFERROR(Model!AH472/Model!AD472-1,"NA")</f>
        <v>5.936476403951052E-2</v>
      </c>
      <c r="AI472" s="1439">
        <f>IFERROR(Model!AI472/Model!AE472-1,"NA")</f>
        <v>6.550737406102014E-2</v>
      </c>
      <c r="AJ472" s="1267"/>
      <c r="AK472" s="1267"/>
      <c r="AL472" s="1267"/>
      <c r="AM472" s="1267"/>
      <c r="AN472" s="1267"/>
      <c r="AO472" s="1267"/>
      <c r="AP472" s="1267"/>
      <c r="AQ472" s="1267"/>
      <c r="AR472" s="1236"/>
      <c r="AS472" s="1284"/>
      <c r="AT472" s="1250"/>
      <c r="AU472" s="1236"/>
      <c r="AV472" s="1236">
        <f>IFERROR(Model!AV472/Model!AU472-1,"NA")</f>
        <v>7.7504265171825404E-2</v>
      </c>
      <c r="AW472" s="1236">
        <f>IFERROR(Model!AW472/Model!AV472-1,"NA")</f>
        <v>6.9893689210585919E-2</v>
      </c>
      <c r="AX472" s="1236">
        <f>IFERROR(Model!AX472/Model!AW472-1,"NA")</f>
        <v>-3.6575052854122658E-2</v>
      </c>
      <c r="AY472" s="1236">
        <f>IFERROR(Model!AY472/Model!AX472-1,"NA")</f>
        <v>-5.5957867017774832E-2</v>
      </c>
      <c r="AZ472" s="1236">
        <f>IFERROR(Model!AZ472/Model!AY472-1,"NA")</f>
        <v>0.24825662482566258</v>
      </c>
      <c r="BA472" s="1236">
        <f>IFERROR(Model!BA472/Model!AZ472-1,"NA")</f>
        <v>-6.7243195994342031E-2</v>
      </c>
      <c r="BB472" s="1439">
        <f>IFERROR(Model!BB472/Model!BA472-1,"NA")</f>
        <v>0.10223327721990194</v>
      </c>
      <c r="BC472" s="1439">
        <f>IFERROR(Model!BC472/Model!BB472-1,"NA")</f>
        <v>6.8121139399424324E-2</v>
      </c>
      <c r="BD472" s="1439">
        <f>IFERROR(Model!BD472/Model!BC472-1,"NA")</f>
        <v>6.1815991346446442E-2</v>
      </c>
      <c r="BE472" s="1439">
        <f>IFERROR(Model!BE472/Model!BD472-1,"NA")</f>
        <v>4.572490063464274E-2</v>
      </c>
    </row>
    <row r="473" spans="1:64" x14ac:dyDescent="0.2">
      <c r="B473" s="315" t="s">
        <v>10</v>
      </c>
      <c r="C473" s="321"/>
      <c r="D473" s="1253"/>
      <c r="E473" s="1253"/>
      <c r="F473" s="1253"/>
      <c r="G473" s="1253"/>
      <c r="H473" s="1253">
        <f>IFERROR(Model!H473/Model!D473-1,"NA")</f>
        <v>-4.7976011994003032E-2</v>
      </c>
      <c r="I473" s="1253">
        <f>IFERROR(Model!I473/Model!E473-1,"NA")</f>
        <v>-3.7342386032977681E-2</v>
      </c>
      <c r="J473" s="1253">
        <f>IFERROR(Model!J473/Model!F473-1,"NA")</f>
        <v>-2.083333333333337E-2</v>
      </c>
      <c r="K473" s="1253">
        <f>IFERROR(Model!K473/Model!G473-1,"NA")</f>
        <v>-1.6410256410256396E-2</v>
      </c>
      <c r="L473" s="1253">
        <f>IFERROR(Model!L473/Model!H473-1,"NA")</f>
        <v>1.4173228346456623E-2</v>
      </c>
      <c r="M473" s="1253">
        <f>IFERROR(Model!M473/Model!I473-1,"NA")</f>
        <v>2.5188916876575096E-3</v>
      </c>
      <c r="N473" s="1253">
        <f>IFERROR(Model!N473/Model!J473-1,"NA")</f>
        <v>8.8220031136481136E-3</v>
      </c>
      <c r="O473" s="1253">
        <f>IFERROR(Model!O473/Model!K473-1,"NA")</f>
        <v>1.2513034410844615E-2</v>
      </c>
      <c r="P473" s="1253">
        <f>IFERROR(Model!P473/Model!L473-1,"NA")</f>
        <v>-5.7971014492753659E-2</v>
      </c>
      <c r="Q473" s="1253">
        <f>IFERROR(Model!Q473/Model!M473-1,"NA")</f>
        <v>-5.2763819095477338E-2</v>
      </c>
      <c r="R473" s="1253">
        <f>IFERROR(Model!R473/Model!N473-1,"NA")</f>
        <v>-4.2181069958847739E-2</v>
      </c>
      <c r="S473" s="1253">
        <f>IFERROR(Model!S473/Model!O473-1,"NA")</f>
        <v>-1.3903192584963975E-2</v>
      </c>
      <c r="T473" s="1253">
        <f>IFERROR(Model!T473/Model!P473-1,"NA")</f>
        <v>4.5604395604395664E-2</v>
      </c>
      <c r="U473" s="1253">
        <f>IFERROR(Model!U473/Model!Q473-1,"NA")</f>
        <v>6.0477453580901841E-2</v>
      </c>
      <c r="V473" s="1253">
        <f>IFERROR(Model!V473/Model!R473-1,"NA")</f>
        <v>6.6595059076262064E-2</v>
      </c>
      <c r="W473" s="1253">
        <f>IFERROR(Model!W473/Model!S473-1,"NA")</f>
        <v>4.9086161879895451E-2</v>
      </c>
      <c r="X473" s="1253">
        <f>IFERROR(Model!X473/Model!T473-1,"NA")</f>
        <v>0.10772464529689962</v>
      </c>
      <c r="Y473" s="1253">
        <f>IFERROR(Model!Y473/Model!U473-1,"NA")</f>
        <v>5.3526763381690934E-2</v>
      </c>
      <c r="Z473" s="1253">
        <f>IFERROR(Model!Z473/Model!V473-1,"NA")</f>
        <v>0.10020140986908355</v>
      </c>
      <c r="AA473" s="1253">
        <f>IFERROR(Model!AA473/Model!W473-1,"NA")</f>
        <v>0.11299153807864615</v>
      </c>
      <c r="AB473" s="1253">
        <f>IFERROR(Model!AB473/Model!X473-1,"NA")</f>
        <v>7.5901328273244806E-2</v>
      </c>
      <c r="AC473" s="1381">
        <f>IFERROR(Model!AC473/Model!Y473-1,"NA")</f>
        <v>0.11168701166920347</v>
      </c>
      <c r="AD473" s="1381">
        <f>IFERROR(Model!AD473/Model!Z473-1,"NA")</f>
        <v>0.10493330410958901</v>
      </c>
      <c r="AE473" s="1381">
        <f>IFERROR(Model!AE473/Model!AA473-1,"NA")</f>
        <v>0.10659546593476632</v>
      </c>
      <c r="AF473" s="1381">
        <f>IFERROR(Model!AF473/Model!AB473-1,"NA")</f>
        <v>8.6048989457534253E-2</v>
      </c>
      <c r="AG473" s="1381">
        <f>IFERROR(Model!AG473/Model!AC473-1,"NA")</f>
        <v>8.1865863808612493E-2</v>
      </c>
      <c r="AH473" s="1381">
        <f>IFERROR(Model!AH473/Model!AD473-1,"NA")</f>
        <v>6.860770371291891E-2</v>
      </c>
      <c r="AI473" s="1381">
        <f>IFERROR(Model!AI473/Model!AE473-1,"NA")</f>
        <v>5.1007106240000155E-2</v>
      </c>
      <c r="AJ473" s="1381"/>
      <c r="AK473" s="1381"/>
      <c r="AL473" s="1381"/>
      <c r="AM473" s="1381"/>
      <c r="AN473" s="1381"/>
      <c r="AO473" s="1381"/>
      <c r="AP473" s="1381"/>
      <c r="AQ473" s="1381"/>
      <c r="AR473" s="1236"/>
      <c r="AS473" s="1400"/>
      <c r="AT473" s="1284"/>
      <c r="AU473" s="1236"/>
      <c r="AV473" s="1236">
        <f>IFERROR(Model!AV473/Model!AU473-1,"NA")</f>
        <v>-3.0823205112141316E-2</v>
      </c>
      <c r="AW473" s="1236">
        <f>IFERROR(Model!AW473/Model!AV473-1,"NA")</f>
        <v>9.4376212023270512E-3</v>
      </c>
      <c r="AX473" s="1236">
        <f>IFERROR(Model!AX473/Model!AW473-1,"NA")</f>
        <v>-4.1752049180327822E-2</v>
      </c>
      <c r="AY473" s="1236">
        <f>IFERROR(Model!AY473/Model!AX473-1,"NA")</f>
        <v>5.5466452820101653E-2</v>
      </c>
      <c r="AZ473" s="1236">
        <f>IFERROR(Model!AZ473/Model!AY473-1,"NA")</f>
        <v>9.3453210079777138E-2</v>
      </c>
      <c r="BA473" s="1236">
        <f>IFERROR(Model!BA473/Model!AZ473-1,"NA")</f>
        <v>9.9923517994780831E-2</v>
      </c>
      <c r="BB473" s="1381">
        <f>IFERROR(Model!BB473/Model!BA473-1,"NA")</f>
        <v>7.1455405750963985E-2</v>
      </c>
      <c r="BC473" s="1381">
        <f>IFERROR(Model!BC473/Model!BB473-1,"NA")</f>
        <v>5.7238598064903057E-2</v>
      </c>
      <c r="BD473" s="1381">
        <f>IFERROR(Model!BD473/Model!BC473-1,"NA")</f>
        <v>4.9999999999999822E-2</v>
      </c>
      <c r="BE473" s="1381">
        <f>IFERROR(Model!BE473/Model!BD473-1,"NA")</f>
        <v>5.0000000000000266E-2</v>
      </c>
    </row>
    <row r="474" spans="1:64" x14ac:dyDescent="0.2">
      <c r="B474" s="315" t="s">
        <v>261</v>
      </c>
      <c r="C474" s="321"/>
      <c r="D474" s="1253"/>
      <c r="E474" s="1253"/>
      <c r="F474" s="1253"/>
      <c r="G474" s="1253"/>
      <c r="H474" s="1253">
        <f>IFERROR(Model!H474/Model!D474-1,"NA")</f>
        <v>-7.0707070707070718E-2</v>
      </c>
      <c r="I474" s="1253">
        <f>IFERROR(Model!I474/Model!E474-1,"NA")</f>
        <v>-3.5320088300220709E-2</v>
      </c>
      <c r="J474" s="1253">
        <f>IFERROR(Model!J474/Model!F474-1,"NA")</f>
        <v>-0.10869565217391308</v>
      </c>
      <c r="K474" s="1253">
        <f>IFERROR(Model!K474/Model!G474-1,"NA")</f>
        <v>2.1531100478468845E-2</v>
      </c>
      <c r="L474" s="1253">
        <f>IFERROR(Model!L474/Model!H474-1,"NA")</f>
        <v>0.22554347826086962</v>
      </c>
      <c r="M474" s="1253">
        <f>IFERROR(Model!M474/Model!I474-1,"NA")</f>
        <v>0.12128146453089239</v>
      </c>
      <c r="N474" s="1253">
        <f>IFERROR(Model!N474/Model!J474-1,"NA")</f>
        <v>0.1682926829268292</v>
      </c>
      <c r="O474" s="1253">
        <f>IFERROR(Model!O474/Model!K474-1,"NA")</f>
        <v>9.133489461358324E-2</v>
      </c>
      <c r="P474" s="1253">
        <f>IFERROR(Model!P474/Model!L474-1,"NA")</f>
        <v>6.4301552106430071E-2</v>
      </c>
      <c r="Q474" s="1253">
        <f>IFERROR(Model!Q474/Model!M474-1,"NA")</f>
        <v>-2.6530612244897944E-2</v>
      </c>
      <c r="R474" s="1253">
        <f>IFERROR(Model!R474/Model!N474-1,"NA")</f>
        <v>-8.7682672233820425E-2</v>
      </c>
      <c r="S474" s="1253">
        <f>IFERROR(Model!S474/Model!O474-1,"NA")</f>
        <v>-7.0815450643776812E-2</v>
      </c>
      <c r="T474" s="1253">
        <f>IFERROR(Model!T474/Model!P474-1,"NA")</f>
        <v>-6.6666666666666652E-2</v>
      </c>
      <c r="U474" s="1253">
        <f>IFERROR(Model!U474/Model!Q474-1,"NA")</f>
        <v>-0.1970649895178197</v>
      </c>
      <c r="V474" s="1253">
        <f>IFERROR(Model!V474/Model!R474-1,"NA")</f>
        <v>4.5766590389015871E-3</v>
      </c>
      <c r="W474" s="1253">
        <f>IFERROR(Model!W474/Model!S474-1,"NA")</f>
        <v>3.4642032332563577E-2</v>
      </c>
      <c r="X474" s="1253">
        <f>IFERROR(Model!X474/Model!T474-1,"NA")</f>
        <v>-2.2321428571428603E-2</v>
      </c>
      <c r="Y474" s="1253">
        <f>IFERROR(Model!Y474/Model!U474-1,"NA")</f>
        <v>0.25587467362924277</v>
      </c>
      <c r="Z474" s="1253">
        <f>IFERROR(Model!Z474/Model!V474-1,"NA")</f>
        <v>0.15261958997722092</v>
      </c>
      <c r="AA474" s="1253">
        <f>IFERROR(Model!AA474/Model!W474-1,"NA")</f>
        <v>0.14508928571428581</v>
      </c>
      <c r="AB474" s="1253">
        <f>IFERROR(Model!AB474/Model!X474-1,"NA")</f>
        <v>0.18949771689497719</v>
      </c>
      <c r="AC474" s="1381">
        <f>IFERROR(Model!AC474/Model!Y474-1,"NA")</f>
        <v>0.11120710847834148</v>
      </c>
      <c r="AD474" s="1381">
        <f>IFERROR(Model!AD474/Model!Z474-1,"NA")</f>
        <v>8.3932024906600233E-2</v>
      </c>
      <c r="AE474" s="1381">
        <f>IFERROR(Model!AE474/Model!AA474-1,"NA")</f>
        <v>8.5178652381638909E-2</v>
      </c>
      <c r="AF474" s="1381">
        <f>IFERROR(Model!AF474/Model!AB474-1,"NA")</f>
        <v>6.6192780356953085E-2</v>
      </c>
      <c r="AG474" s="1381">
        <f>IFERROR(Model!AG474/Model!AC474-1,"NA")</f>
        <v>7.1846089999999752E-2</v>
      </c>
      <c r="AH474" s="1381">
        <f>IFERROR(Model!AH474/Model!AD474-1,"NA")</f>
        <v>8.2406149999999956E-2</v>
      </c>
      <c r="AI474" s="1381">
        <f>IFERROR(Model!AI474/Model!AE474-1,"NA")</f>
        <v>9.3070250000000021E-2</v>
      </c>
      <c r="AJ474" s="1381"/>
      <c r="AK474" s="1381"/>
      <c r="AL474" s="1381"/>
      <c r="AM474" s="1381"/>
      <c r="AN474" s="1381"/>
      <c r="AO474" s="1381"/>
      <c r="AP474" s="1381"/>
      <c r="AQ474" s="1381"/>
      <c r="AR474" s="1236"/>
      <c r="AS474" s="1400"/>
      <c r="AT474" s="1284"/>
      <c r="AU474" s="1236"/>
      <c r="AV474" s="1236">
        <f>IFERROR(Model!AV474/Model!AU474-1,"NA")</f>
        <v>-4.9218297625940988E-2</v>
      </c>
      <c r="AW474" s="1236">
        <f>IFERROR(Model!AW474/Model!AV474-1,"NA")</f>
        <v>0.14859926918392197</v>
      </c>
      <c r="AX474" s="1236">
        <f>IFERROR(Model!AX474/Model!AW474-1,"NA")</f>
        <v>-3.1283138918345665E-2</v>
      </c>
      <c r="AY474" s="1236">
        <f>IFERROR(Model!AY474/Model!AX474-1,"NA")</f>
        <v>-5.9660645867542383E-2</v>
      </c>
      <c r="AZ474" s="1236">
        <f>IFERROR(Model!AZ474/Model!AY474-1,"NA")</f>
        <v>0.12805587892898718</v>
      </c>
      <c r="BA474" s="1236">
        <f>IFERROR(Model!BA474/Model!AZ474-1,"NA")</f>
        <v>0.11489002706532658</v>
      </c>
      <c r="BB474" s="1381">
        <f>IFERROR(Model!BB474/Model!BA474-1,"NA")</f>
        <v>7.863195060496686E-2</v>
      </c>
      <c r="BC474" s="1381">
        <f>IFERROR(Model!BC474/Model!BB474-1,"NA")</f>
        <v>8.7019495852115103E-2</v>
      </c>
      <c r="BD474" s="1381">
        <f>IFERROR(Model!BD474/Model!BC474-1,"NA")</f>
        <v>7.0000000000000062E-2</v>
      </c>
      <c r="BE474" s="1381">
        <f>IFERROR(Model!BE474/Model!BD474-1,"NA")</f>
        <v>5.9999999999999831E-2</v>
      </c>
    </row>
    <row r="475" spans="1:64" x14ac:dyDescent="0.2">
      <c r="B475" s="375" t="s">
        <v>15</v>
      </c>
      <c r="C475" s="536"/>
      <c r="D475" s="1268"/>
      <c r="E475" s="1408"/>
      <c r="F475" s="1408"/>
      <c r="G475" s="1408"/>
      <c r="H475" s="1408">
        <f>IFERROR(Model!H475/Model!D475-1,"NA")</f>
        <v>4.991680532445919E-2</v>
      </c>
      <c r="I475" s="1408">
        <f>IFERROR(Model!I475/Model!E475-1,"NA")</f>
        <v>8.9225589225589319E-2</v>
      </c>
      <c r="J475" s="1408">
        <f>IFERROR(Model!J475/Model!F475-1,"NA")</f>
        <v>6.5359477124182774E-3</v>
      </c>
      <c r="K475" s="1408">
        <f>IFERROR(Model!K475/Model!G475-1,"NA")</f>
        <v>5.008347245408995E-3</v>
      </c>
      <c r="L475" s="1408">
        <f>IFERROR(Model!L475/Model!H475-1,"NA")</f>
        <v>6.3391442155309008E-2</v>
      </c>
      <c r="M475" s="1408">
        <f>IFERROR(Model!M475/Model!I475-1,"NA")</f>
        <v>1.8547140649149974E-2</v>
      </c>
      <c r="N475" s="1408">
        <f>IFERROR(Model!N475/Model!J475-1,"NA")</f>
        <v>7.9545454545454586E-2</v>
      </c>
      <c r="O475" s="1408">
        <f>IFERROR(Model!O475/Model!K475-1,"NA")</f>
        <v>0.11129568106312293</v>
      </c>
      <c r="P475" s="1408">
        <f>IFERROR(Model!P475/Model!L475-1,"NA")</f>
        <v>5.9612518628913147E-3</v>
      </c>
      <c r="Q475" s="1408">
        <f>IFERROR(Model!Q475/Model!M475-1,"NA")</f>
        <v>1.5174506828528056E-2</v>
      </c>
      <c r="R475" s="1408">
        <f>IFERROR(Model!R475/Model!N475-1,"NA")</f>
        <v>-4.8120300751879674E-2</v>
      </c>
      <c r="S475" s="1408">
        <f>IFERROR(Model!S475/Model!O475-1,"NA")</f>
        <v>-9.5665171898355772E-2</v>
      </c>
      <c r="T475" s="1408">
        <f>IFERROR(Model!T475/Model!P475-1,"NA")</f>
        <v>1.3333333333333419E-2</v>
      </c>
      <c r="U475" s="1408">
        <f>IFERROR(Model!U475/Model!Q475-1,"NA")</f>
        <v>7.4738415545589909E-3</v>
      </c>
      <c r="V475" s="1408">
        <f>IFERROR(Model!V475/Model!R475-1,"NA")</f>
        <v>7.4249605055292323E-2</v>
      </c>
      <c r="W475" s="1408">
        <f>IFERROR(Model!W475/Model!S475-1,"NA")</f>
        <v>0.10909090909090913</v>
      </c>
      <c r="X475" s="1408">
        <f>IFERROR(Model!X475/Model!T475-1,"NA")</f>
        <v>9.5029239766081908E-2</v>
      </c>
      <c r="Y475" s="1408">
        <f>IFERROR(Model!Y475/Model!U475-1,"NA")</f>
        <v>0.17655786350148372</v>
      </c>
      <c r="Z475" s="1408">
        <f>IFERROR(Model!Z475/Model!V475-1,"NA")</f>
        <v>0.16176470588235303</v>
      </c>
      <c r="AA475" s="1408">
        <f>IFERROR(Model!AA475/Model!W475-1,"NA")</f>
        <v>0.15648286140089418</v>
      </c>
      <c r="AB475" s="1408">
        <f>IFERROR(Model!AB475/Model!X475-1,"NA")</f>
        <v>0.20694259012016025</v>
      </c>
      <c r="AC475" s="1425">
        <f>IFERROR(Model!AC475/Model!Y475-1,"NA")</f>
        <v>0.10577553593947031</v>
      </c>
      <c r="AD475" s="1425">
        <f>IFERROR(Model!AD475/Model!Z475-1,"NA")</f>
        <v>0.10997468354430384</v>
      </c>
      <c r="AE475" s="1425">
        <f>IFERROR(Model!AE475/Model!AA475-1,"NA")</f>
        <v>0.14129999999999998</v>
      </c>
      <c r="AF475" s="1425">
        <f>IFERROR(Model!AF475/Model!AB475-1,"NA")</f>
        <v>4.8279000000000183E-2</v>
      </c>
      <c r="AG475" s="1425">
        <f>IFERROR(Model!AG475/Model!AC475-1,"NA")</f>
        <v>4.8279000000000183E-2</v>
      </c>
      <c r="AH475" s="1425">
        <f>IFERROR(Model!AH475/Model!AD475-1,"NA")</f>
        <v>4.8279000000000183E-2</v>
      </c>
      <c r="AI475" s="1425">
        <f>IFERROR(Model!AI475/Model!AE475-1,"NA")</f>
        <v>4.8279000000000183E-2</v>
      </c>
      <c r="AJ475" s="1585"/>
      <c r="AK475" s="1585"/>
      <c r="AL475" s="1585"/>
      <c r="AM475" s="1585"/>
      <c r="AN475" s="1585"/>
      <c r="AO475" s="1585"/>
      <c r="AP475" s="1585"/>
      <c r="AQ475" s="1585"/>
      <c r="AR475" s="1236"/>
      <c r="AS475" s="1402"/>
      <c r="AT475" s="1290"/>
      <c r="AU475" s="1246"/>
      <c r="AV475" s="1246">
        <f>IFERROR(Model!AV475/Model!AU475-1,"NA")</f>
        <v>3.7406483790523692E-2</v>
      </c>
      <c r="AW475" s="1246">
        <f>IFERROR(Model!AW475/Model!AV475-1,"NA")</f>
        <v>6.7307692307692291E-2</v>
      </c>
      <c r="AX475" s="1246">
        <f>IFERROR(Model!AX475/Model!AW475-1,"NA")</f>
        <v>-3.0780780780780725E-2</v>
      </c>
      <c r="AY475" s="1246">
        <f>IFERROR(Model!AY475/Model!AX475-1,"NA")</f>
        <v>4.9186676994577905E-2</v>
      </c>
      <c r="AZ475" s="1246">
        <f>IFERROR(Model!AZ475/Model!AY475-1,"NA")</f>
        <v>0.1472868217054264</v>
      </c>
      <c r="BA475" s="1246">
        <f>IFERROR(Model!BA475/Model!AZ475-1,"NA")</f>
        <v>0.14009292149292163</v>
      </c>
      <c r="BB475" s="1425">
        <f>IFERROR(Model!BB475/Model!BA475-1,"NA")</f>
        <v>4.8279000000000183E-2</v>
      </c>
      <c r="BC475" s="1425">
        <f>IFERROR(Model!BC475/Model!BB475-1,"NA")</f>
        <v>5.0000000000000044E-2</v>
      </c>
      <c r="BD475" s="1425">
        <f>IFERROR(Model!BD475/Model!BC475-1,"NA")</f>
        <v>5.0000000000000044E-2</v>
      </c>
      <c r="BE475" s="1425">
        <f>IFERROR(Model!BE475/Model!BD475-1,"NA")</f>
        <v>5.0000000000000044E-2</v>
      </c>
    </row>
    <row r="476" spans="1:64" x14ac:dyDescent="0.2">
      <c r="B476" s="318" t="s">
        <v>249</v>
      </c>
      <c r="C476" s="321"/>
      <c r="D476" s="1255"/>
      <c r="E476" s="1255"/>
      <c r="F476" s="1255"/>
      <c r="G476" s="1255"/>
      <c r="H476" s="1255">
        <f>IFERROR(Model!H476/Model!D476-1,"NA")</f>
        <v>2.904773932811322E-2</v>
      </c>
      <c r="I476" s="1255">
        <f>IFERROR(Model!I476/Model!E476-1,"NA")</f>
        <v>3.2738822379672516E-2</v>
      </c>
      <c r="J476" s="1255">
        <f>IFERROR(Model!J476/Model!F476-1,"NA")</f>
        <v>-4.671068720958671E-2</v>
      </c>
      <c r="K476" s="1255">
        <f>IFERROR(Model!K476/Model!G476-1,"NA")</f>
        <v>4.6614327772325215E-3</v>
      </c>
      <c r="L476" s="1255">
        <f>IFERROR(Model!L476/Model!H476-1,"NA")</f>
        <v>9.8183603338242165E-3</v>
      </c>
      <c r="M476" s="1255">
        <f>IFERROR(Model!M476/Model!I476-1,"NA")</f>
        <v>6.0799621480955857E-2</v>
      </c>
      <c r="N476" s="1255">
        <f>IFERROR(Model!N476/Model!J476-1,"NA")</f>
        <v>0.1141611082606464</v>
      </c>
      <c r="O476" s="1255">
        <f>IFERROR(Model!O476/Model!K476-1,"NA")</f>
        <v>1.2698412698412653E-2</v>
      </c>
      <c r="P476" s="1255">
        <f>IFERROR(Model!P476/Model!L476-1,"NA")</f>
        <v>1.4827418570733997E-2</v>
      </c>
      <c r="Q476" s="1255">
        <f>IFERROR(Model!Q476/Model!M476-1,"NA")</f>
        <v>-3.6797502230151657E-2</v>
      </c>
      <c r="R476" s="1255">
        <f>IFERROR(Model!R476/Model!N476-1,"NA")</f>
        <v>-0.10845037992171314</v>
      </c>
      <c r="S476" s="1255">
        <f>IFERROR(Model!S476/Model!O476-1,"NA")</f>
        <v>-1.5673981191222541E-2</v>
      </c>
      <c r="T476" s="1255">
        <f>IFERROR(Model!T476/Model!P476-1,"NA")</f>
        <v>-6.3952095808383236E-2</v>
      </c>
      <c r="U476" s="1255">
        <f>IFERROR(Model!U476/Model!Q476-1,"NA")</f>
        <v>-1.1113683723084078E-2</v>
      </c>
      <c r="V476" s="1255">
        <f>IFERROR(Model!V476/Model!R476-1,"NA")</f>
        <v>8.1611570247933862E-2</v>
      </c>
      <c r="W476" s="1255">
        <f>IFERROR(Model!W476/Model!S476-1,"NA")</f>
        <v>4.3361097501224855E-2</v>
      </c>
      <c r="X476" s="1255">
        <f>IFERROR(Model!X476/Model!T476-1,"NA")</f>
        <v>0.16606960081883315</v>
      </c>
      <c r="Y476" s="1255">
        <f>IFERROR(Model!Y476/Model!U476-1,"NA")</f>
        <v>0.15078435963474601</v>
      </c>
      <c r="Z476" s="1255">
        <f>IFERROR(Model!Z476/Model!V476-1,"NA")</f>
        <v>0.13681948424068757</v>
      </c>
      <c r="AA476" s="1255">
        <f>IFERROR(Model!AA476/Model!W476-1,"NA")</f>
        <v>0.13125146748062932</v>
      </c>
      <c r="AB476" s="1255">
        <f>IFERROR(Model!AB476/Model!X476-1,"NA")</f>
        <v>5.8371735791090673E-2</v>
      </c>
      <c r="AC476" s="1255">
        <f>IFERROR(Model!AC476/Model!Y476-1,"NA")</f>
        <v>2.8194449965646573E-2</v>
      </c>
      <c r="AD476" s="1255">
        <f>IFERROR(Model!AD476/Model!Z476-1,"NA")</f>
        <v>7.6995560452075784E-2</v>
      </c>
      <c r="AE476" s="1255">
        <f>IFERROR(Model!AE476/Model!AA476-1,"NA")</f>
        <v>8.066785034338575E-2</v>
      </c>
      <c r="AF476" s="1255">
        <f>IFERROR(Model!AF476/Model!AB476-1,"NA")</f>
        <v>0.10808968618470072</v>
      </c>
      <c r="AG476" s="1255">
        <f>IFERROR(Model!AG476/Model!AC476-1,"NA")</f>
        <v>7.4301917950208685E-2</v>
      </c>
      <c r="AH476" s="1255">
        <f>IFERROR(Model!AH476/Model!AD476-1,"NA")</f>
        <v>6.4285540131654439E-2</v>
      </c>
      <c r="AI476" s="1255">
        <f>IFERROR(Model!AI476/Model!AE476-1,"NA")</f>
        <v>5.8632939237199144E-2</v>
      </c>
      <c r="AJ476" s="1255"/>
      <c r="AK476" s="1255"/>
      <c r="AL476" s="1255"/>
      <c r="AM476" s="1255"/>
      <c r="AN476" s="1255"/>
      <c r="AO476" s="1255"/>
      <c r="AP476" s="1255"/>
      <c r="AQ476" s="1255"/>
      <c r="AR476" s="1236"/>
      <c r="AS476" s="1342"/>
      <c r="AT476" s="1284"/>
      <c r="AU476" s="1255"/>
      <c r="AV476" s="1255">
        <f>IFERROR(Model!AV476/Model!AU476-1,"NA")</f>
        <v>4.7481038416476995E-3</v>
      </c>
      <c r="AW476" s="1255">
        <f>IFERROR(Model!AW476/Model!AV476-1,"NA")</f>
        <v>4.8729593715478137E-2</v>
      </c>
      <c r="AX476" s="1255">
        <f>IFERROR(Model!AX476/Model!AW476-1,"NA")</f>
        <v>-3.7453183520599231E-2</v>
      </c>
      <c r="AY476" s="1255">
        <f>IFERROR(Model!AY476/Model!AX476-1,"NA")</f>
        <v>1.0821984435797738E-2</v>
      </c>
      <c r="AZ476" s="1255">
        <f>IFERROR(Model!AZ476/Model!AY476-1,"NA")</f>
        <v>0.14585588836761709</v>
      </c>
      <c r="BA476" s="1255">
        <f>IFERROR(Model!BA476/Model!AZ476-1,"NA")</f>
        <v>6.087918155728933E-2</v>
      </c>
      <c r="BB476" s="1255">
        <f>IFERROR(Model!BB476/Model!BA476-1,"NA")</f>
        <v>7.5787047017219944E-2</v>
      </c>
      <c r="BC476" s="1255">
        <f>IFERROR(Model!BC476/Model!BB476-1,"NA")</f>
        <v>6.1957490354130673E-2</v>
      </c>
      <c r="BD476" s="1255">
        <f>IFERROR(Model!BD476/Model!BC476-1,"NA")</f>
        <v>5.5212162166308199E-2</v>
      </c>
      <c r="BE476" s="1255">
        <f>IFERROR(Model!BE476/Model!BD476-1,"NA")</f>
        <v>5.0013869259299071E-2</v>
      </c>
    </row>
    <row r="477" spans="1:64" x14ac:dyDescent="0.2">
      <c r="B477" s="16"/>
      <c r="C477" s="16"/>
      <c r="D477" s="1250"/>
      <c r="E477" s="1250"/>
      <c r="F477" s="1250"/>
      <c r="G477" s="1250"/>
      <c r="H477" s="1250"/>
      <c r="I477" s="1250"/>
      <c r="J477" s="1250"/>
      <c r="K477" s="1250"/>
      <c r="L477" s="1250"/>
      <c r="M477" s="1250"/>
      <c r="N477" s="1250"/>
      <c r="O477" s="1250"/>
      <c r="P477" s="1250"/>
      <c r="Q477" s="1250"/>
      <c r="R477" s="1250"/>
      <c r="S477" s="1250"/>
      <c r="T477" s="1250"/>
      <c r="U477" s="1250"/>
      <c r="V477" s="1250"/>
      <c r="W477" s="1250"/>
      <c r="X477" s="1250"/>
      <c r="Y477" s="1250"/>
      <c r="Z477" s="1250"/>
      <c r="AA477" s="1250"/>
      <c r="AB477" s="1250"/>
      <c r="AC477" s="1250"/>
      <c r="AD477" s="1250"/>
      <c r="AE477" s="1250"/>
      <c r="AF477" s="1250"/>
      <c r="AG477" s="1250"/>
      <c r="AH477" s="1250"/>
      <c r="AI477" s="1250"/>
      <c r="AJ477" s="1250"/>
      <c r="AK477" s="1250"/>
      <c r="AL477" s="1250"/>
      <c r="AM477" s="1250"/>
      <c r="AN477" s="1250"/>
      <c r="AO477" s="1250"/>
      <c r="AP477" s="1250"/>
      <c r="AQ477" s="1250"/>
      <c r="AR477" s="1236"/>
      <c r="AS477" s="1371"/>
      <c r="AT477" s="1371"/>
      <c r="AU477" s="1236"/>
      <c r="AV477" s="1236"/>
      <c r="AW477" s="1236"/>
      <c r="AX477" s="1236"/>
      <c r="AY477" s="1236"/>
      <c r="AZ477" s="1236"/>
      <c r="BA477" s="1236"/>
      <c r="BB477" s="1250"/>
      <c r="BC477" s="1250"/>
      <c r="BD477" s="1250"/>
      <c r="BE477" s="1250"/>
    </row>
    <row r="478" spans="1:64" s="369" customFormat="1" x14ac:dyDescent="0.2">
      <c r="A478" s="411"/>
      <c r="B478" s="321"/>
      <c r="C478" s="362" t="s">
        <v>248</v>
      </c>
      <c r="D478" s="1260"/>
      <c r="E478" s="1260"/>
      <c r="F478" s="1260"/>
      <c r="G478" s="1260"/>
      <c r="H478" s="1260">
        <f>IFERROR(Model!H478/Model!D478-1,"NA")</f>
        <v>-0.93313953488372092</v>
      </c>
      <c r="I478" s="1260">
        <f>IFERROR(Model!I478/Model!E478-1,"NA")</f>
        <v>-0.85350318471337583</v>
      </c>
      <c r="J478" s="1260">
        <f>IFERROR(Model!J478/Model!F478-1,"NA")</f>
        <v>-0.41434262948207168</v>
      </c>
      <c r="K478" s="1260">
        <f>IFERROR(Model!K478/Model!G478-1,"NA")</f>
        <v>-0.46124031007751942</v>
      </c>
      <c r="L478" s="1260">
        <f>IFERROR(Model!L478/Model!H478-1,"NA")</f>
        <v>-0.26086956521739135</v>
      </c>
      <c r="M478" s="1260">
        <f>IFERROR(Model!M478/Model!I478-1,"NA")</f>
        <v>-2.9130434782608696</v>
      </c>
      <c r="N478" s="1260">
        <f>IFERROR(Model!N478/Model!J478-1,"NA")</f>
        <v>-1.6190476190476191</v>
      </c>
      <c r="O478" s="1260">
        <f>IFERROR(Model!O478/Model!K478-1,"NA")</f>
        <v>-1.6187050359712232</v>
      </c>
      <c r="P478" s="1260">
        <f>IFERROR(Model!P478/Model!L478-1,"NA")</f>
        <v>-4.0588235294117645</v>
      </c>
      <c r="Q478" s="1260">
        <f>IFERROR(Model!Q478/Model!M478-1,"NA")</f>
        <v>0.5</v>
      </c>
      <c r="R478" s="1260">
        <f>IFERROR(Model!R478/Model!N478-1,"NA")</f>
        <v>2.8681318681318682</v>
      </c>
      <c r="S478" s="1260">
        <f>IFERROR(Model!S478/Model!O478-1,"NA")</f>
        <v>-1.1627906976744187</v>
      </c>
      <c r="T478" s="1260">
        <f>IFERROR(Model!T478/Model!P478-1,"NA")</f>
        <v>-2.2692307692307692</v>
      </c>
      <c r="U478" s="1260">
        <f>IFERROR(Model!U478/Model!Q478-1,"NA")</f>
        <v>2.0757575757575757</v>
      </c>
      <c r="V478" s="1260">
        <f>IFERROR(Model!V478/Model!R478-1,"NA")</f>
        <v>-1.6193181818181817</v>
      </c>
      <c r="W478" s="1260">
        <f>IFERROR(Model!W478/Model!S478-1,"NA")</f>
        <v>6.6428571428571432</v>
      </c>
      <c r="X478" s="1260">
        <f>IFERROR(Model!X478/Model!T478-1,"NA")</f>
        <v>0.74242424242424243</v>
      </c>
      <c r="Y478" s="1260">
        <f>IFERROR(Model!Y478/Model!U478-1,"NA")</f>
        <v>-1.0443349753694582</v>
      </c>
      <c r="Z478" s="1260">
        <f>IFERROR(Model!Z478/Model!V478-1,"NA")</f>
        <v>-0.77981651376146788</v>
      </c>
      <c r="AA478" s="1260">
        <f>IFERROR(Model!AA478/Model!W478-1,"NA")</f>
        <v>-1.1962616822429906</v>
      </c>
      <c r="AB478" s="1260">
        <f>IFERROR(Model!AB478/Model!X478-1,"NA")</f>
        <v>-1.2</v>
      </c>
      <c r="AC478" s="1381">
        <f>IFERROR(Model!AC478/Model!Y478-1,"NA")</f>
        <v>-1</v>
      </c>
      <c r="AD478" s="1381">
        <f>IFERROR(Model!AD478/Model!Z478-1,"NA")</f>
        <v>-1</v>
      </c>
      <c r="AE478" s="1381">
        <f>IFERROR(Model!AE478/Model!AA478-1,"NA")</f>
        <v>-1</v>
      </c>
      <c r="AF478" s="1381">
        <f>IFERROR(Model!AF478/Model!AB478-1,"NA")</f>
        <v>-1</v>
      </c>
      <c r="AG478" s="1381" t="str">
        <f>IFERROR(Model!AG478/Model!AC478-1,"NA")</f>
        <v>NA</v>
      </c>
      <c r="AH478" s="1381" t="str">
        <f>IFERROR(Model!AH478/Model!AD478-1,"NA")</f>
        <v>NA</v>
      </c>
      <c r="AI478" s="1381" t="str">
        <f>IFERROR(Model!AI478/Model!AE478-1,"NA")</f>
        <v>NA</v>
      </c>
      <c r="AJ478" s="1381"/>
      <c r="AK478" s="1381"/>
      <c r="AL478" s="1381"/>
      <c r="AM478" s="1381"/>
      <c r="AN478" s="1381"/>
      <c r="AO478" s="1381"/>
      <c r="AP478" s="1381"/>
      <c r="AQ478" s="1381"/>
      <c r="AR478" s="1236"/>
      <c r="AS478" s="1284"/>
      <c r="AT478" s="1400"/>
      <c r="AU478" s="1236"/>
      <c r="AV478" s="1236">
        <f>IFERROR(Model!AV478/Model!AU478-1,"NA")</f>
        <v>-0.58908045977011492</v>
      </c>
      <c r="AW478" s="1236">
        <f>IFERROR(Model!AW478/Model!AV478-1,"NA")</f>
        <v>-1.4055944055944056</v>
      </c>
      <c r="AX478" s="1236">
        <f>IFERROR(Model!AX478/Model!AW478-1,"NA")</f>
        <v>1.7931034482758621</v>
      </c>
      <c r="AY478" s="1236">
        <f>IFERROR(Model!AY478/Model!AX478-1,"NA")</f>
        <v>-2.833333333333333</v>
      </c>
      <c r="AZ478" s="1236">
        <f>IFERROR(Model!AZ478/Model!AY478-1,"NA")</f>
        <v>-0.77609427609427606</v>
      </c>
      <c r="BA478" s="1236">
        <f>IFERROR(Model!BA478/Model!AZ478-1,"NA")</f>
        <v>-1.1729323308270676</v>
      </c>
      <c r="BB478" s="1381">
        <f>IFERROR(Model!BB478/Model!BA478-1,"NA")</f>
        <v>-1</v>
      </c>
      <c r="BC478" s="1381" t="str">
        <f>IFERROR(Model!BC478/Model!BB478-1,"NA")</f>
        <v>NA</v>
      </c>
      <c r="BD478" s="1381" t="str">
        <f>IFERROR(Model!BD478/Model!BC478-1,"NA")</f>
        <v>NA</v>
      </c>
      <c r="BE478" s="1381" t="str">
        <f>IFERROR(Model!BE478/Model!BD478-1,"NA")</f>
        <v>NA</v>
      </c>
    </row>
    <row r="479" spans="1:64" s="369" customFormat="1" x14ac:dyDescent="0.2">
      <c r="A479" s="411"/>
      <c r="B479" s="318" t="s">
        <v>648</v>
      </c>
      <c r="C479" s="363"/>
      <c r="D479" s="1447"/>
      <c r="E479" s="1447"/>
      <c r="F479" s="1447"/>
      <c r="G479" s="1447"/>
      <c r="H479" s="1447">
        <f>IFERROR(Model!H479/Model!D479-1,"NA")</f>
        <v>0.12060857538035963</v>
      </c>
      <c r="I479" s="1447">
        <f>IFERROR(Model!I479/Model!E479-1,"NA")</f>
        <v>0</v>
      </c>
      <c r="J479" s="1447">
        <f>IFERROR(Model!J479/Model!F479-1,"NA")</f>
        <v>-2.2668056279312121E-2</v>
      </c>
      <c r="K479" s="1447">
        <f>IFERROR(Model!K479/Model!G479-1,"NA")</f>
        <v>3.6144578313253017E-2</v>
      </c>
      <c r="L479" s="1447">
        <f>IFERROR(Model!L479/Model!H479-1,"NA")</f>
        <v>1.1355220933102927E-2</v>
      </c>
      <c r="M479" s="1447">
        <f>IFERROR(Model!M479/Model!I479-1,"NA")</f>
        <v>4.4705882352941151E-2</v>
      </c>
      <c r="N479" s="1447">
        <f>IFERROR(Model!N479/Model!J479-1,"NA")</f>
        <v>0.18208477739269524</v>
      </c>
      <c r="O479" s="1447">
        <f>IFERROR(Model!O479/Model!K479-1,"NA")</f>
        <v>7.002022244691597E-2</v>
      </c>
      <c r="P479" s="1447">
        <f>IFERROR(Model!P479/Model!L479-1,"NA")</f>
        <v>3.1730534537466548E-2</v>
      </c>
      <c r="Q479" s="1447">
        <f>IFERROR(Model!Q479/Model!M479-1,"NA")</f>
        <v>-4.2117117117117076E-2</v>
      </c>
      <c r="R479" s="1447">
        <f>IFERROR(Model!R479/Model!N479-1,"NA")</f>
        <v>-4.7361299052773975E-2</v>
      </c>
      <c r="S479" s="1447">
        <f>IFERROR(Model!S479/Model!O479-1,"NA")</f>
        <v>-3.8979447200567008E-2</v>
      </c>
      <c r="T479" s="1447">
        <f>IFERROR(Model!T479/Model!P479-1,"NA")</f>
        <v>-9.1081145020108778E-2</v>
      </c>
      <c r="U479" s="1447">
        <f>IFERROR(Model!U479/Model!Q479-1,"NA")</f>
        <v>-4.3498706795203401E-2</v>
      </c>
      <c r="V479" s="1447">
        <f>IFERROR(Model!V479/Model!R479-1,"NA")</f>
        <v>-6.0132575757575801E-2</v>
      </c>
      <c r="W479" s="1447">
        <f>IFERROR(Model!W479/Model!S479-1,"NA")</f>
        <v>2.0648967551622377E-2</v>
      </c>
      <c r="X479" s="1447">
        <f>IFERROR(Model!X479/Model!T479-1,"NA")</f>
        <v>0.15616866215512748</v>
      </c>
      <c r="Y479" s="1447">
        <f>IFERROR(Model!Y479/Model!U479-1,"NA")</f>
        <v>0.21042281219272363</v>
      </c>
      <c r="Z479" s="1447">
        <f>IFERROR(Model!Z479/Model!V479-1,"NA")</f>
        <v>0.18715365239294712</v>
      </c>
      <c r="AA479" s="1447">
        <f>IFERROR(Model!AA479/Model!W479-1,"NA")</f>
        <v>0.16546242774566466</v>
      </c>
      <c r="AB479" s="1447">
        <f>IFERROR(Model!AB479/Model!X479-1,"NA")</f>
        <v>9.0950022512381823E-2</v>
      </c>
      <c r="AC479" s="1447">
        <f>IFERROR(Model!AC479/Model!Y479-1,"NA")</f>
        <v>2.6315134358479542E-2</v>
      </c>
      <c r="AD479" s="1447">
        <f>IFERROR(Model!AD479/Model!Z479-1,"NA")</f>
        <v>8.7964324912440661E-2</v>
      </c>
      <c r="AE479" s="1447">
        <f>IFERROR(Model!AE479/Model!AA479-1,"NA")</f>
        <v>7.5978033261920208E-2</v>
      </c>
      <c r="AF479" s="1447">
        <f>IFERROR(Model!AF479/Model!AB479-1,"NA")</f>
        <v>0.10283049039802128</v>
      </c>
      <c r="AG479" s="1447">
        <f>IFERROR(Model!AG479/Model!AC479-1,"NA")</f>
        <v>7.4301917950208685E-2</v>
      </c>
      <c r="AH479" s="1447">
        <f>IFERROR(Model!AH479/Model!AD479-1,"NA")</f>
        <v>6.4285540131654439E-2</v>
      </c>
      <c r="AI479" s="1447">
        <f>IFERROR(Model!AI479/Model!AE479-1,"NA")</f>
        <v>5.8632939237199144E-2</v>
      </c>
      <c r="AJ479" s="1447"/>
      <c r="AK479" s="1447"/>
      <c r="AL479" s="1447"/>
      <c r="AM479" s="1447"/>
      <c r="AN479" s="1447"/>
      <c r="AO479" s="1447"/>
      <c r="AP479" s="1447"/>
      <c r="AQ479" s="1447"/>
      <c r="AR479" s="1236"/>
      <c r="AS479" s="1342"/>
      <c r="AT479" s="1448"/>
      <c r="AU479" s="1447"/>
      <c r="AV479" s="1447">
        <f>IFERROR(Model!AV479/Model!AU479-1,"NA")</f>
        <v>3.1376844275497806E-2</v>
      </c>
      <c r="AW479" s="1447">
        <f>IFERROR(Model!AW479/Model!AV479-1,"NA")</f>
        <v>7.4712643678160884E-2</v>
      </c>
      <c r="AX479" s="1447">
        <f>IFERROR(Model!AX479/Model!AW479-1,"NA")</f>
        <v>-2.511043943269009E-2</v>
      </c>
      <c r="AY479" s="1447">
        <f>IFERROR(Model!AY479/Model!AX479-1,"NA")</f>
        <v>-4.4121154304793686E-2</v>
      </c>
      <c r="AZ479" s="1447">
        <f>IFERROR(Model!AZ479/Model!AY479-1,"NA")</f>
        <v>0.18001497005988032</v>
      </c>
      <c r="BA479" s="1447">
        <f>IFERROR(Model!BA479/Model!AZ479-1,"NA")</f>
        <v>6.9553297803568892E-2</v>
      </c>
      <c r="BB479" s="1447">
        <f>IFERROR(Model!BB479/Model!BA479-1,"NA")</f>
        <v>7.4564187706380292E-2</v>
      </c>
      <c r="BC479" s="1447">
        <f>IFERROR(Model!BC479/Model!BB479-1,"NA")</f>
        <v>6.1957490354130673E-2</v>
      </c>
      <c r="BD479" s="1447">
        <f>IFERROR(Model!BD479/Model!BC479-1,"NA")</f>
        <v>5.5212162166308199E-2</v>
      </c>
      <c r="BE479" s="1447">
        <f>IFERROR(Model!BE479/Model!BD479-1,"NA")</f>
        <v>5.0013869259299071E-2</v>
      </c>
    </row>
    <row r="480" spans="1:64" s="382" customFormat="1" x14ac:dyDescent="0.2">
      <c r="A480" s="411"/>
      <c r="B480" s="321"/>
      <c r="C480" s="321"/>
      <c r="D480" s="1259"/>
      <c r="E480" s="1259"/>
      <c r="F480" s="1259"/>
      <c r="G480" s="1259"/>
      <c r="H480" s="1259"/>
      <c r="I480" s="1259"/>
      <c r="J480" s="1259"/>
      <c r="K480" s="1259"/>
      <c r="L480" s="1259"/>
      <c r="M480" s="1259"/>
      <c r="N480" s="1259"/>
      <c r="O480" s="1259"/>
      <c r="P480" s="1259"/>
      <c r="Q480" s="1259"/>
      <c r="R480" s="1259"/>
      <c r="S480" s="1259"/>
      <c r="T480" s="1259"/>
      <c r="U480" s="1259"/>
      <c r="V480" s="1259"/>
      <c r="W480" s="1259"/>
      <c r="X480" s="1259"/>
      <c r="Y480" s="1259"/>
      <c r="Z480" s="1259"/>
      <c r="AA480" s="1259"/>
      <c r="AB480" s="1259"/>
      <c r="AC480" s="1248"/>
      <c r="AD480" s="1248"/>
      <c r="AE480" s="1248"/>
      <c r="AF480" s="1248"/>
      <c r="AG480" s="1248"/>
      <c r="AH480" s="1248"/>
      <c r="AI480" s="1248"/>
      <c r="AJ480" s="1248"/>
      <c r="AK480" s="1248"/>
      <c r="AL480" s="1248"/>
      <c r="AM480" s="1248"/>
      <c r="AN480" s="1248"/>
      <c r="AO480" s="1248"/>
      <c r="AP480" s="1248"/>
      <c r="AQ480" s="1248"/>
      <c r="AR480" s="1236"/>
      <c r="AS480" s="1284"/>
      <c r="AT480" s="1284"/>
      <c r="AU480" s="1291"/>
      <c r="AV480" s="1263"/>
      <c r="AW480" s="1259"/>
      <c r="AX480" s="1291"/>
      <c r="AY480" s="1259"/>
      <c r="AZ480" s="1263"/>
      <c r="BA480" s="1263"/>
      <c r="BB480" s="1248"/>
      <c r="BC480" s="1248"/>
      <c r="BD480" s="1248"/>
      <c r="BE480" s="1248"/>
    </row>
    <row r="481" spans="1:57" s="382" customFormat="1" x14ac:dyDescent="0.2">
      <c r="A481" s="411"/>
      <c r="B481" s="315" t="s">
        <v>79</v>
      </c>
      <c r="C481" s="321"/>
      <c r="D481" s="1260"/>
      <c r="E481" s="1260"/>
      <c r="F481" s="1260"/>
      <c r="G481" s="1260"/>
      <c r="H481" s="1260">
        <f>IFERROR(Model!H481/Model!D481-1,"NA")</f>
        <v>-4.4628432956381303E-2</v>
      </c>
      <c r="I481" s="1260">
        <f>IFERROR(Model!I481/Model!E481-1,"NA")</f>
        <v>0.16755496335776154</v>
      </c>
      <c r="J481" s="1260">
        <f>IFERROR(Model!J481/Model!F481-1,"NA")</f>
        <v>-0.24993429697766101</v>
      </c>
      <c r="K481" s="1260">
        <f>IFERROR(Model!K481/Model!G481-1,"NA")</f>
        <v>-0.14970475859673493</v>
      </c>
      <c r="L481" s="1260">
        <f>IFERROR(Model!L481/Model!H481-1,"NA")</f>
        <v>-0.17163390403720147</v>
      </c>
      <c r="M481" s="1260">
        <f>IFERROR(Model!M481/Model!I481-1,"NA")</f>
        <v>-0.10955777460770333</v>
      </c>
      <c r="N481" s="1260">
        <f>IFERROR(Model!N481/Model!J481-1,"NA")</f>
        <v>7.3580939032936277E-2</v>
      </c>
      <c r="O481" s="1260">
        <f>IFERROR(Model!O481/Model!K481-1,"NA")</f>
        <v>-0.15441176470588236</v>
      </c>
      <c r="P481" s="1260">
        <f>IFERROR(Model!P481/Model!L481-1,"NA")</f>
        <v>-0.1107425363613167</v>
      </c>
      <c r="Q481" s="1260">
        <f>IFERROR(Model!Q481/Model!M481-1,"NA")</f>
        <v>-2.8516501121435445E-2</v>
      </c>
      <c r="R481" s="1260">
        <f>IFERROR(Model!R481/Model!N481-1,"NA")</f>
        <v>-0.16677545691906004</v>
      </c>
      <c r="S481" s="1260">
        <f>IFERROR(Model!S481/Model!O481-1,"NA")</f>
        <v>6.6183574879226992E-2</v>
      </c>
      <c r="T481" s="1260">
        <f>IFERROR(Model!T481/Model!P481-1,"NA")</f>
        <v>-0.12453371592539453</v>
      </c>
      <c r="U481" s="1260">
        <f>IFERROR(Model!U481/Model!Q481-1,"NA")</f>
        <v>0.13192612137203175</v>
      </c>
      <c r="V481" s="1260">
        <f>IFERROR(Model!V481/Model!R481-1,"NA")</f>
        <v>0.33685859772816285</v>
      </c>
      <c r="W481" s="1260">
        <f>IFERROR(Model!W481/Model!S481-1,"NA")</f>
        <v>0.33982782057091065</v>
      </c>
      <c r="X481" s="1260">
        <f>IFERROR(Model!X481/Model!T481-1,"NA")</f>
        <v>0.20550639134709936</v>
      </c>
      <c r="Y481" s="1260">
        <f>IFERROR(Model!Y481/Model!U481-1,"NA")</f>
        <v>-4.6037296037296005E-2</v>
      </c>
      <c r="Z481" s="1260">
        <f>IFERROR(Model!Z481/Model!V481-1,"NA")</f>
        <v>-0.13975974216232057</v>
      </c>
      <c r="AA481" s="1260">
        <f>IFERROR(Model!AA481/Model!W481-1,"NA")</f>
        <v>-0.16706121068650659</v>
      </c>
      <c r="AB481" s="1260">
        <f>IFERROR(Model!AB481/Model!X481-1,"NA")</f>
        <v>-7.0690592713431255E-2</v>
      </c>
      <c r="AC481" s="1381">
        <f>IFERROR(Model!AC481/Model!Y481-1,"NA")</f>
        <v>8.0000000000000071E-2</v>
      </c>
      <c r="AD481" s="1381">
        <f>IFERROR(Model!AD481/Model!Z481-1,"NA")</f>
        <v>8.0000000000000071E-2</v>
      </c>
      <c r="AE481" s="1381">
        <f>IFERROR(Model!AE481/Model!AA481-1,"NA")</f>
        <v>8.0000000000000071E-2</v>
      </c>
      <c r="AF481" s="1381">
        <f>IFERROR(Model!AF481/Model!AB481-1,"NA")</f>
        <v>0.12000000000000011</v>
      </c>
      <c r="AG481" s="1381">
        <f>IFERROR(Model!AG481/Model!AC481-1,"NA")</f>
        <v>0.10000000000000009</v>
      </c>
      <c r="AH481" s="1381">
        <f>IFERROR(Model!AH481/Model!AD481-1,"NA")</f>
        <v>0.10000000000000009</v>
      </c>
      <c r="AI481" s="1381">
        <f>IFERROR(Model!AI481/Model!AE481-1,"NA")</f>
        <v>0.10000000000000009</v>
      </c>
      <c r="AJ481" s="1381"/>
      <c r="AK481" s="1381"/>
      <c r="AL481" s="1381"/>
      <c r="AM481" s="1381"/>
      <c r="AN481" s="1381"/>
      <c r="AO481" s="1381"/>
      <c r="AP481" s="1381"/>
      <c r="AQ481" s="1381"/>
      <c r="AR481" s="1236"/>
      <c r="AS481" s="1400"/>
      <c r="AT481" s="1284"/>
      <c r="AU481" s="1236"/>
      <c r="AV481" s="1236">
        <f>IFERROR(Model!AV481/Model!AU481-1,"NA")</f>
        <v>-7.5146877988796268E-2</v>
      </c>
      <c r="AW481" s="1236">
        <f>IFERROR(Model!AW481/Model!AV481-1,"NA")</f>
        <v>-0.10075343477618559</v>
      </c>
      <c r="AX481" s="1236">
        <f>IFERROR(Model!AX481/Model!AW481-1,"NA")</f>
        <v>-7.3681616559881702E-2</v>
      </c>
      <c r="AY481" s="1236">
        <f>IFERROR(Model!AY481/Model!AX481-1,"NA")</f>
        <v>0.13975348053560355</v>
      </c>
      <c r="AZ481" s="1236">
        <f>IFERROR(Model!AZ481/Model!AY481-1,"NA")</f>
        <v>-3.9057029487279182E-2</v>
      </c>
      <c r="BA481" s="1236">
        <f>IFERROR(Model!BA481/Model!AZ481-1,"NA")</f>
        <v>3.5125900736782567E-2</v>
      </c>
      <c r="BB481" s="1381">
        <f>IFERROR(Model!BB481/Model!BA481-1,"NA")</f>
        <v>0.10534695780314807</v>
      </c>
      <c r="BC481" s="1381">
        <f>IFERROR(Model!BC481/Model!BB481-1,"NA")</f>
        <v>8.0000000000000071E-2</v>
      </c>
      <c r="BD481" s="1381">
        <f>IFERROR(Model!BD481/Model!BC481-1,"NA")</f>
        <v>7.0000000000000062E-2</v>
      </c>
      <c r="BE481" s="1381">
        <f>IFERROR(Model!BE481/Model!BD481-1,"NA")</f>
        <v>7.0000000000000062E-2</v>
      </c>
    </row>
    <row r="482" spans="1:57" s="382" customFormat="1" x14ac:dyDescent="0.2">
      <c r="A482" s="411"/>
      <c r="B482" s="315" t="s">
        <v>78</v>
      </c>
      <c r="C482" s="321"/>
      <c r="D482" s="1260"/>
      <c r="E482" s="1260"/>
      <c r="F482" s="1260"/>
      <c r="G482" s="1260"/>
      <c r="H482" s="1260">
        <f>IFERROR(Model!H482/Model!D482-1,"NA")</f>
        <v>-0.10256410256410253</v>
      </c>
      <c r="I482" s="1260">
        <f>IFERROR(Model!I482/Model!E482-1,"NA")</f>
        <v>0.69606003752345225</v>
      </c>
      <c r="J482" s="1260">
        <f>IFERROR(Model!J482/Model!F482-1,"NA")</f>
        <v>0.38677354709418843</v>
      </c>
      <c r="K482" s="1260">
        <f>IFERROR(Model!K482/Model!G482-1,"NA")</f>
        <v>0.15862068965517251</v>
      </c>
      <c r="L482" s="1260">
        <f>IFERROR(Model!L482/Model!H482-1,"NA")</f>
        <v>9.6894409937888115E-2</v>
      </c>
      <c r="M482" s="1260">
        <f>IFERROR(Model!M482/Model!I482-1,"NA")</f>
        <v>-0.3252212389380531</v>
      </c>
      <c r="N482" s="1260">
        <f>IFERROR(Model!N482/Model!J482-1,"NA")</f>
        <v>9.1040462427745661E-2</v>
      </c>
      <c r="O482" s="1260">
        <f>IFERROR(Model!O482/Model!K482-1,"NA")</f>
        <v>-6.1507936507936511E-2</v>
      </c>
      <c r="P482" s="1260">
        <f>IFERROR(Model!P482/Model!L482-1,"NA")</f>
        <v>-2.3782559456398622E-2</v>
      </c>
      <c r="Q482" s="1260">
        <f>IFERROR(Model!Q482/Model!M482-1,"NA")</f>
        <v>5.573770491803276E-2</v>
      </c>
      <c r="R482" s="1260">
        <f>IFERROR(Model!R482/Model!N482-1,"NA")</f>
        <v>0.32052980132450326</v>
      </c>
      <c r="S482" s="1260">
        <f>IFERROR(Model!S482/Model!O482-1,"NA")</f>
        <v>0.26427061310782252</v>
      </c>
      <c r="T482" s="1260">
        <f>IFERROR(Model!T482/Model!P482-1,"NA")</f>
        <v>-0.191415313225058</v>
      </c>
      <c r="U482" s="1260">
        <f>IFERROR(Model!U482/Model!Q482-1,"NA")</f>
        <v>0.20496894409937894</v>
      </c>
      <c r="V482" s="1260">
        <f>IFERROR(Model!V482/Model!R482-1,"NA")</f>
        <v>-0.34403209628886655</v>
      </c>
      <c r="W482" s="1260">
        <f>IFERROR(Model!W482/Model!S482-1,"NA")</f>
        <v>0.14548494983277593</v>
      </c>
      <c r="X482" s="1260">
        <f>IFERROR(Model!X482/Model!T482-1,"NA")</f>
        <v>0.15064562410329985</v>
      </c>
      <c r="Y482" s="1260">
        <f>IFERROR(Model!Y482/Model!U482-1,"NA")</f>
        <v>-6.5721649484536071E-2</v>
      </c>
      <c r="Z482" s="1260">
        <f>IFERROR(Model!Z482/Model!V482-1,"NA")</f>
        <v>0.20030581039755346</v>
      </c>
      <c r="AA482" s="1260">
        <f>IFERROR(Model!AA482/Model!W482-1,"NA")</f>
        <v>-0.17226277372262777</v>
      </c>
      <c r="AB482" s="1260">
        <f>IFERROR(Model!AB482/Model!X482-1,"NA")</f>
        <v>0.37531172069825436</v>
      </c>
      <c r="AC482" s="1381">
        <f>IFERROR(Model!AC482/Model!Y482-1,"NA")</f>
        <v>7.0000000000000062E-2</v>
      </c>
      <c r="AD482" s="1381">
        <f>IFERROR(Model!AD482/Model!Z482-1,"NA")</f>
        <v>4.0000000000000036E-2</v>
      </c>
      <c r="AE482" s="1381">
        <f>IFERROR(Model!AE482/Model!AA482-1,"NA")</f>
        <v>0.19999999999999996</v>
      </c>
      <c r="AF482" s="1381">
        <f>IFERROR(Model!AF482/Model!AB482-1,"NA")</f>
        <v>-0.15000000000000002</v>
      </c>
      <c r="AG482" s="1381">
        <f>IFERROR(Model!AG482/Model!AC482-1,"NA")</f>
        <v>5.0000000000000044E-2</v>
      </c>
      <c r="AH482" s="1381">
        <f>IFERROR(Model!AH482/Model!AD482-1,"NA")</f>
        <v>5.0000000000000044E-2</v>
      </c>
      <c r="AI482" s="1381">
        <f>IFERROR(Model!AI482/Model!AE482-1,"NA")</f>
        <v>5.0000000000000044E-2</v>
      </c>
      <c r="AJ482" s="1381"/>
      <c r="AK482" s="1381"/>
      <c r="AL482" s="1381"/>
      <c r="AM482" s="1381"/>
      <c r="AN482" s="1381"/>
      <c r="AO482" s="1381"/>
      <c r="AP482" s="1381"/>
      <c r="AQ482" s="1381"/>
      <c r="AR482" s="1236"/>
      <c r="AS482" s="1400"/>
      <c r="AT482" s="1284"/>
      <c r="AU482" s="1236"/>
      <c r="AV482" s="1236">
        <f>IFERROR(Model!AV482/Model!AU482-1,"NA")</f>
        <v>0.228849407783418</v>
      </c>
      <c r="AW482" s="1236">
        <f>IFERROR(Model!AW482/Model!AV482-1,"NA")</f>
        <v>-6.3339070567986266E-2</v>
      </c>
      <c r="AX482" s="1236">
        <f>IFERROR(Model!AX482/Model!AW482-1,"NA")</f>
        <v>0.13965453877251011</v>
      </c>
      <c r="AY482" s="1236">
        <f>IFERROR(Model!AY482/Model!AX482-1,"NA")</f>
        <v>-9.3195743308610135E-2</v>
      </c>
      <c r="AZ482" s="1236">
        <f>IFERROR(Model!AZ482/Model!AY482-1,"NA")</f>
        <v>2.3826458036984244E-2</v>
      </c>
      <c r="BA482" s="1236">
        <f>IFERROR(Model!BA482/Model!AZ482-1,"NA")</f>
        <v>0.17247308093087876</v>
      </c>
      <c r="BB482" s="1381">
        <f>IFERROR(Model!BB482/Model!BA482-1,"NA")</f>
        <v>-1.5352312956407155E-2</v>
      </c>
      <c r="BC482" s="1381">
        <f>IFERROR(Model!BC482/Model!BB482-1,"NA")</f>
        <v>7.0000000000000062E-2</v>
      </c>
      <c r="BD482" s="1381">
        <f>IFERROR(Model!BD482/Model!BC482-1,"NA")</f>
        <v>7.0000000000000062E-2</v>
      </c>
      <c r="BE482" s="1381">
        <f>IFERROR(Model!BE482/Model!BD482-1,"NA")</f>
        <v>7.0000000000000062E-2</v>
      </c>
    </row>
    <row r="483" spans="1:57" s="382" customFormat="1" x14ac:dyDescent="0.2">
      <c r="A483" s="411"/>
      <c r="B483" s="315" t="s">
        <v>115</v>
      </c>
      <c r="C483" s="321"/>
      <c r="D483" s="1260"/>
      <c r="E483" s="1260"/>
      <c r="F483" s="1260"/>
      <c r="G483" s="1260"/>
      <c r="H483" s="1260">
        <f>IFERROR(Model!H483/Model!D483-1,"NA")</f>
        <v>-4.8355899419729176E-2</v>
      </c>
      <c r="I483" s="1260">
        <f>IFERROR(Model!I483/Model!E483-1,"NA")</f>
        <v>9.2975206611570327E-2</v>
      </c>
      <c r="J483" s="1260">
        <f>IFERROR(Model!J483/Model!F483-1,"NA")</f>
        <v>4.1753653444676075E-3</v>
      </c>
      <c r="K483" s="1260">
        <f>IFERROR(Model!K483/Model!G483-1,"NA")</f>
        <v>1.9271948608136968E-2</v>
      </c>
      <c r="L483" s="1260">
        <f>IFERROR(Model!L483/Model!H483-1,"NA")</f>
        <v>-1.4227642276422814E-2</v>
      </c>
      <c r="M483" s="1260">
        <f>IFERROR(Model!M483/Model!I483-1,"NA")</f>
        <v>-1.5122873345935761E-2</v>
      </c>
      <c r="N483" s="1260">
        <f>IFERROR(Model!N483/Model!J483-1,"NA")</f>
        <v>0.11226611226611216</v>
      </c>
      <c r="O483" s="1260">
        <f>IFERROR(Model!O483/Model!K483-1,"NA")</f>
        <v>6.9327731092436951E-2</v>
      </c>
      <c r="P483" s="1260">
        <f>IFERROR(Model!P483/Model!L483-1,"NA")</f>
        <v>0.10309278350515472</v>
      </c>
      <c r="Q483" s="1260">
        <f>IFERROR(Model!Q483/Model!M483-1,"NA")</f>
        <v>8.0614203454894451E-2</v>
      </c>
      <c r="R483" s="1260">
        <f>IFERROR(Model!R483/Model!N483-1,"NA")</f>
        <v>-5.4205607476635498E-2</v>
      </c>
      <c r="S483" s="1260">
        <f>IFERROR(Model!S483/Model!O483-1,"NA")</f>
        <v>1.9646365422396617E-3</v>
      </c>
      <c r="T483" s="1260">
        <f>IFERROR(Model!T483/Model!P483-1,"NA")</f>
        <v>4.8598130841121412E-2</v>
      </c>
      <c r="U483" s="1260">
        <f>IFERROR(Model!U483/Model!Q483-1,"NA")</f>
        <v>-6.0390763765541755E-2</v>
      </c>
      <c r="V483" s="1260">
        <f>IFERROR(Model!V483/Model!R483-1,"NA")</f>
        <v>5.3359683794466317E-2</v>
      </c>
      <c r="W483" s="1260">
        <f>IFERROR(Model!W483/Model!S483-1,"NA")</f>
        <v>3.7254901960784403E-2</v>
      </c>
      <c r="X483" s="1260">
        <f>IFERROR(Model!X483/Model!T483-1,"NA")</f>
        <v>-1.6042780748663055E-2</v>
      </c>
      <c r="Y483" s="1260">
        <f>IFERROR(Model!Y483/Model!U483-1,"NA")</f>
        <v>0.12287334593572785</v>
      </c>
      <c r="Z483" s="1260">
        <f>IFERROR(Model!Z483/Model!V483-1,"NA")</f>
        <v>0.14071294559099434</v>
      </c>
      <c r="AA483" s="1260">
        <f>IFERROR(Model!AA483/Model!W483-1,"NA")</f>
        <v>0.15689981096408312</v>
      </c>
      <c r="AB483" s="1260">
        <f>IFERROR(Model!AB483/Model!X483-1,"NA")</f>
        <v>0.16123188405797095</v>
      </c>
      <c r="AC483" s="1381">
        <f>IFERROR(Model!AC483/Model!Y483-1,"NA")</f>
        <v>0.10000000000000009</v>
      </c>
      <c r="AD483" s="1381">
        <f>IFERROR(Model!AD483/Model!Z483-1,"NA")</f>
        <v>0.10000000000000009</v>
      </c>
      <c r="AE483" s="1381">
        <f>IFERROR(Model!AE483/Model!AA483-1,"NA")</f>
        <v>9.000000000000008E-2</v>
      </c>
      <c r="AF483" s="1381">
        <f>IFERROR(Model!AF483/Model!AB483-1,"NA")</f>
        <v>9.000000000000008E-2</v>
      </c>
      <c r="AG483" s="1381">
        <f>IFERROR(Model!AG483/Model!AC483-1,"NA")</f>
        <v>8.0000000000000071E-2</v>
      </c>
      <c r="AH483" s="1381">
        <f>IFERROR(Model!AH483/Model!AD483-1,"NA")</f>
        <v>8.0000000000000071E-2</v>
      </c>
      <c r="AI483" s="1381">
        <f>IFERROR(Model!AI483/Model!AE483-1,"NA")</f>
        <v>8.0000000000000071E-2</v>
      </c>
      <c r="AJ483" s="1381"/>
      <c r="AK483" s="1381"/>
      <c r="AL483" s="1381"/>
      <c r="AM483" s="1381"/>
      <c r="AN483" s="1381"/>
      <c r="AO483" s="1381"/>
      <c r="AP483" s="1381"/>
      <c r="AQ483" s="1381"/>
      <c r="AR483" s="1236"/>
      <c r="AS483" s="1400"/>
      <c r="AT483" s="1284"/>
      <c r="AU483" s="1236"/>
      <c r="AV483" s="1236">
        <f>IFERROR(Model!AV483/Model!AU483-1,"NA")</f>
        <v>1.5921931176168469E-2</v>
      </c>
      <c r="AW483" s="1236">
        <f>IFERROR(Model!AW483/Model!AV483-1,"NA")</f>
        <v>3.6400404448938328E-2</v>
      </c>
      <c r="AX483" s="1236">
        <f>IFERROR(Model!AX483/Model!AW483-1,"NA")</f>
        <v>3.1219512195121979E-2</v>
      </c>
      <c r="AY483" s="1236">
        <f>IFERROR(Model!AY483/Model!AX483-1,"NA")</f>
        <v>1.7975402081362279E-2</v>
      </c>
      <c r="AZ483" s="1236">
        <f>IFERROR(Model!AZ483/Model!AY483-1,"NA")</f>
        <v>9.9442379182156149E-2</v>
      </c>
      <c r="BA483" s="1236">
        <f>IFERROR(Model!BA483/Model!AZ483-1,"NA")</f>
        <v>0.11169907016060865</v>
      </c>
      <c r="BB483" s="1381">
        <f>IFERROR(Model!BB483/Model!BA483-1,"NA")</f>
        <v>8.2437002904633738E-2</v>
      </c>
      <c r="BC483" s="1381">
        <f>IFERROR(Model!BC483/Model!BB483-1,"NA")</f>
        <v>7.0000000000000062E-2</v>
      </c>
      <c r="BD483" s="1381">
        <f>IFERROR(Model!BD483/Model!BC483-1,"NA")</f>
        <v>7.0000000000000062E-2</v>
      </c>
      <c r="BE483" s="1381">
        <f>IFERROR(Model!BE483/Model!BD483-1,"NA")</f>
        <v>7.0000000000000062E-2</v>
      </c>
    </row>
    <row r="484" spans="1:57" s="382" customFormat="1" x14ac:dyDescent="0.2">
      <c r="A484" s="411"/>
      <c r="B484" s="315" t="s">
        <v>16</v>
      </c>
      <c r="C484" s="321"/>
      <c r="D484" s="1260"/>
      <c r="E484" s="1260"/>
      <c r="F484" s="1260"/>
      <c r="G484" s="1260"/>
      <c r="H484" s="1260">
        <f>IFERROR(Model!H484/Model!D484-1,"NA")</f>
        <v>-0.62683438155136262</v>
      </c>
      <c r="I484" s="1260">
        <f>IFERROR(Model!I484/Model!E484-1,"NA")</f>
        <v>-0.72</v>
      </c>
      <c r="J484" s="1260">
        <f>IFERROR(Model!J484/Model!F484-1,"NA")</f>
        <v>-0.67945205479452053</v>
      </c>
      <c r="K484" s="1260">
        <f>IFERROR(Model!K484/Model!G484-1,"NA")</f>
        <v>1.1857142857142855</v>
      </c>
      <c r="L484" s="1260">
        <f>IFERROR(Model!L484/Model!H484-1,"NA")</f>
        <v>-0.3764044943820225</v>
      </c>
      <c r="M484" s="1260">
        <f>IFERROR(Model!M484/Model!I484-1,"NA")</f>
        <v>2.375</v>
      </c>
      <c r="N484" s="1260">
        <f>IFERROR(Model!N484/Model!J484-1,"NA")</f>
        <v>-0.40170940170940173</v>
      </c>
      <c r="O484" s="1260">
        <f>IFERROR(Model!O484/Model!K484-1,"NA")</f>
        <v>-0.51633986928104569</v>
      </c>
      <c r="P484" s="1260">
        <f>IFERROR(Model!P484/Model!L484-1,"NA")</f>
        <v>-0.29729729729729726</v>
      </c>
      <c r="Q484" s="1260">
        <f>IFERROR(Model!Q484/Model!M484-1,"NA")</f>
        <v>-0.86243386243386244</v>
      </c>
      <c r="R484" s="1260">
        <f>IFERROR(Model!R484/Model!N484-1,"NA")</f>
        <v>-0.7142857142857143</v>
      </c>
      <c r="S484" s="1260">
        <f>IFERROR(Model!S484/Model!O484-1,"NA")</f>
        <v>4.0540540540540571E-2</v>
      </c>
      <c r="T484" s="1260">
        <f>IFERROR(Model!T484/Model!P484-1,"NA")</f>
        <v>2.2820512820512819</v>
      </c>
      <c r="U484" s="1260">
        <f>IFERROR(Model!U484/Model!Q484-1,"NA")</f>
        <v>3.4615384615384617</v>
      </c>
      <c r="V484" s="1260">
        <f>IFERROR(Model!V484/Model!R484-1,"NA")</f>
        <v>4.55</v>
      </c>
      <c r="W484" s="1260">
        <f>IFERROR(Model!W484/Model!S484-1,"NA")</f>
        <v>0.80519480519480524</v>
      </c>
      <c r="X484" s="1260">
        <f>IFERROR(Model!X484/Model!T484-1,"NA")</f>
        <v>-0.39453125</v>
      </c>
      <c r="Y484" s="1260">
        <f>IFERROR(Model!Y484/Model!U484-1,"NA")</f>
        <v>-0.17241379310344829</v>
      </c>
      <c r="Z484" s="1260">
        <f>IFERROR(Model!Z484/Model!V484-1,"NA")</f>
        <v>-4.4954954954954953</v>
      </c>
      <c r="AA484" s="1260">
        <f>IFERROR(Model!AA484/Model!W484-1,"NA")</f>
        <v>0.27338129496402885</v>
      </c>
      <c r="AB484" s="1260">
        <f>IFERROR(Model!AB484/Model!X484-1,"NA")</f>
        <v>3.2258064516129004E-2</v>
      </c>
      <c r="AC484" s="1381">
        <f>IFERROR(Model!AC484/Model!Y484-1,"NA")</f>
        <v>-2.5</v>
      </c>
      <c r="AD484" s="1381">
        <f>IFERROR(Model!AD484/Model!Z484-1,"NA")</f>
        <v>-0.6</v>
      </c>
      <c r="AE484" s="1381">
        <f>IFERROR(Model!AE484/Model!AA484-1,"NA")</f>
        <v>-1.85</v>
      </c>
      <c r="AF484" s="1381">
        <f>IFERROR(Model!AF484/Model!AB484-1,"NA")</f>
        <v>-1.95</v>
      </c>
      <c r="AG484" s="1381">
        <f>IFERROR(Model!AG484/Model!AC484-1,"NA")</f>
        <v>0</v>
      </c>
      <c r="AH484" s="1381">
        <f>IFERROR(Model!AH484/Model!AD484-1,"NA")</f>
        <v>0</v>
      </c>
      <c r="AI484" s="1381">
        <f>IFERROR(Model!AI484/Model!AE484-1,"NA")</f>
        <v>0</v>
      </c>
      <c r="AJ484" s="1381"/>
      <c r="AK484" s="1381"/>
      <c r="AL484" s="1381"/>
      <c r="AM484" s="1381"/>
      <c r="AN484" s="1381"/>
      <c r="AO484" s="1381"/>
      <c r="AP484" s="1381"/>
      <c r="AQ484" s="1381"/>
      <c r="AR484" s="1236"/>
      <c r="AS484" s="1400"/>
      <c r="AT484" s="1284"/>
      <c r="AU484" s="1236"/>
      <c r="AV484" s="1236">
        <f>IFERROR(Model!AV484/Model!AU484-1,"NA")</f>
        <v>-0.54676258992805749</v>
      </c>
      <c r="AW484" s="1236">
        <f>IFERROR(Model!AW484/Model!AV484-1,"NA")</f>
        <v>-0.11904761904761907</v>
      </c>
      <c r="AX484" s="1236">
        <f>IFERROR(Model!AX484/Model!AW484-1,"NA")</f>
        <v>-0.54729729729729737</v>
      </c>
      <c r="AY484" s="1236">
        <f>IFERROR(Model!AY484/Model!AX484-1,"NA")</f>
        <v>2.0945273631840795</v>
      </c>
      <c r="AZ484" s="1236">
        <f>IFERROR(Model!AZ484/Model!AY484-1,"NA")</f>
        <v>-0.93569131832797425</v>
      </c>
      <c r="BA484" s="1236">
        <f>IFERROR(Model!BA484/Model!AZ484-1,"NA")</f>
        <v>-8.2412500000000009</v>
      </c>
      <c r="BB484" s="1381">
        <f>IFERROR(Model!BB484/Model!BA484-1,"NA")</f>
        <v>1.0771620921802176</v>
      </c>
      <c r="BC484" s="1381">
        <f>IFERROR(Model!BC484/Model!BB484-1,"NA")</f>
        <v>0</v>
      </c>
      <c r="BD484" s="1381">
        <f>IFERROR(Model!BD484/Model!BC484-1,"NA")</f>
        <v>0</v>
      </c>
      <c r="BE484" s="1381">
        <f>IFERROR(Model!BE484/Model!BD484-1,"NA")</f>
        <v>0</v>
      </c>
    </row>
    <row r="485" spans="1:57" s="382" customFormat="1" x14ac:dyDescent="0.2">
      <c r="A485" s="411"/>
      <c r="B485" s="318" t="s">
        <v>649</v>
      </c>
      <c r="C485" s="319"/>
      <c r="D485" s="1292"/>
      <c r="E485" s="1292"/>
      <c r="F485" s="1292"/>
      <c r="G485" s="1292"/>
      <c r="H485" s="1292">
        <f>IFERROR(Model!H485/Model!D485-1,"NA")</f>
        <v>-6.6225165562914245E-3</v>
      </c>
      <c r="I485" s="1292">
        <f>IFERROR(Model!I485/Model!E485-1,"NA")</f>
        <v>0.27834511652264982</v>
      </c>
      <c r="J485" s="1292">
        <f>IFERROR(Model!J485/Model!F485-1,"NA")</f>
        <v>-0.11498415572657306</v>
      </c>
      <c r="K485" s="1292">
        <f>IFERROR(Model!K485/Model!G485-1,"NA")</f>
        <v>-0.11748854756130422</v>
      </c>
      <c r="L485" s="1292">
        <f>IFERROR(Model!L485/Model!H485-1,"NA")</f>
        <v>-0.1152136752136752</v>
      </c>
      <c r="M485" s="1292">
        <f>IFERROR(Model!M485/Model!I485-1,"NA")</f>
        <v>-0.16775911511675545</v>
      </c>
      <c r="N485" s="1292">
        <f>IFERROR(Model!N485/Model!J485-1,"NA")</f>
        <v>9.565217391304337E-2</v>
      </c>
      <c r="O485" s="1292">
        <f>IFERROR(Model!O485/Model!K485-1,"NA")</f>
        <v>-9.0687022900763359E-2</v>
      </c>
      <c r="P485" s="1292">
        <f>IFERROR(Model!P485/Model!L485-1,"NA")</f>
        <v>-7.1870170015455925E-2</v>
      </c>
      <c r="Q485" s="1292">
        <f>IFERROR(Model!Q485/Model!M485-1,"NA")</f>
        <v>3.6918533103617923E-2</v>
      </c>
      <c r="R485" s="1292">
        <f>IFERROR(Model!R485/Model!N485-1,"NA")</f>
        <v>-5.7889822595704965E-2</v>
      </c>
      <c r="S485" s="1292">
        <f>IFERROR(Model!S485/Model!O485-1,"NA")</f>
        <v>8.7306917394224248E-2</v>
      </c>
      <c r="T485" s="1292">
        <f>IFERROR(Model!T485/Model!P485-1,"NA")</f>
        <v>-0.15632805995004162</v>
      </c>
      <c r="U485" s="1292">
        <f>IFERROR(Model!U485/Model!Q485-1,"NA")</f>
        <v>9.6843104676002767E-2</v>
      </c>
      <c r="V485" s="1292">
        <f>IFERROR(Model!V485/Model!R485-1,"NA")</f>
        <v>0.11223984142715571</v>
      </c>
      <c r="W485" s="1292">
        <f>IFERROR(Model!W485/Model!S485-1,"NA")</f>
        <v>0.24521309450277951</v>
      </c>
      <c r="X485" s="1292">
        <f>IFERROR(Model!X485/Model!T485-1,"NA")</f>
        <v>0.20330619294349872</v>
      </c>
      <c r="Y485" s="1292">
        <f>IFERROR(Model!Y485/Model!U485-1,"NA")</f>
        <v>-2.6834018610690347E-2</v>
      </c>
      <c r="Z485" s="1292">
        <f>IFERROR(Model!Z485/Model!V485-1,"NA")</f>
        <v>5.0790822009356251E-2</v>
      </c>
      <c r="AA485" s="1292">
        <f>IFERROR(Model!AA485/Model!W485-1,"NA")</f>
        <v>-0.140625</v>
      </c>
      <c r="AB485" s="1292">
        <f>IFERROR(Model!AB485/Model!X485-1,"NA")</f>
        <v>2.5630510559770281E-2</v>
      </c>
      <c r="AC485" s="1292">
        <f>IFERROR(Model!AC485/Model!Y485-1,"NA")</f>
        <v>0.13610629308427824</v>
      </c>
      <c r="AD485" s="1292">
        <f>IFERROR(Model!AD485/Model!Z485-1,"NA")</f>
        <v>1.9987280050879797E-2</v>
      </c>
      <c r="AE485" s="1292">
        <f>IFERROR(Model!AE485/Model!AA485-1,"NA")</f>
        <v>0.19999134199134216</v>
      </c>
      <c r="AF485" s="1292">
        <f>IFERROR(Model!AF485/Model!AB485-1,"NA")</f>
        <v>0.12283086765293882</v>
      </c>
      <c r="AG485" s="1292">
        <f>IFERROR(Model!AG485/Model!AC485-1,"NA")</f>
        <v>8.7031788564259527E-2</v>
      </c>
      <c r="AH485" s="1292">
        <f>IFERROR(Model!AH485/Model!AD485-1,"NA")</f>
        <v>8.5509885103340455E-2</v>
      </c>
      <c r="AI485" s="1292">
        <f>IFERROR(Model!AI485/Model!AE485-1,"NA")</f>
        <v>8.4991089401799558E-2</v>
      </c>
      <c r="AJ485" s="1293"/>
      <c r="AK485" s="1293"/>
      <c r="AL485" s="1293"/>
      <c r="AM485" s="1293"/>
      <c r="AN485" s="1293"/>
      <c r="AO485" s="1293"/>
      <c r="AP485" s="1293"/>
      <c r="AQ485" s="1293"/>
      <c r="AR485" s="1236"/>
      <c r="AS485" s="1342"/>
      <c r="AT485" s="1248"/>
      <c r="AU485" s="1292"/>
      <c r="AV485" s="1292">
        <f>IFERROR(Model!AV485/Model!AU485-1,"NA")</f>
        <v>4.485059146717596E-3</v>
      </c>
      <c r="AW485" s="1292">
        <f>IFERROR(Model!AW485/Model!AV485-1,"NA")</f>
        <v>-7.9031087793715482E-2</v>
      </c>
      <c r="AX485" s="1292">
        <f>IFERROR(Model!AX485/Model!AW485-1,"NA")</f>
        <v>-1.27265014241561E-2</v>
      </c>
      <c r="AY485" s="1292">
        <f>IFERROR(Model!AY485/Model!AX485-1,"NA")</f>
        <v>5.5490761770302655E-2</v>
      </c>
      <c r="AZ485" s="1292">
        <f>IFERROR(Model!AZ485/Model!AY485-1,"NA")</f>
        <v>2.0994475138121471E-2</v>
      </c>
      <c r="BA485" s="1292">
        <f>IFERROR(Model!BA485/Model!AZ485-1,"NA")</f>
        <v>8.6826156299840473E-2</v>
      </c>
      <c r="BB485" s="1292">
        <f>IFERROR(Model!BB485/Model!BA485-1,"NA")</f>
        <v>9.5588223887230539E-2</v>
      </c>
      <c r="BC485" s="1292">
        <f>IFERROR(Model!BC485/Model!BB485-1,"NA")</f>
        <v>7.4745527877569051E-2</v>
      </c>
      <c r="BD485" s="1292">
        <f>IFERROR(Model!BD485/Model!BC485-1,"NA")</f>
        <v>6.8125422910937594E-2</v>
      </c>
      <c r="BE485" s="1292">
        <f>IFERROR(Model!BE485/Model!BD485-1,"NA")</f>
        <v>6.8244984110616969E-2</v>
      </c>
    </row>
    <row r="486" spans="1:57" s="382" customFormat="1" x14ac:dyDescent="0.2">
      <c r="A486" s="411"/>
      <c r="B486" s="318"/>
      <c r="C486" s="321"/>
      <c r="D486" s="1258"/>
      <c r="E486" s="1258"/>
      <c r="F486" s="1258"/>
      <c r="G486" s="1258"/>
      <c r="H486" s="1258"/>
      <c r="I486" s="1258"/>
      <c r="J486" s="1258"/>
      <c r="K486" s="1258"/>
      <c r="L486" s="1258"/>
      <c r="M486" s="1258"/>
      <c r="N486" s="1258"/>
      <c r="O486" s="1258"/>
      <c r="P486" s="1258"/>
      <c r="Q486" s="1258"/>
      <c r="R486" s="1258"/>
      <c r="S486" s="1258"/>
      <c r="T486" s="1258"/>
      <c r="U486" s="1258"/>
      <c r="V486" s="1258"/>
      <c r="W486" s="1258"/>
      <c r="X486" s="1258"/>
      <c r="Y486" s="1258"/>
      <c r="Z486" s="1258"/>
      <c r="AA486" s="1258"/>
      <c r="AB486" s="1258"/>
      <c r="AC486" s="1263"/>
      <c r="AD486" s="1259"/>
      <c r="AE486" s="1259"/>
      <c r="AF486" s="1259"/>
      <c r="AG486" s="1259"/>
      <c r="AH486" s="1259"/>
      <c r="AI486" s="1263"/>
      <c r="AJ486" s="1263"/>
      <c r="AK486" s="1263"/>
      <c r="AL486" s="1263"/>
      <c r="AM486" s="1263"/>
      <c r="AN486" s="1263"/>
      <c r="AO486" s="1263"/>
      <c r="AP486" s="1263"/>
      <c r="AQ486" s="1263"/>
      <c r="AR486" s="1236"/>
      <c r="AS486" s="1342"/>
      <c r="AT486" s="1284"/>
      <c r="AU486" s="1291"/>
      <c r="AV486" s="1263"/>
      <c r="AW486" s="1259"/>
      <c r="AX486" s="1291"/>
      <c r="AY486" s="1259"/>
      <c r="AZ486" s="1263"/>
      <c r="BA486" s="1263"/>
      <c r="BB486" s="1259"/>
      <c r="BC486" s="1259"/>
      <c r="BD486" s="1259"/>
      <c r="BE486" s="1259"/>
    </row>
    <row r="487" spans="1:57" s="382" customFormat="1" x14ac:dyDescent="0.2">
      <c r="A487" s="411"/>
      <c r="B487" s="318" t="s">
        <v>650</v>
      </c>
      <c r="C487" s="321"/>
      <c r="D487" s="1293"/>
      <c r="E487" s="1293"/>
      <c r="F487" s="1293"/>
      <c r="G487" s="1293"/>
      <c r="H487" s="1293">
        <f>IFERROR(Model!H487/Model!D487-1,"NA")</f>
        <v>4.1771885521885599E-2</v>
      </c>
      <c r="I487" s="1293">
        <f>IFERROR(Model!I487/Model!E487-1,"NA")</f>
        <v>0.13173875325319129</v>
      </c>
      <c r="J487" s="1293">
        <f>IFERROR(Model!J487/Model!F487-1,"NA")</f>
        <v>-7.2068798449612448E-2</v>
      </c>
      <c r="K487" s="1293">
        <f>IFERROR(Model!K487/Model!G487-1,"NA")</f>
        <v>-3.9580289547084591E-2</v>
      </c>
      <c r="L487" s="1293">
        <f>IFERROR(Model!L487/Model!H487-1,"NA")</f>
        <v>-6.342793657206347E-2</v>
      </c>
      <c r="M487" s="1293">
        <f>IFERROR(Model!M487/Model!I487-1,"NA")</f>
        <v>-6.8878668418747235E-2</v>
      </c>
      <c r="N487" s="1293">
        <f>IFERROR(Model!N487/Model!J487-1,"NA")</f>
        <v>0.13797154418483237</v>
      </c>
      <c r="O487" s="1293">
        <f>IFERROR(Model!O487/Model!K487-1,"NA")</f>
        <v>-2.7658691743880359E-3</v>
      </c>
      <c r="P487" s="1293">
        <f>IFERROR(Model!P487/Model!L487-1,"NA")</f>
        <v>-2.6097271648873099E-2</v>
      </c>
      <c r="Q487" s="1293">
        <f>IFERROR(Model!Q487/Model!M487-1,"NA")</f>
        <v>-4.3514053863342728E-3</v>
      </c>
      <c r="R487" s="1293">
        <f>IFERROR(Model!R487/Model!N487-1,"NA")</f>
        <v>-5.2534985088322994E-2</v>
      </c>
      <c r="S487" s="1293">
        <f>IFERROR(Model!S487/Model!O487-1,"NA")</f>
        <v>1.31743170156704E-2</v>
      </c>
      <c r="T487" s="1293">
        <f>IFERROR(Model!T487/Model!P487-1,"NA")</f>
        <v>-0.12578894917506367</v>
      </c>
      <c r="U487" s="1293">
        <f>IFERROR(Model!U487/Model!Q487-1,"NA")</f>
        <v>2.6340656744625601E-2</v>
      </c>
      <c r="V487" s="1293">
        <f>IFERROR(Model!V487/Model!R487-1,"NA")</f>
        <v>2.4092009685229954E-2</v>
      </c>
      <c r="W487" s="1293">
        <f>IFERROR(Model!W487/Model!S487-1,"NA")</f>
        <v>0.12017519846701341</v>
      </c>
      <c r="X487" s="1293">
        <f>IFERROR(Model!X487/Model!T487-1,"NA")</f>
        <v>0.18036732108929709</v>
      </c>
      <c r="Y487" s="1293">
        <f>IFERROR(Model!Y487/Model!U487-1,"NA")</f>
        <v>8.4244447001956546E-2</v>
      </c>
      <c r="Z487" s="1293">
        <f>IFERROR(Model!Z487/Model!V487-1,"NA")</f>
        <v>0.11478898214919031</v>
      </c>
      <c r="AA487" s="1293">
        <f>IFERROR(Model!AA487/Model!W487-1,"NA")</f>
        <v>1.4662756598240456E-2</v>
      </c>
      <c r="AB487" s="1293">
        <f>IFERROR(Model!AB487/Model!X487-1,"NA")</f>
        <v>5.676574739778939E-2</v>
      </c>
      <c r="AC487" s="1293">
        <f>IFERROR(Model!AC487/Model!Y487-1,"NA")</f>
        <v>7.8722611355604766E-2</v>
      </c>
      <c r="AD487" s="1293">
        <f>IFERROR(Model!AD487/Model!Z487-1,"NA")</f>
        <v>5.3961385292930153E-2</v>
      </c>
      <c r="AE487" s="1293">
        <f>IFERROR(Model!AE487/Model!AA487-1,"NA")</f>
        <v>0.12772491605905989</v>
      </c>
      <c r="AF487" s="1293">
        <f>IFERROR(Model!AF487/Model!AB487-1,"NA")</f>
        <v>0.11298908981202382</v>
      </c>
      <c r="AG487" s="1293">
        <f>IFERROR(Model!AG487/Model!AC487-1,"NA")</f>
        <v>8.0701609707642952E-2</v>
      </c>
      <c r="AH487" s="1293">
        <f>IFERROR(Model!AH487/Model!AD487-1,"NA")</f>
        <v>7.4559989009851835E-2</v>
      </c>
      <c r="AI487" s="1293">
        <f>IFERROR(Model!AI487/Model!AE487-1,"NA")</f>
        <v>7.0336169853118635E-2</v>
      </c>
      <c r="AJ487" s="1293"/>
      <c r="AK487" s="1293"/>
      <c r="AL487" s="1293"/>
      <c r="AM487" s="1293"/>
      <c r="AN487" s="1293"/>
      <c r="AO487" s="1293"/>
      <c r="AP487" s="1293"/>
      <c r="AQ487" s="1293"/>
      <c r="AR487" s="1236"/>
      <c r="AS487" s="1342"/>
      <c r="AT487" s="1284"/>
      <c r="AU487" s="1258"/>
      <c r="AV487" s="1258">
        <f>IFERROR(Model!AV487/Model!AU487-1,"NA")</f>
        <v>1.6997421907788191E-2</v>
      </c>
      <c r="AW487" s="1258">
        <f>IFERROR(Model!AW487/Model!AV487-1,"NA")</f>
        <v>-6.4848931466470194E-3</v>
      </c>
      <c r="AX487" s="1258">
        <f>IFERROR(Model!AX487/Model!AW487-1,"NA")</f>
        <v>-1.9047619047619091E-2</v>
      </c>
      <c r="AY487" s="1258">
        <f>IFERROR(Model!AY487/Model!AX487-1,"NA")</f>
        <v>4.9602274445754713E-3</v>
      </c>
      <c r="AZ487" s="1258">
        <f>IFERROR(Model!AZ487/Model!AY487-1,"NA")</f>
        <v>9.7721732326120359E-2</v>
      </c>
      <c r="BA487" s="1258">
        <f>IFERROR(Model!BA487/Model!AZ487-1,"NA")</f>
        <v>7.7867228377691333E-2</v>
      </c>
      <c r="BB487" s="1258">
        <f>IFERROR(Model!BB487/Model!BA487-1,"NA")</f>
        <v>8.4767779781003805E-2</v>
      </c>
      <c r="BC487" s="1258">
        <f>IFERROR(Model!BC487/Model!BB487-1,"NA")</f>
        <v>6.8225814880555458E-2</v>
      </c>
      <c r="BD487" s="1258">
        <f>IFERROR(Model!BD487/Model!BC487-1,"NA")</f>
        <v>6.158049963021317E-2</v>
      </c>
      <c r="BE487" s="1258">
        <f>IFERROR(Model!BE487/Model!BD487-1,"NA")</f>
        <v>5.9060204864002985E-2</v>
      </c>
    </row>
    <row r="488" spans="1:57" s="382" customFormat="1" x14ac:dyDescent="0.2">
      <c r="A488" s="411"/>
      <c r="B488" s="319"/>
      <c r="C488" s="321" t="s">
        <v>479</v>
      </c>
      <c r="D488" s="1294"/>
      <c r="E488" s="1294"/>
      <c r="F488" s="1294"/>
      <c r="G488" s="1294"/>
      <c r="H488" s="1294">
        <f>IFERROR(Model!H488/Model!D488-1,"NA")</f>
        <v>-0.77470930232558133</v>
      </c>
      <c r="I488" s="1294">
        <f>IFERROR(Model!I488/Model!E488-1,"NA")</f>
        <v>1.3333333333333335</v>
      </c>
      <c r="J488" s="1294">
        <f>IFERROR(Model!J488/Model!F488-1,"NA")</f>
        <v>-0.58448060075093866</v>
      </c>
      <c r="K488" s="1294">
        <f>IFERROR(Model!K488/Model!G488-1,"NA")</f>
        <v>-0.67647058823529416</v>
      </c>
      <c r="L488" s="1294">
        <f>IFERROR(Model!L488/Model!H488-1,"NA")</f>
        <v>-0.97741935483870968</v>
      </c>
      <c r="M488" s="1294">
        <f>IFERROR(Model!M488/Model!I488-1,"NA")</f>
        <v>-1.0692640692640694</v>
      </c>
      <c r="N488" s="1294">
        <f>IFERROR(Model!N488/Model!J488-1,"NA")</f>
        <v>-4.8192771084337394E-2</v>
      </c>
      <c r="O488" s="1294">
        <f>IFERROR(Model!O488/Model!K488-1,"NA")</f>
        <v>-1.0727272727272728</v>
      </c>
      <c r="P488" s="1294">
        <f>IFERROR(Model!P488/Model!L488-1,"NA")</f>
        <v>8.8571428571428577</v>
      </c>
      <c r="Q488" s="1294">
        <f>IFERROR(Model!Q488/Model!M488-1,"NA")</f>
        <v>-10.46875</v>
      </c>
      <c r="R488" s="1294">
        <f>IFERROR(Model!R488/Model!N488-1,"NA")</f>
        <v>-1.6993670886075949</v>
      </c>
      <c r="S488" s="1294">
        <f>IFERROR(Model!S488/Model!O488-1,"NA")</f>
        <v>-16.5</v>
      </c>
      <c r="T488" s="1294">
        <f>IFERROR(Model!T488/Model!P488-1,"NA")</f>
        <v>-1</v>
      </c>
      <c r="U488" s="1294">
        <f>IFERROR(Model!U488/Model!Q488-1,"NA")</f>
        <v>-1</v>
      </c>
      <c r="V488" s="1294">
        <f>IFERROR(Model!V488/Model!R488-1,"NA")</f>
        <v>-1</v>
      </c>
      <c r="W488" s="1294">
        <f>IFERROR(Model!W488/Model!S488-1,"NA")</f>
        <v>-1</v>
      </c>
      <c r="X488" s="1294" t="str">
        <f>IFERROR(Model!X488/Model!T488-1,"NA")</f>
        <v>NA</v>
      </c>
      <c r="Y488" s="1294" t="str">
        <f>IFERROR(Model!Y488/Model!U488-1,"NA")</f>
        <v>NA</v>
      </c>
      <c r="Z488" s="1294" t="str">
        <f>IFERROR(Model!Z488/Model!V488-1,"NA")</f>
        <v>NA</v>
      </c>
      <c r="AA488" s="1294" t="str">
        <f>IFERROR(Model!AA488/Model!W488-1,"NA")</f>
        <v>NA</v>
      </c>
      <c r="AB488" s="1294" t="str">
        <f>IFERROR(Model!AB488/Model!X488-1,"NA")</f>
        <v>NA</v>
      </c>
      <c r="AC488" s="1294" t="str">
        <f>IFERROR(Model!AC488/Model!Y488-1,"NA")</f>
        <v>NA</v>
      </c>
      <c r="AD488" s="1294" t="str">
        <f>IFERROR(Model!AD488/Model!Z488-1,"NA")</f>
        <v>NA</v>
      </c>
      <c r="AE488" s="1294" t="str">
        <f>IFERROR(Model!AE488/Model!AA488-1,"NA")</f>
        <v>NA</v>
      </c>
      <c r="AF488" s="1294" t="str">
        <f>IFERROR(Model!AF488/Model!AB488-1,"NA")</f>
        <v>NA</v>
      </c>
      <c r="AG488" s="1294" t="str">
        <f>IFERROR(Model!AG488/Model!AC488-1,"NA")</f>
        <v>NA</v>
      </c>
      <c r="AH488" s="1294" t="str">
        <f>IFERROR(Model!AH488/Model!AD488-1,"NA")</f>
        <v>NA</v>
      </c>
      <c r="AI488" s="1294" t="str">
        <f>IFERROR(Model!AI488/Model!AE488-1,"NA")</f>
        <v>NA</v>
      </c>
      <c r="AJ488" s="1300"/>
      <c r="AK488" s="1300"/>
      <c r="AL488" s="1300"/>
      <c r="AM488" s="1300"/>
      <c r="AN488" s="1300"/>
      <c r="AO488" s="1300"/>
      <c r="AP488" s="1300"/>
      <c r="AQ488" s="1300"/>
      <c r="AR488" s="1236"/>
      <c r="AS488" s="1248"/>
      <c r="AT488" s="1284"/>
      <c r="AU488" s="1236"/>
      <c r="AV488" s="1236">
        <f>IFERROR(Model!AV488/Model!AU488-1,"NA")</f>
        <v>-0.86127864897466822</v>
      </c>
      <c r="AW488" s="1236">
        <f>IFERROR(Model!AW488/Model!AV488-1,"NA")</f>
        <v>-5.7971014492753659E-3</v>
      </c>
      <c r="AX488" s="1236">
        <f>IFERROR(Model!AX488/Model!AW488-1,"NA")</f>
        <v>-1.7842565597667639</v>
      </c>
      <c r="AY488" s="1236">
        <f>IFERROR(Model!AY488/Model!AX488-1,"NA")</f>
        <v>-1</v>
      </c>
      <c r="AZ488" s="1236" t="str">
        <f>IFERROR(Model!AZ488/Model!AY488-1,"NA")</f>
        <v>NA</v>
      </c>
      <c r="BA488" s="1236" t="str">
        <f>IFERROR(Model!BA488/Model!AZ488-1,"NA")</f>
        <v>NA</v>
      </c>
      <c r="BB488" s="1294" t="str">
        <f>IFERROR(Model!BB488/Model!BA488-1,"NA")</f>
        <v>NA</v>
      </c>
      <c r="BC488" s="1294" t="str">
        <f>IFERROR(Model!BC488/Model!BB488-1,"NA")</f>
        <v>NA</v>
      </c>
      <c r="BD488" s="1294" t="str">
        <f>IFERROR(Model!BD488/Model!BC488-1,"NA")</f>
        <v>NA</v>
      </c>
      <c r="BE488" s="1294" t="str">
        <f>IFERROR(Model!BE488/Model!BD488-1,"NA")</f>
        <v>NA</v>
      </c>
    </row>
    <row r="489" spans="1:57" s="382" customFormat="1" ht="12" thickBot="1" x14ac:dyDescent="0.25">
      <c r="A489" s="411"/>
      <c r="B489" s="318" t="s">
        <v>644</v>
      </c>
      <c r="C489" s="321"/>
      <c r="D489" s="1295"/>
      <c r="E489" s="1295"/>
      <c r="F489" s="1295"/>
      <c r="G489" s="1295"/>
      <c r="H489" s="1295">
        <f>IFERROR(Model!H489/Model!D489-1,"NA")</f>
        <v>0.17999507874015741</v>
      </c>
      <c r="I489" s="1295">
        <f>IFERROR(Model!I489/Model!E489-1,"NA")</f>
        <v>0.16051772105963469</v>
      </c>
      <c r="J489" s="1295">
        <f>IFERROR(Model!J489/Model!F489-1,"NA")</f>
        <v>-1.7165079790800619E-2</v>
      </c>
      <c r="K489" s="1295">
        <f>IFERROR(Model!K489/Model!G489-1,"NA")</f>
        <v>6.6961105570593205E-3</v>
      </c>
      <c r="L489" s="1295">
        <f>IFERROR(Model!L489/Model!H489-1,"NA")</f>
        <v>-3.3885934730476519E-2</v>
      </c>
      <c r="M489" s="1295">
        <f>IFERROR(Model!M489/Model!I489-1,"NA")</f>
        <v>-0.1170523243693975</v>
      </c>
      <c r="N489" s="1295">
        <f>IFERROR(Model!N489/Model!J489-1,"NA")</f>
        <v>0.14640469368263065</v>
      </c>
      <c r="O489" s="1295">
        <f>IFERROR(Model!O489/Model!K489-1,"NA")</f>
        <v>2.221907727144079E-2</v>
      </c>
      <c r="P489" s="1295">
        <f>IFERROR(Model!P489/Model!L489-1,"NA")</f>
        <v>-3.280811569177644E-2</v>
      </c>
      <c r="Q489" s="1295">
        <f>IFERROR(Model!Q489/Model!M489-1,"NA")</f>
        <v>3.5178845472789488E-2</v>
      </c>
      <c r="R489" s="1295">
        <f>IFERROR(Model!R489/Model!N489-1,"NA")</f>
        <v>9.4025232087597832E-3</v>
      </c>
      <c r="S489" s="1295">
        <f>IFERROR(Model!S489/Model!O489-1,"NA")</f>
        <v>-1.4260002768932578E-2</v>
      </c>
      <c r="T489" s="1295">
        <f>IFERROR(Model!T489/Model!P489-1,"NA")</f>
        <v>-0.11905824592724834</v>
      </c>
      <c r="U489" s="1295">
        <f>IFERROR(Model!U489/Model!Q489-1,"NA")</f>
        <v>-9.1230470977305966E-3</v>
      </c>
      <c r="V489" s="1295">
        <f>IFERROR(Model!V489/Model!R489-1,"NA")</f>
        <v>-2.5940337224383825E-3</v>
      </c>
      <c r="W489" s="1295">
        <f>IFERROR(Model!W489/Model!S489-1,"NA")</f>
        <v>0.14943820224719095</v>
      </c>
      <c r="X489" s="1295">
        <f>IFERROR(Model!X489/Model!T489-1,"NA")</f>
        <v>0.18036732108929709</v>
      </c>
      <c r="Y489" s="1295">
        <f>IFERROR(Model!Y489/Model!U489-1,"NA")</f>
        <v>8.4244447001956546E-2</v>
      </c>
      <c r="Z489" s="1295">
        <f>IFERROR(Model!Z489/Model!V489-1,"NA")</f>
        <v>0.11478898214919031</v>
      </c>
      <c r="AA489" s="1295">
        <f>IFERROR(Model!AA489/Model!W489-1,"NA")</f>
        <v>1.4662756598240456E-2</v>
      </c>
      <c r="AB489" s="1295">
        <f>IFERROR(Model!AB489/Model!X489-1,"NA")</f>
        <v>5.676574739778939E-2</v>
      </c>
      <c r="AC489" s="1295">
        <f>IFERROR(Model!AC489/Model!Y489-1,"NA")</f>
        <v>7.8722611355604766E-2</v>
      </c>
      <c r="AD489" s="1295">
        <f>IFERROR(Model!AD489/Model!Z489-1,"NA")</f>
        <v>5.3961385292930153E-2</v>
      </c>
      <c r="AE489" s="1295">
        <f>IFERROR(Model!AE489/Model!AA489-1,"NA")</f>
        <v>0.12772491605905989</v>
      </c>
      <c r="AF489" s="1295">
        <f>IFERROR(Model!AF489/Model!AB489-1,"NA")</f>
        <v>0.11298908981202382</v>
      </c>
      <c r="AG489" s="1295">
        <f>IFERROR(Model!AG489/Model!AC489-1,"NA")</f>
        <v>8.0701609707642952E-2</v>
      </c>
      <c r="AH489" s="1295">
        <f>IFERROR(Model!AH489/Model!AD489-1,"NA")</f>
        <v>7.4559989009851835E-2</v>
      </c>
      <c r="AI489" s="1295">
        <f>IFERROR(Model!AI489/Model!AE489-1,"NA")</f>
        <v>7.0336169853118635E-2</v>
      </c>
      <c r="AJ489" s="1258"/>
      <c r="AK489" s="1258"/>
      <c r="AL489" s="1258"/>
      <c r="AM489" s="1258"/>
      <c r="AN489" s="1258"/>
      <c r="AO489" s="1258"/>
      <c r="AP489" s="1258"/>
      <c r="AQ489" s="1258"/>
      <c r="AR489" s="1236"/>
      <c r="AS489" s="1248"/>
      <c r="AT489" s="1284"/>
      <c r="AU489" s="1295"/>
      <c r="AV489" s="1295">
        <f>IFERROR(Model!AV489/Model!AU489-1,"NA")</f>
        <v>8.7752259402027688E-2</v>
      </c>
      <c r="AW489" s="1295">
        <f>IFERROR(Model!AW489/Model!AV489-1,"NA")</f>
        <v>-6.4919594997021601E-3</v>
      </c>
      <c r="AX489" s="1295">
        <f>IFERROR(Model!AX489/Model!AW489-1,"NA")</f>
        <v>-8.9922666506803139E-4</v>
      </c>
      <c r="AY489" s="1295">
        <f>IFERROR(Model!AY489/Model!AX489-1,"NA")</f>
        <v>-3.1501260050401658E-3</v>
      </c>
      <c r="AZ489" s="1295">
        <f>IFERROR(Model!AZ489/Model!AY489-1,"NA")</f>
        <v>9.7721732326120359E-2</v>
      </c>
      <c r="BA489" s="1295">
        <f>IFERROR(Model!BA489/Model!AZ489-1,"NA")</f>
        <v>7.7867228377691333E-2</v>
      </c>
      <c r="BB489" s="1295">
        <f>IFERROR(Model!BB489/Model!BA489-1,"NA")</f>
        <v>8.4767779781003805E-2</v>
      </c>
      <c r="BC489" s="1295">
        <f>IFERROR(Model!BC489/Model!BB489-1,"NA")</f>
        <v>6.8225814880555458E-2</v>
      </c>
      <c r="BD489" s="1295">
        <f>IFERROR(Model!BD489/Model!BC489-1,"NA")</f>
        <v>6.158049963021317E-2</v>
      </c>
      <c r="BE489" s="1295">
        <f>IFERROR(Model!BE489/Model!BD489-1,"NA")</f>
        <v>5.9060204864002985E-2</v>
      </c>
    </row>
    <row r="490" spans="1:57" s="382" customFormat="1" ht="12" thickTop="1" x14ac:dyDescent="0.2">
      <c r="A490" s="411"/>
      <c r="B490" s="319"/>
      <c r="C490" s="321"/>
      <c r="D490" s="1260"/>
      <c r="E490" s="1260"/>
      <c r="F490" s="1260"/>
      <c r="G490" s="1260"/>
      <c r="H490" s="1260"/>
      <c r="I490" s="1260"/>
      <c r="J490" s="1260"/>
      <c r="K490" s="1260"/>
      <c r="L490" s="1260"/>
      <c r="M490" s="1260"/>
      <c r="N490" s="1260"/>
      <c r="O490" s="1260"/>
      <c r="P490" s="1260"/>
      <c r="Q490" s="1260"/>
      <c r="R490" s="1260"/>
      <c r="S490" s="1260"/>
      <c r="T490" s="1260"/>
      <c r="U490" s="1260"/>
      <c r="V490" s="1260"/>
      <c r="W490" s="1260"/>
      <c r="X490" s="1260"/>
      <c r="Y490" s="1260"/>
      <c r="Z490" s="1260"/>
      <c r="AA490" s="1260"/>
      <c r="AB490" s="1260"/>
      <c r="AC490" s="1263"/>
      <c r="AD490" s="1259"/>
      <c r="AE490" s="1259"/>
      <c r="AF490" s="1259"/>
      <c r="AG490" s="1259"/>
      <c r="AH490" s="1259"/>
      <c r="AI490" s="1263"/>
      <c r="AJ490" s="1263"/>
      <c r="AK490" s="1263"/>
      <c r="AL490" s="1263"/>
      <c r="AM490" s="1263"/>
      <c r="AN490" s="1263"/>
      <c r="AO490" s="1263"/>
      <c r="AP490" s="1263"/>
      <c r="AQ490" s="1263"/>
      <c r="AR490" s="1236"/>
      <c r="AS490" s="1248"/>
      <c r="AT490" s="1284"/>
      <c r="AU490" s="1291"/>
      <c r="AV490" s="1263"/>
      <c r="AW490" s="1259"/>
      <c r="AX490" s="1291"/>
      <c r="AY490" s="1259"/>
      <c r="AZ490" s="1263"/>
      <c r="BA490" s="1263"/>
      <c r="BB490" s="1259"/>
      <c r="BC490" s="1259"/>
      <c r="BD490" s="1259"/>
      <c r="BE490" s="1259"/>
    </row>
    <row r="491" spans="1:57" s="382" customFormat="1" x14ac:dyDescent="0.2">
      <c r="A491" s="411"/>
      <c r="B491" s="319"/>
      <c r="C491" s="321" t="s">
        <v>250</v>
      </c>
      <c r="D491" s="1260"/>
      <c r="E491" s="1260"/>
      <c r="F491" s="1260"/>
      <c r="G491" s="1260"/>
      <c r="H491" s="1260">
        <f>IFERROR(Model!H491/Model!D491-1,"NA")</f>
        <v>-4.7169811320754707E-2</v>
      </c>
      <c r="I491" s="1260">
        <f>IFERROR(Model!I491/Model!E491-1,"NA")</f>
        <v>-1.3333333333333308E-2</v>
      </c>
      <c r="J491" s="1260">
        <f>IFERROR(Model!J491/Model!F491-1,"NA")</f>
        <v>-0.18493150684931503</v>
      </c>
      <c r="K491" s="1260">
        <f>IFERROR(Model!K491/Model!G491-1,"NA")</f>
        <v>-0.12735849056603776</v>
      </c>
      <c r="L491" s="1260">
        <f>IFERROR(Model!L491/Model!H491-1,"NA")</f>
        <v>-0.1633663366336634</v>
      </c>
      <c r="M491" s="1260">
        <f>IFERROR(Model!M491/Model!I491-1,"NA")</f>
        <v>-0.23873873873873874</v>
      </c>
      <c r="N491" s="1260">
        <f>IFERROR(Model!N491/Model!J491-1,"NA")</f>
        <v>-0.2857142857142857</v>
      </c>
      <c r="O491" s="1260">
        <f>IFERROR(Model!O491/Model!K491-1,"NA")</f>
        <v>-7.567567567567568E-2</v>
      </c>
      <c r="P491" s="1260">
        <f>IFERROR(Model!P491/Model!L491-1,"NA")</f>
        <v>-2.9585798816568087E-2</v>
      </c>
      <c r="Q491" s="1260">
        <f>IFERROR(Model!Q491/Model!M491-1,"NA")</f>
        <v>-4.7337278106508895E-2</v>
      </c>
      <c r="R491" s="1260">
        <f>IFERROR(Model!R491/Model!N491-1,"NA")</f>
        <v>-4.705882352941182E-2</v>
      </c>
      <c r="S491" s="1260">
        <f>IFERROR(Model!S491/Model!O491-1,"NA")</f>
        <v>1.1695906432748648E-2</v>
      </c>
      <c r="T491" s="1260">
        <f>IFERROR(Model!T491/Model!P491-1,"NA")</f>
        <v>1.2195121951219523E-2</v>
      </c>
      <c r="U491" s="1260">
        <f>IFERROR(Model!U491/Model!Q491-1,"NA")</f>
        <v>-0.10559006211180122</v>
      </c>
      <c r="V491" s="1260">
        <f>IFERROR(Model!V491/Model!R491-1,"NA")</f>
        <v>0</v>
      </c>
      <c r="W491" s="1260">
        <f>IFERROR(Model!W491/Model!S491-1,"NA")</f>
        <v>-2.3121387283236983E-2</v>
      </c>
      <c r="X491" s="1260">
        <f>IFERROR(Model!X491/Model!T491-1,"NA")</f>
        <v>0.13855421686746983</v>
      </c>
      <c r="Y491" s="1260">
        <f>IFERROR(Model!Y491/Model!U491-1,"NA")</f>
        <v>0.22916666666666674</v>
      </c>
      <c r="Z491" s="1260">
        <f>IFERROR(Model!Z491/Model!V491-1,"NA")</f>
        <v>8.6419753086419693E-2</v>
      </c>
      <c r="AA491" s="1260">
        <f>IFERROR(Model!AA491/Model!W491-1,"NA")</f>
        <v>2.9585798816567976E-2</v>
      </c>
      <c r="AB491" s="1260">
        <f>IFERROR(Model!AB491/Model!X491-1,"NA")</f>
        <v>-0.49206349206349209</v>
      </c>
      <c r="AC491" s="1381">
        <f>IFERROR(Model!AC491/Model!Y491-1,"NA")</f>
        <v>-0.46424304620385415</v>
      </c>
      <c r="AD491" s="1381">
        <f>IFERROR(Model!AD491/Model!Z491-1,"NA")</f>
        <v>-0.4471072534246574</v>
      </c>
      <c r="AE491" s="1381">
        <f>IFERROR(Model!AE491/Model!AA491-1,"NA")</f>
        <v>-0.43236344684931505</v>
      </c>
      <c r="AF491" s="1381">
        <f>IFERROR(Model!AF491/Model!AB491-1,"NA")</f>
        <v>2.6604641166952048E-2</v>
      </c>
      <c r="AG491" s="1381">
        <f>IFERROR(Model!AG491/Model!AC491-1,"NA")</f>
        <v>7.1846089999999752E-2</v>
      </c>
      <c r="AH491" s="1381">
        <f>IFERROR(Model!AH491/Model!AD491-1,"NA")</f>
        <v>8.2406149999999734E-2</v>
      </c>
      <c r="AI491" s="1381">
        <f>IFERROR(Model!AI491/Model!AE491-1,"NA")</f>
        <v>9.3070249999999799E-2</v>
      </c>
      <c r="AJ491" s="1381"/>
      <c r="AK491" s="1381"/>
      <c r="AL491" s="1381"/>
      <c r="AM491" s="1381"/>
      <c r="AN491" s="1381"/>
      <c r="AO491" s="1381"/>
      <c r="AP491" s="1381"/>
      <c r="AQ491" s="1381"/>
      <c r="AR491" s="1236"/>
      <c r="AS491" s="1248"/>
      <c r="AT491" s="1284"/>
      <c r="AU491" s="1236"/>
      <c r="AV491" s="1236">
        <f>IFERROR(Model!AV491/Model!AU491-1,"NA")</f>
        <v>-9.9893730074388953E-2</v>
      </c>
      <c r="AW491" s="1236">
        <f>IFERROR(Model!AW491/Model!AV491-1,"NA")</f>
        <v>-0.19834710743801653</v>
      </c>
      <c r="AX491" s="1236">
        <f>IFERROR(Model!AX491/Model!AW491-1,"NA")</f>
        <v>-2.7982326951399128E-2</v>
      </c>
      <c r="AY491" s="1236">
        <f>IFERROR(Model!AY491/Model!AX491-1,"NA")</f>
        <v>-2.8787878787878807E-2</v>
      </c>
      <c r="AZ491" s="1236">
        <f>IFERROR(Model!AZ491/Model!AY491-1,"NA")</f>
        <v>0.11700468018720755</v>
      </c>
      <c r="BA491" s="1236">
        <f>IFERROR(Model!BA491/Model!AZ491-1,"NA")</f>
        <v>-0.4596272842634116</v>
      </c>
      <c r="BB491" s="1381">
        <f>IFERROR(Model!BB491/Model!BA491-1,"NA")</f>
        <v>6.8694672830085457E-2</v>
      </c>
      <c r="BC491" s="1381">
        <f>IFERROR(Model!BC491/Model!BB491-1,"NA")</f>
        <v>0.16701660160746545</v>
      </c>
      <c r="BD491" s="1381">
        <f>IFERROR(Model!BD491/Model!BC491-1,"NA")</f>
        <v>6.999999999999984E-2</v>
      </c>
      <c r="BE491" s="1381">
        <f>IFERROR(Model!BE491/Model!BD491-1,"NA")</f>
        <v>6.0000000000000053E-2</v>
      </c>
    </row>
    <row r="492" spans="1:57" s="382" customFormat="1" ht="12" thickBot="1" x14ac:dyDescent="0.25">
      <c r="A492" s="411"/>
      <c r="B492" s="321" t="s">
        <v>652</v>
      </c>
      <c r="C492" s="321"/>
      <c r="D492" s="1296"/>
      <c r="E492" s="1296"/>
      <c r="F492" s="1296"/>
      <c r="G492" s="1296"/>
      <c r="H492" s="1296">
        <f>IFERROR(Model!H492/Model!D492-1,"NA")</f>
        <v>3.9831206257719298E-2</v>
      </c>
      <c r="I492" s="1296">
        <f>IFERROR(Model!I492/Model!E492-1,"NA")</f>
        <v>0.12780323125150717</v>
      </c>
      <c r="J492" s="1296">
        <f>IFERROR(Model!J492/Model!F492-1,"NA")</f>
        <v>-7.5924192793635936E-2</v>
      </c>
      <c r="K492" s="1296">
        <f>IFERROR(Model!K492/Model!G492-1,"NA")</f>
        <v>-4.1984239762304587E-2</v>
      </c>
      <c r="L492" s="1296">
        <f>IFERROR(Model!L492/Model!H492-1,"NA")</f>
        <v>-6.5426111056121949E-2</v>
      </c>
      <c r="M492" s="1296">
        <f>IFERROR(Model!M492/Model!I492-1,"NA")</f>
        <v>-7.2909985033140945E-2</v>
      </c>
      <c r="N492" s="1296">
        <f>IFERROR(Model!N492/Model!J492-1,"NA")</f>
        <v>0.12520572224332205</v>
      </c>
      <c r="O492" s="1296">
        <f>IFERROR(Model!O492/Model!K492-1,"NA")</f>
        <v>-4.5846817691478359E-3</v>
      </c>
      <c r="P492" s="1296">
        <f>IFERROR(Model!P492/Model!L492-1,"NA")</f>
        <v>-2.6159711925439533E-2</v>
      </c>
      <c r="Q492" s="1296">
        <f>IFERROR(Model!Q492/Model!M492-1,"NA")</f>
        <v>-5.1891143911438897E-3</v>
      </c>
      <c r="R492" s="1296">
        <f>IFERROR(Model!R492/Model!N492-1,"NA")</f>
        <v>-5.2430243024302436E-2</v>
      </c>
      <c r="S492" s="1296">
        <f>IFERROR(Model!S492/Model!O492-1,"NA")</f>
        <v>1.3140070441614693E-2</v>
      </c>
      <c r="T492" s="1296">
        <f>IFERROR(Model!T492/Model!P492-1,"NA")</f>
        <v>-0.12332789559543234</v>
      </c>
      <c r="U492" s="1296">
        <f>IFERROR(Model!U492/Model!Q492-1,"NA")</f>
        <v>2.387852092268461E-2</v>
      </c>
      <c r="V492" s="1296">
        <f>IFERROR(Model!V492/Model!R492-1,"NA")</f>
        <v>2.3628591783424469E-2</v>
      </c>
      <c r="W492" s="1296">
        <f>IFERROR(Model!W492/Model!S492-1,"NA")</f>
        <v>0.1168605428533227</v>
      </c>
      <c r="X492" s="1296">
        <f>IFERROR(Model!X492/Model!T492-1,"NA")</f>
        <v>0.17950626473142295</v>
      </c>
      <c r="Y492" s="1296">
        <f>IFERROR(Model!Y492/Model!U492-1,"NA")</f>
        <v>8.6607041775161431E-2</v>
      </c>
      <c r="Z492" s="1296">
        <f>IFERROR(Model!Z492/Model!V492-1,"NA")</f>
        <v>0.11425588678807563</v>
      </c>
      <c r="AA492" s="1296">
        <f>IFERROR(Model!AA492/Model!W492-1,"NA")</f>
        <v>1.4964683347300278E-2</v>
      </c>
      <c r="AB492" s="1296">
        <f>IFERROR(Model!AB492/Model!X492-1,"NA")</f>
        <v>4.5856121161127472E-2</v>
      </c>
      <c r="AC492" s="1296">
        <f>IFERROR(Model!AC492/Model!Y492-1,"NA")</f>
        <v>6.8709595999486561E-2</v>
      </c>
      <c r="AD492" s="1296">
        <f>IFERROR(Model!AD492/Model!Z492-1,"NA")</f>
        <v>4.4780864741785553E-2</v>
      </c>
      <c r="AE492" s="1296">
        <f>IFERROR(Model!AE492/Model!AA492-1,"NA")</f>
        <v>0.11622982580828634</v>
      </c>
      <c r="AF492" s="1296">
        <f>IFERROR(Model!AF492/Model!AB492-1,"NA")</f>
        <v>0.11215512892405854</v>
      </c>
      <c r="AG492" s="1296">
        <f>IFERROR(Model!AG492/Model!AC492-1,"NA")</f>
        <v>8.0619741613117801E-2</v>
      </c>
      <c r="AH492" s="1296">
        <f>IFERROR(Model!AH492/Model!AD492-1,"NA")</f>
        <v>7.4636064188866369E-2</v>
      </c>
      <c r="AI492" s="1296">
        <f>IFERROR(Model!AI492/Model!AE492-1,"NA")</f>
        <v>7.0573443745237885E-2</v>
      </c>
      <c r="AJ492" s="1258"/>
      <c r="AK492" s="1258"/>
      <c r="AL492" s="1258"/>
      <c r="AM492" s="1258"/>
      <c r="AN492" s="1258"/>
      <c r="AO492" s="1258"/>
      <c r="AP492" s="1258"/>
      <c r="AQ492" s="1258"/>
      <c r="AR492" s="1236"/>
      <c r="AS492" s="1284"/>
      <c r="AT492" s="1284"/>
      <c r="AU492" s="1296"/>
      <c r="AV492" s="1296">
        <f>IFERROR(Model!AV492/Model!AU492-1,"NA")</f>
        <v>1.3790489518644922E-2</v>
      </c>
      <c r="AW492" s="1296">
        <f>IFERROR(Model!AW492/Model!AV492-1,"NA")</f>
        <v>-1.1158403313010434E-2</v>
      </c>
      <c r="AX492" s="1296">
        <f>IFERROR(Model!AX492/Model!AW492-1,"NA")</f>
        <v>-1.9224057701256347E-2</v>
      </c>
      <c r="AY492" s="1296">
        <f>IFERROR(Model!AY492/Model!AX492-1,"NA")</f>
        <v>4.2997360851644295E-3</v>
      </c>
      <c r="AZ492" s="1296">
        <f>IFERROR(Model!AZ492/Model!AY492-1,"NA")</f>
        <v>9.8086689500413327E-2</v>
      </c>
      <c r="BA492" s="1296">
        <f>IFERROR(Model!BA492/Model!AZ492-1,"NA")</f>
        <v>6.7519122138083087E-2</v>
      </c>
      <c r="BB492" s="1296">
        <f>IFERROR(Model!BB492/Model!BA492-1,"NA")</f>
        <v>8.4611139148533354E-2</v>
      </c>
      <c r="BC492" s="1296">
        <f>IFERROR(Model!BC492/Model!BB492-1,"NA")</f>
        <v>6.9174453108236778E-2</v>
      </c>
      <c r="BD492" s="1296">
        <f>IFERROR(Model!BD492/Model!BC492-1,"NA")</f>
        <v>6.1668746428804599E-2</v>
      </c>
      <c r="BE492" s="1296">
        <f>IFERROR(Model!BE492/Model!BD492-1,"NA")</f>
        <v>5.9070132379567708E-2</v>
      </c>
    </row>
    <row r="493" spans="1:57" s="369" customFormat="1" ht="12" thickTop="1" x14ac:dyDescent="0.2">
      <c r="A493" s="411"/>
      <c r="B493" s="450"/>
      <c r="C493" s="450"/>
      <c r="D493" s="1259"/>
      <c r="E493" s="1259"/>
      <c r="F493" s="1259"/>
      <c r="G493" s="1259"/>
      <c r="H493" s="1259"/>
      <c r="I493" s="1259"/>
      <c r="J493" s="1259"/>
      <c r="K493" s="1259"/>
      <c r="L493" s="1259"/>
      <c r="M493" s="1259"/>
      <c r="N493" s="1259"/>
      <c r="O493" s="1259"/>
      <c r="P493" s="1259"/>
      <c r="Q493" s="1259"/>
      <c r="R493" s="1259"/>
      <c r="S493" s="1259"/>
      <c r="T493" s="1259"/>
      <c r="U493" s="1259"/>
      <c r="V493" s="1259"/>
      <c r="W493" s="1259"/>
      <c r="X493" s="1259"/>
      <c r="Y493" s="1259"/>
      <c r="Z493" s="1259"/>
      <c r="AA493" s="1259"/>
      <c r="AB493" s="1259"/>
      <c r="AC493" s="1263"/>
      <c r="AD493" s="1259"/>
      <c r="AE493" s="1259"/>
      <c r="AF493" s="1259"/>
      <c r="AG493" s="1259"/>
      <c r="AH493" s="1259"/>
      <c r="AI493" s="1263"/>
      <c r="AJ493" s="1263"/>
      <c r="AK493" s="1263"/>
      <c r="AL493" s="1263"/>
      <c r="AM493" s="1263"/>
      <c r="AN493" s="1263"/>
      <c r="AO493" s="1263"/>
      <c r="AP493" s="1263"/>
      <c r="AQ493" s="1263"/>
      <c r="AR493" s="1236"/>
      <c r="AS493" s="1413"/>
      <c r="AT493" s="1413"/>
      <c r="AU493" s="1291"/>
      <c r="AV493" s="1263"/>
      <c r="AW493" s="1259"/>
      <c r="AX493" s="1291"/>
      <c r="AY493" s="1259"/>
      <c r="AZ493" s="1263"/>
      <c r="BA493" s="1263"/>
      <c r="BB493" s="1259"/>
      <c r="BC493" s="1259"/>
      <c r="BD493" s="1259"/>
      <c r="BE493" s="1259"/>
    </row>
    <row r="494" spans="1:57" x14ac:dyDescent="0.2">
      <c r="B494" s="322" t="s">
        <v>240</v>
      </c>
      <c r="C494" s="387"/>
      <c r="D494" s="1252"/>
      <c r="E494" s="1252"/>
      <c r="F494" s="1252"/>
      <c r="G494" s="1252"/>
      <c r="H494" s="1252">
        <f>IFERROR(Model!H494/Model!D494-1,"NA")</f>
        <v>-3.1158714703018453E-2</v>
      </c>
      <c r="I494" s="1252">
        <f>IFERROR(Model!I494/Model!E494-1,"NA")</f>
        <v>-1.7599999999999949E-2</v>
      </c>
      <c r="J494" s="1252">
        <f>IFERROR(Model!J494/Model!F494-1,"NA")</f>
        <v>-1.9463224749026842E-2</v>
      </c>
      <c r="K494" s="1297">
        <f>IFERROR(Model!K494/Model!G494-1,"NA")</f>
        <v>-1.9969570178775209E-2</v>
      </c>
      <c r="L494" s="1252">
        <f>IFERROR(Model!L494/Model!H494-1,"NA")</f>
        <v>-1.7688442211055255E-2</v>
      </c>
      <c r="M494" s="1252">
        <f>IFERROR(Model!M494/Model!I494-1,"NA")</f>
        <v>-2.9112377850162852E-2</v>
      </c>
      <c r="N494" s="1252">
        <f>IFERROR(Model!N494/Model!J494-1,"NA")</f>
        <v>3.1759297952361099E-2</v>
      </c>
      <c r="O494" s="1297">
        <f>IFERROR(Model!O494/Model!K494-1,"NA")</f>
        <v>-4.7933242771201257E-2</v>
      </c>
      <c r="P494" s="1252">
        <f>IFERROR(Model!P494/Model!L494-1,"NA")</f>
        <v>-4.7677511765909508E-2</v>
      </c>
      <c r="Q494" s="1252">
        <f>IFERROR(Model!Q494/Model!M494-1,"NA")</f>
        <v>1.63556301111345E-2</v>
      </c>
      <c r="R494" s="1252">
        <f>IFERROR(Model!R494/Model!N494-1,"NA")</f>
        <v>-4.4552450384771181E-2</v>
      </c>
      <c r="S494" s="1297">
        <f>IFERROR(Model!S494/Model!O494-1,"NA")</f>
        <v>-7.7456176110884956E-3</v>
      </c>
      <c r="T494" s="1252">
        <f>IFERROR(Model!T494/Model!P494-1,"NA")</f>
        <v>4.6841426729694824E-2</v>
      </c>
      <c r="U494" s="1252">
        <f>IFERROR(Model!U494/Model!Q494-1,"NA")</f>
        <v>-1.7330307406643319E-2</v>
      </c>
      <c r="V494" s="1252">
        <f>IFERROR(Model!V494/Model!R494-1,"NA")</f>
        <v>-6.570580754556965E-3</v>
      </c>
      <c r="W494" s="1297">
        <f>IFERROR(Model!W494/Model!S494-1,"NA")</f>
        <v>-4.8069022185702526E-2</v>
      </c>
      <c r="X494" s="1297">
        <f>IFERROR(Model!X494/Model!T494-1,"NA")</f>
        <v>5.4597701149425193E-2</v>
      </c>
      <c r="Y494" s="1297">
        <f>IFERROR(Model!Y494/Model!U494-1,"NA")</f>
        <v>9.741759395339078E-2</v>
      </c>
      <c r="Z494" s="1297">
        <f>IFERROR(Model!Z494/Model!V494-1,"NA")</f>
        <v>9.622359718369955E-2</v>
      </c>
      <c r="AA494" s="1297">
        <f>IFERROR(Model!AA494/Model!W494-1,"NA")</f>
        <v>5.9991368148467838E-2</v>
      </c>
      <c r="AB494" s="1297">
        <f>IFERROR(Model!AB494/Model!X494-1,"NA")</f>
        <v>7.1039314908524664E-2</v>
      </c>
      <c r="AC494" s="1381">
        <f>IFERROR(Model!AC494/Model!Y494-1,"NA")</f>
        <v>8.878546089256667E-2</v>
      </c>
      <c r="AD494" s="1381">
        <f>IFERROR(Model!AD494/Model!Z494-1,"NA")</f>
        <v>6.3910222814671735E-2</v>
      </c>
      <c r="AE494" s="1381">
        <f>IFERROR(Model!AE494/Model!AA494-1,"NA")</f>
        <v>2.9498973858997024E-2</v>
      </c>
      <c r="AF494" s="1381">
        <f>IFERROR(Model!AF494/Model!AB494-1,"NA")</f>
        <v>8.5515268630838026E-2</v>
      </c>
      <c r="AG494" s="1381">
        <f>IFERROR(Model!AG494/Model!AC494-1,"NA")</f>
        <v>3.2456002131408868E-2</v>
      </c>
      <c r="AH494" s="1381">
        <f>IFERROR(Model!AH494/Model!AD494-1,"NA")</f>
        <v>4.5253807491401288E-2</v>
      </c>
      <c r="AI494" s="1381">
        <f>IFERROR(Model!AI494/Model!AE494-1,"NA")</f>
        <v>5.0515129670653636E-2</v>
      </c>
      <c r="AJ494" s="1381"/>
      <c r="AK494" s="1381"/>
      <c r="AL494" s="1381"/>
      <c r="AM494" s="1381"/>
      <c r="AN494" s="1381"/>
      <c r="AO494" s="1381"/>
      <c r="AP494" s="1381"/>
      <c r="AQ494" s="1381"/>
      <c r="AR494" s="1236"/>
      <c r="AS494" s="1248"/>
      <c r="AT494" s="1248"/>
      <c r="AU494" s="1236"/>
      <c r="AV494" s="1236">
        <f>IFERROR(Model!AV494/Model!AU494-1,"NA")</f>
        <v>-2.2097267436125057E-2</v>
      </c>
      <c r="AW494" s="1236">
        <f>IFERROR(Model!AW494/Model!AV494-1,"NA")</f>
        <v>-1.6443054574800775E-2</v>
      </c>
      <c r="AX494" s="1236">
        <f>IFERROR(Model!AX494/Model!AW494-1,"NA")</f>
        <v>-2.1179487179487144E-2</v>
      </c>
      <c r="AY494" s="1236">
        <f>IFERROR(Model!AY494/Model!AX494-1,"NA")</f>
        <v>-6.8633101063551027E-3</v>
      </c>
      <c r="AZ494" s="1236">
        <f>IFERROR(Model!AZ494/Model!AY494-1,"NA")</f>
        <v>7.6967714707744328E-2</v>
      </c>
      <c r="BA494" s="1236">
        <f>IFERROR(Model!BA494/Model!AZ494-1,"NA")</f>
        <v>6.379384219949169E-2</v>
      </c>
      <c r="BB494" s="1381">
        <f>IFERROR(Model!BB494/Model!BA494-1,"NA")</f>
        <v>5.3327141956483137E-2</v>
      </c>
      <c r="BC494" s="1381">
        <f>IFERROR(Model!BC494/Model!BB494-1,"NA")</f>
        <v>4.5532842613288382E-2</v>
      </c>
      <c r="BD494" s="1381">
        <f>IFERROR(Model!BD494/Model!BC494-1,"NA")</f>
        <v>5.14702091575443E-2</v>
      </c>
      <c r="BE494" s="1381">
        <f>IFERROR(Model!BE494/Model!BD494-1,"NA")</f>
        <v>4.8876933663387634E-2</v>
      </c>
    </row>
    <row r="495" spans="1:57" x14ac:dyDescent="0.2">
      <c r="B495" s="322"/>
      <c r="C495" s="387"/>
      <c r="D495" s="1252"/>
      <c r="E495" s="1252"/>
      <c r="F495" s="1252"/>
      <c r="G495" s="1252"/>
      <c r="H495" s="1252"/>
      <c r="I495" s="1252"/>
      <c r="J495" s="1252"/>
      <c r="K495" s="1297"/>
      <c r="L495" s="1252"/>
      <c r="M495" s="1252"/>
      <c r="N495" s="1252"/>
      <c r="O495" s="1297"/>
      <c r="P495" s="1252"/>
      <c r="Q495" s="1252"/>
      <c r="R495" s="1252"/>
      <c r="S495" s="1297"/>
      <c r="T495" s="1252"/>
      <c r="U495" s="1252"/>
      <c r="V495" s="1252"/>
      <c r="W495" s="1297"/>
      <c r="X495" s="1297"/>
      <c r="Y495" s="1297"/>
      <c r="Z495" s="1297"/>
      <c r="AA495" s="1297"/>
      <c r="AB495" s="1297"/>
      <c r="AC495" s="1250"/>
      <c r="AD495" s="1250"/>
      <c r="AE495" s="1250"/>
      <c r="AF495" s="1250"/>
      <c r="AG495" s="1250"/>
      <c r="AH495" s="1250"/>
      <c r="AI495" s="1250"/>
      <c r="AJ495" s="1250"/>
      <c r="AK495" s="1250"/>
      <c r="AL495" s="1250"/>
      <c r="AM495" s="1250"/>
      <c r="AN495" s="1250"/>
      <c r="AO495" s="1250"/>
      <c r="AP495" s="1250"/>
      <c r="AQ495" s="1250"/>
      <c r="AR495" s="1236"/>
      <c r="AS495" s="1248"/>
      <c r="AT495" s="1248"/>
      <c r="AU495" s="1236"/>
      <c r="AV495" s="1236"/>
      <c r="AW495" s="1236"/>
      <c r="AX495" s="1236"/>
      <c r="AY495" s="1236"/>
      <c r="AZ495" s="1236"/>
      <c r="BA495" s="1236"/>
      <c r="BB495" s="1250"/>
      <c r="BC495" s="1250"/>
      <c r="BD495" s="1250"/>
      <c r="BE495" s="1250"/>
    </row>
    <row r="496" spans="1:57" x14ac:dyDescent="0.2">
      <c r="B496" s="322" t="s">
        <v>252</v>
      </c>
      <c r="C496" s="387"/>
      <c r="D496" s="1252"/>
      <c r="E496" s="1252"/>
      <c r="F496" s="1252"/>
      <c r="G496" s="1252"/>
      <c r="H496" s="1252">
        <f>IFERROR(Model!H496/Model!D496-1,"NA")</f>
        <v>-0.3689320388349514</v>
      </c>
      <c r="I496" s="1252">
        <f>IFERROR(Model!I496/Model!E496-1,"NA")</f>
        <v>-1.2222222222222223</v>
      </c>
      <c r="J496" s="1252">
        <f>IFERROR(Model!J496/Model!F496-1,"NA")</f>
        <v>-6.333333333333333</v>
      </c>
      <c r="K496" s="1252">
        <f>IFERROR(Model!K496/Model!G496-1,"NA")</f>
        <v>-1.9587628865979383</v>
      </c>
      <c r="L496" s="1252">
        <f>IFERROR(Model!L496/Model!H496-1,"NA")</f>
        <v>-0.6</v>
      </c>
      <c r="M496" s="1252">
        <f>IFERROR(Model!M496/Model!I496-1,"NA")</f>
        <v>2.6666666666666665</v>
      </c>
      <c r="N496" s="1252">
        <f>IFERROR(Model!N496/Model!J496-1,"NA")</f>
        <v>-1.2222222222222223</v>
      </c>
      <c r="O496" s="1252">
        <f>IFERROR(Model!O496/Model!K496-1,"NA")</f>
        <v>-2.752688172043011</v>
      </c>
      <c r="P496" s="1252">
        <f>IFERROR(Model!P496/Model!L496-1,"NA")</f>
        <v>2.3076923076923075</v>
      </c>
      <c r="Q496" s="1252">
        <f>IFERROR(Model!Q496/Model!M496-1,"NA")</f>
        <v>-0.20909090909090911</v>
      </c>
      <c r="R496" s="1252">
        <f>IFERROR(Model!R496/Model!N496-1,"NA")</f>
        <v>-10.78125</v>
      </c>
      <c r="S496" s="1252">
        <f>IFERROR(Model!S496/Model!O496-1,"NA")</f>
        <v>2.9877300613496933</v>
      </c>
      <c r="T496" s="1252">
        <f>IFERROR(Model!T496/Model!P496-1,"NA")</f>
        <v>3.5348837209302326</v>
      </c>
      <c r="U496" s="1252">
        <f>IFERROR(Model!U496/Model!Q496-1,"NA")</f>
        <v>-1.9425287356321839</v>
      </c>
      <c r="V496" s="1252">
        <f>IFERROR(Model!V496/Model!R496-1,"NA")</f>
        <v>-1.2875399361022364</v>
      </c>
      <c r="W496" s="1252">
        <f>IFERROR(Model!W496/Model!S496-1,"NA")</f>
        <v>-0.84</v>
      </c>
      <c r="X496" s="1252">
        <f>IFERROR(Model!X496/Model!T496-1,"NA")</f>
        <v>-1.5256410256410255</v>
      </c>
      <c r="Y496" s="1252">
        <f>IFERROR(Model!Y496/Model!U496-1,"NA")</f>
        <v>6.0975609756097615E-2</v>
      </c>
      <c r="Z496" s="1252">
        <f>IFERROR(Model!Z496/Model!V496-1,"NA")</f>
        <v>0.82222222222222219</v>
      </c>
      <c r="AA496" s="1252">
        <f>IFERROR(Model!AA496/Model!W496-1,"NA")</f>
        <v>1.5673076923076925</v>
      </c>
      <c r="AB496" s="1252">
        <f>IFERROR(Model!AB496/Model!X496-1,"NA")</f>
        <v>-0.8</v>
      </c>
      <c r="AC496" s="1250">
        <f>IFERROR(Model!AC496/Model!Y496-1,"NA")</f>
        <v>0.98179688238072793</v>
      </c>
      <c r="AD496" s="1250">
        <f>IFERROR(Model!AD496/Model!Z496-1,"NA")</f>
        <v>-2.1866966267958574</v>
      </c>
      <c r="AE496" s="1250">
        <f>IFERROR(Model!AE496/Model!AA496-1,"NA")</f>
        <v>-0.15927170370940436</v>
      </c>
      <c r="AF496" s="1250">
        <f>IFERROR(Model!AF496/Model!AB496-1,"NA")</f>
        <v>-6.9001313301657197</v>
      </c>
      <c r="AG496" s="1250">
        <f>IFERROR(Model!AG496/Model!AC496-1,"NA")</f>
        <v>0.55417683049999922</v>
      </c>
      <c r="AH496" s="1250">
        <f>IFERROR(Model!AH496/Model!AD496-1,"NA")</f>
        <v>0.52520866590909066</v>
      </c>
      <c r="AI496" s="1250">
        <f>IFERROR(Model!AI496/Model!AE496-1,"NA")</f>
        <v>0.44285272999999958</v>
      </c>
      <c r="AJ496" s="1250"/>
      <c r="AK496" s="1250"/>
      <c r="AL496" s="1250"/>
      <c r="AM496" s="1250"/>
      <c r="AN496" s="1250"/>
      <c r="AO496" s="1250"/>
      <c r="AP496" s="1250"/>
      <c r="AQ496" s="1250"/>
      <c r="AR496" s="1236"/>
      <c r="AS496" s="1248"/>
      <c r="AT496" s="1248"/>
      <c r="AU496" s="1236"/>
      <c r="AV496" s="1236">
        <f>IFERROR(Model!AV496/Model!AU496-1,"NA")</f>
        <v>-0.72077922077922074</v>
      </c>
      <c r="AW496" s="1236">
        <f>IFERROR(Model!AW496/Model!AV496-1,"NA")</f>
        <v>-0.45348837209302328</v>
      </c>
      <c r="AX496" s="1236">
        <f>IFERROR(Model!AX496/Model!AW496-1,"NA")</f>
        <v>19.468085106382979</v>
      </c>
      <c r="AY496" s="1236">
        <f>IFERROR(Model!AY496/Model!AX496-1,"NA")</f>
        <v>-0.49480249480249483</v>
      </c>
      <c r="AZ496" s="1236">
        <f>IFERROR(Model!AZ496/Model!AY496-1,"NA")</f>
        <v>-1.0308641975308641</v>
      </c>
      <c r="BA496" s="1236">
        <f>IFERROR(Model!BA496/Model!AZ496-1,"NA")</f>
        <v>-37.700602044748862</v>
      </c>
      <c r="BB496" s="1250">
        <f>IFERROR(Model!BB496/Model!BA496-1,"NA")</f>
        <v>1.0537135666115738</v>
      </c>
      <c r="BC496" s="1250">
        <f>IFERROR(Model!BC496/Model!BB496-1,"NA")</f>
        <v>0.24485736312939155</v>
      </c>
      <c r="BD496" s="1250">
        <f>IFERROR(Model!BD496/Model!BC496-1,"NA")</f>
        <v>0.22285714285714286</v>
      </c>
      <c r="BE496" s="1250">
        <f>IFERROR(Model!BE496/Model!BD496-1,"NA")</f>
        <v>0.32499999999999996</v>
      </c>
    </row>
    <row r="497" spans="1:57" x14ac:dyDescent="0.2">
      <c r="B497" s="322"/>
      <c r="C497" s="434" t="s">
        <v>224</v>
      </c>
      <c r="D497" s="1252"/>
      <c r="E497" s="1252"/>
      <c r="F497" s="1252"/>
      <c r="G497" s="1252"/>
      <c r="H497" s="1252">
        <f>IFERROR(Model!H497/Model!D497-1,"NA")</f>
        <v>-1.7592592592592593</v>
      </c>
      <c r="I497" s="1252">
        <f>IFERROR(Model!I497/Model!E497-1,"NA")</f>
        <v>-0.5625</v>
      </c>
      <c r="J497" s="1252">
        <f>IFERROR(Model!J497/Model!F497-1,"NA")</f>
        <v>-0.5273972602739726</v>
      </c>
      <c r="K497" s="1252">
        <f>IFERROR(Model!K497/Model!G497-1,"NA")</f>
        <v>-0.64556962025316456</v>
      </c>
      <c r="L497" s="1252">
        <f>IFERROR(Model!L497/Model!H497-1,"NA")</f>
        <v>2.2195121951219514</v>
      </c>
      <c r="M497" s="1252">
        <f>IFERROR(Model!M497/Model!I497-1,"NA")</f>
        <v>-0.8392857142857143</v>
      </c>
      <c r="N497" s="1252">
        <f>IFERROR(Model!N497/Model!J497-1,"NA")</f>
        <v>-0.76811594202898548</v>
      </c>
      <c r="O497" s="1252">
        <f>IFERROR(Model!O497/Model!K497-1,"NA")</f>
        <v>3.2142857142857144</v>
      </c>
      <c r="P497" s="1252">
        <f>IFERROR(Model!P497/Model!L497-1,"NA")</f>
        <v>-1.0075757575757576</v>
      </c>
      <c r="Q497" s="1252">
        <f>IFERROR(Model!Q497/Model!M497-1,"NA")</f>
        <v>8.1111111111111107</v>
      </c>
      <c r="R497" s="1252">
        <f>IFERROR(Model!R497/Model!N497-1,"NA")</f>
        <v>1.3125</v>
      </c>
      <c r="S497" s="1252">
        <f>IFERROR(Model!S497/Model!O497-1,"NA")</f>
        <v>-0.18644067796610164</v>
      </c>
      <c r="T497" s="1252">
        <f>IFERROR(Model!T497/Model!P497-1,"NA")</f>
        <v>-212</v>
      </c>
      <c r="U497" s="1252">
        <f>IFERROR(Model!U497/Model!Q497-1,"NA")</f>
        <v>0.71951219512195119</v>
      </c>
      <c r="V497" s="1252">
        <f>IFERROR(Model!V497/Model!R497-1,"NA")</f>
        <v>0.21621621621621623</v>
      </c>
      <c r="W497" s="1252">
        <f>IFERROR(Model!W497/Model!S497-1,"NA")</f>
        <v>0.23958333333333326</v>
      </c>
      <c r="X497" s="1252">
        <f>IFERROR(Model!X497/Model!T497-1,"NA")</f>
        <v>-0.88151658767772512</v>
      </c>
      <c r="Y497" s="1252">
        <f>IFERROR(Model!Y497/Model!U497-1,"NA")</f>
        <v>-0.49645390070921991</v>
      </c>
      <c r="Z497" s="1252">
        <f>IFERROR(Model!Z497/Model!V497-1,"NA")</f>
        <v>-2.2222222222222254E-2</v>
      </c>
      <c r="AA497" s="1252">
        <f>IFERROR(Model!AA497/Model!W497-1,"NA")</f>
        <v>0.89075630252100835</v>
      </c>
      <c r="AB497" s="1252">
        <f>IFERROR(Model!AB497/Model!X497-1,"NA")</f>
        <v>3.2</v>
      </c>
      <c r="AC497" s="1250">
        <f>IFERROR(Model!AC497/Model!Y497-1,"NA")</f>
        <v>1.428398996720047</v>
      </c>
      <c r="AD497" s="1250">
        <f>IFERROR(Model!AD497/Model!Z497-1,"NA")</f>
        <v>3.4231419726027408</v>
      </c>
      <c r="AE497" s="1250">
        <f>IFERROR(Model!AE497/Model!AA497-1,"NA")</f>
        <v>-2.3357550684931505E-3</v>
      </c>
      <c r="AF497" s="1250">
        <f>IFERROR(Model!AF497/Model!AB497-1,"NA")</f>
        <v>1.3038608051123286</v>
      </c>
      <c r="AG497" s="1250">
        <f>IFERROR(Model!AG497/Model!AC497-1,"NA")</f>
        <v>0.55417683049999922</v>
      </c>
      <c r="AH497" s="1250">
        <f>IFERROR(Model!AH497/Model!AD497-1,"NA")</f>
        <v>0.52520866590909066</v>
      </c>
      <c r="AI497" s="1250">
        <f>IFERROR(Model!AI497/Model!AE497-1,"NA")</f>
        <v>0.44285272999999958</v>
      </c>
      <c r="AJ497" s="1250"/>
      <c r="AK497" s="1250"/>
      <c r="AL497" s="1250"/>
      <c r="AM497" s="1250"/>
      <c r="AN497" s="1250"/>
      <c r="AO497" s="1250"/>
      <c r="AP497" s="1250"/>
      <c r="AQ497" s="1250"/>
      <c r="AR497" s="1236"/>
      <c r="AS497" s="1248"/>
      <c r="AT497" s="1248"/>
      <c r="AU497" s="1236"/>
      <c r="AV497" s="1236">
        <f>IFERROR(Model!AV497/Model!AU497-1,"NA")</f>
        <v>-0.3511705685618729</v>
      </c>
      <c r="AW497" s="1236">
        <f>IFERROR(Model!AW497/Model!AV497-1,"NA")</f>
        <v>0.41752577319587636</v>
      </c>
      <c r="AX497" s="1236">
        <f>IFERROR(Model!AX497/Model!AW497-1,"NA")</f>
        <v>-0.2218181818181818</v>
      </c>
      <c r="AY497" s="1236">
        <f>IFERROR(Model!AY497/Model!AX497-1,"NA")</f>
        <v>1.4112149532710281</v>
      </c>
      <c r="AZ497" s="1236">
        <f>IFERROR(Model!AZ497/Model!AY497-1,"NA")</f>
        <v>-0.29263565891472865</v>
      </c>
      <c r="BA497" s="1236">
        <f>IFERROR(Model!BA497/Model!AZ497-1,"NA")</f>
        <v>0.90824391964721363</v>
      </c>
      <c r="BB497" s="1250">
        <f>IFERROR(Model!BB497/Model!BA497-1,"NA")</f>
        <v>0.62322068350232129</v>
      </c>
      <c r="BC497" s="1250">
        <f>IFERROR(Model!BC497/Model!BB497-1,"NA")</f>
        <v>0.24485736312939155</v>
      </c>
      <c r="BD497" s="1250">
        <f>IFERROR(Model!BD497/Model!BC497-1,"NA")</f>
        <v>0.22285714285714286</v>
      </c>
      <c r="BE497" s="1250">
        <f>IFERROR(Model!BE497/Model!BD497-1,"NA")</f>
        <v>0.32499999999999996</v>
      </c>
    </row>
    <row r="498" spans="1:57" x14ac:dyDescent="0.2">
      <c r="B498" s="322"/>
      <c r="C498" s="434" t="s">
        <v>253</v>
      </c>
      <c r="D498" s="1279"/>
      <c r="E498" s="1279"/>
      <c r="F498" s="1279"/>
      <c r="G498" s="1279"/>
      <c r="H498" s="1279">
        <f>IFERROR(Model!H498/Model!D498-1,"NA")</f>
        <v>-0.84713375796178347</v>
      </c>
      <c r="I498" s="1279">
        <f>IFERROR(Model!I498/Model!E498-1,"NA")</f>
        <v>-13.285714285714286</v>
      </c>
      <c r="J498" s="1279">
        <f>IFERROR(Model!J498/Model!F498-1,"NA")</f>
        <v>-1.4335260115606936</v>
      </c>
      <c r="K498" s="1279">
        <f>IFERROR(Model!K498/Model!G498-1,"NA")</f>
        <v>-7.7222222222222223</v>
      </c>
      <c r="L498" s="1279">
        <f>IFERROR(Model!L498/Model!H498-1,"NA")</f>
        <v>-5.416666666666667</v>
      </c>
      <c r="M498" s="1279">
        <f>IFERROR(Model!M498/Model!I498-1,"NA")</f>
        <v>0.38372093023255816</v>
      </c>
      <c r="N498" s="1279">
        <f>IFERROR(Model!N498/Model!J498-1,"NA")</f>
        <v>-1.6400000000000001</v>
      </c>
      <c r="O498" s="1279">
        <f>IFERROR(Model!O498/Model!K498-1,"NA")</f>
        <v>-1.3719008264462809</v>
      </c>
      <c r="P498" s="1279">
        <f>IFERROR(Model!P498/Model!L498-1,"NA")</f>
        <v>-1.8207547169811322</v>
      </c>
      <c r="Q498" s="1279">
        <f>IFERROR(Model!Q498/Model!M498-1,"NA")</f>
        <v>0.42016806722689082</v>
      </c>
      <c r="R498" s="1279">
        <f>IFERROR(Model!R498/Model!N498-1,"NA")</f>
        <v>-6.75</v>
      </c>
      <c r="S498" s="1279">
        <f>IFERROR(Model!S498/Model!O498-1,"NA")</f>
        <v>11.311111111111112</v>
      </c>
      <c r="T498" s="1279">
        <f>IFERROR(Model!T498/Model!P498-1,"NA")</f>
        <v>1.0574712643678161</v>
      </c>
      <c r="U498" s="1279">
        <f>IFERROR(Model!U498/Model!Q498-1,"NA")</f>
        <v>-0.65088757396449703</v>
      </c>
      <c r="V498" s="1279">
        <f>IFERROR(Model!V498/Model!R498-1,"NA")</f>
        <v>-1.4891304347826086</v>
      </c>
      <c r="W498" s="1279">
        <f>IFERROR(Model!W498/Model!S498-1,"NA")</f>
        <v>-1.0270758122743682</v>
      </c>
      <c r="X498" s="1279">
        <f>IFERROR(Model!X498/Model!T498-1,"NA")</f>
        <v>-2.2849162011173183</v>
      </c>
      <c r="Y498" s="1279">
        <f>IFERROR(Model!Y498/Model!U498-1,"NA")</f>
        <v>-1.271186440677966</v>
      </c>
      <c r="Z498" s="1279">
        <f>IFERROR(Model!Z498/Model!V498-1,"NA")</f>
        <v>0.54074074074074074</v>
      </c>
      <c r="AA498" s="1279">
        <f>IFERROR(Model!AA498/Model!W498-1,"NA")</f>
        <v>-3.8</v>
      </c>
      <c r="AB498" s="1279">
        <f>IFERROR(Model!AB498/Model!X498-1,"NA")</f>
        <v>-0.36521739130434783</v>
      </c>
      <c r="AC498" s="1279">
        <f>IFERROR(Model!AC498/Model!Y498-1,"NA")</f>
        <v>-1</v>
      </c>
      <c r="AD498" s="1279">
        <f>IFERROR(Model!AD498/Model!Z498-1,"NA")</f>
        <v>-1</v>
      </c>
      <c r="AE498" s="1279">
        <f>IFERROR(Model!AE498/Model!AA498-1,"NA")</f>
        <v>-1</v>
      </c>
      <c r="AF498" s="1279">
        <f>IFERROR(Model!AF498/Model!AB498-1,"NA")</f>
        <v>-1</v>
      </c>
      <c r="AG498" s="1279" t="str">
        <f>IFERROR(Model!AG498/Model!AC498-1,"NA")</f>
        <v>NA</v>
      </c>
      <c r="AH498" s="1279" t="str">
        <f>IFERROR(Model!AH498/Model!AD498-1,"NA")</f>
        <v>NA</v>
      </c>
      <c r="AI498" s="1279" t="str">
        <f>IFERROR(Model!AI498/Model!AE498-1,"NA")</f>
        <v>NA</v>
      </c>
      <c r="AJ498" s="1279"/>
      <c r="AK498" s="1279"/>
      <c r="AL498" s="1279"/>
      <c r="AM498" s="1279"/>
      <c r="AN498" s="1279"/>
      <c r="AO498" s="1279"/>
      <c r="AP498" s="1279"/>
      <c r="AQ498" s="1279"/>
      <c r="AR498" s="1236"/>
      <c r="AS498" s="1248"/>
      <c r="AT498" s="1248"/>
      <c r="AU498" s="1236"/>
      <c r="AV498" s="1236">
        <f>IFERROR(Model!AV498/Model!AU498-1,"NA")</f>
        <v>-13</v>
      </c>
      <c r="AW498" s="1236">
        <f>IFERROR(Model!AW498/Model!AV498-1,"NA")</f>
        <v>1.1111111111111112</v>
      </c>
      <c r="AX498" s="1236">
        <f>IFERROR(Model!AX498/Model!AW498-1,"NA")</f>
        <v>-4.2807017543859649</v>
      </c>
      <c r="AY498" s="1236">
        <f>IFERROR(Model!AY498/Model!AX498-1,"NA")</f>
        <v>-1.0401069518716577</v>
      </c>
      <c r="AZ498" s="1236">
        <f>IFERROR(Model!AZ498/Model!AY498-1,"NA")</f>
        <v>11.666666666666666</v>
      </c>
      <c r="BA498" s="1236">
        <f>IFERROR(Model!BA498/Model!AZ498-1,"NA")</f>
        <v>-0.61578947368421055</v>
      </c>
      <c r="BB498" s="1279">
        <f>IFERROR(Model!BB498/Model!BA498-1,"NA")</f>
        <v>-1</v>
      </c>
      <c r="BC498" s="1279" t="str">
        <f>IFERROR(Model!BC498/Model!BB498-1,"NA")</f>
        <v>NA</v>
      </c>
      <c r="BD498" s="1279" t="str">
        <f>IFERROR(Model!BD498/Model!BC498-1,"NA")</f>
        <v>NA</v>
      </c>
      <c r="BE498" s="1279" t="str">
        <f>IFERROR(Model!BE498/Model!BD498-1,"NA")</f>
        <v>NA</v>
      </c>
    </row>
    <row r="499" spans="1:57" x14ac:dyDescent="0.2">
      <c r="B499" s="322"/>
      <c r="C499" s="434"/>
      <c r="D499" s="1279"/>
      <c r="E499" s="1279"/>
      <c r="F499" s="1279"/>
      <c r="G499" s="1279"/>
      <c r="H499" s="1279"/>
      <c r="I499" s="1279"/>
      <c r="J499" s="1279"/>
      <c r="K499" s="1279"/>
      <c r="L499" s="1279"/>
      <c r="M499" s="1279"/>
      <c r="N499" s="1279"/>
      <c r="O499" s="1279"/>
      <c r="P499" s="1279"/>
      <c r="Q499" s="1279"/>
      <c r="R499" s="1279"/>
      <c r="S499" s="1279"/>
      <c r="T499" s="1279"/>
      <c r="U499" s="1279"/>
      <c r="V499" s="1279"/>
      <c r="W499" s="1279"/>
      <c r="X499" s="1279"/>
      <c r="Y499" s="1279"/>
      <c r="Z499" s="1279"/>
      <c r="AA499" s="1279"/>
      <c r="AB499" s="1279"/>
      <c r="AC499" s="1250"/>
      <c r="AD499" s="1250"/>
      <c r="AE499" s="1250"/>
      <c r="AF499" s="1250"/>
      <c r="AG499" s="1250"/>
      <c r="AH499" s="1250"/>
      <c r="AI499" s="1250"/>
      <c r="AJ499" s="1250"/>
      <c r="AK499" s="1250"/>
      <c r="AL499" s="1250"/>
      <c r="AM499" s="1250"/>
      <c r="AN499" s="1250"/>
      <c r="AO499" s="1250"/>
      <c r="AP499" s="1250"/>
      <c r="AQ499" s="1250"/>
      <c r="AR499" s="1236"/>
      <c r="AS499" s="1248"/>
      <c r="AT499" s="1248"/>
      <c r="AU499" s="1236"/>
      <c r="AV499" s="1236"/>
      <c r="AW499" s="1236"/>
      <c r="AX499" s="1236"/>
      <c r="AY499" s="1236"/>
      <c r="AZ499" s="1236"/>
      <c r="BA499" s="1236"/>
      <c r="BB499" s="1250"/>
      <c r="BC499" s="1250"/>
      <c r="BD499" s="1250"/>
      <c r="BE499" s="1250"/>
    </row>
    <row r="500" spans="1:57" x14ac:dyDescent="0.2">
      <c r="B500" s="322" t="s">
        <v>546</v>
      </c>
      <c r="C500" s="387"/>
      <c r="D500" s="1278"/>
      <c r="E500" s="1278"/>
      <c r="F500" s="1278"/>
      <c r="G500" s="1278"/>
      <c r="H500" s="1278">
        <f>IFERROR(Model!H500/Model!D500-1,"NA")</f>
        <v>0.1394749179559307</v>
      </c>
      <c r="I500" s="1278">
        <f>IFERROR(Model!I500/Model!E500-1,"NA")</f>
        <v>0.44853442399454679</v>
      </c>
      <c r="J500" s="1278">
        <f>IFERROR(Model!J500/Model!F500-1,"NA")</f>
        <v>-0.19723691945914168</v>
      </c>
      <c r="K500" s="1278">
        <f>IFERROR(Model!K500/Model!G500-1,"NA")</f>
        <v>-1.379944802207933E-3</v>
      </c>
      <c r="L500" s="1278">
        <f>IFERROR(Model!L500/Model!H500-1,"NA")</f>
        <v>-0.10306521291915238</v>
      </c>
      <c r="M500" s="1278">
        <f>IFERROR(Model!M500/Model!I500-1,"NA")</f>
        <v>-9.5529411764705863E-2</v>
      </c>
      <c r="N500" s="1278">
        <f>IFERROR(Model!N500/Model!J500-1,"NA")</f>
        <v>0.3958257048700109</v>
      </c>
      <c r="O500" s="1278">
        <f>IFERROR(Model!O500/Model!K500-1,"NA")</f>
        <v>-1.3357899585444533E-2</v>
      </c>
      <c r="P500" s="1278">
        <f>IFERROR(Model!P500/Model!L500-1,"NA")</f>
        <v>-1.5825688073394462E-2</v>
      </c>
      <c r="Q500" s="1278">
        <f>IFERROR(Model!Q500/Model!M500-1,"NA")</f>
        <v>-3.5900104058272597E-2</v>
      </c>
      <c r="R500" s="1278">
        <f>IFERROR(Model!R500/Model!N500-1,"NA")</f>
        <v>-0.15293809024134308</v>
      </c>
      <c r="S500" s="1278">
        <f>IFERROR(Model!S500/Model!O500-1,"NA")</f>
        <v>-0.165266106442577</v>
      </c>
      <c r="T500" s="1278">
        <f>IFERROR(Model!T500/Model!P500-1,"NA")</f>
        <v>-0.38639011885341412</v>
      </c>
      <c r="U500" s="1278">
        <f>IFERROR(Model!U500/Model!Q500-1,"NA")</f>
        <v>3.7236913113869452E-2</v>
      </c>
      <c r="V500" s="1278">
        <f>IFERROR(Model!V500/Model!R500-1,"NA")</f>
        <v>0.19603592443480955</v>
      </c>
      <c r="W500" s="1278">
        <f>IFERROR(Model!W500/Model!S500-1,"NA")</f>
        <v>0.92729306487695751</v>
      </c>
      <c r="X500" s="1278">
        <f>IFERROR(Model!X500/Model!T500-1,"NA")</f>
        <v>0.66578047854158751</v>
      </c>
      <c r="Y500" s="1278">
        <f>IFERROR(Model!Y500/Model!U500-1,"NA")</f>
        <v>6.8418314255983326E-2</v>
      </c>
      <c r="Z500" s="1278">
        <f>IFERROR(Model!Z500/Model!V500-1,"NA")</f>
        <v>0.1538063179699638</v>
      </c>
      <c r="AA500" s="1278">
        <f>IFERROR(Model!AA500/Model!W500-1,"NA")</f>
        <v>-9.3151479976784635E-2</v>
      </c>
      <c r="AB500" s="1278">
        <f>IFERROR(Model!AB500/Model!X500-1,"NA")</f>
        <v>0</v>
      </c>
      <c r="AC500" s="1278">
        <f>IFERROR(Model!AC500/Model!Y500-1,"NA")</f>
        <v>4.6785436749107401E-2</v>
      </c>
      <c r="AD500" s="1278">
        <f>IFERROR(Model!AD500/Model!Z500-1,"NA")</f>
        <v>-3.9976011737875239E-2</v>
      </c>
      <c r="AE500" s="1278">
        <f>IFERROR(Model!AE500/Model!AA500-1,"NA")</f>
        <v>0.30664137223982402</v>
      </c>
      <c r="AF500" s="1278">
        <f>IFERROR(Model!AF500/Model!AB500-1,"NA")</f>
        <v>8.1901652680463899E-2</v>
      </c>
      <c r="AG500" s="1278">
        <f>IFERROR(Model!AG500/Model!AC500-1,"NA")</f>
        <v>0.12557906912637762</v>
      </c>
      <c r="AH500" s="1278">
        <f>IFERROR(Model!AH500/Model!AD500-1,"NA")</f>
        <v>9.1506284704814256E-2</v>
      </c>
      <c r="AI500" s="1278">
        <f>IFERROR(Model!AI500/Model!AE500-1,"NA")</f>
        <v>7.4404627129057488E-2</v>
      </c>
      <c r="AJ500" s="1278"/>
      <c r="AK500" s="1278"/>
      <c r="AL500" s="1278"/>
      <c r="AM500" s="1278"/>
      <c r="AN500" s="1278"/>
      <c r="AO500" s="1278"/>
      <c r="AP500" s="1278"/>
      <c r="AQ500" s="1278"/>
      <c r="AR500" s="1236"/>
      <c r="AS500" s="1248"/>
      <c r="AT500" s="1248"/>
      <c r="AU500" s="1236"/>
      <c r="AV500" s="1236">
        <f>IFERROR(Model!AV500/Model!AU500-1,"NA")</f>
        <v>9.6822166562304357E-2</v>
      </c>
      <c r="AW500" s="1236">
        <f>IFERROR(Model!AW500/Model!AV500-1,"NA")</f>
        <v>1.0347534432312955E-2</v>
      </c>
      <c r="AX500" s="1236">
        <f>IFERROR(Model!AX500/Model!AW500-1,"NA")</f>
        <v>-8.0802373216556034E-2</v>
      </c>
      <c r="AY500" s="1236">
        <f>IFERROR(Model!AY500/Model!AX500-1,"NA")</f>
        <v>5.9243891194098675E-2</v>
      </c>
      <c r="AZ500" s="1236">
        <f>IFERROR(Model!AZ500/Model!AY500-1,"NA")</f>
        <v>0.16605005440696408</v>
      </c>
      <c r="BA500" s="1236">
        <f>IFERROR(Model!BA500/Model!AZ500-1,"NA")</f>
        <v>6.0487057899344165E-2</v>
      </c>
      <c r="BB500" s="1278">
        <f>IFERROR(Model!BB500/Model!BA500-1,"NA")</f>
        <v>9.3531807308855131E-2</v>
      </c>
      <c r="BC500" s="1278">
        <f>IFERROR(Model!BC500/Model!BB500-1,"NA")</f>
        <v>8.5361229416109463E-2</v>
      </c>
      <c r="BD500" s="1278">
        <f>IFERROR(Model!BD500/Model!BC500-1,"NA")</f>
        <v>6.2313224400985856E-2</v>
      </c>
      <c r="BE500" s="1278">
        <f>IFERROR(Model!BE500/Model!BD500-1,"NA")</f>
        <v>4.9679623527387307E-2</v>
      </c>
    </row>
    <row r="501" spans="1:57" x14ac:dyDescent="0.2">
      <c r="B501" s="15"/>
      <c r="C501" s="322" t="s">
        <v>20</v>
      </c>
      <c r="D501" s="1252"/>
      <c r="E501" s="1252"/>
      <c r="F501" s="1252"/>
      <c r="G501" s="1252"/>
      <c r="H501" s="1252">
        <f>IFERROR(Model!H501/Model!D501-1,"NA")</f>
        <v>0.29029671210906183</v>
      </c>
      <c r="I501" s="1252">
        <f>IFERROR(Model!I501/Model!E501-1,"NA")</f>
        <v>0.76705276705276715</v>
      </c>
      <c r="J501" s="1252">
        <f>IFERROR(Model!J501/Model!F501-1,"NA")</f>
        <v>-0.16093229744728077</v>
      </c>
      <c r="K501" s="1252">
        <f>IFERROR(Model!K501/Model!G501-1,"NA")</f>
        <v>0.2847826086956522</v>
      </c>
      <c r="L501" s="1252">
        <f>IFERROR(Model!L501/Model!H501-1,"NA")</f>
        <v>-0.16096954630205096</v>
      </c>
      <c r="M501" s="1252">
        <f>IFERROR(Model!M501/Model!I501-1,"NA")</f>
        <v>-0.10633648943918428</v>
      </c>
      <c r="N501" s="1252">
        <f>IFERROR(Model!N501/Model!J501-1,"NA")</f>
        <v>0.63492063492063489</v>
      </c>
      <c r="O501" s="1252">
        <f>IFERROR(Model!O501/Model!K501-1,"NA")</f>
        <v>-0.24703891708967851</v>
      </c>
      <c r="P501" s="1252">
        <f>IFERROR(Model!P501/Model!L501-1,"NA")</f>
        <v>-5.9259259259258901E-3</v>
      </c>
      <c r="Q501" s="1252">
        <f>IFERROR(Model!Q501/Model!M501-1,"NA")</f>
        <v>-6.1939690301548445E-2</v>
      </c>
      <c r="R501" s="1252">
        <f>IFERROR(Model!R501/Model!N501-1,"NA")</f>
        <v>-0.1464401294498382</v>
      </c>
      <c r="S501" s="1252">
        <f>IFERROR(Model!S501/Model!O501-1,"NA")</f>
        <v>0.18651685393258433</v>
      </c>
      <c r="T501" s="1279">
        <f>IFERROR(Model!T501/Model!P501-1,"NA")</f>
        <v>-0.43070044709388977</v>
      </c>
      <c r="U501" s="1279">
        <f>IFERROR(Model!U501/Model!Q501-1,"NA")</f>
        <v>6.7767158992180665E-2</v>
      </c>
      <c r="V501" s="1279">
        <f>IFERROR(Model!V501/Model!R501-1,"NA")</f>
        <v>0.13933649289099526</v>
      </c>
      <c r="W501" s="1279">
        <f>IFERROR(Model!W501/Model!S501-1,"NA")</f>
        <v>1.0170454545454546</v>
      </c>
      <c r="X501" s="1279">
        <f>IFERROR(Model!X501/Model!T501-1,"NA")</f>
        <v>0.79973821989528804</v>
      </c>
      <c r="Y501" s="1279">
        <f>IFERROR(Model!Y501/Model!U501-1,"NA")</f>
        <v>7.9739625711960915E-2</v>
      </c>
      <c r="Z501" s="1279">
        <f>IFERROR(Model!Z501/Model!V501-1,"NA")</f>
        <v>0.15973377703826963</v>
      </c>
      <c r="AA501" s="1279">
        <f>IFERROR(Model!AA501/Model!W501-1,"NA")</f>
        <v>1.7342723004694838</v>
      </c>
      <c r="AB501" s="1279">
        <f>IFERROR(Model!AB501/Model!X501-1,"NA")</f>
        <v>-0.2312727272727273</v>
      </c>
      <c r="AC501" s="1250">
        <f>IFERROR(Model!AC501/Model!Y501-1,"NA")</f>
        <v>-0.19006258690117117</v>
      </c>
      <c r="AD501" s="1250">
        <f>IFERROR(Model!AD501/Model!Z501-1,"NA")</f>
        <v>-0.23280722889239103</v>
      </c>
      <c r="AE501" s="1250">
        <f>IFERROR(Model!AE501/Model!AA501-1,"NA")</f>
        <v>-0.64944588871484799</v>
      </c>
      <c r="AF501" s="1250">
        <f>IFERROR(Model!AF501/Model!AB501-1,"NA")</f>
        <v>7.7438936308007023E-2</v>
      </c>
      <c r="AG501" s="1250">
        <f>IFERROR(Model!AG501/Model!AC501-1,"NA")</f>
        <v>8.0555906361322371E-2</v>
      </c>
      <c r="AH501" s="1250">
        <f>IFERROR(Model!AH501/Model!AD501-1,"NA")</f>
        <v>4.7846033316621739E-2</v>
      </c>
      <c r="AI501" s="1250">
        <f>IFERROR(Model!AI501/Model!AE501-1,"NA")</f>
        <v>3.1428442043895277E-2</v>
      </c>
      <c r="AJ501" s="1250"/>
      <c r="AK501" s="1250"/>
      <c r="AL501" s="1250"/>
      <c r="AM501" s="1250"/>
      <c r="AN501" s="1250"/>
      <c r="AO501" s="1250"/>
      <c r="AP501" s="1250"/>
      <c r="AQ501" s="1250"/>
      <c r="AR501" s="1236"/>
      <c r="AS501" s="1250"/>
      <c r="AT501" s="1248"/>
      <c r="AU501" s="1236"/>
      <c r="AV501" s="1236">
        <f>IFERROR(Model!AV501/Model!AU501-1,"NA")</f>
        <v>0.27887740029542107</v>
      </c>
      <c r="AW501" s="1236">
        <f>IFERROR(Model!AW501/Model!AV501-1,"NA")</f>
        <v>-1.6401016401016433E-2</v>
      </c>
      <c r="AX501" s="1236">
        <f>IFERROR(Model!AX501/Model!AW501-1,"NA")</f>
        <v>-4.2743071864725257E-2</v>
      </c>
      <c r="AY501" s="1236">
        <f>IFERROR(Model!AY501/Model!AX501-1,"NA")</f>
        <v>4.5142296368989143E-2</v>
      </c>
      <c r="AZ501" s="1236">
        <f>IFERROR(Model!AZ501/Model!AY501-1,"NA")</f>
        <v>0.6450704225352113</v>
      </c>
      <c r="BA501" s="1236">
        <f>IFERROR(Model!BA501/Model!AZ501-1,"NA")</f>
        <v>-0.39753606704216438</v>
      </c>
      <c r="BB501" s="1250">
        <f>IFERROR(Model!BB501/Model!BA501-1,"NA")</f>
        <v>5.9611962235613047E-2</v>
      </c>
      <c r="BC501" s="1250">
        <f>IFERROR(Model!BC501/Model!BB501-1,"NA")</f>
        <v>8.5361229416109241E-2</v>
      </c>
      <c r="BD501" s="1250">
        <f>IFERROR(Model!BD501/Model!BC501-1,"NA")</f>
        <v>6.2313224400986078E-2</v>
      </c>
      <c r="BE501" s="1250">
        <f>IFERROR(Model!BE501/Model!BD501-1,"NA")</f>
        <v>4.9679623527387085E-2</v>
      </c>
    </row>
    <row r="502" spans="1:57" s="72" customFormat="1" x14ac:dyDescent="0.2">
      <c r="A502" s="831"/>
      <c r="B502" s="46"/>
      <c r="C502" s="47" t="s">
        <v>254</v>
      </c>
      <c r="D502" s="1261"/>
      <c r="E502" s="1261"/>
      <c r="F502" s="1261"/>
      <c r="G502" s="1261"/>
      <c r="H502" s="1261">
        <f>IFERROR(Model!H502/Model!D502-1,"NA")</f>
        <v>0.13236078458285494</v>
      </c>
      <c r="I502" s="1261">
        <f>IFERROR(Model!I502/Model!E502-1,"NA")</f>
        <v>0.21989007494889856</v>
      </c>
      <c r="J502" s="1261">
        <f>IFERROR(Model!J502/Model!F502-1,"NA")</f>
        <v>4.5224578573544783E-2</v>
      </c>
      <c r="K502" s="1261">
        <f>IFERROR(Model!K502/Model!G502-1,"NA")</f>
        <v>0.2865579877035227</v>
      </c>
      <c r="L502" s="1261">
        <f>IFERROR(Model!L502/Model!H502-1,"NA")</f>
        <v>-6.4558019397768396E-2</v>
      </c>
      <c r="M502" s="1261">
        <f>IFERROR(Model!M502/Model!I502-1,"NA")</f>
        <v>-1.1948511997017075E-2</v>
      </c>
      <c r="N502" s="1261">
        <f>IFERROR(Model!N502/Model!J502-1,"NA")</f>
        <v>0.17129282632955256</v>
      </c>
      <c r="O502" s="1261">
        <f>IFERROR(Model!O502/Model!K502-1,"NA")</f>
        <v>-0.23684476610723249</v>
      </c>
      <c r="P502" s="1261">
        <f>IFERROR(Model!P502/Model!L502-1,"NA")</f>
        <v>1.0058951983911157E-2</v>
      </c>
      <c r="Q502" s="1261">
        <f>IFERROR(Model!Q502/Model!M502-1,"NA")</f>
        <v>-2.7009220053737737E-2</v>
      </c>
      <c r="R502" s="1261">
        <f>IFERROR(Model!R502/Model!N502-1,"NA")</f>
        <v>7.6711757625320676E-3</v>
      </c>
      <c r="S502" s="1261">
        <f>IFERROR(Model!S502/Model!O502-1,"NA")</f>
        <v>0.42143126461051206</v>
      </c>
      <c r="T502" s="1261">
        <f>IFERROR(Model!T502/Model!P502-1,"NA")</f>
        <v>-7.2212540250619184E-2</v>
      </c>
      <c r="U502" s="1261">
        <f>IFERROR(Model!U502/Model!Q502-1,"NA")</f>
        <v>2.9434206874355384E-2</v>
      </c>
      <c r="V502" s="1261">
        <f>IFERROR(Model!V502/Model!R502-1,"NA")</f>
        <v>-4.7406127512940488E-2</v>
      </c>
      <c r="W502" s="1261">
        <f>IFERROR(Model!W502/Model!S502-1,"NA")</f>
        <v>4.656914472642848E-2</v>
      </c>
      <c r="X502" s="1261">
        <f>IFERROR(Model!X502/Model!T502-1,"NA")</f>
        <v>8.0417403781188446E-2</v>
      </c>
      <c r="Y502" s="1261">
        <f>IFERROR(Model!Y502/Model!U502-1,"NA")</f>
        <v>1.059632852125092E-2</v>
      </c>
      <c r="Z502" s="1261">
        <f>IFERROR(Model!Z502/Model!V502-1,"NA")</f>
        <v>5.1373085551609243E-3</v>
      </c>
      <c r="AA502" s="1261">
        <f>IFERROR(Model!AA502/Model!W502-1,"NA")</f>
        <v>2.0151367511737086</v>
      </c>
      <c r="AB502" s="1261">
        <f>IFERROR(Model!AB502/Model!X502-1,"NA")</f>
        <v>-0.23127272727272719</v>
      </c>
      <c r="AC502" s="1449">
        <f>IFERROR(Model!AC502/Model!Y502-1,"NA")</f>
        <v>-0.22626224566691788</v>
      </c>
      <c r="AD502" s="1449">
        <f>IFERROR(Model!AD502/Model!Z502-1,"NA")</f>
        <v>-0.2008608321377332</v>
      </c>
      <c r="AE502" s="1449">
        <f>IFERROR(Model!AE502/Model!AA502-1,"NA")</f>
        <v>-0.73171359890109888</v>
      </c>
      <c r="AF502" s="1449">
        <f>IFERROR(Model!AF502/Model!AB502-1,"NA")</f>
        <v>-4.1248817407758542E-3</v>
      </c>
      <c r="AG502" s="1449">
        <f>IFERROR(Model!AG502/Model!AC502-1,"NA")</f>
        <v>-4.0000000000000036E-2</v>
      </c>
      <c r="AH502" s="1449">
        <f>IFERROR(Model!AH502/Model!AD502-1,"NA")</f>
        <v>-4.0000000000000036E-2</v>
      </c>
      <c r="AI502" s="1449">
        <f>IFERROR(Model!AI502/Model!AE502-1,"NA")</f>
        <v>-4.0000000000000036E-2</v>
      </c>
      <c r="AJ502" s="1449"/>
      <c r="AK502" s="1449"/>
      <c r="AL502" s="1449"/>
      <c r="AM502" s="1449"/>
      <c r="AN502" s="1449"/>
      <c r="AO502" s="1449"/>
      <c r="AP502" s="1449"/>
      <c r="AQ502" s="1449"/>
      <c r="AR502" s="1236"/>
      <c r="AS502" s="1248"/>
      <c r="AT502" s="1248"/>
      <c r="AU502" s="1261"/>
      <c r="AV502" s="1261">
        <f>IFERROR(Model!AV502/Model!AU502-1,"NA")</f>
        <v>0.16598427647001346</v>
      </c>
      <c r="AW502" s="1261">
        <f>IFERROR(Model!AW502/Model!AV502-1,"NA")</f>
        <v>-2.647460395729917E-2</v>
      </c>
      <c r="AX502" s="1261">
        <f>IFERROR(Model!AX502/Model!AW502-1,"NA")</f>
        <v>4.1404916900201316E-2</v>
      </c>
      <c r="AY502" s="1261">
        <f>IFERROR(Model!AY502/Model!AX502-1,"NA")</f>
        <v>-1.3312887562856313E-2</v>
      </c>
      <c r="AZ502" s="1261">
        <f>IFERROR(Model!AZ502/Model!AY502-1,"NA")</f>
        <v>0.41080600812790125</v>
      </c>
      <c r="BA502" s="1261">
        <f>IFERROR(Model!BA502/Model!AZ502-1,"NA")</f>
        <v>-0.43189883509637483</v>
      </c>
      <c r="BB502" s="1449">
        <f>IFERROR(Model!BB502/Model!BA502-1,"NA")</f>
        <v>-3.1018617699578144E-2</v>
      </c>
      <c r="BC502" s="1449">
        <f>IFERROR(Model!BC502/Model!BB502-1,"NA")</f>
        <v>-2.2204460492503131E-16</v>
      </c>
      <c r="BD502" s="1449">
        <f>IFERROR(Model!BD502/Model!BC502-1,"NA")</f>
        <v>0</v>
      </c>
      <c r="BE502" s="1449">
        <f>IFERROR(Model!BE502/Model!BD502-1,"NA")</f>
        <v>0</v>
      </c>
    </row>
    <row r="503" spans="1:57" s="72" customFormat="1" x14ac:dyDescent="0.2">
      <c r="A503" s="831"/>
      <c r="B503" s="46"/>
      <c r="C503" s="47"/>
      <c r="D503" s="1261"/>
      <c r="E503" s="1261"/>
      <c r="F503" s="1261"/>
      <c r="G503" s="1261"/>
      <c r="H503" s="1261"/>
      <c r="I503" s="1261"/>
      <c r="J503" s="1261"/>
      <c r="K503" s="1261"/>
      <c r="L503" s="1261"/>
      <c r="M503" s="1261"/>
      <c r="N503" s="1261"/>
      <c r="O503" s="1261"/>
      <c r="P503" s="1261"/>
      <c r="Q503" s="1261"/>
      <c r="R503" s="1261"/>
      <c r="S503" s="1261"/>
      <c r="T503" s="1261"/>
      <c r="U503" s="1261"/>
      <c r="V503" s="1261"/>
      <c r="W503" s="1261"/>
      <c r="X503" s="1261"/>
      <c r="Y503" s="1261"/>
      <c r="Z503" s="1261"/>
      <c r="AA503" s="1261"/>
      <c r="AB503" s="1261"/>
      <c r="AC503" s="1250"/>
      <c r="AD503" s="1250"/>
      <c r="AE503" s="1250"/>
      <c r="AF503" s="1250"/>
      <c r="AG503" s="1250"/>
      <c r="AH503" s="1250"/>
      <c r="AI503" s="1250"/>
      <c r="AJ503" s="1250"/>
      <c r="AK503" s="1250"/>
      <c r="AL503" s="1250"/>
      <c r="AM503" s="1250"/>
      <c r="AN503" s="1250"/>
      <c r="AO503" s="1250"/>
      <c r="AP503" s="1250"/>
      <c r="AQ503" s="1250"/>
      <c r="AR503" s="1236"/>
      <c r="AS503" s="1248"/>
      <c r="AT503" s="1248"/>
      <c r="AU503" s="1236"/>
      <c r="AV503" s="1236"/>
      <c r="AW503" s="1236"/>
      <c r="AX503" s="1236"/>
      <c r="AY503" s="1236"/>
      <c r="AZ503" s="1236"/>
      <c r="BA503" s="1236"/>
      <c r="BB503" s="1250"/>
      <c r="BC503" s="1250"/>
      <c r="BD503" s="1250"/>
      <c r="BE503" s="1250"/>
    </row>
    <row r="504" spans="1:57" x14ac:dyDescent="0.2">
      <c r="B504" s="322" t="s">
        <v>547</v>
      </c>
      <c r="C504" s="387"/>
      <c r="D504" s="1252"/>
      <c r="E504" s="1252"/>
      <c r="F504" s="1252"/>
      <c r="G504" s="1252"/>
      <c r="H504" s="1252">
        <f>IFERROR(Model!H504/Model!D504-1,"NA")</f>
        <v>0.41339491916859128</v>
      </c>
      <c r="I504" s="1252">
        <f>IFERROR(Model!I504/Model!E504-1,"NA")</f>
        <v>0.38458169075777482</v>
      </c>
      <c r="J504" s="1252">
        <f>IFERROR(Model!J504/Model!F504-1,"NA")</f>
        <v>-0.11638361638361638</v>
      </c>
      <c r="K504" s="1252">
        <f>IFERROR(Model!K504/Model!G504-1,"NA")</f>
        <v>5.8655221745350428E-2</v>
      </c>
      <c r="L504" s="1252">
        <f>IFERROR(Model!L504/Model!H504-1,"NA")</f>
        <v>-1.764705882352946E-2</v>
      </c>
      <c r="M504" s="1252">
        <f>IFERROR(Model!M504/Model!I504-1,"NA")</f>
        <v>-0.17842454919329331</v>
      </c>
      <c r="N504" s="1252">
        <f>IFERROR(Model!N504/Model!J504-1,"NA")</f>
        <v>0.34652345958168462</v>
      </c>
      <c r="O504" s="1252">
        <f>IFERROR(Model!O504/Model!K504-1,"NA")</f>
        <v>0.15135135135135136</v>
      </c>
      <c r="P504" s="1252">
        <f>IFERROR(Model!P504/Model!L504-1,"NA")</f>
        <v>-3.3599467731204258E-2</v>
      </c>
      <c r="Q504" s="1252">
        <f>IFERROR(Model!Q504/Model!M504-1,"NA")</f>
        <v>5.6988833269156824E-2</v>
      </c>
      <c r="R504" s="1252">
        <f>IFERROR(Model!R504/Model!N504-1,"NA")</f>
        <v>-2.7287993282955503E-2</v>
      </c>
      <c r="S504" s="1252">
        <f>IFERROR(Model!S504/Model!O504-1,"NA")</f>
        <v>-0.32922535211267601</v>
      </c>
      <c r="T504" s="1252">
        <f>IFERROR(Model!T504/Model!P504-1,"NA")</f>
        <v>-0.3566265060240964</v>
      </c>
      <c r="U504" s="1252">
        <f>IFERROR(Model!U504/Model!Q504-1,"NA")</f>
        <v>-4.7358834244080161E-2</v>
      </c>
      <c r="V504" s="1252">
        <f>IFERROR(Model!V504/Model!R504-1,"NA")</f>
        <v>0.14803625377643503</v>
      </c>
      <c r="W504" s="1297">
        <f>IFERROR(Model!W504/Model!S504-1,"NA")</f>
        <v>1.083114610673666</v>
      </c>
      <c r="X504" s="1297">
        <f>IFERROR(Model!X504/Model!T504-1,"NA")</f>
        <v>0.61102193686463346</v>
      </c>
      <c r="Y504" s="1297">
        <f>IFERROR(Model!Y504/Model!U504-1,"NA")</f>
        <v>6.3097514340344274E-2</v>
      </c>
      <c r="Z504" s="1297">
        <f>IFERROR(Model!Z504/Model!V504-1,"NA")</f>
        <v>0.15112781954887211</v>
      </c>
      <c r="AA504" s="1297">
        <f>IFERROR(Model!AA504/Model!W504-1,"NA")</f>
        <v>-0.91054178916421669</v>
      </c>
      <c r="AB504" s="1297">
        <f>IFERROR(Model!AB504/Model!X504-1,"NA")</f>
        <v>0.1056127532381268</v>
      </c>
      <c r="AC504" s="1278">
        <f>IFERROR(Model!AC504/Model!Y504-1,"NA")</f>
        <v>0.15984202933325098</v>
      </c>
      <c r="AD504" s="1278">
        <f>IFERROR(Model!AD504/Model!Z504-1,"NA")</f>
        <v>4.7811942773357652E-2</v>
      </c>
      <c r="AE504" s="1278">
        <f>IFERROR(Model!AE504/Model!AA504-1,"NA")</f>
        <v>13.377655944540317</v>
      </c>
      <c r="AF504" s="1278">
        <f>IFERROR(Model!AF504/Model!AB504-1,"NA")</f>
        <v>8.3318622102418471E-2</v>
      </c>
      <c r="AG504" s="1278">
        <f>IFERROR(Model!AG504/Model!AC504-1,"NA")</f>
        <v>0.14058679004806263</v>
      </c>
      <c r="AH504" s="1278">
        <f>IFERROR(Model!AH504/Model!AD504-1,"NA")</f>
        <v>0.10605970183421176</v>
      </c>
      <c r="AI504" s="1278">
        <f>IFERROR(Model!AI504/Model!AE504-1,"NA")</f>
        <v>8.8730022157444743E-2</v>
      </c>
      <c r="AJ504" s="1278"/>
      <c r="AK504" s="1278"/>
      <c r="AL504" s="1278"/>
      <c r="AM504" s="1278"/>
      <c r="AN504" s="1278"/>
      <c r="AO504" s="1278"/>
      <c r="AP504" s="1278"/>
      <c r="AQ504" s="1278"/>
      <c r="AR504" s="1236"/>
      <c r="AS504" s="1248"/>
      <c r="AT504" s="1248"/>
      <c r="AU504" s="1236"/>
      <c r="AV504" s="1236">
        <f>IFERROR(Model!AV504/Model!AU504-1,"NA")</f>
        <v>0.20667686034658517</v>
      </c>
      <c r="AW504" s="1236">
        <f>IFERROR(Model!AW504/Model!AV504-1,"NA")</f>
        <v>2.3125659978880719E-2</v>
      </c>
      <c r="AX504" s="1236">
        <f>IFERROR(Model!AX504/Model!AW504-1,"NA")</f>
        <v>-5.9758489008153615E-2</v>
      </c>
      <c r="AY504" s="1236">
        <f>IFERROR(Model!AY504/Model!AX504-1,"NA")</f>
        <v>4.5554335894621323E-2</v>
      </c>
      <c r="AZ504" s="1236">
        <f>IFERROR(Model!AZ504/Model!AY504-1,"NA")</f>
        <v>-4.8188976377952719E-2</v>
      </c>
      <c r="BA504" s="1236">
        <f>IFERROR(Model!BA504/Model!AZ504-1,"NA")</f>
        <v>0.41453802410164875</v>
      </c>
      <c r="BB504" s="1278">
        <f>IFERROR(Model!BB504/Model!BA504-1,"NA")</f>
        <v>0.10469911969190737</v>
      </c>
      <c r="BC504" s="1278">
        <f>IFERROR(Model!BC504/Model!BB504-1,"NA")</f>
        <v>8.5361229416109685E-2</v>
      </c>
      <c r="BD504" s="1278">
        <f>IFERROR(Model!BD504/Model!BC504-1,"NA")</f>
        <v>6.2313224400985634E-2</v>
      </c>
      <c r="BE504" s="1278">
        <f>IFERROR(Model!BE504/Model!BD504-1,"NA")</f>
        <v>4.9679623527387307E-2</v>
      </c>
    </row>
    <row r="505" spans="1:57" x14ac:dyDescent="0.2">
      <c r="B505" s="316"/>
      <c r="C505" s="321" t="s">
        <v>883</v>
      </c>
      <c r="D505" s="1279"/>
      <c r="E505" s="1279"/>
      <c r="F505" s="1279"/>
      <c r="G505" s="1279"/>
      <c r="H505" s="1279">
        <f>IFERROR(Model!H505/Model!D505-1,"NA")</f>
        <v>-0.77517564402810302</v>
      </c>
      <c r="I505" s="1279">
        <f>IFERROR(Model!I505/Model!E505-1,"NA")</f>
        <v>1.253968253968254</v>
      </c>
      <c r="J505" s="1279">
        <f>IFERROR(Model!J505/Model!F505-1,"NA")</f>
        <v>-0.58717434869739482</v>
      </c>
      <c r="K505" s="1279">
        <f>IFERROR(Model!K505/Model!G505-1,"NA")</f>
        <v>-0.68354430379746833</v>
      </c>
      <c r="L505" s="1279">
        <f>IFERROR(Model!L505/Model!H505-1,"NA")</f>
        <v>-0.97916666666666663</v>
      </c>
      <c r="M505" s="1279">
        <f>IFERROR(Model!M505/Model!I505-1,"NA")</f>
        <v>-1.0704225352112675</v>
      </c>
      <c r="N505" s="1279">
        <f>IFERROR(Model!N505/Model!J505-1,"NA")</f>
        <v>-5.8252427184465994E-2</v>
      </c>
      <c r="O505" s="1279">
        <f>IFERROR(Model!O505/Model!K505-1,"NA")</f>
        <v>-1.07</v>
      </c>
      <c r="P505" s="1279">
        <f>IFERROR(Model!P505/Model!L505-1,"NA")</f>
        <v>10</v>
      </c>
      <c r="Q505" s="1279">
        <f>IFERROR(Model!Q505/Model!M505-1,"NA")</f>
        <v>-10.5</v>
      </c>
      <c r="R505" s="1279">
        <f>IFERROR(Model!R505/Model!N505-1,"NA")</f>
        <v>-1.7371134020618557</v>
      </c>
      <c r="S505" s="1279">
        <f>IFERROR(Model!S505/Model!O505-1,"NA")</f>
        <v>-17.714285714285715</v>
      </c>
      <c r="T505" s="1279">
        <f>IFERROR(Model!T505/Model!P505-1,"NA")</f>
        <v>-1</v>
      </c>
      <c r="U505" s="1279">
        <f>IFERROR(Model!U505/Model!Q505-1,"NA")</f>
        <v>-1</v>
      </c>
      <c r="V505" s="1279">
        <f>IFERROR(Model!V505/Model!R505-1,"NA")</f>
        <v>-1</v>
      </c>
      <c r="W505" s="1279">
        <f>IFERROR(Model!W505/Model!S505-1,"NA")</f>
        <v>-1</v>
      </c>
      <c r="X505" s="1279" t="str">
        <f>IFERROR(Model!X505/Model!T505-1,"NA")</f>
        <v>NA</v>
      </c>
      <c r="Y505" s="1279" t="str">
        <f>IFERROR(Model!Y505/Model!U505-1,"NA")</f>
        <v>NA</v>
      </c>
      <c r="Z505" s="1279" t="str">
        <f>IFERROR(Model!Z505/Model!V505-1,"NA")</f>
        <v>NA</v>
      </c>
      <c r="AA505" s="1279" t="str">
        <f>IFERROR(Model!AA505/Model!W505-1,"NA")</f>
        <v>NA</v>
      </c>
      <c r="AB505" s="1279" t="str">
        <f>IFERROR(Model!AB505/Model!X505-1,"NA")</f>
        <v>NA</v>
      </c>
      <c r="AC505" s="1279" t="str">
        <f>IFERROR(Model!AC505/Model!Y505-1,"NA")</f>
        <v>NA</v>
      </c>
      <c r="AD505" s="1279" t="str">
        <f>IFERROR(Model!AD505/Model!Z505-1,"NA")</f>
        <v>NA</v>
      </c>
      <c r="AE505" s="1279" t="str">
        <f>IFERROR(Model!AE505/Model!AA505-1,"NA")</f>
        <v>NA</v>
      </c>
      <c r="AF505" s="1279" t="str">
        <f>IFERROR(Model!AF505/Model!AB505-1,"NA")</f>
        <v>NA</v>
      </c>
      <c r="AG505" s="1279" t="str">
        <f>IFERROR(Model!AG505/Model!AC505-1,"NA")</f>
        <v>NA</v>
      </c>
      <c r="AH505" s="1279" t="str">
        <f>IFERROR(Model!AH505/Model!AD505-1,"NA")</f>
        <v>NA</v>
      </c>
      <c r="AI505" s="1279" t="str">
        <f>IFERROR(Model!AI505/Model!AE505-1,"NA")</f>
        <v>NA</v>
      </c>
      <c r="AJ505" s="1279"/>
      <c r="AK505" s="1279"/>
      <c r="AL505" s="1279"/>
      <c r="AM505" s="1279"/>
      <c r="AN505" s="1279"/>
      <c r="AO505" s="1279"/>
      <c r="AP505" s="1279"/>
      <c r="AQ505" s="1279"/>
      <c r="AR505" s="1236"/>
      <c r="AS505" s="1239"/>
      <c r="AT505" s="1284"/>
      <c r="AU505" s="1236"/>
      <c r="AV505" s="1236">
        <f>IFERROR(Model!AV505/Model!AU505-1,"NA")</f>
        <v>-0.86130913804277376</v>
      </c>
      <c r="AW505" s="1236">
        <f>IFERROR(Model!AW505/Model!AV505-1,"NA")</f>
        <v>-1.4018691588784993E-2</v>
      </c>
      <c r="AX505" s="1236">
        <f>IFERROR(Model!AX505/Model!AW505-1,"NA")</f>
        <v>-1.8151658767772512</v>
      </c>
      <c r="AY505" s="1236">
        <f>IFERROR(Model!AY505/Model!AX505-1,"NA")</f>
        <v>-1</v>
      </c>
      <c r="AZ505" s="1236" t="str">
        <f>IFERROR(Model!AZ505/Model!AY505-1,"NA")</f>
        <v>NA</v>
      </c>
      <c r="BA505" s="1236" t="str">
        <f>IFERROR(Model!BA505/Model!AZ505-1,"NA")</f>
        <v>NA</v>
      </c>
      <c r="BB505" s="1279" t="str">
        <f>IFERROR(Model!BB505/Model!BA505-1,"NA")</f>
        <v>NA</v>
      </c>
      <c r="BC505" s="1279" t="str">
        <f>IFERROR(Model!BC505/Model!BB505-1,"NA")</f>
        <v>NA</v>
      </c>
      <c r="BD505" s="1279" t="str">
        <f>IFERROR(Model!BD505/Model!BC505-1,"NA")</f>
        <v>NA</v>
      </c>
      <c r="BE505" s="1279" t="str">
        <f>IFERROR(Model!BE505/Model!BD505-1,"NA")</f>
        <v>NA</v>
      </c>
    </row>
    <row r="506" spans="1:57" x14ac:dyDescent="0.2">
      <c r="B506" s="316" t="s">
        <v>480</v>
      </c>
      <c r="C506" s="387"/>
      <c r="D506" s="1293"/>
      <c r="E506" s="1293"/>
      <c r="F506" s="1293"/>
      <c r="G506" s="1293"/>
      <c r="H506" s="1293">
        <f>IFERROR(Model!H506/Model!D506-1,"NA")</f>
        <v>7.7177873468035729E-2</v>
      </c>
      <c r="I506" s="1293">
        <f>IFERROR(Model!I506/Model!E506-1,"NA")</f>
        <v>0.33379694019471495</v>
      </c>
      <c r="J506" s="1293">
        <f>IFERROR(Model!J506/Model!F506-1,"NA")</f>
        <v>-0.21031587365053983</v>
      </c>
      <c r="K506" s="1293">
        <f>IFERROR(Model!K506/Model!G506-1,"NA")</f>
        <v>-7.817969661610269E-2</v>
      </c>
      <c r="L506" s="1293">
        <f>IFERROR(Model!L506/Model!H506-1,"NA")</f>
        <v>-7.4415744157441566E-2</v>
      </c>
      <c r="M506" s="1293">
        <f>IFERROR(Model!M506/Model!I506-1,"NA")</f>
        <v>-9.0371915189433438E-2</v>
      </c>
      <c r="N506" s="1293">
        <f>IFERROR(Model!N506/Model!J506-1,"NA")</f>
        <v>0.30430379746835445</v>
      </c>
      <c r="O506" s="1293">
        <f>IFERROR(Model!O506/Model!K506-1,"NA")</f>
        <v>7.4050632911392356E-2</v>
      </c>
      <c r="P506" s="1293">
        <f>IFERROR(Model!P506/Model!L506-1,"NA")</f>
        <v>-2.0265780730897021E-2</v>
      </c>
      <c r="Q506" s="1293">
        <f>IFERROR(Model!Q506/Model!M506-1,"NA")</f>
        <v>-2.3691249522353797E-2</v>
      </c>
      <c r="R506" s="1293">
        <f>IFERROR(Model!R506/Model!N506-1,"NA")</f>
        <v>-0.15605590062111796</v>
      </c>
      <c r="S506" s="1293">
        <f>IFERROR(Model!S506/Model!O506-1,"NA")</f>
        <v>-0.25751325869180908</v>
      </c>
      <c r="T506" s="1293">
        <f>IFERROR(Model!T506/Model!P506-1,"NA")</f>
        <v>-0.36622583926754837</v>
      </c>
      <c r="U506" s="1293">
        <f>IFERROR(Model!U506/Model!Q506-1,"NA")</f>
        <v>2.3483365949119372E-2</v>
      </c>
      <c r="V506" s="1293">
        <f>IFERROR(Model!V506/Model!R506-1,"NA")</f>
        <v>0.2235510579576816</v>
      </c>
      <c r="W506" s="1293">
        <f>IFERROR(Model!W506/Model!S506-1,"NA")</f>
        <v>0.88968253968253963</v>
      </c>
      <c r="X506" s="1293">
        <f>IFERROR(Model!X506/Model!T506-1,"NA")</f>
        <v>0.61102193686463346</v>
      </c>
      <c r="Y506" s="1293">
        <f>IFERROR(Model!Y506/Model!U506-1,"NA")</f>
        <v>6.3097514340344274E-2</v>
      </c>
      <c r="Z506" s="1293">
        <f>IFERROR(Model!Z506/Model!V506-1,"NA")</f>
        <v>0.15112781954887211</v>
      </c>
      <c r="AA506" s="1293">
        <f>IFERROR(Model!AA506/Model!W506-1,"NA")</f>
        <v>-0.91054178916421669</v>
      </c>
      <c r="AB506" s="1293">
        <f>IFERROR(Model!AB506/Model!X506-1,"NA")</f>
        <v>0.1056127532381268</v>
      </c>
      <c r="AC506" s="1293">
        <f>IFERROR(Model!AC506/Model!Y506-1,"NA")</f>
        <v>0.15984202933325098</v>
      </c>
      <c r="AD506" s="1293">
        <f>IFERROR(Model!AD506/Model!Z506-1,"NA")</f>
        <v>4.7811942773357652E-2</v>
      </c>
      <c r="AE506" s="1293">
        <f>IFERROR(Model!AE506/Model!AA506-1,"NA")</f>
        <v>13.377655944540317</v>
      </c>
      <c r="AF506" s="1293">
        <f>IFERROR(Model!AF506/Model!AB506-1,"NA")</f>
        <v>8.3318622102418471E-2</v>
      </c>
      <c r="AG506" s="1293">
        <f>IFERROR(Model!AG506/Model!AC506-1,"NA")</f>
        <v>0.14058679004806263</v>
      </c>
      <c r="AH506" s="1293">
        <f>IFERROR(Model!AH506/Model!AD506-1,"NA")</f>
        <v>0.10605970183421176</v>
      </c>
      <c r="AI506" s="1293">
        <f>IFERROR(Model!AI506/Model!AE506-1,"NA")</f>
        <v>8.8730022157444743E-2</v>
      </c>
      <c r="AJ506" s="1293"/>
      <c r="AK506" s="1293"/>
      <c r="AL506" s="1293"/>
      <c r="AM506" s="1293"/>
      <c r="AN506" s="1293"/>
      <c r="AO506" s="1293"/>
      <c r="AP506" s="1293"/>
      <c r="AQ506" s="1293"/>
      <c r="AR506" s="1236"/>
      <c r="AS506" s="1239"/>
      <c r="AT506" s="1248"/>
      <c r="AU506" s="1396"/>
      <c r="AV506" s="1396">
        <f>IFERROR(Model!AV506/Model!AU506-1,"NA")</f>
        <v>3.1200085187945925E-2</v>
      </c>
      <c r="AW506" s="1396">
        <f>IFERROR(Model!AW506/Model!AV506-1,"NA")</f>
        <v>2.2304832713754719E-2</v>
      </c>
      <c r="AX506" s="1396">
        <f>IFERROR(Model!AX506/Model!AW506-1,"NA")</f>
        <v>-9.7171717171717131E-2</v>
      </c>
      <c r="AY506" s="1396">
        <f>IFERROR(Model!AY506/Model!AX506-1,"NA")</f>
        <v>6.5674647572163902E-2</v>
      </c>
      <c r="AZ506" s="1396">
        <f>IFERROR(Model!AZ506/Model!AY506-1,"NA")</f>
        <v>-4.8188976377952719E-2</v>
      </c>
      <c r="BA506" s="1396">
        <f>IFERROR(Model!BA506/Model!AZ506-1,"NA")</f>
        <v>0.41453802410164875</v>
      </c>
      <c r="BB506" s="1293">
        <f>IFERROR(Model!BB506/Model!BA506-1,"NA")</f>
        <v>0.10469911969190737</v>
      </c>
      <c r="BC506" s="1293">
        <f>IFERROR(Model!BC506/Model!BB506-1,"NA")</f>
        <v>8.5361229416109685E-2</v>
      </c>
      <c r="BD506" s="1293">
        <f>IFERROR(Model!BD506/Model!BC506-1,"NA")</f>
        <v>6.2313224400985634E-2</v>
      </c>
      <c r="BE506" s="1293">
        <f>IFERROR(Model!BE506/Model!BD506-1,"NA")</f>
        <v>4.9679623527387307E-2</v>
      </c>
    </row>
    <row r="507" spans="1:57" x14ac:dyDescent="0.2">
      <c r="D507" s="1256"/>
      <c r="E507" s="1256"/>
      <c r="F507" s="1256"/>
      <c r="G507" s="1256"/>
      <c r="H507" s="1256"/>
      <c r="I507" s="1256"/>
      <c r="J507" s="1256"/>
      <c r="K507" s="1256"/>
      <c r="L507" s="1256"/>
      <c r="M507" s="1256"/>
      <c r="N507" s="1256"/>
      <c r="O507" s="1256"/>
      <c r="P507" s="1256"/>
      <c r="Q507" s="1256"/>
      <c r="R507" s="1256"/>
      <c r="S507" s="1256"/>
      <c r="T507" s="1256"/>
      <c r="U507" s="1256"/>
      <c r="V507" s="1256"/>
      <c r="W507" s="1256"/>
      <c r="X507" s="407"/>
      <c r="Y507" s="407"/>
      <c r="Z507" s="407"/>
      <c r="AA507" s="407"/>
      <c r="AB507" s="407"/>
      <c r="AC507" s="407"/>
      <c r="AD507" s="407"/>
      <c r="AE507" s="407"/>
      <c r="AF507" s="407"/>
      <c r="AG507" s="407"/>
      <c r="AH507" s="407"/>
      <c r="AI507" s="407"/>
      <c r="AJ507" s="407"/>
      <c r="AK507" s="407"/>
      <c r="AL507" s="407"/>
      <c r="AM507" s="407"/>
      <c r="AN507" s="407"/>
      <c r="AO507" s="407"/>
      <c r="AP507" s="407"/>
      <c r="AQ507" s="407"/>
      <c r="AR507" s="1236"/>
      <c r="AS507" s="1236"/>
      <c r="AT507" s="1236"/>
      <c r="AU507" s="1236"/>
      <c r="AV507" s="1236"/>
      <c r="AW507" s="1236"/>
      <c r="AX507" s="1236"/>
      <c r="AY507" s="1236"/>
      <c r="AZ507" s="1236"/>
      <c r="BA507" s="1236"/>
      <c r="BB507" s="1236"/>
      <c r="BC507" s="1236"/>
      <c r="BD507" s="1236"/>
      <c r="BE507" s="1236"/>
    </row>
    <row r="508" spans="1:57" x14ac:dyDescent="0.2">
      <c r="B508" s="48" t="s">
        <v>555</v>
      </c>
      <c r="C508" s="12"/>
      <c r="D508" s="1450"/>
      <c r="E508" s="1450"/>
      <c r="F508" s="1450"/>
      <c r="G508" s="1450"/>
      <c r="H508" s="1450"/>
      <c r="I508" s="1450"/>
      <c r="J508" s="1450"/>
      <c r="K508" s="1450"/>
      <c r="L508" s="1450"/>
      <c r="M508" s="1450"/>
      <c r="N508" s="1450"/>
      <c r="O508" s="1450"/>
      <c r="P508" s="1450"/>
      <c r="Q508" s="1450"/>
      <c r="R508" s="1450"/>
      <c r="S508" s="1450"/>
      <c r="T508" s="1450"/>
      <c r="U508" s="1450"/>
      <c r="V508" s="1450"/>
      <c r="W508" s="1450"/>
      <c r="X508" s="1398"/>
      <c r="Y508" s="1398"/>
      <c r="Z508" s="1398"/>
      <c r="AA508" s="1398"/>
      <c r="AB508" s="1398"/>
      <c r="AC508" s="1271"/>
      <c r="AD508" s="1271"/>
      <c r="AE508" s="1271"/>
      <c r="AF508" s="1271"/>
      <c r="AG508" s="1271"/>
      <c r="AH508" s="1271"/>
      <c r="AI508" s="1271"/>
      <c r="AJ508" s="1271"/>
      <c r="AK508" s="1271"/>
      <c r="AL508" s="1271"/>
      <c r="AM508" s="1271"/>
      <c r="AN508" s="1271"/>
      <c r="AO508" s="1271"/>
      <c r="AP508" s="1271"/>
      <c r="AQ508" s="1271"/>
      <c r="AR508" s="1236"/>
      <c r="AS508" s="1451"/>
      <c r="AT508" s="1398"/>
      <c r="AU508" s="1398"/>
      <c r="AV508" s="1398"/>
      <c r="AW508" s="1398"/>
      <c r="AX508" s="1398"/>
      <c r="AY508" s="1398"/>
      <c r="AZ508" s="1398"/>
      <c r="BA508" s="1398"/>
      <c r="BB508" s="1398"/>
      <c r="BC508" s="1398"/>
      <c r="BD508" s="1398"/>
      <c r="BE508" s="1398"/>
    </row>
    <row r="509" spans="1:57" x14ac:dyDescent="0.2">
      <c r="B509" s="201"/>
      <c r="C509" s="15"/>
      <c r="D509" s="1287"/>
      <c r="E509" s="1287"/>
      <c r="F509" s="1287"/>
      <c r="G509" s="1287"/>
      <c r="H509" s="1287"/>
      <c r="I509" s="1287"/>
      <c r="J509" s="1287"/>
      <c r="K509" s="1287"/>
      <c r="L509" s="1287"/>
      <c r="M509" s="1287"/>
      <c r="N509" s="1287"/>
      <c r="O509" s="1287"/>
      <c r="P509" s="1287"/>
      <c r="Q509" s="1287"/>
      <c r="R509" s="1287"/>
      <c r="S509" s="1287"/>
      <c r="T509" s="1287"/>
      <c r="U509" s="1287"/>
      <c r="V509" s="1287"/>
      <c r="W509" s="1287"/>
      <c r="X509" s="1250"/>
      <c r="Y509" s="1250"/>
      <c r="Z509" s="1250"/>
      <c r="AA509" s="1250"/>
      <c r="AB509" s="1250"/>
      <c r="AC509" s="1236"/>
      <c r="AD509" s="1236"/>
      <c r="AE509" s="1236"/>
      <c r="AF509" s="1236"/>
      <c r="AG509" s="1236"/>
      <c r="AH509" s="1236"/>
      <c r="AI509" s="1236"/>
      <c r="AJ509" s="1236"/>
      <c r="AK509" s="1236"/>
      <c r="AL509" s="1236"/>
      <c r="AM509" s="1236"/>
      <c r="AN509" s="1236"/>
      <c r="AO509" s="1236"/>
      <c r="AP509" s="1236"/>
      <c r="AQ509" s="1236"/>
      <c r="AR509" s="1236"/>
      <c r="AS509" s="1345"/>
      <c r="AT509" s="1250"/>
      <c r="AU509" s="1236"/>
      <c r="AV509" s="1236"/>
      <c r="AW509" s="1236"/>
      <c r="AX509" s="1236"/>
      <c r="AY509" s="1236"/>
      <c r="AZ509" s="1236"/>
      <c r="BA509" s="1236"/>
      <c r="BB509" s="1236"/>
      <c r="BC509" s="1236"/>
      <c r="BD509" s="1236"/>
      <c r="BE509" s="1236"/>
    </row>
    <row r="510" spans="1:57" x14ac:dyDescent="0.2">
      <c r="B510" s="322" t="s">
        <v>647</v>
      </c>
      <c r="C510" s="387"/>
      <c r="D510" s="1258"/>
      <c r="E510" s="1258"/>
      <c r="F510" s="1258"/>
      <c r="G510" s="1258"/>
      <c r="H510" s="1258">
        <f>IFERROR(Model!H510/Model!D510-1,"NA")</f>
        <v>-1.3740458015267132E-2</v>
      </c>
      <c r="I510" s="1258">
        <f>IFERROR(Model!I510/Model!E510-1,"NA")</f>
        <v>2.3094688221708903E-2</v>
      </c>
      <c r="J510" s="1258">
        <f>IFERROR(Model!J510/Model!F510-1,"NA")</f>
        <v>-5.3641732283464583E-2</v>
      </c>
      <c r="K510" s="1258">
        <f>IFERROR(Model!K510/Model!G510-1,"NA")</f>
        <v>-6.7346454825705448E-2</v>
      </c>
      <c r="L510" s="1258">
        <f>IFERROR(Model!L510/Model!H510-1,"NA")</f>
        <v>-4.6439628482972672E-3</v>
      </c>
      <c r="M510" s="1258">
        <f>IFERROR(Model!M510/Model!I510-1,"NA")</f>
        <v>-3.2605969400551826E-2</v>
      </c>
      <c r="N510" s="1258">
        <f>IFERROR(Model!N510/Model!J510-1,"NA")</f>
        <v>5.3042121684867327E-2</v>
      </c>
      <c r="O510" s="1258">
        <f>IFERROR(Model!O510/Model!K510-1,"NA")</f>
        <v>4.1444190185608853E-2</v>
      </c>
      <c r="P510" s="1258">
        <f>IFERROR(Model!P510/Model!L510-1,"NA")</f>
        <v>-2.5142560912389866E-2</v>
      </c>
      <c r="Q510" s="1258">
        <f>IFERROR(Model!Q510/Model!M510-1,"NA")</f>
        <v>3.8631060409644702E-2</v>
      </c>
      <c r="R510" s="1258">
        <f>IFERROR(Model!R510/Model!N510-1,"NA")</f>
        <v>-1.6049382716049387E-2</v>
      </c>
      <c r="S510" s="1258">
        <f>IFERROR(Model!S510/Model!O510-1,"NA")</f>
        <v>-4.39453125E-2</v>
      </c>
      <c r="T510" s="1258">
        <f>IFERROR(Model!T510/Model!P510-1,"NA")</f>
        <v>5.9558628024461546E-2</v>
      </c>
      <c r="U510" s="1258">
        <f>IFERROR(Model!U510/Model!Q510-1,"NA")</f>
        <v>2.546180728906644E-2</v>
      </c>
      <c r="V510" s="1258">
        <f>IFERROR(Model!V510/Model!R510-1,"NA")</f>
        <v>1.9824341279799151E-2</v>
      </c>
      <c r="W510" s="1258">
        <f>IFERROR(Model!W510/Model!S510-1,"NA")</f>
        <v>5.3626149131766887E-3</v>
      </c>
      <c r="X510" s="1258">
        <f>IFERROR(Model!X510/Model!T510-1,"NA")</f>
        <v>-4.1907151819322475E-2</v>
      </c>
      <c r="Y510" s="1258">
        <f>IFERROR(Model!Y510/Model!U510-1,"NA")</f>
        <v>-2.6046738072054487E-2</v>
      </c>
      <c r="Z510" s="1258">
        <f>IFERROR(Model!Z510/Model!V510-1,"NA")</f>
        <v>-2.8543307086614123E-2</v>
      </c>
      <c r="AA510" s="1258">
        <f>IFERROR(Model!AA510/Model!W510-1,"NA")</f>
        <v>-1.7272034544069115E-2</v>
      </c>
      <c r="AB510" s="1258">
        <f>IFERROR(Model!AB510/Model!X510-1,"NA")</f>
        <v>-4.295442640125724E-2</v>
      </c>
      <c r="AC510" s="1287">
        <f>IFERROR(Model!AC510/Model!Y510-1,"NA")</f>
        <v>-8.8538961150121942E-3</v>
      </c>
      <c r="AD510" s="1287">
        <f>IFERROR(Model!AD510/Model!Z510-1,"NA")</f>
        <v>4.1925540658700022E-2</v>
      </c>
      <c r="AE510" s="1287">
        <f>IFERROR(Model!AE510/Model!AA510-1,"NA")</f>
        <v>0.11395956011995589</v>
      </c>
      <c r="AF510" s="1287">
        <f>IFERROR(Model!AF510/Model!AB510-1,"NA")</f>
        <v>0.20145997712328745</v>
      </c>
      <c r="AG510" s="1287">
        <f>IFERROR(Model!AG510/Model!AC510-1,"NA")</f>
        <v>0.15339959684782589</v>
      </c>
      <c r="AH510" s="1287">
        <f>IFERROR(Model!AH510/Model!AD510-1,"NA")</f>
        <v>0.17551635645161268</v>
      </c>
      <c r="AI510" s="1287">
        <f>IFERROR(Model!AI510/Model!AE510-1,"NA")</f>
        <v>0.17277328906249956</v>
      </c>
      <c r="AJ510" s="1287"/>
      <c r="AK510" s="1287"/>
      <c r="AL510" s="1287"/>
      <c r="AM510" s="1287"/>
      <c r="AN510" s="1287"/>
      <c r="AO510" s="1287"/>
      <c r="AP510" s="1287"/>
      <c r="AQ510" s="1287"/>
      <c r="AR510" s="1236"/>
      <c r="AS510" s="1248"/>
      <c r="AT510" s="1248"/>
      <c r="AU510" s="1236"/>
      <c r="AV510" s="1236">
        <f>IFERROR(Model!AV510/Model!AU510-1,"NA")</f>
        <v>-2.8929724360566178E-2</v>
      </c>
      <c r="AW510" s="1236">
        <f>IFERROR(Model!AW510/Model!AV510-1,"NA")</f>
        <v>1.4000767165324168E-2</v>
      </c>
      <c r="AX510" s="1236">
        <f>IFERROR(Model!AX510/Model!AW510-1,"NA")</f>
        <v>-1.2168211335981338E-2</v>
      </c>
      <c r="AY510" s="1236">
        <f>IFERROR(Model!AY510/Model!AX510-1,"NA")</f>
        <v>2.7189175389328524E-2</v>
      </c>
      <c r="AZ510" s="1236">
        <f>IFERROR(Model!AZ510/Model!AY510-1,"NA")</f>
        <v>-2.845781036411088E-2</v>
      </c>
      <c r="BA510" s="1236">
        <f>IFERROR(Model!BA510/Model!AZ510-1,"NA")</f>
        <v>2.6030131380691657E-2</v>
      </c>
      <c r="BB510" s="1287">
        <f>IFERROR(Model!BB510/Model!BA510-1,"NA")</f>
        <v>0.17522151997129187</v>
      </c>
      <c r="BC510" s="1287">
        <f>IFERROR(Model!BC510/Model!BB510-1,"NA")</f>
        <v>0.1090565710775715</v>
      </c>
      <c r="BD510" s="1287">
        <f>IFERROR(Model!BD510/Model!BC510-1,"NA")</f>
        <v>9.057692307692311E-2</v>
      </c>
      <c r="BE510" s="1287">
        <f>IFERROR(Model!BE510/Model!BD510-1,"NA")</f>
        <v>8.0000000000000071E-2</v>
      </c>
    </row>
    <row r="511" spans="1:57" x14ac:dyDescent="0.2">
      <c r="B511" s="547" t="s">
        <v>556</v>
      </c>
      <c r="C511" s="548"/>
      <c r="D511" s="1285"/>
      <c r="E511" s="1285"/>
      <c r="F511" s="1285"/>
      <c r="G511" s="1285"/>
      <c r="H511" s="1285">
        <f>IFERROR(Model!H511/Model!D511-1,"NA")</f>
        <v>8.0911374237531364E-2</v>
      </c>
      <c r="I511" s="1285">
        <f>IFERROR(Model!I511/Model!E511-1,"NA")</f>
        <v>0.23322147651006708</v>
      </c>
      <c r="J511" s="1285">
        <f>IFERROR(Model!J511/Model!F511-1,"NA")</f>
        <v>-8.9933206106870278E-2</v>
      </c>
      <c r="K511" s="1285">
        <f>IFERROR(Model!K511/Model!G511-1,"NA")</f>
        <v>-4.2270531400966371E-3</v>
      </c>
      <c r="L511" s="1285">
        <f>IFERROR(Model!L511/Model!H511-1,"NA")</f>
        <v>-0.10124481327800827</v>
      </c>
      <c r="M511" s="1285">
        <f>IFERROR(Model!M511/Model!I511-1,"NA")</f>
        <v>-9.6987366375121509E-2</v>
      </c>
      <c r="N511" s="1285">
        <f>IFERROR(Model!N511/Model!J511-1,"NA")</f>
        <v>0.22359108781127124</v>
      </c>
      <c r="O511" s="1285">
        <f>IFERROR(Model!O511/Model!K511-1,"NA")</f>
        <v>-5.5488174651303845E-2</v>
      </c>
      <c r="P511" s="1285">
        <f>IFERROR(Model!P511/Model!L511-1,"NA")</f>
        <v>-2.6777469990766356E-2</v>
      </c>
      <c r="Q511" s="1285">
        <f>IFERROR(Model!Q511/Model!M511-1,"NA")</f>
        <v>-4.0034438226431379E-2</v>
      </c>
      <c r="R511" s="1285">
        <f>IFERROR(Model!R511/Model!N511-1,"NA")</f>
        <v>-8.4190231362467838E-2</v>
      </c>
      <c r="S511" s="1285">
        <f>IFERROR(Model!S511/Model!O511-1,"NA")</f>
        <v>8.828250401284099E-2</v>
      </c>
      <c r="T511" s="1285">
        <f>IFERROR(Model!T511/Model!P511-1,"NA")</f>
        <v>-0.25806451612903225</v>
      </c>
      <c r="U511" s="1285">
        <f>IFERROR(Model!U511/Model!Q511-1,"NA")</f>
        <v>2.7130044843049372E-2</v>
      </c>
      <c r="V511" s="1285">
        <f>IFERROR(Model!V511/Model!R511-1,"NA")</f>
        <v>2.8070175438596578E-2</v>
      </c>
      <c r="W511" s="1285">
        <f>IFERROR(Model!W511/Model!S511-1,"NA")</f>
        <v>0.25280235988200594</v>
      </c>
      <c r="X511" s="1285">
        <f>IFERROR(Model!X511/Model!T511-1,"NA")</f>
        <v>0.40690537084398981</v>
      </c>
      <c r="Y511" s="1285">
        <f>IFERROR(Model!Y511/Model!U511-1,"NA")</f>
        <v>0.18314778432656631</v>
      </c>
      <c r="Z511" s="1285">
        <f>IFERROR(Model!Z511/Model!V511-1,"NA")</f>
        <v>0.2473265073947668</v>
      </c>
      <c r="AA511" s="1285">
        <f>IFERROR(Model!AA511/Model!W511-1,"NA")</f>
        <v>4.4266541087826683E-2</v>
      </c>
      <c r="AB511" s="1285">
        <f>IFERROR(Model!AB511/Model!X511-1,"NA")</f>
        <v>0.12597709507362298</v>
      </c>
      <c r="AC511" s="1285">
        <f>IFERROR(Model!AC511/Model!Y511-1,"NA")</f>
        <v>0.14337087821721717</v>
      </c>
      <c r="AD511" s="1285">
        <f>IFERROR(Model!AD511/Model!Z511-1,"NA")</f>
        <v>6.2629301129475401E-2</v>
      </c>
      <c r="AE511" s="1285">
        <f>IFERROR(Model!AE511/Model!AA511-1,"NA")</f>
        <v>0.13973352082307167</v>
      </c>
      <c r="AF511" s="1285">
        <f>IFERROR(Model!AF511/Model!AB511-1,"NA")</f>
        <v>6.0797836625818391E-2</v>
      </c>
      <c r="AG511" s="1285">
        <f>IFERROR(Model!AG511/Model!AC511-1,"NA")</f>
        <v>3.4181342267791237E-2</v>
      </c>
      <c r="AH511" s="1285">
        <f>IFERROR(Model!AH511/Model!AD511-1,"NA")</f>
        <v>3.2702991479114374E-3</v>
      </c>
      <c r="AI511" s="1285">
        <f>IFERROR(Model!AI511/Model!AE511-1,"NA")</f>
        <v>-1.7006922825420823E-2</v>
      </c>
      <c r="AJ511" s="1258"/>
      <c r="AK511" s="1258"/>
      <c r="AL511" s="1258"/>
      <c r="AM511" s="1258"/>
      <c r="AN511" s="1258"/>
      <c r="AO511" s="1258"/>
      <c r="AP511" s="1258"/>
      <c r="AQ511" s="1258"/>
      <c r="AR511" s="1236"/>
      <c r="AS511" s="1298"/>
      <c r="AT511" s="1298"/>
      <c r="AU511" s="1246"/>
      <c r="AV511" s="1246">
        <f>IFERROR(Model!AV511/Model!AU511-1,"NA")</f>
        <v>5.9884057971014482E-2</v>
      </c>
      <c r="AW511" s="1246">
        <f>IFERROR(Model!AW511/Model!AV511-1,"NA")</f>
        <v>-2.4011376688727215E-2</v>
      </c>
      <c r="AX511" s="1246">
        <f>IFERROR(Model!AX511/Model!AW511-1,"NA")</f>
        <v>-2.5162519614436274E-2</v>
      </c>
      <c r="AY511" s="1246">
        <f>IFERROR(Model!AY511/Model!AX511-1,"NA")</f>
        <v>-1.506179936763441E-2</v>
      </c>
      <c r="AZ511" s="1246">
        <f>IFERROR(Model!AZ511/Model!AY511-1,"NA")</f>
        <v>0.21624934337243906</v>
      </c>
      <c r="BA511" s="1246">
        <f>IFERROR(Model!BA511/Model!AZ511-1,"NA")</f>
        <v>0.11676370830115301</v>
      </c>
      <c r="BB511" s="1285">
        <f>IFERROR(Model!BB511/Model!BA511-1,"NA")</f>
        <v>2.2409377396404473E-2</v>
      </c>
      <c r="BC511" s="1285">
        <f>IFERROR(Model!BC511/Model!BB511-1,"NA")</f>
        <v>3.5870115975314532E-2</v>
      </c>
      <c r="BD511" s="1285">
        <f>IFERROR(Model!BD511/Model!BC511-1,"NA")</f>
        <v>3.6979305361670489E-2</v>
      </c>
      <c r="BE511" s="1285">
        <f>IFERROR(Model!BE511/Model!BD511-1,"NA")</f>
        <v>4.0376181577536752E-2</v>
      </c>
    </row>
    <row r="512" spans="1:57" x14ac:dyDescent="0.2">
      <c r="B512" s="316" t="s">
        <v>646</v>
      </c>
      <c r="C512" s="387"/>
      <c r="D512" s="1258"/>
      <c r="E512" s="1258"/>
      <c r="F512" s="1258"/>
      <c r="G512" s="1258"/>
      <c r="H512" s="1258">
        <f>IFERROR(Model!H512/Model!D512-1,"NA")</f>
        <v>4.1771885521885599E-2</v>
      </c>
      <c r="I512" s="1258">
        <f>IFERROR(Model!I512/Model!E512-1,"NA")</f>
        <v>0.13173875325319129</v>
      </c>
      <c r="J512" s="1258">
        <f>IFERROR(Model!J512/Model!F512-1,"NA")</f>
        <v>-7.2068798449612448E-2</v>
      </c>
      <c r="K512" s="1258">
        <f>IFERROR(Model!K512/Model!G512-1,"NA")</f>
        <v>-3.9580289547084591E-2</v>
      </c>
      <c r="L512" s="1258">
        <f>IFERROR(Model!L512/Model!H512-1,"NA")</f>
        <v>-6.342793657206347E-2</v>
      </c>
      <c r="M512" s="1258">
        <f>IFERROR(Model!M512/Model!I512-1,"NA")</f>
        <v>-6.8878668418747235E-2</v>
      </c>
      <c r="N512" s="1258">
        <f>IFERROR(Model!N512/Model!J512-1,"NA")</f>
        <v>0.13797154418483237</v>
      </c>
      <c r="O512" s="1258">
        <f>IFERROR(Model!O512/Model!K512-1,"NA")</f>
        <v>-2.7658691743880359E-3</v>
      </c>
      <c r="P512" s="1258">
        <f>IFERROR(Model!P512/Model!L512-1,"NA")</f>
        <v>-2.6097271648873099E-2</v>
      </c>
      <c r="Q512" s="1258">
        <f>IFERROR(Model!Q512/Model!M512-1,"NA")</f>
        <v>-4.3514053863342728E-3</v>
      </c>
      <c r="R512" s="1258">
        <f>IFERROR(Model!R512/Model!N512-1,"NA")</f>
        <v>-5.2534985088322994E-2</v>
      </c>
      <c r="S512" s="1258">
        <f>IFERROR(Model!S512/Model!O512-1,"NA")</f>
        <v>1.31743170156704E-2</v>
      </c>
      <c r="T512" s="1258">
        <f>IFERROR(Model!T512/Model!P512-1,"NA")</f>
        <v>-0.12578894917506367</v>
      </c>
      <c r="U512" s="1258">
        <f>IFERROR(Model!U512/Model!Q512-1,"NA")</f>
        <v>2.6340656744625601E-2</v>
      </c>
      <c r="V512" s="1258">
        <f>IFERROR(Model!V512/Model!R512-1,"NA")</f>
        <v>2.4092009685229954E-2</v>
      </c>
      <c r="W512" s="1258">
        <f>IFERROR(Model!W512/Model!S512-1,"NA")</f>
        <v>0.12017519846701341</v>
      </c>
      <c r="X512" s="1258">
        <f>IFERROR(Model!X512/Model!T512-1,"NA")</f>
        <v>0.18036732108929709</v>
      </c>
      <c r="Y512" s="1258">
        <f>IFERROR(Model!Y512/Model!U512-1,"NA")</f>
        <v>8.4244447001956546E-2</v>
      </c>
      <c r="Z512" s="1258">
        <f>IFERROR(Model!Z512/Model!V512-1,"NA")</f>
        <v>0.11478898214919031</v>
      </c>
      <c r="AA512" s="1258">
        <f>IFERROR(Model!AA512/Model!W512-1,"NA")</f>
        <v>1.4662756598240456E-2</v>
      </c>
      <c r="AB512" s="1258">
        <f>IFERROR(Model!AB512/Model!X512-1,"NA")</f>
        <v>5.676574739778939E-2</v>
      </c>
      <c r="AC512" s="1250">
        <f>IFERROR(Model!AC512/Model!Y512-1,"NA")</f>
        <v>7.8722611355604766E-2</v>
      </c>
      <c r="AD512" s="1250">
        <f>IFERROR(Model!AD512/Model!Z512-1,"NA")</f>
        <v>5.3961385292930153E-2</v>
      </c>
      <c r="AE512" s="1250">
        <f>IFERROR(Model!AE512/Model!AA512-1,"NA")</f>
        <v>0.12772491605905989</v>
      </c>
      <c r="AF512" s="1250">
        <f>IFERROR(Model!AF512/Model!AB512-1,"NA")</f>
        <v>0.11298908981202382</v>
      </c>
      <c r="AG512" s="1250">
        <f>IFERROR(Model!AG512/Model!AC512-1,"NA")</f>
        <v>8.0701609707642952E-2</v>
      </c>
      <c r="AH512" s="1250">
        <f>IFERROR(Model!AH512/Model!AD512-1,"NA")</f>
        <v>7.4559989009851835E-2</v>
      </c>
      <c r="AI512" s="1250">
        <f>IFERROR(Model!AI512/Model!AE512-1,"NA")</f>
        <v>7.0336169853118635E-2</v>
      </c>
      <c r="AJ512" s="1250"/>
      <c r="AK512" s="1250"/>
      <c r="AL512" s="1250"/>
      <c r="AM512" s="1250"/>
      <c r="AN512" s="1250"/>
      <c r="AO512" s="1250"/>
      <c r="AP512" s="1250"/>
      <c r="AQ512" s="1250"/>
      <c r="AR512" s="1236"/>
      <c r="AS512" s="1239"/>
      <c r="AT512" s="1248"/>
      <c r="AU512" s="1250"/>
      <c r="AV512" s="1250">
        <f>IFERROR(Model!AV512/Model!AU512-1,"NA")</f>
        <v>8.7752259402027688E-2</v>
      </c>
      <c r="AW512" s="1250">
        <f>IFERROR(Model!AW512/Model!AV512-1,"NA")</f>
        <v>-6.4919594997021601E-3</v>
      </c>
      <c r="AX512" s="1250">
        <f>IFERROR(Model!AX512/Model!AW512-1,"NA")</f>
        <v>-8.9922666506803139E-4</v>
      </c>
      <c r="AY512" s="1250">
        <f>IFERROR(Model!AY512/Model!AX512-1,"NA")</f>
        <v>-3.1501260050401658E-3</v>
      </c>
      <c r="AZ512" s="1250">
        <f>IFERROR(Model!AZ512/Model!AY512-1,"NA")</f>
        <v>9.7721732326120359E-2</v>
      </c>
      <c r="BA512" s="1250">
        <f>IFERROR(Model!BA512/Model!AZ512-1,"NA")</f>
        <v>7.7867228377691333E-2</v>
      </c>
      <c r="BB512" s="1250">
        <f>IFERROR(Model!BB512/Model!BA512-1,"NA")</f>
        <v>8.4767779781003805E-2</v>
      </c>
      <c r="BC512" s="1250">
        <f>IFERROR(Model!BC512/Model!BB512-1,"NA")</f>
        <v>6.8225814880555458E-2</v>
      </c>
      <c r="BD512" s="1250">
        <f>IFERROR(Model!BD512/Model!BC512-1,"NA")</f>
        <v>6.158049963021317E-2</v>
      </c>
      <c r="BE512" s="1250">
        <f>IFERROR(Model!BE512/Model!BD512-1,"NA")</f>
        <v>5.9060204864002985E-2</v>
      </c>
    </row>
    <row r="513" spans="1:57" x14ac:dyDescent="0.2">
      <c r="B513" s="322"/>
      <c r="C513" s="387"/>
      <c r="D513" s="1258"/>
      <c r="E513" s="1258"/>
      <c r="F513" s="1258"/>
      <c r="G513" s="1258"/>
      <c r="H513" s="1258"/>
      <c r="I513" s="1258"/>
      <c r="J513" s="1258"/>
      <c r="K513" s="1258"/>
      <c r="L513" s="1258"/>
      <c r="M513" s="1258"/>
      <c r="N513" s="1258"/>
      <c r="O513" s="1258"/>
      <c r="P513" s="1258"/>
      <c r="Q513" s="1258"/>
      <c r="R513" s="1258"/>
      <c r="S513" s="1258"/>
      <c r="T513" s="1258"/>
      <c r="U513" s="1258"/>
      <c r="V513" s="1258"/>
      <c r="W513" s="1258"/>
      <c r="X513" s="1258"/>
      <c r="Y513" s="1258"/>
      <c r="Z513" s="1258"/>
      <c r="AA513" s="1258"/>
      <c r="AB513" s="1258"/>
      <c r="AC513" s="1236"/>
      <c r="AD513" s="1236"/>
      <c r="AE513" s="1236"/>
      <c r="AF513" s="1236"/>
      <c r="AG513" s="1236"/>
      <c r="AH513" s="1236"/>
      <c r="AI513" s="1236"/>
      <c r="AJ513" s="1236"/>
      <c r="AK513" s="1236"/>
      <c r="AL513" s="1236"/>
      <c r="AM513" s="1236"/>
      <c r="AN513" s="1236"/>
      <c r="AO513" s="1236"/>
      <c r="AP513" s="1236"/>
      <c r="AQ513" s="1236"/>
      <c r="AR513" s="1236"/>
      <c r="AS513" s="1248"/>
      <c r="AT513" s="1248"/>
      <c r="AU513" s="1236"/>
      <c r="AV513" s="1236"/>
      <c r="AW513" s="1236"/>
      <c r="AX513" s="1236"/>
      <c r="AY513" s="1236"/>
      <c r="AZ513" s="1236"/>
      <c r="BA513" s="1236"/>
      <c r="BB513" s="1236"/>
      <c r="BC513" s="1236"/>
      <c r="BD513" s="1236"/>
      <c r="BE513" s="1236"/>
    </row>
    <row r="514" spans="1:57" x14ac:dyDescent="0.2">
      <c r="B514" s="316" t="s">
        <v>558</v>
      </c>
      <c r="C514" s="387"/>
      <c r="D514" s="1299"/>
      <c r="E514" s="1299"/>
      <c r="F514" s="1299"/>
      <c r="G514" s="1299"/>
      <c r="H514" s="1299"/>
      <c r="I514" s="1299"/>
      <c r="J514" s="1299"/>
      <c r="K514" s="1299"/>
      <c r="L514" s="1299"/>
      <c r="M514" s="1299"/>
      <c r="N514" s="1299"/>
      <c r="O514" s="1299"/>
      <c r="P514" s="1299"/>
      <c r="Q514" s="1299"/>
      <c r="R514" s="1299"/>
      <c r="S514" s="1299"/>
      <c r="T514" s="1299"/>
      <c r="U514" s="1299"/>
      <c r="V514" s="1299"/>
      <c r="W514" s="1299"/>
      <c r="X514" s="1299"/>
      <c r="Y514" s="1299"/>
      <c r="Z514" s="1299"/>
      <c r="AA514" s="1299"/>
      <c r="AB514" s="1299"/>
      <c r="AC514" s="1452"/>
      <c r="AD514" s="1452"/>
      <c r="AE514" s="1452"/>
      <c r="AF514" s="1452"/>
      <c r="AG514" s="1452"/>
      <c r="AH514" s="1452"/>
      <c r="AI514" s="1452"/>
      <c r="AJ514" s="1452"/>
      <c r="AK514" s="1452"/>
      <c r="AL514" s="1452"/>
      <c r="AM514" s="1452"/>
      <c r="AN514" s="1452"/>
      <c r="AO514" s="1452"/>
      <c r="AP514" s="1452"/>
      <c r="AQ514" s="1452"/>
      <c r="AR514" s="1236"/>
      <c r="AS514" s="1239"/>
      <c r="AT514" s="1248"/>
      <c r="AU514" s="1299"/>
      <c r="AV514" s="1299"/>
      <c r="AW514" s="1299"/>
      <c r="AX514" s="1299"/>
      <c r="AY514" s="1299"/>
      <c r="AZ514" s="1299"/>
      <c r="BA514" s="1299"/>
      <c r="BB514" s="1452"/>
      <c r="BC514" s="1452"/>
      <c r="BD514" s="1452"/>
      <c r="BE514" s="1452"/>
    </row>
    <row r="515" spans="1:57" x14ac:dyDescent="0.2">
      <c r="C515" s="387"/>
      <c r="D515" s="1258"/>
      <c r="E515" s="1258"/>
      <c r="F515" s="1258"/>
      <c r="G515" s="1258"/>
      <c r="H515" s="1258"/>
      <c r="I515" s="1258"/>
      <c r="J515" s="1258"/>
      <c r="K515" s="1258"/>
      <c r="L515" s="1258"/>
      <c r="M515" s="1258"/>
      <c r="N515" s="1258"/>
      <c r="O515" s="1258"/>
      <c r="P515" s="1258"/>
      <c r="Q515" s="1258"/>
      <c r="R515" s="1258"/>
      <c r="S515" s="1258"/>
      <c r="T515" s="1258"/>
      <c r="U515" s="1258"/>
      <c r="V515" s="1258"/>
      <c r="W515" s="1258"/>
      <c r="X515" s="1250"/>
      <c r="Y515" s="1250"/>
      <c r="Z515" s="1250"/>
      <c r="AA515" s="1250"/>
      <c r="AB515" s="1250"/>
      <c r="AC515" s="1236"/>
      <c r="AD515" s="1236"/>
      <c r="AE515" s="1236"/>
      <c r="AF515" s="1236"/>
      <c r="AG515" s="1236"/>
      <c r="AH515" s="1236"/>
      <c r="AI515" s="1236"/>
      <c r="AJ515" s="1236"/>
      <c r="AK515" s="1236"/>
      <c r="AL515" s="1236"/>
      <c r="AM515" s="1236"/>
      <c r="AN515" s="1236"/>
      <c r="AO515" s="1236"/>
      <c r="AP515" s="1236"/>
      <c r="AQ515" s="1236"/>
      <c r="AR515" s="1236"/>
      <c r="AS515" s="1248"/>
      <c r="AT515" s="1248"/>
      <c r="AU515" s="1236"/>
      <c r="AV515" s="1236"/>
      <c r="AW515" s="1236"/>
      <c r="AX515" s="1236"/>
      <c r="AY515" s="1236"/>
      <c r="AZ515" s="1236"/>
      <c r="BA515" s="1236"/>
      <c r="BB515" s="1236"/>
      <c r="BC515" s="1236"/>
      <c r="BD515" s="1236"/>
      <c r="BE515" s="1236"/>
    </row>
    <row r="516" spans="1:57" x14ac:dyDescent="0.2">
      <c r="B516" s="48" t="s">
        <v>259</v>
      </c>
      <c r="C516" s="12"/>
      <c r="D516" s="1450"/>
      <c r="E516" s="1450"/>
      <c r="F516" s="1450"/>
      <c r="G516" s="1450"/>
      <c r="H516" s="1450"/>
      <c r="I516" s="1450"/>
      <c r="J516" s="1450"/>
      <c r="K516" s="1450"/>
      <c r="L516" s="1450"/>
      <c r="M516" s="1450"/>
      <c r="N516" s="1450"/>
      <c r="O516" s="1450"/>
      <c r="P516" s="1450"/>
      <c r="Q516" s="1450"/>
      <c r="R516" s="1450"/>
      <c r="S516" s="1450"/>
      <c r="T516" s="1450"/>
      <c r="U516" s="1450"/>
      <c r="V516" s="1450"/>
      <c r="W516" s="1450"/>
      <c r="X516" s="1398"/>
      <c r="Y516" s="1398"/>
      <c r="Z516" s="1398"/>
      <c r="AA516" s="1398"/>
      <c r="AB516" s="1398"/>
      <c r="AC516" s="1271"/>
      <c r="AD516" s="1271"/>
      <c r="AE516" s="1271"/>
      <c r="AF516" s="1271"/>
      <c r="AG516" s="1271"/>
      <c r="AH516" s="1271"/>
      <c r="AI516" s="1271"/>
      <c r="AJ516" s="1271"/>
      <c r="AK516" s="1271"/>
      <c r="AL516" s="1271"/>
      <c r="AM516" s="1271"/>
      <c r="AN516" s="1271"/>
      <c r="AO516" s="1271"/>
      <c r="AP516" s="1271"/>
      <c r="AQ516" s="1271"/>
      <c r="AR516" s="1236"/>
      <c r="AS516" s="1451"/>
      <c r="AT516" s="1398"/>
      <c r="AU516" s="1398"/>
      <c r="AV516" s="1398"/>
      <c r="AW516" s="1398"/>
      <c r="AX516" s="1398"/>
      <c r="AY516" s="1398"/>
      <c r="AZ516" s="1398"/>
      <c r="BA516" s="1398"/>
      <c r="BB516" s="1398"/>
      <c r="BC516" s="1398"/>
      <c r="BD516" s="1398"/>
      <c r="BE516" s="1398"/>
    </row>
    <row r="517" spans="1:57" s="382" customFormat="1" x14ac:dyDescent="0.2">
      <c r="A517" s="411"/>
      <c r="B517" s="315" t="s">
        <v>7</v>
      </c>
      <c r="C517" s="321"/>
      <c r="D517" s="1260"/>
      <c r="E517" s="1260"/>
      <c r="F517" s="1260"/>
      <c r="G517" s="1260"/>
      <c r="H517" s="1260">
        <f>IFERROR(Model!H517/Model!D517-1,"NA")</f>
        <v>1.1764705882352899E-2</v>
      </c>
      <c r="I517" s="1260">
        <f>IFERROR(Model!I517/Model!E517-1,"NA")</f>
        <v>-0.16447368421052633</v>
      </c>
      <c r="J517" s="1260">
        <f>IFERROR(Model!J517/Model!F517-1,"NA")</f>
        <v>-0.34715025906735753</v>
      </c>
      <c r="K517" s="1260">
        <f>IFERROR(Model!K517/Model!G517-1,"NA")</f>
        <v>-0.42021276595744683</v>
      </c>
      <c r="L517" s="1260">
        <f>IFERROR(Model!L517/Model!H517-1,"NA")</f>
        <v>-0.29651162790697672</v>
      </c>
      <c r="M517" s="1260">
        <f>IFERROR(Model!M517/Model!I517-1,"NA")</f>
        <v>-3.1496062992126039E-2</v>
      </c>
      <c r="N517" s="1260">
        <f>IFERROR(Model!N517/Model!J517-1,"NA")</f>
        <v>-0.23015873015873012</v>
      </c>
      <c r="O517" s="1260">
        <f>IFERROR(Model!O517/Model!K517-1,"NA")</f>
        <v>4.587155963302747E-2</v>
      </c>
      <c r="P517" s="1260">
        <f>IFERROR(Model!P517/Model!L517-1,"NA")</f>
        <v>6.6115702479338845E-2</v>
      </c>
      <c r="Q517" s="1260">
        <f>IFERROR(Model!Q517/Model!M517-1,"NA")</f>
        <v>-0.13821138211382111</v>
      </c>
      <c r="R517" s="1260">
        <f>IFERROR(Model!R517/Model!N517-1,"NA")</f>
        <v>0.18556701030927836</v>
      </c>
      <c r="S517" s="1260">
        <f>IFERROR(Model!S517/Model!O517-1,"NA")</f>
        <v>2.6315789473684292E-2</v>
      </c>
      <c r="T517" s="1260">
        <f>IFERROR(Model!T517/Model!P517-1,"NA")</f>
        <v>-3.8759689922480578E-2</v>
      </c>
      <c r="U517" s="1260">
        <f>IFERROR(Model!U517/Model!Q517-1,"NA")</f>
        <v>6.60377358490567E-2</v>
      </c>
      <c r="V517" s="1260">
        <f>IFERROR(Model!V517/Model!R517-1,"NA")</f>
        <v>0</v>
      </c>
      <c r="W517" s="1260">
        <f>IFERROR(Model!W517/Model!S517-1,"NA")</f>
        <v>4.2735042735042805E-2</v>
      </c>
      <c r="X517" s="1260">
        <f>IFERROR(Model!X517/Model!T517-1,"NA")</f>
        <v>0.14516129032258074</v>
      </c>
      <c r="Y517" s="1260">
        <f>IFERROR(Model!Y517/Model!U517-1,"NA")</f>
        <v>0.39823008849557517</v>
      </c>
      <c r="Z517" s="1260">
        <f>IFERROR(Model!Z517/Model!V517-1,"NA")</f>
        <v>0.48695652173913051</v>
      </c>
      <c r="AA517" s="1260">
        <f>IFERROR(Model!AA517/Model!W517-1,"NA")</f>
        <v>0.39344262295081966</v>
      </c>
      <c r="AB517" s="1260">
        <f>IFERROR(Model!AB517/Model!X517-1,"NA")</f>
        <v>0.23943661971830976</v>
      </c>
      <c r="AC517" s="1287" t="str">
        <f>IFERROR(Model!AC517/Model!Y517-1,"NA")</f>
        <v>NA</v>
      </c>
      <c r="AD517" s="1287" t="str">
        <f>IFERROR(Model!AD517/Model!Z517-1,"NA")</f>
        <v>NA</v>
      </c>
      <c r="AE517" s="1287" t="str">
        <f>IFERROR(Model!AE517/Model!AA517-1,"NA")</f>
        <v>NA</v>
      </c>
      <c r="AF517" s="1287" t="str">
        <f>IFERROR(Model!AF517/Model!AB517-1,"NA")</f>
        <v>NA</v>
      </c>
      <c r="AG517" s="1287" t="str">
        <f>IFERROR(Model!AG517/Model!AC517-1,"NA")</f>
        <v>NA</v>
      </c>
      <c r="AH517" s="1287" t="str">
        <f>IFERROR(Model!AH517/Model!AD517-1,"NA")</f>
        <v>NA</v>
      </c>
      <c r="AI517" s="1287" t="str">
        <f>IFERROR(Model!AI517/Model!AE517-1,"NA")</f>
        <v>NA</v>
      </c>
      <c r="AJ517" s="1287"/>
      <c r="AK517" s="1287"/>
      <c r="AL517" s="1287"/>
      <c r="AM517" s="1287"/>
      <c r="AN517" s="1287"/>
      <c r="AO517" s="1287"/>
      <c r="AP517" s="1287"/>
      <c r="AQ517" s="1287"/>
      <c r="AR517" s="1236"/>
      <c r="AS517" s="1400"/>
      <c r="AT517" s="1284"/>
      <c r="AU517" s="1236"/>
      <c r="AV517" s="1236">
        <f>IFERROR(Model!AV517/Model!AU517-1,"NA")</f>
        <v>-0.24039829302987192</v>
      </c>
      <c r="AW517" s="1236">
        <f>IFERROR(Model!AW517/Model!AV517-1,"NA")</f>
        <v>-0.14794007490636707</v>
      </c>
      <c r="AX517" s="1236">
        <f>IFERROR(Model!AX517/Model!AW517-1,"NA")</f>
        <v>2.637362637362628E-2</v>
      </c>
      <c r="AY517" s="1236">
        <f>IFERROR(Model!AY517/Model!AX517-1,"NA")</f>
        <v>1.4989293361884259E-2</v>
      </c>
      <c r="AZ517" s="1236" t="str">
        <f>IFERROR(Model!AZ517/Model!AY517-1,"NA")</f>
        <v>NA</v>
      </c>
      <c r="BA517" s="1236" t="str">
        <f>IFERROR(Model!BA517/Model!AZ517-1,"NA")</f>
        <v>NA</v>
      </c>
      <c r="BB517" s="1236" t="str">
        <f>IFERROR(Model!BB517/Model!BA517-1,"NA")</f>
        <v>NA</v>
      </c>
      <c r="BC517" s="1236" t="str">
        <f>IFERROR(Model!BC517/Model!BB517-1,"NA")</f>
        <v>NA</v>
      </c>
      <c r="BD517" s="1236" t="str">
        <f>IFERROR(Model!BD517/Model!BC517-1,"NA")</f>
        <v>NA</v>
      </c>
      <c r="BE517" s="1236" t="str">
        <f>IFERROR(Model!BE517/Model!BD517-1,"NA")</f>
        <v>NA</v>
      </c>
    </row>
    <row r="518" spans="1:57" s="382" customFormat="1" x14ac:dyDescent="0.2">
      <c r="A518" s="411"/>
      <c r="B518" s="315" t="s">
        <v>255</v>
      </c>
      <c r="C518" s="321"/>
      <c r="D518" s="1260"/>
      <c r="E518" s="1260"/>
      <c r="F518" s="1260"/>
      <c r="G518" s="1260"/>
      <c r="H518" s="1260">
        <f>IFERROR(Model!H518/Model!D518-1,"NA")</f>
        <v>-4.339963833634719E-2</v>
      </c>
      <c r="I518" s="1260">
        <f>IFERROR(Model!I518/Model!E518-1,"NA")</f>
        <v>0.42553191489361697</v>
      </c>
      <c r="J518" s="1260">
        <f>IFERROR(Model!J518/Model!F518-1,"NA")</f>
        <v>-0.27537168713639304</v>
      </c>
      <c r="K518" s="1260">
        <f>IFERROR(Model!K518/Model!G518-1,"NA")</f>
        <v>0.23506493506493498</v>
      </c>
      <c r="L518" s="1260">
        <f>IFERROR(Model!L518/Model!H518-1,"NA")</f>
        <v>-9.0359168241965993E-2</v>
      </c>
      <c r="M518" s="1260">
        <f>IFERROR(Model!M518/Model!I518-1,"NA")</f>
        <v>1.2537313432835928E-2</v>
      </c>
      <c r="N518" s="1260">
        <f>IFERROR(Model!N518/Model!J518-1,"NA")</f>
        <v>0.39250669045495101</v>
      </c>
      <c r="O518" s="1260">
        <f>IFERROR(Model!O518/Model!K518-1,"NA")</f>
        <v>-0.46582544689800209</v>
      </c>
      <c r="P518" s="1260">
        <f>IFERROR(Model!P518/Model!L518-1,"NA")</f>
        <v>-0.16334164588528677</v>
      </c>
      <c r="Q518" s="1260">
        <f>IFERROR(Model!Q518/Model!M518-1,"NA")</f>
        <v>-0.10200471698113212</v>
      </c>
      <c r="R518" s="1260">
        <f>IFERROR(Model!R518/Model!N518-1,"NA")</f>
        <v>-0.31902626521460598</v>
      </c>
      <c r="S518" s="1260">
        <f>IFERROR(Model!S518/Model!O518-1,"NA")</f>
        <v>0.52559055118110232</v>
      </c>
      <c r="T518" s="1260">
        <f>IFERROR(Model!T518/Model!P518-1,"NA")</f>
        <v>-0.33233979135618474</v>
      </c>
      <c r="U518" s="1260">
        <f>IFERROR(Model!U518/Model!Q518-1,"NA")</f>
        <v>0.15889691398555472</v>
      </c>
      <c r="V518" s="1260">
        <f>IFERROR(Model!V518/Model!R518-1,"NA")</f>
        <v>0.71683913452492942</v>
      </c>
      <c r="W518" s="1260">
        <f>IFERROR(Model!W518/Model!S518-1,"NA")</f>
        <v>1.0696774193548388</v>
      </c>
      <c r="X518" s="1260">
        <f>IFERROR(Model!X518/Model!T518-1,"NA")</f>
        <v>0.75595238095238093</v>
      </c>
      <c r="Y518" s="1260">
        <f>IFERROR(Model!Y518/Model!U518-1,"NA")</f>
        <v>9.6317280453257714E-2</v>
      </c>
      <c r="Z518" s="1260">
        <f>IFERROR(Model!Z518/Model!V518-1,"NA")</f>
        <v>-0.12767123287671234</v>
      </c>
      <c r="AA518" s="1260">
        <f>IFERROR(Model!AA518/Model!W518-1,"NA")</f>
        <v>-0.30922693266832912</v>
      </c>
      <c r="AB518" s="1260">
        <f>IFERROR(Model!AB518/Model!X518-1,"NA")</f>
        <v>-7.4576271186440724E-2</v>
      </c>
      <c r="AC518" s="1287" t="str">
        <f>IFERROR(Model!AC518/Model!Y518-1,"NA")</f>
        <v>NA</v>
      </c>
      <c r="AD518" s="1287" t="str">
        <f>IFERROR(Model!AD518/Model!Z518-1,"NA")</f>
        <v>NA</v>
      </c>
      <c r="AE518" s="1287" t="str">
        <f>IFERROR(Model!AE518/Model!AA518-1,"NA")</f>
        <v>NA</v>
      </c>
      <c r="AF518" s="1287" t="str">
        <f>IFERROR(Model!AF518/Model!AB518-1,"NA")</f>
        <v>NA</v>
      </c>
      <c r="AG518" s="1287" t="str">
        <f>IFERROR(Model!AG518/Model!AC518-1,"NA")</f>
        <v>NA</v>
      </c>
      <c r="AH518" s="1287" t="str">
        <f>IFERROR(Model!AH518/Model!AD518-1,"NA")</f>
        <v>NA</v>
      </c>
      <c r="AI518" s="1287" t="str">
        <f>IFERROR(Model!AI518/Model!AE518-1,"NA")</f>
        <v>NA</v>
      </c>
      <c r="AJ518" s="1287"/>
      <c r="AK518" s="1287"/>
      <c r="AL518" s="1287"/>
      <c r="AM518" s="1287"/>
      <c r="AN518" s="1287"/>
      <c r="AO518" s="1287"/>
      <c r="AP518" s="1287"/>
      <c r="AQ518" s="1287"/>
      <c r="AR518" s="1236"/>
      <c r="AS518" s="1400"/>
      <c r="AT518" s="1284"/>
      <c r="AU518" s="1236"/>
      <c r="AV518" s="1236">
        <f>IFERROR(Model!AV518/Model!AU518-1,"NA")</f>
        <v>2.1575835064727489E-2</v>
      </c>
      <c r="AW518" s="1236">
        <f>IFERROR(Model!AW518/Model!AV518-1,"NA")</f>
        <v>-3.4574468085106336E-2</v>
      </c>
      <c r="AX518" s="1236">
        <f>IFERROR(Model!AX518/Model!AW518-1,"NA")</f>
        <v>-0.12915248744125751</v>
      </c>
      <c r="AY518" s="1236">
        <f>IFERROR(Model!AY518/Model!AX518-1,"NA")</f>
        <v>0.21659843691849656</v>
      </c>
      <c r="AZ518" s="1236" t="str">
        <f>IFERROR(Model!AZ518/Model!AY518-1,"NA")</f>
        <v>NA</v>
      </c>
      <c r="BA518" s="1236" t="str">
        <f>IFERROR(Model!BA518/Model!AZ518-1,"NA")</f>
        <v>NA</v>
      </c>
      <c r="BB518" s="1236" t="str">
        <f>IFERROR(Model!BB518/Model!BA518-1,"NA")</f>
        <v>NA</v>
      </c>
      <c r="BC518" s="1236" t="str">
        <f>IFERROR(Model!BC518/Model!BB518-1,"NA")</f>
        <v>NA</v>
      </c>
      <c r="BD518" s="1236" t="str">
        <f>IFERROR(Model!BD518/Model!BC518-1,"NA")</f>
        <v>NA</v>
      </c>
      <c r="BE518" s="1236" t="str">
        <f>IFERROR(Model!BE518/Model!BD518-1,"NA")</f>
        <v>NA</v>
      </c>
    </row>
    <row r="519" spans="1:57" s="382" customFormat="1" x14ac:dyDescent="0.2">
      <c r="A519" s="411"/>
      <c r="B519" s="375" t="s">
        <v>16</v>
      </c>
      <c r="C519" s="376"/>
      <c r="D519" s="1268"/>
      <c r="E519" s="1268"/>
      <c r="F519" s="1268"/>
      <c r="G519" s="1268"/>
      <c r="H519" s="1268">
        <f>IFERROR(Model!H519/Model!D519-1,"NA")</f>
        <v>0.28176795580110503</v>
      </c>
      <c r="I519" s="1268">
        <f>IFERROR(Model!I519/Model!E519-1,"NA")</f>
        <v>2.691358024691358</v>
      </c>
      <c r="J519" s="1268">
        <f>IFERROR(Model!J519/Model!F519-1,"NA")</f>
        <v>-0.47669491525423724</v>
      </c>
      <c r="K519" s="1268">
        <f>IFERROR(Model!K519/Model!G519-1,"NA")</f>
        <v>-0.9058441558441559</v>
      </c>
      <c r="L519" s="1268">
        <f>IFERROR(Model!L519/Model!H519-1,"NA")</f>
        <v>-0.86637931034482762</v>
      </c>
      <c r="M519" s="1268">
        <f>IFERROR(Model!M519/Model!I519-1,"NA")</f>
        <v>-0.70568561872909696</v>
      </c>
      <c r="N519" s="1268">
        <f>IFERROR(Model!N519/Model!J519-1,"NA")</f>
        <v>-0.51417004048583004</v>
      </c>
      <c r="O519" s="1268">
        <f>IFERROR(Model!O519/Model!K519-1,"NA")</f>
        <v>3.9655172413793105</v>
      </c>
      <c r="P519" s="1268">
        <f>IFERROR(Model!P519/Model!L519-1,"NA")</f>
        <v>1.596774193548387</v>
      </c>
      <c r="Q519" s="1268">
        <f>IFERROR(Model!Q519/Model!M519-1,"NA")</f>
        <v>0.27272727272727271</v>
      </c>
      <c r="R519" s="1268">
        <f>IFERROR(Model!R519/Model!N519-1,"NA")</f>
        <v>-0.65</v>
      </c>
      <c r="S519" s="1268">
        <f>IFERROR(Model!S519/Model!O519-1,"NA")</f>
        <v>-0.89583333333333337</v>
      </c>
      <c r="T519" s="1268">
        <f>IFERROR(Model!T519/Model!P519-1,"NA")</f>
        <v>0.34161490683229823</v>
      </c>
      <c r="U519" s="1268">
        <f>IFERROR(Model!U519/Model!Q519-1,"NA")</f>
        <v>0.90178571428571419</v>
      </c>
      <c r="V519" s="1268">
        <f>IFERROR(Model!V519/Model!R519-1,"NA")</f>
        <v>3.0714285714285712</v>
      </c>
      <c r="W519" s="1268">
        <f>IFERROR(Model!W519/Model!S519-1,"NA")</f>
        <v>-1.6</v>
      </c>
      <c r="X519" s="1268">
        <f>IFERROR(Model!X519/Model!T519-1,"NA")</f>
        <v>-0.30092592592592593</v>
      </c>
      <c r="Y519" s="1268">
        <f>IFERROR(Model!Y519/Model!U519-1,"NA")</f>
        <v>-0.14084507042253525</v>
      </c>
      <c r="Z519" s="1268">
        <f>IFERROR(Model!Z519/Model!V519-1,"NA")</f>
        <v>-0.23976608187134507</v>
      </c>
      <c r="AA519" s="1268">
        <f>IFERROR(Model!AA519/Model!W519-1,"NA")</f>
        <v>-15.666666666666666</v>
      </c>
      <c r="AB519" s="1268">
        <f>IFERROR(Model!AB519/Model!X519-1,"NA")</f>
        <v>0.82781456953642385</v>
      </c>
      <c r="AC519" s="1289" t="str">
        <f>IFERROR(Model!AC519/Model!Y519-1,"NA")</f>
        <v>NA</v>
      </c>
      <c r="AD519" s="1289" t="str">
        <f>IFERROR(Model!AD519/Model!Z519-1,"NA")</f>
        <v>NA</v>
      </c>
      <c r="AE519" s="1289" t="str">
        <f>IFERROR(Model!AE519/Model!AA519-1,"NA")</f>
        <v>NA</v>
      </c>
      <c r="AF519" s="1289" t="str">
        <f>IFERROR(Model!AF519/Model!AB519-1,"NA")</f>
        <v>NA</v>
      </c>
      <c r="AG519" s="1289" t="str">
        <f>IFERROR(Model!AG519/Model!AC519-1,"NA")</f>
        <v>NA</v>
      </c>
      <c r="AH519" s="1289" t="str">
        <f>IFERROR(Model!AH519/Model!AD519-1,"NA")</f>
        <v>NA</v>
      </c>
      <c r="AI519" s="1289" t="str">
        <f>IFERROR(Model!AI519/Model!AE519-1,"NA")</f>
        <v>NA</v>
      </c>
      <c r="AJ519" s="1301"/>
      <c r="AK519" s="1301"/>
      <c r="AL519" s="1301"/>
      <c r="AM519" s="1301"/>
      <c r="AN519" s="1301"/>
      <c r="AO519" s="1301"/>
      <c r="AP519" s="1301"/>
      <c r="AQ519" s="1301"/>
      <c r="AR519" s="1236"/>
      <c r="AS519" s="1402"/>
      <c r="AT519" s="1270"/>
      <c r="AU519" s="1246"/>
      <c r="AV519" s="1246">
        <f>IFERROR(Model!AV519/Model!AU519-1,"NA")</f>
        <v>-0.15044971381847916</v>
      </c>
      <c r="AW519" s="1246">
        <f>IFERROR(Model!AW519/Model!AV519-1,"NA")</f>
        <v>-0.60153994225216556</v>
      </c>
      <c r="AX519" s="1246">
        <f>IFERROR(Model!AX519/Model!AW519-1,"NA")</f>
        <v>-0.20289855072463769</v>
      </c>
      <c r="AY519" s="1246">
        <f>IFERROR(Model!AY519/Model!AX519-1,"NA")</f>
        <v>0.79090909090909101</v>
      </c>
      <c r="AZ519" s="1246" t="str">
        <f>IFERROR(Model!AZ519/Model!AY519-1,"NA")</f>
        <v>NA</v>
      </c>
      <c r="BA519" s="1246" t="str">
        <f>IFERROR(Model!BA519/Model!AZ519-1,"NA")</f>
        <v>NA</v>
      </c>
      <c r="BB519" s="1246" t="str">
        <f>IFERROR(Model!BB519/Model!BA519-1,"NA")</f>
        <v>NA</v>
      </c>
      <c r="BC519" s="1246" t="str">
        <f>IFERROR(Model!BC519/Model!BB519-1,"NA")</f>
        <v>NA</v>
      </c>
      <c r="BD519" s="1246" t="str">
        <f>IFERROR(Model!BD519/Model!BC519-1,"NA")</f>
        <v>NA</v>
      </c>
      <c r="BE519" s="1246" t="str">
        <f>IFERROR(Model!BE519/Model!BD519-1,"NA")</f>
        <v>NA</v>
      </c>
    </row>
    <row r="520" spans="1:57" s="382" customFormat="1" x14ac:dyDescent="0.2">
      <c r="A520" s="411"/>
      <c r="B520" s="321" t="s">
        <v>293</v>
      </c>
      <c r="C520" s="321"/>
      <c r="D520" s="1258"/>
      <c r="E520" s="1258"/>
      <c r="F520" s="1258"/>
      <c r="G520" s="1258"/>
      <c r="H520" s="1258">
        <f>IFERROR(Model!H520/Model!D520-1,"NA")</f>
        <v>-4.8528965726417628E-3</v>
      </c>
      <c r="I520" s="1258">
        <f>IFERROR(Model!I520/Model!E520-1,"NA")</f>
        <v>0.4921875</v>
      </c>
      <c r="J520" s="1258">
        <f>IFERROR(Model!J520/Model!F520-1,"NA")</f>
        <v>-0.32459312839059673</v>
      </c>
      <c r="K520" s="1258">
        <f>IFERROR(Model!K520/Model!G520-1,"NA")</f>
        <v>-0.1398104265402843</v>
      </c>
      <c r="L520" s="1258">
        <f>IFERROR(Model!L520/Model!H520-1,"NA")</f>
        <v>-0.21091130752819265</v>
      </c>
      <c r="M520" s="1258">
        <f>IFERROR(Model!M520/Model!I520-1,"NA")</f>
        <v>-9.2336982389338407E-2</v>
      </c>
      <c r="N520" s="1258">
        <f>IFERROR(Model!N520/Model!J520-1,"NA")</f>
        <v>0.19009370816599724</v>
      </c>
      <c r="O520" s="1258">
        <f>IFERROR(Model!O520/Model!K520-1,"NA")</f>
        <v>-0.29660238751147838</v>
      </c>
      <c r="P520" s="1258">
        <f>IFERROR(Model!P520/Model!L520-1,"NA")</f>
        <v>-0.11046736191579765</v>
      </c>
      <c r="Q520" s="1258">
        <f>IFERROR(Model!Q520/Model!M520-1,"NA")</f>
        <v>-8.7047718930256979E-2</v>
      </c>
      <c r="R520" s="1258">
        <f>IFERROR(Model!R520/Model!N520-1,"NA")</f>
        <v>-0.31383577052868394</v>
      </c>
      <c r="S520" s="1258">
        <f>IFERROR(Model!S520/Model!O520-1,"NA")</f>
        <v>0.18407310704960844</v>
      </c>
      <c r="T520" s="1258">
        <f>IFERROR(Model!T520/Model!P520-1,"NA")</f>
        <v>-0.2687798523664785</v>
      </c>
      <c r="U520" s="1258">
        <f>IFERROR(Model!U520/Model!Q520-1,"NA")</f>
        <v>0.20103388856978754</v>
      </c>
      <c r="V520" s="1258">
        <f>IFERROR(Model!V520/Model!R520-1,"NA")</f>
        <v>0.73032786885245904</v>
      </c>
      <c r="W520" s="1258">
        <f>IFERROR(Model!W520/Model!S520-1,"NA")</f>
        <v>0.89305402425578828</v>
      </c>
      <c r="X520" s="1258">
        <f>IFERROR(Model!X520/Model!T520-1,"NA")</f>
        <v>0.57541567695961993</v>
      </c>
      <c r="Y520" s="1258">
        <f>IFERROR(Model!Y520/Model!U520-1,"NA")</f>
        <v>8.8474414155906178E-2</v>
      </c>
      <c r="Z520" s="1258">
        <f>IFERROR(Model!Z520/Model!V520-1,"NA")</f>
        <v>-0.1032685930838465</v>
      </c>
      <c r="AA520" s="1258">
        <f>IFERROR(Model!AA520/Model!W520-1,"NA")</f>
        <v>-0.17880023296447289</v>
      </c>
      <c r="AB520" s="1258">
        <f>IFERROR(Model!AB520/Model!X520-1,"NA")</f>
        <v>-6.4078401809272156E-3</v>
      </c>
      <c r="AC520" s="1287" t="str">
        <f>IFERROR(Model!AC520/Model!Y520-1,"NA")</f>
        <v>NA</v>
      </c>
      <c r="AD520" s="1287" t="str">
        <f>IFERROR(Model!AD520/Model!Z520-1,"NA")</f>
        <v>NA</v>
      </c>
      <c r="AE520" s="1287" t="str">
        <f>IFERROR(Model!AE520/Model!AA520-1,"NA")</f>
        <v>NA</v>
      </c>
      <c r="AF520" s="1287" t="str">
        <f>IFERROR(Model!AF520/Model!AB520-1,"NA")</f>
        <v>NA</v>
      </c>
      <c r="AG520" s="1287" t="str">
        <f>IFERROR(Model!AG520/Model!AC520-1,"NA")</f>
        <v>NA</v>
      </c>
      <c r="AH520" s="1287" t="str">
        <f>IFERROR(Model!AH520/Model!AD520-1,"NA")</f>
        <v>NA</v>
      </c>
      <c r="AI520" s="1287" t="str">
        <f>IFERROR(Model!AI520/Model!AE520-1,"NA")</f>
        <v>NA</v>
      </c>
      <c r="AJ520" s="1287"/>
      <c r="AK520" s="1287"/>
      <c r="AL520" s="1287"/>
      <c r="AM520" s="1287"/>
      <c r="AN520" s="1287"/>
      <c r="AO520" s="1287"/>
      <c r="AP520" s="1287"/>
      <c r="AQ520" s="1287"/>
      <c r="AR520" s="1236"/>
      <c r="AS520" s="1284"/>
      <c r="AT520" s="1284"/>
      <c r="AU520" s="1291"/>
      <c r="AV520" s="1291">
        <f>IFERROR(Model!AV520/Model!AU520-1,"NA")</f>
        <v>-2.6640596358303847E-2</v>
      </c>
      <c r="AW520" s="1291">
        <f>IFERROR(Model!AW520/Model!AV520-1,"NA")</f>
        <v>-0.11613308223477714</v>
      </c>
      <c r="AX520" s="1291">
        <f>IFERROR(Model!AX520/Model!AW520-1,"NA")</f>
        <v>-0.12343749999999998</v>
      </c>
      <c r="AY520" s="1291">
        <f>IFERROR(Model!AY520/Model!AX520-1,"NA")</f>
        <v>0.23205315183924813</v>
      </c>
      <c r="AZ520" s="1236" t="str">
        <f>IFERROR(Model!AZ520/Model!AY520-1,"NA")</f>
        <v>NA</v>
      </c>
      <c r="BA520" s="1236" t="str">
        <f>IFERROR(Model!BA520/Model!AZ520-1,"NA")</f>
        <v>NA</v>
      </c>
      <c r="BB520" s="1236" t="str">
        <f>IFERROR(Model!BB520/Model!BA520-1,"NA")</f>
        <v>NA</v>
      </c>
      <c r="BC520" s="1236" t="str">
        <f>IFERROR(Model!BC520/Model!BB520-1,"NA")</f>
        <v>NA</v>
      </c>
      <c r="BD520" s="1236" t="str">
        <f>IFERROR(Model!BD520/Model!BC520-1,"NA")</f>
        <v>NA</v>
      </c>
      <c r="BE520" s="1236" t="str">
        <f>IFERROR(Model!BE520/Model!BD520-1,"NA")</f>
        <v>NA</v>
      </c>
    </row>
    <row r="521" spans="1:57" s="382" customFormat="1" x14ac:dyDescent="0.2">
      <c r="A521" s="411"/>
      <c r="B521" s="376" t="s">
        <v>209</v>
      </c>
      <c r="C521" s="376"/>
      <c r="D521" s="1268"/>
      <c r="E521" s="1268"/>
      <c r="F521" s="1268"/>
      <c r="G521" s="1268"/>
      <c r="H521" s="1268">
        <f>IFERROR(Model!H521/Model!D521-1,"NA")</f>
        <v>-0.1238670694864048</v>
      </c>
      <c r="I521" s="1268">
        <f>IFERROR(Model!I521/Model!E521-1,"NA")</f>
        <v>-0.11919698870765372</v>
      </c>
      <c r="J521" s="1268">
        <f>IFERROR(Model!J521/Model!F521-1,"NA")</f>
        <v>-0.14626490897677336</v>
      </c>
      <c r="K521" s="1268">
        <f>IFERROR(Model!K521/Model!G521-1,"NA")</f>
        <v>-0.15747055176689395</v>
      </c>
      <c r="L521" s="1268">
        <f>IFERROR(Model!L521/Model!H521-1,"NA")</f>
        <v>-8.2758620689655227E-2</v>
      </c>
      <c r="M521" s="1268">
        <f>IFERROR(Model!M521/Model!I521-1,"NA")</f>
        <v>-0.13532763532763536</v>
      </c>
      <c r="N521" s="1268">
        <f>IFERROR(Model!N521/Model!J521-1,"NA")</f>
        <v>-5.4411764705882382E-2</v>
      </c>
      <c r="O521" s="1268">
        <f>IFERROR(Model!O521/Model!K521-1,"NA")</f>
        <v>-4.0470934510669632E-2</v>
      </c>
      <c r="P521" s="1268">
        <f>IFERROR(Model!P521/Model!L521-1,"NA")</f>
        <v>-0.11127819548872175</v>
      </c>
      <c r="Q521" s="1268">
        <f>IFERROR(Model!Q521/Model!M521-1,"NA")</f>
        <v>6.3426688632619355E-2</v>
      </c>
      <c r="R521" s="1268">
        <f>IFERROR(Model!R521/Model!N521-1,"NA")</f>
        <v>3.6547433903576954E-2</v>
      </c>
      <c r="S521" s="1268">
        <f>IFERROR(Model!S521/Model!O521-1,"NA")</f>
        <v>-3.0674846625766694E-3</v>
      </c>
      <c r="T521" s="1268">
        <f>IFERROR(Model!T521/Model!P521-1,"NA")</f>
        <v>0.15651438240270732</v>
      </c>
      <c r="U521" s="1268">
        <f>IFERROR(Model!U521/Model!Q521-1,"NA")</f>
        <v>3.8729666924864459E-2</v>
      </c>
      <c r="V521" s="1268">
        <f>IFERROR(Model!V521/Model!R521-1,"NA")</f>
        <v>-2.3255813953488413E-2</v>
      </c>
      <c r="W521" s="1268">
        <f>IFERROR(Model!W521/Model!S521-1,"NA")</f>
        <v>-4.6153846153846101E-2</v>
      </c>
      <c r="X521" s="1268">
        <f>IFERROR(Model!X521/Model!T521-1,"NA")</f>
        <v>-0.25018288222384788</v>
      </c>
      <c r="Y521" s="1268">
        <f>IFERROR(Model!Y521/Model!U521-1,"NA")</f>
        <v>-0.25577926920208804</v>
      </c>
      <c r="Z521" s="1268">
        <f>IFERROR(Model!Z521/Model!V521-1,"NA")</f>
        <v>-0.19892473118279574</v>
      </c>
      <c r="AA521" s="1268">
        <f>IFERROR(Model!AA521/Model!W521-1,"NA")</f>
        <v>-0.15080645161290318</v>
      </c>
      <c r="AB521" s="1268">
        <f>IFERROR(Model!AB521/Model!X521-1,"NA")</f>
        <v>-0.23707317073170731</v>
      </c>
      <c r="AC521" s="1289" t="str">
        <f>IFERROR(Model!AC521/Model!Y521-1,"NA")</f>
        <v>NA</v>
      </c>
      <c r="AD521" s="1289" t="str">
        <f>IFERROR(Model!AD521/Model!Z521-1,"NA")</f>
        <v>NA</v>
      </c>
      <c r="AE521" s="1289" t="str">
        <f>IFERROR(Model!AE521/Model!AA521-1,"NA")</f>
        <v>NA</v>
      </c>
      <c r="AF521" s="1289" t="str">
        <f>IFERROR(Model!AF521/Model!AB521-1,"NA")</f>
        <v>NA</v>
      </c>
      <c r="AG521" s="1289" t="str">
        <f>IFERROR(Model!AG521/Model!AC521-1,"NA")</f>
        <v>NA</v>
      </c>
      <c r="AH521" s="1289" t="str">
        <f>IFERROR(Model!AH521/Model!AD521-1,"NA")</f>
        <v>NA</v>
      </c>
      <c r="AI521" s="1289" t="str">
        <f>IFERROR(Model!AI521/Model!AE521-1,"NA")</f>
        <v>NA</v>
      </c>
      <c r="AJ521" s="1301"/>
      <c r="AK521" s="1301"/>
      <c r="AL521" s="1301"/>
      <c r="AM521" s="1301"/>
      <c r="AN521" s="1301"/>
      <c r="AO521" s="1301"/>
      <c r="AP521" s="1301"/>
      <c r="AQ521" s="1301"/>
      <c r="AR521" s="1236"/>
      <c r="AS521" s="1270"/>
      <c r="AT521" s="1270"/>
      <c r="AU521" s="1246"/>
      <c r="AV521" s="1246">
        <f>IFERROR(Model!AV521/Model!AU521-1,"NA")</f>
        <v>-0.13663826491092179</v>
      </c>
      <c r="AW521" s="1246">
        <f>IFERROR(Model!AW521/Model!AV521-1,"NA")</f>
        <v>-7.8772653866858056E-2</v>
      </c>
      <c r="AX521" s="1246">
        <f>IFERROR(Model!AX521/Model!AW521-1,"NA")</f>
        <v>-5.4538371640047156E-3</v>
      </c>
      <c r="AY521" s="1246">
        <f>IFERROR(Model!AY521/Model!AX521-1,"NA")</f>
        <v>2.8202115158636909E-2</v>
      </c>
      <c r="AZ521" s="1246" t="str">
        <f>IFERROR(Model!AZ521/Model!AY521-1,"NA")</f>
        <v>NA</v>
      </c>
      <c r="BA521" s="1246" t="str">
        <f>IFERROR(Model!BA521/Model!AZ521-1,"NA")</f>
        <v>NA</v>
      </c>
      <c r="BB521" s="1246" t="str">
        <f>IFERROR(Model!BB521/Model!BA521-1,"NA")</f>
        <v>NA</v>
      </c>
      <c r="BC521" s="1246" t="str">
        <f>IFERROR(Model!BC521/Model!BB521-1,"NA")</f>
        <v>NA</v>
      </c>
      <c r="BD521" s="1246" t="str">
        <f>IFERROR(Model!BD521/Model!BC521-1,"NA")</f>
        <v>NA</v>
      </c>
      <c r="BE521" s="1246" t="str">
        <f>IFERROR(Model!BE521/Model!BD521-1,"NA")</f>
        <v>NA</v>
      </c>
    </row>
    <row r="522" spans="1:57" s="382" customFormat="1" x14ac:dyDescent="0.2">
      <c r="A522" s="830"/>
      <c r="B522" s="550" t="s">
        <v>654</v>
      </c>
      <c r="C522" s="369"/>
      <c r="D522" s="1258"/>
      <c r="E522" s="1300"/>
      <c r="F522" s="1300"/>
      <c r="G522" s="1300"/>
      <c r="H522" s="1300">
        <f>IFERROR(Model!H522/Model!D522-1,"NA")</f>
        <v>-4.4628432956381303E-2</v>
      </c>
      <c r="I522" s="1300">
        <f>IFERROR(Model!I522/Model!E522-1,"NA")</f>
        <v>0.16755496335776154</v>
      </c>
      <c r="J522" s="1300">
        <f>IFERROR(Model!J522/Model!F522-1,"NA")</f>
        <v>-0.24993429697766101</v>
      </c>
      <c r="K522" s="1300">
        <f>IFERROR(Model!K522/Model!G522-1,"NA")</f>
        <v>-0.14970475859673493</v>
      </c>
      <c r="L522" s="1300">
        <f>IFERROR(Model!L522/Model!H522-1,"NA")</f>
        <v>-0.17163390403720147</v>
      </c>
      <c r="M522" s="1300">
        <f>IFERROR(Model!M522/Model!I522-1,"NA")</f>
        <v>-0.10955777460770333</v>
      </c>
      <c r="N522" s="1300">
        <f>IFERROR(Model!N522/Model!J522-1,"NA")</f>
        <v>7.3580939032936277E-2</v>
      </c>
      <c r="O522" s="1300">
        <f>IFERROR(Model!O522/Model!K522-1,"NA")</f>
        <v>-0.15441176470588236</v>
      </c>
      <c r="P522" s="1300">
        <f>IFERROR(Model!P522/Model!L522-1,"NA")</f>
        <v>-0.1107425363613167</v>
      </c>
      <c r="Q522" s="1300">
        <f>IFERROR(Model!Q522/Model!M522-1,"NA")</f>
        <v>-2.8516501121435445E-2</v>
      </c>
      <c r="R522" s="1300">
        <f>IFERROR(Model!R522/Model!N522-1,"NA")</f>
        <v>-0.16677545691906004</v>
      </c>
      <c r="S522" s="1300">
        <f>IFERROR(Model!S522/Model!O522-1,"NA")</f>
        <v>6.6183574879226992E-2</v>
      </c>
      <c r="T522" s="1300">
        <f>IFERROR(Model!T522/Model!P522-1,"NA")</f>
        <v>-0.12453371592539453</v>
      </c>
      <c r="U522" s="1300">
        <f>IFERROR(Model!U522/Model!Q522-1,"NA")</f>
        <v>0.13192612137203175</v>
      </c>
      <c r="V522" s="1300">
        <f>IFERROR(Model!V522/Model!R522-1,"NA")</f>
        <v>0.33685859772816285</v>
      </c>
      <c r="W522" s="1300">
        <f>IFERROR(Model!W522/Model!S522-1,"NA")</f>
        <v>0.33982782057091065</v>
      </c>
      <c r="X522" s="1300">
        <f>IFERROR(Model!X522/Model!T522-1,"NA")</f>
        <v>0.20550639134709936</v>
      </c>
      <c r="Y522" s="1300">
        <f>IFERROR(Model!Y522/Model!U522-1,"NA")</f>
        <v>-4.6037296037296005E-2</v>
      </c>
      <c r="Z522" s="1300">
        <f>IFERROR(Model!Z522/Model!V522-1,"NA")</f>
        <v>-0.13975974216232057</v>
      </c>
      <c r="AA522" s="1300">
        <f>IFERROR(Model!AA522/Model!W522-1,"NA")</f>
        <v>-0.16706121068650659</v>
      </c>
      <c r="AB522" s="1300">
        <f>IFERROR(Model!AB522/Model!X522-1,"NA")</f>
        <v>-7.0690592713431255E-2</v>
      </c>
      <c r="AC522" s="1301">
        <f>IFERROR(Model!AC522/Model!Y522-1,"NA")</f>
        <v>8.0000000000000071E-2</v>
      </c>
      <c r="AD522" s="1301">
        <f>IFERROR(Model!AD522/Model!Z522-1,"NA")</f>
        <v>8.0000000000000071E-2</v>
      </c>
      <c r="AE522" s="1301">
        <f>IFERROR(Model!AE522/Model!AA522-1,"NA")</f>
        <v>8.0000000000000071E-2</v>
      </c>
      <c r="AF522" s="1301">
        <f>IFERROR(Model!AF522/Model!AB522-1,"NA")</f>
        <v>0.12000000000000011</v>
      </c>
      <c r="AG522" s="1301">
        <f>IFERROR(Model!AG522/Model!AC522-1,"NA")</f>
        <v>0.10000000000000009</v>
      </c>
      <c r="AH522" s="1301">
        <f>IFERROR(Model!AH522/Model!AD522-1,"NA")</f>
        <v>0.10000000000000009</v>
      </c>
      <c r="AI522" s="1301">
        <f>IFERROR(Model!AI522/Model!AE522-1,"NA")</f>
        <v>0.10000000000000009</v>
      </c>
      <c r="AJ522" s="1301"/>
      <c r="AK522" s="1301"/>
      <c r="AL522" s="1301"/>
      <c r="AM522" s="1301"/>
      <c r="AN522" s="1301"/>
      <c r="AO522" s="1301"/>
      <c r="AP522" s="1301"/>
      <c r="AQ522" s="1301"/>
      <c r="AR522" s="1236"/>
      <c r="AS522" s="1409"/>
      <c r="AT522" s="1263"/>
      <c r="AU522" s="1291"/>
      <c r="AV522" s="1291">
        <f>IFERROR(Model!AV522/Model!AU522-1,"NA")</f>
        <v>-7.5146877988796268E-2</v>
      </c>
      <c r="AW522" s="1291">
        <f>IFERROR(Model!AW522/Model!AV522-1,"NA")</f>
        <v>-0.10075343477618559</v>
      </c>
      <c r="AX522" s="1291">
        <f>IFERROR(Model!AX522/Model!AW522-1,"NA")</f>
        <v>-7.3681616559881702E-2</v>
      </c>
      <c r="AY522" s="1291">
        <f>IFERROR(Model!AY522/Model!AX522-1,"NA")</f>
        <v>0.13975348053560355</v>
      </c>
      <c r="AZ522" s="1291">
        <f>IFERROR(Model!AZ522/Model!AY522-1,"NA")</f>
        <v>-3.9057029487279182E-2</v>
      </c>
      <c r="BA522" s="1291">
        <f>IFERROR(Model!BA522/Model!AZ522-1,"NA")</f>
        <v>3.5125900736782567E-2</v>
      </c>
      <c r="BB522" s="1291">
        <f>IFERROR(Model!BB522/Model!BA522-1,"NA")</f>
        <v>0.10534695780314807</v>
      </c>
      <c r="BC522" s="1291">
        <f>IFERROR(Model!BC522/Model!BB522-1,"NA")</f>
        <v>8.0000000000000071E-2</v>
      </c>
      <c r="BD522" s="1291">
        <f>IFERROR(Model!BD522/Model!BC522-1,"NA")</f>
        <v>7.0000000000000062E-2</v>
      </c>
      <c r="BE522" s="1291">
        <f>IFERROR(Model!BE522/Model!BD522-1,"NA")</f>
        <v>7.0000000000000062E-2</v>
      </c>
    </row>
    <row r="523" spans="1:57" s="369" customFormat="1" x14ac:dyDescent="0.2">
      <c r="A523" s="411"/>
      <c r="B523" s="551"/>
      <c r="C523" s="321"/>
      <c r="D523" s="1258"/>
      <c r="E523" s="1258"/>
      <c r="F523" s="1258"/>
      <c r="G523" s="1258"/>
      <c r="H523" s="1258"/>
      <c r="I523" s="1258"/>
      <c r="J523" s="1258"/>
      <c r="K523" s="1258"/>
      <c r="L523" s="1258"/>
      <c r="M523" s="1258"/>
      <c r="N523" s="1258"/>
      <c r="O523" s="1258"/>
      <c r="P523" s="1258"/>
      <c r="Q523" s="1258"/>
      <c r="R523" s="1258"/>
      <c r="S523" s="1258"/>
      <c r="T523" s="1258"/>
      <c r="U523" s="1258"/>
      <c r="V523" s="1258"/>
      <c r="W523" s="1258"/>
      <c r="X523" s="1258"/>
      <c r="Y523" s="1258"/>
      <c r="Z523" s="1258"/>
      <c r="AA523" s="1258"/>
      <c r="AB523" s="1258"/>
      <c r="AC523" s="1287"/>
      <c r="AD523" s="1287"/>
      <c r="AE523" s="1287"/>
      <c r="AF523" s="1287"/>
      <c r="AG523" s="1287"/>
      <c r="AH523" s="1287"/>
      <c r="AI523" s="1287"/>
      <c r="AJ523" s="1287"/>
      <c r="AK523" s="1287"/>
      <c r="AL523" s="1287"/>
      <c r="AM523" s="1287"/>
      <c r="AN523" s="1287"/>
      <c r="AO523" s="1287"/>
      <c r="AP523" s="1287"/>
      <c r="AQ523" s="1287"/>
      <c r="AR523" s="1236"/>
      <c r="AS523" s="1453"/>
      <c r="AT523" s="1284"/>
      <c r="AU523" s="1291"/>
      <c r="AV523" s="1263"/>
      <c r="AW523" s="1259"/>
      <c r="AX523" s="1291"/>
      <c r="AY523" s="1259"/>
      <c r="AZ523" s="1263"/>
      <c r="BA523" s="1263"/>
      <c r="BB523" s="1263"/>
      <c r="BC523" s="1308"/>
      <c r="BD523" s="1308"/>
      <c r="BE523" s="1263"/>
    </row>
    <row r="524" spans="1:57" s="382" customFormat="1" x14ac:dyDescent="0.2">
      <c r="A524" s="411"/>
      <c r="B524" s="321" t="s">
        <v>143</v>
      </c>
      <c r="C524" s="321"/>
      <c r="D524" s="1260"/>
      <c r="E524" s="1260"/>
      <c r="F524" s="1260"/>
      <c r="G524" s="1260"/>
      <c r="H524" s="1260">
        <f>IFERROR(Model!H524/Model!D524-1,"NA")</f>
        <v>-0.1987372218881539</v>
      </c>
      <c r="I524" s="1260">
        <f>IFERROR(Model!I524/Model!E524-1,"NA")</f>
        <v>0.25466464952092793</v>
      </c>
      <c r="J524" s="1260">
        <f>IFERROR(Model!J524/Model!F524-1,"NA")</f>
        <v>-0.28446969696969693</v>
      </c>
      <c r="K524" s="1260">
        <f>IFERROR(Model!K524/Model!G524-1,"NA")</f>
        <v>-0.11363636363636365</v>
      </c>
      <c r="L524" s="1260">
        <f>IFERROR(Model!L524/Model!H524-1,"NA")</f>
        <v>-0.26716697936210132</v>
      </c>
      <c r="M524" s="1260">
        <f>IFERROR(Model!M524/Model!I524-1,"NA")</f>
        <v>-0.28938906752411575</v>
      </c>
      <c r="N524" s="1260">
        <f>IFERROR(Model!N524/Model!J524-1,"NA")</f>
        <v>3.6527263102170471E-2</v>
      </c>
      <c r="O524" s="1260">
        <f>IFERROR(Model!O524/Model!K524-1,"NA")</f>
        <v>-0.11292962356792147</v>
      </c>
      <c r="P524" s="1260">
        <f>IFERROR(Model!P524/Model!L524-1,"NA")</f>
        <v>9.83102918586789E-2</v>
      </c>
      <c r="Q524" s="1260">
        <f>IFERROR(Model!Q524/Model!M524-1,"NA")</f>
        <v>0.11538461538461542</v>
      </c>
      <c r="R524" s="1260">
        <f>IFERROR(Model!R524/Model!N524-1,"NA")</f>
        <v>-9.7548518896833469E-2</v>
      </c>
      <c r="S524" s="1260">
        <f>IFERROR(Model!S524/Model!O524-1,"NA")</f>
        <v>6.519065190651907E-2</v>
      </c>
      <c r="T524" s="1260">
        <f>IFERROR(Model!T524/Model!P524-1,"NA")</f>
        <v>4.2424242424242475E-2</v>
      </c>
      <c r="U524" s="1260">
        <f>IFERROR(Model!U524/Model!Q524-1,"NA")</f>
        <v>0.24797160243407701</v>
      </c>
      <c r="V524" s="1260">
        <f>IFERROR(Model!V524/Model!R524-1,"NA")</f>
        <v>0.33672891907187319</v>
      </c>
      <c r="W524" s="1260">
        <f>IFERROR(Model!W524/Model!S524-1,"NA")</f>
        <v>0.28752886836027725</v>
      </c>
      <c r="X524" s="1260">
        <f>IFERROR(Model!X524/Model!T524-1,"NA")</f>
        <v>0.13148479427549198</v>
      </c>
      <c r="Y524" s="1260">
        <f>IFERROR(Model!Y524/Model!U524-1,"NA")</f>
        <v>-8.411214953271029E-2</v>
      </c>
      <c r="Z524" s="1260">
        <f>IFERROR(Model!Z524/Model!V524-1,"NA")</f>
        <v>-7.3243014394580919E-2</v>
      </c>
      <c r="AA524" s="1260">
        <f>IFERROR(Model!AA524/Model!W524-1,"NA")</f>
        <v>-0.14260089686098654</v>
      </c>
      <c r="AB524" s="1260">
        <f>IFERROR(Model!AB524/Model!X524-1,"NA")</f>
        <v>-2.371541501976282E-2</v>
      </c>
      <c r="AC524" s="1287" t="str">
        <f>IFERROR(Model!AC524/Model!Y524-1,"NA")</f>
        <v>NA</v>
      </c>
      <c r="AD524" s="1287" t="str">
        <f>IFERROR(Model!AD524/Model!Z524-1,"NA")</f>
        <v>NA</v>
      </c>
      <c r="AE524" s="1287" t="str">
        <f>IFERROR(Model!AE524/Model!AA524-1,"NA")</f>
        <v>NA</v>
      </c>
      <c r="AF524" s="1287" t="str">
        <f>IFERROR(Model!AF524/Model!AB524-1,"NA")</f>
        <v>NA</v>
      </c>
      <c r="AG524" s="1287" t="str">
        <f>IFERROR(Model!AG524/Model!AC524-1,"NA")</f>
        <v>NA</v>
      </c>
      <c r="AH524" s="1287" t="str">
        <f>IFERROR(Model!AH524/Model!AD524-1,"NA")</f>
        <v>NA</v>
      </c>
      <c r="AI524" s="1287" t="str">
        <f>IFERROR(Model!AI524/Model!AE524-1,"NA")</f>
        <v>NA</v>
      </c>
      <c r="AJ524" s="1287"/>
      <c r="AK524" s="1287"/>
      <c r="AL524" s="1287"/>
      <c r="AM524" s="1287"/>
      <c r="AN524" s="1287"/>
      <c r="AO524" s="1287"/>
      <c r="AP524" s="1287"/>
      <c r="AQ524" s="1287"/>
      <c r="AR524" s="1236"/>
      <c r="AS524" s="1284"/>
      <c r="AT524" s="1284"/>
      <c r="AU524" s="1236"/>
      <c r="AV524" s="1236">
        <f>IFERROR(Model!AV524/Model!AU524-1,"NA")</f>
        <v>-0.11400618947788754</v>
      </c>
      <c r="AW524" s="1236">
        <f>IFERROR(Model!AW524/Model!AV524-1,"NA")</f>
        <v>-0.17690140845070423</v>
      </c>
      <c r="AX524" s="1236">
        <f>IFERROR(Model!AX524/Model!AW524-1,"NA")</f>
        <v>4.2573579739904277E-2</v>
      </c>
      <c r="AY524" s="1236">
        <f>IFERROR(Model!AY524/Model!AX524-1,"NA")</f>
        <v>0.21966911764705888</v>
      </c>
      <c r="AZ524" s="1236" t="str">
        <f>IFERROR(Model!AZ524/Model!AY524-1,"NA")</f>
        <v>NA</v>
      </c>
      <c r="BA524" s="1236" t="str">
        <f>IFERROR(Model!BA524/Model!AZ524-1,"NA")</f>
        <v>NA</v>
      </c>
      <c r="BB524" s="1236" t="str">
        <f>IFERROR(Model!BB524/Model!BA524-1,"NA")</f>
        <v>NA</v>
      </c>
      <c r="BC524" s="1236" t="str">
        <f>IFERROR(Model!BC524/Model!BB524-1,"NA")</f>
        <v>NA</v>
      </c>
      <c r="BD524" s="1236" t="str">
        <f>IFERROR(Model!BD524/Model!BC524-1,"NA")</f>
        <v>NA</v>
      </c>
      <c r="BE524" s="1236" t="str">
        <f>IFERROR(Model!BE524/Model!BD524-1,"NA")</f>
        <v>NA</v>
      </c>
    </row>
    <row r="525" spans="1:57" s="382" customFormat="1" x14ac:dyDescent="0.2">
      <c r="A525" s="411"/>
      <c r="B525" s="376" t="s">
        <v>144</v>
      </c>
      <c r="C525" s="376"/>
      <c r="D525" s="1268"/>
      <c r="E525" s="1268"/>
      <c r="F525" s="1268"/>
      <c r="G525" s="1268"/>
      <c r="H525" s="1268">
        <f>IFERROR(Model!H525/Model!D525-1,"NA")</f>
        <v>0.27060270602706038</v>
      </c>
      <c r="I525" s="1268">
        <f>IFERROR(Model!I525/Model!E525-1,"NA")</f>
        <v>-1.9627085377821318E-3</v>
      </c>
      <c r="J525" s="1268">
        <f>IFERROR(Model!J525/Model!F525-1,"NA")</f>
        <v>-0.1716738197424893</v>
      </c>
      <c r="K525" s="1268">
        <f>IFERROR(Model!K525/Model!G525-1,"NA")</f>
        <v>-0.24167694204685575</v>
      </c>
      <c r="L525" s="1268">
        <f>IFERROR(Model!L525/Model!H525-1,"NA")</f>
        <v>-4.8402710551790906E-2</v>
      </c>
      <c r="M525" s="1268">
        <f>IFERROR(Model!M525/Model!I525-1,"NA")</f>
        <v>0.3303834808259587</v>
      </c>
      <c r="N525" s="1268">
        <f>IFERROR(Model!N525/Model!J525-1,"NA")</f>
        <v>0.1461139896373056</v>
      </c>
      <c r="O525" s="1268">
        <f>IFERROR(Model!O525/Model!K525-1,"NA")</f>
        <v>-0.2780487804878049</v>
      </c>
      <c r="P525" s="1268">
        <f>IFERROR(Model!P525/Model!L525-1,"NA")</f>
        <v>-0.31841302136317395</v>
      </c>
      <c r="Q525" s="1268">
        <f>IFERROR(Model!Q525/Model!M525-1,"NA")</f>
        <v>-0.21655580192165558</v>
      </c>
      <c r="R525" s="1268">
        <f>IFERROR(Model!R525/Model!N525-1,"NA")</f>
        <v>-0.2893309222423146</v>
      </c>
      <c r="S525" s="1268">
        <f>IFERROR(Model!S525/Model!O525-1,"NA")</f>
        <v>6.9819819819819884E-2</v>
      </c>
      <c r="T525" s="1268">
        <f>IFERROR(Model!T525/Model!P525-1,"NA")</f>
        <v>-0.39179104477611937</v>
      </c>
      <c r="U525" s="1268">
        <f>IFERROR(Model!U525/Model!Q525-1,"NA")</f>
        <v>-8.3962264150943433E-2</v>
      </c>
      <c r="V525" s="1268">
        <f>IFERROR(Model!V525/Model!R525-1,"NA")</f>
        <v>0.3371501272264632</v>
      </c>
      <c r="W525" s="1268">
        <f>IFERROR(Model!W525/Model!S525-1,"NA")</f>
        <v>0.53052631578947373</v>
      </c>
      <c r="X525" s="1268">
        <f>IFERROR(Model!X525/Model!T525-1,"NA")</f>
        <v>0.40858895705521481</v>
      </c>
      <c r="Y525" s="1268">
        <f>IFERROR(Model!Y525/Model!U525-1,"NA")</f>
        <v>5.0463439752832073E-2</v>
      </c>
      <c r="Z525" s="1268">
        <f>IFERROR(Model!Z525/Model!V525-1,"NA")</f>
        <v>-0.28924833491912461</v>
      </c>
      <c r="AA525" s="1268">
        <f>IFERROR(Model!AA525/Model!W525-1,"NA")</f>
        <v>-0.24209078404401652</v>
      </c>
      <c r="AB525" s="1268">
        <f>IFERROR(Model!AB525/Model!X525-1,"NA")</f>
        <v>-0.17421602787456447</v>
      </c>
      <c r="AC525" s="1289" t="str">
        <f>IFERROR(Model!AC525/Model!Y525-1,"NA")</f>
        <v>NA</v>
      </c>
      <c r="AD525" s="1289" t="str">
        <f>IFERROR(Model!AD525/Model!Z525-1,"NA")</f>
        <v>NA</v>
      </c>
      <c r="AE525" s="1289" t="str">
        <f>IFERROR(Model!AE525/Model!AA525-1,"NA")</f>
        <v>NA</v>
      </c>
      <c r="AF525" s="1289" t="str">
        <f>IFERROR(Model!AF525/Model!AB525-1,"NA")</f>
        <v>NA</v>
      </c>
      <c r="AG525" s="1289" t="str">
        <f>IFERROR(Model!AG525/Model!AC525-1,"NA")</f>
        <v>NA</v>
      </c>
      <c r="AH525" s="1289" t="str">
        <f>IFERROR(Model!AH525/Model!AD525-1,"NA")</f>
        <v>NA</v>
      </c>
      <c r="AI525" s="1289" t="str">
        <f>IFERROR(Model!AI525/Model!AE525-1,"NA")</f>
        <v>NA</v>
      </c>
      <c r="AJ525" s="1301"/>
      <c r="AK525" s="1301"/>
      <c r="AL525" s="1301"/>
      <c r="AM525" s="1301"/>
      <c r="AN525" s="1301"/>
      <c r="AO525" s="1301"/>
      <c r="AP525" s="1301"/>
      <c r="AQ525" s="1301"/>
      <c r="AR525" s="1236"/>
      <c r="AS525" s="1270"/>
      <c r="AT525" s="1270"/>
      <c r="AU525" s="1246"/>
      <c r="AV525" s="1246">
        <f>IFERROR(Model!AV525/Model!AU525-1,"NA")</f>
        <v>9.0889417874919776E-3</v>
      </c>
      <c r="AW525" s="1246">
        <f>IFERROR(Model!AW525/Model!AV525-1,"NA")</f>
        <v>4.4177568089212915E-2</v>
      </c>
      <c r="AX525" s="1246">
        <f>IFERROR(Model!AX525/Model!AW525-1,"NA")</f>
        <v>-0.24810022591907988</v>
      </c>
      <c r="AY525" s="1246">
        <f>IFERROR(Model!AY525/Model!AX525-1,"NA")</f>
        <v>-2.649549303469001E-2</v>
      </c>
      <c r="AZ525" s="1246" t="str">
        <f>IFERROR(Model!AZ525/Model!AY525-1,"NA")</f>
        <v>NA</v>
      </c>
      <c r="BA525" s="1246" t="str">
        <f>IFERROR(Model!BA525/Model!AZ525-1,"NA")</f>
        <v>NA</v>
      </c>
      <c r="BB525" s="1246" t="str">
        <f>IFERROR(Model!BB525/Model!BA525-1,"NA")</f>
        <v>NA</v>
      </c>
      <c r="BC525" s="1246" t="str">
        <f>IFERROR(Model!BC525/Model!BB525-1,"NA")</f>
        <v>NA</v>
      </c>
      <c r="BD525" s="1246" t="str">
        <f>IFERROR(Model!BD525/Model!BC525-1,"NA")</f>
        <v>NA</v>
      </c>
      <c r="BE525" s="1246" t="str">
        <f>IFERROR(Model!BE525/Model!BD525-1,"NA")</f>
        <v>NA</v>
      </c>
    </row>
    <row r="526" spans="1:57" s="382" customFormat="1" x14ac:dyDescent="0.2">
      <c r="A526" s="830"/>
      <c r="B526" s="550" t="s">
        <v>654</v>
      </c>
      <c r="C526" s="369"/>
      <c r="D526" s="1258"/>
      <c r="E526" s="1258"/>
      <c r="F526" s="1258"/>
      <c r="G526" s="1258"/>
      <c r="H526" s="1258">
        <f>IFERROR(Model!H526/Model!D526-1,"NA")</f>
        <v>-4.4628432956381303E-2</v>
      </c>
      <c r="I526" s="1258">
        <f>IFERROR(Model!I526/Model!E526-1,"NA")</f>
        <v>0.16755496335776154</v>
      </c>
      <c r="J526" s="1258">
        <f>IFERROR(Model!J526/Model!F526-1,"NA")</f>
        <v>-0.24993429697766101</v>
      </c>
      <c r="K526" s="1258">
        <f>IFERROR(Model!K526/Model!G526-1,"NA")</f>
        <v>-0.14970475859673493</v>
      </c>
      <c r="L526" s="1258">
        <f>IFERROR(Model!L526/Model!H526-1,"NA")</f>
        <v>-0.17163390403720147</v>
      </c>
      <c r="M526" s="1258">
        <f>IFERROR(Model!M526/Model!I526-1,"NA")</f>
        <v>-0.10955777460770333</v>
      </c>
      <c r="N526" s="1258">
        <f>IFERROR(Model!N526/Model!J526-1,"NA")</f>
        <v>7.3580939032936277E-2</v>
      </c>
      <c r="O526" s="1258">
        <f>IFERROR(Model!O526/Model!K526-1,"NA")</f>
        <v>-0.15441176470588236</v>
      </c>
      <c r="P526" s="1258">
        <f>IFERROR(Model!P526/Model!L526-1,"NA")</f>
        <v>-0.1107425363613167</v>
      </c>
      <c r="Q526" s="1258">
        <f>IFERROR(Model!Q526/Model!M526-1,"NA")</f>
        <v>-2.8516501121435445E-2</v>
      </c>
      <c r="R526" s="1258">
        <f>IFERROR(Model!R526/Model!N526-1,"NA")</f>
        <v>-0.16677545691906004</v>
      </c>
      <c r="S526" s="1258">
        <f>IFERROR(Model!S526/Model!O526-1,"NA")</f>
        <v>6.6183574879226992E-2</v>
      </c>
      <c r="T526" s="1258">
        <f>IFERROR(Model!T526/Model!P526-1,"NA")</f>
        <v>-0.12453371592539453</v>
      </c>
      <c r="U526" s="1258">
        <f>IFERROR(Model!U526/Model!Q526-1,"NA")</f>
        <v>0.13192612137203175</v>
      </c>
      <c r="V526" s="1258">
        <f>IFERROR(Model!V526/Model!R526-1,"NA")</f>
        <v>0.33685859772816285</v>
      </c>
      <c r="W526" s="1258">
        <f>IFERROR(Model!W526/Model!S526-1,"NA")</f>
        <v>0.33982782057091065</v>
      </c>
      <c r="X526" s="1258">
        <f>IFERROR(Model!X526/Model!T526-1,"NA")</f>
        <v>0.20550639134709936</v>
      </c>
      <c r="Y526" s="1258">
        <f>IFERROR(Model!Y526/Model!U526-1,"NA")</f>
        <v>-4.6037296037296005E-2</v>
      </c>
      <c r="Z526" s="1258">
        <f>IFERROR(Model!Z526/Model!V526-1,"NA")</f>
        <v>-0.13975974216232057</v>
      </c>
      <c r="AA526" s="1258">
        <f>IFERROR(Model!AA526/Model!W526-1,"NA")</f>
        <v>-0.16706121068650659</v>
      </c>
      <c r="AB526" s="1258">
        <f>IFERROR(Model!AB526/Model!X526-1,"NA")</f>
        <v>-7.0690592713431255E-2</v>
      </c>
      <c r="AC526" s="1301">
        <f>IFERROR(Model!AC526/Model!Y526-1,"NA")</f>
        <v>8.0000000000000071E-2</v>
      </c>
      <c r="AD526" s="1301">
        <f>IFERROR(Model!AD526/Model!Z526-1,"NA")</f>
        <v>8.0000000000000071E-2</v>
      </c>
      <c r="AE526" s="1301">
        <f>IFERROR(Model!AE526/Model!AA526-1,"NA")</f>
        <v>8.0000000000000071E-2</v>
      </c>
      <c r="AF526" s="1301">
        <f>IFERROR(Model!AF526/Model!AB526-1,"NA")</f>
        <v>0.12000000000000011</v>
      </c>
      <c r="AG526" s="1301">
        <f>IFERROR(Model!AG526/Model!AC526-1,"NA")</f>
        <v>0.10000000000000009</v>
      </c>
      <c r="AH526" s="1301">
        <f>IFERROR(Model!AH526/Model!AD526-1,"NA")</f>
        <v>0.10000000000000009</v>
      </c>
      <c r="AI526" s="1301">
        <f>IFERROR(Model!AI526/Model!AE526-1,"NA")</f>
        <v>0.10000000000000009</v>
      </c>
      <c r="AJ526" s="1301"/>
      <c r="AK526" s="1301"/>
      <c r="AL526" s="1301"/>
      <c r="AM526" s="1301"/>
      <c r="AN526" s="1301"/>
      <c r="AO526" s="1301"/>
      <c r="AP526" s="1301"/>
      <c r="AQ526" s="1301"/>
      <c r="AR526" s="1236"/>
      <c r="AS526" s="1409"/>
      <c r="AT526" s="1263"/>
      <c r="AU526" s="1291"/>
      <c r="AV526" s="1291">
        <f>IFERROR(Model!AV526/Model!AU526-1,"NA")</f>
        <v>-7.5146877988796268E-2</v>
      </c>
      <c r="AW526" s="1291">
        <f>IFERROR(Model!AW526/Model!AV526-1,"NA")</f>
        <v>-0.10075343477618559</v>
      </c>
      <c r="AX526" s="1291">
        <f>IFERROR(Model!AX526/Model!AW526-1,"NA")</f>
        <v>-7.3681616559881702E-2</v>
      </c>
      <c r="AY526" s="1291">
        <f>IFERROR(Model!AY526/Model!AX526-1,"NA")</f>
        <v>0.13975348053560355</v>
      </c>
      <c r="AZ526" s="1291">
        <f>IFERROR(Model!AZ526/Model!AY526-1,"NA")</f>
        <v>-3.9057029487279182E-2</v>
      </c>
      <c r="BA526" s="1291">
        <f>IFERROR(Model!BA526/Model!AZ526-1,"NA")</f>
        <v>3.5125900736782567E-2</v>
      </c>
      <c r="BB526" s="1291">
        <f>IFERROR(Model!BB526/Model!BA526-1,"NA")</f>
        <v>0.10534695780314807</v>
      </c>
      <c r="BC526" s="1291">
        <f>IFERROR(Model!BC526/Model!BB526-1,"NA")</f>
        <v>8.0000000000000071E-2</v>
      </c>
      <c r="BD526" s="1291">
        <f>IFERROR(Model!BD526/Model!BC526-1,"NA")</f>
        <v>7.0000000000000062E-2</v>
      </c>
      <c r="BE526" s="1291">
        <f>IFERROR(Model!BE526/Model!BD526-1,"NA")</f>
        <v>7.0000000000000062E-2</v>
      </c>
    </row>
    <row r="527" spans="1:57" s="382" customFormat="1" x14ac:dyDescent="0.2">
      <c r="A527" s="411"/>
      <c r="B527" s="318"/>
      <c r="C527" s="321"/>
      <c r="D527" s="1258"/>
      <c r="E527" s="1258"/>
      <c r="F527" s="1258"/>
      <c r="G527" s="1258"/>
      <c r="H527" s="1258"/>
      <c r="I527" s="1258"/>
      <c r="J527" s="1258"/>
      <c r="K527" s="1258"/>
      <c r="L527" s="1258"/>
      <c r="M527" s="1258"/>
      <c r="N527" s="1258"/>
      <c r="O527" s="1258"/>
      <c r="P527" s="1258"/>
      <c r="Q527" s="1258"/>
      <c r="R527" s="1258"/>
      <c r="S527" s="1258"/>
      <c r="T527" s="1258"/>
      <c r="U527" s="1258"/>
      <c r="V527" s="1258"/>
      <c r="W527" s="1258"/>
      <c r="X527" s="1258"/>
      <c r="Y527" s="1258"/>
      <c r="Z527" s="1258"/>
      <c r="AA527" s="1258"/>
      <c r="AB527" s="1258"/>
      <c r="AC527" s="1236"/>
      <c r="AD527" s="1302"/>
      <c r="AE527" s="1302"/>
      <c r="AF527" s="1302"/>
      <c r="AG527" s="1302"/>
      <c r="AH527" s="1302"/>
      <c r="AI527" s="1236"/>
      <c r="AJ527" s="1236"/>
      <c r="AK527" s="1236"/>
      <c r="AL527" s="1236"/>
      <c r="AM527" s="1236"/>
      <c r="AN527" s="1236"/>
      <c r="AO527" s="1236"/>
      <c r="AP527" s="1236"/>
      <c r="AQ527" s="1236"/>
      <c r="AR527" s="1236"/>
      <c r="AS527" s="1342"/>
      <c r="AT527" s="1284"/>
      <c r="AU527" s="1291"/>
      <c r="AV527" s="1263"/>
      <c r="AW527" s="1259"/>
      <c r="AX527" s="1291"/>
      <c r="AY527" s="1259"/>
      <c r="AZ527" s="1263"/>
      <c r="BA527" s="1263"/>
      <c r="BB527" s="1308"/>
      <c r="BC527" s="1308"/>
      <c r="BD527" s="1308"/>
      <c r="BE527" s="1308"/>
    </row>
    <row r="528" spans="1:57" x14ac:dyDescent="0.2">
      <c r="B528" s="48" t="s">
        <v>260</v>
      </c>
      <c r="C528" s="12"/>
      <c r="D528" s="1450"/>
      <c r="E528" s="1450"/>
      <c r="F528" s="1450"/>
      <c r="G528" s="1450"/>
      <c r="H528" s="1450"/>
      <c r="I528" s="1450"/>
      <c r="J528" s="1450"/>
      <c r="K528" s="1450"/>
      <c r="L528" s="1450"/>
      <c r="M528" s="1450"/>
      <c r="N528" s="1450"/>
      <c r="O528" s="1450"/>
      <c r="P528" s="1450"/>
      <c r="Q528" s="1450"/>
      <c r="R528" s="1450"/>
      <c r="S528" s="1450"/>
      <c r="T528" s="1450"/>
      <c r="U528" s="1450"/>
      <c r="V528" s="1450"/>
      <c r="W528" s="1450"/>
      <c r="X528" s="1450"/>
      <c r="Y528" s="1450"/>
      <c r="Z528" s="1450"/>
      <c r="AA528" s="1450"/>
      <c r="AB528" s="1450"/>
      <c r="AC528" s="1271"/>
      <c r="AD528" s="1271"/>
      <c r="AE528" s="1271"/>
      <c r="AF528" s="1271"/>
      <c r="AG528" s="1271"/>
      <c r="AH528" s="1271"/>
      <c r="AI528" s="1271"/>
      <c r="AJ528" s="1271"/>
      <c r="AK528" s="1271"/>
      <c r="AL528" s="1271"/>
      <c r="AM528" s="1271"/>
      <c r="AN528" s="1271"/>
      <c r="AO528" s="1271"/>
      <c r="AP528" s="1271"/>
      <c r="AQ528" s="1271"/>
      <c r="AR528" s="1236"/>
      <c r="AS528" s="1451"/>
      <c r="AT528" s="1398"/>
      <c r="AU528" s="1398"/>
      <c r="AV528" s="1398"/>
      <c r="AW528" s="1398"/>
      <c r="AX528" s="1398"/>
      <c r="AY528" s="1398"/>
      <c r="AZ528" s="1398"/>
      <c r="BA528" s="1398"/>
      <c r="BB528" s="1398"/>
      <c r="BC528" s="1398"/>
      <c r="BD528" s="1398"/>
      <c r="BE528" s="1398"/>
    </row>
    <row r="529" spans="1:74" s="382" customFormat="1" x14ac:dyDescent="0.2">
      <c r="A529" s="411"/>
      <c r="B529" s="315" t="s">
        <v>7</v>
      </c>
      <c r="C529" s="321"/>
      <c r="D529" s="1260"/>
      <c r="E529" s="1260"/>
      <c r="F529" s="1260"/>
      <c r="G529" s="1260"/>
      <c r="H529" s="1260">
        <f>IFERROR(Model!H529/Model!D529-1,"NA")</f>
        <v>-2.7397260273972601E-2</v>
      </c>
      <c r="I529" s="1260">
        <f>IFERROR(Model!I529/Model!E529-1,"NA")</f>
        <v>0.16666666666666674</v>
      </c>
      <c r="J529" s="1260">
        <f>IFERROR(Model!J529/Model!F529-1,"NA")</f>
        <v>0.13649851632047483</v>
      </c>
      <c r="K529" s="1260">
        <f>IFERROR(Model!K529/Model!G529-1,"NA")</f>
        <v>-5.6818181818182323E-3</v>
      </c>
      <c r="L529" s="1260">
        <f>IFERROR(Model!L529/Model!H529-1,"NA")</f>
        <v>-5.1643192488262879E-2</v>
      </c>
      <c r="M529" s="1260">
        <f>IFERROR(Model!M529/Model!I529-1,"NA")</f>
        <v>-0.12561576354679804</v>
      </c>
      <c r="N529" s="1260">
        <f>IFERROR(Model!N529/Model!J529-1,"NA")</f>
        <v>-8.6161879895561344E-2</v>
      </c>
      <c r="O529" s="1260">
        <f>IFERROR(Model!O529/Model!K529-1,"NA")</f>
        <v>-5.7142857142856718E-3</v>
      </c>
      <c r="P529" s="1260">
        <f>IFERROR(Model!P529/Model!L529-1,"NA")</f>
        <v>-8.1683168316831645E-2</v>
      </c>
      <c r="Q529" s="1260">
        <f>IFERROR(Model!Q529/Model!M529-1,"NA")</f>
        <v>-5.352112676056342E-2</v>
      </c>
      <c r="R529" s="1260">
        <f>IFERROR(Model!R529/Model!N529-1,"NA")</f>
        <v>-6.0000000000000053E-2</v>
      </c>
      <c r="S529" s="1260">
        <f>IFERROR(Model!S529/Model!O529-1,"NA")</f>
        <v>-0.13218390804597702</v>
      </c>
      <c r="T529" s="1260">
        <f>IFERROR(Model!T529/Model!P529-1,"NA")</f>
        <v>-3.7735849056603765E-2</v>
      </c>
      <c r="U529" s="1260">
        <f>IFERROR(Model!U529/Model!Q529-1,"NA")</f>
        <v>-5.0595238095238138E-2</v>
      </c>
      <c r="V529" s="1260">
        <f>IFERROR(Model!V529/Model!R529-1,"NA")</f>
        <v>-8.2066869300911893E-2</v>
      </c>
      <c r="W529" s="1260">
        <f>IFERROR(Model!W529/Model!S529-1,"NA")</f>
        <v>6.6225165562913801E-2</v>
      </c>
      <c r="X529" s="1260">
        <f>IFERROR(Model!X529/Model!T529-1,"NA")</f>
        <v>-8.6834733893557448E-2</v>
      </c>
      <c r="Y529" s="1260">
        <f>IFERROR(Model!Y529/Model!U529-1,"NA")</f>
        <v>1.2539184952978122E-2</v>
      </c>
      <c r="Z529" s="1260">
        <f>IFERROR(Model!Z529/Model!V529-1,"NA")</f>
        <v>2.3178807947019875E-2</v>
      </c>
      <c r="AA529" s="1260">
        <f>IFERROR(Model!AA529/Model!W529-1,"NA")</f>
        <v>-2.7950310559006208E-2</v>
      </c>
      <c r="AB529" s="1260">
        <f>IFERROR(Model!AB529/Model!X529-1,"NA")</f>
        <v>0.1073619631901841</v>
      </c>
      <c r="AC529" s="1287" t="str">
        <f>IFERROR(Model!AC529/Model!Y529-1,"NA")</f>
        <v>NA</v>
      </c>
      <c r="AD529" s="1287" t="str">
        <f>IFERROR(Model!AD529/Model!Z529-1,"NA")</f>
        <v>NA</v>
      </c>
      <c r="AE529" s="1287" t="str">
        <f>IFERROR(Model!AE529/Model!AA529-1,"NA")</f>
        <v>NA</v>
      </c>
      <c r="AF529" s="1287" t="str">
        <f>IFERROR(Model!AF529/Model!AB529-1,"NA")</f>
        <v>NA</v>
      </c>
      <c r="AG529" s="1287" t="str">
        <f>IFERROR(Model!AG529/Model!AC529-1,"NA")</f>
        <v>NA</v>
      </c>
      <c r="AH529" s="1287" t="str">
        <f>IFERROR(Model!AH529/Model!AD529-1,"NA")</f>
        <v>NA</v>
      </c>
      <c r="AI529" s="1287" t="str">
        <f>IFERROR(Model!AI529/Model!AE529-1,"NA")</f>
        <v>NA</v>
      </c>
      <c r="AJ529" s="1287"/>
      <c r="AK529" s="1287"/>
      <c r="AL529" s="1287"/>
      <c r="AM529" s="1287"/>
      <c r="AN529" s="1287"/>
      <c r="AO529" s="1287"/>
      <c r="AP529" s="1287"/>
      <c r="AQ529" s="1287"/>
      <c r="AR529" s="1236"/>
      <c r="AS529" s="1400"/>
      <c r="AT529" s="1284"/>
      <c r="AU529" s="1236"/>
      <c r="AV529" s="1236">
        <f>IFERROR(Model!AV529/Model!AU529-1,"NA")</f>
        <v>6.1016949152542299E-2</v>
      </c>
      <c r="AW529" s="1236">
        <f>IFERROR(Model!AW529/Model!AV529-1,"NA")</f>
        <v>-6.9009584664536772E-2</v>
      </c>
      <c r="AX529" s="1236">
        <f>IFERROR(Model!AX529/Model!AW529-1,"NA")</f>
        <v>-8.1674673987645829E-2</v>
      </c>
      <c r="AY529" s="1236">
        <f>IFERROR(Model!AY529/Model!AX529-1,"NA")</f>
        <v>-2.840059790732441E-2</v>
      </c>
      <c r="AZ529" s="1236" t="str">
        <f>IFERROR(Model!AZ529/Model!AY529-1,"NA")</f>
        <v>NA</v>
      </c>
      <c r="BA529" s="1236" t="str">
        <f>IFERROR(Model!BA529/Model!AZ529-1,"NA")</f>
        <v>NA</v>
      </c>
      <c r="BB529" s="1236" t="str">
        <f>IFERROR(Model!BB529/Model!BA529-1,"NA")</f>
        <v>NA</v>
      </c>
      <c r="BC529" s="1236" t="str">
        <f>IFERROR(Model!BC529/Model!BB529-1,"NA")</f>
        <v>NA</v>
      </c>
      <c r="BD529" s="1236" t="str">
        <f>IFERROR(Model!BD529/Model!BC529-1,"NA")</f>
        <v>NA</v>
      </c>
      <c r="BE529" s="1236" t="str">
        <f>IFERROR(Model!BE529/Model!BD529-1,"NA")</f>
        <v>NA</v>
      </c>
    </row>
    <row r="530" spans="1:74" s="382" customFormat="1" x14ac:dyDescent="0.2">
      <c r="A530" s="411"/>
      <c r="B530" s="315" t="s">
        <v>255</v>
      </c>
      <c r="C530" s="321"/>
      <c r="D530" s="1260"/>
      <c r="E530" s="1260"/>
      <c r="F530" s="1260"/>
      <c r="G530" s="1260"/>
      <c r="H530" s="1260">
        <f>IFERROR(Model!H530/Model!D530-1,"NA")</f>
        <v>-0.58805970149253728</v>
      </c>
      <c r="I530" s="1260">
        <f>IFERROR(Model!I530/Model!E530-1,"NA")</f>
        <v>10.125</v>
      </c>
      <c r="J530" s="1260">
        <f>IFERROR(Model!J530/Model!F530-1,"NA")</f>
        <v>-2.7</v>
      </c>
      <c r="K530" s="1260">
        <f>IFERROR(Model!K530/Model!G530-1,"NA")</f>
        <v>-0.40526315789473688</v>
      </c>
      <c r="L530" s="1260">
        <f>IFERROR(Model!L530/Model!H530-1,"NA")</f>
        <v>0.24637681159420288</v>
      </c>
      <c r="M530" s="1260">
        <f>IFERROR(Model!M530/Model!I530-1,"NA")</f>
        <v>-1.1573033707865168</v>
      </c>
      <c r="N530" s="1260">
        <f>IFERROR(Model!N530/Model!J530-1,"NA")</f>
        <v>-0.51470588235294112</v>
      </c>
      <c r="O530" s="1260">
        <f>IFERROR(Model!O530/Model!K530-1,"NA")</f>
        <v>0.76106194690265494</v>
      </c>
      <c r="P530" s="1260">
        <f>IFERROR(Model!P530/Model!L530-1,"NA")</f>
        <v>-1.1627906976744207E-2</v>
      </c>
      <c r="Q530" s="1260">
        <f>IFERROR(Model!Q530/Model!M530-1,"NA")</f>
        <v>-3</v>
      </c>
      <c r="R530" s="1260">
        <f>IFERROR(Model!R530/Model!N530-1,"NA")</f>
        <v>1.8787878787878789</v>
      </c>
      <c r="S530" s="1260">
        <f>IFERROR(Model!S530/Model!O530-1,"NA")</f>
        <v>-0.74371859296482412</v>
      </c>
      <c r="T530" s="1260">
        <f>IFERROR(Model!T530/Model!P530-1,"NA")</f>
        <v>-0.7</v>
      </c>
      <c r="U530" s="1260">
        <f>IFERROR(Model!U530/Model!Q530-1,"NA")</f>
        <v>-1.8571428571428572</v>
      </c>
      <c r="V530" s="1260">
        <f>IFERROR(Model!V530/Model!R530-1,"NA")</f>
        <v>-0.52631578947368429</v>
      </c>
      <c r="W530" s="1260">
        <f>IFERROR(Model!W530/Model!S530-1,"NA")</f>
        <v>-2.6862745098039218</v>
      </c>
      <c r="X530" s="1260">
        <f>IFERROR(Model!X530/Model!T530-1,"NA")</f>
        <v>2.7058823529411766</v>
      </c>
      <c r="Y530" s="1260">
        <f>IFERROR(Model!Y530/Model!U530-1,"NA")</f>
        <v>-0.97916666666666663</v>
      </c>
      <c r="Z530" s="1260">
        <f>IFERROR(Model!Z530/Model!V530-1,"NA")</f>
        <v>3.6888888888888891</v>
      </c>
      <c r="AA530" s="1260">
        <f>IFERROR(Model!AA530/Model!W530-1,"NA")</f>
        <v>-8.1395348837209336E-2</v>
      </c>
      <c r="AB530" s="1260">
        <f>IFERROR(Model!AB530/Model!X530-1,"NA")</f>
        <v>1.8412698412698414</v>
      </c>
      <c r="AC530" s="1287" t="str">
        <f>IFERROR(Model!AC530/Model!Y530-1,"NA")</f>
        <v>NA</v>
      </c>
      <c r="AD530" s="1287" t="str">
        <f>IFERROR(Model!AD530/Model!Z530-1,"NA")</f>
        <v>NA</v>
      </c>
      <c r="AE530" s="1287" t="str">
        <f>IFERROR(Model!AE530/Model!AA530-1,"NA")</f>
        <v>NA</v>
      </c>
      <c r="AF530" s="1287" t="str">
        <f>IFERROR(Model!AF530/Model!AB530-1,"NA")</f>
        <v>NA</v>
      </c>
      <c r="AG530" s="1287" t="str">
        <f>IFERROR(Model!AG530/Model!AC530-1,"NA")</f>
        <v>NA</v>
      </c>
      <c r="AH530" s="1287" t="str">
        <f>IFERROR(Model!AH530/Model!AD530-1,"NA")</f>
        <v>NA</v>
      </c>
      <c r="AI530" s="1287" t="str">
        <f>IFERROR(Model!AI530/Model!AE530-1,"NA")</f>
        <v>NA</v>
      </c>
      <c r="AJ530" s="1287"/>
      <c r="AK530" s="1287"/>
      <c r="AL530" s="1287"/>
      <c r="AM530" s="1287"/>
      <c r="AN530" s="1287"/>
      <c r="AO530" s="1287"/>
      <c r="AP530" s="1287"/>
      <c r="AQ530" s="1287"/>
      <c r="AR530" s="1236"/>
      <c r="AS530" s="1400"/>
      <c r="AT530" s="1284"/>
      <c r="AU530" s="1236"/>
      <c r="AV530" s="1236">
        <f>IFERROR(Model!AV530/Model!AU530-1,"NA")</f>
        <v>1.2396694214876032</v>
      </c>
      <c r="AW530" s="1236">
        <f>IFERROR(Model!AW530/Model!AV530-1,"NA")</f>
        <v>-1.0811808118081181</v>
      </c>
      <c r="AX530" s="1236">
        <f>IFERROR(Model!AX530/Model!AW530-1,"NA")</f>
        <v>-13.272727272727273</v>
      </c>
      <c r="AY530" s="1236">
        <f>IFERROR(Model!AY530/Model!AX530-1,"NA")</f>
        <v>-0.50370370370370376</v>
      </c>
      <c r="AZ530" s="1236" t="str">
        <f>IFERROR(Model!AZ530/Model!AY530-1,"NA")</f>
        <v>NA</v>
      </c>
      <c r="BA530" s="1236" t="str">
        <f>IFERROR(Model!BA530/Model!AZ530-1,"NA")</f>
        <v>NA</v>
      </c>
      <c r="BB530" s="1236" t="str">
        <f>IFERROR(Model!BB530/Model!BA530-1,"NA")</f>
        <v>NA</v>
      </c>
      <c r="BC530" s="1236" t="str">
        <f>IFERROR(Model!BC530/Model!BB530-1,"NA")</f>
        <v>NA</v>
      </c>
      <c r="BD530" s="1236" t="str">
        <f>IFERROR(Model!BD530/Model!BC530-1,"NA")</f>
        <v>NA</v>
      </c>
      <c r="BE530" s="1236" t="str">
        <f>IFERROR(Model!BE530/Model!BD530-1,"NA")</f>
        <v>NA</v>
      </c>
    </row>
    <row r="531" spans="1:74" s="382" customFormat="1" x14ac:dyDescent="0.2">
      <c r="A531" s="411"/>
      <c r="B531" s="375" t="s">
        <v>16</v>
      </c>
      <c r="C531" s="376"/>
      <c r="D531" s="1268"/>
      <c r="E531" s="1268"/>
      <c r="F531" s="1268"/>
      <c r="G531" s="1268"/>
      <c r="H531" s="1268">
        <f>IFERROR(Model!H531/Model!D531-1,"NA")</f>
        <v>-1.3571428571428572</v>
      </c>
      <c r="I531" s="1268">
        <f>IFERROR(Model!I531/Model!E531-1,"NA")</f>
        <v>-0.6</v>
      </c>
      <c r="J531" s="1268">
        <f>IFERROR(Model!J531/Model!F531-1,"NA")</f>
        <v>1.4</v>
      </c>
      <c r="K531" s="1268">
        <f>IFERROR(Model!K531/Model!G531-1,"NA")</f>
        <v>-0.5</v>
      </c>
      <c r="L531" s="1268">
        <f>IFERROR(Model!L531/Model!H531-1,"NA")</f>
        <v>9.4</v>
      </c>
      <c r="M531" s="1268">
        <f>IFERROR(Model!M531/Model!I531-1,"NA")</f>
        <v>1</v>
      </c>
      <c r="N531" s="1268">
        <f>IFERROR(Model!N531/Model!J531-1,"NA")</f>
        <v>-1.25</v>
      </c>
      <c r="O531" s="1268">
        <f>IFERROR(Model!O531/Model!K531-1,"NA")</f>
        <v>-0.16666666666666663</v>
      </c>
      <c r="P531" s="1268">
        <f>IFERROR(Model!P531/Model!L531-1,"NA")</f>
        <v>-0.69230769230769229</v>
      </c>
      <c r="Q531" s="1268">
        <f>IFERROR(Model!Q531/Model!M531-1,"NA")</f>
        <v>22</v>
      </c>
      <c r="R531" s="1268">
        <f>IFERROR(Model!R531/Model!N531-1,"NA")</f>
        <v>62</v>
      </c>
      <c r="S531" s="1268">
        <f>IFERROR(Model!S531/Model!O531-1,"NA")</f>
        <v>-4.3</v>
      </c>
      <c r="T531" s="1268">
        <f>IFERROR(Model!T531/Model!P531-1,"NA")</f>
        <v>-0.875</v>
      </c>
      <c r="U531" s="1268">
        <f>IFERROR(Model!U531/Model!Q531-1,"NA")</f>
        <v>-1.6902173913043477</v>
      </c>
      <c r="V531" s="1268">
        <f>IFERROR(Model!V531/Model!R531-1,"NA")</f>
        <v>-0.97883597883597884</v>
      </c>
      <c r="W531" s="1268">
        <f>IFERROR(Model!W531/Model!S531-1,"NA")</f>
        <v>-0.81818181818181812</v>
      </c>
      <c r="X531" s="1268">
        <f>IFERROR(Model!X531/Model!T531-1,"NA")</f>
        <v>3.5</v>
      </c>
      <c r="Y531" s="1268">
        <f>IFERROR(Model!Y531/Model!U531-1,"NA")</f>
        <v>-1.0472440944881889</v>
      </c>
      <c r="Z531" s="1268">
        <f>IFERROR(Model!Z531/Model!V531-1,"NA")</f>
        <v>-2.25</v>
      </c>
      <c r="AA531" s="1268">
        <f>IFERROR(Model!AA531/Model!W531-1,"NA")</f>
        <v>0.5</v>
      </c>
      <c r="AB531" s="1268">
        <f>IFERROR(Model!AB531/Model!X531-1,"NA")</f>
        <v>7.8888888888888893</v>
      </c>
      <c r="AC531" s="1289" t="str">
        <f>IFERROR(Model!AC531/Model!Y531-1,"NA")</f>
        <v>NA</v>
      </c>
      <c r="AD531" s="1289" t="str">
        <f>IFERROR(Model!AD531/Model!Z531-1,"NA")</f>
        <v>NA</v>
      </c>
      <c r="AE531" s="1289" t="str">
        <f>IFERROR(Model!AE531/Model!AA531-1,"NA")</f>
        <v>NA</v>
      </c>
      <c r="AF531" s="1289" t="str">
        <f>IFERROR(Model!AF531/Model!AB531-1,"NA")</f>
        <v>NA</v>
      </c>
      <c r="AG531" s="1289" t="str">
        <f>IFERROR(Model!AG531/Model!AC531-1,"NA")</f>
        <v>NA</v>
      </c>
      <c r="AH531" s="1289" t="str">
        <f>IFERROR(Model!AH531/Model!AD531-1,"NA")</f>
        <v>NA</v>
      </c>
      <c r="AI531" s="1289" t="str">
        <f>IFERROR(Model!AI531/Model!AE531-1,"NA")</f>
        <v>NA</v>
      </c>
      <c r="AJ531" s="1301"/>
      <c r="AK531" s="1301"/>
      <c r="AL531" s="1301"/>
      <c r="AM531" s="1301"/>
      <c r="AN531" s="1301"/>
      <c r="AO531" s="1301"/>
      <c r="AP531" s="1301"/>
      <c r="AQ531" s="1301"/>
      <c r="AR531" s="1236"/>
      <c r="AS531" s="1402"/>
      <c r="AT531" s="1270"/>
      <c r="AU531" s="1246"/>
      <c r="AV531" s="1246">
        <f>IFERROR(Model!AV531/Model!AU531-1,"NA")</f>
        <v>-0.56603773584905659</v>
      </c>
      <c r="AW531" s="1246">
        <f>IFERROR(Model!AW531/Model!AV531-1,"NA")</f>
        <v>-2.6086956521739131</v>
      </c>
      <c r="AX531" s="1246">
        <f>IFERROR(Model!AX531/Model!AW531-1,"NA")</f>
        <v>0.45945945945945943</v>
      </c>
      <c r="AY531" s="1246">
        <f>IFERROR(Model!AY531/Model!AX531-1,"NA")</f>
        <v>1.574074074074074</v>
      </c>
      <c r="AZ531" s="1246" t="str">
        <f>IFERROR(Model!AZ531/Model!AY531-1,"NA")</f>
        <v>NA</v>
      </c>
      <c r="BA531" s="1246" t="str">
        <f>IFERROR(Model!BA531/Model!AZ531-1,"NA")</f>
        <v>NA</v>
      </c>
      <c r="BB531" s="1246" t="str">
        <f>IFERROR(Model!BB531/Model!BA531-1,"NA")</f>
        <v>NA</v>
      </c>
      <c r="BC531" s="1246" t="str">
        <f>IFERROR(Model!BC531/Model!BB531-1,"NA")</f>
        <v>NA</v>
      </c>
      <c r="BD531" s="1246" t="str">
        <f>IFERROR(Model!BD531/Model!BC531-1,"NA")</f>
        <v>NA</v>
      </c>
      <c r="BE531" s="1246" t="str">
        <f>IFERROR(Model!BE531/Model!BD531-1,"NA")</f>
        <v>NA</v>
      </c>
    </row>
    <row r="532" spans="1:74" s="382" customFormat="1" x14ac:dyDescent="0.2">
      <c r="A532" s="411"/>
      <c r="B532" s="321" t="s">
        <v>293</v>
      </c>
      <c r="C532" s="321"/>
      <c r="D532" s="1258"/>
      <c r="E532" s="1258"/>
      <c r="F532" s="1258"/>
      <c r="G532" s="1258"/>
      <c r="H532" s="1258">
        <f>IFERROR(Model!H532/Model!D532-1,"NA")</f>
        <v>-0.25032938076416333</v>
      </c>
      <c r="I532" s="1258">
        <f>IFERROR(Model!I532/Model!E532-1,"NA")</f>
        <v>0.6384180790960452</v>
      </c>
      <c r="J532" s="1258">
        <f>IFERROR(Model!J532/Model!F532-1,"NA")</f>
        <v>0.50342465753424648</v>
      </c>
      <c r="K532" s="1258">
        <f>IFERROR(Model!K532/Model!G532-1,"NA")</f>
        <v>0.63043478260869557</v>
      </c>
      <c r="L532" s="1258">
        <f>IFERROR(Model!L532/Model!H532-1,"NA")</f>
        <v>0.1036906854130053</v>
      </c>
      <c r="M532" s="1258">
        <f>IFERROR(Model!M532/Model!I532-1,"NA")</f>
        <v>-0.44999999999999996</v>
      </c>
      <c r="N532" s="1258">
        <f>IFERROR(Model!N532/Model!J532-1,"NA")</f>
        <v>-0.12072892938496582</v>
      </c>
      <c r="O532" s="1258">
        <f>IFERROR(Model!O532/Model!K532-1,"NA")</f>
        <v>-0.38222222222222224</v>
      </c>
      <c r="P532" s="1258">
        <f>IFERROR(Model!P532/Model!L532-1,"NA")</f>
        <v>-0.11305732484076436</v>
      </c>
      <c r="Q532" s="1258">
        <f>IFERROR(Model!Q532/Model!M532-1,"NA")</f>
        <v>-0.34796238244514111</v>
      </c>
      <c r="R532" s="1258">
        <f>IFERROR(Model!R532/Model!N532-1,"NA")</f>
        <v>0.58808290155440424</v>
      </c>
      <c r="S532" s="1258">
        <f>IFERROR(Model!S532/Model!O532-1,"NA")</f>
        <v>1.0431654676258995</v>
      </c>
      <c r="T532" s="1258">
        <f>IFERROR(Model!T532/Model!P532-1,"NA")</f>
        <v>-0.26391382405745067</v>
      </c>
      <c r="U532" s="1258">
        <f>IFERROR(Model!U532/Model!Q532-1,"NA")</f>
        <v>0.91346153846153855</v>
      </c>
      <c r="V532" s="1258">
        <f>IFERROR(Model!V532/Model!R532-1,"NA")</f>
        <v>-0.42740619902120713</v>
      </c>
      <c r="W532" s="1258">
        <f>IFERROR(Model!W532/Model!S532-1,"NA")</f>
        <v>0.45774647887323949</v>
      </c>
      <c r="X532" s="1258">
        <f>IFERROR(Model!X532/Model!T532-1,"NA")</f>
        <v>0.2780487804878049</v>
      </c>
      <c r="Y532" s="1258">
        <f>IFERROR(Model!Y532/Model!U532-1,"NA")</f>
        <v>-0.20603015075376885</v>
      </c>
      <c r="Z532" s="1258">
        <f>IFERROR(Model!Z532/Model!V532-1,"NA")</f>
        <v>0.46723646723646728</v>
      </c>
      <c r="AA532" s="1258">
        <f>IFERROR(Model!AA532/Model!W532-1,"NA")</f>
        <v>-3.1400966183574908E-2</v>
      </c>
      <c r="AB532" s="1258">
        <f>IFERROR(Model!AB532/Model!X532-1,"NA")</f>
        <v>0.86641221374045796</v>
      </c>
      <c r="AC532" s="1287" t="str">
        <f>IFERROR(Model!AC532/Model!Y532-1,"NA")</f>
        <v>NA</v>
      </c>
      <c r="AD532" s="1287" t="str">
        <f>IFERROR(Model!AD532/Model!Z532-1,"NA")</f>
        <v>NA</v>
      </c>
      <c r="AE532" s="1287" t="str">
        <f>IFERROR(Model!AE532/Model!AA532-1,"NA")</f>
        <v>NA</v>
      </c>
      <c r="AF532" s="1287" t="str">
        <f>IFERROR(Model!AF532/Model!AB532-1,"NA")</f>
        <v>NA</v>
      </c>
      <c r="AG532" s="1287" t="str">
        <f>IFERROR(Model!AG532/Model!AC532-1,"NA")</f>
        <v>NA</v>
      </c>
      <c r="AH532" s="1287" t="str">
        <f>IFERROR(Model!AH532/Model!AD532-1,"NA")</f>
        <v>NA</v>
      </c>
      <c r="AI532" s="1287" t="str">
        <f>IFERROR(Model!AI532/Model!AE532-1,"NA")</f>
        <v>NA</v>
      </c>
      <c r="AJ532" s="1287"/>
      <c r="AK532" s="1287"/>
      <c r="AL532" s="1287"/>
      <c r="AM532" s="1287"/>
      <c r="AN532" s="1287"/>
      <c r="AO532" s="1287"/>
      <c r="AP532" s="1287"/>
      <c r="AQ532" s="1287"/>
      <c r="AR532" s="1236"/>
      <c r="AS532" s="1284"/>
      <c r="AT532" s="1284"/>
      <c r="AU532" s="1291"/>
      <c r="AV532" s="1291">
        <f>IFERROR(Model!AV532/Model!AU532-1,"NA")</f>
        <v>0.17498379779650031</v>
      </c>
      <c r="AW532" s="1291">
        <f>IFERROR(Model!AW532/Model!AV532-1,"NA")</f>
        <v>-0.18808604522890238</v>
      </c>
      <c r="AX532" s="1291">
        <f>IFERROR(Model!AX532/Model!AW532-1,"NA")</f>
        <v>0.12907608695652173</v>
      </c>
      <c r="AY532" s="1291">
        <f>IFERROR(Model!AY532/Model!AX532-1,"NA")</f>
        <v>-5.3549939831528226E-2</v>
      </c>
      <c r="AZ532" s="1236" t="str">
        <f>IFERROR(Model!AZ532/Model!AY532-1,"NA")</f>
        <v>NA</v>
      </c>
      <c r="BA532" s="1236" t="str">
        <f>IFERROR(Model!BA532/Model!AZ532-1,"NA")</f>
        <v>NA</v>
      </c>
      <c r="BB532" s="1236" t="str">
        <f>IFERROR(Model!BB532/Model!BA532-1,"NA")</f>
        <v>NA</v>
      </c>
      <c r="BC532" s="1236" t="str">
        <f>IFERROR(Model!BC532/Model!BB532-1,"NA")</f>
        <v>NA</v>
      </c>
      <c r="BD532" s="1236" t="str">
        <f>IFERROR(Model!BD532/Model!BC532-1,"NA")</f>
        <v>NA</v>
      </c>
      <c r="BE532" s="1236" t="str">
        <f>IFERROR(Model!BE532/Model!BD532-1,"NA")</f>
        <v>NA</v>
      </c>
    </row>
    <row r="533" spans="1:74" s="382" customFormat="1" x14ac:dyDescent="0.2">
      <c r="A533" s="411"/>
      <c r="B533" s="376" t="s">
        <v>209</v>
      </c>
      <c r="C533" s="376"/>
      <c r="D533" s="1268"/>
      <c r="E533" s="1268"/>
      <c r="F533" s="1268"/>
      <c r="G533" s="1268"/>
      <c r="H533" s="1268">
        <f>IFERROR(Model!H533/Model!D533-1,"NA")</f>
        <v>0.71014492753623193</v>
      </c>
      <c r="I533" s="1268">
        <f>IFERROR(Model!I533/Model!E533-1,"NA")</f>
        <v>0.8100558659217878</v>
      </c>
      <c r="J533" s="1268">
        <f>IFERROR(Model!J533/Model!F533-1,"NA")</f>
        <v>0.22222222222222232</v>
      </c>
      <c r="K533" s="1268">
        <f>IFERROR(Model!K533/Model!G533-1,"NA")</f>
        <v>-6.0606060606060552E-2</v>
      </c>
      <c r="L533" s="1268">
        <f>IFERROR(Model!L533/Model!H533-1,"NA")</f>
        <v>8.0508474576271194E-2</v>
      </c>
      <c r="M533" s="1268">
        <f>IFERROR(Model!M533/Model!I533-1,"NA")</f>
        <v>-0.10185185185185186</v>
      </c>
      <c r="N533" s="1268">
        <f>IFERROR(Model!N533/Model!J533-1,"NA")</f>
        <v>0.45849802371541504</v>
      </c>
      <c r="O533" s="1268">
        <f>IFERROR(Model!O533/Model!K533-1,"NA")</f>
        <v>0.19713261648745517</v>
      </c>
      <c r="P533" s="1268">
        <f>IFERROR(Model!P533/Model!L533-1,"NA")</f>
        <v>0.19607843137254899</v>
      </c>
      <c r="Q533" s="1268">
        <f>IFERROR(Model!Q533/Model!M533-1,"NA")</f>
        <v>0.49828178694158076</v>
      </c>
      <c r="R533" s="1268">
        <f>IFERROR(Model!R533/Model!N533-1,"NA")</f>
        <v>4.0650406504065151E-2</v>
      </c>
      <c r="S533" s="1268">
        <f>IFERROR(Model!S533/Model!O533-1,"NA")</f>
        <v>-5.9880239520958112E-2</v>
      </c>
      <c r="T533" s="1268">
        <f>IFERROR(Model!T533/Model!P533-1,"NA")</f>
        <v>-5.9016393442622994E-2</v>
      </c>
      <c r="U533" s="1268">
        <f>IFERROR(Model!U533/Model!Q533-1,"NA")</f>
        <v>-0.1330275229357798</v>
      </c>
      <c r="V533" s="1268">
        <f>IFERROR(Model!V533/Model!R533-1,"NA")</f>
        <v>-0.2109375</v>
      </c>
      <c r="W533" s="1268">
        <f>IFERROR(Model!W533/Model!S533-1,"NA")</f>
        <v>-0.13694267515923564</v>
      </c>
      <c r="X533" s="1268">
        <f>IFERROR(Model!X533/Model!T533-1,"NA")</f>
        <v>-3.1358885017421567E-2</v>
      </c>
      <c r="Y533" s="1268">
        <f>IFERROR(Model!Y533/Model!U533-1,"NA")</f>
        <v>8.2010582010582089E-2</v>
      </c>
      <c r="Z533" s="1268">
        <f>IFERROR(Model!Z533/Model!V533-1,"NA")</f>
        <v>-0.1089108910891089</v>
      </c>
      <c r="AA533" s="1268">
        <f>IFERROR(Model!AA533/Model!W533-1,"NA")</f>
        <v>-0.38745387453874536</v>
      </c>
      <c r="AB533" s="1268">
        <f>IFERROR(Model!AB533/Model!X533-1,"NA")</f>
        <v>-0.55035971223021585</v>
      </c>
      <c r="AC533" s="1289" t="str">
        <f>IFERROR(Model!AC533/Model!Y533-1,"NA")</f>
        <v>NA</v>
      </c>
      <c r="AD533" s="1289" t="str">
        <f>IFERROR(Model!AD533/Model!Z533-1,"NA")</f>
        <v>NA</v>
      </c>
      <c r="AE533" s="1289" t="str">
        <f>IFERROR(Model!AE533/Model!AA533-1,"NA")</f>
        <v>NA</v>
      </c>
      <c r="AF533" s="1289" t="str">
        <f>IFERROR(Model!AF533/Model!AB533-1,"NA")</f>
        <v>NA</v>
      </c>
      <c r="AG533" s="1289" t="str">
        <f>IFERROR(Model!AG533/Model!AC533-1,"NA")</f>
        <v>NA</v>
      </c>
      <c r="AH533" s="1289" t="str">
        <f>IFERROR(Model!AH533/Model!AD533-1,"NA")</f>
        <v>NA</v>
      </c>
      <c r="AI533" s="1289" t="str">
        <f>IFERROR(Model!AI533/Model!AE533-1,"NA")</f>
        <v>NA</v>
      </c>
      <c r="AJ533" s="1301"/>
      <c r="AK533" s="1301"/>
      <c r="AL533" s="1301"/>
      <c r="AM533" s="1301"/>
      <c r="AN533" s="1301"/>
      <c r="AO533" s="1301"/>
      <c r="AP533" s="1301"/>
      <c r="AQ533" s="1301"/>
      <c r="AR533" s="1236"/>
      <c r="AS533" s="1270"/>
      <c r="AT533" s="1270"/>
      <c r="AU533" s="1246"/>
      <c r="AV533" s="1246">
        <f>IFERROR(Model!AV533/Model!AU533-1,"NA")</f>
        <v>0.33008526187576126</v>
      </c>
      <c r="AW533" s="1246">
        <f>IFERROR(Model!AW533/Model!AV533-1,"NA")</f>
        <v>0.14377289377289371</v>
      </c>
      <c r="AX533" s="1246">
        <f>IFERROR(Model!AX533/Model!AW533-1,"NA")</f>
        <v>0.15212169735788628</v>
      </c>
      <c r="AY533" s="1246">
        <f>IFERROR(Model!AY533/Model!AX533-1,"NA")</f>
        <v>-0.13898540653231406</v>
      </c>
      <c r="AZ533" s="1246" t="str">
        <f>IFERROR(Model!AZ533/Model!AY533-1,"NA")</f>
        <v>NA</v>
      </c>
      <c r="BA533" s="1246" t="str">
        <f>IFERROR(Model!BA533/Model!AZ533-1,"NA")</f>
        <v>NA</v>
      </c>
      <c r="BB533" s="1246" t="str">
        <f>IFERROR(Model!BB533/Model!BA533-1,"NA")</f>
        <v>NA</v>
      </c>
      <c r="BC533" s="1246" t="str">
        <f>IFERROR(Model!BC533/Model!BB533-1,"NA")</f>
        <v>NA</v>
      </c>
      <c r="BD533" s="1246" t="str">
        <f>IFERROR(Model!BD533/Model!BC533-1,"NA")</f>
        <v>NA</v>
      </c>
      <c r="BE533" s="1246" t="str">
        <f>IFERROR(Model!BE533/Model!BD533-1,"NA")</f>
        <v>NA</v>
      </c>
    </row>
    <row r="534" spans="1:74" s="382" customFormat="1" x14ac:dyDescent="0.2">
      <c r="A534" s="830"/>
      <c r="B534" s="550" t="s">
        <v>655</v>
      </c>
      <c r="C534" s="369"/>
      <c r="D534" s="1258"/>
      <c r="E534" s="1258"/>
      <c r="F534" s="1258"/>
      <c r="G534" s="1258"/>
      <c r="H534" s="1258">
        <f>IFERROR(Model!H534/Model!D534-1,"NA")</f>
        <v>-0.10256410256410253</v>
      </c>
      <c r="I534" s="1258">
        <f>IFERROR(Model!I534/Model!E534-1,"NA")</f>
        <v>0.69606003752345225</v>
      </c>
      <c r="J534" s="1258">
        <f>IFERROR(Model!J534/Model!F534-1,"NA")</f>
        <v>0.38677354709418843</v>
      </c>
      <c r="K534" s="1258">
        <f>IFERROR(Model!K534/Model!G534-1,"NA")</f>
        <v>0.15862068965517251</v>
      </c>
      <c r="L534" s="1258">
        <f>IFERROR(Model!L534/Model!H534-1,"NA")</f>
        <v>9.6894409937888115E-2</v>
      </c>
      <c r="M534" s="1258">
        <f>IFERROR(Model!M534/Model!I534-1,"NA")</f>
        <v>-0.3252212389380531</v>
      </c>
      <c r="N534" s="1258">
        <f>IFERROR(Model!N534/Model!J534-1,"NA")</f>
        <v>9.1040462427745661E-2</v>
      </c>
      <c r="O534" s="1258">
        <f>IFERROR(Model!O534/Model!K534-1,"NA")</f>
        <v>-6.1507936507936511E-2</v>
      </c>
      <c r="P534" s="1258">
        <f>IFERROR(Model!P534/Model!L534-1,"NA")</f>
        <v>-2.3782559456398622E-2</v>
      </c>
      <c r="Q534" s="1258">
        <f>IFERROR(Model!Q534/Model!M534-1,"NA")</f>
        <v>5.573770491803276E-2</v>
      </c>
      <c r="R534" s="1258">
        <f>IFERROR(Model!R534/Model!N534-1,"NA")</f>
        <v>0.32052980132450326</v>
      </c>
      <c r="S534" s="1258">
        <f>IFERROR(Model!S534/Model!O534-1,"NA")</f>
        <v>0.26427061310782252</v>
      </c>
      <c r="T534" s="1258">
        <f>IFERROR(Model!T534/Model!P534-1,"NA")</f>
        <v>-0.191415313225058</v>
      </c>
      <c r="U534" s="1258">
        <f>IFERROR(Model!U534/Model!Q534-1,"NA")</f>
        <v>0.20496894409937894</v>
      </c>
      <c r="V534" s="1258">
        <f>IFERROR(Model!V534/Model!R534-1,"NA")</f>
        <v>-0.34403209628886655</v>
      </c>
      <c r="W534" s="1258">
        <f>IFERROR(Model!W534/Model!S534-1,"NA")</f>
        <v>0.14548494983277593</v>
      </c>
      <c r="X534" s="1258">
        <f>IFERROR(Model!X534/Model!T534-1,"NA")</f>
        <v>0.15064562410329985</v>
      </c>
      <c r="Y534" s="1258">
        <f>IFERROR(Model!Y534/Model!U534-1,"NA")</f>
        <v>-6.5721649484536071E-2</v>
      </c>
      <c r="Z534" s="1258">
        <f>IFERROR(Model!Z534/Model!V534-1,"NA")</f>
        <v>0.20030581039755346</v>
      </c>
      <c r="AA534" s="1258">
        <f>IFERROR(Model!AA534/Model!W534-1,"NA")</f>
        <v>-0.17226277372262777</v>
      </c>
      <c r="AB534" s="1258">
        <f>IFERROR(Model!AB534/Model!X534-1,"NA")</f>
        <v>0.37531172069825436</v>
      </c>
      <c r="AC534" s="1301">
        <f>IFERROR(Model!AC534/Model!Y534-1,"NA")</f>
        <v>7.0000000000000062E-2</v>
      </c>
      <c r="AD534" s="1301">
        <f>IFERROR(Model!AD534/Model!Z534-1,"NA")</f>
        <v>4.0000000000000036E-2</v>
      </c>
      <c r="AE534" s="1301">
        <f>IFERROR(Model!AE534/Model!AA534-1,"NA")</f>
        <v>0.19999999999999996</v>
      </c>
      <c r="AF534" s="1301">
        <f>IFERROR(Model!AF534/Model!AB534-1,"NA")</f>
        <v>-0.15000000000000002</v>
      </c>
      <c r="AG534" s="1301">
        <f>IFERROR(Model!AG534/Model!AC534-1,"NA")</f>
        <v>5.0000000000000044E-2</v>
      </c>
      <c r="AH534" s="1301">
        <f>IFERROR(Model!AH534/Model!AD534-1,"NA")</f>
        <v>5.0000000000000044E-2</v>
      </c>
      <c r="AI534" s="1301">
        <f>IFERROR(Model!AI534/Model!AE534-1,"NA")</f>
        <v>5.0000000000000044E-2</v>
      </c>
      <c r="AJ534" s="1301"/>
      <c r="AK534" s="1301"/>
      <c r="AL534" s="1301"/>
      <c r="AM534" s="1301"/>
      <c r="AN534" s="1301"/>
      <c r="AO534" s="1301"/>
      <c r="AP534" s="1301"/>
      <c r="AQ534" s="1301"/>
      <c r="AR534" s="1236"/>
      <c r="AS534" s="1409"/>
      <c r="AT534" s="1263"/>
      <c r="AU534" s="1291"/>
      <c r="AV534" s="1291">
        <f>IFERROR(Model!AV534/Model!AU534-1,"NA")</f>
        <v>0.228849407783418</v>
      </c>
      <c r="AW534" s="1291">
        <f>IFERROR(Model!AW534/Model!AV534-1,"NA")</f>
        <v>-6.3339070567986266E-2</v>
      </c>
      <c r="AX534" s="1291">
        <f>IFERROR(Model!AX534/Model!AW534-1,"NA")</f>
        <v>0.13965453877251011</v>
      </c>
      <c r="AY534" s="1291">
        <f>IFERROR(Model!AY534/Model!AX534-1,"NA")</f>
        <v>-9.3195743308610135E-2</v>
      </c>
      <c r="AZ534" s="1291">
        <f>IFERROR(Model!AZ534/Model!AY534-1,"NA")</f>
        <v>2.3826458036984244E-2</v>
      </c>
      <c r="BA534" s="1291">
        <f>IFERROR(Model!BA534/Model!AZ534-1,"NA")</f>
        <v>0.17247308093087876</v>
      </c>
      <c r="BB534" s="1291">
        <f>IFERROR(Model!BB534/Model!BA534-1,"NA")</f>
        <v>-1.5352312956407155E-2</v>
      </c>
      <c r="BC534" s="1291">
        <f>IFERROR(Model!BC534/Model!BB534-1,"NA")</f>
        <v>7.0000000000000062E-2</v>
      </c>
      <c r="BD534" s="1291">
        <f>IFERROR(Model!BD534/Model!BC534-1,"NA")</f>
        <v>7.0000000000000062E-2</v>
      </c>
      <c r="BE534" s="1291">
        <f>IFERROR(Model!BE534/Model!BD534-1,"NA")</f>
        <v>7.0000000000000062E-2</v>
      </c>
    </row>
    <row r="535" spans="1:74" x14ac:dyDescent="0.2">
      <c r="B535" s="16"/>
      <c r="C535" s="16"/>
      <c r="D535" s="1287"/>
      <c r="E535" s="1287"/>
      <c r="F535" s="1287"/>
      <c r="G535" s="1287"/>
      <c r="H535" s="1287"/>
      <c r="I535" s="1287"/>
      <c r="J535" s="1287"/>
      <c r="K535" s="1287"/>
      <c r="L535" s="1287"/>
      <c r="M535" s="1287"/>
      <c r="N535" s="1287"/>
      <c r="O535" s="1287"/>
      <c r="P535" s="1287"/>
      <c r="Q535" s="1287"/>
      <c r="R535" s="1287"/>
      <c r="S535" s="1287"/>
      <c r="T535" s="1287"/>
      <c r="U535" s="1287"/>
      <c r="V535" s="1287"/>
      <c r="W535" s="1287"/>
      <c r="X535" s="1287"/>
      <c r="Y535" s="1287"/>
      <c r="Z535" s="1287"/>
      <c r="AA535" s="1287"/>
      <c r="AB535" s="1287"/>
      <c r="AC535" s="1236"/>
      <c r="AD535" s="1236"/>
      <c r="AE535" s="1236"/>
      <c r="AF535" s="1236"/>
      <c r="AG535" s="1236"/>
      <c r="AH535" s="1236"/>
      <c r="AI535" s="1236"/>
      <c r="AJ535" s="1236"/>
      <c r="AK535" s="1236"/>
      <c r="AL535" s="1236"/>
      <c r="AM535" s="1236"/>
      <c r="AN535" s="1236"/>
      <c r="AO535" s="1236"/>
      <c r="AP535" s="1236"/>
      <c r="AQ535" s="1236"/>
      <c r="AR535" s="1236"/>
      <c r="AS535" s="1371"/>
      <c r="AT535" s="1371"/>
      <c r="AU535" s="1236"/>
      <c r="AV535" s="1236"/>
      <c r="AW535" s="1236"/>
      <c r="AX535" s="1236"/>
      <c r="AY535" s="1236"/>
      <c r="AZ535" s="1236"/>
      <c r="BA535" s="1236"/>
      <c r="BB535" s="1236"/>
      <c r="BC535" s="1236"/>
      <c r="BD535" s="1236"/>
      <c r="BE535" s="1236"/>
    </row>
    <row r="536" spans="1:74" x14ac:dyDescent="0.2">
      <c r="B536" s="574" t="s">
        <v>267</v>
      </c>
      <c r="C536" s="12"/>
      <c r="D536" s="1398"/>
      <c r="E536" s="1398"/>
      <c r="F536" s="1398"/>
      <c r="G536" s="1398"/>
      <c r="H536" s="1398"/>
      <c r="I536" s="1398"/>
      <c r="J536" s="1398"/>
      <c r="K536" s="1398"/>
      <c r="L536" s="1398"/>
      <c r="M536" s="1398"/>
      <c r="N536" s="1398"/>
      <c r="O536" s="1398"/>
      <c r="P536" s="1398"/>
      <c r="Q536" s="1398"/>
      <c r="R536" s="1398"/>
      <c r="S536" s="1398"/>
      <c r="T536" s="1398"/>
      <c r="U536" s="1398"/>
      <c r="V536" s="1398"/>
      <c r="W536" s="1398"/>
      <c r="X536" s="1398"/>
      <c r="Y536" s="1398"/>
      <c r="Z536" s="1398"/>
      <c r="AA536" s="1398"/>
      <c r="AB536" s="1398"/>
      <c r="AC536" s="1398"/>
      <c r="AD536" s="1398"/>
      <c r="AE536" s="1398"/>
      <c r="AF536" s="1398"/>
      <c r="AG536" s="1398"/>
      <c r="AH536" s="1398"/>
      <c r="AI536" s="1398"/>
      <c r="AJ536" s="1398"/>
      <c r="AK536" s="1398"/>
      <c r="AL536" s="1398"/>
      <c r="AM536" s="1398"/>
      <c r="AN536" s="1398"/>
      <c r="AO536" s="1398"/>
      <c r="AP536" s="1398"/>
      <c r="AQ536" s="1398"/>
      <c r="AR536" s="1236"/>
      <c r="AS536" s="1310"/>
      <c r="AT536" s="1398"/>
      <c r="AU536" s="1454"/>
      <c r="AV536" s="1454"/>
      <c r="AW536" s="1454"/>
      <c r="AX536" s="1454"/>
      <c r="AY536" s="1454"/>
      <c r="AZ536" s="1454"/>
      <c r="BA536" s="1454"/>
      <c r="BB536" s="1454"/>
      <c r="BC536" s="1454"/>
      <c r="BD536" s="1454"/>
      <c r="BE536" s="1454"/>
      <c r="BF536" s="23"/>
      <c r="BG536" s="23"/>
      <c r="BH536" s="23"/>
      <c r="BI536" s="23"/>
      <c r="BJ536" s="23"/>
      <c r="BK536" s="23"/>
      <c r="BL536" s="23"/>
      <c r="BM536" s="23"/>
      <c r="BN536" s="23"/>
      <c r="BO536" s="38"/>
      <c r="BP536" s="38"/>
      <c r="BQ536" s="38"/>
      <c r="BR536" s="38"/>
      <c r="BS536" s="38"/>
      <c r="BT536" s="38"/>
      <c r="BU536" s="38"/>
      <c r="BV536" s="38"/>
    </row>
    <row r="537" spans="1:74" x14ac:dyDescent="0.2">
      <c r="B537" s="319" t="s">
        <v>268</v>
      </c>
      <c r="C537" s="15"/>
      <c r="D537" s="1434"/>
      <c r="E537" s="1434"/>
      <c r="F537" s="1434"/>
      <c r="G537" s="1434"/>
      <c r="H537" s="1434">
        <f>IFERROR(Model!H537/Model!D537-1,"NA")</f>
        <v>0.25303189100164691</v>
      </c>
      <c r="I537" s="1434">
        <f>IFERROR(Model!I537/Model!E537-1,"NA")</f>
        <v>-1.1803057949939633E-2</v>
      </c>
      <c r="J537" s="1434">
        <f>IFERROR(Model!J537/Model!F537-1,"NA")</f>
        <v>8.9712185428344471E-2</v>
      </c>
      <c r="K537" s="1434">
        <f>IFERROR(Model!K537/Model!G537-1,"NA")</f>
        <v>1.3055681114924944E-2</v>
      </c>
      <c r="L537" s="1434">
        <f>IFERROR(Model!L537/Model!H537-1,"NA")</f>
        <v>0.10086010155730096</v>
      </c>
      <c r="M537" s="1434">
        <f>IFERROR(Model!M537/Model!I537-1,"NA")</f>
        <v>-7.9744446399709457E-2</v>
      </c>
      <c r="N537" s="1434">
        <f>IFERROR(Model!N537/Model!J537-1,"NA")</f>
        <v>0.18309912350661128</v>
      </c>
      <c r="O537" s="1434">
        <f>IFERROR(Model!O537/Model!K537-1,"NA")</f>
        <v>0.22914462670026658</v>
      </c>
      <c r="P537" s="1434">
        <f>IFERROR(Model!P537/Model!L537-1,"NA")</f>
        <v>0.22479521374836242</v>
      </c>
      <c r="Q537" s="1434">
        <f>IFERROR(Model!Q537/Model!M537-1,"NA")</f>
        <v>0.75080511034368769</v>
      </c>
      <c r="R537" s="1434">
        <f>IFERROR(Model!R537/Model!N537-1,"NA")</f>
        <v>0.43549834819442657</v>
      </c>
      <c r="S537" s="1434">
        <f>IFERROR(Model!S537/Model!O537-1,"NA")</f>
        <v>0.12617354504813494</v>
      </c>
      <c r="T537" s="1434">
        <f>IFERROR(Model!T537/Model!P537-1,"NA")</f>
        <v>-5.4947578898741911E-3</v>
      </c>
      <c r="U537" s="1434">
        <f>IFERROR(Model!U537/Model!Q537-1,"NA")</f>
        <v>-0.13160149602558635</v>
      </c>
      <c r="V537" s="1434">
        <f>IFERROR(Model!V537/Model!R537-1,"NA")</f>
        <v>-0.11101793066476751</v>
      </c>
      <c r="W537" s="1434">
        <f>IFERROR(Model!W537/Model!S537-1,"NA")</f>
        <v>2.1649513326450487E-2</v>
      </c>
      <c r="X537" s="1434">
        <f>IFERROR(Model!X537/Model!T537-1,"NA")</f>
        <v>-2.9256721275496611E-2</v>
      </c>
      <c r="Y537" s="1434">
        <f>IFERROR(Model!Y537/Model!U537-1,"NA")</f>
        <v>-1.2934891699573625E-2</v>
      </c>
      <c r="Z537" s="1434">
        <f>IFERROR(Model!Z537/Model!V537-1,"NA")</f>
        <v>4.1338099806889073E-3</v>
      </c>
      <c r="AA537" s="1434">
        <f>IFERROR(Model!AA537/Model!W537-1,"NA")</f>
        <v>-0.24861460018350068</v>
      </c>
      <c r="AB537" s="1434">
        <f>IFERROR(Model!AB537/Model!X537-1,"NA")</f>
        <v>-6.4600394151632434E-2</v>
      </c>
      <c r="AC537" s="1434">
        <f>IFERROR(Model!AC537/Model!Y537-1,"NA")</f>
        <v>-3.1659114477965544E-2</v>
      </c>
      <c r="AD537" s="1434">
        <f>IFERROR(Model!AD537/Model!Z537-1,"NA")</f>
        <v>5.8392415317243263E-2</v>
      </c>
      <c r="AE537" s="1434">
        <f>IFERROR(Model!AE537/Model!AA537-1,"NA")</f>
        <v>0.32972444920102029</v>
      </c>
      <c r="AF537" s="1434">
        <f>IFERROR(Model!AF537/Model!AB537-1,"NA")</f>
        <v>0.33100000000000041</v>
      </c>
      <c r="AG537" s="1434">
        <f>IFERROR(Model!AG537/Model!AC537-1,"NA")</f>
        <v>0.17370000000000019</v>
      </c>
      <c r="AH537" s="1434">
        <f>IFERROR(Model!AH537/Model!AD537-1,"NA")</f>
        <v>4.5660000000000034E-2</v>
      </c>
      <c r="AI537" s="1434">
        <f>IFERROR(Model!AI537/Model!AE537-1,"NA")</f>
        <v>-6.8412000000000028E-2</v>
      </c>
      <c r="AJ537" s="1434"/>
      <c r="AK537" s="1434"/>
      <c r="AL537" s="1434"/>
      <c r="AM537" s="1434"/>
      <c r="AN537" s="1434"/>
      <c r="AO537" s="1434"/>
      <c r="AP537" s="1434"/>
      <c r="AQ537" s="1434"/>
      <c r="AR537" s="1236"/>
      <c r="AS537" s="1248"/>
      <c r="AT537" s="1250"/>
      <c r="AU537" s="1236"/>
      <c r="AV537" s="1236">
        <f>IFERROR(Model!AV537/Model!AU537-1,"NA")</f>
        <v>7.4041957640642586E-2</v>
      </c>
      <c r="AW537" s="1236">
        <f>IFERROR(Model!AW537/Model!AV537-1,"NA")</f>
        <v>0.11113145790094703</v>
      </c>
      <c r="AX537" s="1236">
        <f>IFERROR(Model!AX537/Model!AW537-1,"NA")</f>
        <v>0.35196999042768073</v>
      </c>
      <c r="AY537" s="1236">
        <f>IFERROR(Model!AY537/Model!AX537-1,"NA")</f>
        <v>-5.8686142268193242E-2</v>
      </c>
      <c r="AZ537" s="1236">
        <f>IFERROR(Model!AZ537/Model!AY537-1,"NA")</f>
        <v>-7.9103558194460133E-2</v>
      </c>
      <c r="BA537" s="1236">
        <f>IFERROR(Model!BA537/Model!AZ537-1,"NA")</f>
        <v>6.708594346365726E-2</v>
      </c>
      <c r="BB537" s="1286">
        <f>IFERROR(Model!BB537/Model!BA537-1,"NA")</f>
        <v>0.10477531307907784</v>
      </c>
      <c r="BC537" s="1286">
        <f>IFERROR(Model!BC537/Model!BB537-1,"NA")</f>
        <v>5.0000000000000044E-2</v>
      </c>
      <c r="BD537" s="1286">
        <f>IFERROR(Model!BD537/Model!BC537-1,"NA")</f>
        <v>5.0000000000000044E-2</v>
      </c>
      <c r="BE537" s="1286">
        <f>IFERROR(Model!BE537/Model!BD537-1,"NA")</f>
        <v>5.0000000000000044E-2</v>
      </c>
    </row>
    <row r="538" spans="1:74" x14ac:dyDescent="0.2">
      <c r="B538" s="1217" t="s">
        <v>269</v>
      </c>
      <c r="D538" s="1303"/>
      <c r="E538" s="1303"/>
      <c r="F538" s="1303"/>
      <c r="G538" s="1303"/>
      <c r="H538" s="1303">
        <f>IFERROR(Model!H538/Model!D538-1,"NA")</f>
        <v>1.9770154723127038</v>
      </c>
      <c r="I538" s="1303">
        <f>IFERROR(Model!I538/Model!E538-1,"NA")</f>
        <v>0.54084872615477653</v>
      </c>
      <c r="J538" s="1303">
        <f>IFERROR(Model!J538/Model!F538-1,"NA")</f>
        <v>0.18208421394895136</v>
      </c>
      <c r="K538" s="1303">
        <f>IFERROR(Model!K538/Model!G538-1,"NA")</f>
        <v>0.19146766490254286</v>
      </c>
      <c r="L538" s="1303">
        <f>IFERROR(Model!L538/Model!H538-1,"NA")</f>
        <v>-0.67574590887021224</v>
      </c>
      <c r="M538" s="1303">
        <f>IFERROR(Model!M538/Model!I538-1,"NA")</f>
        <v>-0.3712129265440629</v>
      </c>
      <c r="N538" s="1303">
        <f>IFERROR(Model!N538/Model!J538-1,"NA")</f>
        <v>1.7948012653005163E-2</v>
      </c>
      <c r="O538" s="1303">
        <f>IFERROR(Model!O538/Model!K538-1,"NA")</f>
        <v>1.2235896991430399</v>
      </c>
      <c r="P538" s="1303">
        <f>IFERROR(Model!P538/Model!L538-1,"NA")</f>
        <v>2.5791715876497383</v>
      </c>
      <c r="Q538" s="1303">
        <f>IFERROR(Model!Q538/Model!M538-1,"NA")</f>
        <v>0.76943884517849015</v>
      </c>
      <c r="R538" s="1303">
        <f>IFERROR(Model!R538/Model!N538-1,"NA")</f>
        <v>1.011990812673107</v>
      </c>
      <c r="S538" s="1303">
        <f>IFERROR(Model!S538/Model!O538-1,"NA")</f>
        <v>-0.39179708054803064</v>
      </c>
      <c r="T538" s="1303">
        <f>IFERROR(Model!T538/Model!P538-1,"NA")</f>
        <v>3.8742560839078344E-2</v>
      </c>
      <c r="U538" s="1303">
        <f>IFERROR(Model!U538/Model!Q538-1,"NA")</f>
        <v>0.42783751405619541</v>
      </c>
      <c r="V538" s="1303">
        <f>IFERROR(Model!V538/Model!R538-1,"NA")</f>
        <v>7.3099758815003746E-2</v>
      </c>
      <c r="W538" s="1303">
        <f>IFERROR(Model!W538/Model!S538-1,"NA")</f>
        <v>-0.29319073940559159</v>
      </c>
      <c r="X538" s="1303">
        <f>IFERROR(Model!X538/Model!T538-1,"NA")</f>
        <v>-0.46251240888334233</v>
      </c>
      <c r="Y538" s="1303">
        <f>IFERROR(Model!Y538/Model!U538-1,"NA")</f>
        <v>-5.7450083130440199E-2</v>
      </c>
      <c r="Z538" s="1303">
        <f>IFERROR(Model!Z538/Model!V538-1,"NA")</f>
        <v>-0.62811059427212612</v>
      </c>
      <c r="AA538" s="1303">
        <f>IFERROR(Model!AA538/Model!W538-1,"NA")</f>
        <v>0.44308848363953701</v>
      </c>
      <c r="AB538" s="1303">
        <f>IFERROR(Model!AB538/Model!X538-1,"NA")</f>
        <v>2.5720045171027328E-2</v>
      </c>
      <c r="AC538" s="1304">
        <f>IFERROR(Model!AC538/Model!Y538-1,"NA")</f>
        <v>-0.30874232841102678</v>
      </c>
      <c r="AD538" s="1304">
        <f>IFERROR(Model!AD538/Model!Z538-1,"NA")</f>
        <v>0.95239896565939941</v>
      </c>
      <c r="AE538" s="1304">
        <f>IFERROR(Model!AE538/Model!AA538-1,"NA")</f>
        <v>0.20289571611388046</v>
      </c>
      <c r="AF538" s="1304">
        <f>IFERROR(Model!AF538/Model!AB538-1,"NA")</f>
        <v>0.63218530004012918</v>
      </c>
      <c r="AG538" s="1304">
        <f>IFERROR(Model!AG538/Model!AC538-1,"NA")</f>
        <v>0.21561785714285708</v>
      </c>
      <c r="AH538" s="1304">
        <f>IFERROR(Model!AH538/Model!AD538-1,"NA")</f>
        <v>8.3004999999999773E-2</v>
      </c>
      <c r="AI538" s="1304">
        <f>IFERROR(Model!AI538/Model!AE538-1,"NA")</f>
        <v>-3.5141000000000089E-2</v>
      </c>
      <c r="AJ538" s="1304"/>
      <c r="AK538" s="1304"/>
      <c r="AL538" s="1304"/>
      <c r="AM538" s="1304"/>
      <c r="AN538" s="1304"/>
      <c r="AO538" s="1304"/>
      <c r="AP538" s="1304"/>
      <c r="AQ538" s="1304"/>
      <c r="AR538" s="1236"/>
      <c r="AS538" s="407"/>
      <c r="AT538" s="407"/>
      <c r="AU538" s="1236"/>
      <c r="AV538" s="1236">
        <f>IFERROR(Model!AV538/Model!AU538-1,"NA")</f>
        <v>0.60160204169168741</v>
      </c>
      <c r="AW538" s="1236">
        <f>IFERROR(Model!AW538/Model!AV538-1,"NA")</f>
        <v>-6.6292177460570367E-2</v>
      </c>
      <c r="AX538" s="1236">
        <f>IFERROR(Model!AX538/Model!AW538-1,"NA")</f>
        <v>0.4563607116137991</v>
      </c>
      <c r="AY538" s="1236">
        <f>IFERROR(Model!AY538/Model!AX538-1,"NA")</f>
        <v>6.7702059077436205E-2</v>
      </c>
      <c r="AZ538" s="1236">
        <f>IFERROR(Model!AZ538/Model!AY538-1,"NA")</f>
        <v>-0.26754139939405397</v>
      </c>
      <c r="BA538" s="1236">
        <f>IFERROR(Model!BA538/Model!AZ538-1,"NA")</f>
        <v>8.3224283591500026E-2</v>
      </c>
      <c r="BB538" s="1304">
        <f>IFERROR(Model!BB538/Model!BA538-1,"NA")</f>
        <v>0.18387384778554861</v>
      </c>
      <c r="BC538" s="1304">
        <f>IFERROR(Model!BC538/Model!BB538-1,"NA")</f>
        <v>8.6206896551724199E-2</v>
      </c>
      <c r="BD538" s="1304">
        <f>IFERROR(Model!BD538/Model!BC538-1,"NA")</f>
        <v>5.0000000000000044E-2</v>
      </c>
      <c r="BE538" s="1304">
        <f>IFERROR(Model!BE538/Model!BD538-1,"NA")</f>
        <v>5.0000000000000044E-2</v>
      </c>
    </row>
    <row r="539" spans="1:74" x14ac:dyDescent="0.2">
      <c r="B539" s="1217"/>
      <c r="C539" s="1217" t="s">
        <v>199</v>
      </c>
      <c r="D539" s="1242"/>
      <c r="E539" s="1242"/>
      <c r="F539" s="1242"/>
      <c r="G539" s="1242"/>
      <c r="H539" s="1242">
        <f>IFERROR(Model!H539/Model!D539-1,"NA")</f>
        <v>1.3758497239307621</v>
      </c>
      <c r="I539" s="1242">
        <f>IFERROR(Model!I539/Model!E539-1,"NA")</f>
        <v>0.55925267584639027</v>
      </c>
      <c r="J539" s="1242">
        <f>IFERROR(Model!J539/Model!F539-1,"NA")</f>
        <v>8.4767363121939665E-2</v>
      </c>
      <c r="K539" s="1242">
        <f>IFERROR(Model!K539/Model!G539-1,"NA")</f>
        <v>0.17611271237457116</v>
      </c>
      <c r="L539" s="1242">
        <f>IFERROR(Model!L539/Model!H539-1,"NA")</f>
        <v>-0.70545386223818007</v>
      </c>
      <c r="M539" s="1242">
        <f>IFERROR(Model!M539/Model!I539-1,"NA")</f>
        <v>-0.31672558671778661</v>
      </c>
      <c r="N539" s="1242">
        <f>IFERROR(Model!N539/Model!J539-1,"NA")</f>
        <v>-0.13959194759954807</v>
      </c>
      <c r="O539" s="1242">
        <f>IFERROR(Model!O539/Model!K539-1,"NA")</f>
        <v>0.80905456594838432</v>
      </c>
      <c r="P539" s="1242">
        <f>IFERROR(Model!P539/Model!L539-1,"NA")</f>
        <v>1.922261246185021</v>
      </c>
      <c r="Q539" s="1242">
        <f>IFERROR(Model!Q539/Model!M539-1,"NA")</f>
        <v>1.0642952048012022E-2</v>
      </c>
      <c r="R539" s="1242">
        <f>IFERROR(Model!R539/Model!N539-1,"NA")</f>
        <v>0.40159744189451296</v>
      </c>
      <c r="S539" s="1242">
        <f>IFERROR(Model!S539/Model!O539-1,"NA")</f>
        <v>-0.45993854843573545</v>
      </c>
      <c r="T539" s="1242">
        <f>IFERROR(Model!T539/Model!P539-1,"NA")</f>
        <v>4.4481735093814478E-2</v>
      </c>
      <c r="U539" s="1242">
        <f>IFERROR(Model!U539/Model!Q539-1,"NA")</f>
        <v>0.6442192236874984</v>
      </c>
      <c r="V539" s="1242">
        <f>IFERROR(Model!V539/Model!R539-1,"NA")</f>
        <v>0.20711068966492396</v>
      </c>
      <c r="W539" s="1242">
        <f>IFERROR(Model!W539/Model!S539-1,"NA")</f>
        <v>-0.30816855352569461</v>
      </c>
      <c r="X539" s="1242">
        <f>IFERROR(Model!X539/Model!T539-1,"NA")</f>
        <v>-0.4463133529774389</v>
      </c>
      <c r="Y539" s="1242">
        <f>IFERROR(Model!Y539/Model!U539-1,"NA")</f>
        <v>-4.5098536111275234E-2</v>
      </c>
      <c r="Z539" s="1242">
        <f>IFERROR(Model!Z539/Model!V539-1,"NA")</f>
        <v>-0.62964158558207917</v>
      </c>
      <c r="AA539" s="1242">
        <f>IFERROR(Model!AA539/Model!W539-1,"NA")</f>
        <v>0.92057030119558236</v>
      </c>
      <c r="AB539" s="1242">
        <f>IFERROR(Model!AB539/Model!X539-1,"NA")</f>
        <v>9.6558132757328607E-2</v>
      </c>
      <c r="AC539" s="1362">
        <f>IFERROR(Model!AC539/Model!Y539-1,"NA")</f>
        <v>-0.28614222333872141</v>
      </c>
      <c r="AD539" s="1362">
        <f>IFERROR(Model!AD539/Model!Z539-1,"NA")</f>
        <v>0.84468344387576333</v>
      </c>
      <c r="AE539" s="1362">
        <f>IFERROR(Model!AE539/Model!AA539-1,"NA")</f>
        <v>-9.5379710558338826E-2</v>
      </c>
      <c r="AF539" s="1362">
        <f>IFERROR(Model!AF539/Model!AB539-1,"NA")</f>
        <v>0.22628497373413126</v>
      </c>
      <c r="AG539" s="1362">
        <f>IFERROR(Model!AG539/Model!AC539-1,"NA")</f>
        <v>3.5714285714285587E-2</v>
      </c>
      <c r="AH539" s="1362">
        <f>IFERROR(Model!AH539/Model!AD539-1,"NA")</f>
        <v>3.5714285714285587E-2</v>
      </c>
      <c r="AI539" s="1362">
        <f>IFERROR(Model!AI539/Model!AE539-1,"NA")</f>
        <v>3.5714285714285587E-2</v>
      </c>
      <c r="AJ539" s="1362"/>
      <c r="AK539" s="1362"/>
      <c r="AL539" s="1362"/>
      <c r="AM539" s="1362"/>
      <c r="AN539" s="1362"/>
      <c r="AO539" s="1362"/>
      <c r="AP539" s="1362"/>
      <c r="AQ539" s="1362"/>
      <c r="AR539" s="1236"/>
      <c r="AS539" s="407"/>
      <c r="AT539" s="407"/>
      <c r="AU539" s="1412"/>
      <c r="AV539" s="1412">
        <f>IFERROR(Model!AV539/Model!AU539-1,"NA")</f>
        <v>0.49119131733916666</v>
      </c>
      <c r="AW539" s="1412">
        <f>IFERROR(Model!AW539/Model!AV539-1,"NA")</f>
        <v>-0.15967834777776047</v>
      </c>
      <c r="AX539" s="1412">
        <f>IFERROR(Model!AX539/Model!AW539-1,"NA")</f>
        <v>7.7213785753554642E-2</v>
      </c>
      <c r="AY539" s="1412">
        <f>IFERROR(Model!AY539/Model!AX539-1,"NA")</f>
        <v>0.13426786433397986</v>
      </c>
      <c r="AZ539" s="1412">
        <f>IFERROR(Model!AZ539/Model!AY539-1,"NA")</f>
        <v>-0.20462435583976901</v>
      </c>
      <c r="BA539" s="1412">
        <f>IFERROR(Model!BA539/Model!AZ539-1,"NA")</f>
        <v>1.512374914757042E-2</v>
      </c>
      <c r="BB539" s="1362">
        <f>IFERROR(Model!BB539/Model!BA539-1,"NA")</f>
        <v>7.1596942627200733E-2</v>
      </c>
      <c r="BC539" s="1362">
        <f>IFERROR(Model!BC539/Model!BB539-1,"NA")</f>
        <v>3.4482758620689724E-2</v>
      </c>
      <c r="BD539" s="1362">
        <f>IFERROR(Model!BD539/Model!BC539-1,"NA")</f>
        <v>0</v>
      </c>
      <c r="BE539" s="1362">
        <f>IFERROR(Model!BE539/Model!BD539-1,"NA")</f>
        <v>0</v>
      </c>
    </row>
    <row r="540" spans="1:74" x14ac:dyDescent="0.2">
      <c r="B540" s="1217"/>
      <c r="D540" s="1242"/>
      <c r="E540" s="1242"/>
      <c r="F540" s="1242"/>
      <c r="G540" s="1242"/>
      <c r="H540" s="1242"/>
      <c r="I540" s="1242"/>
      <c r="J540" s="1242"/>
      <c r="K540" s="1242"/>
      <c r="L540" s="1242"/>
      <c r="M540" s="1242"/>
      <c r="N540" s="1242"/>
      <c r="O540" s="1242"/>
      <c r="P540" s="1242"/>
      <c r="Q540" s="1242"/>
      <c r="R540" s="1242"/>
      <c r="S540" s="1242"/>
      <c r="T540" s="1242"/>
      <c r="U540" s="1242"/>
      <c r="V540" s="1242"/>
      <c r="W540" s="1242"/>
      <c r="X540" s="1242"/>
      <c r="Y540" s="1242"/>
      <c r="Z540" s="1242"/>
      <c r="AA540" s="1242"/>
      <c r="AB540" s="1242"/>
      <c r="AC540" s="407"/>
      <c r="AD540" s="407"/>
      <c r="AE540" s="407"/>
      <c r="AF540" s="407"/>
      <c r="AG540" s="407"/>
      <c r="AH540" s="407"/>
      <c r="AI540" s="407"/>
      <c r="AJ540" s="407"/>
      <c r="AK540" s="407"/>
      <c r="AL540" s="407"/>
      <c r="AM540" s="407"/>
      <c r="AN540" s="407"/>
      <c r="AO540" s="407"/>
      <c r="AP540" s="407"/>
      <c r="AQ540" s="407"/>
      <c r="AR540" s="1236"/>
      <c r="AS540" s="407"/>
      <c r="AT540" s="407"/>
      <c r="AU540" s="1236"/>
      <c r="AV540" s="1236"/>
      <c r="AW540" s="1236"/>
      <c r="AX540" s="1236"/>
      <c r="AY540" s="1236"/>
      <c r="AZ540" s="1236"/>
      <c r="BA540" s="1236"/>
      <c r="BB540" s="407"/>
      <c r="BC540" s="407"/>
      <c r="BD540" s="407"/>
      <c r="BE540" s="407"/>
    </row>
    <row r="541" spans="1:74" s="72" customFormat="1" x14ac:dyDescent="0.2">
      <c r="A541" s="831"/>
      <c r="B541" s="382" t="s">
        <v>272</v>
      </c>
      <c r="C541" s="53"/>
      <c r="D541" s="407"/>
      <c r="E541" s="407"/>
      <c r="F541" s="407"/>
      <c r="G541" s="407"/>
      <c r="H541" s="407">
        <f>IFERROR(Model!H541/Model!D541-1,"NA")</f>
        <v>0.83333333333333326</v>
      </c>
      <c r="I541" s="407">
        <f>IFERROR(Model!I541/Model!E541-1,"NA")</f>
        <v>5.6122448979591733E-2</v>
      </c>
      <c r="J541" s="407">
        <f>IFERROR(Model!J541/Model!F541-1,"NA")</f>
        <v>-0.1606217616580311</v>
      </c>
      <c r="K541" s="407">
        <f>IFERROR(Model!K541/Model!G541-1,"NA")</f>
        <v>0.27363184079601988</v>
      </c>
      <c r="L541" s="407">
        <f>IFERROR(Model!L541/Model!H541-1,"NA")</f>
        <v>-0.12121212121212122</v>
      </c>
      <c r="M541" s="407">
        <f>IFERROR(Model!M541/Model!I541-1,"NA")</f>
        <v>-8.2125603864734331E-2</v>
      </c>
      <c r="N541" s="407">
        <f>IFERROR(Model!N541/Model!J541-1,"NA")</f>
        <v>0.93827160493827155</v>
      </c>
      <c r="O541" s="407">
        <f>IFERROR(Model!O541/Model!K541-1,"NA")</f>
        <v>1.5625E-2</v>
      </c>
      <c r="P541" s="407">
        <f>IFERROR(Model!P541/Model!L541-1,"NA")</f>
        <v>0.69540229885057481</v>
      </c>
      <c r="Q541" s="407">
        <f>IFERROR(Model!Q541/Model!M541-1,"NA")</f>
        <v>0.35263157894736841</v>
      </c>
      <c r="R541" s="407">
        <f>IFERROR(Model!R541/Model!N541-1,"NA")</f>
        <v>-0.23885350318471332</v>
      </c>
      <c r="S541" s="407">
        <f>IFERROR(Model!S541/Model!O541-1,"NA")</f>
        <v>0.16153846153846163</v>
      </c>
      <c r="T541" s="407">
        <f>IFERROR(Model!T541/Model!P541-1,"NA")</f>
        <v>-0.23050847457627122</v>
      </c>
      <c r="U541" s="407">
        <f>IFERROR(Model!U541/Model!Q541-1,"NA")</f>
        <v>-7.3929961089494123E-2</v>
      </c>
      <c r="V541" s="407">
        <f>IFERROR(Model!V541/Model!R541-1,"NA")</f>
        <v>0</v>
      </c>
      <c r="W541" s="407">
        <f>IFERROR(Model!W541/Model!S541-1,"NA")</f>
        <v>-1.9867549668874163E-2</v>
      </c>
      <c r="X541" s="407">
        <f>IFERROR(Model!X541/Model!T541-1,"NA")</f>
        <v>9.6916299559471453E-2</v>
      </c>
      <c r="Y541" s="407">
        <f>IFERROR(Model!Y541/Model!U541-1,"NA")</f>
        <v>0.33613445378151252</v>
      </c>
      <c r="Z541" s="407">
        <f>IFERROR(Model!Z541/Model!V541-1,"NA")</f>
        <v>4.1841004184099972E-3</v>
      </c>
      <c r="AA541" s="407">
        <f>IFERROR(Model!AA541/Model!W541-1,"NA")</f>
        <v>6.7567567567567544E-2</v>
      </c>
      <c r="AB541" s="407">
        <f>IFERROR(Model!AB541/Model!X541-1,"NA")</f>
        <v>-0.13654618473895586</v>
      </c>
      <c r="AC541" s="407">
        <f>IFERROR(Model!AC541/Model!Y541-1,"NA")</f>
        <v>-0.12430608656603737</v>
      </c>
      <c r="AD541" s="407">
        <f>IFERROR(Model!AD541/Model!Z541-1,"NA")</f>
        <v>0.27632387883000087</v>
      </c>
      <c r="AE541" s="407">
        <f>IFERROR(Model!AE541/Model!AA541-1,"NA")</f>
        <v>6.6295898769367811E-2</v>
      </c>
      <c r="AF541" s="407">
        <f>IFERROR(Model!AF541/Model!AB541-1,"NA")</f>
        <v>0.62317867380772185</v>
      </c>
      <c r="AG541" s="407">
        <f>IFERROR(Model!AG541/Model!AC541-1,"NA")</f>
        <v>0.21561785714285708</v>
      </c>
      <c r="AH541" s="407">
        <f>IFERROR(Model!AH541/Model!AD541-1,"NA")</f>
        <v>8.3004999999999773E-2</v>
      </c>
      <c r="AI541" s="407">
        <f>IFERROR(Model!AI541/Model!AE541-1,"NA")</f>
        <v>-3.5141000000000089E-2</v>
      </c>
      <c r="AJ541" s="407"/>
      <c r="AK541" s="407"/>
      <c r="AL541" s="407"/>
      <c r="AM541" s="407"/>
      <c r="AN541" s="407"/>
      <c r="AO541" s="407"/>
      <c r="AP541" s="407"/>
      <c r="AQ541" s="407"/>
      <c r="AR541" s="1236"/>
      <c r="AS541" s="1308"/>
      <c r="AT541" s="407"/>
      <c r="AU541" s="1236"/>
      <c r="AV541" s="1236">
        <f>IFERROR(Model!AV541/Model!AU541-1,"NA")</f>
        <v>0.1790830945558739</v>
      </c>
      <c r="AW541" s="1236">
        <f>IFERROR(Model!AW541/Model!AV541-1,"NA")</f>
        <v>0.13973268529769145</v>
      </c>
      <c r="AX541" s="1236">
        <f>IFERROR(Model!AX541/Model!AW541-1,"NA")</f>
        <v>0.16524520255863528</v>
      </c>
      <c r="AY541" s="1236">
        <f>IFERROR(Model!AY541/Model!AX541-1,"NA")</f>
        <v>-8.5086916742909469E-2</v>
      </c>
      <c r="AZ541" s="1236">
        <f>IFERROR(Model!AZ541/Model!AY541-1,"NA")</f>
        <v>0.123</v>
      </c>
      <c r="BA541" s="1236">
        <f>IFERROR(Model!BA541/Model!AZ541-1,"NA")</f>
        <v>1.2233214071523335E-2</v>
      </c>
      <c r="BB541" s="407">
        <f>IFERROR(Model!BB541/Model!BA541-1,"NA")</f>
        <v>0.18263825254960953</v>
      </c>
      <c r="BC541" s="407">
        <f>IFERROR(Model!BC541/Model!BB541-1,"NA")</f>
        <v>8.6206896551723977E-2</v>
      </c>
      <c r="BD541" s="407">
        <f>IFERROR(Model!BD541/Model!BC541-1,"NA")</f>
        <v>5.0000000000000266E-2</v>
      </c>
      <c r="BE541" s="407">
        <f>IFERROR(Model!BE541/Model!BD541-1,"NA")</f>
        <v>5.0000000000000044E-2</v>
      </c>
    </row>
    <row r="542" spans="1:74" x14ac:dyDescent="0.2">
      <c r="B542" s="382"/>
      <c r="C542" s="1217" t="s">
        <v>273</v>
      </c>
      <c r="D542" s="1242"/>
      <c r="E542" s="1242"/>
      <c r="F542" s="1242"/>
      <c r="G542" s="1242"/>
      <c r="H542" s="1242">
        <f>IFERROR(Model!H542/Model!D542-1,"NA")</f>
        <v>-0.38417070707761458</v>
      </c>
      <c r="I542" s="1242">
        <f>IFERROR(Model!I542/Model!E542-1,"NA")</f>
        <v>-0.3145839490582768</v>
      </c>
      <c r="J542" s="1242">
        <f>IFERROR(Model!J542/Model!F542-1,"NA")</f>
        <v>-0.28991671791480533</v>
      </c>
      <c r="K542" s="1242">
        <f>IFERROR(Model!K542/Model!G542-1,"NA")</f>
        <v>6.8960474810869199E-2</v>
      </c>
      <c r="L542" s="1242">
        <f>IFERROR(Model!L542/Model!H542-1,"NA")</f>
        <v>1.7101828560618841</v>
      </c>
      <c r="M542" s="1242">
        <f>IFERROR(Model!M542/Model!I542-1,"NA")</f>
        <v>0.45975392129238268</v>
      </c>
      <c r="N542" s="1242">
        <f>IFERROR(Model!N542/Model!J542-1,"NA")</f>
        <v>0.90409685057166422</v>
      </c>
      <c r="O542" s="1242">
        <f>IFERROR(Model!O542/Model!K542-1,"NA")</f>
        <v>-0.54324981789967053</v>
      </c>
      <c r="P542" s="1242">
        <f>IFERROR(Model!P542/Model!L542-1,"NA")</f>
        <v>-0.52631432795769939</v>
      </c>
      <c r="Q542" s="1242">
        <f>IFERROR(Model!Q542/Model!M542-1,"NA")</f>
        <v>-0.23555901203755736</v>
      </c>
      <c r="R542" s="1242">
        <f>IFERROR(Model!R542/Model!N542-1,"NA")</f>
        <v>-0.62169484471748826</v>
      </c>
      <c r="S542" s="1242">
        <f>IFERROR(Model!S542/Model!O542-1,"NA")</f>
        <v>0.9097877112873507</v>
      </c>
      <c r="T542" s="1242">
        <f>IFERROR(Model!T542/Model!P542-1,"NA")</f>
        <v>-0.25920862932375976</v>
      </c>
      <c r="U542" s="1242">
        <f>IFERROR(Model!U542/Model!Q542-1,"NA")</f>
        <v>-0.35141777002361452</v>
      </c>
      <c r="V542" s="1242">
        <f>IFERROR(Model!V542/Model!R542-1,"NA")</f>
        <v>-6.8120189399470177E-2</v>
      </c>
      <c r="W542" s="1242">
        <f>IFERROR(Model!W542/Model!S542-1,"NA")</f>
        <v>0.38670006885147434</v>
      </c>
      <c r="X542" s="1242">
        <f>IFERROR(Model!X542/Model!T542-1,"NA")</f>
        <v>1.0408216258175789</v>
      </c>
      <c r="Y542" s="1242">
        <f>IFERROR(Model!Y542/Model!U542-1,"NA")</f>
        <v>0.41757420998894568</v>
      </c>
      <c r="Z542" s="1242">
        <f>IFERROR(Model!Z542/Model!V542-1,"NA")</f>
        <v>1.7002223912590053</v>
      </c>
      <c r="AA542" s="1242">
        <f>IFERROR(Model!AA542/Model!W542-1,"NA")</f>
        <v>-0.26022029856747808</v>
      </c>
      <c r="AB542" s="1242">
        <f>IFERROR(Model!AB542/Model!X542-1,"NA")</f>
        <v>-0.1581973859962218</v>
      </c>
      <c r="AC542" s="1362">
        <f>IFERROR(Model!AC542/Model!Y542-1,"NA")</f>
        <v>0.26681257861635221</v>
      </c>
      <c r="AD542" s="1362">
        <f>IFERROR(Model!AD542/Model!Z542-1,"NA")</f>
        <v>-0.34627916666666669</v>
      </c>
      <c r="AE542" s="1362">
        <f>IFERROR(Model!AE542/Model!AA542-1,"NA")</f>
        <v>-0.11355915189873411</v>
      </c>
      <c r="AF542" s="1362">
        <f>IFERROR(Model!AF542/Model!AB542-1,"NA")</f>
        <v>-5.5181395348837814E-3</v>
      </c>
      <c r="AG542" s="1362">
        <f>IFERROR(Model!AG542/Model!AC542-1,"NA")</f>
        <v>0</v>
      </c>
      <c r="AH542" s="1362">
        <f>IFERROR(Model!AH542/Model!AD542-1,"NA")</f>
        <v>0</v>
      </c>
      <c r="AI542" s="1362">
        <f>IFERROR(Model!AI542/Model!AE542-1,"NA")</f>
        <v>0</v>
      </c>
      <c r="AJ542" s="1362"/>
      <c r="AK542" s="1362"/>
      <c r="AL542" s="1362"/>
      <c r="AM542" s="1362"/>
      <c r="AN542" s="1362"/>
      <c r="AO542" s="1362"/>
      <c r="AP542" s="1362"/>
      <c r="AQ542" s="1362"/>
      <c r="AR542" s="1236"/>
      <c r="AS542" s="1308"/>
      <c r="AT542" s="407"/>
      <c r="AU542" s="1412"/>
      <c r="AV542" s="1412">
        <f>IFERROR(Model!AV542/Model!AU542-1,"NA")</f>
        <v>-0.26381019512782911</v>
      </c>
      <c r="AW542" s="1412">
        <f>IFERROR(Model!AW542/Model!AV542-1,"NA")</f>
        <v>0.22065239016412064</v>
      </c>
      <c r="AX542" s="1412">
        <f>IFERROR(Model!AX542/Model!AW542-1,"NA")</f>
        <v>-0.19989244885120361</v>
      </c>
      <c r="AY542" s="1412">
        <f>IFERROR(Model!AY542/Model!AX542-1,"NA")</f>
        <v>-0.14310075973101077</v>
      </c>
      <c r="AZ542" s="1412">
        <f>IFERROR(Model!AZ542/Model!AY542-1,"NA")</f>
        <v>0.53319245493324563</v>
      </c>
      <c r="BA542" s="1412">
        <f>IFERROR(Model!BA542/Model!AZ542-1,"NA")</f>
        <v>-6.5536815039449747E-2</v>
      </c>
      <c r="BB542" s="1362">
        <f>IFERROR(Model!BB542/Model!BA542-1,"NA")</f>
        <v>-1.043688259733444E-3</v>
      </c>
      <c r="BC542" s="1362">
        <f>IFERROR(Model!BC542/Model!BB542-1,"NA")</f>
        <v>0</v>
      </c>
      <c r="BD542" s="1362">
        <f>IFERROR(Model!BD542/Model!BC542-1,"NA")</f>
        <v>0</v>
      </c>
      <c r="BE542" s="1362">
        <f>IFERROR(Model!BE542/Model!BD542-1,"NA")</f>
        <v>0</v>
      </c>
    </row>
    <row r="543" spans="1:74" s="72" customFormat="1" x14ac:dyDescent="0.2">
      <c r="A543" s="831"/>
      <c r="B543" s="54"/>
      <c r="C543" s="53" t="s">
        <v>947</v>
      </c>
      <c r="D543" s="407"/>
      <c r="E543" s="1242"/>
      <c r="F543" s="1242"/>
      <c r="G543" s="1242"/>
      <c r="H543" s="1242" t="str">
        <f>IFERROR(Model!H543/Model!D543-1,"NA")</f>
        <v>NA</v>
      </c>
      <c r="I543" s="1242">
        <f>IFERROR(Model!I543/Model!E543-1,"NA")</f>
        <v>-0.94421487603305787</v>
      </c>
      <c r="J543" s="1242">
        <f>IFERROR(Model!J543/Model!F543-1,"NA")</f>
        <v>13.202898550724671</v>
      </c>
      <c r="K543" s="1242">
        <f>IFERROR(Model!K543/Model!G543-1,"NA")</f>
        <v>12.99845679012348</v>
      </c>
      <c r="L543" s="1242">
        <f>IFERROR(Model!L543/Model!H543-1,"NA")</f>
        <v>20.46093749999994</v>
      </c>
      <c r="M543" s="1242">
        <f>IFERROR(Model!M543/Model!I543-1,"NA")</f>
        <v>1.0229885057471306</v>
      </c>
      <c r="N543" s="1242">
        <f>IFERROR(Model!N543/Model!J543-1,"NA")</f>
        <v>-4.0021052631578957</v>
      </c>
      <c r="O543" s="1242">
        <f>IFERROR(Model!O543/Model!K543-1,"NA")</f>
        <v>-1.2963816235262231</v>
      </c>
      <c r="P543" s="1242">
        <f>IFERROR(Model!P543/Model!L543-1,"NA")</f>
        <v>-1.4202626641651031</v>
      </c>
      <c r="Q543" s="1242">
        <f>IFERROR(Model!Q543/Model!M543-1,"NA")</f>
        <v>-2.4008474576271164</v>
      </c>
      <c r="R543" s="1242">
        <f>IFERROR(Model!R543/Model!N543-1,"NA")</f>
        <v>-1.1073176854524915</v>
      </c>
      <c r="S543" s="1242">
        <f>IFERROR(Model!S543/Model!O543-1,"NA")</f>
        <v>-2.5327754532775462</v>
      </c>
      <c r="T543" s="1242">
        <f>IFERROR(Model!T543/Model!P543-1,"NA")</f>
        <v>-2.8448438978240311</v>
      </c>
      <c r="U543" s="1242">
        <f>IFERROR(Model!U543/Model!Q543-1,"NA")</f>
        <v>-1.3761882680268949</v>
      </c>
      <c r="V543" s="1242">
        <f>IFERROR(Model!V543/Model!R543-1,"NA")</f>
        <v>-1.0599906629318392</v>
      </c>
      <c r="W543" s="1242">
        <f>IFERROR(Model!W543/Model!S543-1,"NA")</f>
        <v>-9.5238095238095899E-2</v>
      </c>
      <c r="X543" s="1242">
        <f>IFERROR(Model!X543/Model!T543-1,"NA")</f>
        <v>-0.36063063063063083</v>
      </c>
      <c r="Y543" s="1242">
        <f>IFERROR(Model!Y543/Model!U543-1,"NA")</f>
        <v>4.7185104052573994</v>
      </c>
      <c r="Z543" s="1242">
        <f>IFERROR(Model!Z543/Model!V543-1,"NA")</f>
        <v>-59.37735849056623</v>
      </c>
      <c r="AA543" s="1242">
        <f>IFERROR(Model!AA543/Model!W543-1,"NA")</f>
        <v>0.32777777777777817</v>
      </c>
      <c r="AB543" s="1242">
        <f>IFERROR(Model!AB543/Model!X543-1,"NA")</f>
        <v>1.0129275518448697</v>
      </c>
      <c r="AC543" s="1242">
        <f>IFERROR(Model!AC543/Model!Y543-1,"NA")</f>
        <v>6.5331678700912832E-2</v>
      </c>
      <c r="AD543" s="1242">
        <f>IFERROR(Model!AD543/Model!Z543-1,"NA")</f>
        <v>-1.407692307692308</v>
      </c>
      <c r="AE543" s="1242">
        <f>IFERROR(Model!AE543/Model!AA543-1,"NA")</f>
        <v>-0.68421052631578916</v>
      </c>
      <c r="AF543" s="1242">
        <f>IFERROR(Model!AF543/Model!AB543-1,"NA")</f>
        <v>-1.1117397454031113</v>
      </c>
      <c r="AG543" s="1242">
        <f>IFERROR(Model!AG543/Model!AC543-1,"NA")</f>
        <v>-1.1016217500424219</v>
      </c>
      <c r="AH543" s="1242">
        <f>IFERROR(Model!AH543/Model!AD543-1,"NA")</f>
        <v>-1.2</v>
      </c>
      <c r="AI543" s="1242">
        <f>IFERROR(Model!AI543/Model!AE543-1,"NA")</f>
        <v>-1.1999999999999977</v>
      </c>
      <c r="AJ543" s="1242"/>
      <c r="AK543" s="1242"/>
      <c r="AL543" s="1242"/>
      <c r="AM543" s="1242"/>
      <c r="AN543" s="1242"/>
      <c r="AO543" s="1242"/>
      <c r="AP543" s="1242"/>
      <c r="AQ543" s="1242"/>
      <c r="AR543" s="1236"/>
      <c r="AS543" s="1308"/>
      <c r="AT543" s="407"/>
      <c r="AU543" s="1236"/>
      <c r="AV543" s="1412" t="str">
        <f>IFERROR(Model!AV543/Model!AU543-1,"NA")</f>
        <v>NA</v>
      </c>
      <c r="AW543" s="1412">
        <f>IFERROR(Model!AW543/Model!AV543-1,"NA")</f>
        <v>-0.21973268529769086</v>
      </c>
      <c r="AX543" s="1412">
        <f>IFERROR(Model!AX543/Model!AW543-1,"NA")</f>
        <v>0.18258088439788489</v>
      </c>
      <c r="AY543" s="1412">
        <f>IFERROR(Model!AY543/Model!AX543-1,"NA")</f>
        <v>-1.5149130832570912</v>
      </c>
      <c r="AZ543" s="1412">
        <f>IFERROR(Model!AZ543/Model!AY543-1,"NA")</f>
        <v>-2.4455806451612894</v>
      </c>
      <c r="BA543" s="1412">
        <f>IFERROR(Model!BA543/Model!AZ543-1,"NA")</f>
        <v>-0.90054297502826552</v>
      </c>
      <c r="BB543" s="1242">
        <f>IFERROR(Model!BB543/Model!BA543-1,"NA")</f>
        <v>13.929702977630194</v>
      </c>
      <c r="BC543" s="1242">
        <f>IFERROR(Model!BC543/Model!BB543-1,"NA")</f>
        <v>-0.5279910131186355</v>
      </c>
      <c r="BD543" s="1242">
        <f>IFERROR(Model!BD543/Model!BC543-1,"NA")</f>
        <v>-0.41999999999999582</v>
      </c>
      <c r="BE543" s="1242">
        <f>IFERROR(Model!BE543/Model!BD543-1,"NA")</f>
        <v>-4.4408920985006262E-15</v>
      </c>
    </row>
    <row r="544" spans="1:74" s="72" customFormat="1" x14ac:dyDescent="0.2">
      <c r="A544" s="831"/>
      <c r="B544" s="54"/>
      <c r="C544" s="53" t="s">
        <v>948</v>
      </c>
      <c r="D544" s="407"/>
      <c r="E544" s="1242"/>
      <c r="F544" s="1242"/>
      <c r="G544" s="1242"/>
      <c r="H544" s="1242" t="str">
        <f>IFERROR(Model!H544/Model!D544-1,"NA")</f>
        <v>NA</v>
      </c>
      <c r="I544" s="1242" t="str">
        <f>IFERROR(Model!I544/Model!E544-1,"NA")</f>
        <v>NA</v>
      </c>
      <c r="J544" s="1242" t="str">
        <f>IFERROR(Model!J544/Model!F544-1,"NA")</f>
        <v>NA</v>
      </c>
      <c r="K544" s="1242" t="str">
        <f>IFERROR(Model!K544/Model!G544-1,"NA")</f>
        <v>NA</v>
      </c>
      <c r="L544" s="1242">
        <f>IFERROR(Model!L544/Model!H544-1,"NA")</f>
        <v>-1.1454545454545455</v>
      </c>
      <c r="M544" s="1242">
        <f>IFERROR(Model!M544/Model!I544-1,"NA")</f>
        <v>-2.4633289415898147</v>
      </c>
      <c r="N544" s="1242">
        <f>IFERROR(Model!N544/Model!J544-1,"NA")</f>
        <v>-6.8414974113898834</v>
      </c>
      <c r="O544" s="1242">
        <f>IFERROR(Model!O544/Model!K544-1,"NA")</f>
        <v>-0.94289772727272725</v>
      </c>
      <c r="P544" s="1242">
        <f>IFERROR(Model!P544/Model!L544-1,"NA")</f>
        <v>-6.737068965517242</v>
      </c>
      <c r="Q544" s="1242">
        <f>IFERROR(Model!Q544/Model!M544-1,"NA")</f>
        <v>-5.2938080495356017</v>
      </c>
      <c r="R544" s="1242">
        <f>IFERROR(Model!R544/Model!N544-1,"NA")</f>
        <v>-1.2545675494468655</v>
      </c>
      <c r="S544" s="1242">
        <f>IFERROR(Model!S544/Model!O544-1,"NA")</f>
        <v>9.3384615384615444</v>
      </c>
      <c r="T544" s="1242">
        <f>IFERROR(Model!T544/Model!P544-1,"NA")</f>
        <v>-1.331474996498109</v>
      </c>
      <c r="U544" s="1242">
        <f>IFERROR(Model!U544/Model!Q544-1,"NA")</f>
        <v>-1.2096521284627446</v>
      </c>
      <c r="V544" s="1242">
        <f>IFERROR(Model!V544/Model!R544-1,"NA")</f>
        <v>-1</v>
      </c>
      <c r="W544" s="1242">
        <f>IFERROR(Model!W544/Model!S544-1,"NA")</f>
        <v>-1.1229895931882685</v>
      </c>
      <c r="X544" s="1242">
        <f>IFERROR(Model!X544/Model!T544-1,"NA")</f>
        <v>-1.4204457113241775</v>
      </c>
      <c r="Y544" s="1242">
        <f>IFERROR(Model!Y544/Model!U544-1,"NA")</f>
        <v>-5.5466607695709875</v>
      </c>
      <c r="Z544" s="1242" t="str">
        <f>IFERROR(Model!Z544/Model!V544-1,"NA")</f>
        <v>NA</v>
      </c>
      <c r="AA544" s="1242">
        <f>IFERROR(Model!AA544/Model!W544-1,"NA")</f>
        <v>-4.4009009009009015</v>
      </c>
      <c r="AB544" s="1242">
        <f>IFERROR(Model!AB544/Model!X544-1,"NA")</f>
        <v>-2.4089083607155888</v>
      </c>
      <c r="AC544" s="1242">
        <f>IFERROR(Model!AC544/Model!Y544-1,"NA")</f>
        <v>-1.3698106075339613</v>
      </c>
      <c r="AD544" s="1242">
        <f>IFERROR(Model!AD544/Model!Z544-1,"NA")</f>
        <v>65.041407040370913</v>
      </c>
      <c r="AE544" s="1242">
        <f>IFERROR(Model!AE544/Model!AA544-1,"NA")</f>
        <v>-1.882069821335608E-2</v>
      </c>
      <c r="AF544" s="1242">
        <f>IFERROR(Model!AF544/Model!AB544-1,"NA")</f>
        <v>-5.5638673464153738</v>
      </c>
      <c r="AG544" s="1242">
        <f>IFERROR(Model!AG544/Model!AC544-1,"NA")</f>
        <v>-2.7345719996446878</v>
      </c>
      <c r="AH544" s="1242">
        <f>IFERROR(Model!AH544/Model!AD544-1,"NA")</f>
        <v>-0.69960974653563746</v>
      </c>
      <c r="AI544" s="1242">
        <f>IFERROR(Model!AI544/Model!AE544-1,"NA")</f>
        <v>-1.5300629549084124</v>
      </c>
      <c r="AJ544" s="1242"/>
      <c r="AK544" s="1242"/>
      <c r="AL544" s="1242"/>
      <c r="AM544" s="1242"/>
      <c r="AN544" s="1242"/>
      <c r="AO544" s="1242"/>
      <c r="AP544" s="1242"/>
      <c r="AQ544" s="1242"/>
      <c r="AR544" s="1236"/>
      <c r="AS544" s="1308"/>
      <c r="AT544" s="407"/>
      <c r="AU544" s="1236"/>
      <c r="AV544" s="1412" t="str">
        <f>IFERROR(Model!AV544/Model!AU544-1,"NA")</f>
        <v>NA</v>
      </c>
      <c r="AW544" s="1412">
        <f>IFERROR(Model!AW544/Model!AV544-1,"NA")</f>
        <v>-0.21973268529769086</v>
      </c>
      <c r="AX544" s="1412">
        <f>IFERROR(Model!AX544/Model!AW544-1,"NA")</f>
        <v>0.18258088439788489</v>
      </c>
      <c r="AY544" s="1412">
        <f>IFERROR(Model!AY544/Model!AX544-1,"NA")</f>
        <v>-1.5149130832570912</v>
      </c>
      <c r="AZ544" s="1412">
        <f>IFERROR(Model!AZ544/Model!AY544-1,"NA")</f>
        <v>-2.4455806451612894</v>
      </c>
      <c r="BA544" s="1412">
        <f>IFERROR(Model!BA544/Model!AZ544-1,"NA")</f>
        <v>-0.90054297502826552</v>
      </c>
      <c r="BB544" s="1242">
        <f>IFERROR(Model!BB544/Model!BA544-1,"NA")</f>
        <v>13.929702977630194</v>
      </c>
      <c r="BC544" s="1242">
        <f>IFERROR(Model!BC544/Model!BB544-1,"NA")</f>
        <v>-0.5279910131186355</v>
      </c>
      <c r="BD544" s="1242">
        <f>IFERROR(Model!BD544/Model!BC544-1,"NA")</f>
        <v>-0.41999999999999582</v>
      </c>
      <c r="BE544" s="1242">
        <f>IFERROR(Model!BE544/Model!BD544-1,"NA")</f>
        <v>-4.4408920985006262E-15</v>
      </c>
    </row>
    <row r="545" spans="1:74" s="72" customFormat="1" x14ac:dyDescent="0.2">
      <c r="A545" s="831"/>
      <c r="B545" s="52"/>
      <c r="C545" s="53"/>
      <c r="D545" s="407"/>
      <c r="E545" s="407"/>
      <c r="F545" s="407"/>
      <c r="G545" s="407"/>
      <c r="H545" s="407"/>
      <c r="I545" s="407"/>
      <c r="J545" s="407"/>
      <c r="K545" s="407"/>
      <c r="L545" s="407"/>
      <c r="M545" s="407"/>
      <c r="N545" s="407"/>
      <c r="O545" s="407"/>
      <c r="P545" s="407"/>
      <c r="Q545" s="407"/>
      <c r="R545" s="407"/>
      <c r="S545" s="407"/>
      <c r="T545" s="407"/>
      <c r="U545" s="407"/>
      <c r="V545" s="407"/>
      <c r="W545" s="407"/>
      <c r="X545" s="407"/>
      <c r="Y545" s="407"/>
      <c r="Z545" s="407"/>
      <c r="AA545" s="407"/>
      <c r="AB545" s="407"/>
      <c r="AC545" s="407"/>
      <c r="AD545" s="407"/>
      <c r="AE545" s="407"/>
      <c r="AF545" s="407"/>
      <c r="AG545" s="407"/>
      <c r="AH545" s="407"/>
      <c r="AI545" s="407"/>
      <c r="AJ545" s="407"/>
      <c r="AK545" s="407"/>
      <c r="AL545" s="407"/>
      <c r="AM545" s="407"/>
      <c r="AN545" s="407"/>
      <c r="AO545" s="407"/>
      <c r="AP545" s="407"/>
      <c r="AQ545" s="407"/>
      <c r="AR545" s="1236"/>
      <c r="AS545" s="1277"/>
      <c r="AT545" s="407"/>
      <c r="AU545" s="1236"/>
      <c r="AV545" s="1236"/>
      <c r="AW545" s="1236"/>
      <c r="AX545" s="1236"/>
      <c r="AY545" s="1236"/>
      <c r="AZ545" s="1236"/>
      <c r="BA545" s="1236"/>
      <c r="BB545" s="1236"/>
      <c r="BC545" s="1236"/>
      <c r="BD545" s="1236"/>
      <c r="BE545" s="1236"/>
    </row>
    <row r="546" spans="1:74" s="72" customFormat="1" x14ac:dyDescent="0.2">
      <c r="A546" s="831"/>
      <c r="B546" s="574" t="s">
        <v>270</v>
      </c>
      <c r="C546" s="12"/>
      <c r="D546" s="1454"/>
      <c r="E546" s="1454"/>
      <c r="F546" s="1454"/>
      <c r="G546" s="1454"/>
      <c r="H546" s="1454"/>
      <c r="I546" s="1454"/>
      <c r="J546" s="1454"/>
      <c r="K546" s="1454"/>
      <c r="L546" s="1454"/>
      <c r="M546" s="1454"/>
      <c r="N546" s="1454"/>
      <c r="O546" s="1454"/>
      <c r="P546" s="1454"/>
      <c r="Q546" s="1454"/>
      <c r="R546" s="1454"/>
      <c r="S546" s="1454"/>
      <c r="T546" s="1454"/>
      <c r="U546" s="1454"/>
      <c r="V546" s="1454"/>
      <c r="W546" s="1454"/>
      <c r="X546" s="1454"/>
      <c r="Y546" s="1454"/>
      <c r="Z546" s="1454"/>
      <c r="AA546" s="1454"/>
      <c r="AB546" s="1454"/>
      <c r="AC546" s="1398"/>
      <c r="AD546" s="1398"/>
      <c r="AE546" s="1398"/>
      <c r="AF546" s="1398"/>
      <c r="AG546" s="1398"/>
      <c r="AH546" s="1398"/>
      <c r="AI546" s="1398"/>
      <c r="AJ546" s="1398"/>
      <c r="AK546" s="1398"/>
      <c r="AL546" s="1398"/>
      <c r="AM546" s="1398"/>
      <c r="AN546" s="1398"/>
      <c r="AO546" s="1398"/>
      <c r="AP546" s="1398"/>
      <c r="AQ546" s="1398"/>
      <c r="AR546" s="1236"/>
      <c r="AS546" s="1310"/>
      <c r="AT546" s="1398"/>
      <c r="AU546" s="1454"/>
      <c r="AV546" s="1454"/>
      <c r="AW546" s="1454"/>
      <c r="AX546" s="1454"/>
      <c r="AY546" s="1454"/>
      <c r="AZ546" s="1454"/>
      <c r="BA546" s="1454"/>
      <c r="BB546" s="1454"/>
      <c r="BC546" s="1454"/>
      <c r="BD546" s="1454"/>
      <c r="BE546" s="1454"/>
      <c r="BF546" s="23"/>
      <c r="BG546" s="23"/>
      <c r="BH546" s="23"/>
      <c r="BI546" s="23"/>
      <c r="BJ546" s="23"/>
      <c r="BK546" s="23"/>
      <c r="BL546" s="23"/>
      <c r="BM546" s="23"/>
      <c r="BN546" s="23"/>
      <c r="BO546" s="38"/>
      <c r="BP546" s="38"/>
      <c r="BQ546" s="38"/>
      <c r="BR546" s="38"/>
      <c r="BS546" s="38"/>
      <c r="BT546" s="38"/>
      <c r="BU546" s="38"/>
      <c r="BV546" s="38"/>
    </row>
    <row r="547" spans="1:74" s="72" customFormat="1" x14ac:dyDescent="0.2">
      <c r="A547" s="831"/>
      <c r="B547" s="319" t="s">
        <v>268</v>
      </c>
      <c r="C547" s="15"/>
      <c r="D547" s="1455"/>
      <c r="E547" s="1455"/>
      <c r="F547" s="1455"/>
      <c r="G547" s="1455"/>
      <c r="H547" s="1455">
        <f>IFERROR(Model!H547/Model!D547-1,"NA")</f>
        <v>0.23769459120934844</v>
      </c>
      <c r="I547" s="1455">
        <f>IFERROR(Model!I547/Model!E547-1,"NA")</f>
        <v>0.50882084118850113</v>
      </c>
      <c r="J547" s="1455">
        <f>IFERROR(Model!J547/Model!F547-1,"NA")</f>
        <v>-0.14804330320731351</v>
      </c>
      <c r="K547" s="1455">
        <f>IFERROR(Model!K547/Model!G547-1,"NA")</f>
        <v>0.50432578452466603</v>
      </c>
      <c r="L547" s="1455">
        <f>IFERROR(Model!L547/Model!H547-1,"NA")</f>
        <v>1.0052587111285982E-2</v>
      </c>
      <c r="M547" s="1455">
        <f>IFERROR(Model!M547/Model!I547-1,"NA")</f>
        <v>0.42889011229037877</v>
      </c>
      <c r="N547" s="1455">
        <f>IFERROR(Model!N547/Model!J547-1,"NA")</f>
        <v>0.45539763011233148</v>
      </c>
      <c r="O547" s="1455">
        <f>IFERROR(Model!O547/Model!K547-1,"NA")</f>
        <v>-0.22040508977959328</v>
      </c>
      <c r="P547" s="1455">
        <f>IFERROR(Model!P547/Model!L547-1,"NA")</f>
        <v>0.2966674765878683</v>
      </c>
      <c r="Q547" s="1455">
        <f>IFERROR(Model!Q547/Model!M547-1,"NA")</f>
        <v>-1.5572307776627325E-2</v>
      </c>
      <c r="R547" s="1455">
        <f>IFERROR(Model!R547/Model!N547-1,"NA")</f>
        <v>-0.36020020108807482</v>
      </c>
      <c r="S547" s="1455">
        <f>IFERROR(Model!S547/Model!O547-1,"NA")</f>
        <v>1.8115092263568666E-2</v>
      </c>
      <c r="T547" s="1455">
        <f>IFERROR(Model!T547/Model!P547-1,"NA")</f>
        <v>-0.4695558567108794</v>
      </c>
      <c r="U547" s="1455">
        <f>IFERROR(Model!U547/Model!Q547-1,"NA")</f>
        <v>-0.31904218776151427</v>
      </c>
      <c r="V547" s="1455">
        <f>IFERROR(Model!V547/Model!R547-1,"NA")</f>
        <v>0.4059310193992367</v>
      </c>
      <c r="W547" s="1455">
        <f>IFERROR(Model!W547/Model!S547-1,"NA")</f>
        <v>-0.14551400345941312</v>
      </c>
      <c r="X547" s="1455">
        <f>IFERROR(Model!X547/Model!T547-1,"NA")</f>
        <v>0.59201911843847776</v>
      </c>
      <c r="Y547" s="1455">
        <f>IFERROR(Model!Y547/Model!U547-1,"NA")</f>
        <v>0.14724027134144513</v>
      </c>
      <c r="Z547" s="1455">
        <f>IFERROR(Model!Z547/Model!V547-1,"NA")</f>
        <v>-2.4221939616890564E-2</v>
      </c>
      <c r="AA547" s="1455">
        <f>IFERROR(Model!AA547/Model!W547-1,"NA")</f>
        <v>0.21613786624824538</v>
      </c>
      <c r="AB547" s="1455">
        <f>IFERROR(Model!AB547/Model!X547-1,"NA")</f>
        <v>-8.603950317278164E-2</v>
      </c>
      <c r="AC547" s="1455">
        <f>IFERROR(Model!AC547/Model!Y547-1,"NA")</f>
        <v>-2.9068618713651295E-3</v>
      </c>
      <c r="AD547" s="1455">
        <f>IFERROR(Model!AD547/Model!Z547-1,"NA")</f>
        <v>0.11943321753637104</v>
      </c>
      <c r="AE547" s="1455">
        <f>IFERROR(Model!AE547/Model!AA547-1,"NA")</f>
        <v>5.4571239331658417E-2</v>
      </c>
      <c r="AF547" s="1455">
        <f>IFERROR(Model!AF547/Model!AB547-1,"NA")</f>
        <v>0.19952000000000014</v>
      </c>
      <c r="AG547" s="1455">
        <f>IFERROR(Model!AG547/Model!AC547-1,"NA")</f>
        <v>9.2420000000000169E-2</v>
      </c>
      <c r="AH547" s="1455">
        <f>IFERROR(Model!AH547/Model!AD547-1,"NA")</f>
        <v>0.11426840000000027</v>
      </c>
      <c r="AI547" s="1455">
        <f>IFERROR(Model!AI547/Model!AE547-1,"NA")</f>
        <v>8.2432160000000199E-2</v>
      </c>
      <c r="AJ547" s="1455"/>
      <c r="AK547" s="1455"/>
      <c r="AL547" s="1455"/>
      <c r="AM547" s="1455"/>
      <c r="AN547" s="1455"/>
      <c r="AO547" s="1455"/>
      <c r="AP547" s="1455"/>
      <c r="AQ547" s="1455"/>
      <c r="AR547" s="1236"/>
      <c r="AS547" s="1248"/>
      <c r="AT547" s="1250"/>
      <c r="AU547" s="1236"/>
      <c r="AV547" s="1236">
        <f>IFERROR(Model!AV547/Model!AU547-1,"NA")</f>
        <v>0.25854551461427588</v>
      </c>
      <c r="AW547" s="1236">
        <f>IFERROR(Model!AW547/Model!AV547-1,"NA")</f>
        <v>0.12227437869447044</v>
      </c>
      <c r="AX547" s="1236">
        <f>IFERROR(Model!AX547/Model!AW547-1,"NA")</f>
        <v>-2.531432150527746E-2</v>
      </c>
      <c r="AY547" s="1236">
        <f>IFERROR(Model!AY547/Model!AX547-1,"NA")</f>
        <v>-0.20441737373864766</v>
      </c>
      <c r="AZ547" s="1236">
        <f>IFERROR(Model!AZ547/Model!AY547-1,"NA")</f>
        <v>0.20073640366767664</v>
      </c>
      <c r="BA547" s="1236">
        <f>IFERROR(Model!BA547/Model!AZ547-1,"NA")</f>
        <v>1.9142188508667557E-2</v>
      </c>
      <c r="BB547" s="1286">
        <f>IFERROR(Model!BB547/Model!BA547-1,"NA")</f>
        <v>0.11955417304347837</v>
      </c>
      <c r="BC547" s="1286">
        <f>IFERROR(Model!BC547/Model!BB547-1,"NA")</f>
        <v>5.0000000000000044E-2</v>
      </c>
      <c r="BD547" s="1286">
        <f>IFERROR(Model!BD547/Model!BC547-1,"NA")</f>
        <v>5.0000000000000044E-2</v>
      </c>
      <c r="BE547" s="1286">
        <f>IFERROR(Model!BE547/Model!BD547-1,"NA")</f>
        <v>5.0000000000000044E-2</v>
      </c>
    </row>
    <row r="548" spans="1:74" s="72" customFormat="1" x14ac:dyDescent="0.2">
      <c r="A548" s="831"/>
      <c r="B548" s="1217" t="s">
        <v>269</v>
      </c>
      <c r="C548" s="1217"/>
      <c r="D548" s="1303"/>
      <c r="E548" s="1303"/>
      <c r="F548" s="1303"/>
      <c r="G548" s="1303"/>
      <c r="H548" s="1303">
        <f>IFERROR(Model!H548/Model!D548-1,"NA")</f>
        <v>5.3998873556744487E-2</v>
      </c>
      <c r="I548" s="1303">
        <f>IFERROR(Model!I548/Model!E548-1,"NA")</f>
        <v>0.25039553668082282</v>
      </c>
      <c r="J548" s="1303">
        <f>IFERROR(Model!J548/Model!F548-1,"NA")</f>
        <v>-0.40191317144959526</v>
      </c>
      <c r="K548" s="1303">
        <f>IFERROR(Model!K548/Model!G548-1,"NA")</f>
        <v>9.1330333758645743E-3</v>
      </c>
      <c r="L548" s="1303">
        <f>IFERROR(Model!L548/Model!H548-1,"NA")</f>
        <v>-0.27332843497428361</v>
      </c>
      <c r="M548" s="1303">
        <f>IFERROR(Model!M548/Model!I548-1,"NA")</f>
        <v>0.40969632392115085</v>
      </c>
      <c r="N548" s="1303">
        <f>IFERROR(Model!N548/Model!J548-1,"NA")</f>
        <v>1.3866879921259843</v>
      </c>
      <c r="O548" s="1303">
        <f>IFERROR(Model!O548/Model!K548-1,"NA")</f>
        <v>-0.25467491848006918</v>
      </c>
      <c r="P548" s="1303">
        <f>IFERROR(Model!P548/Model!L548-1,"NA")</f>
        <v>0.24377240555198099</v>
      </c>
      <c r="Q548" s="1303">
        <f>IFERROR(Model!Q548/Model!M548-1,"NA")</f>
        <v>-0.28609221466364321</v>
      </c>
      <c r="R548" s="1303">
        <f>IFERROR(Model!R548/Model!N548-1,"NA")</f>
        <v>-0.60528893241919679</v>
      </c>
      <c r="S548" s="1303">
        <f>IFERROR(Model!S548/Model!O548-1,"NA")</f>
        <v>-8.3928571428570908E-3</v>
      </c>
      <c r="T548" s="1303">
        <f>IFERROR(Model!T548/Model!P548-1,"NA")</f>
        <v>-0.57830167762914786</v>
      </c>
      <c r="U548" s="1303">
        <f>IFERROR(Model!U548/Model!Q548-1,"NA")</f>
        <v>-8.9332980412916929E-2</v>
      </c>
      <c r="V548" s="1303">
        <f>IFERROR(Model!V548/Model!R548-1,"NA")</f>
        <v>-0.13856601802272428</v>
      </c>
      <c r="W548" s="1303">
        <f>IFERROR(Model!W548/Model!S548-1,"NA")</f>
        <v>-0.24491265982351884</v>
      </c>
      <c r="X548" s="1303">
        <f>IFERROR(Model!X548/Model!T548-1,"NA")</f>
        <v>1.0431125131440591</v>
      </c>
      <c r="Y548" s="1303">
        <f>IFERROR(Model!Y548/Model!U548-1,"NA")</f>
        <v>0.12977764859758767</v>
      </c>
      <c r="Z548" s="1303">
        <f>IFERROR(Model!Z548/Model!V548-1,"NA")</f>
        <v>0.59551243177683455</v>
      </c>
      <c r="AA548" s="1303">
        <f>IFERROR(Model!AA548/Model!W548-1,"NA")</f>
        <v>9.5397090388742445E-3</v>
      </c>
      <c r="AB548" s="1303">
        <f>IFERROR(Model!AB548/Model!X548-1,"NA")</f>
        <v>0.43232115285640771</v>
      </c>
      <c r="AC548" s="1304">
        <f>IFERROR(Model!AC548/Model!Y548-1,"NA")</f>
        <v>-0.20217769230769222</v>
      </c>
      <c r="AD548" s="1304">
        <f>IFERROR(Model!AD548/Model!Z548-1,"NA")</f>
        <v>0.17869072976054734</v>
      </c>
      <c r="AE548" s="1304">
        <f>IFERROR(Model!AE548/Model!AA548-1,"NA")</f>
        <v>0.53847960099220438</v>
      </c>
      <c r="AF548" s="1304">
        <f>IFERROR(Model!AF548/Model!AB548-1,"NA")</f>
        <v>-0.13205084976709236</v>
      </c>
      <c r="AG548" s="1304">
        <f>IFERROR(Model!AG548/Model!AC548-1,"NA")</f>
        <v>0.19173090909090917</v>
      </c>
      <c r="AH548" s="1304">
        <f>IFERROR(Model!AH548/Model!AD548-1,"NA")</f>
        <v>0.21556552727272749</v>
      </c>
      <c r="AI548" s="1304">
        <f>IFERROR(Model!AI548/Model!AE548-1,"NA")</f>
        <v>0.18083508363636369</v>
      </c>
      <c r="AJ548" s="1304"/>
      <c r="AK548" s="1304"/>
      <c r="AL548" s="1304"/>
      <c r="AM548" s="1304"/>
      <c r="AN548" s="1304"/>
      <c r="AO548" s="1304"/>
      <c r="AP548" s="1304"/>
      <c r="AQ548" s="1304"/>
      <c r="AR548" s="1236"/>
      <c r="AS548" s="407"/>
      <c r="AT548" s="407"/>
      <c r="AU548" s="1236"/>
      <c r="AV548" s="1236">
        <f>IFERROR(Model!AV548/Model!AU548-1,"NA")</f>
        <v>-2.837605587450176E-2</v>
      </c>
      <c r="AW548" s="1236">
        <f>IFERROR(Model!AW548/Model!AV548-1,"NA")</f>
        <v>0.1788415942192616</v>
      </c>
      <c r="AX548" s="1236">
        <f>IFERROR(Model!AX548/Model!AW548-1,"NA")</f>
        <v>-0.24327171726846086</v>
      </c>
      <c r="AY548" s="1236">
        <f>IFERROR(Model!AY548/Model!AX548-1,"NA")</f>
        <v>-0.27329873855630094</v>
      </c>
      <c r="AZ548" s="1236">
        <f>IFERROR(Model!AZ548/Model!AY548-1,"NA")</f>
        <v>0.3409579100145137</v>
      </c>
      <c r="BA548" s="1236">
        <f>IFERROR(Model!BA548/Model!AZ548-1,"NA")</f>
        <v>0.18044529357520145</v>
      </c>
      <c r="BB548" s="1304">
        <f>IFERROR(Model!BB548/Model!BA548-1,"NA")</f>
        <v>9.5406177178944951E-2</v>
      </c>
      <c r="BC548" s="1304">
        <f>IFERROR(Model!BC548/Model!BB548-1,"NA")</f>
        <v>0.1375000000000004</v>
      </c>
      <c r="BD548" s="1304">
        <f>IFERROR(Model!BD548/Model!BC548-1,"NA")</f>
        <v>0.13076923076923075</v>
      </c>
      <c r="BE548" s="1304">
        <f>IFERROR(Model!BE548/Model!BD548-1,"NA")</f>
        <v>5.0000000000000044E-2</v>
      </c>
    </row>
    <row r="549" spans="1:74" s="72" customFormat="1" x14ac:dyDescent="0.2">
      <c r="A549" s="831"/>
      <c r="B549" s="1217"/>
      <c r="C549" s="1217" t="s">
        <v>199</v>
      </c>
      <c r="D549" s="1242"/>
      <c r="E549" s="1242"/>
      <c r="F549" s="1242"/>
      <c r="G549" s="1242"/>
      <c r="H549" s="1242"/>
      <c r="I549" s="1242"/>
      <c r="J549" s="1242"/>
      <c r="K549" s="1242"/>
      <c r="L549" s="1242"/>
      <c r="M549" s="1242"/>
      <c r="N549" s="1242"/>
      <c r="O549" s="1242"/>
      <c r="P549" s="1242"/>
      <c r="Q549" s="1242"/>
      <c r="R549" s="1242"/>
      <c r="S549" s="1242"/>
      <c r="T549" s="1242"/>
      <c r="U549" s="1242"/>
      <c r="V549" s="1242"/>
      <c r="W549" s="1242"/>
      <c r="X549" s="1242"/>
      <c r="Y549" s="1242"/>
      <c r="Z549" s="1242"/>
      <c r="AA549" s="1242"/>
      <c r="AB549" s="1242"/>
      <c r="AC549" s="1362"/>
      <c r="AD549" s="1362"/>
      <c r="AE549" s="1362"/>
      <c r="AF549" s="1362"/>
      <c r="AG549" s="1362"/>
      <c r="AH549" s="1362"/>
      <c r="AI549" s="1362"/>
      <c r="AJ549" s="1362"/>
      <c r="AK549" s="1362"/>
      <c r="AL549" s="1362"/>
      <c r="AM549" s="1362"/>
      <c r="AN549" s="1362"/>
      <c r="AO549" s="1362"/>
      <c r="AP549" s="1362"/>
      <c r="AQ549" s="1362"/>
      <c r="AR549" s="1236"/>
      <c r="AS549" s="407"/>
      <c r="AT549" s="407"/>
      <c r="AU549" s="1412"/>
      <c r="AV549" s="1412"/>
      <c r="AW549" s="1412"/>
      <c r="AX549" s="1412"/>
      <c r="AY549" s="1412"/>
      <c r="AZ549" s="1412"/>
      <c r="BA549" s="1412"/>
      <c r="BB549" s="1362"/>
      <c r="BC549" s="1362"/>
      <c r="BD549" s="1362"/>
      <c r="BE549" s="1362"/>
    </row>
    <row r="550" spans="1:74" s="72" customFormat="1" x14ac:dyDescent="0.2">
      <c r="A550" s="831"/>
      <c r="B550" s="1217"/>
      <c r="C550" s="1217"/>
      <c r="D550" s="1242"/>
      <c r="E550" s="1242"/>
      <c r="F550" s="1242"/>
      <c r="G550" s="1242"/>
      <c r="H550" s="1242"/>
      <c r="I550" s="1242"/>
      <c r="J550" s="1242"/>
      <c r="K550" s="1242"/>
      <c r="L550" s="1242"/>
      <c r="M550" s="1242"/>
      <c r="N550" s="1242"/>
      <c r="O550" s="1242"/>
      <c r="P550" s="1242"/>
      <c r="Q550" s="1242"/>
      <c r="R550" s="1242"/>
      <c r="S550" s="1242"/>
      <c r="T550" s="1242"/>
      <c r="U550" s="1242"/>
      <c r="V550" s="1242"/>
      <c r="W550" s="1242"/>
      <c r="X550" s="1242"/>
      <c r="Y550" s="1242"/>
      <c r="Z550" s="1242"/>
      <c r="AA550" s="1242"/>
      <c r="AB550" s="1242"/>
      <c r="AC550" s="407"/>
      <c r="AD550" s="407"/>
      <c r="AE550" s="407"/>
      <c r="AF550" s="407"/>
      <c r="AG550" s="407"/>
      <c r="AH550" s="407"/>
      <c r="AI550" s="407"/>
      <c r="AJ550" s="407"/>
      <c r="AK550" s="407"/>
      <c r="AL550" s="407"/>
      <c r="AM550" s="407"/>
      <c r="AN550" s="407"/>
      <c r="AO550" s="407"/>
      <c r="AP550" s="407"/>
      <c r="AQ550" s="407"/>
      <c r="AR550" s="1236"/>
      <c r="AS550" s="407"/>
      <c r="AT550" s="407"/>
      <c r="AU550" s="1236"/>
      <c r="AV550" s="1236"/>
      <c r="AW550" s="1236"/>
      <c r="AX550" s="1236"/>
      <c r="AY550" s="1236"/>
      <c r="AZ550" s="1236"/>
      <c r="BA550" s="1236"/>
      <c r="BB550" s="407"/>
      <c r="BC550" s="407"/>
      <c r="BD550" s="407"/>
      <c r="BE550" s="407"/>
    </row>
    <row r="551" spans="1:74" s="72" customFormat="1" x14ac:dyDescent="0.2">
      <c r="A551" s="831"/>
      <c r="B551" s="382" t="s">
        <v>272</v>
      </c>
      <c r="C551" s="53"/>
      <c r="D551" s="407"/>
      <c r="E551" s="407"/>
      <c r="F551" s="407"/>
      <c r="G551" s="407"/>
      <c r="H551" s="407">
        <f>IFERROR(Model!H551/Model!D551-1,"NA")</f>
        <v>0.48520710059171601</v>
      </c>
      <c r="I551" s="407">
        <f>IFERROR(Model!I551/Model!E551-1,"NA")</f>
        <v>0.48309178743961345</v>
      </c>
      <c r="J551" s="407">
        <f>IFERROR(Model!J551/Model!F551-1,"NA")</f>
        <v>0.16959064327485374</v>
      </c>
      <c r="K551" s="407">
        <f>IFERROR(Model!K551/Model!G551-1,"NA")</f>
        <v>0.68108108108108101</v>
      </c>
      <c r="L551" s="407">
        <f>IFERROR(Model!L551/Model!H551-1,"NA")</f>
        <v>0.19123505976095623</v>
      </c>
      <c r="M551" s="407">
        <f>IFERROR(Model!M551/Model!I551-1,"NA")</f>
        <v>0.29967426710097711</v>
      </c>
      <c r="N551" s="407">
        <f>IFERROR(Model!N551/Model!J551-1,"NA")</f>
        <v>0.5</v>
      </c>
      <c r="O551" s="407">
        <f>IFERROR(Model!O551/Model!K551-1,"NA")</f>
        <v>-0.18971061093247588</v>
      </c>
      <c r="P551" s="407">
        <f>IFERROR(Model!P551/Model!L551-1,"NA")</f>
        <v>-0.22742474916387956</v>
      </c>
      <c r="Q551" s="407">
        <f>IFERROR(Model!Q551/Model!M551-1,"NA")</f>
        <v>-0.25814536340852134</v>
      </c>
      <c r="R551" s="407">
        <f>IFERROR(Model!R551/Model!N551-1,"NA")</f>
        <v>-0.42333333333333334</v>
      </c>
      <c r="S551" s="407">
        <f>IFERROR(Model!S551/Model!O551-1,"NA")</f>
        <v>-0.18253968253968256</v>
      </c>
      <c r="T551" s="407">
        <f>IFERROR(Model!T551/Model!P551-1,"NA")</f>
        <v>-0.48917748917748916</v>
      </c>
      <c r="U551" s="407">
        <f>IFERROR(Model!U551/Model!Q551-1,"NA")</f>
        <v>-0.41216216216216217</v>
      </c>
      <c r="V551" s="407">
        <f>IFERROR(Model!V551/Model!R551-1,"NA")</f>
        <v>-0.15606936416184969</v>
      </c>
      <c r="W551" s="407">
        <f>IFERROR(Model!W551/Model!S551-1,"NA")</f>
        <v>-7.7669902912621325E-2</v>
      </c>
      <c r="X551" s="407">
        <f>IFERROR(Model!X551/Model!T551-1,"NA")</f>
        <v>1.1186440677966103</v>
      </c>
      <c r="Y551" s="407">
        <f>IFERROR(Model!Y551/Model!U551-1,"NA")</f>
        <v>0.77586206896551735</v>
      </c>
      <c r="Z551" s="407">
        <f>IFERROR(Model!Z551/Model!V551-1,"NA")</f>
        <v>1.1301369863013697</v>
      </c>
      <c r="AA551" s="407">
        <f>IFERROR(Model!AA551/Model!W551-1,"NA")</f>
        <v>0.32105263157894748</v>
      </c>
      <c r="AB551" s="407">
        <f>IFERROR(Model!AB551/Model!X551-1,"NA")</f>
        <v>-0.13600000000000001</v>
      </c>
      <c r="AC551" s="407">
        <f>IFERROR(Model!AC551/Model!Y551-1,"NA")</f>
        <v>-0.33762158427184463</v>
      </c>
      <c r="AD551" s="407">
        <f>IFERROR(Model!AD551/Model!Z551-1,"NA")</f>
        <v>-0.34188125254019286</v>
      </c>
      <c r="AE551" s="407">
        <f>IFERROR(Model!AE551/Model!AA551-1,"NA")</f>
        <v>-0.14379013154183251</v>
      </c>
      <c r="AF551" s="407">
        <f>IFERROR(Model!AF551/Model!AB551-1,"NA")</f>
        <v>7.355666004363659E-2</v>
      </c>
      <c r="AG551" s="407">
        <f>IFERROR(Model!AG551/Model!AC551-1,"NA")</f>
        <v>0.15561785123966954</v>
      </c>
      <c r="AH551" s="407">
        <f>IFERROR(Model!AH551/Model!AD551-1,"NA")</f>
        <v>0.17873020826446284</v>
      </c>
      <c r="AI551" s="407">
        <f>IFERROR(Model!AI551/Model!AE551-1,"NA")</f>
        <v>0.14505220231404947</v>
      </c>
      <c r="AJ551" s="407"/>
      <c r="AK551" s="407"/>
      <c r="AL551" s="407"/>
      <c r="AM551" s="407"/>
      <c r="AN551" s="407"/>
      <c r="AO551" s="407"/>
      <c r="AP551" s="407"/>
      <c r="AQ551" s="407"/>
      <c r="AR551" s="1236"/>
      <c r="AS551" s="1308"/>
      <c r="AT551" s="407"/>
      <c r="AU551" s="1236"/>
      <c r="AV551" s="1236">
        <f>IFERROR(Model!AV551/Model!AU551-1,"NA")</f>
        <v>0.46038251366120209</v>
      </c>
      <c r="AW551" s="1236">
        <f>IFERROR(Model!AW551/Model!AV551-1,"NA")</f>
        <v>0.16931711880261924</v>
      </c>
      <c r="AX551" s="1236">
        <f>IFERROR(Model!AX551/Model!AW551-1,"NA")</f>
        <v>-0.2752</v>
      </c>
      <c r="AY551" s="1236">
        <f>IFERROR(Model!AY551/Model!AX551-1,"NA")</f>
        <v>-0.30684326710816778</v>
      </c>
      <c r="AZ551" s="1236">
        <f>IFERROR(Model!AZ551/Model!AY551-1,"NA")</f>
        <v>0.78503184713375807</v>
      </c>
      <c r="BA551" s="1236">
        <f>IFERROR(Model!BA551/Model!AZ551-1,"NA")</f>
        <v>-0.25043841400267608</v>
      </c>
      <c r="BB551" s="407">
        <f>IFERROR(Model!BB551/Model!BA551-1,"NA")</f>
        <v>0.13745041089244503</v>
      </c>
      <c r="BC551" s="407">
        <f>IFERROR(Model!BC551/Model!BB551-1,"NA")</f>
        <v>0.1375000000000004</v>
      </c>
      <c r="BD551" s="407">
        <f>IFERROR(Model!BD551/Model!BC551-1,"NA")</f>
        <v>0.14490384615384588</v>
      </c>
      <c r="BE551" s="407">
        <f>IFERROR(Model!BE551/Model!BD551-1,"NA")</f>
        <v>5.6481481481481577E-2</v>
      </c>
    </row>
    <row r="552" spans="1:74" s="72" customFormat="1" x14ac:dyDescent="0.2">
      <c r="A552" s="831"/>
      <c r="B552" s="382"/>
      <c r="C552" s="1217" t="s">
        <v>273</v>
      </c>
      <c r="D552" s="1242"/>
      <c r="E552" s="1242"/>
      <c r="F552" s="1242"/>
      <c r="G552" s="1242"/>
      <c r="H552" s="1242"/>
      <c r="I552" s="1242"/>
      <c r="J552" s="1242"/>
      <c r="K552" s="1242"/>
      <c r="L552" s="1242"/>
      <c r="M552" s="1242"/>
      <c r="N552" s="1242"/>
      <c r="O552" s="1242"/>
      <c r="P552" s="1242"/>
      <c r="Q552" s="1242"/>
      <c r="R552" s="1242"/>
      <c r="S552" s="1242"/>
      <c r="T552" s="1242"/>
      <c r="U552" s="1242"/>
      <c r="V552" s="1242"/>
      <c r="W552" s="1242"/>
      <c r="X552" s="1242"/>
      <c r="Y552" s="1242"/>
      <c r="Z552" s="1242"/>
      <c r="AA552" s="1242"/>
      <c r="AB552" s="1242"/>
      <c r="AC552" s="1362"/>
      <c r="AD552" s="1362"/>
      <c r="AE552" s="1362"/>
      <c r="AF552" s="1362"/>
      <c r="AG552" s="1362"/>
      <c r="AH552" s="1362"/>
      <c r="AI552" s="1362"/>
      <c r="AJ552" s="1362"/>
      <c r="AK552" s="1362"/>
      <c r="AL552" s="1362"/>
      <c r="AM552" s="1362"/>
      <c r="AN552" s="1362"/>
      <c r="AO552" s="1362"/>
      <c r="AP552" s="1362"/>
      <c r="AQ552" s="1362"/>
      <c r="AR552" s="1236"/>
      <c r="AS552" s="1308"/>
      <c r="AT552" s="407"/>
      <c r="AU552" s="1242"/>
      <c r="AV552" s="1242"/>
      <c r="AW552" s="1242"/>
      <c r="AX552" s="1242"/>
      <c r="AY552" s="1242"/>
      <c r="AZ552" s="1242"/>
      <c r="BA552" s="1242"/>
      <c r="BB552" s="1362"/>
      <c r="BC552" s="1362"/>
      <c r="BD552" s="1362"/>
      <c r="BE552" s="1362"/>
    </row>
    <row r="553" spans="1:74" s="72" customFormat="1" x14ac:dyDescent="0.2">
      <c r="A553" s="831"/>
      <c r="B553" s="54"/>
      <c r="C553" s="53" t="s">
        <v>947</v>
      </c>
      <c r="D553" s="407"/>
      <c r="E553" s="1242"/>
      <c r="F553" s="1242"/>
      <c r="G553" s="1242"/>
      <c r="H553" s="1242"/>
      <c r="I553" s="1242"/>
      <c r="J553" s="1242"/>
      <c r="K553" s="1242"/>
      <c r="L553" s="1242"/>
      <c r="M553" s="1242"/>
      <c r="N553" s="1242"/>
      <c r="O553" s="1242"/>
      <c r="P553" s="1242"/>
      <c r="Q553" s="1242"/>
      <c r="R553" s="1242"/>
      <c r="S553" s="1242"/>
      <c r="T553" s="1242"/>
      <c r="U553" s="1242"/>
      <c r="V553" s="1242"/>
      <c r="W553" s="1242"/>
      <c r="X553" s="1242"/>
      <c r="Y553" s="1242"/>
      <c r="Z553" s="1242"/>
      <c r="AA553" s="1242"/>
      <c r="AB553" s="1242"/>
      <c r="AC553" s="1242"/>
      <c r="AD553" s="1242"/>
      <c r="AE553" s="1242"/>
      <c r="AF553" s="1242"/>
      <c r="AG553" s="1242"/>
      <c r="AH553" s="1242"/>
      <c r="AI553" s="1242"/>
      <c r="AJ553" s="1242"/>
      <c r="AK553" s="1242"/>
      <c r="AL553" s="1242"/>
      <c r="AM553" s="1242"/>
      <c r="AN553" s="1242"/>
      <c r="AO553" s="1242"/>
      <c r="AP553" s="1242"/>
      <c r="AQ553" s="1242"/>
      <c r="AR553" s="1236"/>
      <c r="AS553" s="1308"/>
      <c r="AT553" s="407"/>
      <c r="AU553" s="1236"/>
      <c r="AV553" s="1412"/>
      <c r="AW553" s="1412"/>
      <c r="AX553" s="1412"/>
      <c r="AY553" s="1412"/>
      <c r="AZ553" s="1412"/>
      <c r="BA553" s="1412"/>
      <c r="BB553" s="1242"/>
      <c r="BC553" s="1242"/>
      <c r="BD553" s="1242"/>
      <c r="BE553" s="1242"/>
    </row>
    <row r="554" spans="1:74" s="72" customFormat="1" x14ac:dyDescent="0.2">
      <c r="A554" s="831"/>
      <c r="B554" s="54"/>
      <c r="C554" s="53" t="s">
        <v>948</v>
      </c>
      <c r="D554" s="407"/>
      <c r="E554" s="1242"/>
      <c r="F554" s="1242"/>
      <c r="G554" s="1242"/>
      <c r="H554" s="1242"/>
      <c r="I554" s="1242"/>
      <c r="J554" s="1242"/>
      <c r="K554" s="1242"/>
      <c r="L554" s="1242"/>
      <c r="M554" s="1242"/>
      <c r="N554" s="1242"/>
      <c r="O554" s="1242"/>
      <c r="P554" s="1242"/>
      <c r="Q554" s="1242"/>
      <c r="R554" s="1242"/>
      <c r="S554" s="1242"/>
      <c r="T554" s="1242"/>
      <c r="U554" s="1242"/>
      <c r="V554" s="1242"/>
      <c r="W554" s="1242"/>
      <c r="X554" s="1242"/>
      <c r="Y554" s="1242"/>
      <c r="Z554" s="1242"/>
      <c r="AA554" s="1242"/>
      <c r="AB554" s="1242"/>
      <c r="AC554" s="1242"/>
      <c r="AD554" s="1242"/>
      <c r="AE554" s="1242"/>
      <c r="AF554" s="1242"/>
      <c r="AG554" s="1242"/>
      <c r="AH554" s="1242"/>
      <c r="AI554" s="1242"/>
      <c r="AJ554" s="1242"/>
      <c r="AK554" s="1242"/>
      <c r="AL554" s="1242"/>
      <c r="AM554" s="1242"/>
      <c r="AN554" s="1242"/>
      <c r="AO554" s="1242"/>
      <c r="AP554" s="1242"/>
      <c r="AQ554" s="1242"/>
      <c r="AR554" s="1236"/>
      <c r="AS554" s="1308"/>
      <c r="AT554" s="407"/>
      <c r="AU554" s="1236"/>
      <c r="AV554" s="1412"/>
      <c r="AW554" s="1412"/>
      <c r="AX554" s="1412"/>
      <c r="AY554" s="1412"/>
      <c r="AZ554" s="1412"/>
      <c r="BA554" s="1412"/>
      <c r="BB554" s="1242"/>
      <c r="BC554" s="1242"/>
      <c r="BD554" s="1242"/>
      <c r="BE554" s="1242"/>
    </row>
    <row r="555" spans="1:74" s="72" customFormat="1" x14ac:dyDescent="0.2">
      <c r="A555" s="831"/>
      <c r="B555" s="364"/>
      <c r="C555" s="1217"/>
      <c r="D555" s="1242"/>
      <c r="E555" s="1242"/>
      <c r="F555" s="1242"/>
      <c r="G555" s="1242"/>
      <c r="H555" s="1242"/>
      <c r="I555" s="1242"/>
      <c r="J555" s="1242"/>
      <c r="K555" s="1242"/>
      <c r="L555" s="1242"/>
      <c r="M555" s="1242"/>
      <c r="N555" s="1242"/>
      <c r="O555" s="1242"/>
      <c r="P555" s="1242"/>
      <c r="Q555" s="1242"/>
      <c r="R555" s="1242"/>
      <c r="S555" s="1242"/>
      <c r="T555" s="1242"/>
      <c r="U555" s="1242"/>
      <c r="V555" s="1242"/>
      <c r="W555" s="1242"/>
      <c r="X555" s="1242"/>
      <c r="Y555" s="1242"/>
      <c r="Z555" s="1242"/>
      <c r="AA555" s="1242"/>
      <c r="AB555" s="1242"/>
      <c r="AC555" s="407"/>
      <c r="AD555" s="407"/>
      <c r="AE555" s="407"/>
      <c r="AF555" s="407"/>
      <c r="AG555" s="407"/>
      <c r="AH555" s="407"/>
      <c r="AI555" s="407"/>
      <c r="AJ555" s="407"/>
      <c r="AK555" s="407"/>
      <c r="AL555" s="407"/>
      <c r="AM555" s="407"/>
      <c r="AN555" s="407"/>
      <c r="AO555" s="407"/>
      <c r="AP555" s="407"/>
      <c r="AQ555" s="407"/>
      <c r="AR555" s="1236"/>
      <c r="AS555" s="1277"/>
      <c r="AT555" s="407"/>
      <c r="AU555" s="1236"/>
      <c r="AV555" s="1236"/>
      <c r="AW555" s="1236"/>
      <c r="AX555" s="1236"/>
      <c r="AY555" s="1236"/>
      <c r="AZ555" s="1236"/>
      <c r="BA555" s="1236"/>
      <c r="BB555" s="1236"/>
      <c r="BC555" s="1236"/>
      <c r="BD555" s="1236"/>
      <c r="BE555" s="1236"/>
    </row>
    <row r="556" spans="1:74" s="72" customFormat="1" x14ac:dyDescent="0.2">
      <c r="A556" s="831"/>
      <c r="B556" s="574" t="s">
        <v>271</v>
      </c>
      <c r="C556" s="12"/>
      <c r="D556" s="1454"/>
      <c r="E556" s="1454"/>
      <c r="F556" s="1454"/>
      <c r="G556" s="1454"/>
      <c r="H556" s="1454"/>
      <c r="I556" s="1454"/>
      <c r="J556" s="1454"/>
      <c r="K556" s="1454"/>
      <c r="L556" s="1454"/>
      <c r="M556" s="1454"/>
      <c r="N556" s="1454"/>
      <c r="O556" s="1454"/>
      <c r="P556" s="1454"/>
      <c r="Q556" s="1454"/>
      <c r="R556" s="1454"/>
      <c r="S556" s="1454"/>
      <c r="T556" s="1454"/>
      <c r="U556" s="1454"/>
      <c r="V556" s="1454"/>
      <c r="W556" s="1454"/>
      <c r="X556" s="1454"/>
      <c r="Y556" s="1454"/>
      <c r="Z556" s="1454"/>
      <c r="AA556" s="1454"/>
      <c r="AB556" s="1454"/>
      <c r="AC556" s="1398"/>
      <c r="AD556" s="1398"/>
      <c r="AE556" s="1398"/>
      <c r="AF556" s="1398"/>
      <c r="AG556" s="1398"/>
      <c r="AH556" s="1398"/>
      <c r="AI556" s="1398"/>
      <c r="AJ556" s="1398"/>
      <c r="AK556" s="1398"/>
      <c r="AL556" s="1398"/>
      <c r="AM556" s="1398"/>
      <c r="AN556" s="1398"/>
      <c r="AO556" s="1398"/>
      <c r="AP556" s="1398"/>
      <c r="AQ556" s="1398"/>
      <c r="AR556" s="1236"/>
      <c r="AS556" s="1310"/>
      <c r="AT556" s="1398"/>
      <c r="AU556" s="1454"/>
      <c r="AV556" s="1454"/>
      <c r="AW556" s="1454"/>
      <c r="AX556" s="1454"/>
      <c r="AY556" s="1454"/>
      <c r="AZ556" s="1454"/>
      <c r="BA556" s="1454"/>
      <c r="BB556" s="1454"/>
      <c r="BC556" s="1454"/>
      <c r="BD556" s="1454"/>
      <c r="BE556" s="1454"/>
      <c r="BF556" s="23"/>
      <c r="BG556" s="23"/>
      <c r="BH556" s="23"/>
      <c r="BI556" s="23"/>
      <c r="BJ556" s="23"/>
      <c r="BK556" s="23"/>
      <c r="BL556" s="23"/>
      <c r="BM556" s="23"/>
      <c r="BN556" s="23"/>
      <c r="BO556" s="38"/>
      <c r="BP556" s="38"/>
      <c r="BQ556" s="38"/>
      <c r="BR556" s="38"/>
      <c r="BS556" s="38"/>
      <c r="BT556" s="38"/>
      <c r="BU556" s="38"/>
      <c r="BV556" s="38"/>
    </row>
    <row r="557" spans="1:74" s="72" customFormat="1" x14ac:dyDescent="0.2">
      <c r="A557" s="831"/>
      <c r="B557" s="319" t="s">
        <v>268</v>
      </c>
      <c r="C557" s="15"/>
      <c r="D557" s="1455"/>
      <c r="E557" s="1455"/>
      <c r="F557" s="1455"/>
      <c r="G557" s="1455"/>
      <c r="H557" s="1455">
        <f>IFERROR(Model!H557/Model!D557-1,"NA")</f>
        <v>-0.10024115097242337</v>
      </c>
      <c r="I557" s="1455">
        <f>IFERROR(Model!I557/Model!E557-1,"NA")</f>
        <v>0.14635149040626882</v>
      </c>
      <c r="J557" s="1455">
        <f>IFERROR(Model!J557/Model!F557-1,"NA")</f>
        <v>-0.15516950810352426</v>
      </c>
      <c r="K557" s="1455">
        <f>IFERROR(Model!K557/Model!G557-1,"NA")</f>
        <v>-0.10378791060945003</v>
      </c>
      <c r="L557" s="1455">
        <f>IFERROR(Model!L557/Model!H557-1,"NA")</f>
        <v>-2.4880176579952451E-2</v>
      </c>
      <c r="M557" s="1455">
        <f>IFERROR(Model!M557/Model!I557-1,"NA")</f>
        <v>0.1597389070838795</v>
      </c>
      <c r="N557" s="1455">
        <f>IFERROR(Model!N557/Model!J557-1,"NA")</f>
        <v>5.6310629880609309E-2</v>
      </c>
      <c r="O557" s="1455">
        <f>IFERROR(Model!O557/Model!K557-1,"NA")</f>
        <v>-2.9641985348443867E-2</v>
      </c>
      <c r="P557" s="1455">
        <f>IFERROR(Model!P557/Model!L557-1,"NA")</f>
        <v>1.5487821829047288E-2</v>
      </c>
      <c r="Q557" s="1455">
        <f>IFERROR(Model!Q557/Model!M557-1,"NA")</f>
        <v>-0.11689174926387569</v>
      </c>
      <c r="R557" s="1455">
        <f>IFERROR(Model!R557/Model!N557-1,"NA")</f>
        <v>-4.7101156120472165E-2</v>
      </c>
      <c r="S557" s="1455">
        <f>IFERROR(Model!S557/Model!O557-1,"NA")</f>
        <v>3.5157591745182959E-3</v>
      </c>
      <c r="T557" s="1455">
        <f>IFERROR(Model!T557/Model!P557-1,"NA")</f>
        <v>-2.2431539966531244E-2</v>
      </c>
      <c r="U557" s="1455">
        <f>IFERROR(Model!U557/Model!Q557-1,"NA")</f>
        <v>0.15980117060525778</v>
      </c>
      <c r="V557" s="1455">
        <f>IFERROR(Model!V557/Model!R557-1,"NA")</f>
        <v>0.28841478844870405</v>
      </c>
      <c r="W557" s="1455">
        <f>IFERROR(Model!W557/Model!S557-1,"NA")</f>
        <v>4.2522306783281394E-3</v>
      </c>
      <c r="X557" s="1455">
        <f>IFERROR(Model!X557/Model!T557-1,"NA")</f>
        <v>0.12050194925484203</v>
      </c>
      <c r="Y557" s="1455">
        <f>IFERROR(Model!Y557/Model!U557-1,"NA")</f>
        <v>-5.2243195497328698E-2</v>
      </c>
      <c r="Z557" s="1455">
        <f>IFERROR(Model!Z557/Model!V557-1,"NA")</f>
        <v>-2.8535829560079606E-2</v>
      </c>
      <c r="AA557" s="1455">
        <f>IFERROR(Model!AA557/Model!W557-1,"NA")</f>
        <v>0.14064779205123834</v>
      </c>
      <c r="AB557" s="1455">
        <f>IFERROR(Model!AB557/Model!X557-1,"NA")</f>
        <v>-4.2308634372058451E-2</v>
      </c>
      <c r="AC557" s="1455">
        <f>IFERROR(Model!AC557/Model!Y557-1,"NA")</f>
        <v>5.105386985409921E-2</v>
      </c>
      <c r="AD557" s="1455">
        <f>IFERROR(Model!AD557/Model!Z557-1,"NA")</f>
        <v>2.4763295102853577E-2</v>
      </c>
      <c r="AE557" s="1455">
        <f>IFERROR(Model!AE557/Model!AA557-1,"NA")</f>
        <v>7.9444397209331497E-2</v>
      </c>
      <c r="AF557" s="1455">
        <f>IFERROR(Model!AF557/Model!AB557-1,"NA")</f>
        <v>-4.4793999999999889E-2</v>
      </c>
      <c r="AG557" s="1455">
        <f>IFERROR(Model!AG557/Model!AC557-1,"NA")</f>
        <v>1.3688000000000144E-2</v>
      </c>
      <c r="AH557" s="1455">
        <f>IFERROR(Model!AH557/Model!AD557-1,"NA")</f>
        <v>3.5028800000000082E-2</v>
      </c>
      <c r="AI557" s="1455">
        <f>IFERROR(Model!AI557/Model!AE557-1,"NA")</f>
        <v>0.10584656000000003</v>
      </c>
      <c r="AJ557" s="1455"/>
      <c r="AK557" s="1455"/>
      <c r="AL557" s="1455"/>
      <c r="AM557" s="1455"/>
      <c r="AN557" s="1455"/>
      <c r="AO557" s="1455"/>
      <c r="AP557" s="1455"/>
      <c r="AQ557" s="1455"/>
      <c r="AR557" s="1236"/>
      <c r="AS557" s="1248"/>
      <c r="AT557" s="1250"/>
      <c r="AU557" s="1236"/>
      <c r="AV557" s="1236">
        <f>IFERROR(Model!AV557/Model!AU557-1,"NA")</f>
        <v>-6.3200603648891795E-2</v>
      </c>
      <c r="AW557" s="1236">
        <f>IFERROR(Model!AW557/Model!AV557-1,"NA")</f>
        <v>3.9173803699990462E-2</v>
      </c>
      <c r="AX557" s="1236">
        <f>IFERROR(Model!AX557/Model!AW557-1,"NA")</f>
        <v>-3.8861844435088999E-2</v>
      </c>
      <c r="AY557" s="1236">
        <f>IFERROR(Model!AY557/Model!AX557-1,"NA")</f>
        <v>0.10070590123386358</v>
      </c>
      <c r="AZ557" s="1236">
        <f>IFERROR(Model!AZ557/Model!AY557-1,"NA")</f>
        <v>3.7891433977200961E-2</v>
      </c>
      <c r="BA557" s="1236">
        <f>IFERROR(Model!BA557/Model!AZ557-1,"NA")</f>
        <v>2.4569359490551168E-2</v>
      </c>
      <c r="BB557" s="1286">
        <f>IFERROR(Model!BB557/Model!BA557-1,"NA")</f>
        <v>2.4989933418171795E-2</v>
      </c>
      <c r="BC557" s="1286">
        <f>IFERROR(Model!BC557/Model!BB557-1,"NA")</f>
        <v>4.0000000000000036E-2</v>
      </c>
      <c r="BD557" s="1286">
        <f>IFERROR(Model!BD557/Model!BC557-1,"NA")</f>
        <v>4.0000000000000036E-2</v>
      </c>
      <c r="BE557" s="1286">
        <f>IFERROR(Model!BE557/Model!BD557-1,"NA")</f>
        <v>4.0000000000000036E-2</v>
      </c>
    </row>
    <row r="558" spans="1:74" s="72" customFormat="1" x14ac:dyDescent="0.2">
      <c r="A558" s="831"/>
      <c r="B558" s="1217" t="s">
        <v>269</v>
      </c>
      <c r="C558" s="1217"/>
      <c r="D558" s="1303"/>
      <c r="E558" s="1303"/>
      <c r="F558" s="1303"/>
      <c r="G558" s="1303"/>
      <c r="H558" s="1303">
        <f>IFERROR(Model!H558/Model!D558-1,"NA")</f>
        <v>-8.0924708808079782E-2</v>
      </c>
      <c r="I558" s="1303">
        <f>IFERROR(Model!I558/Model!E558-1,"NA")</f>
        <v>0.12520968428431933</v>
      </c>
      <c r="J558" s="1303">
        <f>IFERROR(Model!J558/Model!F558-1,"NA")</f>
        <v>-8.3462116997383151E-2</v>
      </c>
      <c r="K558" s="1303">
        <f>IFERROR(Model!K558/Model!G558-1,"NA")</f>
        <v>-6.986339158281063E-2</v>
      </c>
      <c r="L558" s="1303">
        <f>IFERROR(Model!L558/Model!H558-1,"NA")</f>
        <v>-1.8858026395714877E-2</v>
      </c>
      <c r="M558" s="1303">
        <f>IFERROR(Model!M558/Model!I558-1,"NA")</f>
        <v>9.4933469805527082E-2</v>
      </c>
      <c r="N558" s="1303">
        <f>IFERROR(Model!N558/Model!J558-1,"NA")</f>
        <v>-0.13875743303245247</v>
      </c>
      <c r="O558" s="1303">
        <f>IFERROR(Model!O558/Model!K558-1,"NA")</f>
        <v>-6.0178976686610319E-2</v>
      </c>
      <c r="P558" s="1303">
        <f>IFERROR(Model!P558/Model!L558-1,"NA")</f>
        <v>7.351437549833495E-2</v>
      </c>
      <c r="Q558" s="1303">
        <f>IFERROR(Model!Q558/Model!M558-1,"NA")</f>
        <v>-4.772549457918851E-2</v>
      </c>
      <c r="R558" s="1303">
        <f>IFERROR(Model!R558/Model!N558-1,"NA")</f>
        <v>-8.2109714554211233E-2</v>
      </c>
      <c r="S558" s="1303">
        <f>IFERROR(Model!S558/Model!O558-1,"NA")</f>
        <v>0.18913356657748515</v>
      </c>
      <c r="T558" s="1303">
        <f>IFERROR(Model!T558/Model!P558-1,"NA")</f>
        <v>-0.11375194421628421</v>
      </c>
      <c r="U558" s="1303">
        <f>IFERROR(Model!U558/Model!Q558-1,"NA")</f>
        <v>0.243128467776355</v>
      </c>
      <c r="V558" s="1303">
        <f>IFERROR(Model!V558/Model!R558-1,"NA")</f>
        <v>0.50530387054574422</v>
      </c>
      <c r="W558" s="1303">
        <f>IFERROR(Model!W558/Model!S558-1,"NA")</f>
        <v>-0.11943002192223373</v>
      </c>
      <c r="X558" s="1303">
        <f>IFERROR(Model!X558/Model!T558-1,"NA")</f>
        <v>0.27472787505915752</v>
      </c>
      <c r="Y558" s="1303">
        <f>IFERROR(Model!Y558/Model!U558-1,"NA")</f>
        <v>3.9294113607882819E-2</v>
      </c>
      <c r="Z558" s="1303">
        <f>IFERROR(Model!Z558/Model!V558-1,"NA")</f>
        <v>4.9044983091194094E-2</v>
      </c>
      <c r="AA558" s="1303">
        <f>IFERROR(Model!AA558/Model!W558-1,"NA")</f>
        <v>0.35929454002279915</v>
      </c>
      <c r="AB558" s="1303">
        <f>IFERROR(Model!AB558/Model!X558-1,"NA")</f>
        <v>-3.5177278633747866E-2</v>
      </c>
      <c r="AC558" s="1256">
        <f>IFERROR(Model!AC558/Model!Y558-1,"NA")</f>
        <v>7.2122908897204629E-2</v>
      </c>
      <c r="AD558" s="1256">
        <f>IFERROR(Model!AD558/Model!Z558-1,"NA")</f>
        <v>0.11050555392749195</v>
      </c>
      <c r="AE558" s="1256">
        <f>IFERROR(Model!AE558/Model!AA558-1,"NA")</f>
        <v>0.12935974162878838</v>
      </c>
      <c r="AF558" s="1256">
        <f>IFERROR(Model!AF558/Model!AB558-1,"NA")</f>
        <v>1.4370386117493528E-2</v>
      </c>
      <c r="AG558" s="1256">
        <f>IFERROR(Model!AG558/Model!AC558-1,"NA")</f>
        <v>1.3687999999999922E-2</v>
      </c>
      <c r="AH558" s="1256">
        <f>IFERROR(Model!AH558/Model!AD558-1,"NA")</f>
        <v>3.5028800000000082E-2</v>
      </c>
      <c r="AI558" s="1256">
        <f>IFERROR(Model!AI558/Model!AE558-1,"NA")</f>
        <v>0.10584656000000003</v>
      </c>
      <c r="AJ558" s="1256"/>
      <c r="AK558" s="1256"/>
      <c r="AL558" s="1256"/>
      <c r="AM558" s="1256"/>
      <c r="AN558" s="1256"/>
      <c r="AO558" s="1256"/>
      <c r="AP558" s="1256"/>
      <c r="AQ558" s="1256"/>
      <c r="AR558" s="1236"/>
      <c r="AS558" s="407"/>
      <c r="AT558" s="407"/>
      <c r="AU558" s="1236"/>
      <c r="AV558" s="1236">
        <f>IFERROR(Model!AV558/Model!AU558-1,"NA")</f>
        <v>-3.5639374230600596E-2</v>
      </c>
      <c r="AW558" s="1236">
        <f>IFERROR(Model!AW558/Model!AV558-1,"NA")</f>
        <v>-2.8837066601652972E-2</v>
      </c>
      <c r="AX558" s="1236">
        <f>IFERROR(Model!AX558/Model!AW558-1,"NA")</f>
        <v>2.9995148424366125E-2</v>
      </c>
      <c r="AY558" s="1236">
        <f>IFERROR(Model!AY558/Model!AX558-1,"NA")</f>
        <v>9.5720208786333583E-2</v>
      </c>
      <c r="AZ558" s="1236">
        <f>IFERROR(Model!AZ558/Model!AY558-1,"NA")</f>
        <v>0.16259238061437942</v>
      </c>
      <c r="BA558" s="1236">
        <f>IFERROR(Model!BA558/Model!AZ558-1,"NA")</f>
        <v>6.4228240420287186E-2</v>
      </c>
      <c r="BB558" s="1256">
        <f>IFERROR(Model!BB558/Model!BA558-1,"NA")</f>
        <v>4.0987205004356264E-2</v>
      </c>
      <c r="BC558" s="1256">
        <f>IFERROR(Model!BC558/Model!BB558-1,"NA")</f>
        <v>4.0000000000000036E-2</v>
      </c>
      <c r="BD558" s="1256">
        <f>IFERROR(Model!BD558/Model!BC558-1,"NA")</f>
        <v>4.0000000000000036E-2</v>
      </c>
      <c r="BE558" s="1256">
        <f>IFERROR(Model!BE558/Model!BD558-1,"NA")</f>
        <v>4.0000000000000036E-2</v>
      </c>
    </row>
    <row r="559" spans="1:74" s="72" customFormat="1" x14ac:dyDescent="0.2">
      <c r="A559" s="831"/>
      <c r="B559" s="1217"/>
      <c r="C559" s="1217" t="s">
        <v>199</v>
      </c>
      <c r="D559" s="1242"/>
      <c r="E559" s="1242"/>
      <c r="F559" s="1242"/>
      <c r="G559" s="1242"/>
      <c r="H559" s="1242"/>
      <c r="I559" s="1242"/>
      <c r="J559" s="1242"/>
      <c r="K559" s="1242"/>
      <c r="L559" s="1242"/>
      <c r="M559" s="1242"/>
      <c r="N559" s="1242"/>
      <c r="O559" s="1242"/>
      <c r="P559" s="1242"/>
      <c r="Q559" s="1242"/>
      <c r="R559" s="1242"/>
      <c r="S559" s="1242"/>
      <c r="T559" s="1242"/>
      <c r="U559" s="1242"/>
      <c r="V559" s="1242"/>
      <c r="W559" s="1242"/>
      <c r="X559" s="1242"/>
      <c r="Y559" s="1242"/>
      <c r="Z559" s="1242"/>
      <c r="AA559" s="1242"/>
      <c r="AB559" s="1242"/>
      <c r="AC559" s="1362"/>
      <c r="AD559" s="1362"/>
      <c r="AE559" s="1362"/>
      <c r="AF559" s="1362"/>
      <c r="AG559" s="1362"/>
      <c r="AH559" s="1362"/>
      <c r="AI559" s="1362"/>
      <c r="AJ559" s="1362"/>
      <c r="AK559" s="1362"/>
      <c r="AL559" s="1362"/>
      <c r="AM559" s="1362"/>
      <c r="AN559" s="1362"/>
      <c r="AO559" s="1362"/>
      <c r="AP559" s="1362"/>
      <c r="AQ559" s="1362"/>
      <c r="AR559" s="1236"/>
      <c r="AS559" s="407"/>
      <c r="AT559" s="407"/>
      <c r="AU559" s="1412"/>
      <c r="AV559" s="1412"/>
      <c r="AW559" s="1412"/>
      <c r="AX559" s="1412"/>
      <c r="AY559" s="1412"/>
      <c r="AZ559" s="1412"/>
      <c r="BA559" s="1412"/>
      <c r="BB559" s="1362"/>
      <c r="BC559" s="1362"/>
      <c r="BD559" s="1362"/>
      <c r="BE559" s="1362"/>
    </row>
    <row r="560" spans="1:74" s="72" customFormat="1" x14ac:dyDescent="0.2">
      <c r="A560" s="831"/>
      <c r="B560" s="1217"/>
      <c r="C560" s="1217"/>
      <c r="D560" s="1242"/>
      <c r="E560" s="1242"/>
      <c r="F560" s="1242"/>
      <c r="G560" s="1242"/>
      <c r="H560" s="1242"/>
      <c r="I560" s="1242"/>
      <c r="J560" s="1242"/>
      <c r="K560" s="1242"/>
      <c r="L560" s="1242"/>
      <c r="M560" s="1242"/>
      <c r="N560" s="1242"/>
      <c r="O560" s="1242"/>
      <c r="P560" s="1242"/>
      <c r="Q560" s="1242"/>
      <c r="R560" s="1242"/>
      <c r="S560" s="1242"/>
      <c r="T560" s="1242"/>
      <c r="U560" s="1242"/>
      <c r="V560" s="1242"/>
      <c r="W560" s="1242"/>
      <c r="X560" s="1242"/>
      <c r="Y560" s="1242"/>
      <c r="Z560" s="1242"/>
      <c r="AA560" s="1242"/>
      <c r="AB560" s="1242"/>
      <c r="AC560" s="407"/>
      <c r="AD560" s="407"/>
      <c r="AE560" s="407"/>
      <c r="AF560" s="407"/>
      <c r="AG560" s="407"/>
      <c r="AH560" s="407"/>
      <c r="AI560" s="407"/>
      <c r="AJ560" s="407"/>
      <c r="AK560" s="407"/>
      <c r="AL560" s="407"/>
      <c r="AM560" s="407"/>
      <c r="AN560" s="407"/>
      <c r="AO560" s="407"/>
      <c r="AP560" s="407"/>
      <c r="AQ560" s="407"/>
      <c r="AR560" s="1236"/>
      <c r="AS560" s="407"/>
      <c r="AT560" s="407"/>
      <c r="AU560" s="1236"/>
      <c r="AV560" s="1236"/>
      <c r="AW560" s="1236"/>
      <c r="AX560" s="1236"/>
      <c r="AY560" s="1236"/>
      <c r="AZ560" s="1236"/>
      <c r="BA560" s="1236"/>
      <c r="BB560" s="407"/>
      <c r="BC560" s="407"/>
      <c r="BD560" s="407"/>
      <c r="BE560" s="407"/>
    </row>
    <row r="561" spans="1:74" s="72" customFormat="1" x14ac:dyDescent="0.2">
      <c r="A561" s="831"/>
      <c r="B561" s="382" t="s">
        <v>272</v>
      </c>
      <c r="C561" s="53"/>
      <c r="D561" s="407"/>
      <c r="E561" s="407"/>
      <c r="F561" s="407"/>
      <c r="G561" s="407"/>
      <c r="H561" s="407">
        <f>IFERROR(Model!H561/Model!D561-1,"NA")</f>
        <v>5.4093567251461971E-2</v>
      </c>
      <c r="I561" s="407">
        <f>IFERROR(Model!I561/Model!E561-1,"NA")</f>
        <v>0.10843373493975905</v>
      </c>
      <c r="J561" s="407">
        <f>IFERROR(Model!J561/Model!F561-1,"NA")</f>
        <v>-0.14890510948905111</v>
      </c>
      <c r="K561" s="407">
        <f>IFERROR(Model!K561/Model!G561-1,"NA")</f>
        <v>-0.19640387275242044</v>
      </c>
      <c r="L561" s="407">
        <f>IFERROR(Model!L561/Model!H561-1,"NA")</f>
        <v>-0.18585298196948685</v>
      </c>
      <c r="M561" s="407">
        <f>IFERROR(Model!M561/Model!I561-1,"NA")</f>
        <v>0.17391304347826098</v>
      </c>
      <c r="N561" s="407">
        <f>IFERROR(Model!N561/Model!J561-1,"NA")</f>
        <v>9.9485420240137179E-2</v>
      </c>
      <c r="O561" s="407">
        <f>IFERROR(Model!O561/Model!K561-1,"NA")</f>
        <v>-3.9586919104991347E-2</v>
      </c>
      <c r="P561" s="407">
        <f>IFERROR(Model!P561/Model!L561-1,"NA")</f>
        <v>0.14821124361158433</v>
      </c>
      <c r="Q561" s="407">
        <f>IFERROR(Model!Q561/Model!M561-1,"NA")</f>
        <v>-2.777777777777779E-2</v>
      </c>
      <c r="R561" s="407">
        <f>IFERROR(Model!R561/Model!N561-1,"NA")</f>
        <v>-0.17628705148205925</v>
      </c>
      <c r="S561" s="407">
        <f>IFERROR(Model!S561/Model!O561-1,"NA")</f>
        <v>0.11290322580645151</v>
      </c>
      <c r="T561" s="407">
        <f>IFERROR(Model!T561/Model!P561-1,"NA")</f>
        <v>-0.21661721068249262</v>
      </c>
      <c r="U561" s="407">
        <f>IFERROR(Model!U561/Model!Q561-1,"NA")</f>
        <v>9.2517006802721014E-2</v>
      </c>
      <c r="V561" s="407">
        <f>IFERROR(Model!V561/Model!R561-1,"NA")</f>
        <v>0.32196969696969702</v>
      </c>
      <c r="W561" s="407">
        <f>IFERROR(Model!W561/Model!S561-1,"NA")</f>
        <v>3.8647342995169032E-2</v>
      </c>
      <c r="X561" s="407">
        <f>IFERROR(Model!X561/Model!T561-1,"NA")</f>
        <v>0.44507575757575757</v>
      </c>
      <c r="Y561" s="407">
        <f>IFERROR(Model!Y561/Model!U561-1,"NA")</f>
        <v>0.13075965130759659</v>
      </c>
      <c r="Z561" s="407">
        <f>IFERROR(Model!Z561/Model!V561-1,"NA")</f>
        <v>4.4412607449856756E-2</v>
      </c>
      <c r="AA561" s="407">
        <f>IFERROR(Model!AA561/Model!W561-1,"NA")</f>
        <v>0.12558139534883717</v>
      </c>
      <c r="AB561" s="407">
        <f>IFERROR(Model!AB561/Model!X561-1,"NA")</f>
        <v>-8.3879423328964586E-2</v>
      </c>
      <c r="AC561" s="1256">
        <f>IFERROR(Model!AC561/Model!Y561-1,"NA")</f>
        <v>-9.9287818396775807E-2</v>
      </c>
      <c r="AD561" s="1256">
        <f>IFERROR(Model!AD561/Model!Z561-1,"NA")</f>
        <v>6.578097098894542E-2</v>
      </c>
      <c r="AE561" s="1256">
        <f>IFERROR(Model!AE561/Model!AA561-1,"NA")</f>
        <v>1.6675773358669543E-2</v>
      </c>
      <c r="AF561" s="1256">
        <f>IFERROR(Model!AF561/Model!AB561-1,"NA")</f>
        <v>0.14042223229623141</v>
      </c>
      <c r="AG561" s="1256">
        <f>IFERROR(Model!AG561/Model!AC561-1,"NA")</f>
        <v>1.3687999999999922E-2</v>
      </c>
      <c r="AH561" s="1256">
        <f>IFERROR(Model!AH561/Model!AD561-1,"NA")</f>
        <v>1.8599771428571499E-2</v>
      </c>
      <c r="AI561" s="1256">
        <f>IFERROR(Model!AI561/Model!AE561-1,"NA")</f>
        <v>8.8293439999999945E-2</v>
      </c>
      <c r="AJ561" s="1256"/>
      <c r="AK561" s="1256"/>
      <c r="AL561" s="1256"/>
      <c r="AM561" s="1256"/>
      <c r="AN561" s="1256"/>
      <c r="AO561" s="1256"/>
      <c r="AP561" s="1256"/>
      <c r="AQ561" s="1256"/>
      <c r="AR561" s="1236"/>
      <c r="AS561" s="1308"/>
      <c r="AT561" s="407"/>
      <c r="AU561" s="1236"/>
      <c r="AV561" s="1236">
        <f>IFERROR(Model!AV561/Model!AU561-1,"NA")</f>
        <v>-5.3872053872053849E-2</v>
      </c>
      <c r="AW561" s="1236">
        <f>IFERROR(Model!AW561/Model!AV561-1,"NA")</f>
        <v>5.1403716884144135E-3</v>
      </c>
      <c r="AX561" s="1236">
        <f>IFERROR(Model!AX561/Model!AW561-1,"NA")</f>
        <v>6.2942564909520549E-3</v>
      </c>
      <c r="AY561" s="1236">
        <f>IFERROR(Model!AY561/Model!AX561-1,"NA")</f>
        <v>4.5347928068803833E-2</v>
      </c>
      <c r="AZ561" s="1236">
        <f>IFERROR(Model!AZ561/Model!AY561-1,"NA")</f>
        <v>0.16903515332834695</v>
      </c>
      <c r="BA561" s="1236">
        <f>IFERROR(Model!BA561/Model!AZ561-1,"NA")</f>
        <v>-3.0099935954874368E-2</v>
      </c>
      <c r="BB561" s="1256">
        <f>IFERROR(Model!BB561/Model!BA561-1,"NA")</f>
        <v>6.2327417292498577E-2</v>
      </c>
      <c r="BC561" s="1256">
        <f>IFERROR(Model!BC561/Model!BB561-1,"NA")</f>
        <v>3.9985152743484909E-2</v>
      </c>
      <c r="BD561" s="1256">
        <f>IFERROR(Model!BD561/Model!BC561-1,"NA")</f>
        <v>4.0000000000000036E-2</v>
      </c>
      <c r="BE561" s="1256">
        <f>IFERROR(Model!BE561/Model!BD561-1,"NA")</f>
        <v>4.0000000000000258E-2</v>
      </c>
    </row>
    <row r="562" spans="1:74" s="72" customFormat="1" x14ac:dyDescent="0.2">
      <c r="A562" s="831"/>
      <c r="B562" s="382"/>
      <c r="C562" s="1217" t="s">
        <v>273</v>
      </c>
      <c r="D562" s="1242"/>
      <c r="E562" s="1242"/>
      <c r="F562" s="1242"/>
      <c r="G562" s="1242"/>
      <c r="H562" s="1242"/>
      <c r="I562" s="1242"/>
      <c r="J562" s="1242"/>
      <c r="K562" s="1242"/>
      <c r="L562" s="1242"/>
      <c r="M562" s="1242"/>
      <c r="N562" s="1242"/>
      <c r="O562" s="1242"/>
      <c r="P562" s="1242"/>
      <c r="Q562" s="1242"/>
      <c r="R562" s="1242"/>
      <c r="S562" s="1242"/>
      <c r="T562" s="1242"/>
      <c r="U562" s="1242"/>
      <c r="V562" s="1242"/>
      <c r="W562" s="1242"/>
      <c r="X562" s="1242"/>
      <c r="Y562" s="1242"/>
      <c r="Z562" s="1242"/>
      <c r="AA562" s="1242"/>
      <c r="AB562" s="1242"/>
      <c r="AC562" s="1362"/>
      <c r="AD562" s="1362"/>
      <c r="AE562" s="1362"/>
      <c r="AF562" s="1362"/>
      <c r="AG562" s="1362"/>
      <c r="AH562" s="1362"/>
      <c r="AI562" s="1362"/>
      <c r="AJ562" s="1362"/>
      <c r="AK562" s="1362"/>
      <c r="AL562" s="1362"/>
      <c r="AM562" s="1362"/>
      <c r="AN562" s="1362"/>
      <c r="AO562" s="1362"/>
      <c r="AP562" s="1362"/>
      <c r="AQ562" s="1362"/>
      <c r="AR562" s="1236"/>
      <c r="AS562" s="1308"/>
      <c r="AT562" s="407"/>
      <c r="AU562" s="1242"/>
      <c r="AV562" s="1242"/>
      <c r="AW562" s="1242"/>
      <c r="AX562" s="1242"/>
      <c r="AY562" s="1242"/>
      <c r="AZ562" s="1242"/>
      <c r="BA562" s="1242"/>
      <c r="BB562" s="1362"/>
      <c r="BC562" s="1362"/>
      <c r="BD562" s="1362"/>
      <c r="BE562" s="1362"/>
    </row>
    <row r="563" spans="1:74" s="72" customFormat="1" x14ac:dyDescent="0.2">
      <c r="A563" s="831"/>
      <c r="B563" s="54"/>
      <c r="C563" s="53" t="s">
        <v>947</v>
      </c>
      <c r="D563" s="407"/>
      <c r="E563" s="1242"/>
      <c r="F563" s="1242"/>
      <c r="G563" s="1242"/>
      <c r="H563" s="1242"/>
      <c r="I563" s="1242"/>
      <c r="J563" s="1242"/>
      <c r="K563" s="1242"/>
      <c r="L563" s="1242"/>
      <c r="M563" s="1242"/>
      <c r="N563" s="1242"/>
      <c r="O563" s="1242"/>
      <c r="P563" s="1242"/>
      <c r="Q563" s="1242"/>
      <c r="R563" s="1242"/>
      <c r="S563" s="1242"/>
      <c r="T563" s="1242"/>
      <c r="U563" s="1242"/>
      <c r="V563" s="1242"/>
      <c r="W563" s="1242"/>
      <c r="X563" s="1242"/>
      <c r="Y563" s="1242"/>
      <c r="Z563" s="1242"/>
      <c r="AA563" s="1242"/>
      <c r="AB563" s="1242"/>
      <c r="AC563" s="1242"/>
      <c r="AD563" s="1242"/>
      <c r="AE563" s="1242"/>
      <c r="AF563" s="1242"/>
      <c r="AG563" s="1242"/>
      <c r="AH563" s="1242"/>
      <c r="AI563" s="1242"/>
      <c r="AJ563" s="1242"/>
      <c r="AK563" s="1242"/>
      <c r="AL563" s="1242"/>
      <c r="AM563" s="1242"/>
      <c r="AN563" s="1242"/>
      <c r="AO563" s="1242"/>
      <c r="AP563" s="1242"/>
      <c r="AQ563" s="1242"/>
      <c r="AR563" s="1236"/>
      <c r="AS563" s="1308"/>
      <c r="AT563" s="407"/>
      <c r="AU563" s="1236"/>
      <c r="AV563" s="1412"/>
      <c r="AW563" s="1412"/>
      <c r="AX563" s="1412"/>
      <c r="AY563" s="1412"/>
      <c r="AZ563" s="1412"/>
      <c r="BA563" s="1412"/>
      <c r="BB563" s="1242"/>
      <c r="BC563" s="1242"/>
      <c r="BD563" s="1242"/>
      <c r="BE563" s="1242"/>
    </row>
    <row r="564" spans="1:74" s="72" customFormat="1" x14ac:dyDescent="0.2">
      <c r="A564" s="831"/>
      <c r="B564" s="54"/>
      <c r="C564" s="53" t="s">
        <v>948</v>
      </c>
      <c r="D564" s="407"/>
      <c r="E564" s="1242"/>
      <c r="F564" s="1242"/>
      <c r="G564" s="1242"/>
      <c r="H564" s="1242"/>
      <c r="I564" s="1242"/>
      <c r="J564" s="1242"/>
      <c r="K564" s="1242"/>
      <c r="L564" s="1242"/>
      <c r="M564" s="1242"/>
      <c r="N564" s="1242"/>
      <c r="O564" s="1242"/>
      <c r="P564" s="1242"/>
      <c r="Q564" s="1242"/>
      <c r="R564" s="1242"/>
      <c r="S564" s="1242"/>
      <c r="T564" s="1242"/>
      <c r="U564" s="1242"/>
      <c r="V564" s="1242"/>
      <c r="W564" s="1242"/>
      <c r="X564" s="1242"/>
      <c r="Y564" s="1242"/>
      <c r="Z564" s="1242"/>
      <c r="AA564" s="1242"/>
      <c r="AB564" s="1242"/>
      <c r="AC564" s="1242"/>
      <c r="AD564" s="1242"/>
      <c r="AE564" s="1242"/>
      <c r="AF564" s="1242"/>
      <c r="AG564" s="1242"/>
      <c r="AH564" s="1242"/>
      <c r="AI564" s="1242"/>
      <c r="AJ564" s="1242"/>
      <c r="AK564" s="1242"/>
      <c r="AL564" s="1242"/>
      <c r="AM564" s="1242"/>
      <c r="AN564" s="1242"/>
      <c r="AO564" s="1242"/>
      <c r="AP564" s="1242"/>
      <c r="AQ564" s="1242"/>
      <c r="AR564" s="1236"/>
      <c r="AS564" s="1308"/>
      <c r="AT564" s="407"/>
      <c r="AU564" s="1236"/>
      <c r="AV564" s="1412"/>
      <c r="AW564" s="1412"/>
      <c r="AX564" s="1412"/>
      <c r="AY564" s="1412"/>
      <c r="AZ564" s="1412"/>
      <c r="BA564" s="1412"/>
      <c r="BB564" s="1242"/>
      <c r="BC564" s="1242"/>
      <c r="BD564" s="1242"/>
      <c r="BE564" s="1242"/>
    </row>
    <row r="565" spans="1:74" s="72" customFormat="1" x14ac:dyDescent="0.2">
      <c r="A565" s="831"/>
      <c r="B565" s="364"/>
      <c r="C565" s="1217"/>
      <c r="D565" s="1242"/>
      <c r="E565" s="1242"/>
      <c r="F565" s="1242"/>
      <c r="G565" s="1242"/>
      <c r="H565" s="1242"/>
      <c r="I565" s="1242"/>
      <c r="J565" s="1242"/>
      <c r="K565" s="1242"/>
      <c r="L565" s="1242"/>
      <c r="M565" s="1242"/>
      <c r="N565" s="1242"/>
      <c r="O565" s="1242"/>
      <c r="P565" s="1242"/>
      <c r="Q565" s="1242"/>
      <c r="R565" s="1242"/>
      <c r="S565" s="1242"/>
      <c r="T565" s="1242"/>
      <c r="U565" s="1242"/>
      <c r="V565" s="1242"/>
      <c r="W565" s="1242"/>
      <c r="X565" s="407"/>
      <c r="Y565" s="407"/>
      <c r="Z565" s="407"/>
      <c r="AA565" s="407"/>
      <c r="AB565" s="407"/>
      <c r="AC565" s="407"/>
      <c r="AD565" s="407"/>
      <c r="AE565" s="407"/>
      <c r="AF565" s="407"/>
      <c r="AG565" s="407"/>
      <c r="AH565" s="407"/>
      <c r="AI565" s="407"/>
      <c r="AJ565" s="407"/>
      <c r="AK565" s="407"/>
      <c r="AL565" s="407"/>
      <c r="AM565" s="407"/>
      <c r="AN565" s="407"/>
      <c r="AO565" s="407"/>
      <c r="AP565" s="407"/>
      <c r="AQ565" s="407"/>
      <c r="AR565" s="1236"/>
      <c r="AS565" s="1277"/>
      <c r="AT565" s="407"/>
      <c r="AU565" s="1236"/>
      <c r="AV565" s="1236"/>
      <c r="AW565" s="1236"/>
      <c r="AX565" s="1236"/>
      <c r="AY565" s="1236"/>
      <c r="AZ565" s="1236"/>
      <c r="BA565" s="1236"/>
      <c r="BB565" s="1236"/>
      <c r="BC565" s="1236"/>
      <c r="BD565" s="1236"/>
      <c r="BE565" s="1236"/>
    </row>
    <row r="566" spans="1:74" s="72" customFormat="1" x14ac:dyDescent="0.2">
      <c r="A566" s="831"/>
      <c r="B566" s="574" t="s">
        <v>965</v>
      </c>
      <c r="C566" s="12"/>
      <c r="D566" s="1454"/>
      <c r="E566" s="1454"/>
      <c r="F566" s="1454"/>
      <c r="G566" s="1454"/>
      <c r="H566" s="1454"/>
      <c r="I566" s="1454"/>
      <c r="J566" s="1454"/>
      <c r="K566" s="1454"/>
      <c r="L566" s="1454"/>
      <c r="M566" s="1454"/>
      <c r="N566" s="1454"/>
      <c r="O566" s="1454"/>
      <c r="P566" s="1454"/>
      <c r="Q566" s="1454"/>
      <c r="R566" s="1454"/>
      <c r="S566" s="1454"/>
      <c r="T566" s="1454"/>
      <c r="U566" s="1454"/>
      <c r="V566" s="1454"/>
      <c r="W566" s="1454"/>
      <c r="X566" s="1454"/>
      <c r="Y566" s="1454"/>
      <c r="Z566" s="1454"/>
      <c r="AA566" s="1454"/>
      <c r="AB566" s="1454"/>
      <c r="AC566" s="1398"/>
      <c r="AD566" s="1398"/>
      <c r="AE566" s="1398"/>
      <c r="AF566" s="1398"/>
      <c r="AG566" s="1398"/>
      <c r="AH566" s="1398"/>
      <c r="AI566" s="1398"/>
      <c r="AJ566" s="1398"/>
      <c r="AK566" s="1398"/>
      <c r="AL566" s="1398"/>
      <c r="AM566" s="1398"/>
      <c r="AN566" s="1398"/>
      <c r="AO566" s="1398"/>
      <c r="AP566" s="1398"/>
      <c r="AQ566" s="1398"/>
      <c r="AR566" s="1236"/>
      <c r="AS566" s="1310"/>
      <c r="AT566" s="1398"/>
      <c r="AU566" s="1454"/>
      <c r="AV566" s="1454"/>
      <c r="AW566" s="1454"/>
      <c r="AX566" s="1454"/>
      <c r="AY566" s="1454"/>
      <c r="AZ566" s="1454"/>
      <c r="BA566" s="1454"/>
      <c r="BB566" s="1454"/>
      <c r="BC566" s="1454"/>
      <c r="BD566" s="1454"/>
      <c r="BE566" s="1454"/>
      <c r="BF566" s="23"/>
      <c r="BG566" s="23"/>
      <c r="BH566" s="23"/>
      <c r="BI566" s="23"/>
      <c r="BJ566" s="23"/>
      <c r="BK566" s="23"/>
      <c r="BL566" s="23"/>
      <c r="BM566" s="23"/>
      <c r="BN566" s="23"/>
      <c r="BO566" s="38"/>
      <c r="BP566" s="38"/>
      <c r="BQ566" s="38"/>
      <c r="BR566" s="38"/>
      <c r="BS566" s="38"/>
      <c r="BT566" s="38"/>
      <c r="BU566" s="38"/>
      <c r="BV566" s="38"/>
    </row>
    <row r="567" spans="1:74" s="72" customFormat="1" x14ac:dyDescent="0.2">
      <c r="A567" s="831"/>
      <c r="B567" s="382" t="s">
        <v>966</v>
      </c>
      <c r="C567" s="15"/>
      <c r="D567" s="1243"/>
      <c r="E567" s="1243"/>
      <c r="F567" s="1243"/>
      <c r="G567" s="1243"/>
      <c r="H567" s="1243"/>
      <c r="I567" s="1243"/>
      <c r="J567" s="1243"/>
      <c r="K567" s="1243"/>
      <c r="L567" s="1243"/>
      <c r="M567" s="1243"/>
      <c r="N567" s="1243"/>
      <c r="O567" s="1243"/>
      <c r="P567" s="1243"/>
      <c r="Q567" s="1243"/>
      <c r="R567" s="1243"/>
      <c r="S567" s="1243"/>
      <c r="T567" s="1243"/>
      <c r="U567" s="1243"/>
      <c r="V567" s="1243"/>
      <c r="W567" s="1243"/>
      <c r="X567" s="1243"/>
      <c r="Y567" s="1243"/>
      <c r="Z567" s="1243"/>
      <c r="AA567" s="1243"/>
      <c r="AB567" s="1243"/>
      <c r="AC567" s="1243"/>
      <c r="AD567" s="1243"/>
      <c r="AE567" s="1243"/>
      <c r="AF567" s="1243"/>
      <c r="AG567" s="1243"/>
      <c r="AH567" s="1243"/>
      <c r="AI567" s="1243"/>
      <c r="AJ567" s="1243"/>
      <c r="AK567" s="1243"/>
      <c r="AL567" s="1243"/>
      <c r="AM567" s="1243"/>
      <c r="AN567" s="1243"/>
      <c r="AO567" s="1243"/>
      <c r="AP567" s="1243"/>
      <c r="AQ567" s="1243"/>
      <c r="AR567" s="1236"/>
      <c r="AS567" s="1308"/>
      <c r="AT567" s="1250"/>
      <c r="AU567" s="1243"/>
      <c r="AV567" s="1243"/>
      <c r="AW567" s="1243"/>
      <c r="AX567" s="1243"/>
      <c r="AY567" s="1243"/>
      <c r="AZ567" s="1243"/>
      <c r="BA567" s="1243"/>
      <c r="BB567" s="1243"/>
      <c r="BC567" s="1243"/>
      <c r="BD567" s="1243"/>
      <c r="BE567" s="1243"/>
      <c r="BF567" s="23"/>
      <c r="BG567" s="23"/>
      <c r="BH567" s="23"/>
      <c r="BI567" s="23"/>
      <c r="BJ567" s="23"/>
      <c r="BK567" s="23"/>
      <c r="BL567" s="23"/>
      <c r="BM567" s="23"/>
      <c r="BN567" s="23"/>
      <c r="BO567" s="38"/>
      <c r="BP567" s="38"/>
      <c r="BQ567" s="38"/>
      <c r="BR567" s="38"/>
      <c r="BS567" s="38"/>
      <c r="BT567" s="38"/>
      <c r="BU567" s="38"/>
      <c r="BV567" s="38"/>
    </row>
    <row r="568" spans="1:74" s="72" customFormat="1" x14ac:dyDescent="0.2">
      <c r="A568" s="831"/>
      <c r="B568" s="382" t="s">
        <v>967</v>
      </c>
      <c r="C568" s="1217"/>
      <c r="D568" s="1243"/>
      <c r="E568" s="1242"/>
      <c r="F568" s="1242"/>
      <c r="G568" s="1242"/>
      <c r="H568" s="1242"/>
      <c r="I568" s="1242"/>
      <c r="J568" s="1242"/>
      <c r="K568" s="1242"/>
      <c r="L568" s="1242"/>
      <c r="M568" s="1242"/>
      <c r="N568" s="1242"/>
      <c r="O568" s="1242"/>
      <c r="P568" s="1242"/>
      <c r="Q568" s="1242"/>
      <c r="R568" s="1242"/>
      <c r="S568" s="1242"/>
      <c r="T568" s="1242"/>
      <c r="U568" s="1242"/>
      <c r="V568" s="1242"/>
      <c r="W568" s="1242"/>
      <c r="X568" s="1242"/>
      <c r="Y568" s="1242"/>
      <c r="Z568" s="1242"/>
      <c r="AA568" s="1242"/>
      <c r="AB568" s="1242"/>
      <c r="AC568" s="1242"/>
      <c r="AD568" s="1242"/>
      <c r="AE568" s="1242"/>
      <c r="AF568" s="1242"/>
      <c r="AG568" s="1242"/>
      <c r="AH568" s="1242"/>
      <c r="AI568" s="1242"/>
      <c r="AJ568" s="1242"/>
      <c r="AK568" s="1242"/>
      <c r="AL568" s="1242"/>
      <c r="AM568" s="1242"/>
      <c r="AN568" s="1242"/>
      <c r="AO568" s="1242"/>
      <c r="AP568" s="1242"/>
      <c r="AQ568" s="1242"/>
      <c r="AR568" s="1236"/>
      <c r="AS568" s="1308"/>
      <c r="AT568" s="407"/>
      <c r="AU568" s="1236"/>
      <c r="AV568" s="1242"/>
      <c r="AW568" s="1242"/>
      <c r="AX568" s="1242"/>
      <c r="AY568" s="1242"/>
      <c r="AZ568" s="1242"/>
      <c r="BA568" s="1242"/>
      <c r="BB568" s="1242"/>
      <c r="BC568" s="1242"/>
      <c r="BD568" s="1242"/>
      <c r="BE568" s="1242"/>
    </row>
    <row r="569" spans="1:74" s="72" customFormat="1" x14ac:dyDescent="0.2">
      <c r="A569" s="831"/>
      <c r="B569" s="382"/>
      <c r="C569" s="1217"/>
      <c r="D569" s="1242"/>
      <c r="E569" s="1242"/>
      <c r="F569" s="1242"/>
      <c r="G569" s="1242"/>
      <c r="H569" s="1242"/>
      <c r="I569" s="1242"/>
      <c r="J569" s="1242"/>
      <c r="K569" s="1242"/>
      <c r="L569" s="1242"/>
      <c r="M569" s="1242"/>
      <c r="N569" s="1242"/>
      <c r="O569" s="1242"/>
      <c r="P569" s="1242"/>
      <c r="Q569" s="1242"/>
      <c r="R569" s="1242"/>
      <c r="S569" s="1242"/>
      <c r="T569" s="1242"/>
      <c r="U569" s="1242"/>
      <c r="V569" s="1242"/>
      <c r="W569" s="1242"/>
      <c r="X569" s="407"/>
      <c r="Y569" s="407"/>
      <c r="Z569" s="407"/>
      <c r="AA569" s="407"/>
      <c r="AB569" s="407"/>
      <c r="AC569" s="407"/>
      <c r="AD569" s="407"/>
      <c r="AE569" s="407"/>
      <c r="AF569" s="407"/>
      <c r="AG569" s="407"/>
      <c r="AH569" s="407"/>
      <c r="AI569" s="407"/>
      <c r="AJ569" s="407"/>
      <c r="AK569" s="407"/>
      <c r="AL569" s="407"/>
      <c r="AM569" s="407"/>
      <c r="AN569" s="407"/>
      <c r="AO569" s="407"/>
      <c r="AP569" s="407"/>
      <c r="AQ569" s="407"/>
      <c r="AR569" s="1236"/>
      <c r="AS569" s="1308"/>
      <c r="AT569" s="407"/>
      <c r="AU569" s="1236"/>
      <c r="AV569" s="1236"/>
      <c r="AW569" s="1236"/>
      <c r="AX569" s="1236"/>
      <c r="AY569" s="1236"/>
      <c r="AZ569" s="1236"/>
      <c r="BA569" s="1236"/>
      <c r="BB569" s="1236"/>
      <c r="BC569" s="1236"/>
      <c r="BD569" s="1236"/>
      <c r="BE569" s="1236"/>
    </row>
    <row r="570" spans="1:74" s="72" customFormat="1" x14ac:dyDescent="0.2">
      <c r="A570" s="831"/>
      <c r="B570" s="382" t="s">
        <v>968</v>
      </c>
      <c r="C570" s="1217"/>
      <c r="D570" s="1243"/>
      <c r="E570" s="1243"/>
      <c r="F570" s="1243"/>
      <c r="G570" s="1243"/>
      <c r="H570" s="1242"/>
      <c r="I570" s="1242"/>
      <c r="J570" s="1242"/>
      <c r="K570" s="1242"/>
      <c r="L570" s="1242"/>
      <c r="M570" s="1242"/>
      <c r="N570" s="1242"/>
      <c r="O570" s="1242"/>
      <c r="P570" s="1242"/>
      <c r="Q570" s="1242"/>
      <c r="R570" s="1242"/>
      <c r="S570" s="1242"/>
      <c r="T570" s="1242"/>
      <c r="U570" s="1242"/>
      <c r="V570" s="1242"/>
      <c r="W570" s="1242"/>
      <c r="X570" s="1242"/>
      <c r="Y570" s="1242"/>
      <c r="Z570" s="1242"/>
      <c r="AA570" s="1242"/>
      <c r="AB570" s="1242"/>
      <c r="AC570" s="1242"/>
      <c r="AD570" s="1242"/>
      <c r="AE570" s="1242"/>
      <c r="AF570" s="1242"/>
      <c r="AG570" s="1242"/>
      <c r="AH570" s="1242"/>
      <c r="AI570" s="1242"/>
      <c r="AJ570" s="1242"/>
      <c r="AK570" s="1242"/>
      <c r="AL570" s="1242"/>
      <c r="AM570" s="1242"/>
      <c r="AN570" s="1242"/>
      <c r="AO570" s="1242"/>
      <c r="AP570" s="1242"/>
      <c r="AQ570" s="1242"/>
      <c r="AR570" s="1236"/>
      <c r="AS570" s="1308"/>
      <c r="AT570" s="407"/>
      <c r="AU570" s="1243"/>
      <c r="AV570" s="1243"/>
      <c r="AW570" s="1243"/>
      <c r="AX570" s="1243"/>
      <c r="AY570" s="1243"/>
      <c r="AZ570" s="1243"/>
      <c r="BA570" s="1243"/>
      <c r="BB570" s="1243"/>
      <c r="BC570" s="1243"/>
      <c r="BD570" s="1243"/>
      <c r="BE570" s="1243"/>
    </row>
    <row r="571" spans="1:74" s="72" customFormat="1" x14ac:dyDescent="0.2">
      <c r="A571" s="831"/>
      <c r="B571" s="382" t="s">
        <v>969</v>
      </c>
      <c r="C571" s="1217"/>
      <c r="D571" s="1243"/>
      <c r="E571" s="1243"/>
      <c r="F571" s="1243"/>
      <c r="G571" s="1243"/>
      <c r="H571" s="1242"/>
      <c r="I571" s="1242"/>
      <c r="J571" s="1242"/>
      <c r="K571" s="1242"/>
      <c r="L571" s="1242"/>
      <c r="M571" s="1242"/>
      <c r="N571" s="1242"/>
      <c r="O571" s="1242"/>
      <c r="P571" s="1242"/>
      <c r="Q571" s="1242"/>
      <c r="R571" s="1242"/>
      <c r="S571" s="1242"/>
      <c r="T571" s="1242"/>
      <c r="U571" s="1242"/>
      <c r="V571" s="1242"/>
      <c r="W571" s="1242"/>
      <c r="X571" s="1242"/>
      <c r="Y571" s="1242"/>
      <c r="Z571" s="1242"/>
      <c r="AA571" s="1242"/>
      <c r="AB571" s="1242"/>
      <c r="AC571" s="1242"/>
      <c r="AD571" s="1242"/>
      <c r="AE571" s="1242"/>
      <c r="AF571" s="1242"/>
      <c r="AG571" s="1242"/>
      <c r="AH571" s="1242"/>
      <c r="AI571" s="1242"/>
      <c r="AJ571" s="1242"/>
      <c r="AK571" s="1242"/>
      <c r="AL571" s="1242"/>
      <c r="AM571" s="1242"/>
      <c r="AN571" s="1242"/>
      <c r="AO571" s="1242"/>
      <c r="AP571" s="1242"/>
      <c r="AQ571" s="1242"/>
      <c r="AR571" s="1236"/>
      <c r="AS571" s="1308"/>
      <c r="AT571" s="407"/>
      <c r="AU571" s="1236"/>
      <c r="AV571" s="1242"/>
      <c r="AW571" s="1242"/>
      <c r="AX571" s="1242"/>
      <c r="AY571" s="1242"/>
      <c r="AZ571" s="1242"/>
      <c r="BA571" s="1242"/>
      <c r="BB571" s="1242"/>
      <c r="BC571" s="1242"/>
      <c r="BD571" s="1242"/>
      <c r="BE571" s="1242"/>
    </row>
    <row r="572" spans="1:74" s="72" customFormat="1" x14ac:dyDescent="0.2">
      <c r="A572" s="831"/>
      <c r="B572" s="364"/>
      <c r="C572" s="1217"/>
      <c r="D572" s="1242"/>
      <c r="E572" s="1242"/>
      <c r="F572" s="1242"/>
      <c r="G572" s="1242"/>
      <c r="H572" s="1242"/>
      <c r="I572" s="1242"/>
      <c r="J572" s="1242"/>
      <c r="K572" s="1242"/>
      <c r="L572" s="1242"/>
      <c r="M572" s="1242"/>
      <c r="N572" s="1242"/>
      <c r="O572" s="1242"/>
      <c r="P572" s="1242"/>
      <c r="Q572" s="1242"/>
      <c r="R572" s="1242"/>
      <c r="S572" s="1242"/>
      <c r="T572" s="1242"/>
      <c r="U572" s="1242"/>
      <c r="V572" s="1242"/>
      <c r="W572" s="1242"/>
      <c r="X572" s="407"/>
      <c r="Y572" s="407"/>
      <c r="Z572" s="407"/>
      <c r="AA572" s="407"/>
      <c r="AB572" s="407"/>
      <c r="AC572" s="407"/>
      <c r="AD572" s="407"/>
      <c r="AE572" s="407"/>
      <c r="AF572" s="407"/>
      <c r="AG572" s="407"/>
      <c r="AH572" s="407"/>
      <c r="AI572" s="407"/>
      <c r="AJ572" s="407"/>
      <c r="AK572" s="407"/>
      <c r="AL572" s="407"/>
      <c r="AM572" s="407"/>
      <c r="AN572" s="407"/>
      <c r="AO572" s="407"/>
      <c r="AP572" s="407"/>
      <c r="AQ572" s="407"/>
      <c r="AR572" s="1236"/>
      <c r="AS572" s="1277"/>
      <c r="AT572" s="407"/>
      <c r="AU572" s="1236"/>
      <c r="AV572" s="1236"/>
      <c r="AW572" s="1236"/>
      <c r="AX572" s="1236"/>
      <c r="AY572" s="1236"/>
      <c r="AZ572" s="1236"/>
      <c r="BA572" s="1236"/>
      <c r="BB572" s="1236"/>
      <c r="BC572" s="1236"/>
      <c r="BD572" s="1236"/>
      <c r="BE572" s="1236"/>
    </row>
    <row r="573" spans="1:74" x14ac:dyDescent="0.2">
      <c r="B573" s="11" t="s">
        <v>246</v>
      </c>
      <c r="C573" s="11"/>
      <c r="D573" s="1450"/>
      <c r="E573" s="1450"/>
      <c r="F573" s="1450"/>
      <c r="G573" s="1450"/>
      <c r="H573" s="1450"/>
      <c r="I573" s="1450"/>
      <c r="J573" s="1450"/>
      <c r="K573" s="1450"/>
      <c r="L573" s="1450"/>
      <c r="M573" s="1450"/>
      <c r="N573" s="1450"/>
      <c r="O573" s="1450"/>
      <c r="P573" s="1450"/>
      <c r="Q573" s="1450"/>
      <c r="R573" s="1450"/>
      <c r="S573" s="1450"/>
      <c r="T573" s="1450"/>
      <c r="U573" s="1450"/>
      <c r="V573" s="1450"/>
      <c r="W573" s="1450"/>
      <c r="X573" s="1450"/>
      <c r="Y573" s="1398"/>
      <c r="Z573" s="1271"/>
      <c r="AA573" s="1271"/>
      <c r="AB573" s="1271"/>
      <c r="AC573" s="1271"/>
      <c r="AD573" s="1271"/>
      <c r="AE573" s="1271"/>
      <c r="AF573" s="1271"/>
      <c r="AG573" s="1271"/>
      <c r="AH573" s="1271"/>
      <c r="AI573" s="1271"/>
      <c r="AJ573" s="1271"/>
      <c r="AK573" s="1271"/>
      <c r="AL573" s="1271"/>
      <c r="AM573" s="1271"/>
      <c r="AN573" s="1271"/>
      <c r="AO573" s="1271"/>
      <c r="AP573" s="1271"/>
      <c r="AQ573" s="1271"/>
      <c r="AR573" s="1236"/>
      <c r="AS573" s="1399"/>
      <c r="AT573" s="1399"/>
      <c r="AU573" s="1398"/>
      <c r="AV573" s="1398"/>
      <c r="AW573" s="1398"/>
      <c r="AX573" s="1398"/>
      <c r="AY573" s="1398"/>
      <c r="AZ573" s="1398"/>
      <c r="BA573" s="1398"/>
      <c r="BB573" s="1398"/>
      <c r="BC573" s="1398"/>
      <c r="BD573" s="1398"/>
      <c r="BE573" s="1398"/>
    </row>
    <row r="574" spans="1:74" x14ac:dyDescent="0.2">
      <c r="B574" s="319" t="s">
        <v>7</v>
      </c>
      <c r="C574" s="319"/>
      <c r="D574" s="1303"/>
      <c r="E574" s="1303"/>
      <c r="F574" s="1303"/>
      <c r="G574" s="1303"/>
      <c r="H574" s="1303">
        <f>IFERROR(Model!H574/Model!D574-1,"NA")</f>
        <v>2.8515240904621431E-2</v>
      </c>
      <c r="I574" s="1303">
        <f>IFERROR(Model!I574/Model!E574-1,"NA")</f>
        <v>6.9254984260230801E-2</v>
      </c>
      <c r="J574" s="1303">
        <f>IFERROR(Model!J574/Model!F574-1,"NA")</f>
        <v>8.6338797814207613E-2</v>
      </c>
      <c r="K574" s="1303">
        <f>IFERROR(Model!K574/Model!G574-1,"NA")</f>
        <v>-2.7950310559006208E-2</v>
      </c>
      <c r="L574" s="1303">
        <f>IFERROR(Model!L574/Model!H574-1,"NA")</f>
        <v>-2.7724665391969383E-2</v>
      </c>
      <c r="M574" s="1303">
        <f>IFERROR(Model!M574/Model!I574-1,"NA")</f>
        <v>-2.3552502453385693E-2</v>
      </c>
      <c r="N574" s="1303">
        <f>IFERROR(Model!N574/Model!J574-1,"NA")</f>
        <v>2.4144869215291687E-2</v>
      </c>
      <c r="O574" s="1303">
        <f>IFERROR(Model!O574/Model!K574-1,"NA")</f>
        <v>4.1533546325878579E-2</v>
      </c>
      <c r="P574" s="1303">
        <f>IFERROR(Model!P574/Model!L574-1,"NA")</f>
        <v>-1.8682399213372669E-2</v>
      </c>
      <c r="Q574" s="1303">
        <f>IFERROR(Model!Q574/Model!M574-1,"NA")</f>
        <v>-4.020100502512558E-3</v>
      </c>
      <c r="R574" s="1303">
        <f>IFERROR(Model!R574/Model!N574-1,"NA")</f>
        <v>-5.7956777996070685E-2</v>
      </c>
      <c r="S574" s="1303">
        <f>IFERROR(Model!S574/Model!O574-1,"NA")</f>
        <v>-5.2147239263803713E-2</v>
      </c>
      <c r="T574" s="1303">
        <f>IFERROR(Model!T574/Model!P574-1,"NA")</f>
        <v>6.0120240480960874E-3</v>
      </c>
      <c r="U574" s="1303">
        <f>IFERROR(Model!U574/Model!Q574-1,"NA")</f>
        <v>-3.5317860746720497E-2</v>
      </c>
      <c r="V574" s="1303">
        <f>IFERROR(Model!V574/Model!R574-1,"NA")</f>
        <v>-3.1282586027111536E-2</v>
      </c>
      <c r="W574" s="1303">
        <f>IFERROR(Model!W574/Model!S574-1,"NA")</f>
        <v>4.5307443365695699E-2</v>
      </c>
      <c r="X574" s="1303">
        <f>IFERROR(Model!X574/Model!T574-1,"NA")</f>
        <v>1.9920318725099584E-2</v>
      </c>
      <c r="Y574" s="1303">
        <f>IFERROR(Model!Y574/Model!U574-1,"NA")</f>
        <v>0.15690376569037667</v>
      </c>
      <c r="Z574" s="1303">
        <f>IFERROR(Model!Z574/Model!V574-1,"NA")</f>
        <v>0.18406889128094717</v>
      </c>
      <c r="AA574" s="1303">
        <f>IFERROR(Model!AA574/Model!W574-1,"NA")</f>
        <v>0.12280701754385959</v>
      </c>
      <c r="AB574" s="1303">
        <f>IFERROR(Model!AB574/Model!X574-1,"NA")</f>
        <v>0.1845703125</v>
      </c>
      <c r="AC574" s="1305" t="str">
        <f>IFERROR(Model!AC574/Model!Y574-1,"NA")</f>
        <v>NA</v>
      </c>
      <c r="AD574" s="1305" t="str">
        <f>IFERROR(Model!AD574/Model!Z574-1,"NA")</f>
        <v>NA</v>
      </c>
      <c r="AE574" s="1305" t="str">
        <f>IFERROR(Model!AE574/Model!AA574-1,"NA")</f>
        <v>NA</v>
      </c>
      <c r="AF574" s="1305" t="str">
        <f>IFERROR(Model!AF574/Model!AB574-1,"NA")</f>
        <v>NA</v>
      </c>
      <c r="AG574" s="1305" t="str">
        <f>IFERROR(Model!AG574/Model!AC574-1,"NA")</f>
        <v>NA</v>
      </c>
      <c r="AH574" s="1305" t="str">
        <f>IFERROR(Model!AH574/Model!AD574-1,"NA")</f>
        <v>NA</v>
      </c>
      <c r="AI574" s="1305" t="str">
        <f>IFERROR(Model!AI574/Model!AE574-1,"NA")</f>
        <v>NA</v>
      </c>
      <c r="AJ574" s="1305"/>
      <c r="AK574" s="1305"/>
      <c r="AL574" s="1305"/>
      <c r="AM574" s="1305"/>
      <c r="AN574" s="1305"/>
      <c r="AO574" s="1305"/>
      <c r="AP574" s="1305"/>
      <c r="AQ574" s="1305"/>
      <c r="AR574" s="1236"/>
      <c r="AS574" s="1248"/>
      <c r="AT574" s="1248"/>
      <c r="AU574" s="1236"/>
      <c r="AV574" s="1236">
        <f>IFERROR(Model!AV574/Model!AU574-1,"NA")</f>
        <v>3.8171903401713836E-2</v>
      </c>
      <c r="AW574" s="1236">
        <f>IFERROR(Model!AW574/Model!AV574-1,"NA")</f>
        <v>2.5012506253125899E-3</v>
      </c>
      <c r="AX574" s="1236">
        <f>IFERROR(Model!AX574/Model!AW574-1,"NA")</f>
        <v>-3.3183632734530955E-2</v>
      </c>
      <c r="AY574" s="1236">
        <f>IFERROR(Model!AY574/Model!AX574-1,"NA")</f>
        <v>-4.3870967741935774E-3</v>
      </c>
      <c r="AZ574" s="1236" t="str">
        <f>IFERROR(Model!AZ574/Model!AY574-1,"NA")</f>
        <v>NA</v>
      </c>
      <c r="BA574" s="1236" t="str">
        <f>IFERROR(Model!BA574/Model!AZ574-1,"NA")</f>
        <v>NA</v>
      </c>
      <c r="BB574" s="1236" t="str">
        <f>IFERROR(Model!BB574/Model!BA574-1,"NA")</f>
        <v>NA</v>
      </c>
      <c r="BC574" s="1236" t="str">
        <f>IFERROR(Model!BC574/Model!BB574-1,"NA")</f>
        <v>NA</v>
      </c>
      <c r="BD574" s="1236" t="str">
        <f>IFERROR(Model!BD574/Model!BC574-1,"NA")</f>
        <v>NA</v>
      </c>
      <c r="BE574" s="1236" t="str">
        <f>IFERROR(Model!BE574/Model!BD574-1,"NA")</f>
        <v>NA</v>
      </c>
    </row>
    <row r="575" spans="1:74" x14ac:dyDescent="0.2">
      <c r="B575" s="319" t="s">
        <v>8</v>
      </c>
      <c r="C575" s="319"/>
      <c r="D575" s="1303"/>
      <c r="E575" s="1303"/>
      <c r="F575" s="1303"/>
      <c r="G575" s="1303"/>
      <c r="H575" s="1303">
        <f>IFERROR(Model!H575/Model!D575-1,"NA")</f>
        <v>-5.8997050147492347E-3</v>
      </c>
      <c r="I575" s="1303">
        <f>IFERROR(Model!I575/Model!E575-1,"NA")</f>
        <v>-6.3623789764868599E-2</v>
      </c>
      <c r="J575" s="1303">
        <f>IFERROR(Model!J575/Model!F575-1,"NA")</f>
        <v>-4.4961240310077533E-2</v>
      </c>
      <c r="K575" s="1303">
        <f>IFERROR(Model!K575/Model!G575-1,"NA")</f>
        <v>-6.2968515742128917E-2</v>
      </c>
      <c r="L575" s="1303">
        <f>IFERROR(Model!L575/Model!H575-1,"NA")</f>
        <v>-6.6765578635014866E-2</v>
      </c>
      <c r="M575" s="1303">
        <f>IFERROR(Model!M575/Model!I575-1,"NA")</f>
        <v>-3.2496307237813937E-2</v>
      </c>
      <c r="N575" s="1303">
        <f>IFERROR(Model!N575/Model!J575-1,"NA")</f>
        <v>2.4350649350649345E-2</v>
      </c>
      <c r="O575" s="1303">
        <f>IFERROR(Model!O575/Model!K575-1,"NA")</f>
        <v>-3.1999999999999806E-3</v>
      </c>
      <c r="P575" s="1303">
        <f>IFERROR(Model!P575/Model!L575-1,"NA")</f>
        <v>-2.5437201907790197E-2</v>
      </c>
      <c r="Q575" s="1303">
        <f>IFERROR(Model!Q575/Model!M575-1,"NA")</f>
        <v>1.2213740458015376E-2</v>
      </c>
      <c r="R575" s="1303">
        <f>IFERROR(Model!R575/Model!N575-1,"NA")</f>
        <v>-5.8637083993660855E-2</v>
      </c>
      <c r="S575" s="1303">
        <f>IFERROR(Model!S575/Model!O575-1,"NA")</f>
        <v>-8.0256821829855496E-2</v>
      </c>
      <c r="T575" s="1303">
        <f>IFERROR(Model!T575/Model!P575-1,"NA")</f>
        <v>-2.610114192495927E-2</v>
      </c>
      <c r="U575" s="1303">
        <f>IFERROR(Model!U575/Model!Q575-1,"NA")</f>
        <v>-3.7707390648567096E-2</v>
      </c>
      <c r="V575" s="1303">
        <f>IFERROR(Model!V575/Model!R575-1,"NA")</f>
        <v>2.6936026936027035E-2</v>
      </c>
      <c r="W575" s="1303">
        <f>IFERROR(Model!W575/Model!S575-1,"NA")</f>
        <v>3.3158813263525211E-2</v>
      </c>
      <c r="X575" s="1303">
        <f>IFERROR(Model!X575/Model!T575-1,"NA")</f>
        <v>6.365159128978215E-2</v>
      </c>
      <c r="Y575" s="1303">
        <f>IFERROR(Model!Y575/Model!U575-1,"NA")</f>
        <v>5.6426332288401326E-2</v>
      </c>
      <c r="Z575" s="1303">
        <f>IFERROR(Model!Z575/Model!V575-1,"NA")</f>
        <v>0.12786885245901636</v>
      </c>
      <c r="AA575" s="1303">
        <f>IFERROR(Model!AA575/Model!W575-1,"NA")</f>
        <v>0.13344594594594605</v>
      </c>
      <c r="AB575" s="1303">
        <f>IFERROR(Model!AB575/Model!X575-1,"NA")</f>
        <v>9.2913385826771666E-2</v>
      </c>
      <c r="AC575" s="1305" t="str">
        <f>IFERROR(Model!AC575/Model!Y575-1,"NA")</f>
        <v>NA</v>
      </c>
      <c r="AD575" s="1305" t="str">
        <f>IFERROR(Model!AD575/Model!Z575-1,"NA")</f>
        <v>NA</v>
      </c>
      <c r="AE575" s="1305" t="str">
        <f>IFERROR(Model!AE575/Model!AA575-1,"NA")</f>
        <v>NA</v>
      </c>
      <c r="AF575" s="1305" t="str">
        <f>IFERROR(Model!AF575/Model!AB575-1,"NA")</f>
        <v>NA</v>
      </c>
      <c r="AG575" s="1305" t="str">
        <f>IFERROR(Model!AG575/Model!AC575-1,"NA")</f>
        <v>NA</v>
      </c>
      <c r="AH575" s="1305" t="str">
        <f>IFERROR(Model!AH575/Model!AD575-1,"NA")</f>
        <v>NA</v>
      </c>
      <c r="AI575" s="1305" t="str">
        <f>IFERROR(Model!AI575/Model!AE575-1,"NA")</f>
        <v>NA</v>
      </c>
      <c r="AJ575" s="1305"/>
      <c r="AK575" s="1305"/>
      <c r="AL575" s="1305"/>
      <c r="AM575" s="1305"/>
      <c r="AN575" s="1305"/>
      <c r="AO575" s="1305"/>
      <c r="AP575" s="1305"/>
      <c r="AQ575" s="1305"/>
      <c r="AR575" s="1236"/>
      <c r="AS575" s="1248"/>
      <c r="AT575" s="1248"/>
      <c r="AU575" s="1236"/>
      <c r="AV575" s="1236">
        <f>IFERROR(Model!AV575/Model!AU575-1,"NA")</f>
        <v>-4.4600073719130107E-2</v>
      </c>
      <c r="AW575" s="1236">
        <f>IFERROR(Model!AW575/Model!AV575-1,"NA")</f>
        <v>-2.083333333333337E-2</v>
      </c>
      <c r="AX575" s="1236">
        <f>IFERROR(Model!AX575/Model!AW575-1,"NA")</f>
        <v>-3.743104806934594E-2</v>
      </c>
      <c r="AY575" s="1236">
        <f>IFERROR(Model!AY575/Model!AX575-1,"NA")</f>
        <v>-2.4559967253376946E-3</v>
      </c>
      <c r="AZ575" s="1236" t="str">
        <f>IFERROR(Model!AZ575/Model!AY575-1,"NA")</f>
        <v>NA</v>
      </c>
      <c r="BA575" s="1236" t="str">
        <f>IFERROR(Model!BA575/Model!AZ575-1,"NA")</f>
        <v>NA</v>
      </c>
      <c r="BB575" s="1236" t="str">
        <f>IFERROR(Model!BB575/Model!BA575-1,"NA")</f>
        <v>NA</v>
      </c>
      <c r="BC575" s="1236" t="str">
        <f>IFERROR(Model!BC575/Model!BB575-1,"NA")</f>
        <v>NA</v>
      </c>
      <c r="BD575" s="1236" t="str">
        <f>IFERROR(Model!BD575/Model!BC575-1,"NA")</f>
        <v>NA</v>
      </c>
      <c r="BE575" s="1236" t="str">
        <f>IFERROR(Model!BE575/Model!BD575-1,"NA")</f>
        <v>NA</v>
      </c>
    </row>
    <row r="576" spans="1:74" x14ac:dyDescent="0.2">
      <c r="B576" s="319" t="s">
        <v>65</v>
      </c>
      <c r="C576" s="319"/>
      <c r="D576" s="1303"/>
      <c r="E576" s="1303"/>
      <c r="F576" s="1303"/>
      <c r="G576" s="1303"/>
      <c r="H576" s="1303">
        <f>IFERROR(Model!H576/Model!D576-1,"NA")</f>
        <v>0.33785450061652278</v>
      </c>
      <c r="I576" s="1303">
        <f>IFERROR(Model!I576/Model!E576-1,"NA")</f>
        <v>0.23959646910466592</v>
      </c>
      <c r="J576" s="1303">
        <f>IFERROR(Model!J576/Model!F576-1,"NA")</f>
        <v>-0.15800000000000003</v>
      </c>
      <c r="K576" s="1303">
        <f>IFERROR(Model!K576/Model!G576-1,"NA")</f>
        <v>-6.1143984220907277E-2</v>
      </c>
      <c r="L576" s="1303">
        <f>IFERROR(Model!L576/Model!H576-1,"NA")</f>
        <v>-0.11797235023041475</v>
      </c>
      <c r="M576" s="1303">
        <f>IFERROR(Model!M576/Model!I576-1,"NA")</f>
        <v>0.2787385554425228</v>
      </c>
      <c r="N576" s="1303">
        <f>IFERROR(Model!N576/Model!J576-1,"NA")</f>
        <v>0.24346793349168649</v>
      </c>
      <c r="O576" s="1303">
        <f>IFERROR(Model!O576/Model!K576-1,"NA")</f>
        <v>5.8823529411764719E-2</v>
      </c>
      <c r="P576" s="1303">
        <f>IFERROR(Model!P576/Model!L576-1,"NA")</f>
        <v>0.1849529780564263</v>
      </c>
      <c r="Q576" s="1303">
        <f>IFERROR(Model!Q576/Model!M576-1,"NA")</f>
        <v>-0.10898965791567228</v>
      </c>
      <c r="R576" s="1303">
        <f>IFERROR(Model!R576/Model!N576-1,"NA")</f>
        <v>-0.20916905444126077</v>
      </c>
      <c r="S576" s="1303">
        <f>IFERROR(Model!S576/Model!O576-1,"NA")</f>
        <v>1.9841269841269771E-2</v>
      </c>
      <c r="T576" s="1303">
        <f>IFERROR(Model!T576/Model!P576-1,"NA")</f>
        <v>-0.34744268077601415</v>
      </c>
      <c r="U576" s="1303">
        <f>IFERROR(Model!U576/Model!Q576-1,"NA")</f>
        <v>-8.1250000000000044E-2</v>
      </c>
      <c r="V576" s="1303">
        <f>IFERROR(Model!V576/Model!R576-1,"NA")</f>
        <v>0.10748792270531404</v>
      </c>
      <c r="W576" s="1303">
        <f>IFERROR(Model!W576/Model!S576-1,"NA")</f>
        <v>-5.7392996108949434E-2</v>
      </c>
      <c r="X576" s="1303">
        <f>IFERROR(Model!X576/Model!T576-1,"NA")</f>
        <v>0.5</v>
      </c>
      <c r="Y576" s="1303">
        <f>IFERROR(Model!Y576/Model!U576-1,"NA")</f>
        <v>0.20796890184645278</v>
      </c>
      <c r="Z576" s="1303">
        <f>IFERROR(Model!Z576/Model!V576-1,"NA")</f>
        <v>0.26826608505997829</v>
      </c>
      <c r="AA576" s="1303">
        <f>IFERROR(Model!AA576/Model!W576-1,"NA")</f>
        <v>0.18163054695562431</v>
      </c>
      <c r="AB576" s="1303">
        <f>IFERROR(Model!AB576/Model!X576-1,"NA")</f>
        <v>-0.11261261261261257</v>
      </c>
      <c r="AC576" s="1305" t="str">
        <f>IFERROR(Model!AC576/Model!Y576-1,"NA")</f>
        <v>NA</v>
      </c>
      <c r="AD576" s="1305" t="str">
        <f>IFERROR(Model!AD576/Model!Z576-1,"NA")</f>
        <v>NA</v>
      </c>
      <c r="AE576" s="1305" t="str">
        <f>IFERROR(Model!AE576/Model!AA576-1,"NA")</f>
        <v>NA</v>
      </c>
      <c r="AF576" s="1305" t="str">
        <f>IFERROR(Model!AF576/Model!AB576-1,"NA")</f>
        <v>NA</v>
      </c>
      <c r="AG576" s="1305" t="str">
        <f>IFERROR(Model!AG576/Model!AC576-1,"NA")</f>
        <v>NA</v>
      </c>
      <c r="AH576" s="1305" t="str">
        <f>IFERROR(Model!AH576/Model!AD576-1,"NA")</f>
        <v>NA</v>
      </c>
      <c r="AI576" s="1305" t="str">
        <f>IFERROR(Model!AI576/Model!AE576-1,"NA")</f>
        <v>NA</v>
      </c>
      <c r="AJ576" s="1305"/>
      <c r="AK576" s="1305"/>
      <c r="AL576" s="1305"/>
      <c r="AM576" s="1305"/>
      <c r="AN576" s="1305"/>
      <c r="AO576" s="1305"/>
      <c r="AP576" s="1305"/>
      <c r="AQ576" s="1305"/>
      <c r="AR576" s="1236"/>
      <c r="AS576" s="1248"/>
      <c r="AT576" s="1248"/>
      <c r="AU576" s="1236"/>
      <c r="AV576" s="1236">
        <f>IFERROR(Model!AV576/Model!AU576-1,"NA")</f>
        <v>6.7440574903261385E-2</v>
      </c>
      <c r="AW576" s="1236">
        <f>IFERROR(Model!AW576/Model!AV576-1,"NA")</f>
        <v>0.10538581046090112</v>
      </c>
      <c r="AX576" s="1236">
        <f>IFERROR(Model!AX576/Model!AW576-1,"NA")</f>
        <v>-3.7245256500351376E-2</v>
      </c>
      <c r="AY576" s="1236">
        <f>IFERROR(Model!AY576/Model!AX576-1,"NA")</f>
        <v>-0.11070559610705599</v>
      </c>
      <c r="AZ576" s="1236" t="str">
        <f>IFERROR(Model!AZ576/Model!AY576-1,"NA")</f>
        <v>NA</v>
      </c>
      <c r="BA576" s="1236" t="str">
        <f>IFERROR(Model!BA576/Model!AZ576-1,"NA")</f>
        <v>NA</v>
      </c>
      <c r="BB576" s="1236" t="str">
        <f>IFERROR(Model!BB576/Model!BA576-1,"NA")</f>
        <v>NA</v>
      </c>
      <c r="BC576" s="1236" t="str">
        <f>IFERROR(Model!BC576/Model!BB576-1,"NA")</f>
        <v>NA</v>
      </c>
      <c r="BD576" s="1236" t="str">
        <f>IFERROR(Model!BD576/Model!BC576-1,"NA")</f>
        <v>NA</v>
      </c>
      <c r="BE576" s="1236" t="str">
        <f>IFERROR(Model!BE576/Model!BD576-1,"NA")</f>
        <v>NA</v>
      </c>
    </row>
    <row r="577" spans="1:64" x14ac:dyDescent="0.2">
      <c r="B577" s="319" t="s">
        <v>9</v>
      </c>
      <c r="C577" s="319"/>
      <c r="D577" s="1303"/>
      <c r="E577" s="1303"/>
      <c r="F577" s="1303"/>
      <c r="G577" s="1303"/>
      <c r="H577" s="1303">
        <f>IFERROR(Model!H577/Model!D577-1,"NA")</f>
        <v>0.24671385237613741</v>
      </c>
      <c r="I577" s="1303">
        <f>IFERROR(Model!I577/Model!E577-1,"NA")</f>
        <v>0.66009517335146151</v>
      </c>
      <c r="J577" s="1303">
        <f>IFERROR(Model!J577/Model!F577-1,"NA")</f>
        <v>0.10478654592496772</v>
      </c>
      <c r="K577" s="1303">
        <f>IFERROR(Model!K577/Model!G577-1,"NA")</f>
        <v>7.1999999999999993</v>
      </c>
      <c r="L577" s="1303">
        <f>IFERROR(Model!L577/Model!H577-1,"NA")</f>
        <v>5.352798053527974E-2</v>
      </c>
      <c r="M577" s="1303">
        <f>IFERROR(Model!M577/Model!I577-1,"NA")</f>
        <v>-0.35626535626535627</v>
      </c>
      <c r="N577" s="1303">
        <f>IFERROR(Model!N577/Model!J577-1,"NA")</f>
        <v>0.63231850117096022</v>
      </c>
      <c r="O577" s="1303">
        <f>IFERROR(Model!O577/Model!K577-1,"NA")</f>
        <v>-0.52654232424677194</v>
      </c>
      <c r="P577" s="1303">
        <f>IFERROR(Model!P577/Model!L577-1,"NA")</f>
        <v>-0.15396458814472669</v>
      </c>
      <c r="Q577" s="1303">
        <f>IFERROR(Model!Q577/Model!M577-1,"NA")</f>
        <v>0.14122137404580148</v>
      </c>
      <c r="R577" s="1303">
        <f>IFERROR(Model!R577/Model!N577-1,"NA")</f>
        <v>-0.13127690100430411</v>
      </c>
      <c r="S577" s="1303">
        <f>IFERROR(Model!S577/Model!O577-1,"NA")</f>
        <v>0.88181818181818183</v>
      </c>
      <c r="T577" s="1303">
        <f>IFERROR(Model!T577/Model!P577-1,"NA")</f>
        <v>-0.28298453139217472</v>
      </c>
      <c r="U577" s="1303">
        <f>IFERROR(Model!U577/Model!Q577-1,"NA")</f>
        <v>6.5774804905239792E-2</v>
      </c>
      <c r="V577" s="1303">
        <f>IFERROR(Model!V577/Model!R577-1,"NA")</f>
        <v>0.70437654830718421</v>
      </c>
      <c r="W577" s="1303">
        <f>IFERROR(Model!W577/Model!S577-1,"NA")</f>
        <v>1.8711755233494363</v>
      </c>
      <c r="X577" s="1303">
        <f>IFERROR(Model!X577/Model!T577-1,"NA")</f>
        <v>0.73286802030456855</v>
      </c>
      <c r="Y577" s="1303">
        <f>IFERROR(Model!Y577/Model!U577-1,"NA")</f>
        <v>0.125</v>
      </c>
      <c r="Z577" s="1303">
        <f>IFERROR(Model!Z577/Model!V577-1,"NA")</f>
        <v>-0.11482558139534882</v>
      </c>
      <c r="AA577" s="1303">
        <f>IFERROR(Model!AA577/Model!W577-1,"NA")</f>
        <v>-0.26920919798093101</v>
      </c>
      <c r="AB577" s="1303">
        <f>IFERROR(Model!AB577/Model!X577-1,"NA")</f>
        <v>5.6023434639326242E-2</v>
      </c>
      <c r="AC577" s="1305" t="str">
        <f>IFERROR(Model!AC577/Model!Y577-1,"NA")</f>
        <v>NA</v>
      </c>
      <c r="AD577" s="1305" t="str">
        <f>IFERROR(Model!AD577/Model!Z577-1,"NA")</f>
        <v>NA</v>
      </c>
      <c r="AE577" s="1305" t="str">
        <f>IFERROR(Model!AE577/Model!AA577-1,"NA")</f>
        <v>NA</v>
      </c>
      <c r="AF577" s="1305" t="str">
        <f>IFERROR(Model!AF577/Model!AB577-1,"NA")</f>
        <v>NA</v>
      </c>
      <c r="AG577" s="1305" t="str">
        <f>IFERROR(Model!AG577/Model!AC577-1,"NA")</f>
        <v>NA</v>
      </c>
      <c r="AH577" s="1305" t="str">
        <f>IFERROR(Model!AH577/Model!AD577-1,"NA")</f>
        <v>NA</v>
      </c>
      <c r="AI577" s="1305" t="str">
        <f>IFERROR(Model!AI577/Model!AE577-1,"NA")</f>
        <v>NA</v>
      </c>
      <c r="AJ577" s="1305"/>
      <c r="AK577" s="1305"/>
      <c r="AL577" s="1305"/>
      <c r="AM577" s="1305"/>
      <c r="AN577" s="1305"/>
      <c r="AO577" s="1305"/>
      <c r="AP577" s="1305"/>
      <c r="AQ577" s="1305"/>
      <c r="AR577" s="1236"/>
      <c r="AS577" s="1248"/>
      <c r="AT577" s="1248"/>
      <c r="AU577" s="1236"/>
      <c r="AV577" s="1236">
        <f>IFERROR(Model!AV577/Model!AU577-1,"NA")</f>
        <v>0.49965172974228</v>
      </c>
      <c r="AW577" s="1236">
        <f>IFERROR(Model!AW577/Model!AV577-1,"NA")</f>
        <v>-8.7474841306703799E-2</v>
      </c>
      <c r="AX577" s="1236">
        <f>IFERROR(Model!AX577/Model!AW577-1,"NA")</f>
        <v>-1.1876484560570111E-2</v>
      </c>
      <c r="AY577" s="1236">
        <f>IFERROR(Model!AY577/Model!AX577-1,"NA")</f>
        <v>0.25944368131868134</v>
      </c>
      <c r="AZ577" s="1236" t="str">
        <f>IFERROR(Model!AZ577/Model!AY577-1,"NA")</f>
        <v>NA</v>
      </c>
      <c r="BA577" s="1236" t="str">
        <f>IFERROR(Model!BA577/Model!AZ577-1,"NA")</f>
        <v>NA</v>
      </c>
      <c r="BB577" s="1236" t="str">
        <f>IFERROR(Model!BB577/Model!BA577-1,"NA")</f>
        <v>NA</v>
      </c>
      <c r="BC577" s="1236" t="str">
        <f>IFERROR(Model!BC577/Model!BB577-1,"NA")</f>
        <v>NA</v>
      </c>
      <c r="BD577" s="1236" t="str">
        <f>IFERROR(Model!BD577/Model!BC577-1,"NA")</f>
        <v>NA</v>
      </c>
      <c r="BE577" s="1236" t="str">
        <f>IFERROR(Model!BE577/Model!BD577-1,"NA")</f>
        <v>NA</v>
      </c>
    </row>
    <row r="578" spans="1:64" x14ac:dyDescent="0.2">
      <c r="B578" s="319" t="s">
        <v>16</v>
      </c>
      <c r="C578" s="319"/>
      <c r="D578" s="1268"/>
      <c r="E578" s="1268"/>
      <c r="F578" s="1268"/>
      <c r="G578" s="1268"/>
      <c r="H578" s="1268">
        <f>IFERROR(Model!H578/Model!D578-1,"NA")</f>
        <v>-2.5524475524475525</v>
      </c>
      <c r="I578" s="1268">
        <f>IFERROR(Model!I578/Model!E578-1,"NA")</f>
        <v>0.13023255813953494</v>
      </c>
      <c r="J578" s="1268">
        <f>IFERROR(Model!J578/Model!F578-1,"NA")</f>
        <v>1.9500000000000002</v>
      </c>
      <c r="K578" s="1268">
        <f>IFERROR(Model!K578/Model!G578-1,"NA")</f>
        <v>-2.1428571428571428</v>
      </c>
      <c r="L578" s="1268">
        <f>IFERROR(Model!L578/Model!H578-1,"NA")</f>
        <v>-0.53378378378378377</v>
      </c>
      <c r="M578" s="1268">
        <f>IFERROR(Model!M578/Model!I578-1,"NA")</f>
        <v>-0.72222222222222221</v>
      </c>
      <c r="N578" s="1268">
        <f>IFERROR(Model!N578/Model!J578-1,"NA")</f>
        <v>0.48022598870056488</v>
      </c>
      <c r="O578" s="1268">
        <f>IFERROR(Model!O578/Model!K578-1,"NA")</f>
        <v>-3.35</v>
      </c>
      <c r="P578" s="1268">
        <f>IFERROR(Model!P578/Model!L578-1,"NA")</f>
        <v>0.24637681159420288</v>
      </c>
      <c r="Q578" s="1268">
        <f>IFERROR(Model!Q578/Model!M578-1,"NA")</f>
        <v>0.44444444444444442</v>
      </c>
      <c r="R578" s="1268">
        <f>IFERROR(Model!R578/Model!N578-1,"NA")</f>
        <v>2.4503816793893129</v>
      </c>
      <c r="S578" s="1268">
        <f>IFERROR(Model!S578/Model!O578-1,"NA")</f>
        <v>-0.70744680851063824</v>
      </c>
      <c r="T578" s="1268">
        <f>IFERROR(Model!T578/Model!P578-1,"NA")</f>
        <v>-1.0271317829457365</v>
      </c>
      <c r="U578" s="1268">
        <f>IFERROR(Model!U578/Model!Q578-1,"NA")</f>
        <v>-0.76410256410256405</v>
      </c>
      <c r="V578" s="1268">
        <f>IFERROR(Model!V578/Model!R578-1,"NA")</f>
        <v>-1.1382743362831858</v>
      </c>
      <c r="W578" s="1268">
        <f>IFERROR(Model!W578/Model!S578-1,"NA")</f>
        <v>-2.2000000000000002</v>
      </c>
      <c r="X578" s="1268">
        <f>IFERROR(Model!X578/Model!T578-1,"NA")</f>
        <v>-1.1428571428571428</v>
      </c>
      <c r="Y578" s="1268">
        <f>IFERROR(Model!Y578/Model!U578-1,"NA")</f>
        <v>4.3478260869565215</v>
      </c>
      <c r="Z578" s="1268">
        <f>IFERROR(Model!Z578/Model!V578-1,"NA")</f>
        <v>-6.6319999999999997</v>
      </c>
      <c r="AA578" s="1268">
        <f>IFERROR(Model!AA578/Model!W578-1,"NA")</f>
        <v>-4.454545454545455</v>
      </c>
      <c r="AB578" s="1268">
        <f>IFERROR(Model!AB578/Model!X578-1,"NA")</f>
        <v>417</v>
      </c>
      <c r="AC578" s="1306" t="str">
        <f>IFERROR(Model!AC578/Model!Y578-1,"NA")</f>
        <v>NA</v>
      </c>
      <c r="AD578" s="1306" t="str">
        <f>IFERROR(Model!AD578/Model!Z578-1,"NA")</f>
        <v>NA</v>
      </c>
      <c r="AE578" s="1306" t="str">
        <f>IFERROR(Model!AE578/Model!AA578-1,"NA")</f>
        <v>NA</v>
      </c>
      <c r="AF578" s="1306" t="str">
        <f>IFERROR(Model!AF578/Model!AB578-1,"NA")</f>
        <v>NA</v>
      </c>
      <c r="AG578" s="1306" t="str">
        <f>IFERROR(Model!AG578/Model!AC578-1,"NA")</f>
        <v>NA</v>
      </c>
      <c r="AH578" s="1306" t="str">
        <f>IFERROR(Model!AH578/Model!AD578-1,"NA")</f>
        <v>NA</v>
      </c>
      <c r="AI578" s="1306" t="str">
        <f>IFERROR(Model!AI578/Model!AE578-1,"NA")</f>
        <v>NA</v>
      </c>
      <c r="AJ578" s="1745"/>
      <c r="AK578" s="1745"/>
      <c r="AL578" s="1745"/>
      <c r="AM578" s="1745"/>
      <c r="AN578" s="1745"/>
      <c r="AO578" s="1745"/>
      <c r="AP578" s="1745"/>
      <c r="AQ578" s="1745"/>
      <c r="AR578" s="1236"/>
      <c r="AS578" s="1248"/>
      <c r="AT578" s="1248"/>
      <c r="AU578" s="1246"/>
      <c r="AV578" s="1246">
        <f>IFERROR(Model!AV578/Model!AU578-1,"NA")</f>
        <v>2.7481751824817517</v>
      </c>
      <c r="AW578" s="1246">
        <f>IFERROR(Model!AW578/Model!AV578-1,"NA")</f>
        <v>-0.22882181110029209</v>
      </c>
      <c r="AX578" s="1246">
        <f>IFERROR(Model!AX578/Model!AW578-1,"NA")</f>
        <v>0.78282828282828287</v>
      </c>
      <c r="AY578" s="1246">
        <f>IFERROR(Model!AY578/Model!AX578-1,"NA")</f>
        <v>-1.1076487252124645</v>
      </c>
      <c r="AZ578" s="1246" t="str">
        <f>IFERROR(Model!AZ578/Model!AY578-1,"NA")</f>
        <v>NA</v>
      </c>
      <c r="BA578" s="1246" t="str">
        <f>IFERROR(Model!BA578/Model!AZ578-1,"NA")</f>
        <v>NA</v>
      </c>
      <c r="BB578" s="1246" t="str">
        <f>IFERROR(Model!BB578/Model!BA578-1,"NA")</f>
        <v>NA</v>
      </c>
      <c r="BC578" s="1246" t="str">
        <f>IFERROR(Model!BC578/Model!BB578-1,"NA")</f>
        <v>NA</v>
      </c>
      <c r="BD578" s="1246" t="str">
        <f>IFERROR(Model!BD578/Model!BC578-1,"NA")</f>
        <v>NA</v>
      </c>
      <c r="BE578" s="1246" t="str">
        <f>IFERROR(Model!BE578/Model!BD578-1,"NA")</f>
        <v>NA</v>
      </c>
    </row>
    <row r="579" spans="1:64" x14ac:dyDescent="0.2">
      <c r="B579" s="554" t="s">
        <v>293</v>
      </c>
      <c r="C579" s="319"/>
      <c r="D579" s="1258"/>
      <c r="E579" s="1258"/>
      <c r="F579" s="1258"/>
      <c r="G579" s="1258"/>
      <c r="H579" s="1258">
        <f>IFERROR(Model!H579/Model!D579-1,"NA")</f>
        <v>0.36136255359695091</v>
      </c>
      <c r="I579" s="1258">
        <f>IFERROR(Model!I579/Model!E579-1,"NA")</f>
        <v>0.28306636155606402</v>
      </c>
      <c r="J579" s="1258">
        <f>IFERROR(Model!J579/Model!F579-1,"NA")</f>
        <v>2.6525198938992078E-2</v>
      </c>
      <c r="K579" s="1258">
        <f>IFERROR(Model!K579/Model!G579-1,"NA")</f>
        <v>0.11812990720913641</v>
      </c>
      <c r="L579" s="1258">
        <f>IFERROR(Model!L579/Model!H579-1,"NA")</f>
        <v>-5.3718285214348183E-2</v>
      </c>
      <c r="M579" s="1258">
        <f>IFERROR(Model!M579/Model!I579-1,"NA")</f>
        <v>-0.17710005350454794</v>
      </c>
      <c r="N579" s="1258">
        <f>IFERROR(Model!N579/Model!J579-1,"NA")</f>
        <v>0.24949755957507902</v>
      </c>
      <c r="O579" s="1258">
        <f>IFERROR(Model!O579/Model!K579-1,"NA")</f>
        <v>-1.9150973507819913E-3</v>
      </c>
      <c r="P579" s="1258">
        <f>IFERROR(Model!P579/Model!L579-1,"NA")</f>
        <v>-3.8276627218934878E-2</v>
      </c>
      <c r="Q579" s="1258">
        <f>IFERROR(Model!Q579/Model!M579-1,"NA")</f>
        <v>3.2293021239705233E-2</v>
      </c>
      <c r="R579" s="1258">
        <f>IFERROR(Model!R579/Model!N579-1,"NA")</f>
        <v>3.3088235294117752E-2</v>
      </c>
      <c r="S579" s="1258">
        <f>IFERROR(Model!S579/Model!O579-1,"NA")</f>
        <v>2.46242404860888E-2</v>
      </c>
      <c r="T579" s="1258">
        <f>IFERROR(Model!T579/Model!P579-1,"NA")</f>
        <v>-0.24822149586617959</v>
      </c>
      <c r="U579" s="1258">
        <f>IFERROR(Model!U579/Model!Q579-1,"NA")</f>
        <v>-3.821121142137307E-2</v>
      </c>
      <c r="V579" s="1258">
        <f>IFERROR(Model!V579/Model!R579-1,"NA")</f>
        <v>-2.246441281138789E-2</v>
      </c>
      <c r="W579" s="1258">
        <f>IFERROR(Model!W579/Model!S579-1,"NA")</f>
        <v>0.3255305867665419</v>
      </c>
      <c r="X579" s="1258">
        <f>IFERROR(Model!X579/Model!T579-1,"NA")</f>
        <v>0.40690537084398981</v>
      </c>
      <c r="Y579" s="1258">
        <f>IFERROR(Model!Y579/Model!U579-1,"NA")</f>
        <v>0.18314778432656631</v>
      </c>
      <c r="Z579" s="1258">
        <f>IFERROR(Model!Z579/Model!V579-1,"NA")</f>
        <v>0.2473265073947668</v>
      </c>
      <c r="AA579" s="1258">
        <f>IFERROR(Model!AA579/Model!W579-1,"NA")</f>
        <v>4.4266541087826683E-2</v>
      </c>
      <c r="AB579" s="1258">
        <f>IFERROR(Model!AB579/Model!X579-1,"NA")</f>
        <v>0.12597709507362298</v>
      </c>
      <c r="AC579" s="1250">
        <f>IFERROR(Model!AC579/Model!Y579-1,"NA")</f>
        <v>0.14337087821721717</v>
      </c>
      <c r="AD579" s="1250">
        <f>IFERROR(Model!AD579/Model!Z579-1,"NA")</f>
        <v>6.2629301129475401E-2</v>
      </c>
      <c r="AE579" s="1250">
        <f>IFERROR(Model!AE579/Model!AA579-1,"NA")</f>
        <v>0.13973352082307167</v>
      </c>
      <c r="AF579" s="1250">
        <f>IFERROR(Model!AF579/Model!AB579-1,"NA")</f>
        <v>6.0797836625818391E-2</v>
      </c>
      <c r="AG579" s="1250">
        <f>IFERROR(Model!AG579/Model!AC579-1,"NA")</f>
        <v>3.4181342267791237E-2</v>
      </c>
      <c r="AH579" s="1250">
        <f>IFERROR(Model!AH579/Model!AD579-1,"NA")</f>
        <v>3.2702991479114374E-3</v>
      </c>
      <c r="AI579" s="1250">
        <f>IFERROR(Model!AI579/Model!AE579-1,"NA")</f>
        <v>-1.7006922825420823E-2</v>
      </c>
      <c r="AJ579" s="1250"/>
      <c r="AK579" s="1250"/>
      <c r="AL579" s="1250"/>
      <c r="AM579" s="1250"/>
      <c r="AN579" s="1250"/>
      <c r="AO579" s="1250"/>
      <c r="AP579" s="1250"/>
      <c r="AQ579" s="1250"/>
      <c r="AR579" s="1236"/>
      <c r="AS579" s="1456"/>
      <c r="AT579" s="1248"/>
      <c r="AU579" s="1236"/>
      <c r="AV579" s="1236">
        <f>IFERROR(Model!AV579/Model!AU579-1,"NA")</f>
        <v>0.21506468874889917</v>
      </c>
      <c r="AW579" s="1236">
        <f>IFERROR(Model!AW579/Model!AV579-1,"NA")</f>
        <v>-2.436169026647339E-2</v>
      </c>
      <c r="AX579" s="1236">
        <f>IFERROR(Model!AX579/Model!AW579-1,"NA")</f>
        <v>9.3137534998000149E-3</v>
      </c>
      <c r="AY579" s="1236">
        <f>IFERROR(Model!AY579/Model!AX579-1,"NA")</f>
        <v>-3.0061141304347783E-2</v>
      </c>
      <c r="AZ579" s="1236">
        <f>IFERROR(Model!AZ579/Model!AY579-1,"NA")</f>
        <v>0.21624934337243906</v>
      </c>
      <c r="BA579" s="1236">
        <f>IFERROR(Model!BA579/Model!AZ579-1,"NA")</f>
        <v>0.11676370830115301</v>
      </c>
      <c r="BB579" s="1236">
        <f>IFERROR(Model!BB579/Model!BA579-1,"NA")</f>
        <v>2.2409377396404473E-2</v>
      </c>
      <c r="BC579" s="1236">
        <f>IFERROR(Model!BC579/Model!BB579-1,"NA")</f>
        <v>3.5870115975314532E-2</v>
      </c>
      <c r="BD579" s="1236">
        <f>IFERROR(Model!BD579/Model!BC579-1,"NA")</f>
        <v>3.6979305361670489E-2</v>
      </c>
      <c r="BE579" s="1236">
        <f>IFERROR(Model!BE579/Model!BD579-1,"NA")</f>
        <v>4.0376181577536752E-2</v>
      </c>
    </row>
    <row r="580" spans="1:64" x14ac:dyDescent="0.2">
      <c r="B580" s="554"/>
      <c r="C580" s="319"/>
      <c r="D580" s="1258"/>
      <c r="E580" s="1258"/>
      <c r="F580" s="1258"/>
      <c r="G580" s="1258"/>
      <c r="H580" s="1258"/>
      <c r="I580" s="1258"/>
      <c r="J580" s="1258"/>
      <c r="K580" s="1258"/>
      <c r="L580" s="1258"/>
      <c r="M580" s="1258"/>
      <c r="N580" s="1258"/>
      <c r="O580" s="1258"/>
      <c r="P580" s="1258"/>
      <c r="Q580" s="1258"/>
      <c r="R580" s="1258"/>
      <c r="S580" s="1258"/>
      <c r="T580" s="1258"/>
      <c r="U580" s="1258"/>
      <c r="V580" s="1258"/>
      <c r="W580" s="1258"/>
      <c r="X580" s="1258"/>
      <c r="Y580" s="1258"/>
      <c r="Z580" s="1258"/>
      <c r="AA580" s="1258"/>
      <c r="AB580" s="1258"/>
      <c r="AC580" s="1236"/>
      <c r="AD580" s="1236"/>
      <c r="AE580" s="1236"/>
      <c r="AF580" s="1236"/>
      <c r="AG580" s="1236"/>
      <c r="AH580" s="1236"/>
      <c r="AI580" s="1236"/>
      <c r="AJ580" s="1236"/>
      <c r="AK580" s="1236"/>
      <c r="AL580" s="1236"/>
      <c r="AM580" s="1236"/>
      <c r="AN580" s="1236"/>
      <c r="AO580" s="1236"/>
      <c r="AP580" s="1236"/>
      <c r="AQ580" s="1236"/>
      <c r="AR580" s="1236"/>
      <c r="AS580" s="1456"/>
      <c r="AT580" s="1248"/>
      <c r="AU580" s="1236"/>
      <c r="AV580" s="1236"/>
      <c r="AW580" s="1236"/>
      <c r="AX580" s="1236"/>
      <c r="AY580" s="1236"/>
      <c r="AZ580" s="1236"/>
      <c r="BA580" s="1236"/>
      <c r="BB580" s="1236"/>
      <c r="BC580" s="1236"/>
      <c r="BD580" s="1236"/>
      <c r="BE580" s="1236"/>
    </row>
    <row r="581" spans="1:64" x14ac:dyDescent="0.2">
      <c r="B581" s="555" t="s">
        <v>292</v>
      </c>
      <c r="C581" s="319"/>
      <c r="D581" s="1457"/>
      <c r="E581" s="1457"/>
      <c r="F581" s="1457"/>
      <c r="G581" s="1457"/>
      <c r="H581" s="1457">
        <f>IFERROR(Model!H581/Model!D581-1,"NA")</f>
        <v>-1.3740458015267132E-2</v>
      </c>
      <c r="I581" s="1457">
        <f>IFERROR(Model!I581/Model!E581-1,"NA")</f>
        <v>2.3094688221708903E-2</v>
      </c>
      <c r="J581" s="1457">
        <f>IFERROR(Model!J581/Model!F581-1,"NA")</f>
        <v>-5.3641732283464583E-2</v>
      </c>
      <c r="K581" s="1457">
        <f>IFERROR(Model!K581/Model!G581-1,"NA")</f>
        <v>-6.7346454825705448E-2</v>
      </c>
      <c r="L581" s="1457">
        <f>IFERROR(Model!L581/Model!H581-1,"NA")</f>
        <v>-4.6439628482972672E-3</v>
      </c>
      <c r="M581" s="1457">
        <f>IFERROR(Model!M581/Model!I581-1,"NA")</f>
        <v>-3.2605969400551826E-2</v>
      </c>
      <c r="N581" s="1457">
        <f>IFERROR(Model!N581/Model!J581-1,"NA")</f>
        <v>5.3042121684867327E-2</v>
      </c>
      <c r="O581" s="1457">
        <f>IFERROR(Model!O581/Model!K581-1,"NA")</f>
        <v>4.1444190185608853E-2</v>
      </c>
      <c r="P581" s="1457">
        <f>IFERROR(Model!P581/Model!L581-1,"NA")</f>
        <v>-2.5142560912389866E-2</v>
      </c>
      <c r="Q581" s="1457">
        <f>IFERROR(Model!Q581/Model!M581-1,"NA")</f>
        <v>3.8631060409644702E-2</v>
      </c>
      <c r="R581" s="1457">
        <f>IFERROR(Model!R581/Model!N581-1,"NA")</f>
        <v>-1.6049382716049387E-2</v>
      </c>
      <c r="S581" s="1457">
        <f>IFERROR(Model!S581/Model!O581-1,"NA")</f>
        <v>-4.39453125E-2</v>
      </c>
      <c r="T581" s="1457">
        <f>IFERROR(Model!T581/Model!P581-1,"NA")</f>
        <v>5.9558628024461546E-2</v>
      </c>
      <c r="U581" s="1457">
        <f>IFERROR(Model!U581/Model!Q581-1,"NA")</f>
        <v>2.546180728906644E-2</v>
      </c>
      <c r="V581" s="1457">
        <f>IFERROR(Model!V581/Model!R581-1,"NA")</f>
        <v>1.9824341279799151E-2</v>
      </c>
      <c r="W581" s="1457">
        <f>IFERROR(Model!W581/Model!S581-1,"NA")</f>
        <v>5.3626149131766887E-3</v>
      </c>
      <c r="X581" s="1457">
        <f>IFERROR(Model!X581/Model!T581-1,"NA")</f>
        <v>-4.1907151819322475E-2</v>
      </c>
      <c r="Y581" s="1457">
        <f>IFERROR(Model!Y581/Model!U581-1,"NA")</f>
        <v>-2.6046738072054487E-2</v>
      </c>
      <c r="Z581" s="1457">
        <f>IFERROR(Model!Z581/Model!V581-1,"NA")</f>
        <v>-2.8543307086614123E-2</v>
      </c>
      <c r="AA581" s="1457">
        <f>IFERROR(Model!AA581/Model!W581-1,"NA")</f>
        <v>-1.7272034544069115E-2</v>
      </c>
      <c r="AB581" s="1457">
        <f>IFERROR(Model!AB581/Model!X581-1,"NA")</f>
        <v>-4.295442640125724E-2</v>
      </c>
      <c r="AC581" s="1306" t="str">
        <f>IFERROR(Model!AC581/Model!Y581-1,"NA")</f>
        <v>NA</v>
      </c>
      <c r="AD581" s="1306" t="str">
        <f>IFERROR(Model!AD581/Model!Z581-1,"NA")</f>
        <v>NA</v>
      </c>
      <c r="AE581" s="1306" t="str">
        <f>IFERROR(Model!AE581/Model!AA581-1,"NA")</f>
        <v>NA</v>
      </c>
      <c r="AF581" s="1306" t="str">
        <f>IFERROR(Model!AF581/Model!AB581-1,"NA")</f>
        <v>NA</v>
      </c>
      <c r="AG581" s="1306" t="str">
        <f>IFERROR(Model!AG581/Model!AC581-1,"NA")</f>
        <v>NA</v>
      </c>
      <c r="AH581" s="1306" t="str">
        <f>IFERROR(Model!AH581/Model!AD581-1,"NA")</f>
        <v>NA</v>
      </c>
      <c r="AI581" s="1306" t="str">
        <f>IFERROR(Model!AI581/Model!AE581-1,"NA")</f>
        <v>NA</v>
      </c>
      <c r="AJ581" s="1745"/>
      <c r="AK581" s="1745"/>
      <c r="AL581" s="1745"/>
      <c r="AM581" s="1745"/>
      <c r="AN581" s="1745"/>
      <c r="AO581" s="1745"/>
      <c r="AP581" s="1745"/>
      <c r="AQ581" s="1745"/>
      <c r="AR581" s="1236"/>
      <c r="AS581" s="1456"/>
      <c r="AT581" s="1248"/>
      <c r="AU581" s="1246"/>
      <c r="AV581" s="1246">
        <f>IFERROR(Model!AV581/Model!AU581-1,"NA")</f>
        <v>-2.8929724360566178E-2</v>
      </c>
      <c r="AW581" s="1246">
        <f>IFERROR(Model!AW581/Model!AV581-1,"NA")</f>
        <v>1.4000767165324168E-2</v>
      </c>
      <c r="AX581" s="1246">
        <f>IFERROR(Model!AX581/Model!AW581-1,"NA")</f>
        <v>-1.2168211335981338E-2</v>
      </c>
      <c r="AY581" s="1246">
        <f>IFERROR(Model!AY581/Model!AX581-1,"NA")</f>
        <v>2.7189175389328524E-2</v>
      </c>
      <c r="AZ581" s="1246" t="str">
        <f>IFERROR(Model!AZ581/Model!AY581-1,"NA")</f>
        <v>NA</v>
      </c>
      <c r="BA581" s="1246" t="str">
        <f>IFERROR(Model!BA581/Model!AZ581-1,"NA")</f>
        <v>NA</v>
      </c>
      <c r="BB581" s="1246" t="str">
        <f>IFERROR(Model!BB581/Model!BA581-1,"NA")</f>
        <v>NA</v>
      </c>
      <c r="BC581" s="1246" t="str">
        <f>IFERROR(Model!BC581/Model!BB581-1,"NA")</f>
        <v>NA</v>
      </c>
      <c r="BD581" s="1246" t="str">
        <f>IFERROR(Model!BD581/Model!BC581-1,"NA")</f>
        <v>NA</v>
      </c>
      <c r="BE581" s="1246" t="str">
        <f>IFERROR(Model!BE581/Model!BD581-1,"NA")</f>
        <v>NA</v>
      </c>
    </row>
    <row r="582" spans="1:64" x14ac:dyDescent="0.2">
      <c r="B582" s="316" t="s">
        <v>545</v>
      </c>
      <c r="C582" s="387"/>
      <c r="D582" s="1293"/>
      <c r="E582" s="1293"/>
      <c r="F582" s="1293"/>
      <c r="G582" s="1293"/>
      <c r="H582" s="1293">
        <f>IFERROR(Model!H582/Model!D582-1,"NA")</f>
        <v>0.17999507874015741</v>
      </c>
      <c r="I582" s="1293">
        <f>IFERROR(Model!I582/Model!E582-1,"NA")</f>
        <v>0.16051772105963469</v>
      </c>
      <c r="J582" s="1293">
        <f>IFERROR(Model!J582/Model!F582-1,"NA")</f>
        <v>-1.7165079790800619E-2</v>
      </c>
      <c r="K582" s="1293">
        <f>IFERROR(Model!K582/Model!G582-1,"NA")</f>
        <v>6.6961105570593205E-3</v>
      </c>
      <c r="L582" s="1293">
        <f>IFERROR(Model!L582/Model!H582-1,"NA")</f>
        <v>-3.3885934730476519E-2</v>
      </c>
      <c r="M582" s="1293">
        <f>IFERROR(Model!M582/Model!I582-1,"NA")</f>
        <v>-0.1170523243693975</v>
      </c>
      <c r="N582" s="1293">
        <f>IFERROR(Model!N582/Model!J582-1,"NA")</f>
        <v>0.14640469368263065</v>
      </c>
      <c r="O582" s="1293">
        <f>IFERROR(Model!O582/Model!K582-1,"NA")</f>
        <v>2.221907727144079E-2</v>
      </c>
      <c r="P582" s="1293">
        <f>IFERROR(Model!P582/Model!L582-1,"NA")</f>
        <v>-3.280811569177644E-2</v>
      </c>
      <c r="Q582" s="1293">
        <f>IFERROR(Model!Q582/Model!M582-1,"NA")</f>
        <v>3.5178845472789488E-2</v>
      </c>
      <c r="R582" s="1293">
        <f>IFERROR(Model!R582/Model!N582-1,"NA")</f>
        <v>9.4025232087597832E-3</v>
      </c>
      <c r="S582" s="1293">
        <f>IFERROR(Model!S582/Model!O582-1,"NA")</f>
        <v>-1.4260002768932578E-2</v>
      </c>
      <c r="T582" s="1293">
        <f>IFERROR(Model!T582/Model!P582-1,"NA")</f>
        <v>-0.11905824592724834</v>
      </c>
      <c r="U582" s="1293">
        <f>IFERROR(Model!U582/Model!Q582-1,"NA")</f>
        <v>-9.1230470977305966E-3</v>
      </c>
      <c r="V582" s="1293">
        <f>IFERROR(Model!V582/Model!R582-1,"NA")</f>
        <v>-2.5940337224383825E-3</v>
      </c>
      <c r="W582" s="1293">
        <f>IFERROR(Model!W582/Model!S582-1,"NA")</f>
        <v>0.14943820224719095</v>
      </c>
      <c r="X582" s="1293">
        <f>IFERROR(Model!X582/Model!T582-1,"NA")</f>
        <v>0.18036732108929709</v>
      </c>
      <c r="Y582" s="1293">
        <f>IFERROR(Model!Y582/Model!U582-1,"NA")</f>
        <v>8.4244447001956546E-2</v>
      </c>
      <c r="Z582" s="1293">
        <f>IFERROR(Model!Z582/Model!V582-1,"NA")</f>
        <v>0.11478898214919031</v>
      </c>
      <c r="AA582" s="1293">
        <f>IFERROR(Model!AA582/Model!W582-1,"NA")</f>
        <v>1.4662756598240456E-2</v>
      </c>
      <c r="AB582" s="1293">
        <f>IFERROR(Model!AB582/Model!X582-1,"NA")</f>
        <v>5.676574739778939E-2</v>
      </c>
      <c r="AC582" s="1345">
        <f>IFERROR(Model!AC582/Model!Y582-1,"NA")</f>
        <v>7.8722611355604766E-2</v>
      </c>
      <c r="AD582" s="1345">
        <f>IFERROR(Model!AD582/Model!Z582-1,"NA")</f>
        <v>5.3961385292930153E-2</v>
      </c>
      <c r="AE582" s="1345">
        <f>IFERROR(Model!AE582/Model!AA582-1,"NA")</f>
        <v>0.12772491605905989</v>
      </c>
      <c r="AF582" s="1345">
        <f>IFERROR(Model!AF582/Model!AB582-1,"NA")</f>
        <v>0.11298908981202382</v>
      </c>
      <c r="AG582" s="1345">
        <f>IFERROR(Model!AG582/Model!AC582-1,"NA")</f>
        <v>8.0701609707642952E-2</v>
      </c>
      <c r="AH582" s="1345">
        <f>IFERROR(Model!AH582/Model!AD582-1,"NA")</f>
        <v>7.4559989009851835E-2</v>
      </c>
      <c r="AI582" s="1345">
        <f>IFERROR(Model!AI582/Model!AE582-1,"NA")</f>
        <v>7.0336169853118635E-2</v>
      </c>
      <c r="AJ582" s="1345"/>
      <c r="AK582" s="1345"/>
      <c r="AL582" s="1345"/>
      <c r="AM582" s="1345"/>
      <c r="AN582" s="1345"/>
      <c r="AO582" s="1345"/>
      <c r="AP582" s="1345"/>
      <c r="AQ582" s="1345"/>
      <c r="AR582" s="1236"/>
      <c r="AS582" s="1239"/>
      <c r="AT582" s="1248"/>
      <c r="AU582" s="1345"/>
      <c r="AV582" s="1345">
        <f>IFERROR(Model!AV582/Model!AU582-1,"NA")</f>
        <v>8.7752259402027688E-2</v>
      </c>
      <c r="AW582" s="1345">
        <f>IFERROR(Model!AW582/Model!AV582-1,"NA")</f>
        <v>-6.4919594997021601E-3</v>
      </c>
      <c r="AX582" s="1345">
        <f>IFERROR(Model!AX582/Model!AW582-1,"NA")</f>
        <v>-8.9922666506803139E-4</v>
      </c>
      <c r="AY582" s="1345">
        <f>IFERROR(Model!AY582/Model!AX582-1,"NA")</f>
        <v>-3.1501260050401658E-3</v>
      </c>
      <c r="AZ582" s="1345">
        <f>IFERROR(Model!AZ582/Model!AY582-1,"NA")</f>
        <v>9.7721732326120359E-2</v>
      </c>
      <c r="BA582" s="1345">
        <f>IFERROR(Model!BA582/Model!AZ582-1,"NA")</f>
        <v>7.7867228377691333E-2</v>
      </c>
      <c r="BB582" s="1345">
        <f>IFERROR(Model!BB582/Model!BA582-1,"NA")</f>
        <v>8.4767779781003805E-2</v>
      </c>
      <c r="BC582" s="1345">
        <f>IFERROR(Model!BC582/Model!BB582-1,"NA")</f>
        <v>6.8225814880555458E-2</v>
      </c>
      <c r="BD582" s="1345">
        <f>IFERROR(Model!BD582/Model!BC582-1,"NA")</f>
        <v>6.158049963021317E-2</v>
      </c>
      <c r="BE582" s="1345">
        <f>IFERROR(Model!BE582/Model!BD582-1,"NA")</f>
        <v>5.9060204864002985E-2</v>
      </c>
    </row>
    <row r="583" spans="1:64" x14ac:dyDescent="0.2">
      <c r="B583" s="316"/>
      <c r="C583" s="387"/>
      <c r="D583" s="1258"/>
      <c r="E583" s="1258"/>
      <c r="F583" s="1258"/>
      <c r="G583" s="1258"/>
      <c r="H583" s="1250"/>
      <c r="I583" s="1250"/>
      <c r="J583" s="1236"/>
      <c r="K583" s="1236"/>
      <c r="L583" s="1236"/>
      <c r="M583" s="1236"/>
      <c r="N583" s="1236"/>
      <c r="O583" s="1236"/>
      <c r="P583" s="1236"/>
      <c r="Q583" s="1236"/>
      <c r="R583" s="1236"/>
      <c r="S583" s="1236"/>
      <c r="T583" s="1236"/>
      <c r="U583" s="1236"/>
      <c r="V583" s="1236"/>
      <c r="W583" s="1236"/>
      <c r="X583" s="1236"/>
      <c r="Y583" s="1236"/>
      <c r="Z583" s="1236"/>
      <c r="AA583" s="1236"/>
      <c r="AB583" s="1236"/>
      <c r="AC583" s="407"/>
      <c r="AD583" s="407"/>
      <c r="AE583" s="407"/>
      <c r="AF583" s="407"/>
      <c r="AG583" s="407"/>
      <c r="AH583" s="407"/>
      <c r="AI583" s="407"/>
      <c r="AJ583" s="407"/>
      <c r="AK583" s="407"/>
      <c r="AL583" s="407"/>
      <c r="AM583" s="407"/>
      <c r="AN583" s="407"/>
      <c r="AO583" s="407"/>
      <c r="AP583" s="407"/>
      <c r="AQ583" s="407"/>
      <c r="AR583" s="1236"/>
      <c r="AS583" s="1239"/>
      <c r="AT583" s="1248"/>
      <c r="AU583" s="1236"/>
      <c r="AV583" s="1236"/>
      <c r="AW583" s="1236"/>
      <c r="AX583" s="1236"/>
      <c r="AY583" s="1236"/>
      <c r="AZ583" s="1236"/>
      <c r="BA583" s="1236"/>
      <c r="BB583" s="1236"/>
      <c r="BC583" s="1236"/>
      <c r="BD583" s="1236"/>
      <c r="BE583" s="1236"/>
    </row>
    <row r="584" spans="1:64" s="324" customFormat="1" x14ac:dyDescent="0.2">
      <c r="A584" s="411"/>
      <c r="B584" s="557" t="s">
        <v>262</v>
      </c>
      <c r="C584" s="558"/>
      <c r="D584" s="1458"/>
      <c r="E584" s="1458"/>
      <c r="F584" s="1458"/>
      <c r="G584" s="1458"/>
      <c r="H584" s="1458"/>
      <c r="I584" s="1458"/>
      <c r="J584" s="1458"/>
      <c r="K584" s="1458"/>
      <c r="L584" s="1458"/>
      <c r="M584" s="1458"/>
      <c r="N584" s="1458"/>
      <c r="O584" s="1458"/>
      <c r="P584" s="1458"/>
      <c r="Q584" s="1458"/>
      <c r="R584" s="1458"/>
      <c r="S584" s="1458"/>
      <c r="T584" s="1458"/>
      <c r="U584" s="1458"/>
      <c r="V584" s="1458"/>
      <c r="W584" s="1458"/>
      <c r="X584" s="1458"/>
      <c r="Y584" s="1458"/>
      <c r="Z584" s="1458"/>
      <c r="AA584" s="1458"/>
      <c r="AB584" s="1458"/>
      <c r="AC584" s="1459"/>
      <c r="AD584" s="1459"/>
      <c r="AE584" s="1459"/>
      <c r="AF584" s="1459"/>
      <c r="AG584" s="1459"/>
      <c r="AH584" s="1459"/>
      <c r="AI584" s="1459"/>
      <c r="AJ584" s="1459"/>
      <c r="AK584" s="1459"/>
      <c r="AL584" s="1459"/>
      <c r="AM584" s="1459"/>
      <c r="AN584" s="1459"/>
      <c r="AO584" s="1459"/>
      <c r="AP584" s="1459"/>
      <c r="AQ584" s="1459"/>
      <c r="AR584" s="1236"/>
      <c r="AS584" s="1460"/>
      <c r="AT584" s="1461"/>
      <c r="AU584" s="1459"/>
      <c r="AV584" s="1459"/>
      <c r="AW584" s="1459"/>
      <c r="AX584" s="1459"/>
      <c r="AY584" s="1459"/>
      <c r="AZ584" s="1459"/>
      <c r="BA584" s="1459"/>
      <c r="BB584" s="1459"/>
      <c r="BC584" s="1459"/>
      <c r="BD584" s="1459"/>
      <c r="BE584" s="1459"/>
      <c r="BF584" s="70"/>
      <c r="BG584" s="70"/>
      <c r="BH584" s="70"/>
      <c r="BI584" s="70"/>
      <c r="BJ584" s="70"/>
      <c r="BK584" s="70"/>
      <c r="BL584" s="70"/>
    </row>
    <row r="585" spans="1:64" x14ac:dyDescent="0.2">
      <c r="B585" s="327"/>
      <c r="C585" s="362" t="s">
        <v>76</v>
      </c>
      <c r="D585" s="1303"/>
      <c r="E585" s="1303"/>
      <c r="F585" s="1303"/>
      <c r="G585" s="1303"/>
      <c r="H585" s="1303">
        <f>IFERROR(Model!H585/Model!D585-1,"NA")</f>
        <v>0.35703812316715533</v>
      </c>
      <c r="I585" s="1303">
        <f>IFERROR(Model!I585/Model!E585-1,"NA")</f>
        <v>0.19414893617021267</v>
      </c>
      <c r="J585" s="1303">
        <f>IFERROR(Model!J585/Model!F585-1,"NA")</f>
        <v>2.1774193548387055E-2</v>
      </c>
      <c r="K585" s="1303">
        <f>IFERROR(Model!K585/Model!G585-1,"NA")</f>
        <v>-3.057851239669418E-2</v>
      </c>
      <c r="L585" s="1303">
        <f>IFERROR(Model!L585/Model!H585-1,"NA")</f>
        <v>9.9945975148567623E-3</v>
      </c>
      <c r="M585" s="1303">
        <f>IFERROR(Model!M585/Model!I585-1,"NA")</f>
        <v>5.8542793509385849E-2</v>
      </c>
      <c r="N585" s="1303">
        <f>IFERROR(Model!N585/Model!J585-1,"NA")</f>
        <v>0.33504340962904489</v>
      </c>
      <c r="O585" s="1303">
        <f>IFERROR(Model!O585/Model!K585-1,"NA")</f>
        <v>8.4398976982097196E-2</v>
      </c>
      <c r="P585" s="1303">
        <f>IFERROR(Model!P585/Model!L585-1,"NA")</f>
        <v>-0.13131853436747798</v>
      </c>
      <c r="Q585" s="1303">
        <f>IFERROR(Model!Q585/Model!M585-1,"NA")</f>
        <v>-6.612563871355559E-3</v>
      </c>
      <c r="R585" s="1303">
        <f>IFERROR(Model!R585/Model!N585-1,"NA")</f>
        <v>-2.9855158143659466E-2</v>
      </c>
      <c r="S585" s="1303">
        <f>IFERROR(Model!S585/Model!O585-1,"NA")</f>
        <v>6.3286163522012551E-2</v>
      </c>
      <c r="T585" s="1303">
        <f>IFERROR(Model!T585/Model!P585-1,"NA")</f>
        <v>-8.2512315270935943E-2</v>
      </c>
      <c r="U585" s="1303">
        <f>IFERROR(Model!U585/Model!Q585-1,"NA")</f>
        <v>2.6626323751891112E-2</v>
      </c>
      <c r="V585" s="1303">
        <f>IFERROR(Model!V585/Model!R585-1,"NA")</f>
        <v>-2.7726995734308368E-2</v>
      </c>
      <c r="W585" s="1303">
        <f>IFERROR(Model!W585/Model!S585-1,"NA")</f>
        <v>9.0203327171903824E-2</v>
      </c>
      <c r="X585" s="1303">
        <f>IFERROR(Model!X585/Model!T585-1,"NA")</f>
        <v>0.18187919463087243</v>
      </c>
      <c r="Y585" s="1303">
        <f>IFERROR(Model!Y585/Model!U585-1,"NA")</f>
        <v>7.4565281461833166E-2</v>
      </c>
      <c r="Z585" s="1303">
        <f>IFERROR(Model!Z585/Model!V585-1,"NA")</f>
        <v>0.16233155750548423</v>
      </c>
      <c r="AA585" s="1303">
        <f>IFERROR(Model!AA585/Model!W585-1,"NA")</f>
        <v>3.2892505934214888E-2</v>
      </c>
      <c r="AB585" s="1303">
        <f>IFERROR(Model!AB585/Model!X585-1,"NA")</f>
        <v>-7.2969903463940944E-2</v>
      </c>
      <c r="AC585" s="1305" t="str">
        <f>IFERROR(Model!AC585/Model!Y585-1,"NA")</f>
        <v>NA</v>
      </c>
      <c r="AD585" s="1305" t="str">
        <f>IFERROR(Model!AD585/Model!Z585-1,"NA")</f>
        <v>NA</v>
      </c>
      <c r="AE585" s="1305" t="str">
        <f>IFERROR(Model!AE585/Model!AA585-1,"NA")</f>
        <v>NA</v>
      </c>
      <c r="AF585" s="1305" t="str">
        <f>IFERROR(Model!AF585/Model!AB585-1,"NA")</f>
        <v>NA</v>
      </c>
      <c r="AG585" s="1305" t="str">
        <f>IFERROR(Model!AG585/Model!AC585-1,"NA")</f>
        <v>NA</v>
      </c>
      <c r="AH585" s="1305" t="str">
        <f>IFERROR(Model!AH585/Model!AD585-1,"NA")</f>
        <v>NA</v>
      </c>
      <c r="AI585" s="1305" t="str">
        <f>IFERROR(Model!AI585/Model!AE585-1,"NA")</f>
        <v>NA</v>
      </c>
      <c r="AJ585" s="1305"/>
      <c r="AK585" s="1305"/>
      <c r="AL585" s="1305"/>
      <c r="AM585" s="1305"/>
      <c r="AN585" s="1305"/>
      <c r="AO585" s="1305"/>
      <c r="AP585" s="1305"/>
      <c r="AQ585" s="1305"/>
      <c r="AR585" s="1236"/>
      <c r="AS585" s="1284"/>
      <c r="AT585" s="1400"/>
      <c r="AU585" s="1236"/>
      <c r="AV585" s="1236">
        <f>IFERROR(Model!AV585/Model!AU585-1,"NA")</f>
        <v>0.1427875243664718</v>
      </c>
      <c r="AW585" s="1236">
        <f>IFERROR(Model!AW585/Model!AV585-1,"NA")</f>
        <v>0.10814498933901917</v>
      </c>
      <c r="AX585" s="1236">
        <f>IFERROR(Model!AX585/Model!AW585-1,"NA")</f>
        <v>-3.4864927268529189E-2</v>
      </c>
      <c r="AY585" s="1236">
        <f>IFERROR(Model!AY585/Model!AX585-1,"NA")</f>
        <v>-2.1531100478469067E-3</v>
      </c>
      <c r="AZ585" s="1236" t="str">
        <f>IFERROR(Model!AZ585/Model!AY585-1,"NA")</f>
        <v>NA</v>
      </c>
      <c r="BA585" s="1236" t="str">
        <f>IFERROR(Model!BA585/Model!AZ585-1,"NA")</f>
        <v>NA</v>
      </c>
      <c r="BB585" s="1236" t="str">
        <f>IFERROR(Model!BB585/Model!BA585-1,"NA")</f>
        <v>NA</v>
      </c>
      <c r="BC585" s="1236" t="str">
        <f>IFERROR(Model!BC585/Model!BB585-1,"NA")</f>
        <v>NA</v>
      </c>
      <c r="BD585" s="1236" t="str">
        <f>IFERROR(Model!BD585/Model!BC585-1,"NA")</f>
        <v>NA</v>
      </c>
      <c r="BE585" s="1236" t="str">
        <f>IFERROR(Model!BE585/Model!BD585-1,"NA")</f>
        <v>NA</v>
      </c>
    </row>
    <row r="586" spans="1:64" x14ac:dyDescent="0.2">
      <c r="B586" s="327"/>
      <c r="C586" s="362" t="s">
        <v>27</v>
      </c>
      <c r="D586" s="1303"/>
      <c r="E586" s="1303"/>
      <c r="F586" s="1303"/>
      <c r="G586" s="1303"/>
      <c r="H586" s="1303">
        <f>IFERROR(Model!H586/Model!D586-1,"NA")</f>
        <v>-0.16176890156918688</v>
      </c>
      <c r="I586" s="1303">
        <f>IFERROR(Model!I586/Model!E586-1,"NA")</f>
        <v>0.11515631183221209</v>
      </c>
      <c r="J586" s="1303">
        <f>IFERROR(Model!J586/Model!F586-1,"NA")</f>
        <v>-0.1407272727272727</v>
      </c>
      <c r="K586" s="1303">
        <f>IFERROR(Model!K586/Model!G586-1,"NA")</f>
        <v>-0.12599748005039901</v>
      </c>
      <c r="L586" s="1303">
        <f>IFERROR(Model!L586/Model!H586-1,"NA")</f>
        <v>-6.3989108236895853E-2</v>
      </c>
      <c r="M586" s="1303">
        <f>IFERROR(Model!M586/Model!I586-1,"NA")</f>
        <v>-0.13662171753016328</v>
      </c>
      <c r="N586" s="1303">
        <f>IFERROR(Model!N586/Model!J586-1,"NA")</f>
        <v>7.0672873465933206E-2</v>
      </c>
      <c r="O586" s="1303">
        <f>IFERROR(Model!O586/Model!K586-1,"NA")</f>
        <v>-3.844305622296984E-3</v>
      </c>
      <c r="P586" s="1303">
        <f>IFERROR(Model!P586/Model!L586-1,"NA")</f>
        <v>9.0181818181818141E-2</v>
      </c>
      <c r="Q586" s="1303">
        <f>IFERROR(Model!Q586/Model!M586-1,"NA")</f>
        <v>-2.055076037813397E-2</v>
      </c>
      <c r="R586" s="1303">
        <f>IFERROR(Model!R586/Model!N586-1,"NA")</f>
        <v>-0.13122529644268777</v>
      </c>
      <c r="S586" s="1303">
        <f>IFERROR(Model!S586/Model!O586-1,"NA")</f>
        <v>1.9295706705257931E-3</v>
      </c>
      <c r="T586" s="1303">
        <f>IFERROR(Model!T586/Model!P586-1,"NA")</f>
        <v>-0.27718478985990658</v>
      </c>
      <c r="U586" s="1303">
        <f>IFERROR(Model!U586/Model!Q586-1,"NA")</f>
        <v>8.1409987410826723E-2</v>
      </c>
      <c r="V586" s="1303">
        <f>IFERROR(Model!V586/Model!R586-1,"NA")</f>
        <v>0.14012738853503182</v>
      </c>
      <c r="W586" s="1303">
        <f>IFERROR(Model!W586/Model!S586-1,"NA")</f>
        <v>0.25421280693307646</v>
      </c>
      <c r="X586" s="1303">
        <f>IFERROR(Model!X586/Model!T586-1,"NA")</f>
        <v>0.31702814951545921</v>
      </c>
      <c r="Y586" s="1303">
        <f>IFERROR(Model!Y586/Model!U586-1,"NA")</f>
        <v>0.11796662786185497</v>
      </c>
      <c r="Z586" s="1303">
        <f>IFERROR(Model!Z586/Model!V586-1,"NA")</f>
        <v>7.8611332801276967E-2</v>
      </c>
      <c r="AA586" s="1303">
        <f>IFERROR(Model!AA586/Model!W586-1,"NA")</f>
        <v>-6.2955854126679478E-2</v>
      </c>
      <c r="AB586" s="1303">
        <f>IFERROR(Model!AB586/Model!X586-1,"NA")</f>
        <v>0.10967063770147156</v>
      </c>
      <c r="AC586" s="1305" t="str">
        <f>IFERROR(Model!AC586/Model!Y586-1,"NA")</f>
        <v>NA</v>
      </c>
      <c r="AD586" s="1305" t="str">
        <f>IFERROR(Model!AD586/Model!Z586-1,"NA")</f>
        <v>NA</v>
      </c>
      <c r="AE586" s="1305" t="str">
        <f>IFERROR(Model!AE586/Model!AA586-1,"NA")</f>
        <v>NA</v>
      </c>
      <c r="AF586" s="1305" t="str">
        <f>IFERROR(Model!AF586/Model!AB586-1,"NA")</f>
        <v>NA</v>
      </c>
      <c r="AG586" s="1305" t="str">
        <f>IFERROR(Model!AG586/Model!AC586-1,"NA")</f>
        <v>NA</v>
      </c>
      <c r="AH586" s="1305" t="str">
        <f>IFERROR(Model!AH586/Model!AD586-1,"NA")</f>
        <v>NA</v>
      </c>
      <c r="AI586" s="1305" t="str">
        <f>IFERROR(Model!AI586/Model!AE586-1,"NA")</f>
        <v>NA</v>
      </c>
      <c r="AJ586" s="1305"/>
      <c r="AK586" s="1305"/>
      <c r="AL586" s="1305"/>
      <c r="AM586" s="1305"/>
      <c r="AN586" s="1305"/>
      <c r="AO586" s="1305"/>
      <c r="AP586" s="1305"/>
      <c r="AQ586" s="1305"/>
      <c r="AR586" s="1236"/>
      <c r="AS586" s="1284"/>
      <c r="AT586" s="1400"/>
      <c r="AU586" s="1236"/>
      <c r="AV586" s="1236">
        <f>IFERROR(Model!AV586/Model!AU586-1,"NA")</f>
        <v>-8.626713249126583E-2</v>
      </c>
      <c r="AW586" s="1236">
        <f>IFERROR(Model!AW586/Model!AV586-1,"NA")</f>
        <v>-4.0588235294117592E-2</v>
      </c>
      <c r="AX586" s="1236">
        <f>IFERROR(Model!AX586/Model!AW586-1,"NA")</f>
        <v>-1.328428367054979E-2</v>
      </c>
      <c r="AY586" s="1236">
        <f>IFERROR(Model!AY586/Model!AX586-1,"NA")</f>
        <v>2.0608947804473976E-2</v>
      </c>
      <c r="AZ586" s="1236" t="str">
        <f>IFERROR(Model!AZ586/Model!AY586-1,"NA")</f>
        <v>NA</v>
      </c>
      <c r="BA586" s="1236" t="str">
        <f>IFERROR(Model!BA586/Model!AZ586-1,"NA")</f>
        <v>NA</v>
      </c>
      <c r="BB586" s="1236" t="str">
        <f>IFERROR(Model!BB586/Model!BA586-1,"NA")</f>
        <v>NA</v>
      </c>
      <c r="BC586" s="1236" t="str">
        <f>IFERROR(Model!BC586/Model!BB586-1,"NA")</f>
        <v>NA</v>
      </c>
      <c r="BD586" s="1236" t="str">
        <f>IFERROR(Model!BD586/Model!BC586-1,"NA")</f>
        <v>NA</v>
      </c>
      <c r="BE586" s="1236" t="str">
        <f>IFERROR(Model!BE586/Model!BD586-1,"NA")</f>
        <v>NA</v>
      </c>
    </row>
    <row r="587" spans="1:64" x14ac:dyDescent="0.2">
      <c r="B587" s="327"/>
      <c r="C587" s="362" t="s">
        <v>5</v>
      </c>
      <c r="D587" s="1303"/>
      <c r="E587" s="1303"/>
      <c r="F587" s="1303"/>
      <c r="G587" s="1303"/>
      <c r="H587" s="1303">
        <f>IFERROR(Model!H587/Model!D587-1,"NA")</f>
        <v>4.1356492969396141E-2</v>
      </c>
      <c r="I587" s="1303">
        <f>IFERROR(Model!I587/Model!E587-1,"NA")</f>
        <v>3.0962343096234246E-2</v>
      </c>
      <c r="J587" s="1303">
        <f>IFERROR(Model!J587/Model!F587-1,"NA")</f>
        <v>-9.0400000000000036E-2</v>
      </c>
      <c r="K587" s="1303">
        <f>IFERROR(Model!K587/Model!G587-1,"NA")</f>
        <v>-3.4013605442176909E-3</v>
      </c>
      <c r="L587" s="1303">
        <f>IFERROR(Model!L587/Model!H587-1,"NA")</f>
        <v>-8.8165210484511536E-2</v>
      </c>
      <c r="M587" s="1303">
        <f>IFERROR(Model!M587/Model!I587-1,"NA")</f>
        <v>-6.6558441558441594E-2</v>
      </c>
      <c r="N587" s="1303">
        <f>IFERROR(Model!N587/Model!J587-1,"NA")</f>
        <v>-0.10466138962181182</v>
      </c>
      <c r="O587" s="1303">
        <f>IFERROR(Model!O587/Model!K587-1,"NA")</f>
        <v>-0.18515358361774747</v>
      </c>
      <c r="P587" s="1303">
        <f>IFERROR(Model!P587/Model!L587-1,"NA")</f>
        <v>-0.14634146341463417</v>
      </c>
      <c r="Q587" s="1303">
        <f>IFERROR(Model!Q587/Model!M587-1,"NA")</f>
        <v>-0.14173913043478259</v>
      </c>
      <c r="R587" s="1303">
        <f>IFERROR(Model!R587/Model!N587-1,"NA")</f>
        <v>1.3752455795677854E-2</v>
      </c>
      <c r="S587" s="1303">
        <f>IFERROR(Model!S587/Model!O587-1,"NA")</f>
        <v>-1.8848167539266991E-2</v>
      </c>
      <c r="T587" s="1303">
        <f>IFERROR(Model!T587/Model!P587-1,"NA")</f>
        <v>-1.8367346938775508E-2</v>
      </c>
      <c r="U587" s="1303">
        <f>IFERROR(Model!U587/Model!Q587-1,"NA")</f>
        <v>3.5460992907801359E-2</v>
      </c>
      <c r="V587" s="1303">
        <f>IFERROR(Model!V587/Model!R587-1,"NA")</f>
        <v>-3.1976744186046457E-2</v>
      </c>
      <c r="W587" s="1303">
        <f>IFERROR(Model!W587/Model!S587-1,"NA")</f>
        <v>6.0832443970117334E-2</v>
      </c>
      <c r="X587" s="1303">
        <f>IFERROR(Model!X587/Model!T587-1,"NA")</f>
        <v>0.21517671517671522</v>
      </c>
      <c r="Y587" s="1303">
        <f>IFERROR(Model!Y587/Model!U587-1,"NA")</f>
        <v>6.262230919765166E-2</v>
      </c>
      <c r="Z587" s="1303">
        <f>IFERROR(Model!Z587/Model!V587-1,"NA")</f>
        <v>0.10010010010010006</v>
      </c>
      <c r="AA587" s="1303">
        <f>IFERROR(Model!AA587/Model!W587-1,"NA")</f>
        <v>3.7223340040241526E-2</v>
      </c>
      <c r="AB587" s="1303">
        <f>IFERROR(Model!AB587/Model!X587-1,"NA")</f>
        <v>3.5072711719418281E-2</v>
      </c>
      <c r="AC587" s="1305" t="str">
        <f>IFERROR(Model!AC587/Model!Y587-1,"NA")</f>
        <v>NA</v>
      </c>
      <c r="AD587" s="1305" t="str">
        <f>IFERROR(Model!AD587/Model!Z587-1,"NA")</f>
        <v>NA</v>
      </c>
      <c r="AE587" s="1305" t="str">
        <f>IFERROR(Model!AE587/Model!AA587-1,"NA")</f>
        <v>NA</v>
      </c>
      <c r="AF587" s="1305" t="str">
        <f>IFERROR(Model!AF587/Model!AB587-1,"NA")</f>
        <v>NA</v>
      </c>
      <c r="AG587" s="1305" t="str">
        <f>IFERROR(Model!AG587/Model!AC587-1,"NA")</f>
        <v>NA</v>
      </c>
      <c r="AH587" s="1305" t="str">
        <f>IFERROR(Model!AH587/Model!AD587-1,"NA")</f>
        <v>NA</v>
      </c>
      <c r="AI587" s="1305" t="str">
        <f>IFERROR(Model!AI587/Model!AE587-1,"NA")</f>
        <v>NA</v>
      </c>
      <c r="AJ587" s="1305"/>
      <c r="AK587" s="1305"/>
      <c r="AL587" s="1305"/>
      <c r="AM587" s="1305"/>
      <c r="AN587" s="1305"/>
      <c r="AO587" s="1305"/>
      <c r="AP587" s="1305"/>
      <c r="AQ587" s="1305"/>
      <c r="AR587" s="1236"/>
      <c r="AS587" s="1284"/>
      <c r="AT587" s="1400"/>
      <c r="AU587" s="1236"/>
      <c r="AV587" s="1236">
        <f>IFERROR(Model!AV587/Model!AU587-1,"NA")</f>
        <v>-6.2111801242236142E-3</v>
      </c>
      <c r="AW587" s="1236">
        <f>IFERROR(Model!AW587/Model!AV587-1,"NA")</f>
        <v>-0.11020833333333335</v>
      </c>
      <c r="AX587" s="1236">
        <f>IFERROR(Model!AX587/Model!AW587-1,"NA")</f>
        <v>-7.8435963474596138E-2</v>
      </c>
      <c r="AY587" s="1236">
        <f>IFERROR(Model!AY587/Model!AX587-1,"NA")</f>
        <v>1.0416666666666741E-2</v>
      </c>
      <c r="AZ587" s="1236" t="str">
        <f>IFERROR(Model!AZ587/Model!AY587-1,"NA")</f>
        <v>NA</v>
      </c>
      <c r="BA587" s="1236" t="str">
        <f>IFERROR(Model!BA587/Model!AZ587-1,"NA")</f>
        <v>NA</v>
      </c>
      <c r="BB587" s="1236" t="str">
        <f>IFERROR(Model!BB587/Model!BA587-1,"NA")</f>
        <v>NA</v>
      </c>
      <c r="BC587" s="1236" t="str">
        <f>IFERROR(Model!BC587/Model!BB587-1,"NA")</f>
        <v>NA</v>
      </c>
      <c r="BD587" s="1236" t="str">
        <f>IFERROR(Model!BD587/Model!BC587-1,"NA")</f>
        <v>NA</v>
      </c>
      <c r="BE587" s="1236" t="str">
        <f>IFERROR(Model!BE587/Model!BD587-1,"NA")</f>
        <v>NA</v>
      </c>
    </row>
    <row r="588" spans="1:64" x14ac:dyDescent="0.2">
      <c r="B588" s="321"/>
      <c r="C588" s="362" t="s">
        <v>77</v>
      </c>
      <c r="D588" s="1303"/>
      <c r="E588" s="1303"/>
      <c r="F588" s="1303"/>
      <c r="G588" s="1303"/>
      <c r="H588" s="1303">
        <f>IFERROR(Model!H588/Model!D588-1,"NA")</f>
        <v>-2.9097963142580063E-2</v>
      </c>
      <c r="I588" s="1303">
        <f>IFERROR(Model!I588/Model!E588-1,"NA")</f>
        <v>0.1306122448979592</v>
      </c>
      <c r="J588" s="1303">
        <f>IFERROR(Model!J588/Model!F588-1,"NA")</f>
        <v>-8.3896396396396344E-2</v>
      </c>
      <c r="K588" s="1303">
        <f>IFERROR(Model!K588/Model!G588-1,"NA")</f>
        <v>5.1546391752577359E-2</v>
      </c>
      <c r="L588" s="1303">
        <f>IFERROR(Model!L588/Model!H588-1,"NA")</f>
        <v>-0.18281718281718284</v>
      </c>
      <c r="M588" s="1303">
        <f>IFERROR(Model!M588/Model!I588-1,"NA")</f>
        <v>-0.17844249613202678</v>
      </c>
      <c r="N588" s="1303">
        <f>IFERROR(Model!N588/Model!J588-1,"NA")</f>
        <v>9.8340503995082873E-2</v>
      </c>
      <c r="O588" s="1303">
        <f>IFERROR(Model!O588/Model!K588-1,"NA")</f>
        <v>4.2892156862746056E-3</v>
      </c>
      <c r="P588" s="1303">
        <f>IFERROR(Model!P588/Model!L588-1,"NA")</f>
        <v>0.10330073349633251</v>
      </c>
      <c r="Q588" s="1303">
        <f>IFERROR(Model!Q588/Model!M588-1,"NA")</f>
        <v>0.12429378531073443</v>
      </c>
      <c r="R588" s="1303">
        <f>IFERROR(Model!R588/Model!N588-1,"NA")</f>
        <v>-2.1824286513710156E-2</v>
      </c>
      <c r="S588" s="1303">
        <f>IFERROR(Model!S588/Model!O588-1,"NA")</f>
        <v>-3.1726662599145805E-2</v>
      </c>
      <c r="T588" s="1303">
        <f>IFERROR(Model!T588/Model!P588-1,"NA")</f>
        <v>-1.0526315789473717E-2</v>
      </c>
      <c r="U588" s="1303">
        <f>IFERROR(Model!U588/Model!Q588-1,"NA")</f>
        <v>-5.2484645449469625E-2</v>
      </c>
      <c r="V588" s="1303">
        <f>IFERROR(Model!V588/Model!R588-1,"NA")</f>
        <v>8.581235697940448E-3</v>
      </c>
      <c r="W588" s="1303">
        <f>IFERROR(Model!W588/Model!S588-1,"NA")</f>
        <v>3.0875866414618702E-2</v>
      </c>
      <c r="X588" s="1303">
        <f>IFERROR(Model!X588/Model!T588-1,"NA")</f>
        <v>-6.7189249720044364E-3</v>
      </c>
      <c r="Y588" s="1303">
        <f>IFERROR(Model!Y588/Model!U588-1,"NA")</f>
        <v>6.540954625810258E-2</v>
      </c>
      <c r="Z588" s="1303">
        <f>IFERROR(Model!Z588/Model!V588-1,"NA")</f>
        <v>8.8485536018150901E-2</v>
      </c>
      <c r="AA588" s="1303">
        <f>IFERROR(Model!AA588/Model!W588-1,"NA")</f>
        <v>9.1687041564792127E-2</v>
      </c>
      <c r="AB588" s="1303">
        <f>IFERROR(Model!AB588/Model!X588-1,"NA")</f>
        <v>0.24351747463359641</v>
      </c>
      <c r="AC588" s="1306" t="str">
        <f>IFERROR(Model!AC588/Model!Y588-1,"NA")</f>
        <v>NA</v>
      </c>
      <c r="AD588" s="1306" t="str">
        <f>IFERROR(Model!AD588/Model!Z588-1,"NA")</f>
        <v>NA</v>
      </c>
      <c r="AE588" s="1306" t="str">
        <f>IFERROR(Model!AE588/Model!AA588-1,"NA")</f>
        <v>NA</v>
      </c>
      <c r="AF588" s="1306" t="str">
        <f>IFERROR(Model!AF588/Model!AB588-1,"NA")</f>
        <v>NA</v>
      </c>
      <c r="AG588" s="1306" t="str">
        <f>IFERROR(Model!AG588/Model!AC588-1,"NA")</f>
        <v>NA</v>
      </c>
      <c r="AH588" s="1306" t="str">
        <f>IFERROR(Model!AH588/Model!AD588-1,"NA")</f>
        <v>NA</v>
      </c>
      <c r="AI588" s="1306" t="str">
        <f>IFERROR(Model!AI588/Model!AE588-1,"NA")</f>
        <v>NA</v>
      </c>
      <c r="AJ588" s="1745"/>
      <c r="AK588" s="1745"/>
      <c r="AL588" s="1745"/>
      <c r="AM588" s="1745"/>
      <c r="AN588" s="1745"/>
      <c r="AO588" s="1745"/>
      <c r="AP588" s="1745"/>
      <c r="AQ588" s="1745"/>
      <c r="AR588" s="1236"/>
      <c r="AS588" s="1284"/>
      <c r="AT588" s="1400"/>
      <c r="AU588" s="1246"/>
      <c r="AV588" s="1246">
        <f>IFERROR(Model!AV588/Model!AU588-1,"NA")</f>
        <v>1.3370865587614356E-2</v>
      </c>
      <c r="AW588" s="1246">
        <f>IFERROR(Model!AW588/Model!AV588-1,"NA")</f>
        <v>-7.5694444444444398E-2</v>
      </c>
      <c r="AX588" s="1246">
        <f>IFERROR(Model!AX588/Model!AW588-1,"NA")</f>
        <v>4.1472577009767031E-2</v>
      </c>
      <c r="AY588" s="1246">
        <f>IFERROR(Model!AY588/Model!AX588-1,"NA")</f>
        <v>-7.0696869138652252E-3</v>
      </c>
      <c r="AZ588" s="1246" t="str">
        <f>IFERROR(Model!AZ588/Model!AY588-1,"NA")</f>
        <v>NA</v>
      </c>
      <c r="BA588" s="1246" t="str">
        <f>IFERROR(Model!BA588/Model!AZ588-1,"NA")</f>
        <v>NA</v>
      </c>
      <c r="BB588" s="1246" t="str">
        <f>IFERROR(Model!BB588/Model!BA588-1,"NA")</f>
        <v>NA</v>
      </c>
      <c r="BC588" s="1246" t="str">
        <f>IFERROR(Model!BC588/Model!BB588-1,"NA")</f>
        <v>NA</v>
      </c>
      <c r="BD588" s="1246" t="str">
        <f>IFERROR(Model!BD588/Model!BC588-1,"NA")</f>
        <v>NA</v>
      </c>
      <c r="BE588" s="1246" t="str">
        <f>IFERROR(Model!BE588/Model!BD588-1,"NA")</f>
        <v>NA</v>
      </c>
    </row>
    <row r="589" spans="1:64" x14ac:dyDescent="0.2">
      <c r="B589" s="319" t="s">
        <v>1001</v>
      </c>
      <c r="C589" s="15"/>
      <c r="D589" s="1439"/>
      <c r="E589" s="1439"/>
      <c r="F589" s="1439"/>
      <c r="G589" s="1439"/>
      <c r="H589" s="1439">
        <f>IFERROR(Model!H589/Model!D589-1,"NA")</f>
        <v>4.1771885521885599E-2</v>
      </c>
      <c r="I589" s="1439">
        <f>IFERROR(Model!I589/Model!E589-1,"NA")</f>
        <v>0.13173875325319129</v>
      </c>
      <c r="J589" s="1439">
        <f>IFERROR(Model!J589/Model!F589-1,"NA")</f>
        <v>-7.2068798449612448E-2</v>
      </c>
      <c r="K589" s="1439">
        <f>IFERROR(Model!K589/Model!G589-1,"NA")</f>
        <v>-3.9580289547084591E-2</v>
      </c>
      <c r="L589" s="1439">
        <f>IFERROR(Model!L589/Model!H589-1,"NA")</f>
        <v>-6.342793657206347E-2</v>
      </c>
      <c r="M589" s="1439">
        <f>IFERROR(Model!M589/Model!I589-1,"NA")</f>
        <v>-6.8878668418747235E-2</v>
      </c>
      <c r="N589" s="1439">
        <f>IFERROR(Model!N589/Model!J589-1,"NA")</f>
        <v>0.13797154418483237</v>
      </c>
      <c r="O589" s="1439">
        <f>IFERROR(Model!O589/Model!K589-1,"NA")</f>
        <v>-2.7658691743880359E-3</v>
      </c>
      <c r="P589" s="1439">
        <f>IFERROR(Model!P589/Model!L589-1,"NA")</f>
        <v>-2.6097271648873099E-2</v>
      </c>
      <c r="Q589" s="1439">
        <f>IFERROR(Model!Q589/Model!M589-1,"NA")</f>
        <v>-4.3514053863342728E-3</v>
      </c>
      <c r="R589" s="1439">
        <f>IFERROR(Model!R589/Model!N589-1,"NA")</f>
        <v>-5.2534985088322994E-2</v>
      </c>
      <c r="S589" s="1439">
        <f>IFERROR(Model!S589/Model!O589-1,"NA")</f>
        <v>1.31743170156704E-2</v>
      </c>
      <c r="T589" s="1439">
        <f>IFERROR(Model!T589/Model!P589-1,"NA")</f>
        <v>-0.12578894917506367</v>
      </c>
      <c r="U589" s="1439">
        <f>IFERROR(Model!U589/Model!Q589-1,"NA")</f>
        <v>2.6340656744625601E-2</v>
      </c>
      <c r="V589" s="1439">
        <f>IFERROR(Model!V589/Model!R589-1,"NA")</f>
        <v>2.4092009685229954E-2</v>
      </c>
      <c r="W589" s="1439">
        <f>IFERROR(Model!W589/Model!S589-1,"NA")</f>
        <v>0.12017519846701341</v>
      </c>
      <c r="X589" s="1439">
        <f>IFERROR(Model!X589/Model!T589-1,"NA")</f>
        <v>0.18036732108929709</v>
      </c>
      <c r="Y589" s="1439">
        <f>IFERROR(Model!Y589/Model!U589-1,"NA")</f>
        <v>8.4244447001956546E-2</v>
      </c>
      <c r="Z589" s="1439">
        <f>IFERROR(Model!Z589/Model!V589-1,"NA")</f>
        <v>0.11478898214919031</v>
      </c>
      <c r="AA589" s="1439">
        <f>IFERROR(Model!AA589/Model!W589-1,"NA")</f>
        <v>1.4662756598240456E-2</v>
      </c>
      <c r="AB589" s="1439">
        <f>IFERROR(Model!AB589/Model!X589-1,"NA")</f>
        <v>5.676574739778939E-2</v>
      </c>
      <c r="AC589" s="1250">
        <f>IFERROR(Model!AC589/Model!Y589-1,"NA")</f>
        <v>7.8722611355604766E-2</v>
      </c>
      <c r="AD589" s="1250">
        <f>IFERROR(Model!AD589/Model!Z589-1,"NA")</f>
        <v>5.3961385292930153E-2</v>
      </c>
      <c r="AE589" s="1250">
        <f>IFERROR(Model!AE589/Model!AA589-1,"NA")</f>
        <v>0.12772491605905989</v>
      </c>
      <c r="AF589" s="1250">
        <f>IFERROR(Model!AF589/Model!AB589-1,"NA")</f>
        <v>0.11298908981202382</v>
      </c>
      <c r="AG589" s="1250">
        <f>IFERROR(Model!AG589/Model!AC589-1,"NA")</f>
        <v>8.0701609707642952E-2</v>
      </c>
      <c r="AH589" s="1250">
        <f>IFERROR(Model!AH589/Model!AD589-1,"NA")</f>
        <v>7.4559989009851835E-2</v>
      </c>
      <c r="AI589" s="1250">
        <f>IFERROR(Model!AI589/Model!AE589-1,"NA")</f>
        <v>7.0336169853118635E-2</v>
      </c>
      <c r="AJ589" s="1250"/>
      <c r="AK589" s="1250"/>
      <c r="AL589" s="1250"/>
      <c r="AM589" s="1250"/>
      <c r="AN589" s="1250"/>
      <c r="AO589" s="1250"/>
      <c r="AP589" s="1250"/>
      <c r="AQ589" s="1250"/>
      <c r="AR589" s="1236"/>
      <c r="AS589" s="1248"/>
      <c r="AT589" s="1250"/>
      <c r="AU589" s="1250"/>
      <c r="AV589" s="1250">
        <f>IFERROR(Model!AV589/Model!AU589-1,"NA")</f>
        <v>1.6997421907788191E-2</v>
      </c>
      <c r="AW589" s="1250">
        <f>IFERROR(Model!AW589/Model!AV589-1,"NA")</f>
        <v>-6.4848931466470194E-3</v>
      </c>
      <c r="AX589" s="1250">
        <f>IFERROR(Model!AX589/Model!AW589-1,"NA")</f>
        <v>-1.9047619047619091E-2</v>
      </c>
      <c r="AY589" s="1250">
        <f>IFERROR(Model!AY589/Model!AX589-1,"NA")</f>
        <v>4.9602274445754713E-3</v>
      </c>
      <c r="AZ589" s="1250">
        <f>IFERROR(Model!AZ589/Model!AY589-1,"NA")</f>
        <v>9.7721732326120359E-2</v>
      </c>
      <c r="BA589" s="1250">
        <f>IFERROR(Model!BA589/Model!AZ589-1,"NA")</f>
        <v>7.7867228377691333E-2</v>
      </c>
      <c r="BB589" s="1250">
        <f>IFERROR(Model!BB589/Model!BA589-1,"NA")</f>
        <v>8.4767779781003805E-2</v>
      </c>
      <c r="BC589" s="1250">
        <f>IFERROR(Model!BC589/Model!BB589-1,"NA")</f>
        <v>6.8225814880555458E-2</v>
      </c>
      <c r="BD589" s="1250">
        <f>IFERROR(Model!BD589/Model!BC589-1,"NA")</f>
        <v>6.158049963021317E-2</v>
      </c>
      <c r="BE589" s="1250">
        <f>IFERROR(Model!BE589/Model!BD589-1,"NA")</f>
        <v>5.9060204864002985E-2</v>
      </c>
    </row>
    <row r="590" spans="1:64" x14ac:dyDescent="0.2">
      <c r="B590" s="15"/>
      <c r="C590" s="321" t="s">
        <v>256</v>
      </c>
      <c r="D590" s="1294"/>
      <c r="E590" s="1294"/>
      <c r="F590" s="1294"/>
      <c r="G590" s="1294"/>
      <c r="H590" s="1294">
        <f>IFERROR(Model!H590/Model!D590-1,"NA")</f>
        <v>-0.77470930232558133</v>
      </c>
      <c r="I590" s="1294">
        <f>IFERROR(Model!I590/Model!E590-1,"NA")</f>
        <v>1.3333333333333335</v>
      </c>
      <c r="J590" s="1294">
        <f>IFERROR(Model!J590/Model!F590-1,"NA")</f>
        <v>-0.58448060075093866</v>
      </c>
      <c r="K590" s="1294">
        <f>IFERROR(Model!K590/Model!G590-1,"NA")</f>
        <v>-0.67647058823529416</v>
      </c>
      <c r="L590" s="1294">
        <f>IFERROR(Model!L590/Model!H590-1,"NA")</f>
        <v>-0.97741935483870968</v>
      </c>
      <c r="M590" s="1294">
        <f>IFERROR(Model!M590/Model!I590-1,"NA")</f>
        <v>-1.0692640692640694</v>
      </c>
      <c r="N590" s="1294">
        <f>IFERROR(Model!N590/Model!J590-1,"NA")</f>
        <v>-4.8192771084337394E-2</v>
      </c>
      <c r="O590" s="1294">
        <f>IFERROR(Model!O590/Model!K590-1,"NA")</f>
        <v>-1.0727272727272728</v>
      </c>
      <c r="P590" s="1294">
        <f>IFERROR(Model!P590/Model!L590-1,"NA")</f>
        <v>8.8571428571428577</v>
      </c>
      <c r="Q590" s="1294">
        <f>IFERROR(Model!Q590/Model!M590-1,"NA")</f>
        <v>-10.46875</v>
      </c>
      <c r="R590" s="1294">
        <f>IFERROR(Model!R590/Model!N590-1,"NA")</f>
        <v>-1.6993670886075949</v>
      </c>
      <c r="S590" s="1294">
        <f>IFERROR(Model!S590/Model!O590-1,"NA")</f>
        <v>-16.5</v>
      </c>
      <c r="T590" s="1294">
        <f>IFERROR(Model!T590/Model!P590-1,"NA")</f>
        <v>-1</v>
      </c>
      <c r="U590" s="1294">
        <f>IFERROR(Model!U590/Model!Q590-1,"NA")</f>
        <v>-1</v>
      </c>
      <c r="V590" s="1294">
        <f>IFERROR(Model!V590/Model!R590-1,"NA")</f>
        <v>-1</v>
      </c>
      <c r="W590" s="1294">
        <f>IFERROR(Model!W590/Model!S590-1,"NA")</f>
        <v>-1</v>
      </c>
      <c r="X590" s="1294" t="str">
        <f>IFERROR(Model!X590/Model!T590-1,"NA")</f>
        <v>NA</v>
      </c>
      <c r="Y590" s="1294" t="str">
        <f>IFERROR(Model!Y590/Model!U590-1,"NA")</f>
        <v>NA</v>
      </c>
      <c r="Z590" s="1294" t="str">
        <f>IFERROR(Model!Z590/Model!V590-1,"NA")</f>
        <v>NA</v>
      </c>
      <c r="AA590" s="1294" t="str">
        <f>IFERROR(Model!AA590/Model!W590-1,"NA")</f>
        <v>NA</v>
      </c>
      <c r="AB590" s="1294" t="str">
        <f>IFERROR(Model!AB590/Model!X590-1,"NA")</f>
        <v>NA</v>
      </c>
      <c r="AC590" s="1294" t="str">
        <f>IFERROR(Model!AC590/Model!Y590-1,"NA")</f>
        <v>NA</v>
      </c>
      <c r="AD590" s="1294" t="str">
        <f>IFERROR(Model!AD590/Model!Z590-1,"NA")</f>
        <v>NA</v>
      </c>
      <c r="AE590" s="1294" t="str">
        <f>IFERROR(Model!AE590/Model!AA590-1,"NA")</f>
        <v>NA</v>
      </c>
      <c r="AF590" s="1294" t="str">
        <f>IFERROR(Model!AF590/Model!AB590-1,"NA")</f>
        <v>NA</v>
      </c>
      <c r="AG590" s="1294" t="str">
        <f>IFERROR(Model!AG590/Model!AC590-1,"NA")</f>
        <v>NA</v>
      </c>
      <c r="AH590" s="1294" t="str">
        <f>IFERROR(Model!AH590/Model!AD590-1,"NA")</f>
        <v>NA</v>
      </c>
      <c r="AI590" s="1294" t="str">
        <f>IFERROR(Model!AI590/Model!AE590-1,"NA")</f>
        <v>NA</v>
      </c>
      <c r="AJ590" s="1300"/>
      <c r="AK590" s="1300"/>
      <c r="AL590" s="1300"/>
      <c r="AM590" s="1300"/>
      <c r="AN590" s="1300"/>
      <c r="AO590" s="1300"/>
      <c r="AP590" s="1300"/>
      <c r="AQ590" s="1300"/>
      <c r="AR590" s="1236"/>
      <c r="AS590" s="1250"/>
      <c r="AT590" s="1284"/>
      <c r="AU590" s="1246"/>
      <c r="AV590" s="1246">
        <f>IFERROR(Model!AV590/Model!AU590-1,"NA")</f>
        <v>-0.86127864897466822</v>
      </c>
      <c r="AW590" s="1246">
        <f>IFERROR(Model!AW590/Model!AV590-1,"NA")</f>
        <v>-5.7971014492753659E-3</v>
      </c>
      <c r="AX590" s="1246">
        <f>IFERROR(Model!AX590/Model!AW590-1,"NA")</f>
        <v>-1.7842565597667639</v>
      </c>
      <c r="AY590" s="1246">
        <f>IFERROR(Model!AY590/Model!AX590-1,"NA")</f>
        <v>-1</v>
      </c>
      <c r="AZ590" s="1246" t="str">
        <f>IFERROR(Model!AZ590/Model!AY590-1,"NA")</f>
        <v>NA</v>
      </c>
      <c r="BA590" s="1246" t="str">
        <f>IFERROR(Model!BA590/Model!AZ590-1,"NA")</f>
        <v>NA</v>
      </c>
      <c r="BB590" s="1246" t="str">
        <f>IFERROR(Model!BB590/Model!BA590-1,"NA")</f>
        <v>NA</v>
      </c>
      <c r="BC590" s="1246" t="str">
        <f>IFERROR(Model!BC590/Model!BB590-1,"NA")</f>
        <v>NA</v>
      </c>
      <c r="BD590" s="1246" t="str">
        <f>IFERROR(Model!BD590/Model!BC590-1,"NA")</f>
        <v>NA</v>
      </c>
      <c r="BE590" s="1246" t="str">
        <f>IFERROR(Model!BE590/Model!BD590-1,"NA")</f>
        <v>NA</v>
      </c>
    </row>
    <row r="591" spans="1:64" x14ac:dyDescent="0.2">
      <c r="B591" s="318" t="s">
        <v>1000</v>
      </c>
      <c r="C591" s="321"/>
      <c r="D591" s="1258"/>
      <c r="E591" s="1258"/>
      <c r="F591" s="1258"/>
      <c r="G591" s="1258"/>
      <c r="H591" s="1258">
        <f>IFERROR(Model!H591/Model!D591-1,"NA")</f>
        <v>0.17999507874015741</v>
      </c>
      <c r="I591" s="1258">
        <f>IFERROR(Model!I591/Model!E591-1,"NA")</f>
        <v>0.16051772105963469</v>
      </c>
      <c r="J591" s="1258">
        <f>IFERROR(Model!J591/Model!F591-1,"NA")</f>
        <v>-1.7165079790800619E-2</v>
      </c>
      <c r="K591" s="1258">
        <f>IFERROR(Model!K591/Model!G591-1,"NA")</f>
        <v>6.6961105570593205E-3</v>
      </c>
      <c r="L591" s="1258">
        <f>IFERROR(Model!L591/Model!H591-1,"NA")</f>
        <v>-3.3885934730476519E-2</v>
      </c>
      <c r="M591" s="1258">
        <f>IFERROR(Model!M591/Model!I591-1,"NA")</f>
        <v>-0.1170523243693975</v>
      </c>
      <c r="N591" s="1258">
        <f>IFERROR(Model!N591/Model!J591-1,"NA")</f>
        <v>0.14640469368263065</v>
      </c>
      <c r="O591" s="1258">
        <f>IFERROR(Model!O591/Model!K591-1,"NA")</f>
        <v>2.221907727144079E-2</v>
      </c>
      <c r="P591" s="1258">
        <f>IFERROR(Model!P591/Model!L591-1,"NA")</f>
        <v>-3.280811569177644E-2</v>
      </c>
      <c r="Q591" s="1258">
        <f>IFERROR(Model!Q591/Model!M591-1,"NA")</f>
        <v>3.5178845472789488E-2</v>
      </c>
      <c r="R591" s="1258">
        <f>IFERROR(Model!R591/Model!N591-1,"NA")</f>
        <v>9.4025232087597832E-3</v>
      </c>
      <c r="S591" s="1258">
        <f>IFERROR(Model!S591/Model!O591-1,"NA")</f>
        <v>-1.4260002768932578E-2</v>
      </c>
      <c r="T591" s="1258">
        <f>IFERROR(Model!T591/Model!P591-1,"NA")</f>
        <v>-0.11905824592724834</v>
      </c>
      <c r="U591" s="1258">
        <f>IFERROR(Model!U591/Model!Q591-1,"NA")</f>
        <v>-9.1230470977305966E-3</v>
      </c>
      <c r="V591" s="1258">
        <f>IFERROR(Model!V591/Model!R591-1,"NA")</f>
        <v>-2.5940337224383825E-3</v>
      </c>
      <c r="W591" s="1258">
        <f>IFERROR(Model!W591/Model!S591-1,"NA")</f>
        <v>0.14943820224719095</v>
      </c>
      <c r="X591" s="1258">
        <f>IFERROR(Model!X591/Model!T591-1,"NA")</f>
        <v>0.18036732108929709</v>
      </c>
      <c r="Y591" s="1258">
        <f>IFERROR(Model!Y591/Model!U591-1,"NA")</f>
        <v>8.4244447001956546E-2</v>
      </c>
      <c r="Z591" s="1258">
        <f>IFERROR(Model!Z591/Model!V591-1,"NA")</f>
        <v>0.11478898214919031</v>
      </c>
      <c r="AA591" s="1258">
        <f>IFERROR(Model!AA591/Model!W591-1,"NA")</f>
        <v>1.4662756598240456E-2</v>
      </c>
      <c r="AB591" s="1258">
        <f>IFERROR(Model!AB591/Model!X591-1,"NA")</f>
        <v>5.676574739778939E-2</v>
      </c>
      <c r="AC591" s="1300">
        <f>IFERROR(Model!AC591/Model!Y591-1,"NA")</f>
        <v>7.8722611355604766E-2</v>
      </c>
      <c r="AD591" s="1300">
        <f>IFERROR(Model!AD591/Model!Z591-1,"NA")</f>
        <v>5.3961385292930153E-2</v>
      </c>
      <c r="AE591" s="1300">
        <f>IFERROR(Model!AE591/Model!AA591-1,"NA")</f>
        <v>0.12772491605905989</v>
      </c>
      <c r="AF591" s="1300">
        <f>IFERROR(Model!AF591/Model!AB591-1,"NA")</f>
        <v>0.11298908981202382</v>
      </c>
      <c r="AG591" s="1300">
        <f>IFERROR(Model!AG591/Model!AC591-1,"NA")</f>
        <v>8.0701609707642952E-2</v>
      </c>
      <c r="AH591" s="1300">
        <f>IFERROR(Model!AH591/Model!AD591-1,"NA")</f>
        <v>7.4559989009851835E-2</v>
      </c>
      <c r="AI591" s="1300">
        <f>IFERROR(Model!AI591/Model!AE591-1,"NA")</f>
        <v>7.0336169853118635E-2</v>
      </c>
      <c r="AJ591" s="1300"/>
      <c r="AK591" s="1300"/>
      <c r="AL591" s="1300"/>
      <c r="AM591" s="1300"/>
      <c r="AN591" s="1300"/>
      <c r="AO591" s="1300"/>
      <c r="AP591" s="1300"/>
      <c r="AQ591" s="1300"/>
      <c r="AR591" s="1236"/>
      <c r="AS591" s="1342"/>
      <c r="AT591" s="1284"/>
      <c r="AU591" s="1258"/>
      <c r="AV591" s="1258">
        <f>IFERROR(Model!AV591/Model!AU591-1,"NA")</f>
        <v>8.7752259402027688E-2</v>
      </c>
      <c r="AW591" s="1258">
        <f>IFERROR(Model!AW591/Model!AV591-1,"NA")</f>
        <v>-6.4919594997021601E-3</v>
      </c>
      <c r="AX591" s="1258">
        <f>IFERROR(Model!AX591/Model!AW591-1,"NA")</f>
        <v>-8.9922666506803139E-4</v>
      </c>
      <c r="AY591" s="1258">
        <f>IFERROR(Model!AY591/Model!AX591-1,"NA")</f>
        <v>-3.1501260050401658E-3</v>
      </c>
      <c r="AZ591" s="1258">
        <f>IFERROR(Model!AZ591/Model!AY591-1,"NA")</f>
        <v>9.7721732326120359E-2</v>
      </c>
      <c r="BA591" s="1258">
        <f>IFERROR(Model!BA591/Model!AZ591-1,"NA")</f>
        <v>7.7867228377691333E-2</v>
      </c>
      <c r="BB591" s="1258">
        <f>IFERROR(Model!BB591/Model!BA591-1,"NA")</f>
        <v>8.4767779781003805E-2</v>
      </c>
      <c r="BC591" s="1258">
        <f>IFERROR(Model!BC591/Model!BB591-1,"NA")</f>
        <v>6.8225814880555458E-2</v>
      </c>
      <c r="BD591" s="1258">
        <f>IFERROR(Model!BD591/Model!BC591-1,"NA")</f>
        <v>6.158049963021317E-2</v>
      </c>
      <c r="BE591" s="1258">
        <f>IFERROR(Model!BE591/Model!BD591-1,"NA")</f>
        <v>5.9060204864002985E-2</v>
      </c>
    </row>
    <row r="592" spans="1:64" x14ac:dyDescent="0.2">
      <c r="A592" s="830"/>
      <c r="B592" s="369"/>
      <c r="C592" s="382"/>
      <c r="D592" s="1267"/>
      <c r="E592" s="1267"/>
      <c r="F592" s="1267"/>
      <c r="G592" s="1267"/>
      <c r="H592" s="1267"/>
      <c r="I592" s="1267"/>
      <c r="J592" s="1267"/>
      <c r="K592" s="1267"/>
      <c r="L592" s="1267"/>
      <c r="M592" s="1267"/>
      <c r="N592" s="1267"/>
      <c r="O592" s="1267"/>
      <c r="P592" s="1267"/>
      <c r="Q592" s="1267"/>
      <c r="R592" s="1267"/>
      <c r="S592" s="1267"/>
      <c r="T592" s="1267"/>
      <c r="U592" s="1267"/>
      <c r="V592" s="1267"/>
      <c r="W592" s="1267"/>
      <c r="X592" s="1236"/>
      <c r="Y592" s="1236"/>
      <c r="Z592" s="1236"/>
      <c r="AA592" s="1236"/>
      <c r="AB592" s="1236"/>
      <c r="AC592" s="1236"/>
      <c r="AD592" s="1236"/>
      <c r="AE592" s="1236"/>
      <c r="AF592" s="1236"/>
      <c r="AG592" s="1236"/>
      <c r="AH592" s="1236"/>
      <c r="AI592" s="1236"/>
      <c r="AJ592" s="1236"/>
      <c r="AK592" s="1236"/>
      <c r="AL592" s="1236"/>
      <c r="AM592" s="1236"/>
      <c r="AN592" s="1236"/>
      <c r="AO592" s="1236"/>
      <c r="AP592" s="1236"/>
      <c r="AQ592" s="1236"/>
      <c r="AR592" s="1236"/>
      <c r="AS592" s="1263"/>
      <c r="AT592" s="1308"/>
      <c r="AU592" s="1236"/>
      <c r="AV592" s="1236"/>
      <c r="AW592" s="1236"/>
      <c r="AX592" s="1236"/>
      <c r="AY592" s="1236"/>
      <c r="AZ592" s="1236"/>
      <c r="BA592" s="1236"/>
      <c r="BB592" s="1236"/>
      <c r="BC592" s="1236"/>
      <c r="BD592" s="1236"/>
      <c r="BE592" s="1236"/>
    </row>
    <row r="593" spans="1:64" s="190" customFormat="1" x14ac:dyDescent="0.2">
      <c r="A593" s="411"/>
      <c r="B593" s="340" t="s">
        <v>263</v>
      </c>
      <c r="C593" s="388"/>
      <c r="D593" s="1462"/>
      <c r="E593" s="1462"/>
      <c r="F593" s="1462"/>
      <c r="G593" s="1462"/>
      <c r="H593" s="1462"/>
      <c r="I593" s="1462"/>
      <c r="J593" s="1462"/>
      <c r="K593" s="1462"/>
      <c r="L593" s="1462"/>
      <c r="M593" s="1462"/>
      <c r="N593" s="1462"/>
      <c r="O593" s="1462"/>
      <c r="P593" s="1462"/>
      <c r="Q593" s="1462"/>
      <c r="R593" s="1462"/>
      <c r="S593" s="1462"/>
      <c r="T593" s="1462"/>
      <c r="U593" s="1462"/>
      <c r="V593" s="1462"/>
      <c r="W593" s="1462"/>
      <c r="X593" s="1398"/>
      <c r="Y593" s="1398"/>
      <c r="Z593" s="1398"/>
      <c r="AA593" s="1398"/>
      <c r="AB593" s="1398"/>
      <c r="AC593" s="1271"/>
      <c r="AD593" s="1271"/>
      <c r="AE593" s="1271"/>
      <c r="AF593" s="1271"/>
      <c r="AG593" s="1271"/>
      <c r="AH593" s="1271"/>
      <c r="AI593" s="1271"/>
      <c r="AJ593" s="1271"/>
      <c r="AK593" s="1271"/>
      <c r="AL593" s="1271"/>
      <c r="AM593" s="1271"/>
      <c r="AN593" s="1271"/>
      <c r="AO593" s="1271"/>
      <c r="AP593" s="1271"/>
      <c r="AQ593" s="1271"/>
      <c r="AR593" s="1236"/>
      <c r="AS593" s="1313"/>
      <c r="AT593" s="1407"/>
      <c r="AU593" s="1271"/>
      <c r="AV593" s="1271"/>
      <c r="AW593" s="1271"/>
      <c r="AX593" s="1271"/>
      <c r="AY593" s="1271"/>
      <c r="AZ593" s="1271"/>
      <c r="BA593" s="1271"/>
      <c r="BB593" s="1271"/>
      <c r="BC593" s="1271"/>
      <c r="BD593" s="1271"/>
      <c r="BE593" s="1271"/>
      <c r="BF593" s="70"/>
      <c r="BG593" s="70"/>
      <c r="BH593" s="70"/>
      <c r="BI593" s="70"/>
      <c r="BJ593" s="70"/>
      <c r="BK593" s="70"/>
      <c r="BL593" s="70"/>
    </row>
    <row r="594" spans="1:64" x14ac:dyDescent="0.2">
      <c r="B594" s="327"/>
      <c r="C594" s="362" t="s">
        <v>76</v>
      </c>
      <c r="D594" s="1303"/>
      <c r="E594" s="1303"/>
      <c r="F594" s="1303"/>
      <c r="G594" s="1303"/>
      <c r="H594" s="1303">
        <f>IFERROR(Model!H594/Model!D594-1,"NA")</f>
        <v>1.0815999999999999</v>
      </c>
      <c r="I594" s="1303">
        <f>IFERROR(Model!I594/Model!E594-1,"NA")</f>
        <v>0.5499092558983667</v>
      </c>
      <c r="J594" s="1303">
        <f>IFERROR(Model!J594/Model!F594-1,"NA")</f>
        <v>-0.11093990755007699</v>
      </c>
      <c r="K594" s="1303">
        <f>IFERROR(Model!K594/Model!G594-1,"NA")</f>
        <v>-7.283464566929132E-2</v>
      </c>
      <c r="L594" s="1303">
        <f>IFERROR(Model!L594/Model!H594-1,"NA")</f>
        <v>4.8424289008454968E-2</v>
      </c>
      <c r="M594" s="1303">
        <f>IFERROR(Model!M594/Model!I594-1,"NA")</f>
        <v>0.33840749414519911</v>
      </c>
      <c r="N594" s="1303">
        <f>IFERROR(Model!N594/Model!J594-1,"NA")</f>
        <v>0.65511265164644716</v>
      </c>
      <c r="O594" s="1303">
        <f>IFERROR(Model!O594/Model!K594-1,"NA")</f>
        <v>0.38641188959660289</v>
      </c>
      <c r="P594" s="1303">
        <f>IFERROR(Model!P594/Model!L594-1,"NA")</f>
        <v>-0.3203812316715543</v>
      </c>
      <c r="Q594" s="1303">
        <f>IFERROR(Model!Q594/Model!M594-1,"NA")</f>
        <v>-0.18022747156605423</v>
      </c>
      <c r="R594" s="1303">
        <f>IFERROR(Model!R594/Model!N594-1,"NA")</f>
        <v>-7.1204188481675423E-2</v>
      </c>
      <c r="S594" s="1303">
        <f>IFERROR(Model!S594/Model!O594-1,"NA")</f>
        <v>-0.28790199081163859</v>
      </c>
      <c r="T594" s="1303">
        <f>IFERROR(Model!T594/Model!P594-1,"NA")</f>
        <v>-0.4110032362459547</v>
      </c>
      <c r="U594" s="1303">
        <f>IFERROR(Model!U594/Model!Q594-1,"NA")</f>
        <v>7.257203842049087E-2</v>
      </c>
      <c r="V594" s="1303">
        <f>IFERROR(Model!V594/Model!R594-1,"NA")</f>
        <v>0.2029312288613303</v>
      </c>
      <c r="W594" s="1303">
        <f>IFERROR(Model!W594/Model!S594-1,"NA")</f>
        <v>0.88602150537634405</v>
      </c>
      <c r="X594" s="1303">
        <f>IFERROR(Model!X594/Model!T594-1,"NA")</f>
        <v>0.97252747252747263</v>
      </c>
      <c r="Y594" s="1303">
        <f>IFERROR(Model!Y594/Model!U594-1,"NA")</f>
        <v>8.2587064676616917E-2</v>
      </c>
      <c r="Z594" s="1303">
        <f>IFERROR(Model!Z594/Model!V594-1,"NA")</f>
        <v>0.21649484536082464</v>
      </c>
      <c r="AA594" s="1303">
        <f>IFERROR(Model!AA594/Model!W594-1,"NA")</f>
        <v>-2.2633979475484605</v>
      </c>
      <c r="AB594" s="1303">
        <f>IFERROR(Model!AB594/Model!X594-1,"NA")</f>
        <v>-0.20427112349117915</v>
      </c>
      <c r="AC594" s="1305" t="str">
        <f>IFERROR(Model!AC594/Model!Y594-1,"NA")</f>
        <v>NA</v>
      </c>
      <c r="AD594" s="1305" t="str">
        <f>IFERROR(Model!AD594/Model!Z594-1,"NA")</f>
        <v>NA</v>
      </c>
      <c r="AE594" s="1305" t="str">
        <f>IFERROR(Model!AE594/Model!AA594-1,"NA")</f>
        <v>NA</v>
      </c>
      <c r="AF594" s="1305" t="str">
        <f>IFERROR(Model!AF594/Model!AB594-1,"NA")</f>
        <v>NA</v>
      </c>
      <c r="AG594" s="1305" t="str">
        <f>IFERROR(Model!AG594/Model!AC594-1,"NA")</f>
        <v>NA</v>
      </c>
      <c r="AH594" s="1305" t="str">
        <f>IFERROR(Model!AH594/Model!AD594-1,"NA")</f>
        <v>NA</v>
      </c>
      <c r="AI594" s="1305" t="str">
        <f>IFERROR(Model!AI594/Model!AE594-1,"NA")</f>
        <v>NA</v>
      </c>
      <c r="AJ594" s="1305"/>
      <c r="AK594" s="1305"/>
      <c r="AL594" s="1305"/>
      <c r="AM594" s="1305"/>
      <c r="AN594" s="1305"/>
      <c r="AO594" s="1305"/>
      <c r="AP594" s="1305"/>
      <c r="AQ594" s="1305"/>
      <c r="AR594" s="1236"/>
      <c r="AS594" s="1284"/>
      <c r="AT594" s="1400"/>
      <c r="AU594" s="1236"/>
      <c r="AV594" s="1236">
        <f>IFERROR(Model!AV594/Model!AU594-1,"NA")</f>
        <v>0.372910415773682</v>
      </c>
      <c r="AW594" s="1236">
        <f>IFERROR(Model!AW594/Model!AV594-1,"NA")</f>
        <v>0.28473306275366839</v>
      </c>
      <c r="AX594" s="1236">
        <f>IFERROR(Model!AX594/Model!AW594-1,"NA")</f>
        <v>-0.21846901579586875</v>
      </c>
      <c r="AY594" s="1236">
        <f>IFERROR(Model!AY594/Model!AX594-1,"NA")</f>
        <v>8.6753731343283569E-2</v>
      </c>
      <c r="AZ594" s="1236" t="str">
        <f>IFERROR(Model!AZ594/Model!AY594-1,"NA")</f>
        <v>NA</v>
      </c>
      <c r="BA594" s="1236" t="str">
        <f>IFERROR(Model!BA594/Model!AZ594-1,"NA")</f>
        <v>NA</v>
      </c>
      <c r="BB594" s="1236" t="str">
        <f>IFERROR(Model!BB594/Model!BA594-1,"NA")</f>
        <v>NA</v>
      </c>
      <c r="BC594" s="1236" t="str">
        <f>IFERROR(Model!BC594/Model!BB594-1,"NA")</f>
        <v>NA</v>
      </c>
      <c r="BD594" s="1236" t="str">
        <f>IFERROR(Model!BD594/Model!BC594-1,"NA")</f>
        <v>NA</v>
      </c>
      <c r="BE594" s="1236" t="str">
        <f>IFERROR(Model!BE594/Model!BD594-1,"NA")</f>
        <v>NA</v>
      </c>
    </row>
    <row r="595" spans="1:64" x14ac:dyDescent="0.2">
      <c r="B595" s="327"/>
      <c r="C595" s="362" t="s">
        <v>27</v>
      </c>
      <c r="D595" s="1303"/>
      <c r="E595" s="1303"/>
      <c r="F595" s="1303"/>
      <c r="G595" s="1303"/>
      <c r="H595" s="1303">
        <f>IFERROR(Model!H595/Model!D595-1,"NA")</f>
        <v>-0.36213991769547327</v>
      </c>
      <c r="I595" s="1303">
        <f>IFERROR(Model!I595/Model!E595-1,"NA")</f>
        <v>0.31531531531531543</v>
      </c>
      <c r="J595" s="1303">
        <f>IFERROR(Model!J595/Model!F595-1,"NA")</f>
        <v>-0.37831325301204821</v>
      </c>
      <c r="K595" s="1303">
        <f>IFERROR(Model!K595/Model!G595-1,"NA")</f>
        <v>-9.2473118279569944E-2</v>
      </c>
      <c r="L595" s="1303">
        <f>IFERROR(Model!L595/Model!H595-1,"NA")</f>
        <v>-1.5483870967741953E-2</v>
      </c>
      <c r="M595" s="1303">
        <f>IFERROR(Model!M595/Model!I595-1,"NA")</f>
        <v>-0.35502283105022836</v>
      </c>
      <c r="N595" s="1303">
        <f>IFERROR(Model!N595/Model!J595-1,"NA")</f>
        <v>0.27906976744186052</v>
      </c>
      <c r="O595" s="1303">
        <f>IFERROR(Model!O595/Model!K595-1,"NA")</f>
        <v>-0.42654028436018954</v>
      </c>
      <c r="P595" s="1303">
        <f>IFERROR(Model!P595/Model!L595-1,"NA")</f>
        <v>0.307994757536042</v>
      </c>
      <c r="Q595" s="1303">
        <f>IFERROR(Model!Q595/Model!M595-1,"NA")</f>
        <v>2.4778761061946986E-2</v>
      </c>
      <c r="R595" s="1303">
        <f>IFERROR(Model!R595/Model!N595-1,"NA")</f>
        <v>-0.4363636363636364</v>
      </c>
      <c r="S595" s="1303">
        <f>IFERROR(Model!S595/Model!O595-1,"NA")</f>
        <v>-0.19008264462809921</v>
      </c>
      <c r="T595" s="1303">
        <f>IFERROR(Model!T595/Model!P595-1,"NA")</f>
        <v>-0.62525050100200397</v>
      </c>
      <c r="U595" s="1303">
        <f>IFERROR(Model!U595/Model!Q595-1,"NA")</f>
        <v>0.20034542314335058</v>
      </c>
      <c r="V595" s="1303">
        <f>IFERROR(Model!V595/Model!R595-1,"NA")</f>
        <v>0.7446236559139785</v>
      </c>
      <c r="W595" s="1303">
        <f>IFERROR(Model!W595/Model!S595-1,"NA")</f>
        <v>2.3010204081632653</v>
      </c>
      <c r="X595" s="1303">
        <f>IFERROR(Model!X595/Model!T595-1,"NA")</f>
        <v>1.3048128342245988</v>
      </c>
      <c r="Y595" s="1303">
        <f>IFERROR(Model!Y595/Model!U595-1,"NA")</f>
        <v>0.13093525179856114</v>
      </c>
      <c r="Z595" s="1303">
        <f>IFERROR(Model!Z595/Model!V595-1,"NA")</f>
        <v>0.16024653312788906</v>
      </c>
      <c r="AA595" s="1303">
        <f>IFERROR(Model!AA595/Model!W595-1,"NA")</f>
        <v>-0.33384853168469864</v>
      </c>
      <c r="AB595" s="1303">
        <f>IFERROR(Model!AB595/Model!X595-1,"NA")</f>
        <v>0.29118329466357307</v>
      </c>
      <c r="AC595" s="1305" t="str">
        <f>IFERROR(Model!AC595/Model!Y595-1,"NA")</f>
        <v>NA</v>
      </c>
      <c r="AD595" s="1305" t="str">
        <f>IFERROR(Model!AD595/Model!Z595-1,"NA")</f>
        <v>NA</v>
      </c>
      <c r="AE595" s="1305" t="str">
        <f>IFERROR(Model!AE595/Model!AA595-1,"NA")</f>
        <v>NA</v>
      </c>
      <c r="AF595" s="1305" t="str">
        <f>IFERROR(Model!AF595/Model!AB595-1,"NA")</f>
        <v>NA</v>
      </c>
      <c r="AG595" s="1305" t="str">
        <f>IFERROR(Model!AG595/Model!AC595-1,"NA")</f>
        <v>NA</v>
      </c>
      <c r="AH595" s="1305" t="str">
        <f>IFERROR(Model!AH595/Model!AD595-1,"NA")</f>
        <v>NA</v>
      </c>
      <c r="AI595" s="1305" t="str">
        <f>IFERROR(Model!AI595/Model!AE595-1,"NA")</f>
        <v>NA</v>
      </c>
      <c r="AJ595" s="1305"/>
      <c r="AK595" s="1305"/>
      <c r="AL595" s="1305"/>
      <c r="AM595" s="1305"/>
      <c r="AN595" s="1305"/>
      <c r="AO595" s="1305"/>
      <c r="AP595" s="1305"/>
      <c r="AQ595" s="1305"/>
      <c r="AR595" s="1236"/>
      <c r="AS595" s="1284"/>
      <c r="AT595" s="1400"/>
      <c r="AU595" s="1236"/>
      <c r="AV595" s="1236">
        <f>IFERROR(Model!AV595/Model!AU595-1,"NA")</f>
        <v>-0.18482367758186402</v>
      </c>
      <c r="AW595" s="1236">
        <f>IFERROR(Model!AW595/Model!AV595-1,"NA")</f>
        <v>-0.1386635766705292</v>
      </c>
      <c r="AX595" s="1236">
        <f>IFERROR(Model!AX595/Model!AW595-1,"NA")</f>
        <v>-3.811659192825112E-2</v>
      </c>
      <c r="AY595" s="1236">
        <f>IFERROR(Model!AY595/Model!AX595-1,"NA")</f>
        <v>0.10256410256410264</v>
      </c>
      <c r="AZ595" s="1236" t="str">
        <f>IFERROR(Model!AZ595/Model!AY595-1,"NA")</f>
        <v>NA</v>
      </c>
      <c r="BA595" s="1236" t="str">
        <f>IFERROR(Model!BA595/Model!AZ595-1,"NA")</f>
        <v>NA</v>
      </c>
      <c r="BB595" s="1236" t="str">
        <f>IFERROR(Model!BB595/Model!BA595-1,"NA")</f>
        <v>NA</v>
      </c>
      <c r="BC595" s="1236" t="str">
        <f>IFERROR(Model!BC595/Model!BB595-1,"NA")</f>
        <v>NA</v>
      </c>
      <c r="BD595" s="1236" t="str">
        <f>IFERROR(Model!BD595/Model!BC595-1,"NA")</f>
        <v>NA</v>
      </c>
      <c r="BE595" s="1236" t="str">
        <f>IFERROR(Model!BE595/Model!BD595-1,"NA")</f>
        <v>NA</v>
      </c>
    </row>
    <row r="596" spans="1:64" x14ac:dyDescent="0.2">
      <c r="B596" s="327"/>
      <c r="C596" s="362" t="s">
        <v>5</v>
      </c>
      <c r="D596" s="1303"/>
      <c r="E596" s="1303"/>
      <c r="F596" s="1303"/>
      <c r="G596" s="1303"/>
      <c r="H596" s="1303">
        <f>IFERROR(Model!H596/Model!D596-1,"NA")</f>
        <v>-5.8479532163742687E-2</v>
      </c>
      <c r="I596" s="1303">
        <f>IFERROR(Model!I596/Model!E596-1,"NA")</f>
        <v>4.9603174603174649E-2</v>
      </c>
      <c r="J596" s="1303">
        <f>IFERROR(Model!J596/Model!F596-1,"NA")</f>
        <v>-0.10136452241715399</v>
      </c>
      <c r="K596" s="1303">
        <f>IFERROR(Model!K596/Model!G596-1,"NA")</f>
        <v>-0.44117647058823528</v>
      </c>
      <c r="L596" s="1303">
        <f>IFERROR(Model!L596/Model!H596-1,"NA")</f>
        <v>-0.16770186335403725</v>
      </c>
      <c r="M596" s="1303">
        <f>IFERROR(Model!M596/Model!I596-1,"NA")</f>
        <v>-0.12854442344045369</v>
      </c>
      <c r="N596" s="1303">
        <f>IFERROR(Model!N596/Model!J596-1,"NA")</f>
        <v>-0.28416485900216915</v>
      </c>
      <c r="O596" s="1303">
        <f>IFERROR(Model!O596/Model!K596-1,"NA")</f>
        <v>0.37799043062200965</v>
      </c>
      <c r="P596" s="1303">
        <f>IFERROR(Model!P596/Model!L596-1,"NA")</f>
        <v>-5.2238805970149294E-2</v>
      </c>
      <c r="Q596" s="1303">
        <f>IFERROR(Model!Q596/Model!M596-1,"NA")</f>
        <v>-0.11279826464208242</v>
      </c>
      <c r="R596" s="1303">
        <f>IFERROR(Model!R596/Model!N596-1,"NA")</f>
        <v>0.1515151515151516</v>
      </c>
      <c r="S596" s="1303">
        <f>IFERROR(Model!S596/Model!O596-1,"NA")</f>
        <v>-0.38888888888888884</v>
      </c>
      <c r="T596" s="1303">
        <f>IFERROR(Model!T596/Model!P596-1,"NA")</f>
        <v>-0.13385826771653542</v>
      </c>
      <c r="U596" s="1303">
        <f>IFERROR(Model!U596/Model!Q596-1,"NA")</f>
        <v>-4.1564792176039145E-2</v>
      </c>
      <c r="V596" s="1303">
        <f>IFERROR(Model!V596/Model!R596-1,"NA")</f>
        <v>2.3684210526315752E-2</v>
      </c>
      <c r="W596" s="1303">
        <f>IFERROR(Model!W596/Model!S596-1,"NA")</f>
        <v>0.94886363636363646</v>
      </c>
      <c r="X596" s="1303">
        <f>IFERROR(Model!X596/Model!T596-1,"NA")</f>
        <v>0.46060606060606069</v>
      </c>
      <c r="Y596" s="1303">
        <f>IFERROR(Model!Y596/Model!U596-1,"NA")</f>
        <v>-0.13010204081632648</v>
      </c>
      <c r="Z596" s="1303">
        <f>IFERROR(Model!Z596/Model!V596-1,"NA")</f>
        <v>-2.5706940874036244E-3</v>
      </c>
      <c r="AA596" s="1303">
        <f>IFERROR(Model!AA596/Model!W596-1,"NA")</f>
        <v>-2.9154518950437303E-2</v>
      </c>
      <c r="AB596" s="1303">
        <f>IFERROR(Model!AB596/Model!X596-1,"NA")</f>
        <v>1.8672199170124415E-2</v>
      </c>
      <c r="AC596" s="1305" t="str">
        <f>IFERROR(Model!AC596/Model!Y596-1,"NA")</f>
        <v>NA</v>
      </c>
      <c r="AD596" s="1305" t="str">
        <f>IFERROR(Model!AD596/Model!Z596-1,"NA")</f>
        <v>NA</v>
      </c>
      <c r="AE596" s="1305" t="str">
        <f>IFERROR(Model!AE596/Model!AA596-1,"NA")</f>
        <v>NA</v>
      </c>
      <c r="AF596" s="1305" t="str">
        <f>IFERROR(Model!AF596/Model!AB596-1,"NA")</f>
        <v>NA</v>
      </c>
      <c r="AG596" s="1305" t="str">
        <f>IFERROR(Model!AG596/Model!AC596-1,"NA")</f>
        <v>NA</v>
      </c>
      <c r="AH596" s="1305" t="str">
        <f>IFERROR(Model!AH596/Model!AD596-1,"NA")</f>
        <v>NA</v>
      </c>
      <c r="AI596" s="1305" t="str">
        <f>IFERROR(Model!AI596/Model!AE596-1,"NA")</f>
        <v>NA</v>
      </c>
      <c r="AJ596" s="1305"/>
      <c r="AK596" s="1305"/>
      <c r="AL596" s="1305"/>
      <c r="AM596" s="1305"/>
      <c r="AN596" s="1305"/>
      <c r="AO596" s="1305"/>
      <c r="AP596" s="1305"/>
      <c r="AQ596" s="1305"/>
      <c r="AR596" s="1236"/>
      <c r="AS596" s="1284"/>
      <c r="AT596" s="1400"/>
      <c r="AU596" s="1236"/>
      <c r="AV596" s="1236">
        <f>IFERROR(Model!AV596/Model!AU596-1,"NA")</f>
        <v>-0.11659663865546221</v>
      </c>
      <c r="AW596" s="1236">
        <f>IFERROR(Model!AW596/Model!AV596-1,"NA")</f>
        <v>-0.11950059453032102</v>
      </c>
      <c r="AX596" s="1236">
        <f>IFERROR(Model!AX596/Model!AW596-1,"NA")</f>
        <v>-9.1154625253207278E-2</v>
      </c>
      <c r="AY596" s="1236">
        <f>IFERROR(Model!AY596/Model!AX596-1,"NA")</f>
        <v>8.0237741456166356E-2</v>
      </c>
      <c r="AZ596" s="1236" t="str">
        <f>IFERROR(Model!AZ596/Model!AY596-1,"NA")</f>
        <v>NA</v>
      </c>
      <c r="BA596" s="1236" t="str">
        <f>IFERROR(Model!BA596/Model!AZ596-1,"NA")</f>
        <v>NA</v>
      </c>
      <c r="BB596" s="1236" t="str">
        <f>IFERROR(Model!BB596/Model!BA596-1,"NA")</f>
        <v>NA</v>
      </c>
      <c r="BC596" s="1236" t="str">
        <f>IFERROR(Model!BC596/Model!BB596-1,"NA")</f>
        <v>NA</v>
      </c>
      <c r="BD596" s="1236" t="str">
        <f>IFERROR(Model!BD596/Model!BC596-1,"NA")</f>
        <v>NA</v>
      </c>
      <c r="BE596" s="1236" t="str">
        <f>IFERROR(Model!BE596/Model!BD596-1,"NA")</f>
        <v>NA</v>
      </c>
    </row>
    <row r="597" spans="1:64" x14ac:dyDescent="0.2">
      <c r="B597" s="321"/>
      <c r="C597" s="362" t="s">
        <v>77</v>
      </c>
      <c r="D597" s="1303"/>
      <c r="E597" s="1303"/>
      <c r="F597" s="1303"/>
      <c r="G597" s="1303"/>
      <c r="H597" s="1303">
        <f>IFERROR(Model!H597/Model!D597-1,"NA")</f>
        <v>4.0540540540540571E-2</v>
      </c>
      <c r="I597" s="1303">
        <f>IFERROR(Model!I597/Model!E597-1,"NA")</f>
        <v>0.41743119266055051</v>
      </c>
      <c r="J597" s="1303">
        <f>IFERROR(Model!J597/Model!F597-1,"NA")</f>
        <v>-0.17288801571709234</v>
      </c>
      <c r="K597" s="1303">
        <f>IFERROR(Model!K597/Model!G597-1,"NA")</f>
        <v>0.30245231607629419</v>
      </c>
      <c r="L597" s="1303">
        <f>IFERROR(Model!L597/Model!H597-1,"NA")</f>
        <v>-0.30591630591630592</v>
      </c>
      <c r="M597" s="1303">
        <f>IFERROR(Model!M597/Model!I597-1,"NA")</f>
        <v>-0.27508090614886727</v>
      </c>
      <c r="N597" s="1303">
        <f>IFERROR(Model!N597/Model!J597-1,"NA")</f>
        <v>0.4988123515439431</v>
      </c>
      <c r="O597" s="1303">
        <f>IFERROR(Model!O597/Model!K597-1,"NA")</f>
        <v>7.5313807531380839E-2</v>
      </c>
      <c r="P597" s="1303">
        <f>IFERROR(Model!P597/Model!L597-1,"NA")</f>
        <v>0.33679833679833671</v>
      </c>
      <c r="Q597" s="1303">
        <f>IFERROR(Model!Q597/Model!M597-1,"NA")</f>
        <v>0.40625</v>
      </c>
      <c r="R597" s="1303">
        <f>IFERROR(Model!R597/Model!N597-1,"NA")</f>
        <v>-0.15213946117274169</v>
      </c>
      <c r="S597" s="1303">
        <f>IFERROR(Model!S597/Model!O597-1,"NA")</f>
        <v>-0.17704280155642027</v>
      </c>
      <c r="T597" s="1303">
        <f>IFERROR(Model!T597/Model!P597-1,"NA")</f>
        <v>-3.7325038880248851E-2</v>
      </c>
      <c r="U597" s="1303">
        <f>IFERROR(Model!U597/Model!Q597-1,"NA")</f>
        <v>-0.16984126984126979</v>
      </c>
      <c r="V597" s="1303">
        <f>IFERROR(Model!V597/Model!R597-1,"NA")</f>
        <v>3.7383177570093462E-2</v>
      </c>
      <c r="W597" s="1303">
        <f>IFERROR(Model!W597/Model!S597-1,"NA")</f>
        <v>0.21513002364066192</v>
      </c>
      <c r="X597" s="1303">
        <f>IFERROR(Model!X597/Model!T597-1,"NA")</f>
        <v>-4.6849757673667169E-2</v>
      </c>
      <c r="Y597" s="1303">
        <f>IFERROR(Model!Y597/Model!U597-1,"NA")</f>
        <v>8.0305927342256167E-2</v>
      </c>
      <c r="Z597" s="1303">
        <f>IFERROR(Model!Z597/Model!V597-1,"NA")</f>
        <v>0.1225225225225226</v>
      </c>
      <c r="AA597" s="1303">
        <f>IFERROR(Model!AA597/Model!W597-1,"NA")</f>
        <v>8.3657587548638057E-2</v>
      </c>
      <c r="AB597" s="1303">
        <f>IFERROR(Model!AB597/Model!X597-1,"NA")</f>
        <v>0.471186440677966</v>
      </c>
      <c r="AC597" s="1306" t="str">
        <f>IFERROR(Model!AC597/Model!Y597-1,"NA")</f>
        <v>NA</v>
      </c>
      <c r="AD597" s="1306" t="str">
        <f>IFERROR(Model!AD597/Model!Z597-1,"NA")</f>
        <v>NA</v>
      </c>
      <c r="AE597" s="1306" t="str">
        <f>IFERROR(Model!AE597/Model!AA597-1,"NA")</f>
        <v>NA</v>
      </c>
      <c r="AF597" s="1306" t="str">
        <f>IFERROR(Model!AF597/Model!AB597-1,"NA")</f>
        <v>NA</v>
      </c>
      <c r="AG597" s="1306" t="str">
        <f>IFERROR(Model!AG597/Model!AC597-1,"NA")</f>
        <v>NA</v>
      </c>
      <c r="AH597" s="1306" t="str">
        <f>IFERROR(Model!AH597/Model!AD597-1,"NA")</f>
        <v>NA</v>
      </c>
      <c r="AI597" s="1306" t="str">
        <f>IFERROR(Model!AI597/Model!AE597-1,"NA")</f>
        <v>NA</v>
      </c>
      <c r="AJ597" s="1745"/>
      <c r="AK597" s="1745"/>
      <c r="AL597" s="1745"/>
      <c r="AM597" s="1745"/>
      <c r="AN597" s="1745"/>
      <c r="AO597" s="1745"/>
      <c r="AP597" s="1745"/>
      <c r="AQ597" s="1745"/>
      <c r="AR597" s="1236"/>
      <c r="AS597" s="1284"/>
      <c r="AT597" s="1400"/>
      <c r="AU597" s="1246"/>
      <c r="AV597" s="1246">
        <f>IFERROR(Model!AV597/Model!AU597-1,"NA")</f>
        <v>0.11729019211324565</v>
      </c>
      <c r="AW597" s="1246">
        <f>IFERROR(Model!AW597/Model!AV597-1,"NA")</f>
        <v>-6.1538461538461542E-2</v>
      </c>
      <c r="AX597" s="1246">
        <f>IFERROR(Model!AX597/Model!AW597-1,"NA")</f>
        <v>7.5699132111861189E-2</v>
      </c>
      <c r="AY597" s="1246">
        <f>IFERROR(Model!AY597/Model!AX597-1,"NA")</f>
        <v>-8.964589870013473E-3</v>
      </c>
      <c r="AZ597" s="1246" t="str">
        <f>IFERROR(Model!AZ597/Model!AY597-1,"NA")</f>
        <v>NA</v>
      </c>
      <c r="BA597" s="1246" t="str">
        <f>IFERROR(Model!BA597/Model!AZ597-1,"NA")</f>
        <v>NA</v>
      </c>
      <c r="BB597" s="1246" t="str">
        <f>IFERROR(Model!BB597/Model!BA597-1,"NA")</f>
        <v>NA</v>
      </c>
      <c r="BC597" s="1246" t="str">
        <f>IFERROR(Model!BC597/Model!BB597-1,"NA")</f>
        <v>NA</v>
      </c>
      <c r="BD597" s="1246" t="str">
        <f>IFERROR(Model!BD597/Model!BC597-1,"NA")</f>
        <v>NA</v>
      </c>
      <c r="BE597" s="1246" t="str">
        <f>IFERROR(Model!BE597/Model!BD597-1,"NA")</f>
        <v>NA</v>
      </c>
    </row>
    <row r="598" spans="1:64" x14ac:dyDescent="0.2">
      <c r="B598" s="321" t="s">
        <v>999</v>
      </c>
      <c r="C598" s="319"/>
      <c r="D598" s="1439"/>
      <c r="E598" s="1439"/>
      <c r="F598" s="1439"/>
      <c r="G598" s="1439"/>
      <c r="H598" s="1439">
        <f>IFERROR(Model!H598/Model!D598-1,"NA")</f>
        <v>7.7177873468035729E-2</v>
      </c>
      <c r="I598" s="1439">
        <f>IFERROR(Model!I598/Model!E598-1,"NA")</f>
        <v>0.33379694019471495</v>
      </c>
      <c r="J598" s="1439">
        <f>IFERROR(Model!J598/Model!F598-1,"NA")</f>
        <v>-0.21031587365053983</v>
      </c>
      <c r="K598" s="1439">
        <f>IFERROR(Model!K598/Model!G598-1,"NA")</f>
        <v>-7.817969661610269E-2</v>
      </c>
      <c r="L598" s="1439">
        <f>IFERROR(Model!L598/Model!H598-1,"NA")</f>
        <v>-7.4415744157441566E-2</v>
      </c>
      <c r="M598" s="1439">
        <f>IFERROR(Model!M598/Model!I598-1,"NA")</f>
        <v>-9.0371915189433438E-2</v>
      </c>
      <c r="N598" s="1439">
        <f>IFERROR(Model!N598/Model!J598-1,"NA")</f>
        <v>0.30430379746835445</v>
      </c>
      <c r="O598" s="1439">
        <f>IFERROR(Model!O598/Model!K598-1,"NA")</f>
        <v>7.4050632911392356E-2</v>
      </c>
      <c r="P598" s="1439">
        <f>IFERROR(Model!P598/Model!L598-1,"NA")</f>
        <v>-2.0265780730897021E-2</v>
      </c>
      <c r="Q598" s="1439">
        <f>IFERROR(Model!Q598/Model!M598-1,"NA")</f>
        <v>-2.3691249522353797E-2</v>
      </c>
      <c r="R598" s="1439">
        <f>IFERROR(Model!R598/Model!N598-1,"NA")</f>
        <v>-0.15605590062111796</v>
      </c>
      <c r="S598" s="1439">
        <f>IFERROR(Model!S598/Model!O598-1,"NA")</f>
        <v>-0.25751325869180908</v>
      </c>
      <c r="T598" s="1439">
        <f>IFERROR(Model!T598/Model!P598-1,"NA")</f>
        <v>-0.36622583926754837</v>
      </c>
      <c r="U598" s="1439">
        <f>IFERROR(Model!U598/Model!Q598-1,"NA")</f>
        <v>2.3483365949119372E-2</v>
      </c>
      <c r="V598" s="1439">
        <f>IFERROR(Model!V598/Model!R598-1,"NA")</f>
        <v>0.2235510579576816</v>
      </c>
      <c r="W598" s="1439">
        <f>IFERROR(Model!W598/Model!S598-1,"NA")</f>
        <v>0.88968253968253963</v>
      </c>
      <c r="X598" s="1439">
        <f>IFERROR(Model!X598/Model!T598-1,"NA")</f>
        <v>0.61102193686463346</v>
      </c>
      <c r="Y598" s="1439">
        <f>IFERROR(Model!Y598/Model!U598-1,"NA")</f>
        <v>6.3097514340344274E-2</v>
      </c>
      <c r="Z598" s="1439">
        <f>IFERROR(Model!Z598/Model!V598-1,"NA")</f>
        <v>0.15112781954887211</v>
      </c>
      <c r="AA598" s="1439">
        <f>IFERROR(Model!AA598/Model!W598-1,"NA")</f>
        <v>-0.91054178916421669</v>
      </c>
      <c r="AB598" s="1439">
        <f>IFERROR(Model!AB598/Model!X598-1,"NA")</f>
        <v>0.1056127532381268</v>
      </c>
      <c r="AC598" s="407">
        <f>IFERROR(Model!AC598/Model!Y598-1,"NA")</f>
        <v>0.15984202933325098</v>
      </c>
      <c r="AD598" s="407">
        <f>IFERROR(Model!AD598/Model!Z598-1,"NA")</f>
        <v>4.7811942773357652E-2</v>
      </c>
      <c r="AE598" s="407">
        <f>IFERROR(Model!AE598/Model!AA598-1,"NA")</f>
        <v>13.377655944540317</v>
      </c>
      <c r="AF598" s="407">
        <f>IFERROR(Model!AF598/Model!AB598-1,"NA")</f>
        <v>8.3318622102418471E-2</v>
      </c>
      <c r="AG598" s="407">
        <f>IFERROR(Model!AG598/Model!AC598-1,"NA")</f>
        <v>0.14058679004806263</v>
      </c>
      <c r="AH598" s="407">
        <f>IFERROR(Model!AH598/Model!AD598-1,"NA")</f>
        <v>0.10605970183421176</v>
      </c>
      <c r="AI598" s="407">
        <f>IFERROR(Model!AI598/Model!AE598-1,"NA")</f>
        <v>8.8730022157444743E-2</v>
      </c>
      <c r="AJ598" s="407"/>
      <c r="AK598" s="407"/>
      <c r="AL598" s="407"/>
      <c r="AM598" s="407"/>
      <c r="AN598" s="407"/>
      <c r="AO598" s="407"/>
      <c r="AP598" s="407"/>
      <c r="AQ598" s="407"/>
      <c r="AR598" s="1236"/>
      <c r="AS598" s="1284"/>
      <c r="AT598" s="1248"/>
      <c r="AU598" s="1236"/>
      <c r="AV598" s="1236">
        <f>IFERROR(Model!AV598/Model!AU598-1,"NA")</f>
        <v>3.1200085187945925E-2</v>
      </c>
      <c r="AW598" s="1236">
        <f>IFERROR(Model!AW598/Model!AV598-1,"NA")</f>
        <v>2.2304832713754719E-2</v>
      </c>
      <c r="AX598" s="1236">
        <f>IFERROR(Model!AX598/Model!AW598-1,"NA")</f>
        <v>-9.7171717171717131E-2</v>
      </c>
      <c r="AY598" s="1236">
        <f>IFERROR(Model!AY598/Model!AX598-1,"NA")</f>
        <v>6.5674647572163902E-2</v>
      </c>
      <c r="AZ598" s="1236">
        <f>IFERROR(Model!AZ598/Model!AY598-1,"NA")</f>
        <v>0.1198950131233596</v>
      </c>
      <c r="BA598" s="1236">
        <f>IFERROR(Model!BA598/Model!AZ598-1,"NA")</f>
        <v>1.5468266616668336E-2</v>
      </c>
      <c r="BB598" s="1236">
        <f>IFERROR(Model!BB598/Model!BA598-1,"NA")</f>
        <v>3.7112259970457862E-2</v>
      </c>
      <c r="BC598" s="1236">
        <f>IFERROR(Model!BC598/Model!BB598-1,"NA")</f>
        <v>-0.19298557949083139</v>
      </c>
      <c r="BD598" s="1236">
        <f>IFERROR(Model!BD598/Model!BC598-1,"NA")</f>
        <v>3.5076108537392514E-2</v>
      </c>
      <c r="BE598" s="1236">
        <f>IFERROR(Model!BE598/Model!BD598-1,"NA")</f>
        <v>4.7353030855332046E-2</v>
      </c>
    </row>
    <row r="599" spans="1:64" x14ac:dyDescent="0.2">
      <c r="A599" s="830"/>
      <c r="B599" s="369"/>
      <c r="C599" s="369" t="s">
        <v>256</v>
      </c>
      <c r="D599" s="1260"/>
      <c r="E599" s="1260"/>
      <c r="F599" s="1260"/>
      <c r="G599" s="1260"/>
      <c r="H599" s="1260">
        <f>IFERROR(Model!H599/Model!D599-1,"NA")</f>
        <v>-0.77517564402810302</v>
      </c>
      <c r="I599" s="1260">
        <f>IFERROR(Model!I599/Model!E599-1,"NA")</f>
        <v>1.253968253968254</v>
      </c>
      <c r="J599" s="1260">
        <f>IFERROR(Model!J599/Model!F599-1,"NA")</f>
        <v>-0.58717434869739482</v>
      </c>
      <c r="K599" s="1260">
        <f>IFERROR(Model!K599/Model!G599-1,"NA")</f>
        <v>-0.68354430379746833</v>
      </c>
      <c r="L599" s="1260">
        <f>IFERROR(Model!L599/Model!H599-1,"NA")</f>
        <v>-0.97916666666666663</v>
      </c>
      <c r="M599" s="1260">
        <f>IFERROR(Model!M599/Model!I599-1,"NA")</f>
        <v>-1.0704225352112675</v>
      </c>
      <c r="N599" s="1260">
        <f>IFERROR(Model!N599/Model!J599-1,"NA")</f>
        <v>-5.8252427184465994E-2</v>
      </c>
      <c r="O599" s="1260">
        <f>IFERROR(Model!O599/Model!K599-1,"NA")</f>
        <v>-1.07</v>
      </c>
      <c r="P599" s="1260">
        <f>IFERROR(Model!P599/Model!L599-1,"NA")</f>
        <v>10</v>
      </c>
      <c r="Q599" s="1260">
        <f>IFERROR(Model!Q599/Model!M599-1,"NA")</f>
        <v>-10.5</v>
      </c>
      <c r="R599" s="1260">
        <f>IFERROR(Model!R599/Model!N599-1,"NA")</f>
        <v>-1.7371134020618557</v>
      </c>
      <c r="S599" s="1260">
        <f>IFERROR(Model!S599/Model!O599-1,"NA")</f>
        <v>-17.714285714285715</v>
      </c>
      <c r="T599" s="1260">
        <f>IFERROR(Model!T599/Model!P599-1,"NA")</f>
        <v>-1</v>
      </c>
      <c r="U599" s="1260">
        <f>IFERROR(Model!U599/Model!Q599-1,"NA")</f>
        <v>-1</v>
      </c>
      <c r="V599" s="1260">
        <f>IFERROR(Model!V599/Model!R599-1,"NA")</f>
        <v>-1</v>
      </c>
      <c r="W599" s="1260">
        <f>IFERROR(Model!W599/Model!S599-1,"NA")</f>
        <v>-1</v>
      </c>
      <c r="X599" s="1260" t="str">
        <f>IFERROR(Model!X599/Model!T599-1,"NA")</f>
        <v>NA</v>
      </c>
      <c r="Y599" s="1260" t="str">
        <f>IFERROR(Model!Y599/Model!U599-1,"NA")</f>
        <v>NA</v>
      </c>
      <c r="Z599" s="1260" t="str">
        <f>IFERROR(Model!Z599/Model!V599-1,"NA")</f>
        <v>NA</v>
      </c>
      <c r="AA599" s="1260" t="str">
        <f>IFERROR(Model!AA599/Model!W599-1,"NA")</f>
        <v>NA</v>
      </c>
      <c r="AB599" s="1260" t="str">
        <f>IFERROR(Model!AB599/Model!X599-1,"NA")</f>
        <v>NA</v>
      </c>
      <c r="AC599" s="1260" t="str">
        <f>IFERROR(Model!AC599/Model!Y599-1,"NA")</f>
        <v>NA</v>
      </c>
      <c r="AD599" s="1260" t="str">
        <f>IFERROR(Model!AD599/Model!Z599-1,"NA")</f>
        <v>NA</v>
      </c>
      <c r="AE599" s="1260" t="str">
        <f>IFERROR(Model!AE599/Model!AA599-1,"NA")</f>
        <v>NA</v>
      </c>
      <c r="AF599" s="1260" t="str">
        <f>IFERROR(Model!AF599/Model!AB599-1,"NA")</f>
        <v>NA</v>
      </c>
      <c r="AG599" s="1260" t="str">
        <f>IFERROR(Model!AG599/Model!AC599-1,"NA")</f>
        <v>NA</v>
      </c>
      <c r="AH599" s="1260" t="str">
        <f>IFERROR(Model!AH599/Model!AD599-1,"NA")</f>
        <v>NA</v>
      </c>
      <c r="AI599" s="1260" t="str">
        <f>IFERROR(Model!AI599/Model!AE599-1,"NA")</f>
        <v>NA</v>
      </c>
      <c r="AJ599" s="1260"/>
      <c r="AK599" s="1260"/>
      <c r="AL599" s="1260"/>
      <c r="AM599" s="1260"/>
      <c r="AN599" s="1260"/>
      <c r="AO599" s="1260"/>
      <c r="AP599" s="1260"/>
      <c r="AQ599" s="1260"/>
      <c r="AR599" s="1236"/>
      <c r="AS599" s="1263"/>
      <c r="AT599" s="1263"/>
      <c r="AU599" s="1246"/>
      <c r="AV599" s="1246">
        <f>IFERROR(Model!AV599/Model!AU599-1,"NA")</f>
        <v>-0.86130913804277376</v>
      </c>
      <c r="AW599" s="1246">
        <f>IFERROR(Model!AW599/Model!AV599-1,"NA")</f>
        <v>-1.4018691588784993E-2</v>
      </c>
      <c r="AX599" s="1246">
        <f>IFERROR(Model!AX599/Model!AW599-1,"NA")</f>
        <v>-1.8151658767772512</v>
      </c>
      <c r="AY599" s="1246">
        <f>IFERROR(Model!AY599/Model!AX599-1,"NA")</f>
        <v>-1</v>
      </c>
      <c r="AZ599" s="1246" t="str">
        <f>IFERROR(Model!AZ599/Model!AY599-1,"NA")</f>
        <v>NA</v>
      </c>
      <c r="BA599" s="1246" t="str">
        <f>IFERROR(Model!BA599/Model!AZ599-1,"NA")</f>
        <v>NA</v>
      </c>
      <c r="BB599" s="1246" t="str">
        <f>IFERROR(Model!BB599/Model!BA599-1,"NA")</f>
        <v>NA</v>
      </c>
      <c r="BC599" s="1246" t="str">
        <f>IFERROR(Model!BC599/Model!BB599-1,"NA")</f>
        <v>NA</v>
      </c>
      <c r="BD599" s="1246" t="str">
        <f>IFERROR(Model!BD599/Model!BC599-1,"NA")</f>
        <v>NA</v>
      </c>
      <c r="BE599" s="1246" t="str">
        <f>IFERROR(Model!BE599/Model!BD599-1,"NA")</f>
        <v>NA</v>
      </c>
    </row>
    <row r="600" spans="1:64" x14ac:dyDescent="0.2">
      <c r="B600" s="319" t="s">
        <v>1002</v>
      </c>
      <c r="C600" s="321"/>
      <c r="D600" s="1258"/>
      <c r="E600" s="1258"/>
      <c r="F600" s="1258"/>
      <c r="G600" s="1258"/>
      <c r="H600" s="1258">
        <f>IFERROR(Model!H600/Model!D600-1,"NA")</f>
        <v>0.41339491916859128</v>
      </c>
      <c r="I600" s="1258">
        <f>IFERROR(Model!I600/Model!E600-1,"NA")</f>
        <v>0.38458169075777482</v>
      </c>
      <c r="J600" s="1258">
        <f>IFERROR(Model!J600/Model!F600-1,"NA")</f>
        <v>-0.11638361638361638</v>
      </c>
      <c r="K600" s="1258">
        <f>IFERROR(Model!K600/Model!G600-1,"NA")</f>
        <v>5.8655221745350428E-2</v>
      </c>
      <c r="L600" s="1258">
        <f>IFERROR(Model!L600/Model!H600-1,"NA")</f>
        <v>-1.764705882352946E-2</v>
      </c>
      <c r="M600" s="1258">
        <f>IFERROR(Model!M600/Model!I600-1,"NA")</f>
        <v>-0.17842454919329331</v>
      </c>
      <c r="N600" s="1258">
        <f>IFERROR(Model!N600/Model!J600-1,"NA")</f>
        <v>0.34652345958168462</v>
      </c>
      <c r="O600" s="1258">
        <f>IFERROR(Model!O600/Model!K600-1,"NA")</f>
        <v>0.15135135135135136</v>
      </c>
      <c r="P600" s="1258">
        <f>IFERROR(Model!P600/Model!L600-1,"NA")</f>
        <v>-3.3599467731204258E-2</v>
      </c>
      <c r="Q600" s="1258">
        <f>IFERROR(Model!Q600/Model!M600-1,"NA")</f>
        <v>5.6988833269156824E-2</v>
      </c>
      <c r="R600" s="1258">
        <f>IFERROR(Model!R600/Model!N600-1,"NA")</f>
        <v>-2.7287993282955503E-2</v>
      </c>
      <c r="S600" s="1258">
        <f>IFERROR(Model!S600/Model!O600-1,"NA")</f>
        <v>-0.32922535211267601</v>
      </c>
      <c r="T600" s="1258">
        <f>IFERROR(Model!T600/Model!P600-1,"NA")</f>
        <v>-0.3566265060240964</v>
      </c>
      <c r="U600" s="1258">
        <f>IFERROR(Model!U600/Model!Q600-1,"NA")</f>
        <v>-4.7358834244080161E-2</v>
      </c>
      <c r="V600" s="1258">
        <f>IFERROR(Model!V600/Model!R600-1,"NA")</f>
        <v>0.14803625377643503</v>
      </c>
      <c r="W600" s="1258">
        <f>IFERROR(Model!W600/Model!S600-1,"NA")</f>
        <v>1.083114610673666</v>
      </c>
      <c r="X600" s="1258">
        <f>IFERROR(Model!X600/Model!T600-1,"NA")</f>
        <v>0.61102193686463346</v>
      </c>
      <c r="Y600" s="1258">
        <f>IFERROR(Model!Y600/Model!U600-1,"NA")</f>
        <v>6.3097514340344274E-2</v>
      </c>
      <c r="Z600" s="1258">
        <f>IFERROR(Model!Z600/Model!V600-1,"NA")</f>
        <v>0.15112781954887211</v>
      </c>
      <c r="AA600" s="1258">
        <f>IFERROR(Model!AA600/Model!W600-1,"NA")</f>
        <v>-0.91054178916421669</v>
      </c>
      <c r="AB600" s="1258">
        <f>IFERROR(Model!AB600/Model!X600-1,"NA")</f>
        <v>0.1056127532381268</v>
      </c>
      <c r="AC600" s="407">
        <f>IFERROR(Model!AC600/Model!Y600-1,"NA")</f>
        <v>0.15984202933325098</v>
      </c>
      <c r="AD600" s="407">
        <f>IFERROR(Model!AD600/Model!Z600-1,"NA")</f>
        <v>4.7811942773357652E-2</v>
      </c>
      <c r="AE600" s="407">
        <f>IFERROR(Model!AE600/Model!AA600-1,"NA")</f>
        <v>13.377655944540317</v>
      </c>
      <c r="AF600" s="407">
        <f>IFERROR(Model!AF600/Model!AB600-1,"NA")</f>
        <v>8.3318622102418471E-2</v>
      </c>
      <c r="AG600" s="407">
        <f>IFERROR(Model!AG600/Model!AC600-1,"NA")</f>
        <v>0.14058679004806263</v>
      </c>
      <c r="AH600" s="407">
        <f>IFERROR(Model!AH600/Model!AD600-1,"NA")</f>
        <v>0.10605970183421176</v>
      </c>
      <c r="AI600" s="407">
        <f>IFERROR(Model!AI600/Model!AE600-1,"NA")</f>
        <v>8.8730022157444743E-2</v>
      </c>
      <c r="AJ600" s="407"/>
      <c r="AK600" s="407"/>
      <c r="AL600" s="407"/>
      <c r="AM600" s="407"/>
      <c r="AN600" s="407"/>
      <c r="AO600" s="407"/>
      <c r="AP600" s="407"/>
      <c r="AQ600" s="407"/>
      <c r="AR600" s="1236"/>
      <c r="AS600" s="1239"/>
      <c r="AT600" s="1284"/>
      <c r="AU600" s="1246"/>
      <c r="AV600" s="1246">
        <f>IFERROR(Model!AV600/Model!AU600-1,"NA")</f>
        <v>0.20667686034658517</v>
      </c>
      <c r="AW600" s="1246">
        <f>IFERROR(Model!AW600/Model!AV600-1,"NA")</f>
        <v>2.3125659978880719E-2</v>
      </c>
      <c r="AX600" s="1246">
        <f>IFERROR(Model!AX600/Model!AW600-1,"NA")</f>
        <v>-5.9758489008153615E-2</v>
      </c>
      <c r="AY600" s="1246">
        <f>IFERROR(Model!AY600/Model!AX600-1,"NA")</f>
        <v>4.5554335894621323E-2</v>
      </c>
      <c r="AZ600" s="1246">
        <f>IFERROR(Model!AZ600/Model!AY600-1,"NA")</f>
        <v>0.1198950131233596</v>
      </c>
      <c r="BA600" s="1246">
        <f>IFERROR(Model!BA600/Model!AZ600-1,"NA")</f>
        <v>1.5468266616668336E-2</v>
      </c>
      <c r="BB600" s="1246">
        <f>IFERROR(Model!BB600/Model!BA600-1,"NA")</f>
        <v>3.7112259970457862E-2</v>
      </c>
      <c r="BC600" s="1246">
        <f>IFERROR(Model!BC600/Model!BB600-1,"NA")</f>
        <v>-0.19298557949083139</v>
      </c>
      <c r="BD600" s="1246">
        <f>IFERROR(Model!BD600/Model!BC600-1,"NA")</f>
        <v>3.5076108537392514E-2</v>
      </c>
      <c r="BE600" s="1246">
        <f>IFERROR(Model!BE600/Model!BD600-1,"NA")</f>
        <v>4.7353030855332046E-2</v>
      </c>
    </row>
    <row r="601" spans="1:64" x14ac:dyDescent="0.2">
      <c r="A601" s="830"/>
      <c r="B601" s="369"/>
      <c r="C601" s="382"/>
      <c r="D601" s="1267"/>
      <c r="E601" s="1267"/>
      <c r="F601" s="1267"/>
      <c r="G601" s="1267"/>
      <c r="H601" s="1267"/>
      <c r="I601" s="1267"/>
      <c r="J601" s="1267"/>
      <c r="K601" s="1267"/>
      <c r="L601" s="1267"/>
      <c r="M601" s="1267"/>
      <c r="N601" s="1267"/>
      <c r="O601" s="1267"/>
      <c r="P601" s="1267"/>
      <c r="Q601" s="1267"/>
      <c r="R601" s="1267"/>
      <c r="S601" s="1267"/>
      <c r="T601" s="1267"/>
      <c r="U601" s="1267"/>
      <c r="V601" s="1267"/>
      <c r="W601" s="1267"/>
      <c r="X601" s="1267"/>
      <c r="Y601" s="1267"/>
      <c r="Z601" s="1267"/>
      <c r="AA601" s="1267"/>
      <c r="AB601" s="1267"/>
      <c r="AC601" s="1318"/>
      <c r="AD601" s="1318"/>
      <c r="AE601" s="1318"/>
      <c r="AF601" s="1318"/>
      <c r="AG601" s="1318"/>
      <c r="AH601" s="1318"/>
      <c r="AI601" s="1318"/>
      <c r="AJ601" s="1318"/>
      <c r="AK601" s="1318"/>
      <c r="AL601" s="1318"/>
      <c r="AM601" s="1318"/>
      <c r="AN601" s="1318"/>
      <c r="AO601" s="1318"/>
      <c r="AP601" s="1318"/>
      <c r="AQ601" s="1318"/>
      <c r="AR601" s="1236"/>
      <c r="AS601" s="1263"/>
      <c r="AT601" s="1308"/>
      <c r="AU601" s="1236"/>
      <c r="AV601" s="1236"/>
      <c r="AW601" s="1236"/>
      <c r="AX601" s="1236"/>
      <c r="AY601" s="1236"/>
      <c r="AZ601" s="1236"/>
      <c r="BA601" s="1236"/>
      <c r="BB601" s="1236"/>
      <c r="BC601" s="1236"/>
      <c r="BD601" s="1236"/>
      <c r="BE601" s="1236"/>
    </row>
    <row r="602" spans="1:64" s="190" customFormat="1" x14ac:dyDescent="0.2">
      <c r="A602" s="411"/>
      <c r="B602" s="340" t="s">
        <v>678</v>
      </c>
      <c r="C602" s="388"/>
      <c r="D602" s="1462"/>
      <c r="E602" s="1462"/>
      <c r="F602" s="1462"/>
      <c r="G602" s="1462"/>
      <c r="H602" s="1462"/>
      <c r="I602" s="1462"/>
      <c r="J602" s="1462"/>
      <c r="K602" s="1462"/>
      <c r="L602" s="1462"/>
      <c r="M602" s="1462"/>
      <c r="N602" s="1462"/>
      <c r="O602" s="1462"/>
      <c r="P602" s="1462"/>
      <c r="Q602" s="1462"/>
      <c r="R602" s="1462"/>
      <c r="S602" s="1462"/>
      <c r="T602" s="1462"/>
      <c r="U602" s="1462"/>
      <c r="V602" s="1462"/>
      <c r="W602" s="1462"/>
      <c r="X602" s="1462"/>
      <c r="Y602" s="1462"/>
      <c r="Z602" s="1462"/>
      <c r="AA602" s="1462"/>
      <c r="AB602" s="1462"/>
      <c r="AC602" s="1398"/>
      <c r="AD602" s="1398"/>
      <c r="AE602" s="1398"/>
      <c r="AF602" s="1398"/>
      <c r="AG602" s="1398"/>
      <c r="AH602" s="1398"/>
      <c r="AI602" s="1398"/>
      <c r="AJ602" s="1398"/>
      <c r="AK602" s="1398"/>
      <c r="AL602" s="1398"/>
      <c r="AM602" s="1398"/>
      <c r="AN602" s="1398"/>
      <c r="AO602" s="1398"/>
      <c r="AP602" s="1398"/>
      <c r="AQ602" s="1398"/>
      <c r="AR602" s="1236"/>
      <c r="AS602" s="1313"/>
      <c r="AT602" s="1407"/>
      <c r="AU602" s="1271"/>
      <c r="AV602" s="1271"/>
      <c r="AW602" s="1271"/>
      <c r="AX602" s="1271"/>
      <c r="AY602" s="1271"/>
      <c r="AZ602" s="1271"/>
      <c r="BA602" s="1271"/>
      <c r="BB602" s="1271"/>
      <c r="BC602" s="1271"/>
      <c r="BD602" s="1271"/>
      <c r="BE602" s="1271"/>
      <c r="BF602" s="70"/>
      <c r="BG602" s="70"/>
      <c r="BH602" s="70"/>
      <c r="BI602" s="70"/>
      <c r="BJ602" s="70"/>
      <c r="BK602" s="70"/>
      <c r="BL602" s="70"/>
    </row>
    <row r="603" spans="1:64" x14ac:dyDescent="0.2">
      <c r="B603" s="327"/>
      <c r="C603" s="362" t="s">
        <v>76</v>
      </c>
      <c r="D603" s="1303"/>
      <c r="E603" s="1303"/>
      <c r="F603" s="1303"/>
      <c r="G603" s="1303"/>
      <c r="H603" s="1303">
        <f>IFERROR(Model!H603/Model!D603-1,"NA")</f>
        <v>0.18181818181818188</v>
      </c>
      <c r="I603" s="1303">
        <f>IFERROR(Model!I603/Model!E603-1,"NA")</f>
        <v>0.16867469879518082</v>
      </c>
      <c r="J603" s="1303">
        <f>IFERROR(Model!J603/Model!F603-1,"NA")</f>
        <v>9.8901098901098994E-2</v>
      </c>
      <c r="K603" s="1303">
        <f>IFERROR(Model!K603/Model!G603-1,"NA")</f>
        <v>0.15384615384615374</v>
      </c>
      <c r="L603" s="1303">
        <f>IFERROR(Model!L603/Model!H603-1,"NA")</f>
        <v>0.18681318681318682</v>
      </c>
      <c r="M603" s="1303">
        <f>IFERROR(Model!M603/Model!I603-1,"NA")</f>
        <v>0.14432989690721643</v>
      </c>
      <c r="N603" s="1303">
        <f>IFERROR(Model!N603/Model!J603-1,"NA")</f>
        <v>0.1100000000000001</v>
      </c>
      <c r="O603" s="1303">
        <f>IFERROR(Model!O603/Model!K603-1,"NA")</f>
        <v>9.5238095238095344E-2</v>
      </c>
      <c r="P603" s="1303">
        <f>IFERROR(Model!P603/Model!L603-1,"NA")</f>
        <v>8.3333333333333259E-2</v>
      </c>
      <c r="Q603" s="1303">
        <f>IFERROR(Model!Q603/Model!M603-1,"NA")</f>
        <v>9.0090090090090058E-2</v>
      </c>
      <c r="R603" s="1303">
        <f>IFERROR(Model!R603/Model!N603-1,"NA")</f>
        <v>0.14414414414414423</v>
      </c>
      <c r="S603" s="1303">
        <f>IFERROR(Model!S603/Model!O603-1,"NA")</f>
        <v>0.13043478260869557</v>
      </c>
      <c r="T603" s="1303">
        <f>IFERROR(Model!T603/Model!P603-1,"NA")</f>
        <v>0.13675213675213671</v>
      </c>
      <c r="U603" s="1303">
        <f>IFERROR(Model!U603/Model!Q603-1,"NA")</f>
        <v>0.14049586776859502</v>
      </c>
      <c r="V603" s="1303">
        <f>IFERROR(Model!V603/Model!R603-1,"NA")</f>
        <v>0.1417322834645669</v>
      </c>
      <c r="W603" s="1303">
        <f>IFERROR(Model!W603/Model!S603-1,"NA")</f>
        <v>0.14615384615384608</v>
      </c>
      <c r="X603" s="1303">
        <f>IFERROR(Model!X603/Model!T603-1,"NA")</f>
        <v>9.7744360902255689E-2</v>
      </c>
      <c r="Y603" s="1303">
        <f>IFERROR(Model!Y603/Model!U603-1,"NA")</f>
        <v>8.6956521739130377E-2</v>
      </c>
      <c r="Z603" s="1303">
        <f>IFERROR(Model!Z603/Model!V603-1,"NA")</f>
        <v>4.8275862068965614E-2</v>
      </c>
      <c r="AA603" s="1303">
        <f>IFERROR(Model!AA603/Model!W603-1,"NA")</f>
        <v>5.3691275167785157E-2</v>
      </c>
      <c r="AB603" s="1303">
        <f>IFERROR(Model!AB603/Model!X603-1,"NA")</f>
        <v>9.5890410958904049E-2</v>
      </c>
      <c r="AC603" s="1256" t="str">
        <f>IFERROR(Model!AC603/Model!Y603-1,"NA")</f>
        <v>NA</v>
      </c>
      <c r="AD603" s="1256" t="str">
        <f>IFERROR(Model!AD603/Model!Z603-1,"NA")</f>
        <v>NA</v>
      </c>
      <c r="AE603" s="1256" t="str">
        <f>IFERROR(Model!AE603/Model!AA603-1,"NA")</f>
        <v>NA</v>
      </c>
      <c r="AF603" s="1256" t="str">
        <f>IFERROR(Model!AF603/Model!AB603-1,"NA")</f>
        <v>NA</v>
      </c>
      <c r="AG603" s="1256" t="str">
        <f>IFERROR(Model!AG603/Model!AC603-1,"NA")</f>
        <v>NA</v>
      </c>
      <c r="AH603" s="1256" t="str">
        <f>IFERROR(Model!AH603/Model!AD603-1,"NA")</f>
        <v>NA</v>
      </c>
      <c r="AI603" s="1256" t="str">
        <f>IFERROR(Model!AI603/Model!AE603-1,"NA")</f>
        <v>NA</v>
      </c>
      <c r="AJ603" s="1256"/>
      <c r="AK603" s="1256"/>
      <c r="AL603" s="1256"/>
      <c r="AM603" s="1256"/>
      <c r="AN603" s="1256"/>
      <c r="AO603" s="1256"/>
      <c r="AP603" s="1256"/>
      <c r="AQ603" s="1256"/>
      <c r="AR603" s="1236"/>
      <c r="AS603" s="1284"/>
      <c r="AT603" s="1400"/>
      <c r="AU603" s="1301"/>
      <c r="AV603" s="1301">
        <f>IFERROR(Model!AV603/Model!AU603-1,"NA")</f>
        <v>0.14912280701754388</v>
      </c>
      <c r="AW603" s="1301">
        <f>IFERROR(Model!AW603/Model!AV603-1,"NA")</f>
        <v>0.1323155216284988</v>
      </c>
      <c r="AX603" s="1301">
        <f>IFERROR(Model!AX603/Model!AW603-1,"NA")</f>
        <v>0.11235955056179781</v>
      </c>
      <c r="AY603" s="1301">
        <f>IFERROR(Model!AY603/Model!AX603-1,"NA")</f>
        <v>0.14141414141414144</v>
      </c>
      <c r="AZ603" s="1256" t="str">
        <f>IFERROR(Model!AZ603/Model!AY603-1,"NA")</f>
        <v>NA</v>
      </c>
      <c r="BA603" s="1256" t="str">
        <f>IFERROR(Model!BA603/Model!AZ603-1,"NA")</f>
        <v>NA</v>
      </c>
      <c r="BB603" s="1256" t="str">
        <f>IFERROR(Model!BB603/Model!BA603-1,"NA")</f>
        <v>NA</v>
      </c>
      <c r="BC603" s="1256" t="str">
        <f>IFERROR(Model!BC603/Model!BB603-1,"NA")</f>
        <v>NA</v>
      </c>
      <c r="BD603" s="1256" t="str">
        <f>IFERROR(Model!BD603/Model!BC603-1,"NA")</f>
        <v>NA</v>
      </c>
      <c r="BE603" s="1256" t="str">
        <f>IFERROR(Model!BE603/Model!BD603-1,"NA")</f>
        <v>NA</v>
      </c>
    </row>
    <row r="604" spans="1:64" x14ac:dyDescent="0.2">
      <c r="B604" s="327"/>
      <c r="C604" s="362" t="s">
        <v>27</v>
      </c>
      <c r="D604" s="1303"/>
      <c r="E604" s="1303"/>
      <c r="F604" s="1303"/>
      <c r="G604" s="1303"/>
      <c r="H604" s="1303">
        <f>IFERROR(Model!H604/Model!D604-1,"NA")</f>
        <v>5.6603773584905648E-2</v>
      </c>
      <c r="I604" s="1303">
        <f>IFERROR(Model!I604/Model!E604-1,"NA")</f>
        <v>7.4074074074074181E-2</v>
      </c>
      <c r="J604" s="1303">
        <f>IFERROR(Model!J604/Model!F604-1,"NA")</f>
        <v>5.4545454545454453E-2</v>
      </c>
      <c r="K604" s="1303">
        <f>IFERROR(Model!K604/Model!G604-1,"NA")</f>
        <v>7.2727272727272751E-2</v>
      </c>
      <c r="L604" s="1303">
        <f>IFERROR(Model!L604/Model!H604-1,"NA")</f>
        <v>7.1428571428571397E-2</v>
      </c>
      <c r="M604" s="1303">
        <f>IFERROR(Model!M604/Model!I604-1,"NA")</f>
        <v>5.1724137931034475E-2</v>
      </c>
      <c r="N604" s="1303">
        <f>IFERROR(Model!N604/Model!J604-1,"NA")</f>
        <v>6.8965517241379226E-2</v>
      </c>
      <c r="O604" s="1303">
        <f>IFERROR(Model!O604/Model!K604-1,"NA")</f>
        <v>3.3898305084745672E-2</v>
      </c>
      <c r="P604" s="1303">
        <f>IFERROR(Model!P604/Model!L604-1,"NA")</f>
        <v>0</v>
      </c>
      <c r="Q604" s="1303">
        <f>IFERROR(Model!Q604/Model!M604-1,"NA")</f>
        <v>4.9180327868852514E-2</v>
      </c>
      <c r="R604" s="1303">
        <f>IFERROR(Model!R604/Model!N604-1,"NA")</f>
        <v>1.6129032258064502E-2</v>
      </c>
      <c r="S604" s="1303">
        <f>IFERROR(Model!S604/Model!O604-1,"NA")</f>
        <v>1.6393442622950838E-2</v>
      </c>
      <c r="T604" s="1303">
        <f>IFERROR(Model!T604/Model!P604-1,"NA")</f>
        <v>5.0000000000000044E-2</v>
      </c>
      <c r="U604" s="1303">
        <f>IFERROR(Model!U604/Model!Q604-1,"NA")</f>
        <v>4.6875E-2</v>
      </c>
      <c r="V604" s="1303">
        <f>IFERROR(Model!V604/Model!R604-1,"NA")</f>
        <v>7.9365079365079305E-2</v>
      </c>
      <c r="W604" s="1303">
        <f>IFERROR(Model!W604/Model!S604-1,"NA")</f>
        <v>6.4516129032258007E-2</v>
      </c>
      <c r="X604" s="1303">
        <f>IFERROR(Model!X604/Model!T604-1,"NA")</f>
        <v>3.1746031746031855E-2</v>
      </c>
      <c r="Y604" s="1303">
        <f>IFERROR(Model!Y604/Model!U604-1,"NA")</f>
        <v>0</v>
      </c>
      <c r="Z604" s="1303">
        <f>IFERROR(Model!Z604/Model!V604-1,"NA")</f>
        <v>4.4117647058823595E-2</v>
      </c>
      <c r="AA604" s="1303">
        <f>IFERROR(Model!AA604/Model!W604-1,"NA")</f>
        <v>0.10606060606060597</v>
      </c>
      <c r="AB604" s="1303">
        <f>IFERROR(Model!AB604/Model!X604-1,"NA")</f>
        <v>0.19999999999999996</v>
      </c>
      <c r="AC604" s="1256" t="str">
        <f>IFERROR(Model!AC604/Model!Y604-1,"NA")</f>
        <v>NA</v>
      </c>
      <c r="AD604" s="1256" t="str">
        <f>IFERROR(Model!AD604/Model!Z604-1,"NA")</f>
        <v>NA</v>
      </c>
      <c r="AE604" s="1256" t="str">
        <f>IFERROR(Model!AE604/Model!AA604-1,"NA")</f>
        <v>NA</v>
      </c>
      <c r="AF604" s="1256" t="str">
        <f>IFERROR(Model!AF604/Model!AB604-1,"NA")</f>
        <v>NA</v>
      </c>
      <c r="AG604" s="1256" t="str">
        <f>IFERROR(Model!AG604/Model!AC604-1,"NA")</f>
        <v>NA</v>
      </c>
      <c r="AH604" s="1256" t="str">
        <f>IFERROR(Model!AH604/Model!AD604-1,"NA")</f>
        <v>NA</v>
      </c>
      <c r="AI604" s="1256" t="str">
        <f>IFERROR(Model!AI604/Model!AE604-1,"NA")</f>
        <v>NA</v>
      </c>
      <c r="AJ604" s="1256"/>
      <c r="AK604" s="1256"/>
      <c r="AL604" s="1256"/>
      <c r="AM604" s="1256"/>
      <c r="AN604" s="1256"/>
      <c r="AO604" s="1256"/>
      <c r="AP604" s="1256"/>
      <c r="AQ604" s="1256"/>
      <c r="AR604" s="1236"/>
      <c r="AS604" s="1284"/>
      <c r="AT604" s="1400"/>
      <c r="AU604" s="1301"/>
      <c r="AV604" s="1301">
        <f>IFERROR(Model!AV604/Model!AU604-1,"NA")</f>
        <v>6.4516129032258007E-2</v>
      </c>
      <c r="AW604" s="1301">
        <f>IFERROR(Model!AW604/Model!AV604-1,"NA")</f>
        <v>5.6277056277056259E-2</v>
      </c>
      <c r="AX604" s="1301">
        <f>IFERROR(Model!AX604/Model!AW604-1,"NA")</f>
        <v>2.0491803278688492E-2</v>
      </c>
      <c r="AY604" s="1301">
        <f>IFERROR(Model!AY604/Model!AX604-1,"NA")</f>
        <v>6.024096385542177E-2</v>
      </c>
      <c r="AZ604" s="1256" t="str">
        <f>IFERROR(Model!AZ604/Model!AY604-1,"NA")</f>
        <v>NA</v>
      </c>
      <c r="BA604" s="1256" t="str">
        <f>IFERROR(Model!BA604/Model!AZ604-1,"NA")</f>
        <v>NA</v>
      </c>
      <c r="BB604" s="1256" t="str">
        <f>IFERROR(Model!BB604/Model!BA604-1,"NA")</f>
        <v>NA</v>
      </c>
      <c r="BC604" s="1256" t="str">
        <f>IFERROR(Model!BC604/Model!BB604-1,"NA")</f>
        <v>NA</v>
      </c>
      <c r="BD604" s="1256" t="str">
        <f>IFERROR(Model!BD604/Model!BC604-1,"NA")</f>
        <v>NA</v>
      </c>
      <c r="BE604" s="1256" t="str">
        <f>IFERROR(Model!BE604/Model!BD604-1,"NA")</f>
        <v>NA</v>
      </c>
    </row>
    <row r="605" spans="1:64" x14ac:dyDescent="0.2">
      <c r="B605" s="327"/>
      <c r="C605" s="362" t="s">
        <v>5</v>
      </c>
      <c r="D605" s="1303"/>
      <c r="E605" s="1303"/>
      <c r="F605" s="1303"/>
      <c r="G605" s="1303"/>
      <c r="H605" s="1303">
        <f>IFERROR(Model!H605/Model!D605-1,"NA")</f>
        <v>8.5714285714285632E-2</v>
      </c>
      <c r="I605" s="1303">
        <f>IFERROR(Model!I605/Model!E605-1,"NA")</f>
        <v>0.11764705882352944</v>
      </c>
      <c r="J605" s="1303">
        <f>IFERROR(Model!J605/Model!F605-1,"NA")</f>
        <v>8.5714285714285632E-2</v>
      </c>
      <c r="K605" s="1303">
        <f>IFERROR(Model!K605/Model!G605-1,"NA")</f>
        <v>5.4054054054053946E-2</v>
      </c>
      <c r="L605" s="1303">
        <f>IFERROR(Model!L605/Model!H605-1,"NA")</f>
        <v>5.2631578947368363E-2</v>
      </c>
      <c r="M605" s="1303">
        <f>IFERROR(Model!M605/Model!I605-1,"NA")</f>
        <v>7.8947368421052655E-2</v>
      </c>
      <c r="N605" s="1303">
        <f>IFERROR(Model!N605/Model!J605-1,"NA")</f>
        <v>7.8947368421052655E-2</v>
      </c>
      <c r="O605" s="1303">
        <f>IFERROR(Model!O605/Model!K605-1,"NA")</f>
        <v>0</v>
      </c>
      <c r="P605" s="1303">
        <f>IFERROR(Model!P605/Model!L605-1,"NA")</f>
        <v>-2.5000000000000022E-2</v>
      </c>
      <c r="Q605" s="1303">
        <f>IFERROR(Model!Q605/Model!M605-1,"NA")</f>
        <v>0</v>
      </c>
      <c r="R605" s="1303">
        <f>IFERROR(Model!R605/Model!N605-1,"NA")</f>
        <v>-2.4390243902439046E-2</v>
      </c>
      <c r="S605" s="1303">
        <f>IFERROR(Model!S605/Model!O605-1,"NA")</f>
        <v>5.1282051282051322E-2</v>
      </c>
      <c r="T605" s="1303">
        <f>IFERROR(Model!T605/Model!P605-1,"NA")</f>
        <v>0</v>
      </c>
      <c r="U605" s="1303">
        <f>IFERROR(Model!U605/Model!Q605-1,"NA")</f>
        <v>-7.3170731707317027E-2</v>
      </c>
      <c r="V605" s="1303">
        <f>IFERROR(Model!V605/Model!R605-1,"NA")</f>
        <v>-9.9999999999999978E-2</v>
      </c>
      <c r="W605" s="1303">
        <f>IFERROR(Model!W605/Model!S605-1,"NA")</f>
        <v>-0.17073170731707321</v>
      </c>
      <c r="X605" s="1303">
        <f>IFERROR(Model!X605/Model!T605-1,"NA")</f>
        <v>-0.12820512820512819</v>
      </c>
      <c r="Y605" s="1303">
        <f>IFERROR(Model!Y605/Model!U605-1,"NA")</f>
        <v>-7.8947368421052655E-2</v>
      </c>
      <c r="Z605" s="1303">
        <f>IFERROR(Model!Z605/Model!V605-1,"NA")</f>
        <v>-5.555555555555558E-2</v>
      </c>
      <c r="AA605" s="1303">
        <f>IFERROR(Model!AA605/Model!W605-1,"NA")</f>
        <v>-2.9411764705882359E-2</v>
      </c>
      <c r="AB605" s="1303">
        <f>IFERROR(Model!AB605/Model!X605-1,"NA")</f>
        <v>0</v>
      </c>
      <c r="AC605" s="1256" t="str">
        <f>IFERROR(Model!AC605/Model!Y605-1,"NA")</f>
        <v>NA</v>
      </c>
      <c r="AD605" s="1256" t="str">
        <f>IFERROR(Model!AD605/Model!Z605-1,"NA")</f>
        <v>NA</v>
      </c>
      <c r="AE605" s="1256" t="str">
        <f>IFERROR(Model!AE605/Model!AA605-1,"NA")</f>
        <v>NA</v>
      </c>
      <c r="AF605" s="1256" t="str">
        <f>IFERROR(Model!AF605/Model!AB605-1,"NA")</f>
        <v>NA</v>
      </c>
      <c r="AG605" s="1256" t="str">
        <f>IFERROR(Model!AG605/Model!AC605-1,"NA")</f>
        <v>NA</v>
      </c>
      <c r="AH605" s="1256" t="str">
        <f>IFERROR(Model!AH605/Model!AD605-1,"NA")</f>
        <v>NA</v>
      </c>
      <c r="AI605" s="1256" t="str">
        <f>IFERROR(Model!AI605/Model!AE605-1,"NA")</f>
        <v>NA</v>
      </c>
      <c r="AJ605" s="1256"/>
      <c r="AK605" s="1256"/>
      <c r="AL605" s="1256"/>
      <c r="AM605" s="1256"/>
      <c r="AN605" s="1256"/>
      <c r="AO605" s="1256"/>
      <c r="AP605" s="1256"/>
      <c r="AQ605" s="1256"/>
      <c r="AR605" s="1236"/>
      <c r="AS605" s="1284"/>
      <c r="AT605" s="1400"/>
      <c r="AU605" s="1301"/>
      <c r="AV605" s="1301">
        <f>IFERROR(Model!AV605/Model!AU605-1,"NA")</f>
        <v>8.5106382978723305E-2</v>
      </c>
      <c r="AW605" s="1301">
        <f>IFERROR(Model!AW605/Model!AV605-1,"NA")</f>
        <v>5.2287581699346442E-2</v>
      </c>
      <c r="AX605" s="1301">
        <f>IFERROR(Model!AX605/Model!AW605-1,"NA")</f>
        <v>0</v>
      </c>
      <c r="AY605" s="1301">
        <f>IFERROR(Model!AY605/Model!AX605-1,"NA")</f>
        <v>-8.6956521739130488E-2</v>
      </c>
      <c r="AZ605" s="1256" t="str">
        <f>IFERROR(Model!AZ605/Model!AY605-1,"NA")</f>
        <v>NA</v>
      </c>
      <c r="BA605" s="1256" t="str">
        <f>IFERROR(Model!BA605/Model!AZ605-1,"NA")</f>
        <v>NA</v>
      </c>
      <c r="BB605" s="1256" t="str">
        <f>IFERROR(Model!BB605/Model!BA605-1,"NA")</f>
        <v>NA</v>
      </c>
      <c r="BC605" s="1256" t="str">
        <f>IFERROR(Model!BC605/Model!BB605-1,"NA")</f>
        <v>NA</v>
      </c>
      <c r="BD605" s="1256" t="str">
        <f>IFERROR(Model!BD605/Model!BC605-1,"NA")</f>
        <v>NA</v>
      </c>
      <c r="BE605" s="1256" t="str">
        <f>IFERROR(Model!BE605/Model!BD605-1,"NA")</f>
        <v>NA</v>
      </c>
    </row>
    <row r="606" spans="1:64" x14ac:dyDescent="0.2">
      <c r="B606" s="369"/>
      <c r="C606" s="383" t="s">
        <v>77</v>
      </c>
      <c r="D606" s="1268"/>
      <c r="E606" s="1268"/>
      <c r="F606" s="1268"/>
      <c r="G606" s="1268"/>
      <c r="H606" s="1268">
        <f>IFERROR(Model!H606/Model!D606-1,"NA")</f>
        <v>1.6949152542372836E-2</v>
      </c>
      <c r="I606" s="1268">
        <f>IFERROR(Model!I606/Model!E606-1,"NA")</f>
        <v>1.5873015873015817E-2</v>
      </c>
      <c r="J606" s="1268">
        <f>IFERROR(Model!J606/Model!F606-1,"NA")</f>
        <v>4.6875E-2</v>
      </c>
      <c r="K606" s="1268">
        <f>IFERROR(Model!K606/Model!G606-1,"NA")</f>
        <v>0.11475409836065564</v>
      </c>
      <c r="L606" s="1268">
        <f>IFERROR(Model!L606/Model!H606-1,"NA")</f>
        <v>0.1333333333333333</v>
      </c>
      <c r="M606" s="1268">
        <f>IFERROR(Model!M606/Model!I606-1,"NA")</f>
        <v>9.375E-2</v>
      </c>
      <c r="N606" s="1268">
        <f>IFERROR(Model!N606/Model!J606-1,"NA")</f>
        <v>2.9850746268656803E-2</v>
      </c>
      <c r="O606" s="1268">
        <f>IFERROR(Model!O606/Model!K606-1,"NA")</f>
        <v>-2.9411764705882359E-2</v>
      </c>
      <c r="P606" s="1268">
        <f>IFERROR(Model!P606/Model!L606-1,"NA")</f>
        <v>-8.8235294117647078E-2</v>
      </c>
      <c r="Q606" s="1268">
        <f>IFERROR(Model!Q606/Model!M606-1,"NA")</f>
        <v>-9.9999999999999978E-2</v>
      </c>
      <c r="R606" s="1268">
        <f>IFERROR(Model!R606/Model!N606-1,"NA")</f>
        <v>-0.10144927536231885</v>
      </c>
      <c r="S606" s="1268">
        <f>IFERROR(Model!S606/Model!O606-1,"NA")</f>
        <v>-7.5757575757575801E-2</v>
      </c>
      <c r="T606" s="1268">
        <f>IFERROR(Model!T606/Model!P606-1,"NA")</f>
        <v>-3.2258064516129004E-2</v>
      </c>
      <c r="U606" s="1268">
        <f>IFERROR(Model!U606/Model!Q606-1,"NA")</f>
        <v>-3.1746031746031744E-2</v>
      </c>
      <c r="V606" s="1268">
        <f>IFERROR(Model!V606/Model!R606-1,"NA")</f>
        <v>-6.4516129032258118E-2</v>
      </c>
      <c r="W606" s="1268">
        <f>IFERROR(Model!W606/Model!S606-1,"NA")</f>
        <v>-9.8360655737704916E-2</v>
      </c>
      <c r="X606" s="1268">
        <f>IFERROR(Model!X606/Model!T606-1,"NA")</f>
        <v>-5.0000000000000044E-2</v>
      </c>
      <c r="Y606" s="1268">
        <f>IFERROR(Model!Y606/Model!U606-1,"NA")</f>
        <v>0</v>
      </c>
      <c r="Z606" s="1268">
        <f>IFERROR(Model!Z606/Model!V606-1,"NA")</f>
        <v>0.10344827586206895</v>
      </c>
      <c r="AA606" s="1268">
        <f>IFERROR(Model!AA606/Model!W606-1,"NA")</f>
        <v>0.18181818181818188</v>
      </c>
      <c r="AB606" s="1268">
        <f>IFERROR(Model!AB606/Model!X606-1,"NA")</f>
        <v>0.17543859649122817</v>
      </c>
      <c r="AC606" s="1257" t="str">
        <f>IFERROR(Model!AC606/Model!Y606-1,"NA")</f>
        <v>NA</v>
      </c>
      <c r="AD606" s="1257" t="str">
        <f>IFERROR(Model!AD606/Model!Z606-1,"NA")</f>
        <v>NA</v>
      </c>
      <c r="AE606" s="1257" t="str">
        <f>IFERROR(Model!AE606/Model!AA606-1,"NA")</f>
        <v>NA</v>
      </c>
      <c r="AF606" s="1257" t="str">
        <f>IFERROR(Model!AF606/Model!AB606-1,"NA")</f>
        <v>NA</v>
      </c>
      <c r="AG606" s="1257" t="str">
        <f>IFERROR(Model!AG606/Model!AC606-1,"NA")</f>
        <v>NA</v>
      </c>
      <c r="AH606" s="1257" t="str">
        <f>IFERROR(Model!AH606/Model!AD606-1,"NA")</f>
        <v>NA</v>
      </c>
      <c r="AI606" s="1257" t="str">
        <f>IFERROR(Model!AI606/Model!AE606-1,"NA")</f>
        <v>NA</v>
      </c>
      <c r="AJ606" s="1338"/>
      <c r="AK606" s="1338"/>
      <c r="AL606" s="1338"/>
      <c r="AM606" s="1338"/>
      <c r="AN606" s="1338"/>
      <c r="AO606" s="1338"/>
      <c r="AP606" s="1338"/>
      <c r="AQ606" s="1338"/>
      <c r="AR606" s="1236"/>
      <c r="AS606" s="1263"/>
      <c r="AT606" s="1410"/>
      <c r="AU606" s="1289"/>
      <c r="AV606" s="1289">
        <f>IFERROR(Model!AV606/Model!AU606-1,"NA")</f>
        <v>4.8582995951417018E-2</v>
      </c>
      <c r="AW606" s="1289">
        <f>IFERROR(Model!AW606/Model!AV606-1,"NA")</f>
        <v>5.4054054054053946E-2</v>
      </c>
      <c r="AX606" s="1289">
        <f>IFERROR(Model!AX606/Model!AW606-1,"NA")</f>
        <v>-9.1575091575091583E-2</v>
      </c>
      <c r="AY606" s="1289">
        <f>IFERROR(Model!AY606/Model!AX606-1,"NA")</f>
        <v>-5.6451612903225756E-2</v>
      </c>
      <c r="AZ606" s="1257" t="str">
        <f>IFERROR(Model!AZ606/Model!AY606-1,"NA")</f>
        <v>NA</v>
      </c>
      <c r="BA606" s="1257" t="str">
        <f>IFERROR(Model!BA606/Model!AZ606-1,"NA")</f>
        <v>NA</v>
      </c>
      <c r="BB606" s="1257" t="str">
        <f>IFERROR(Model!BB606/Model!BA606-1,"NA")</f>
        <v>NA</v>
      </c>
      <c r="BC606" s="1257" t="str">
        <f>IFERROR(Model!BC606/Model!BB606-1,"NA")</f>
        <v>NA</v>
      </c>
      <c r="BD606" s="1257" t="str">
        <f>IFERROR(Model!BD606/Model!BC606-1,"NA")</f>
        <v>NA</v>
      </c>
      <c r="BE606" s="1257" t="str">
        <f>IFERROR(Model!BE606/Model!BD606-1,"NA")</f>
        <v>NA</v>
      </c>
    </row>
    <row r="607" spans="1:64" x14ac:dyDescent="0.2">
      <c r="B607" s="177"/>
      <c r="C607" s="382" t="s">
        <v>282</v>
      </c>
      <c r="D607" s="1267"/>
      <c r="E607" s="1267"/>
      <c r="F607" s="1267"/>
      <c r="G607" s="1267"/>
      <c r="H607" s="1267">
        <f>IFERROR(Model!H607/Model!D607-1,"NA")</f>
        <v>9.375E-2</v>
      </c>
      <c r="I607" s="1267">
        <f>IFERROR(Model!I607/Model!E607-1,"NA")</f>
        <v>9.8290598290598385E-2</v>
      </c>
      <c r="J607" s="1267">
        <f>IFERROR(Model!J607/Model!F607-1,"NA")</f>
        <v>7.3469387755102034E-2</v>
      </c>
      <c r="K607" s="1267">
        <f>IFERROR(Model!K607/Model!G607-1,"NA")</f>
        <v>0.11065573770491799</v>
      </c>
      <c r="L607" s="1267">
        <f>IFERROR(Model!L607/Model!H607-1,"NA")</f>
        <v>0.12653061224489792</v>
      </c>
      <c r="M607" s="1267">
        <f>IFERROR(Model!M607/Model!I607-1,"NA")</f>
        <v>0.10116731517509736</v>
      </c>
      <c r="N607" s="1267">
        <f>IFERROR(Model!N607/Model!J607-1,"NA")</f>
        <v>7.6045627376425839E-2</v>
      </c>
      <c r="O607" s="1267">
        <f>IFERROR(Model!O607/Model!K607-1,"NA")</f>
        <v>3.6900369003689981E-2</v>
      </c>
      <c r="P607" s="1267">
        <f>IFERROR(Model!P607/Model!L607-1,"NA")</f>
        <v>7.2463768115942351E-3</v>
      </c>
      <c r="Q607" s="1267">
        <f>IFERROR(Model!Q607/Model!M607-1,"NA")</f>
        <v>2.1201413427561766E-2</v>
      </c>
      <c r="R607" s="1267">
        <f>IFERROR(Model!R607/Model!N607-1,"NA")</f>
        <v>3.180212014134276E-2</v>
      </c>
      <c r="S607" s="1267">
        <f>IFERROR(Model!S607/Model!O607-1,"NA")</f>
        <v>4.6263345195729499E-2</v>
      </c>
      <c r="T607" s="1267">
        <f>IFERROR(Model!T607/Model!P607-1,"NA")</f>
        <v>6.1151079136690711E-2</v>
      </c>
      <c r="U607" s="1267">
        <f>IFERROR(Model!U607/Model!Q607-1,"NA")</f>
        <v>5.1903114186851118E-2</v>
      </c>
      <c r="V607" s="1267">
        <f>IFERROR(Model!V607/Model!R607-1,"NA")</f>
        <v>5.1369863013698724E-2</v>
      </c>
      <c r="W607" s="1267">
        <f>IFERROR(Model!W607/Model!S607-1,"NA")</f>
        <v>3.4013605442176909E-2</v>
      </c>
      <c r="X607" s="1267">
        <f>IFERROR(Model!X607/Model!T607-1,"NA")</f>
        <v>2.3728813559322104E-2</v>
      </c>
      <c r="Y607" s="1267">
        <f>IFERROR(Model!Y607/Model!U607-1,"NA")</f>
        <v>2.960526315789469E-2</v>
      </c>
      <c r="Z607" s="1267">
        <f>IFERROR(Model!Z607/Model!V607-1,"NA")</f>
        <v>4.5602605863192203E-2</v>
      </c>
      <c r="AA607" s="1267">
        <f>IFERROR(Model!AA607/Model!W607-1,"NA")</f>
        <v>7.8947368421052655E-2</v>
      </c>
      <c r="AB607" s="1267">
        <f>IFERROR(Model!AB607/Model!X607-1,"NA")</f>
        <v>0.1225165562913908</v>
      </c>
      <c r="AC607" s="1381">
        <f>IFERROR(Model!AC607/Model!Y607-1,"NA")</f>
        <v>0.10472843450479252</v>
      </c>
      <c r="AD607" s="1381">
        <f>IFERROR(Model!AD607/Model!Z607-1,"NA")</f>
        <v>9.3354205607476537E-2</v>
      </c>
      <c r="AE607" s="1381">
        <f>IFERROR(Model!AE607/Model!AA607-1,"NA")</f>
        <v>8.6070733231707219E-2</v>
      </c>
      <c r="AF607" s="1381">
        <f>IFERROR(Model!AF607/Model!AB607-1,"NA")</f>
        <v>7.1846089999999752E-2</v>
      </c>
      <c r="AG607" s="1381">
        <f>IFERROR(Model!AG607/Model!AC607-1,"NA")</f>
        <v>7.1846089999999752E-2</v>
      </c>
      <c r="AH607" s="1381">
        <f>IFERROR(Model!AH607/Model!AD607-1,"NA")</f>
        <v>8.2406149999999734E-2</v>
      </c>
      <c r="AI607" s="1381">
        <f>IFERROR(Model!AI607/Model!AE607-1,"NA")</f>
        <v>9.3070249999999799E-2</v>
      </c>
      <c r="AJ607" s="1381"/>
      <c r="AK607" s="1381"/>
      <c r="AL607" s="1381"/>
      <c r="AM607" s="1381"/>
      <c r="AN607" s="1381"/>
      <c r="AO607" s="1381"/>
      <c r="AP607" s="1381"/>
      <c r="AQ607" s="1381"/>
      <c r="AR607" s="1236"/>
      <c r="AS607" s="1463"/>
      <c r="AT607" s="1464"/>
      <c r="AU607" s="1301"/>
      <c r="AV607" s="1301">
        <f>IFERROR(Model!AV607/Model!AU607-1,"NA")</f>
        <v>9.3980992608236447E-2</v>
      </c>
      <c r="AW607" s="1301">
        <f>IFERROR(Model!AW607/Model!AV607-1,"NA")</f>
        <v>8.3976833976834087E-2</v>
      </c>
      <c r="AX607" s="1301">
        <f>IFERROR(Model!AX607/Model!AW607-1,"NA")</f>
        <v>2.6714158504007157E-2</v>
      </c>
      <c r="AY607" s="1301">
        <f>IFERROR(Model!AY607/Model!AX607-1,"NA")</f>
        <v>4.9436253252385098E-2</v>
      </c>
      <c r="AZ607" s="1301">
        <f>IFERROR(Model!AZ607/Model!AY607-1,"NA")</f>
        <v>4.4628099173553704E-2</v>
      </c>
      <c r="BA607" s="1301">
        <f>IFERROR(Model!BA607/Model!AZ607-1,"NA")</f>
        <v>0.10124833900316443</v>
      </c>
      <c r="BB607" s="1381">
        <f>IFERROR(Model!BB607/Model!BA607-1,"NA")</f>
        <v>7.9940282732771761E-2</v>
      </c>
      <c r="BC607" s="1381">
        <f>IFERROR(Model!BC607/Model!BB607-1,"NA")</f>
        <v>7.0000000000000062E-2</v>
      </c>
      <c r="BD607" s="1381">
        <f>IFERROR(Model!BD607/Model!BC607-1,"NA")</f>
        <v>7.0000000000000062E-2</v>
      </c>
      <c r="BE607" s="1381">
        <f>IFERROR(Model!BE607/Model!BD607-1,"NA")</f>
        <v>6.0000000000000053E-2</v>
      </c>
    </row>
    <row r="608" spans="1:64" x14ac:dyDescent="0.2">
      <c r="B608" s="319"/>
      <c r="D608" s="1267"/>
      <c r="E608" s="1267"/>
      <c r="F608" s="1267"/>
      <c r="G608" s="1267"/>
      <c r="H608" s="1267"/>
      <c r="I608" s="1267"/>
      <c r="J608" s="1267"/>
      <c r="K608" s="1267"/>
      <c r="L608" s="1267"/>
      <c r="M608" s="1267"/>
      <c r="N608" s="1267"/>
      <c r="O608" s="1267"/>
      <c r="P608" s="1267"/>
      <c r="Q608" s="1267"/>
      <c r="R608" s="1267"/>
      <c r="S608" s="1267"/>
      <c r="T608" s="1267"/>
      <c r="U608" s="1267"/>
      <c r="V608" s="1267"/>
      <c r="W608" s="1267"/>
      <c r="X608" s="1267"/>
      <c r="Y608" s="1267"/>
      <c r="Z608" s="1267"/>
      <c r="AA608" s="1267"/>
      <c r="AB608" s="1267"/>
      <c r="AC608" s="407"/>
      <c r="AD608" s="407"/>
      <c r="AE608" s="407"/>
      <c r="AF608" s="407"/>
      <c r="AG608" s="407"/>
      <c r="AH608" s="407"/>
      <c r="AI608" s="407"/>
      <c r="AJ608" s="407"/>
      <c r="AK608" s="407"/>
      <c r="AL608" s="407"/>
      <c r="AM608" s="407"/>
      <c r="AN608" s="407"/>
      <c r="AO608" s="407"/>
      <c r="AP608" s="407"/>
      <c r="AQ608" s="407"/>
      <c r="AR608" s="1236"/>
      <c r="AS608" s="1248"/>
      <c r="AT608" s="407"/>
      <c r="AU608" s="1236"/>
      <c r="AV608" s="1236"/>
      <c r="AW608" s="1236"/>
      <c r="AX608" s="1236"/>
      <c r="AY608" s="1236"/>
      <c r="AZ608" s="1236"/>
      <c r="BA608" s="1236"/>
      <c r="BB608" s="1236"/>
      <c r="BC608" s="1236"/>
      <c r="BD608" s="1236"/>
      <c r="BE608" s="1236"/>
    </row>
    <row r="609" spans="1:64" s="190" customFormat="1" x14ac:dyDescent="0.2">
      <c r="A609" s="411"/>
      <c r="B609" s="340" t="s">
        <v>943</v>
      </c>
      <c r="C609" s="388"/>
      <c r="D609" s="1462"/>
      <c r="E609" s="1462"/>
      <c r="F609" s="1462"/>
      <c r="G609" s="1462"/>
      <c r="H609" s="1462"/>
      <c r="I609" s="1462"/>
      <c r="J609" s="1462"/>
      <c r="K609" s="1462"/>
      <c r="L609" s="1462"/>
      <c r="M609" s="1462"/>
      <c r="N609" s="1462"/>
      <c r="O609" s="1462"/>
      <c r="P609" s="1462"/>
      <c r="Q609" s="1462"/>
      <c r="R609" s="1462"/>
      <c r="S609" s="1462"/>
      <c r="T609" s="1462"/>
      <c r="U609" s="1462"/>
      <c r="V609" s="1462"/>
      <c r="W609" s="1462"/>
      <c r="X609" s="1462"/>
      <c r="Y609" s="1462"/>
      <c r="Z609" s="1462"/>
      <c r="AA609" s="1462"/>
      <c r="AB609" s="1462"/>
      <c r="AC609" s="1398"/>
      <c r="AD609" s="1398"/>
      <c r="AE609" s="1398"/>
      <c r="AF609" s="1398"/>
      <c r="AG609" s="1398"/>
      <c r="AH609" s="1398"/>
      <c r="AI609" s="1398"/>
      <c r="AJ609" s="1398"/>
      <c r="AK609" s="1398"/>
      <c r="AL609" s="1398"/>
      <c r="AM609" s="1398"/>
      <c r="AN609" s="1398"/>
      <c r="AO609" s="1398"/>
      <c r="AP609" s="1398"/>
      <c r="AQ609" s="1398"/>
      <c r="AR609" s="1236"/>
      <c r="AS609" s="1313"/>
      <c r="AT609" s="1407"/>
      <c r="AU609" s="1271"/>
      <c r="AV609" s="1271"/>
      <c r="AW609" s="1271"/>
      <c r="AX609" s="1271"/>
      <c r="AY609" s="1271"/>
      <c r="AZ609" s="1271"/>
      <c r="BA609" s="1271"/>
      <c r="BB609" s="1271"/>
      <c r="BC609" s="1271"/>
      <c r="BD609" s="1271"/>
      <c r="BE609" s="1271"/>
      <c r="BF609" s="70"/>
      <c r="BG609" s="70"/>
      <c r="BH609" s="70"/>
      <c r="BI609" s="70"/>
      <c r="BJ609" s="70"/>
      <c r="BK609" s="70"/>
      <c r="BL609" s="70"/>
    </row>
    <row r="610" spans="1:64" x14ac:dyDescent="0.2">
      <c r="B610" s="327"/>
      <c r="C610" s="362" t="s">
        <v>76</v>
      </c>
      <c r="D610" s="1303"/>
      <c r="E610" s="1303"/>
      <c r="F610" s="1303"/>
      <c r="G610" s="1303"/>
      <c r="H610" s="1303">
        <f>IFERROR(Model!H610/Model!D610-1,"NA")</f>
        <v>-9.7560975609756073E-2</v>
      </c>
      <c r="I610" s="1303">
        <f>IFERROR(Model!I610/Model!E610-1,"NA")</f>
        <v>-4.4303797468354444E-2</v>
      </c>
      <c r="J610" s="1303">
        <f>IFERROR(Model!J610/Model!F610-1,"NA")</f>
        <v>0.12162162162162171</v>
      </c>
      <c r="K610" s="1303">
        <f>IFERROR(Model!K610/Model!G610-1,"NA")</f>
        <v>0.22068965517241379</v>
      </c>
      <c r="L610" s="1303">
        <f>IFERROR(Model!L610/Model!H610-1,"NA")</f>
        <v>0.20945945945945943</v>
      </c>
      <c r="M610" s="1303">
        <f>IFERROR(Model!M610/Model!I610-1,"NA")</f>
        <v>0.16556291390728473</v>
      </c>
      <c r="N610" s="1303">
        <f>IFERROR(Model!N610/Model!J610-1,"NA")</f>
        <v>6.6265060240963791E-2</v>
      </c>
      <c r="O610" s="1303">
        <f>IFERROR(Model!O610/Model!K610-1,"NA")</f>
        <v>0.10734463276836159</v>
      </c>
      <c r="P610" s="1303">
        <f>IFERROR(Model!P610/Model!L610-1,"NA")</f>
        <v>0.4022346368715084</v>
      </c>
      <c r="Q610" s="1303">
        <f>IFERROR(Model!Q610/Model!M610-1,"NA")</f>
        <v>0.48863636363636354</v>
      </c>
      <c r="R610" s="1303">
        <f>IFERROR(Model!R610/Model!N610-1,"NA")</f>
        <v>0.47457627118644075</v>
      </c>
      <c r="S610" s="1303">
        <f>IFERROR(Model!S610/Model!O610-1,"NA")</f>
        <v>0.36224489795918369</v>
      </c>
      <c r="T610" s="1303">
        <f>IFERROR(Model!T610/Model!P610-1,"NA")</f>
        <v>7.5697211155378419E-2</v>
      </c>
      <c r="U610" s="1303">
        <f>IFERROR(Model!U610/Model!Q610-1,"NA")</f>
        <v>4.961832061068705E-2</v>
      </c>
      <c r="V610" s="1303">
        <f>IFERROR(Model!V610/Model!R610-1,"NA")</f>
        <v>5.7471264367816133E-2</v>
      </c>
      <c r="W610" s="1303">
        <f>IFERROR(Model!W610/Model!S610-1,"NA")</f>
        <v>5.6179775280898792E-2</v>
      </c>
      <c r="X610" s="1303">
        <f>IFERROR(Model!X610/Model!T610-1,"NA")</f>
        <v>6.2962962962962887E-2</v>
      </c>
      <c r="Y610" s="1303">
        <f>IFERROR(Model!Y610/Model!U610-1,"NA")</f>
        <v>1.8181818181818077E-2</v>
      </c>
      <c r="Z610" s="1303">
        <f>IFERROR(Model!Z610/Model!V610-1,"NA")</f>
        <v>5.0724637681159424E-2</v>
      </c>
      <c r="AA610" s="1303">
        <f>IFERROR(Model!AA610/Model!W610-1,"NA")</f>
        <v>4.9645390070921946E-2</v>
      </c>
      <c r="AB610" s="1303">
        <f>IFERROR(Model!AB610/Model!X610-1,"NA")</f>
        <v>2.7874564459930307E-2</v>
      </c>
      <c r="AC610" s="407" t="str">
        <f>IFERROR(Model!AC610/Model!Y610-1,"NA")</f>
        <v>NA</v>
      </c>
      <c r="AD610" s="407" t="str">
        <f>IFERROR(Model!AD610/Model!Z610-1,"NA")</f>
        <v>NA</v>
      </c>
      <c r="AE610" s="407" t="str">
        <f>IFERROR(Model!AE610/Model!AA610-1,"NA")</f>
        <v>NA</v>
      </c>
      <c r="AF610" s="407" t="str">
        <f>IFERROR(Model!AF610/Model!AB610-1,"NA")</f>
        <v>NA</v>
      </c>
      <c r="AG610" s="407" t="str">
        <f>IFERROR(Model!AG610/Model!AC610-1,"NA")</f>
        <v>NA</v>
      </c>
      <c r="AH610" s="407" t="str">
        <f>IFERROR(Model!AH610/Model!AD610-1,"NA")</f>
        <v>NA</v>
      </c>
      <c r="AI610" s="407" t="str">
        <f>IFERROR(Model!AI610/Model!AE610-1,"NA")</f>
        <v>NA</v>
      </c>
      <c r="AJ610" s="407"/>
      <c r="AK610" s="407"/>
      <c r="AL610" s="407"/>
      <c r="AM610" s="407"/>
      <c r="AN610" s="407"/>
      <c r="AO610" s="407"/>
      <c r="AP610" s="407"/>
      <c r="AQ610" s="407"/>
      <c r="AR610" s="1236"/>
      <c r="AS610" s="1284"/>
      <c r="AT610" s="1400"/>
      <c r="AU610" s="1236"/>
      <c r="AV610" s="1236">
        <f>IFERROR(Model!AV610/Model!AU610-1,"NA")</f>
        <v>0.22068965517241379</v>
      </c>
      <c r="AW610" s="1236">
        <f>IFERROR(Model!AW610/Model!AV610-1,"NA")</f>
        <v>0.10734463276836159</v>
      </c>
      <c r="AX610" s="1236">
        <f>IFERROR(Model!AX610/Model!AW610-1,"NA")</f>
        <v>0.36224489795918369</v>
      </c>
      <c r="AY610" s="1236">
        <f>IFERROR(Model!AY610/Model!AX610-1,"NA")</f>
        <v>5.6179775280898792E-2</v>
      </c>
      <c r="AZ610" s="1236">
        <f>IFERROR(Model!AZ610/Model!AY610-1,"NA")</f>
        <v>4.9645390070921946E-2</v>
      </c>
      <c r="BA610" s="1236" t="str">
        <f>IFERROR(Model!BA610/Model!AZ610-1,"NA")</f>
        <v>NA</v>
      </c>
      <c r="BB610" s="407" t="str">
        <f>IFERROR(Model!BB610/Model!BA610-1,"NA")</f>
        <v>NA</v>
      </c>
      <c r="BC610" s="407" t="str">
        <f>IFERROR(Model!BC610/Model!BB610-1,"NA")</f>
        <v>NA</v>
      </c>
      <c r="BD610" s="407" t="str">
        <f>IFERROR(Model!BD610/Model!BC610-1,"NA")</f>
        <v>NA</v>
      </c>
      <c r="BE610" s="407" t="str">
        <f>IFERROR(Model!BE610/Model!BD610-1,"NA")</f>
        <v>NA</v>
      </c>
    </row>
    <row r="611" spans="1:64" x14ac:dyDescent="0.2">
      <c r="B611" s="327"/>
      <c r="C611" s="362" t="s">
        <v>27</v>
      </c>
      <c r="D611" s="1303"/>
      <c r="E611" s="1303"/>
      <c r="F611" s="1303"/>
      <c r="G611" s="1303"/>
      <c r="H611" s="1303">
        <f>IFERROR(Model!H611/Model!D611-1,"NA")</f>
        <v>0.10191082802547768</v>
      </c>
      <c r="I611" s="1303">
        <f>IFERROR(Model!I611/Model!E611-1,"NA")</f>
        <v>8.7499999999999911E-2</v>
      </c>
      <c r="J611" s="1303">
        <f>IFERROR(Model!J611/Model!F611-1,"NA")</f>
        <v>4.0000000000000036E-2</v>
      </c>
      <c r="K611" s="1303">
        <f>IFERROR(Model!K611/Model!G611-1,"NA")</f>
        <v>8.7719298245614086E-2</v>
      </c>
      <c r="L611" s="1303">
        <f>IFERROR(Model!L611/Model!H611-1,"NA")</f>
        <v>6.9364161849710948E-2</v>
      </c>
      <c r="M611" s="1303">
        <f>IFERROR(Model!M611/Model!I611-1,"NA")</f>
        <v>6.8965517241379226E-2</v>
      </c>
      <c r="N611" s="1303">
        <f>IFERROR(Model!N611/Model!J611-1,"NA")</f>
        <v>-1.6483516483516536E-2</v>
      </c>
      <c r="O611" s="1303">
        <f>IFERROR(Model!O611/Model!K611-1,"NA")</f>
        <v>-0.11827956989247312</v>
      </c>
      <c r="P611" s="1303">
        <f>IFERROR(Model!P611/Model!L611-1,"NA")</f>
        <v>-0.17837837837837833</v>
      </c>
      <c r="Q611" s="1303">
        <f>IFERROR(Model!Q611/Model!M611-1,"NA")</f>
        <v>-0.13978494623655913</v>
      </c>
      <c r="R611" s="1303">
        <f>IFERROR(Model!R611/Model!N611-1,"NA")</f>
        <v>-0.1061452513966481</v>
      </c>
      <c r="S611" s="1303">
        <f>IFERROR(Model!S611/Model!O611-1,"NA")</f>
        <v>-6.0975609756097615E-2</v>
      </c>
      <c r="T611" s="1303">
        <f>IFERROR(Model!T611/Model!P611-1,"NA")</f>
        <v>9.210526315789469E-2</v>
      </c>
      <c r="U611" s="1303">
        <f>IFERROR(Model!U611/Model!Q611-1,"NA")</f>
        <v>1.2499999999999956E-2</v>
      </c>
      <c r="V611" s="1303">
        <f>IFERROR(Model!V611/Model!R611-1,"NA")</f>
        <v>6.25E-2</v>
      </c>
      <c r="W611" s="1303">
        <f>IFERROR(Model!W611/Model!S611-1,"NA")</f>
        <v>6.4935064935064846E-2</v>
      </c>
      <c r="X611" s="1303">
        <f>IFERROR(Model!X611/Model!T611-1,"NA")</f>
        <v>-3.0120481927710885E-2</v>
      </c>
      <c r="Y611" s="1303">
        <f>IFERROR(Model!Y611/Model!U611-1,"NA")</f>
        <v>4.9382716049382713E-2</v>
      </c>
      <c r="Z611" s="1303">
        <f>IFERROR(Model!Z611/Model!V611-1,"NA")</f>
        <v>1.1764705882352899E-2</v>
      </c>
      <c r="AA611" s="1303">
        <f>IFERROR(Model!AA611/Model!W611-1,"NA")</f>
        <v>6.0975609756097615E-2</v>
      </c>
      <c r="AB611" s="1303">
        <f>IFERROR(Model!AB611/Model!X611-1,"NA")</f>
        <v>0.17391304347826098</v>
      </c>
      <c r="AC611" s="407" t="str">
        <f>IFERROR(Model!AC611/Model!Y611-1,"NA")</f>
        <v>NA</v>
      </c>
      <c r="AD611" s="407" t="str">
        <f>IFERROR(Model!AD611/Model!Z611-1,"NA")</f>
        <v>NA</v>
      </c>
      <c r="AE611" s="407" t="str">
        <f>IFERROR(Model!AE611/Model!AA611-1,"NA")</f>
        <v>NA</v>
      </c>
      <c r="AF611" s="407" t="str">
        <f>IFERROR(Model!AF611/Model!AB611-1,"NA")</f>
        <v>NA</v>
      </c>
      <c r="AG611" s="407" t="str">
        <f>IFERROR(Model!AG611/Model!AC611-1,"NA")</f>
        <v>NA</v>
      </c>
      <c r="AH611" s="407" t="str">
        <f>IFERROR(Model!AH611/Model!AD611-1,"NA")</f>
        <v>NA</v>
      </c>
      <c r="AI611" s="407" t="str">
        <f>IFERROR(Model!AI611/Model!AE611-1,"NA")</f>
        <v>NA</v>
      </c>
      <c r="AJ611" s="407"/>
      <c r="AK611" s="407"/>
      <c r="AL611" s="407"/>
      <c r="AM611" s="407"/>
      <c r="AN611" s="407"/>
      <c r="AO611" s="407"/>
      <c r="AP611" s="407"/>
      <c r="AQ611" s="407"/>
      <c r="AR611" s="1236"/>
      <c r="AS611" s="1284"/>
      <c r="AT611" s="1400"/>
      <c r="AU611" s="1236"/>
      <c r="AV611" s="1236">
        <f>IFERROR(Model!AV611/Model!AU611-1,"NA")</f>
        <v>8.7719298245614086E-2</v>
      </c>
      <c r="AW611" s="1236">
        <f>IFERROR(Model!AW611/Model!AV611-1,"NA")</f>
        <v>-0.11827956989247312</v>
      </c>
      <c r="AX611" s="1236">
        <f>IFERROR(Model!AX611/Model!AW611-1,"NA")</f>
        <v>-6.0975609756097615E-2</v>
      </c>
      <c r="AY611" s="1236">
        <f>IFERROR(Model!AY611/Model!AX611-1,"NA")</f>
        <v>6.4935064935064846E-2</v>
      </c>
      <c r="AZ611" s="1236">
        <f>IFERROR(Model!AZ611/Model!AY611-1,"NA")</f>
        <v>6.0975609756097615E-2</v>
      </c>
      <c r="BA611" s="1236" t="str">
        <f>IFERROR(Model!BA611/Model!AZ611-1,"NA")</f>
        <v>NA</v>
      </c>
      <c r="BB611" s="407" t="str">
        <f>IFERROR(Model!BB611/Model!BA611-1,"NA")</f>
        <v>NA</v>
      </c>
      <c r="BC611" s="407" t="str">
        <f>IFERROR(Model!BC611/Model!BB611-1,"NA")</f>
        <v>NA</v>
      </c>
      <c r="BD611" s="407" t="str">
        <f>IFERROR(Model!BD611/Model!BC611-1,"NA")</f>
        <v>NA</v>
      </c>
      <c r="BE611" s="407" t="str">
        <f>IFERROR(Model!BE611/Model!BD611-1,"NA")</f>
        <v>NA</v>
      </c>
    </row>
    <row r="612" spans="1:64" x14ac:dyDescent="0.2">
      <c r="B612" s="327"/>
      <c r="C612" s="362" t="s">
        <v>5</v>
      </c>
      <c r="D612" s="1303"/>
      <c r="E612" s="1303"/>
      <c r="F612" s="1303"/>
      <c r="G612" s="1303"/>
      <c r="H612" s="1303">
        <f>IFERROR(Model!H612/Model!D612-1,"NA")</f>
        <v>0.1399999999999999</v>
      </c>
      <c r="I612" s="1303">
        <f>IFERROR(Model!I612/Model!E612-1,"NA")</f>
        <v>0.18367346938775508</v>
      </c>
      <c r="J612" s="1303">
        <f>IFERROR(Model!J612/Model!F612-1,"NA")</f>
        <v>6.6666666666666652E-2</v>
      </c>
      <c r="K612" s="1303">
        <f>IFERROR(Model!K612/Model!G612-1,"NA")</f>
        <v>0.10909090909090913</v>
      </c>
      <c r="L612" s="1303">
        <f>IFERROR(Model!L612/Model!H612-1,"NA")</f>
        <v>0.17543859649122817</v>
      </c>
      <c r="M612" s="1303">
        <f>IFERROR(Model!M612/Model!I612-1,"NA")</f>
        <v>0.13793103448275867</v>
      </c>
      <c r="N612" s="1303">
        <f>IFERROR(Model!N612/Model!J612-1,"NA")</f>
        <v>-1.5625E-2</v>
      </c>
      <c r="O612" s="1303">
        <f>IFERROR(Model!O612/Model!K612-1,"NA")</f>
        <v>-9.8360655737704916E-2</v>
      </c>
      <c r="P612" s="1303">
        <f>IFERROR(Model!P612/Model!L612-1,"NA")</f>
        <v>-0.47761194029850751</v>
      </c>
      <c r="Q612" s="1303">
        <f>IFERROR(Model!Q612/Model!M612-1,"NA")</f>
        <v>-0.51515151515151514</v>
      </c>
      <c r="R612" s="1303">
        <f>IFERROR(Model!R612/Model!N612-1,"NA")</f>
        <v>-0.52380952380952384</v>
      </c>
      <c r="S612" s="1303">
        <f>IFERROR(Model!S612/Model!O612-1,"NA")</f>
        <v>-0.50909090909090904</v>
      </c>
      <c r="T612" s="1303">
        <f>IFERROR(Model!T612/Model!P612-1,"NA")</f>
        <v>-0.19999999999999996</v>
      </c>
      <c r="U612" s="1303">
        <f>IFERROR(Model!U612/Model!Q612-1,"NA")</f>
        <v>-0.21875</v>
      </c>
      <c r="V612" s="1303">
        <f>IFERROR(Model!V612/Model!R612-1,"NA")</f>
        <v>-0.1333333333333333</v>
      </c>
      <c r="W612" s="1303">
        <f>IFERROR(Model!W612/Model!S612-1,"NA")</f>
        <v>-3.703703703703709E-2</v>
      </c>
      <c r="X612" s="1303">
        <f>IFERROR(Model!X612/Model!T612-1,"NA")</f>
        <v>0</v>
      </c>
      <c r="Y612" s="1303">
        <f>IFERROR(Model!Y612/Model!U612-1,"NA")</f>
        <v>8.0000000000000071E-2</v>
      </c>
      <c r="Z612" s="1303">
        <f>IFERROR(Model!Z612/Model!V612-1,"NA")</f>
        <v>0</v>
      </c>
      <c r="AA612" s="1303">
        <f>IFERROR(Model!AA612/Model!W612-1,"NA")</f>
        <v>-3.8461538461538436E-2</v>
      </c>
      <c r="AB612" s="1303">
        <f>IFERROR(Model!AB612/Model!X612-1,"NA")</f>
        <v>-7.1428571428571397E-2</v>
      </c>
      <c r="AC612" s="407" t="str">
        <f>IFERROR(Model!AC612/Model!Y612-1,"NA")</f>
        <v>NA</v>
      </c>
      <c r="AD612" s="407" t="str">
        <f>IFERROR(Model!AD612/Model!Z612-1,"NA")</f>
        <v>NA</v>
      </c>
      <c r="AE612" s="407" t="str">
        <f>IFERROR(Model!AE612/Model!AA612-1,"NA")</f>
        <v>NA</v>
      </c>
      <c r="AF612" s="407" t="str">
        <f>IFERROR(Model!AF612/Model!AB612-1,"NA")</f>
        <v>NA</v>
      </c>
      <c r="AG612" s="407" t="str">
        <f>IFERROR(Model!AG612/Model!AC612-1,"NA")</f>
        <v>NA</v>
      </c>
      <c r="AH612" s="407" t="str">
        <f>IFERROR(Model!AH612/Model!AD612-1,"NA")</f>
        <v>NA</v>
      </c>
      <c r="AI612" s="407" t="str">
        <f>IFERROR(Model!AI612/Model!AE612-1,"NA")</f>
        <v>NA</v>
      </c>
      <c r="AJ612" s="407"/>
      <c r="AK612" s="407"/>
      <c r="AL612" s="407"/>
      <c r="AM612" s="407"/>
      <c r="AN612" s="407"/>
      <c r="AO612" s="407"/>
      <c r="AP612" s="407"/>
      <c r="AQ612" s="407"/>
      <c r="AR612" s="1236"/>
      <c r="AS612" s="1284"/>
      <c r="AT612" s="1400"/>
      <c r="AU612" s="1236"/>
      <c r="AV612" s="1236">
        <f>IFERROR(Model!AV612/Model!AU612-1,"NA")</f>
        <v>0.10909090909090913</v>
      </c>
      <c r="AW612" s="1236">
        <f>IFERROR(Model!AW612/Model!AV612-1,"NA")</f>
        <v>-9.8360655737704916E-2</v>
      </c>
      <c r="AX612" s="1236">
        <f>IFERROR(Model!AX612/Model!AW612-1,"NA")</f>
        <v>-0.50909090909090904</v>
      </c>
      <c r="AY612" s="1236">
        <f>IFERROR(Model!AY612/Model!AX612-1,"NA")</f>
        <v>-3.703703703703709E-2</v>
      </c>
      <c r="AZ612" s="1236">
        <f>IFERROR(Model!AZ612/Model!AY612-1,"NA")</f>
        <v>-3.8461538461538436E-2</v>
      </c>
      <c r="BA612" s="1236" t="str">
        <f>IFERROR(Model!BA612/Model!AZ612-1,"NA")</f>
        <v>NA</v>
      </c>
      <c r="BB612" s="407" t="str">
        <f>IFERROR(Model!BB612/Model!BA612-1,"NA")</f>
        <v>NA</v>
      </c>
      <c r="BC612" s="407" t="str">
        <f>IFERROR(Model!BC612/Model!BB612-1,"NA")</f>
        <v>NA</v>
      </c>
      <c r="BD612" s="407" t="str">
        <f>IFERROR(Model!BD612/Model!BC612-1,"NA")</f>
        <v>NA</v>
      </c>
      <c r="BE612" s="407" t="str">
        <f>IFERROR(Model!BE612/Model!BD612-1,"NA")</f>
        <v>NA</v>
      </c>
    </row>
    <row r="613" spans="1:64" x14ac:dyDescent="0.2">
      <c r="B613" s="321"/>
      <c r="C613" s="562" t="s">
        <v>77</v>
      </c>
      <c r="D613" s="1260"/>
      <c r="E613" s="1260"/>
      <c r="F613" s="1260"/>
      <c r="G613" s="1260"/>
      <c r="H613" s="1260">
        <f>IFERROR(Model!H613/Model!D613-1,"NA")</f>
        <v>-2.083333333333337E-2</v>
      </c>
      <c r="I613" s="1260">
        <f>IFERROR(Model!I613/Model!E613-1,"NA")</f>
        <v>-5.2631578947368474E-2</v>
      </c>
      <c r="J613" s="1260">
        <f>IFERROR(Model!J613/Model!F613-1,"NA")</f>
        <v>-4.5161290322580649E-2</v>
      </c>
      <c r="K613" s="1260">
        <f>IFERROR(Model!K613/Model!G613-1,"NA")</f>
        <v>-1.3605442176870763E-2</v>
      </c>
      <c r="L613" s="1260">
        <f>IFERROR(Model!L613/Model!H613-1,"NA")</f>
        <v>-1.4184397163120588E-2</v>
      </c>
      <c r="M613" s="1260">
        <f>IFERROR(Model!M613/Model!I613-1,"NA")</f>
        <v>6.9444444444444198E-3</v>
      </c>
      <c r="N613" s="1260">
        <f>IFERROR(Model!N613/Model!J613-1,"NA")</f>
        <v>-2.0270270270270285E-2</v>
      </c>
      <c r="O613" s="1260">
        <f>IFERROR(Model!O613/Model!K613-1,"NA")</f>
        <v>-2.0689655172413834E-2</v>
      </c>
      <c r="P613" s="1260">
        <f>IFERROR(Model!P613/Model!L613-1,"NA")</f>
        <v>-2.877697841726623E-2</v>
      </c>
      <c r="Q613" s="1260">
        <f>IFERROR(Model!Q613/Model!M613-1,"NA")</f>
        <v>-6.2068965517241392E-2</v>
      </c>
      <c r="R613" s="1260">
        <f>IFERROR(Model!R613/Model!N613-1,"NA")</f>
        <v>0</v>
      </c>
      <c r="S613" s="1260">
        <f>IFERROR(Model!S613/Model!O613-1,"NA")</f>
        <v>-7.0422535211267512E-3</v>
      </c>
      <c r="T613" s="1260">
        <f>IFERROR(Model!T613/Model!P613-1,"NA")</f>
        <v>7.4074074074074181E-2</v>
      </c>
      <c r="U613" s="1260">
        <f>IFERROR(Model!U613/Model!Q613-1,"NA")</f>
        <v>8.0882352941176405E-2</v>
      </c>
      <c r="V613" s="1260">
        <f>IFERROR(Model!V613/Model!R613-1,"NA")</f>
        <v>1.379310344827589E-2</v>
      </c>
      <c r="W613" s="1260">
        <f>IFERROR(Model!W613/Model!S613-1,"NA")</f>
        <v>-7.0921985815602939E-3</v>
      </c>
      <c r="X613" s="1260">
        <f>IFERROR(Model!X613/Model!T613-1,"NA")</f>
        <v>-6.8965517241379448E-3</v>
      </c>
      <c r="Y613" s="1260">
        <f>IFERROR(Model!Y613/Model!U613-1,"NA")</f>
        <v>0</v>
      </c>
      <c r="Z613" s="1260">
        <f>IFERROR(Model!Z613/Model!V613-1,"NA")</f>
        <v>3.4013605442176909E-2</v>
      </c>
      <c r="AA613" s="1260">
        <f>IFERROR(Model!AA613/Model!W613-1,"NA")</f>
        <v>3.5714285714285809E-2</v>
      </c>
      <c r="AB613" s="1260">
        <f>IFERROR(Model!AB613/Model!X613-1,"NA")</f>
        <v>8.3333333333333259E-2</v>
      </c>
      <c r="AC613" s="1307" t="str">
        <f>IFERROR(Model!AC613/Model!Y613-1,"NA")</f>
        <v>NA</v>
      </c>
      <c r="AD613" s="1307" t="str">
        <f>IFERROR(Model!AD613/Model!Z613-1,"NA")</f>
        <v>NA</v>
      </c>
      <c r="AE613" s="1307" t="str">
        <f>IFERROR(Model!AE613/Model!AA613-1,"NA")</f>
        <v>NA</v>
      </c>
      <c r="AF613" s="1307" t="str">
        <f>IFERROR(Model!AF613/Model!AB613-1,"NA")</f>
        <v>NA</v>
      </c>
      <c r="AG613" s="1307" t="str">
        <f>IFERROR(Model!AG613/Model!AC613-1,"NA")</f>
        <v>NA</v>
      </c>
      <c r="AH613" s="1307" t="str">
        <f>IFERROR(Model!AH613/Model!AD613-1,"NA")</f>
        <v>NA</v>
      </c>
      <c r="AI613" s="1307" t="str">
        <f>IFERROR(Model!AI613/Model!AE613-1,"NA")</f>
        <v>NA</v>
      </c>
      <c r="AJ613" s="1318"/>
      <c r="AK613" s="1318"/>
      <c r="AL613" s="1318"/>
      <c r="AM613" s="1318"/>
      <c r="AN613" s="1318"/>
      <c r="AO613" s="1318"/>
      <c r="AP613" s="1318"/>
      <c r="AQ613" s="1318"/>
      <c r="AR613" s="1236"/>
      <c r="AS613" s="1284"/>
      <c r="AT613" s="1410"/>
      <c r="AU613" s="1246"/>
      <c r="AV613" s="1246">
        <f>IFERROR(Model!AV613/Model!AU613-1,"NA")</f>
        <v>-1.3605442176870763E-2</v>
      </c>
      <c r="AW613" s="1246">
        <f>IFERROR(Model!AW613/Model!AV613-1,"NA")</f>
        <v>-2.0689655172413834E-2</v>
      </c>
      <c r="AX613" s="1246">
        <f>IFERROR(Model!AX613/Model!AW613-1,"NA")</f>
        <v>-7.0422535211267512E-3</v>
      </c>
      <c r="AY613" s="1246">
        <f>IFERROR(Model!AY613/Model!AX613-1,"NA")</f>
        <v>-7.0921985815602939E-3</v>
      </c>
      <c r="AZ613" s="1246">
        <f>IFERROR(Model!AZ613/Model!AY613-1,"NA")</f>
        <v>3.5714285714285809E-2</v>
      </c>
      <c r="BA613" s="1246" t="str">
        <f>IFERROR(Model!BA613/Model!AZ613-1,"NA")</f>
        <v>NA</v>
      </c>
      <c r="BB613" s="1307" t="str">
        <f>IFERROR(Model!BB613/Model!BA613-1,"NA")</f>
        <v>NA</v>
      </c>
      <c r="BC613" s="1307" t="str">
        <f>IFERROR(Model!BC613/Model!BB613-1,"NA")</f>
        <v>NA</v>
      </c>
      <c r="BD613" s="1307" t="str">
        <f>IFERROR(Model!BD613/Model!BC613-1,"NA")</f>
        <v>NA</v>
      </c>
      <c r="BE613" s="1307" t="str">
        <f>IFERROR(Model!BE613/Model!BD613-1,"NA")</f>
        <v>NA</v>
      </c>
    </row>
    <row r="614" spans="1:64" x14ac:dyDescent="0.2">
      <c r="C614" s="563" t="s">
        <v>54</v>
      </c>
      <c r="D614" s="1439"/>
      <c r="E614" s="1439"/>
      <c r="F614" s="1439"/>
      <c r="G614" s="1439"/>
      <c r="H614" s="1439">
        <f>IFERROR(Model!H614/Model!D614-1,"NA")</f>
        <v>7.7669902912620437E-3</v>
      </c>
      <c r="I614" s="1439">
        <f>IFERROR(Model!I614/Model!E614-1,"NA")</f>
        <v>1.5414258188824581E-2</v>
      </c>
      <c r="J614" s="1439">
        <f>IFERROR(Model!J614/Model!F614-1,"NA")</f>
        <v>4.0892193308550207E-2</v>
      </c>
      <c r="K614" s="1439">
        <f>IFERROR(Model!K614/Model!G614-1,"NA")</f>
        <v>9.845559845559837E-2</v>
      </c>
      <c r="L614" s="1439">
        <f>IFERROR(Model!L614/Model!H614-1,"NA")</f>
        <v>9.8265895953757232E-2</v>
      </c>
      <c r="M614" s="1439">
        <f>IFERROR(Model!M614/Model!I614-1,"NA")</f>
        <v>8.7286527514231604E-2</v>
      </c>
      <c r="N614" s="1439">
        <f>IFERROR(Model!N614/Model!J614-1,"NA")</f>
        <v>7.1428571428571175E-3</v>
      </c>
      <c r="O614" s="1439">
        <f>IFERROR(Model!O614/Model!K614-1,"NA")</f>
        <v>-2.1089630931458658E-2</v>
      </c>
      <c r="P614" s="1439">
        <f>IFERROR(Model!P614/Model!L614-1,"NA")</f>
        <v>5.2631578947368585E-3</v>
      </c>
      <c r="Q614" s="1439">
        <f>IFERROR(Model!Q614/Model!M614-1,"NA")</f>
        <v>2.9668411867364686E-2</v>
      </c>
      <c r="R614" s="1439">
        <f>IFERROR(Model!R614/Model!N614-1,"NA")</f>
        <v>5.6737588652482351E-2</v>
      </c>
      <c r="S614" s="1439">
        <f>IFERROR(Model!S614/Model!O614-1,"NA")</f>
        <v>5.7450628366247702E-2</v>
      </c>
      <c r="T614" s="1439">
        <f>IFERROR(Model!T614/Model!P614-1,"NA")</f>
        <v>6.2827225130890119E-2</v>
      </c>
      <c r="U614" s="1439">
        <f>IFERROR(Model!U614/Model!Q614-1,"NA")</f>
        <v>3.2203389830508522E-2</v>
      </c>
      <c r="V614" s="1439">
        <f>IFERROR(Model!V614/Model!R614-1,"NA")</f>
        <v>3.8590604026845554E-2</v>
      </c>
      <c r="W614" s="1439">
        <f>IFERROR(Model!W614/Model!S614-1,"NA")</f>
        <v>3.9049235993208864E-2</v>
      </c>
      <c r="X614" s="1439">
        <f>IFERROR(Model!X614/Model!T614-1,"NA")</f>
        <v>1.8062397372742289E-2</v>
      </c>
      <c r="Y614" s="1439">
        <f>IFERROR(Model!Y614/Model!U614-1,"NA")</f>
        <v>2.4630541871921263E-2</v>
      </c>
      <c r="Z614" s="1439">
        <f>IFERROR(Model!Z614/Model!V614-1,"NA")</f>
        <v>3.3925686591276261E-2</v>
      </c>
      <c r="AA614" s="1439">
        <f>IFERROR(Model!AA614/Model!W614-1,"NA")</f>
        <v>4.5751633986928164E-2</v>
      </c>
      <c r="AB614" s="1439">
        <f>IFERROR(Model!AB614/Model!X614-1,"NA")</f>
        <v>7.4193548387096797E-2</v>
      </c>
      <c r="AC614" s="407">
        <f>IFERROR(Model!AC614/Model!Y614-1,"NA")</f>
        <v>8.3437500000000053E-2</v>
      </c>
      <c r="AD614" s="407">
        <f>IFERROR(Model!AD614/Model!Z614-1,"NA")</f>
        <v>7.2367226562499942E-2</v>
      </c>
      <c r="AE614" s="407">
        <f>IFERROR(Model!AE614/Model!AA614-1,"NA")</f>
        <v>8.867764707031256E-2</v>
      </c>
      <c r="AF614" s="407">
        <f>IFERROR(Model!AF614/Model!AB614-1,"NA")</f>
        <v>5.3553918576013437E-2</v>
      </c>
      <c r="AG614" s="407">
        <f>IFERROR(Model!AG614/Model!AC614-1,"NA")</f>
        <v>4.4834416732596694E-2</v>
      </c>
      <c r="AH614" s="407">
        <f>IFERROR(Model!AH614/Model!AD614-1,"NA")</f>
        <v>3.613876294361118E-2</v>
      </c>
      <c r="AI614" s="407">
        <f>IFERROR(Model!AI614/Model!AE614-1,"NA")</f>
        <v>2.781768088331904E-2</v>
      </c>
      <c r="AJ614" s="407"/>
      <c r="AK614" s="407"/>
      <c r="AL614" s="407"/>
      <c r="AM614" s="407"/>
      <c r="AN614" s="407"/>
      <c r="AO614" s="407"/>
      <c r="AP614" s="407"/>
      <c r="AQ614" s="407"/>
      <c r="AR614" s="1236"/>
      <c r="AS614" s="1382"/>
      <c r="AT614" s="1464"/>
      <c r="AU614" s="1236"/>
      <c r="AV614" s="1236">
        <f>IFERROR(Model!AV614/Model!AU614-1,"NA")</f>
        <v>9.845559845559837E-2</v>
      </c>
      <c r="AW614" s="1236">
        <f>IFERROR(Model!AW614/Model!AV614-1,"NA")</f>
        <v>-2.1089630931458658E-2</v>
      </c>
      <c r="AX614" s="1236">
        <f>IFERROR(Model!AX614/Model!AW614-1,"NA")</f>
        <v>5.7450628366247702E-2</v>
      </c>
      <c r="AY614" s="1236">
        <f>IFERROR(Model!AY614/Model!AX614-1,"NA")</f>
        <v>3.9049235993208864E-2</v>
      </c>
      <c r="AZ614" s="1236">
        <f>IFERROR(Model!AZ614/Model!AY614-1,"NA")</f>
        <v>4.5751633986928164E-2</v>
      </c>
      <c r="BA614" s="1236">
        <f>IFERROR(Model!BA614/Model!AZ614-1,"NA")</f>
        <v>8.867764707031256E-2</v>
      </c>
      <c r="BB614" s="407">
        <f>IFERROR(Model!BB614/Model!BA614-1,"NA")</f>
        <v>2.781768088331904E-2</v>
      </c>
      <c r="BC614" s="407">
        <f>IFERROR(Model!BC614/Model!BB614-1,"NA")</f>
        <v>4.0586566551007008E-2</v>
      </c>
      <c r="BD614" s="407">
        <f>IFERROR(Model!BD614/Model!BC614-1,"NA")</f>
        <v>4.0772798317205261E-2</v>
      </c>
      <c r="BE614" s="407">
        <f>IFERROR(Model!BE614/Model!BD614-1,"NA")</f>
        <v>4.0956964160028253E-2</v>
      </c>
    </row>
    <row r="615" spans="1:64" x14ac:dyDescent="0.2">
      <c r="B615" s="319"/>
      <c r="D615" s="1267"/>
      <c r="E615" s="1267"/>
      <c r="F615" s="1267"/>
      <c r="G615" s="1267"/>
      <c r="H615" s="1267"/>
      <c r="I615" s="1267"/>
      <c r="J615" s="1267"/>
      <c r="K615" s="1267"/>
      <c r="L615" s="1267"/>
      <c r="M615" s="1267"/>
      <c r="N615" s="1267"/>
      <c r="O615" s="1267"/>
      <c r="P615" s="1267"/>
      <c r="Q615" s="1267"/>
      <c r="R615" s="1267"/>
      <c r="S615" s="1267"/>
      <c r="T615" s="1267"/>
      <c r="U615" s="1267"/>
      <c r="V615" s="1267"/>
      <c r="W615" s="1267"/>
      <c r="X615" s="1267"/>
      <c r="Y615" s="1267"/>
      <c r="Z615" s="1267"/>
      <c r="AA615" s="1267"/>
      <c r="AB615" s="1267"/>
      <c r="AC615" s="407"/>
      <c r="AD615" s="407"/>
      <c r="AE615" s="407"/>
      <c r="AF615" s="407"/>
      <c r="AG615" s="407"/>
      <c r="AH615" s="407"/>
      <c r="AI615" s="407"/>
      <c r="AJ615" s="407"/>
      <c r="AK615" s="407"/>
      <c r="AL615" s="407"/>
      <c r="AM615" s="407"/>
      <c r="AN615" s="407"/>
      <c r="AO615" s="407"/>
      <c r="AP615" s="407"/>
      <c r="AQ615" s="407"/>
      <c r="AR615" s="1236"/>
      <c r="AS615" s="1248"/>
      <c r="AT615" s="407"/>
      <c r="AU615" s="1236"/>
      <c r="AV615" s="1236"/>
      <c r="AW615" s="1236"/>
      <c r="AX615" s="1236"/>
      <c r="AY615" s="1236"/>
      <c r="AZ615" s="1236"/>
      <c r="BA615" s="1236"/>
      <c r="BB615" s="407"/>
      <c r="BC615" s="407"/>
      <c r="BD615" s="407"/>
      <c r="BE615" s="407"/>
    </row>
    <row r="616" spans="1:64" s="525" customFormat="1" x14ac:dyDescent="0.2">
      <c r="A616" s="833"/>
      <c r="B616" s="340" t="s">
        <v>944</v>
      </c>
      <c r="C616" s="388"/>
      <c r="D616" s="1465"/>
      <c r="E616" s="1466"/>
      <c r="F616" s="1462"/>
      <c r="G616" s="1462"/>
      <c r="H616" s="1462"/>
      <c r="I616" s="1462"/>
      <c r="J616" s="1462"/>
      <c r="K616" s="1462"/>
      <c r="L616" s="1462"/>
      <c r="M616" s="1462"/>
      <c r="N616" s="1462"/>
      <c r="O616" s="1462"/>
      <c r="P616" s="1462"/>
      <c r="Q616" s="1462"/>
      <c r="R616" s="1462"/>
      <c r="S616" s="1462"/>
      <c r="T616" s="1462"/>
      <c r="U616" s="1462"/>
      <c r="V616" s="1462"/>
      <c r="W616" s="1462"/>
      <c r="X616" s="1462"/>
      <c r="Y616" s="1462"/>
      <c r="Z616" s="1462"/>
      <c r="AA616" s="1462"/>
      <c r="AB616" s="1462"/>
      <c r="AC616" s="1441"/>
      <c r="AD616" s="1441"/>
      <c r="AE616" s="1441"/>
      <c r="AF616" s="1441"/>
      <c r="AG616" s="1441"/>
      <c r="AH616" s="1441"/>
      <c r="AI616" s="1441"/>
      <c r="AJ616" s="1441"/>
      <c r="AK616" s="1441"/>
      <c r="AL616" s="1441"/>
      <c r="AM616" s="1441"/>
      <c r="AN616" s="1441"/>
      <c r="AO616" s="1441"/>
      <c r="AP616" s="1441"/>
      <c r="AQ616" s="1441"/>
      <c r="AR616" s="1236"/>
      <c r="AS616" s="1313"/>
      <c r="AT616" s="1407"/>
      <c r="AU616" s="1441"/>
      <c r="AV616" s="1441"/>
      <c r="AW616" s="1441"/>
      <c r="AX616" s="1441"/>
      <c r="AY616" s="1441"/>
      <c r="AZ616" s="1441"/>
      <c r="BA616" s="1441"/>
      <c r="BB616" s="1441"/>
      <c r="BC616" s="1441"/>
      <c r="BD616" s="1441"/>
      <c r="BE616" s="1441"/>
      <c r="BF616" s="382"/>
      <c r="BG616" s="382"/>
      <c r="BH616" s="382"/>
      <c r="BI616" s="382"/>
      <c r="BJ616" s="382"/>
      <c r="BK616" s="382"/>
      <c r="BL616" s="382"/>
    </row>
    <row r="617" spans="1:64" s="369" customFormat="1" x14ac:dyDescent="0.2">
      <c r="A617" s="411"/>
      <c r="B617" s="327"/>
      <c r="C617" s="362" t="s">
        <v>10</v>
      </c>
      <c r="D617" s="1303"/>
      <c r="E617" s="1303"/>
      <c r="F617" s="1303"/>
      <c r="G617" s="1303"/>
      <c r="H617" s="1303">
        <f>IFERROR(Model!H617/Model!D617-1,"NA")</f>
        <v>4.049844236760114E-2</v>
      </c>
      <c r="I617" s="1303">
        <f>IFERROR(Model!I617/Model!E617-1,"NA")</f>
        <v>4.57317073170731E-2</v>
      </c>
      <c r="J617" s="1303">
        <f>IFERROR(Model!J617/Model!F617-1,"NA")</f>
        <v>7.5581395348837122E-2</v>
      </c>
      <c r="K617" s="1303">
        <f>IFERROR(Model!K617/Model!G617-1,"NA")</f>
        <v>0.16975308641975317</v>
      </c>
      <c r="L617" s="1303">
        <f>IFERROR(Model!L617/Model!H617-1,"NA")</f>
        <v>0.14071856287425155</v>
      </c>
      <c r="M617" s="1303">
        <f>IFERROR(Model!M617/Model!I617-1,"NA")</f>
        <v>0.11953352769679304</v>
      </c>
      <c r="N617" s="1303">
        <f>IFERROR(Model!N617/Model!J617-1,"NA")</f>
        <v>3.2432432432432323E-2</v>
      </c>
      <c r="O617" s="1303">
        <f>IFERROR(Model!O617/Model!K617-1,"NA")</f>
        <v>0</v>
      </c>
      <c r="P617" s="1303">
        <f>IFERROR(Model!P617/Model!L617-1,"NA")</f>
        <v>1.8372703412073532E-2</v>
      </c>
      <c r="Q617" s="1303">
        <f>IFERROR(Model!Q617/Model!M617-1,"NA")</f>
        <v>3.90625E-2</v>
      </c>
      <c r="R617" s="1303">
        <f>IFERROR(Model!R617/Model!N617-1,"NA")</f>
        <v>4.7120418848167533E-2</v>
      </c>
      <c r="S617" s="1303">
        <f>IFERROR(Model!S617/Model!O617-1,"NA")</f>
        <v>3.9577836411609502E-2</v>
      </c>
      <c r="T617" s="1303">
        <f>IFERROR(Model!T617/Model!P617-1,"NA")</f>
        <v>7.474226804123707E-2</v>
      </c>
      <c r="U617" s="1303">
        <f>IFERROR(Model!U617/Model!Q617-1,"NA")</f>
        <v>2.0050125313283207E-2</v>
      </c>
      <c r="V617" s="1303">
        <f>IFERROR(Model!V617/Model!R617-1,"NA")</f>
        <v>4.2499999999999982E-2</v>
      </c>
      <c r="W617" s="1303">
        <f>IFERROR(Model!W617/Model!S617-1,"NA")</f>
        <v>4.5685279187817285E-2</v>
      </c>
      <c r="X617" s="1303">
        <f>IFERROR(Model!X617/Model!T617-1,"NA")</f>
        <v>0</v>
      </c>
      <c r="Y617" s="1303">
        <f>IFERROR(Model!Y617/Model!U617-1,"NA")</f>
        <v>3.4398034398034349E-2</v>
      </c>
      <c r="Z617" s="1303">
        <f>IFERROR(Model!Z617/Model!V617-1,"NA")</f>
        <v>2.6378896882494063E-2</v>
      </c>
      <c r="AA617" s="1303">
        <f>IFERROR(Model!AA617/Model!W617-1,"NA")</f>
        <v>4.8543689320388328E-2</v>
      </c>
      <c r="AB617" s="1303">
        <f>IFERROR(Model!AB617/Model!X617-1,"NA")</f>
        <v>7.6738609112709799E-2</v>
      </c>
      <c r="AC617" s="1284">
        <f>IFERROR(Model!AC617/Model!Y617-1,"NA")</f>
        <v>8.7838479809976278E-2</v>
      </c>
      <c r="AD617" s="1284">
        <f>IFERROR(Model!AD617/Model!Z617-1,"NA")</f>
        <v>9.1447663551401881E-2</v>
      </c>
      <c r="AE617" s="1284">
        <f>IFERROR(Model!AE617/Model!AA617-1,"NA")</f>
        <v>0.10296850000000024</v>
      </c>
      <c r="AF617" s="1284">
        <f>IFERROR(Model!AF617/Model!AB617-1,"NA")</f>
        <v>6.9697664000000215E-2</v>
      </c>
      <c r="AG617" s="1284">
        <f>IFERROR(Model!AG617/Model!AC617-1,"NA")</f>
        <v>5.6588624000000198E-2</v>
      </c>
      <c r="AH617" s="1284">
        <f>IFERROR(Model!AH617/Model!AD617-1,"NA")</f>
        <v>4.3640234000000167E-2</v>
      </c>
      <c r="AI617" s="1284">
        <f>IFERROR(Model!AI617/Model!AE617-1,"NA")</f>
        <v>3.1362113600000185E-2</v>
      </c>
      <c r="AJ617" s="1284"/>
      <c r="AK617" s="1284"/>
      <c r="AL617" s="1284"/>
      <c r="AM617" s="1284"/>
      <c r="AN617" s="1284"/>
      <c r="AO617" s="1284"/>
      <c r="AP617" s="1284"/>
      <c r="AQ617" s="1284"/>
      <c r="AR617" s="1236"/>
      <c r="AS617" s="1284"/>
      <c r="AT617" s="1400"/>
      <c r="AU617" s="1236"/>
      <c r="AV617" s="1236">
        <f>IFERROR(Model!AV617/Model!AU617-1,"NA")</f>
        <v>0.16975308641975317</v>
      </c>
      <c r="AW617" s="1236">
        <f>IFERROR(Model!AW617/Model!AV617-1,"NA")</f>
        <v>0</v>
      </c>
      <c r="AX617" s="1236">
        <f>IFERROR(Model!AX617/Model!AW617-1,"NA")</f>
        <v>3.9577836411609502E-2</v>
      </c>
      <c r="AY617" s="1236">
        <f>IFERROR(Model!AY617/Model!AX617-1,"NA")</f>
        <v>4.5685279187817285E-2</v>
      </c>
      <c r="AZ617" s="1236">
        <f>IFERROR(Model!AZ617/Model!AY617-1,"NA")</f>
        <v>4.8543689320388328E-2</v>
      </c>
      <c r="BA617" s="1236">
        <f>IFERROR(Model!BA617/Model!AZ617-1,"NA")</f>
        <v>0.10296850000000024</v>
      </c>
      <c r="BB617" s="1284">
        <f>IFERROR(Model!BB617/Model!BA617-1,"NA")</f>
        <v>3.1362113600000185E-2</v>
      </c>
      <c r="BC617" s="1284">
        <f>IFERROR(Model!BC617/Model!BB617-1,"NA")</f>
        <v>5.0000000000000044E-2</v>
      </c>
      <c r="BD617" s="1284">
        <f>IFERROR(Model!BD617/Model!BC617-1,"NA")</f>
        <v>5.0000000000000044E-2</v>
      </c>
      <c r="BE617" s="1284">
        <f>IFERROR(Model!BE617/Model!BD617-1,"NA")</f>
        <v>5.0000000000000266E-2</v>
      </c>
    </row>
    <row r="618" spans="1:64" s="369" customFormat="1" x14ac:dyDescent="0.2">
      <c r="A618" s="411"/>
      <c r="B618" s="321"/>
      <c r="C618" s="362" t="s">
        <v>116</v>
      </c>
      <c r="D618" s="1303"/>
      <c r="E618" s="1303"/>
      <c r="F618" s="1303"/>
      <c r="G618" s="1303"/>
      <c r="H618" s="1303">
        <f>IFERROR(Model!H618/Model!D618-1,"NA")</f>
        <v>-4.6391752577319534E-2</v>
      </c>
      <c r="I618" s="1303">
        <f>IFERROR(Model!I618/Model!E618-1,"NA")</f>
        <v>-3.6649214659685847E-2</v>
      </c>
      <c r="J618" s="1303">
        <f>IFERROR(Model!J618/Model!F618-1,"NA")</f>
        <v>-2.0618556701030966E-2</v>
      </c>
      <c r="K618" s="1303">
        <f>IFERROR(Model!K618/Model!G618-1,"NA")</f>
        <v>-2.0618556701030966E-2</v>
      </c>
      <c r="L618" s="1303">
        <f>IFERROR(Model!L618/Model!H618-1,"NA")</f>
        <v>2.1621621621621623E-2</v>
      </c>
      <c r="M618" s="1303">
        <f>IFERROR(Model!M618/Model!I618-1,"NA")</f>
        <v>2.7173913043478271E-2</v>
      </c>
      <c r="N618" s="1303">
        <f>IFERROR(Model!N618/Model!J618-1,"NA")</f>
        <v>-4.2105263157894757E-2</v>
      </c>
      <c r="O618" s="1303">
        <f>IFERROR(Model!O618/Model!K618-1,"NA")</f>
        <v>-6.315789473684208E-2</v>
      </c>
      <c r="P618" s="1303">
        <f>IFERROR(Model!P618/Model!L618-1,"NA")</f>
        <v>-2.1164021164021163E-2</v>
      </c>
      <c r="Q618" s="1303">
        <f>IFERROR(Model!Q618/Model!M618-1,"NA")</f>
        <v>1.0582010582010692E-2</v>
      </c>
      <c r="R618" s="1303">
        <f>IFERROR(Model!R618/Model!N618-1,"NA")</f>
        <v>7.6923076923076872E-2</v>
      </c>
      <c r="S618" s="1303">
        <f>IFERROR(Model!S618/Model!O618-1,"NA")</f>
        <v>9.550561797752799E-2</v>
      </c>
      <c r="T618" s="1303">
        <f>IFERROR(Model!T618/Model!P618-1,"NA")</f>
        <v>3.7837837837837895E-2</v>
      </c>
      <c r="U618" s="1303">
        <f>IFERROR(Model!U618/Model!Q618-1,"NA")</f>
        <v>5.7591623036649109E-2</v>
      </c>
      <c r="V618" s="1303">
        <f>IFERROR(Model!V618/Model!R618-1,"NA")</f>
        <v>3.0612244897959107E-2</v>
      </c>
      <c r="W618" s="1303">
        <f>IFERROR(Model!W618/Model!S618-1,"NA")</f>
        <v>2.564102564102555E-2</v>
      </c>
      <c r="X618" s="1303">
        <f>IFERROR(Model!X618/Model!T618-1,"NA")</f>
        <v>5.7291666666666741E-2</v>
      </c>
      <c r="Y618" s="1303">
        <f>IFERROR(Model!Y618/Model!U618-1,"NA")</f>
        <v>4.9504950495049549E-3</v>
      </c>
      <c r="Z618" s="1303">
        <f>IFERROR(Model!Z618/Model!V618-1,"NA")</f>
        <v>4.9504950495049549E-2</v>
      </c>
      <c r="AA618" s="1303">
        <f>IFERROR(Model!AA618/Model!W618-1,"NA")</f>
        <v>4.0000000000000036E-2</v>
      </c>
      <c r="AB618" s="1303">
        <f>IFERROR(Model!AB618/Model!X618-1,"NA")</f>
        <v>6.8965517241379226E-2</v>
      </c>
      <c r="AC618" s="1284">
        <f>IFERROR(Model!AC618/Model!Y618-1,"NA")</f>
        <v>7.4310344827586139E-2</v>
      </c>
      <c r="AD618" s="1284">
        <f>IFERROR(Model!AD618/Model!Z618-1,"NA")</f>
        <v>3.3846344339622414E-2</v>
      </c>
      <c r="AE618" s="1284">
        <f>IFERROR(Model!AE618/Model!AA618-1,"NA")</f>
        <v>5.8996644831730505E-2</v>
      </c>
      <c r="AF618" s="1284">
        <f>IFERROR(Model!AF618/Model!AB618-1,"NA")</f>
        <v>2.0150500624999568E-2</v>
      </c>
      <c r="AG618" s="1284">
        <f>IFERROR(Model!AG618/Model!AC618-1,"NA")</f>
        <v>2.0150500624999568E-2</v>
      </c>
      <c r="AH618" s="1284">
        <f>IFERROR(Model!AH618/Model!AD618-1,"NA")</f>
        <v>2.0150500624999568E-2</v>
      </c>
      <c r="AI618" s="1284">
        <f>IFERROR(Model!AI618/Model!AE618-1,"NA")</f>
        <v>2.0150500624999568E-2</v>
      </c>
      <c r="AJ618" s="1284"/>
      <c r="AK618" s="1284"/>
      <c r="AL618" s="1284"/>
      <c r="AM618" s="1284"/>
      <c r="AN618" s="1284"/>
      <c r="AO618" s="1284"/>
      <c r="AP618" s="1284"/>
      <c r="AQ618" s="1284"/>
      <c r="AR618" s="1236"/>
      <c r="AS618" s="1284"/>
      <c r="AT618" s="1400"/>
      <c r="AU618" s="1246"/>
      <c r="AV618" s="1246">
        <f>IFERROR(Model!AV618/Model!AU618-1,"NA")</f>
        <v>-2.0618556701030966E-2</v>
      </c>
      <c r="AW618" s="1246">
        <f>IFERROR(Model!AW618/Model!AV618-1,"NA")</f>
        <v>-6.315789473684208E-2</v>
      </c>
      <c r="AX618" s="1246">
        <f>IFERROR(Model!AX618/Model!AW618-1,"NA")</f>
        <v>9.550561797752799E-2</v>
      </c>
      <c r="AY618" s="1246">
        <f>IFERROR(Model!AY618/Model!AX618-1,"NA")</f>
        <v>2.564102564102555E-2</v>
      </c>
      <c r="AZ618" s="1246">
        <f>IFERROR(Model!AZ618/Model!AY618-1,"NA")</f>
        <v>4.0000000000000036E-2</v>
      </c>
      <c r="BA618" s="1246">
        <f>IFERROR(Model!BA618/Model!AZ618-1,"NA")</f>
        <v>5.8996644831730505E-2</v>
      </c>
      <c r="BB618" s="1284">
        <f>IFERROR(Model!BB618/Model!BA618-1,"NA")</f>
        <v>2.0150500624999568E-2</v>
      </c>
      <c r="BC618" s="1284">
        <f>IFERROR(Model!BC618/Model!BB618-1,"NA")</f>
        <v>1.9999999999999796E-2</v>
      </c>
      <c r="BD618" s="1284">
        <f>IFERROR(Model!BD618/Model!BC618-1,"NA")</f>
        <v>2.0000000000000018E-2</v>
      </c>
      <c r="BE618" s="1284">
        <f>IFERROR(Model!BE618/Model!BD618-1,"NA")</f>
        <v>2.0000000000000018E-2</v>
      </c>
    </row>
    <row r="619" spans="1:64" s="369" customFormat="1" x14ac:dyDescent="0.2">
      <c r="A619" s="830"/>
      <c r="C619" s="563" t="s">
        <v>54</v>
      </c>
      <c r="D619" s="1439"/>
      <c r="E619" s="1439"/>
      <c r="F619" s="1439"/>
      <c r="G619" s="1439"/>
      <c r="H619" s="1439">
        <f>IFERROR(Model!H619/Model!D619-1,"NA")</f>
        <v>7.7669902912620437E-3</v>
      </c>
      <c r="I619" s="1439">
        <f>IFERROR(Model!I619/Model!E619-1,"NA")</f>
        <v>1.5414258188824581E-2</v>
      </c>
      <c r="J619" s="1439">
        <f>IFERROR(Model!J619/Model!F619-1,"NA")</f>
        <v>4.0892193308550207E-2</v>
      </c>
      <c r="K619" s="1439">
        <f>IFERROR(Model!K619/Model!G619-1,"NA")</f>
        <v>9.845559845559837E-2</v>
      </c>
      <c r="L619" s="1439">
        <f>IFERROR(Model!L619/Model!H619-1,"NA")</f>
        <v>9.8265895953757232E-2</v>
      </c>
      <c r="M619" s="1439">
        <f>IFERROR(Model!M619/Model!I619-1,"NA")</f>
        <v>8.7286527514231604E-2</v>
      </c>
      <c r="N619" s="1439">
        <f>IFERROR(Model!N619/Model!J619-1,"NA")</f>
        <v>7.1428571428571175E-3</v>
      </c>
      <c r="O619" s="1439">
        <f>IFERROR(Model!O619/Model!K619-1,"NA")</f>
        <v>-2.1089630931458658E-2</v>
      </c>
      <c r="P619" s="1439">
        <f>IFERROR(Model!P619/Model!L619-1,"NA")</f>
        <v>5.2631578947368585E-3</v>
      </c>
      <c r="Q619" s="1439">
        <f>IFERROR(Model!Q619/Model!M619-1,"NA")</f>
        <v>2.9668411867364686E-2</v>
      </c>
      <c r="R619" s="1439">
        <f>IFERROR(Model!R619/Model!N619-1,"NA")</f>
        <v>5.6737588652482351E-2</v>
      </c>
      <c r="S619" s="1439">
        <f>IFERROR(Model!S619/Model!O619-1,"NA")</f>
        <v>5.7450628366247702E-2</v>
      </c>
      <c r="T619" s="1439">
        <f>IFERROR(Model!T619/Model!P619-1,"NA")</f>
        <v>6.2827225130890119E-2</v>
      </c>
      <c r="U619" s="1439">
        <f>IFERROR(Model!U619/Model!Q619-1,"NA")</f>
        <v>3.2203389830508522E-2</v>
      </c>
      <c r="V619" s="1439">
        <f>IFERROR(Model!V619/Model!R619-1,"NA")</f>
        <v>3.8590604026845554E-2</v>
      </c>
      <c r="W619" s="1439">
        <f>IFERROR(Model!W619/Model!S619-1,"NA")</f>
        <v>3.9049235993208864E-2</v>
      </c>
      <c r="X619" s="1439">
        <f>IFERROR(Model!X619/Model!T619-1,"NA")</f>
        <v>1.8062397372742289E-2</v>
      </c>
      <c r="Y619" s="1439">
        <f>IFERROR(Model!Y619/Model!U619-1,"NA")</f>
        <v>2.4630541871921263E-2</v>
      </c>
      <c r="Z619" s="1439">
        <f>IFERROR(Model!Z619/Model!V619-1,"NA")</f>
        <v>3.3925686591276261E-2</v>
      </c>
      <c r="AA619" s="1439">
        <f>IFERROR(Model!AA619/Model!W619-1,"NA")</f>
        <v>4.5751633986928164E-2</v>
      </c>
      <c r="AB619" s="1439">
        <f>IFERROR(Model!AB619/Model!X619-1,"NA")</f>
        <v>7.4193548387096797E-2</v>
      </c>
      <c r="AC619" s="1439">
        <f>IFERROR(Model!AC619/Model!Y619-1,"NA")</f>
        <v>8.3437500000000053E-2</v>
      </c>
      <c r="AD619" s="1439">
        <f>IFERROR(Model!AD619/Model!Z619-1,"NA")</f>
        <v>7.2367226562499942E-2</v>
      </c>
      <c r="AE619" s="1439">
        <f>IFERROR(Model!AE619/Model!AA619-1,"NA")</f>
        <v>8.867764707031256E-2</v>
      </c>
      <c r="AF619" s="1439">
        <f>IFERROR(Model!AF619/Model!AB619-1,"NA")</f>
        <v>5.3553918576013437E-2</v>
      </c>
      <c r="AG619" s="1439">
        <f>IFERROR(Model!AG619/Model!AC619-1,"NA")</f>
        <v>4.4834416732596694E-2</v>
      </c>
      <c r="AH619" s="1439">
        <f>IFERROR(Model!AH619/Model!AD619-1,"NA")</f>
        <v>3.613876294361118E-2</v>
      </c>
      <c r="AI619" s="1439">
        <f>IFERROR(Model!AI619/Model!AE619-1,"NA")</f>
        <v>2.781768088331904E-2</v>
      </c>
      <c r="AJ619" s="1267"/>
      <c r="AK619" s="1267"/>
      <c r="AL619" s="1267"/>
      <c r="AM619" s="1267"/>
      <c r="AN619" s="1267"/>
      <c r="AO619" s="1267"/>
      <c r="AP619" s="1267"/>
      <c r="AQ619" s="1267"/>
      <c r="AR619" s="1236"/>
      <c r="AS619" s="1263"/>
      <c r="AT619" s="1464"/>
      <c r="AU619" s="1308"/>
      <c r="AV619" s="1308">
        <f>IFERROR(Model!AV619/Model!AU619-1,"NA")</f>
        <v>9.845559845559837E-2</v>
      </c>
      <c r="AW619" s="1308">
        <f>IFERROR(Model!AW619/Model!AV619-1,"NA")</f>
        <v>-2.1089630931458658E-2</v>
      </c>
      <c r="AX619" s="1308">
        <f>IFERROR(Model!AX619/Model!AW619-1,"NA")</f>
        <v>5.7450628366247702E-2</v>
      </c>
      <c r="AY619" s="1308">
        <f>IFERROR(Model!AY619/Model!AX619-1,"NA")</f>
        <v>3.9049235993208864E-2</v>
      </c>
      <c r="AZ619" s="1308">
        <f>IFERROR(Model!AZ619/Model!AY619-1,"NA")</f>
        <v>4.5751633986928164E-2</v>
      </c>
      <c r="BA619" s="1308">
        <f>IFERROR(Model!BA619/Model!AZ619-1,"NA")</f>
        <v>8.867764707031256E-2</v>
      </c>
      <c r="BB619" s="1439">
        <f>IFERROR(Model!BB619/Model!BA619-1,"NA")</f>
        <v>2.781768088331904E-2</v>
      </c>
      <c r="BC619" s="1439">
        <f>IFERROR(Model!BC619/Model!BB619-1,"NA")</f>
        <v>4.0586566551007008E-2</v>
      </c>
      <c r="BD619" s="1439">
        <f>IFERROR(Model!BD619/Model!BC619-1,"NA")</f>
        <v>4.0772798317205261E-2</v>
      </c>
      <c r="BE619" s="1439">
        <f>IFERROR(Model!BE619/Model!BD619-1,"NA")</f>
        <v>4.0956964160028253E-2</v>
      </c>
    </row>
    <row r="620" spans="1:64" s="369" customFormat="1" x14ac:dyDescent="0.2">
      <c r="A620" s="411"/>
      <c r="B620" s="321"/>
      <c r="C620" s="319"/>
      <c r="D620" s="1311"/>
      <c r="E620" s="1311"/>
      <c r="F620" s="1311"/>
      <c r="G620" s="1311"/>
      <c r="H620" s="1311"/>
      <c r="I620" s="1311"/>
      <c r="J620" s="1311"/>
      <c r="K620" s="1311"/>
      <c r="L620" s="1311"/>
      <c r="M620" s="1311"/>
      <c r="N620" s="1311"/>
      <c r="O620" s="1311"/>
      <c r="P620" s="1311"/>
      <c r="Q620" s="1311"/>
      <c r="R620" s="1311"/>
      <c r="S620" s="1311"/>
      <c r="T620" s="1311"/>
      <c r="U620" s="1311"/>
      <c r="V620" s="1311"/>
      <c r="W620" s="1311"/>
      <c r="X620" s="1311"/>
      <c r="Y620" s="1311"/>
      <c r="Z620" s="1311"/>
      <c r="AA620" s="1311"/>
      <c r="AB620" s="1311"/>
      <c r="AC620" s="1263"/>
      <c r="AD620" s="1278"/>
      <c r="AE620" s="1278"/>
      <c r="AF620" s="1278"/>
      <c r="AG620" s="1278"/>
      <c r="AH620" s="1278"/>
      <c r="AI620" s="1263"/>
      <c r="AJ620" s="1263"/>
      <c r="AK620" s="1263"/>
      <c r="AL620" s="1263"/>
      <c r="AM620" s="1263"/>
      <c r="AN620" s="1263"/>
      <c r="AO620" s="1263"/>
      <c r="AP620" s="1263"/>
      <c r="AQ620" s="1263"/>
      <c r="AR620" s="1236"/>
      <c r="AS620" s="1284"/>
      <c r="AT620" s="1248"/>
      <c r="AU620" s="1277"/>
      <c r="AV620" s="1263"/>
      <c r="AW620" s="1311"/>
      <c r="AX620" s="1262"/>
      <c r="AY620" s="1311"/>
      <c r="AZ620" s="1263"/>
      <c r="BA620" s="1308"/>
      <c r="BB620" s="1263"/>
      <c r="BC620" s="1263"/>
      <c r="BD620" s="1263"/>
      <c r="BE620" s="1263"/>
    </row>
    <row r="621" spans="1:64" s="572" customFormat="1" x14ac:dyDescent="0.2">
      <c r="A621" s="411"/>
      <c r="B621" s="340" t="s">
        <v>945</v>
      </c>
      <c r="C621" s="388"/>
      <c r="D621" s="1426"/>
      <c r="E621" s="1426"/>
      <c r="F621" s="1426"/>
      <c r="G621" s="1426"/>
      <c r="H621" s="1426"/>
      <c r="I621" s="1426"/>
      <c r="J621" s="1426"/>
      <c r="K621" s="1426"/>
      <c r="L621" s="1426"/>
      <c r="M621" s="1426"/>
      <c r="N621" s="1426"/>
      <c r="O621" s="1426"/>
      <c r="P621" s="1426"/>
      <c r="Q621" s="1426"/>
      <c r="R621" s="1426"/>
      <c r="S621" s="1426"/>
      <c r="T621" s="1426"/>
      <c r="U621" s="1426"/>
      <c r="V621" s="1426"/>
      <c r="W621" s="1426"/>
      <c r="X621" s="1426"/>
      <c r="Y621" s="1426"/>
      <c r="Z621" s="1426"/>
      <c r="AA621" s="1426"/>
      <c r="AB621" s="1426"/>
      <c r="AC621" s="1265"/>
      <c r="AD621" s="1309"/>
      <c r="AE621" s="1309"/>
      <c r="AF621" s="1309"/>
      <c r="AG621" s="1309"/>
      <c r="AH621" s="1309"/>
      <c r="AI621" s="1265"/>
      <c r="AJ621" s="1265"/>
      <c r="AK621" s="1265"/>
      <c r="AL621" s="1265"/>
      <c r="AM621" s="1265"/>
      <c r="AN621" s="1265"/>
      <c r="AO621" s="1265"/>
      <c r="AP621" s="1265"/>
      <c r="AQ621" s="1265"/>
      <c r="AR621" s="1236"/>
      <c r="AS621" s="1313"/>
      <c r="AT621" s="1407"/>
      <c r="AU621" s="1310"/>
      <c r="AV621" s="1265"/>
      <c r="AW621" s="1426"/>
      <c r="AX621" s="1264"/>
      <c r="AY621" s="1426"/>
      <c r="AZ621" s="1265"/>
      <c r="BA621" s="1441"/>
      <c r="BB621" s="1265"/>
      <c r="BC621" s="1265"/>
      <c r="BD621" s="1265"/>
      <c r="BE621" s="1265"/>
      <c r="BF621" s="369"/>
      <c r="BG621" s="369"/>
      <c r="BH621" s="369"/>
      <c r="BI621" s="369"/>
      <c r="BJ621" s="369"/>
      <c r="BK621" s="369"/>
      <c r="BL621" s="369"/>
    </row>
    <row r="622" spans="1:64" s="369" customFormat="1" x14ac:dyDescent="0.2">
      <c r="A622" s="411"/>
      <c r="B622" s="325"/>
      <c r="C622" s="362" t="s">
        <v>10</v>
      </c>
      <c r="D622" s="1311"/>
      <c r="E622" s="1267"/>
      <c r="F622" s="1267"/>
      <c r="G622" s="1267"/>
      <c r="H622" s="1267" t="str">
        <f>IFERROR(Model!H622/Model!D622-1,"NA")</f>
        <v>NA</v>
      </c>
      <c r="I622" s="1267">
        <f>IFERROR(Model!I622/Model!E622-1,"NA")</f>
        <v>4.3143297380585421E-2</v>
      </c>
      <c r="J622" s="1267">
        <f>IFERROR(Model!J622/Model!F622-1,"NA")</f>
        <v>6.1011904761904656E-2</v>
      </c>
      <c r="K622" s="1267">
        <f>IFERROR(Model!K622/Model!G622-1,"NA")</f>
        <v>0.12125748502994016</v>
      </c>
      <c r="L622" s="1267">
        <f>IFERROR(Model!L622/Model!H622-1,"NA")</f>
        <v>0.15501519756838911</v>
      </c>
      <c r="M622" s="1267">
        <f>IFERROR(Model!M622/Model!I622-1,"NA")</f>
        <v>0.12998522895125553</v>
      </c>
      <c r="N622" s="1267">
        <f>IFERROR(Model!N622/Model!J622-1,"NA")</f>
        <v>7.4333800841514641E-2</v>
      </c>
      <c r="O622" s="1267">
        <f>IFERROR(Model!O622/Model!K622-1,"NA")</f>
        <v>1.6021361815754309E-2</v>
      </c>
      <c r="P622" s="1267">
        <f>IFERROR(Model!P622/Model!L622-1,"NA")</f>
        <v>9.2105263157895578E-3</v>
      </c>
      <c r="Q622" s="1267">
        <f>IFERROR(Model!Q622/Model!M622-1,"NA")</f>
        <v>2.8758169934640421E-2</v>
      </c>
      <c r="R622" s="1267">
        <f>IFERROR(Model!R622/Model!N622-1,"NA")</f>
        <v>4.3080939947780728E-2</v>
      </c>
      <c r="S622" s="1267">
        <f>IFERROR(Model!S622/Model!O622-1,"NA")</f>
        <v>4.3363994743758294E-2</v>
      </c>
      <c r="T622" s="1267">
        <f>IFERROR(Model!T622/Model!P622-1,"NA")</f>
        <v>5.7366362451108266E-2</v>
      </c>
      <c r="U622" s="1267">
        <f>IFERROR(Model!U622/Model!Q622-1,"NA")</f>
        <v>4.7013977128335549E-2</v>
      </c>
      <c r="V622" s="1267">
        <f>IFERROR(Model!V622/Model!R622-1,"NA")</f>
        <v>3.1289111389236623E-2</v>
      </c>
      <c r="W622" s="1267">
        <f>IFERROR(Model!W622/Model!S622-1,"NA")</f>
        <v>4.4080604534004975E-2</v>
      </c>
      <c r="X622" s="1267">
        <f>IFERROR(Model!X622/Model!T622-1,"NA")</f>
        <v>2.2194821208384674E-2</v>
      </c>
      <c r="Y622" s="1267">
        <f>IFERROR(Model!Y622/Model!U622-1,"NA")</f>
        <v>1.6990291262136026E-2</v>
      </c>
      <c r="Z622" s="1267">
        <f>IFERROR(Model!Z622/Model!V622-1,"NA")</f>
        <v>3.0339805825242649E-2</v>
      </c>
      <c r="AA622" s="1267">
        <f>IFERROR(Model!AA622/Model!W622-1,"NA")</f>
        <v>3.7394451145958962E-2</v>
      </c>
      <c r="AB622" s="1267">
        <f>IFERROR(Model!AB622/Model!X622-1,"NA")</f>
        <v>6.2726176115802224E-2</v>
      </c>
      <c r="AC622" s="1381">
        <f>IFERROR(Model!AC622/Model!Y622-1,"NA")</f>
        <v>7.2338902147971451E-2</v>
      </c>
      <c r="AD622" s="1381">
        <f>IFERROR(Model!AD622/Model!Z622-1,"NA")</f>
        <v>7.9614134275618476E-2</v>
      </c>
      <c r="AE622" s="1381">
        <f>IFERROR(Model!AE622/Model!AA622-1,"NA")</f>
        <v>8.7121218604651274E-2</v>
      </c>
      <c r="AF622" s="1381">
        <f>IFERROR(Model!AF622/Model!AB622-1,"NA")</f>
        <v>6.9697663999999993E-2</v>
      </c>
      <c r="AG622" s="1381">
        <f>IFERROR(Model!AG622/Model!AC622-1,"NA")</f>
        <v>5.6588624000000198E-2</v>
      </c>
      <c r="AH622" s="1381">
        <f>IFERROR(Model!AH622/Model!AD622-1,"NA")</f>
        <v>4.3640234000000167E-2</v>
      </c>
      <c r="AI622" s="1381">
        <f>IFERROR(Model!AI622/Model!AE622-1,"NA")</f>
        <v>3.1362113600000185E-2</v>
      </c>
      <c r="AJ622" s="1381"/>
      <c r="AK622" s="1381"/>
      <c r="AL622" s="1381"/>
      <c r="AM622" s="1381"/>
      <c r="AN622" s="1381"/>
      <c r="AO622" s="1381"/>
      <c r="AP622" s="1381"/>
      <c r="AQ622" s="1381"/>
      <c r="AR622" s="1236"/>
      <c r="AS622" s="1239"/>
      <c r="AT622" s="1400"/>
      <c r="AU622" s="1236"/>
      <c r="AV622" s="1236">
        <f>IFERROR(Model!AV622/Model!AU622-1,"NA")</f>
        <v>5.4675716440422351E-2</v>
      </c>
      <c r="AW622" s="1236">
        <f>IFERROR(Model!AW622/Model!AV622-1,"NA")</f>
        <v>9.1169109760457667E-2</v>
      </c>
      <c r="AX622" s="1236">
        <f>IFERROR(Model!AX622/Model!AW622-1,"NA")</f>
        <v>3.1127129750982974E-2</v>
      </c>
      <c r="AY622" s="1236">
        <f>IFERROR(Model!AY622/Model!AX622-1,"NA")</f>
        <v>4.4804575786463241E-2</v>
      </c>
      <c r="AZ622" s="1236">
        <f>IFERROR(Model!AZ622/Model!AY622-1,"NA")</f>
        <v>2.6763990267639981E-2</v>
      </c>
      <c r="BA622" s="1236">
        <f>IFERROR(Model!BA622/Model!AZ622-1,"NA")</f>
        <v>7.5573651658767727E-2</v>
      </c>
      <c r="BB622" s="1381">
        <f>IFERROR(Model!BB622/Model!BA622-1,"NA")</f>
        <v>5.0005504109762455E-2</v>
      </c>
      <c r="BC622" s="1381">
        <f>IFERROR(Model!BC622/Model!BB622-1,"NA")</f>
        <v>5.0000000000000044E-2</v>
      </c>
      <c r="BD622" s="1381">
        <f>IFERROR(Model!BD622/Model!BC622-1,"NA")</f>
        <v>5.0000000000000044E-2</v>
      </c>
      <c r="BE622" s="1381">
        <f>IFERROR(Model!BE622/Model!BD622-1,"NA")</f>
        <v>5.0000000000000044E-2</v>
      </c>
    </row>
    <row r="623" spans="1:64" s="369" customFormat="1" x14ac:dyDescent="0.2">
      <c r="A623" s="411"/>
      <c r="B623" s="321"/>
      <c r="C623" s="362" t="s">
        <v>116</v>
      </c>
      <c r="D623" s="1311"/>
      <c r="E623" s="1267"/>
      <c r="F623" s="1267"/>
      <c r="G623" s="1267"/>
      <c r="H623" s="1267" t="str">
        <f>IFERROR(Model!H623/Model!D623-1,"NA")</f>
        <v>NA</v>
      </c>
      <c r="I623" s="1267">
        <f>IFERROR(Model!I623/Model!E623-1,"NA")</f>
        <v>-4.1558441558441572E-2</v>
      </c>
      <c r="J623" s="1267">
        <f>IFERROR(Model!J623/Model!F623-1,"NA")</f>
        <v>-2.8571428571428581E-2</v>
      </c>
      <c r="K623" s="1267">
        <f>IFERROR(Model!K623/Model!G623-1,"NA")</f>
        <v>-2.0618556701030966E-2</v>
      </c>
      <c r="L623" s="1267">
        <f>IFERROR(Model!L623/Model!H623-1,"NA")</f>
        <v>0</v>
      </c>
      <c r="M623" s="1267">
        <f>IFERROR(Model!M623/Model!I623-1,"NA")</f>
        <v>2.4390243902439046E-2</v>
      </c>
      <c r="N623" s="1267">
        <f>IFERROR(Model!N623/Model!J623-1,"NA")</f>
        <v>-8.0213903743315829E-3</v>
      </c>
      <c r="O623" s="1267">
        <f>IFERROR(Model!O623/Model!K623-1,"NA")</f>
        <v>-5.2631578947368474E-2</v>
      </c>
      <c r="P623" s="1267">
        <f>IFERROR(Model!P623/Model!L623-1,"NA")</f>
        <v>-4.2216358839050172E-2</v>
      </c>
      <c r="Q623" s="1267">
        <f>IFERROR(Model!Q623/Model!M623-1,"NA")</f>
        <v>-5.2910052910053462E-3</v>
      </c>
      <c r="R623" s="1267">
        <f>IFERROR(Model!R623/Model!N623-1,"NA")</f>
        <v>4.3126684636118684E-2</v>
      </c>
      <c r="S623" s="1267">
        <f>IFERROR(Model!S623/Model!O623-1,"NA")</f>
        <v>8.6111111111111027E-2</v>
      </c>
      <c r="T623" s="1267">
        <f>IFERROR(Model!T623/Model!P623-1,"NA")</f>
        <v>6.6115702479338845E-2</v>
      </c>
      <c r="U623" s="1267">
        <f>IFERROR(Model!U623/Model!Q623-1,"NA")</f>
        <v>4.7872340425531901E-2</v>
      </c>
      <c r="V623" s="1267">
        <f>IFERROR(Model!V623/Model!R623-1,"NA")</f>
        <v>4.3927648578811374E-2</v>
      </c>
      <c r="W623" s="1267">
        <f>IFERROR(Model!W623/Model!S623-1,"NA")</f>
        <v>2.8132992327365658E-2</v>
      </c>
      <c r="X623" s="1267">
        <f>IFERROR(Model!X623/Model!T623-1,"NA")</f>
        <v>4.134366925064592E-2</v>
      </c>
      <c r="Y623" s="1267">
        <f>IFERROR(Model!Y623/Model!U623-1,"NA")</f>
        <v>3.0456852791878264E-2</v>
      </c>
      <c r="Z623" s="1267">
        <f>IFERROR(Model!Z623/Model!V623-1,"NA")</f>
        <v>2.7227722772277252E-2</v>
      </c>
      <c r="AA623" s="1267">
        <f>IFERROR(Model!AA623/Model!W623-1,"NA")</f>
        <v>4.4776119402984982E-2</v>
      </c>
      <c r="AB623" s="1267">
        <f>IFERROR(Model!AB623/Model!X623-1,"NA")</f>
        <v>5.4590570719603049E-2</v>
      </c>
      <c r="AC623" s="1381">
        <f>IFERROR(Model!AC623/Model!Y623-1,"NA")</f>
        <v>5.2032019704433274E-2</v>
      </c>
      <c r="AD623" s="1381">
        <f>IFERROR(Model!AD623/Model!Z623-1,"NA")</f>
        <v>3.4362951807228592E-2</v>
      </c>
      <c r="AE623" s="1381">
        <f>IFERROR(Model!AE623/Model!AA623-1,"NA")</f>
        <v>2.7159352678571169E-2</v>
      </c>
      <c r="AF623" s="1381">
        <f>IFERROR(Model!AF623/Model!AB623-1,"NA")</f>
        <v>2.0150500624999568E-2</v>
      </c>
      <c r="AG623" s="1381">
        <f>IFERROR(Model!AG623/Model!AC623-1,"NA")</f>
        <v>2.0150500624999568E-2</v>
      </c>
      <c r="AH623" s="1381">
        <f>IFERROR(Model!AH623/Model!AD623-1,"NA")</f>
        <v>2.0150500624999568E-2</v>
      </c>
      <c r="AI623" s="1381">
        <f>IFERROR(Model!AI623/Model!AE623-1,"NA")</f>
        <v>2.0150500624999568E-2</v>
      </c>
      <c r="AJ623" s="1381"/>
      <c r="AK623" s="1381"/>
      <c r="AL623" s="1381"/>
      <c r="AM623" s="1381"/>
      <c r="AN623" s="1381"/>
      <c r="AO623" s="1381"/>
      <c r="AP623" s="1381"/>
      <c r="AQ623" s="1381"/>
      <c r="AR623" s="1236"/>
      <c r="AS623" s="1284"/>
      <c r="AT623" s="1400"/>
      <c r="AU623" s="1246"/>
      <c r="AV623" s="1246">
        <f>IFERROR(Model!AV623/Model!AU623-1,"NA")</f>
        <v>-2.7202072538860089E-2</v>
      </c>
      <c r="AW623" s="1246">
        <f>IFERROR(Model!AW623/Model!AV623-1,"NA")</f>
        <v>-9.320905459387463E-3</v>
      </c>
      <c r="AX623" s="1246">
        <f>IFERROR(Model!AX623/Model!AW623-1,"NA")</f>
        <v>1.9489247311827995E-2</v>
      </c>
      <c r="AY623" s="1246">
        <f>IFERROR(Model!AY623/Model!AX623-1,"NA")</f>
        <v>4.6143704680289943E-2</v>
      </c>
      <c r="AZ623" s="1246">
        <f>IFERROR(Model!AZ623/Model!AY623-1,"NA")</f>
        <v>3.5916824196597252E-2</v>
      </c>
      <c r="BA623" s="1246">
        <f>IFERROR(Model!BA623/Model!AZ623-1,"NA")</f>
        <v>4.1844618689172552E-2</v>
      </c>
      <c r="BB623" s="1381">
        <f>IFERROR(Model!BB623/Model!BA623-1,"NA")</f>
        <v>2.0150500624999568E-2</v>
      </c>
      <c r="BC623" s="1381">
        <f>IFERROR(Model!BC623/Model!BB623-1,"NA")</f>
        <v>2.0000000000000018E-2</v>
      </c>
      <c r="BD623" s="1381">
        <f>IFERROR(Model!BD623/Model!BC623-1,"NA")</f>
        <v>2.0000000000000018E-2</v>
      </c>
      <c r="BE623" s="1381">
        <f>IFERROR(Model!BE623/Model!BD623-1,"NA")</f>
        <v>2.0000000000000018E-2</v>
      </c>
    </row>
    <row r="624" spans="1:64" x14ac:dyDescent="0.2">
      <c r="C624" s="156" t="s">
        <v>54</v>
      </c>
      <c r="D624" s="1330"/>
      <c r="E624" s="1439"/>
      <c r="F624" s="1439"/>
      <c r="G624" s="1439"/>
      <c r="H624" s="1439" t="str">
        <f>IFERROR(Model!H624/Model!D624-1,"NA")</f>
        <v>NA</v>
      </c>
      <c r="I624" s="1439">
        <f>IFERROR(Model!I624/Model!E624-1,"NA")</f>
        <v>1.1605415860735047E-2</v>
      </c>
      <c r="J624" s="1439">
        <f>IFERROR(Model!J624/Model!F624-1,"NA")</f>
        <v>2.838221381267747E-2</v>
      </c>
      <c r="K624" s="1439">
        <f>IFERROR(Model!K624/Model!G624-1,"NA")</f>
        <v>6.9128787878787845E-2</v>
      </c>
      <c r="L624" s="1439">
        <f>IFERROR(Model!L624/Model!H624-1,"NA")</f>
        <v>9.8360655737705027E-2</v>
      </c>
      <c r="M624" s="1439">
        <f>IFERROR(Model!M624/Model!I624-1,"NA")</f>
        <v>9.2734225621414978E-2</v>
      </c>
      <c r="N624" s="1439">
        <f>IFERROR(Model!N624/Model!J624-1,"NA")</f>
        <v>4.5998160073597028E-2</v>
      </c>
      <c r="O624" s="1439">
        <f>IFERROR(Model!O624/Model!K624-1,"NA")</f>
        <v>-7.0859167404783152E-3</v>
      </c>
      <c r="P624" s="1439">
        <f>IFERROR(Model!P624/Model!L624-1,"NA")</f>
        <v>-7.9016681299385327E-3</v>
      </c>
      <c r="Q624" s="1439">
        <f>IFERROR(Model!Q624/Model!M624-1,"NA")</f>
        <v>1.7497812773403343E-2</v>
      </c>
      <c r="R624" s="1439">
        <f>IFERROR(Model!R624/Model!N624-1,"NA")</f>
        <v>4.3095866314863729E-2</v>
      </c>
      <c r="S624" s="1439">
        <f>IFERROR(Model!S624/Model!O624-1,"NA")</f>
        <v>5.7091882247992887E-2</v>
      </c>
      <c r="T624" s="1439">
        <f>IFERROR(Model!T624/Model!P624-1,"NA")</f>
        <v>6.0176991150442394E-2</v>
      </c>
      <c r="U624" s="1439">
        <f>IFERROR(Model!U624/Model!Q624-1,"NA")</f>
        <v>4.7291487532244103E-2</v>
      </c>
      <c r="V624" s="1439">
        <f>IFERROR(Model!V624/Model!R624-1,"NA")</f>
        <v>3.5413153456998359E-2</v>
      </c>
      <c r="W624" s="1439">
        <f>IFERROR(Model!W624/Model!S624-1,"NA")</f>
        <v>3.8818565400843941E-2</v>
      </c>
      <c r="X624" s="1439">
        <f>IFERROR(Model!X624/Model!T624-1,"NA")</f>
        <v>2.8380634390651194E-2</v>
      </c>
      <c r="Y624" s="1439">
        <f>IFERROR(Model!Y624/Model!U624-1,"NA")</f>
        <v>2.1346469622331776E-2</v>
      </c>
      <c r="Z624" s="1439">
        <f>IFERROR(Model!Z624/Model!V624-1,"NA")</f>
        <v>2.931596091205213E-2</v>
      </c>
      <c r="AA624" s="1439">
        <f>IFERROR(Model!AA624/Model!W624-1,"NA")</f>
        <v>3.9805036555645712E-2</v>
      </c>
      <c r="AB624" s="1439">
        <f>IFERROR(Model!AB624/Model!X624-1,"NA")</f>
        <v>6.0064935064935154E-2</v>
      </c>
      <c r="AC624" s="1439">
        <f>IFERROR(Model!AC624/Model!Y624-1,"NA")</f>
        <v>6.5711414790996736E-2</v>
      </c>
      <c r="AD624" s="1439">
        <f>IFERROR(Model!AD624/Model!Z624-1,"NA")</f>
        <v>6.4757140031645566E-2</v>
      </c>
      <c r="AE624" s="1439">
        <f>IFERROR(Model!AE624/Model!AA624-1,"NA")</f>
        <v>6.744623134765626E-2</v>
      </c>
      <c r="AF624" s="1439">
        <f>IFERROR(Model!AF624/Model!AB624-1,"NA")</f>
        <v>5.3573969946113964E-2</v>
      </c>
      <c r="AG624" s="1439">
        <f>IFERROR(Model!AG624/Model!AC624-1,"NA")</f>
        <v>4.4849086270989602E-2</v>
      </c>
      <c r="AH624" s="1439">
        <f>IFERROR(Model!AH624/Model!AD624-1,"NA")</f>
        <v>3.614816953060096E-2</v>
      </c>
      <c r="AI624" s="1439">
        <f>IFERROR(Model!AI624/Model!AE624-1,"NA")</f>
        <v>2.7822146425578564E-2</v>
      </c>
      <c r="AJ624" s="1267"/>
      <c r="AK624" s="1267"/>
      <c r="AL624" s="1267"/>
      <c r="AM624" s="1267"/>
      <c r="AN624" s="1267"/>
      <c r="AO624" s="1267"/>
      <c r="AP624" s="1267"/>
      <c r="AQ624" s="1267"/>
      <c r="AR624" s="1236"/>
      <c r="AS624" s="1382"/>
      <c r="AT624" s="1330"/>
      <c r="AU624" s="1236"/>
      <c r="AV624" s="1236">
        <f>IFERROR(Model!AV624/Model!AU624-1,"NA")</f>
        <v>2.4547187797902659E-2</v>
      </c>
      <c r="AW624" s="1236">
        <f>IFERROR(Model!AW624/Model!AV624-1,"NA")</f>
        <v>5.6059548732263265E-2</v>
      </c>
      <c r="AX624" s="1236">
        <f>IFERROR(Model!AX624/Model!AW624-1,"NA")</f>
        <v>2.7312775330396555E-2</v>
      </c>
      <c r="AY624" s="1236">
        <f>IFERROR(Model!AY624/Model!AX624-1,"NA")</f>
        <v>4.5240137221269405E-2</v>
      </c>
      <c r="AZ624" s="1236">
        <f>IFERROR(Model!AZ624/Model!AY624-1,"NA")</f>
        <v>2.9743589743589816E-2</v>
      </c>
      <c r="BA624" s="1236">
        <f>IFERROR(Model!BA624/Model!AZ624-1,"NA")</f>
        <v>6.4527729307768844E-2</v>
      </c>
      <c r="BB624" s="1439">
        <f>IFERROR(Model!BB624/Model!BA624-1,"NA")</f>
        <v>4.0436622165844094E-2</v>
      </c>
      <c r="BC624" s="1439">
        <f>IFERROR(Model!BC624/Model!BB624-1,"NA")</f>
        <v>4.0572122268786259E-2</v>
      </c>
      <c r="BD624" s="1439">
        <f>IFERROR(Model!BD624/Model!BC624-1,"NA")</f>
        <v>4.0758511514924045E-2</v>
      </c>
      <c r="BE624" s="1439">
        <f>IFERROR(Model!BE624/Model!BD624-1,"NA")</f>
        <v>4.0942838179573116E-2</v>
      </c>
    </row>
    <row r="625" spans="1:74" s="369" customFormat="1" x14ac:dyDescent="0.2">
      <c r="A625" s="411"/>
      <c r="B625" s="321"/>
      <c r="C625" s="319"/>
      <c r="D625" s="1311"/>
      <c r="E625" s="1311"/>
      <c r="F625" s="1311"/>
      <c r="G625" s="1311"/>
      <c r="H625" s="1311"/>
      <c r="I625" s="1311"/>
      <c r="J625" s="1311"/>
      <c r="K625" s="1311"/>
      <c r="L625" s="1311"/>
      <c r="M625" s="1311"/>
      <c r="N625" s="1311"/>
      <c r="O625" s="1311"/>
      <c r="P625" s="1311"/>
      <c r="Q625" s="1311"/>
      <c r="R625" s="1311"/>
      <c r="S625" s="1311"/>
      <c r="T625" s="1311"/>
      <c r="U625" s="1311"/>
      <c r="V625" s="1311"/>
      <c r="W625" s="1311"/>
      <c r="X625" s="1284"/>
      <c r="Y625" s="1284"/>
      <c r="Z625" s="1284"/>
      <c r="AA625" s="1284"/>
      <c r="AB625" s="1284"/>
      <c r="AC625" s="1263"/>
      <c r="AD625" s="1278"/>
      <c r="AE625" s="1278"/>
      <c r="AF625" s="1278"/>
      <c r="AG625" s="1278"/>
      <c r="AH625" s="1278"/>
      <c r="AI625" s="1263"/>
      <c r="AJ625" s="1263"/>
      <c r="AK625" s="1263"/>
      <c r="AL625" s="1263"/>
      <c r="AM625" s="1263"/>
      <c r="AN625" s="1263"/>
      <c r="AO625" s="1263"/>
      <c r="AP625" s="1263"/>
      <c r="AQ625" s="1263"/>
      <c r="AR625" s="1236"/>
      <c r="AS625" s="1284"/>
      <c r="AT625" s="1248"/>
      <c r="AU625" s="1277"/>
      <c r="AV625" s="1263"/>
      <c r="AW625" s="1311"/>
      <c r="AX625" s="1262"/>
      <c r="AY625" s="1311"/>
      <c r="AZ625" s="1263"/>
      <c r="BA625" s="1308"/>
      <c r="BB625" s="1263"/>
      <c r="BC625" s="1263"/>
      <c r="BD625" s="1263"/>
      <c r="BE625" s="1263"/>
    </row>
    <row r="626" spans="1:74" s="572" customFormat="1" x14ac:dyDescent="0.2">
      <c r="A626" s="411"/>
      <c r="B626" s="340" t="s">
        <v>1239</v>
      </c>
      <c r="C626" s="388"/>
      <c r="D626" s="1426"/>
      <c r="E626" s="1426"/>
      <c r="F626" s="1426"/>
      <c r="G626" s="1426"/>
      <c r="H626" s="1426"/>
      <c r="I626" s="1426"/>
      <c r="J626" s="1426"/>
      <c r="K626" s="1426"/>
      <c r="L626" s="1426"/>
      <c r="M626" s="1426"/>
      <c r="N626" s="1426"/>
      <c r="O626" s="1426"/>
      <c r="P626" s="1426"/>
      <c r="Q626" s="1426"/>
      <c r="R626" s="1426"/>
      <c r="S626" s="1426"/>
      <c r="T626" s="1426"/>
      <c r="U626" s="1426"/>
      <c r="V626" s="1426"/>
      <c r="W626" s="1426"/>
      <c r="X626" s="1426"/>
      <c r="Y626" s="1426"/>
      <c r="Z626" s="1426"/>
      <c r="AA626" s="1426"/>
      <c r="AB626" s="1426"/>
      <c r="AC626" s="1265"/>
      <c r="AD626" s="1309"/>
      <c r="AE626" s="1309"/>
      <c r="AF626" s="1309"/>
      <c r="AG626" s="1309"/>
      <c r="AH626" s="1309"/>
      <c r="AI626" s="1265"/>
      <c r="AJ626" s="1265"/>
      <c r="AK626" s="1265"/>
      <c r="AL626" s="1265"/>
      <c r="AM626" s="1265"/>
      <c r="AN626" s="1265"/>
      <c r="AO626" s="1265"/>
      <c r="AP626" s="1265"/>
      <c r="AQ626" s="1265"/>
      <c r="AR626" s="1236"/>
      <c r="AS626" s="1313"/>
      <c r="AT626" s="1407"/>
      <c r="AU626" s="1310"/>
      <c r="AV626" s="1265"/>
      <c r="AW626" s="1426"/>
      <c r="AX626" s="1264"/>
      <c r="AY626" s="1426"/>
      <c r="AZ626" s="1265"/>
      <c r="BA626" s="1441"/>
      <c r="BB626" s="1265"/>
      <c r="BC626" s="1265"/>
      <c r="BD626" s="1265"/>
      <c r="BE626" s="1265"/>
      <c r="BF626" s="369"/>
      <c r="BG626" s="369"/>
      <c r="BH626" s="369"/>
      <c r="BI626" s="369"/>
      <c r="BJ626" s="369"/>
      <c r="BK626" s="369"/>
      <c r="BL626" s="369"/>
    </row>
    <row r="627" spans="1:74" s="369" customFormat="1" x14ac:dyDescent="0.2">
      <c r="A627" s="411"/>
      <c r="B627" s="321"/>
      <c r="C627" s="319"/>
      <c r="D627" s="1311"/>
      <c r="E627" s="1311"/>
      <c r="F627" s="1311"/>
      <c r="G627" s="1311"/>
      <c r="H627" s="1311"/>
      <c r="I627" s="1311"/>
      <c r="J627" s="1311"/>
      <c r="K627" s="1311"/>
      <c r="L627" s="1311"/>
      <c r="M627" s="1311"/>
      <c r="N627" s="1311"/>
      <c r="O627" s="1311"/>
      <c r="P627" s="1311"/>
      <c r="Q627" s="1311"/>
      <c r="R627" s="1311"/>
      <c r="S627" s="1311"/>
      <c r="T627" s="1311"/>
      <c r="U627" s="1311"/>
      <c r="V627" s="1311"/>
      <c r="W627" s="1311"/>
      <c r="X627" s="1284"/>
      <c r="Y627" s="1284"/>
      <c r="Z627" s="1284"/>
      <c r="AA627" s="1284"/>
      <c r="AB627" s="1284"/>
      <c r="AC627" s="1263"/>
      <c r="AD627" s="1278"/>
      <c r="AE627" s="1278"/>
      <c r="AF627" s="1278"/>
      <c r="AG627" s="1278"/>
      <c r="AH627" s="1278"/>
      <c r="AI627" s="1263"/>
      <c r="AJ627" s="1263"/>
      <c r="AK627" s="1263"/>
      <c r="AL627" s="1263"/>
      <c r="AM627" s="1263"/>
      <c r="AN627" s="1263"/>
      <c r="AO627" s="1263"/>
      <c r="AP627" s="1263"/>
      <c r="AQ627" s="1263"/>
      <c r="AR627" s="1236"/>
      <c r="AS627" s="1284"/>
      <c r="AT627" s="1248"/>
      <c r="AU627" s="1277"/>
      <c r="AV627" s="1263"/>
      <c r="AW627" s="1311"/>
      <c r="AX627" s="1262"/>
      <c r="AY627" s="1311"/>
      <c r="AZ627" s="1263"/>
      <c r="BA627" s="1308"/>
      <c r="BB627" s="1263"/>
      <c r="BC627" s="1263"/>
      <c r="BD627" s="1263"/>
      <c r="BE627" s="1263"/>
    </row>
    <row r="628" spans="1:74" s="369" customFormat="1" x14ac:dyDescent="0.2">
      <c r="A628" s="411"/>
      <c r="B628" s="321"/>
      <c r="C628" s="319" t="s">
        <v>66</v>
      </c>
      <c r="D628" s="1303"/>
      <c r="E628" s="1303"/>
      <c r="F628" s="1303"/>
      <c r="G628" s="1303"/>
      <c r="H628" s="1303">
        <f>IFERROR(Model!H628/Model!D628-1,"NA")</f>
        <v>1.9639934533551617E-2</v>
      </c>
      <c r="I628" s="1303">
        <f>IFERROR(Model!I628/Model!E628-1,"NA")</f>
        <v>2.4819855884707698E-2</v>
      </c>
      <c r="J628" s="1303">
        <f>IFERROR(Model!J628/Model!F628-1,"NA")</f>
        <v>4.8115477145147523E-3</v>
      </c>
      <c r="K628" s="1303">
        <f>IFERROR(Model!K628/Model!G628-1,"NA")</f>
        <v>1.760000000000006E-2</v>
      </c>
      <c r="L628" s="1303">
        <f>IFERROR(Model!L628/Model!H628-1,"NA")</f>
        <v>3.3707865168539408E-2</v>
      </c>
      <c r="M628" s="1303">
        <f>IFERROR(Model!M628/Model!I628-1,"NA")</f>
        <v>1.2499999999999956E-2</v>
      </c>
      <c r="N628" s="1303">
        <f>IFERROR(Model!N628/Model!J628-1,"NA")</f>
        <v>2.4740622505985632E-2</v>
      </c>
      <c r="O628" s="1303">
        <f>IFERROR(Model!O628/Model!K628-1,"NA")</f>
        <v>2.515723270440251E-2</v>
      </c>
      <c r="P628" s="1303">
        <f>IFERROR(Model!P628/Model!L628-1,"NA")</f>
        <v>-6.2111801242236142E-3</v>
      </c>
      <c r="Q628" s="1303">
        <f>IFERROR(Model!Q628/Model!M628-1,"NA")</f>
        <v>-8.4876543209876365E-3</v>
      </c>
      <c r="R628" s="1303">
        <f>IFERROR(Model!R628/Model!N628-1,"NA")</f>
        <v>-1.4797507788162023E-2</v>
      </c>
      <c r="S628" s="1303">
        <f>IFERROR(Model!S628/Model!O628-1,"NA")</f>
        <v>-3.527607361963192E-2</v>
      </c>
      <c r="T628" s="1303">
        <f>IFERROR(Model!T628/Model!P628-1,"NA")</f>
        <v>-6.2499999999999778E-3</v>
      </c>
      <c r="U628" s="1303">
        <f>IFERROR(Model!U628/Model!Q628-1,"NA")</f>
        <v>1.1673151750972721E-2</v>
      </c>
      <c r="V628" s="1303">
        <f>IFERROR(Model!V628/Model!R628-1,"NA")</f>
        <v>3.5573122529644285E-2</v>
      </c>
      <c r="W628" s="1303">
        <f>IFERROR(Model!W628/Model!S628-1,"NA")</f>
        <v>4.133545310015907E-2</v>
      </c>
      <c r="X628" s="1303">
        <f>IFERROR(Model!X628/Model!T628-1,"NA")</f>
        <v>3.6163522012578664E-2</v>
      </c>
      <c r="Y628" s="1303">
        <f>IFERROR(Model!Y628/Model!U628-1,"NA")</f>
        <v>4.6153846153846212E-2</v>
      </c>
      <c r="Z628" s="1303">
        <f>IFERROR(Model!Z628/Model!V628-1,"NA")</f>
        <v>4.5038167938931339E-2</v>
      </c>
      <c r="AA628" s="1303">
        <f>IFERROR(Model!AA628/Model!W628-1,"NA")</f>
        <v>5.7251908396946494E-2</v>
      </c>
      <c r="AB628" s="1303">
        <f>IFERROR(Model!AB628/Model!X628-1,"NA")</f>
        <v>5.3110773899848196E-2</v>
      </c>
      <c r="AC628" s="1381">
        <f>IFERROR(Model!AC628/Model!Y628-1,"NA")</f>
        <v>3.0794117647058972E-2</v>
      </c>
      <c r="AD628" s="1381">
        <f>IFERROR(Model!AD628/Model!Z628-1,"NA")</f>
        <v>3.4257706355003803E-2</v>
      </c>
      <c r="AE628" s="1381">
        <f>IFERROR(Model!AE628/Model!AA628-1,"NA")</f>
        <v>3.2532698916967639E-2</v>
      </c>
      <c r="AF628" s="1381">
        <f>IFERROR(Model!AF628/Model!AB628-1,"NA")</f>
        <v>4.5755514999999969E-2</v>
      </c>
      <c r="AG628" s="1381">
        <f>IFERROR(Model!AG628/Model!AC628-1,"NA")</f>
        <v>5.093252249999991E-2</v>
      </c>
      <c r="AH628" s="1381">
        <f>IFERROR(Model!AH628/Model!AD628-1,"NA")</f>
        <v>5.9256740499999738E-2</v>
      </c>
      <c r="AI628" s="1381">
        <f>IFERROR(Model!AI628/Model!AE628-1,"NA")</f>
        <v>6.9744430999999718E-2</v>
      </c>
      <c r="AJ628" s="1381"/>
      <c r="AK628" s="1381"/>
      <c r="AL628" s="1381"/>
      <c r="AM628" s="1381"/>
      <c r="AN628" s="1381"/>
      <c r="AO628" s="1381"/>
      <c r="AP628" s="1381"/>
      <c r="AQ628" s="1381"/>
      <c r="AR628" s="1236"/>
      <c r="AS628" s="1284"/>
      <c r="AT628" s="1248"/>
      <c r="AU628" s="1236"/>
      <c r="AV628" s="1236">
        <f>IFERROR(Model!AV628/Model!AU628-1,"NA")</f>
        <v>1.6706924315619931E-2</v>
      </c>
      <c r="AW628" s="1236">
        <f>IFERROR(Model!AW628/Model!AV628-1,"NA")</f>
        <v>2.395565234607E-2</v>
      </c>
      <c r="AX628" s="1236">
        <f>IFERROR(Model!AX628/Model!AW628-1,"NA")</f>
        <v>-1.6241299303944357E-2</v>
      </c>
      <c r="AY628" s="1236">
        <f>IFERROR(Model!AY628/Model!AX628-1,"NA")</f>
        <v>2.0440251572326984E-2</v>
      </c>
      <c r="AZ628" s="1236">
        <f>IFERROR(Model!AZ628/Model!AY628-1,"NA")</f>
        <v>4.6224961479198745E-2</v>
      </c>
      <c r="BA628" s="1236">
        <f>IFERROR(Model!BA628/Model!AZ628-1,"NA")</f>
        <v>3.7525145066273913E-2</v>
      </c>
      <c r="BB628" s="1381">
        <f>IFERROR(Model!BB628/Model!BA628-1,"NA")</f>
        <v>5.6522230369064674E-2</v>
      </c>
      <c r="BC628" s="1381">
        <f>IFERROR(Model!BC628/Model!BB628-1,"NA")</f>
        <v>6.0000000000000053E-2</v>
      </c>
      <c r="BD628" s="1381">
        <f>IFERROR(Model!BD628/Model!BC628-1,"NA")</f>
        <v>6.0000000000000053E-2</v>
      </c>
      <c r="BE628" s="1381">
        <f>IFERROR(Model!BE628/Model!BD628-1,"NA")</f>
        <v>6.0000000000000053E-2</v>
      </c>
    </row>
    <row r="629" spans="1:74" s="369" customFormat="1" x14ac:dyDescent="0.2">
      <c r="A629" s="411"/>
      <c r="B629" s="321"/>
      <c r="C629" s="319"/>
      <c r="D629" s="1311"/>
      <c r="E629" s="1311"/>
      <c r="F629" s="1311"/>
      <c r="G629" s="1311"/>
      <c r="H629" s="1311"/>
      <c r="I629" s="1311"/>
      <c r="J629" s="1311"/>
      <c r="K629" s="1311"/>
      <c r="L629" s="1311"/>
      <c r="M629" s="1311"/>
      <c r="N629" s="1311"/>
      <c r="O629" s="1311"/>
      <c r="P629" s="1311"/>
      <c r="Q629" s="1311"/>
      <c r="R629" s="1311"/>
      <c r="S629" s="1311"/>
      <c r="T629" s="1311"/>
      <c r="U629" s="1311"/>
      <c r="V629" s="1311"/>
      <c r="W629" s="1311"/>
      <c r="X629" s="1284"/>
      <c r="Y629" s="1284"/>
      <c r="Z629" s="1284"/>
      <c r="AA629" s="1284"/>
      <c r="AB629" s="1284"/>
      <c r="AC629" s="1263"/>
      <c r="AD629" s="1278"/>
      <c r="AE629" s="1278"/>
      <c r="AF629" s="1278"/>
      <c r="AG629" s="1278"/>
      <c r="AH629" s="1278"/>
      <c r="AI629" s="1263"/>
      <c r="AJ629" s="1263"/>
      <c r="AK629" s="1263"/>
      <c r="AL629" s="1263"/>
      <c r="AM629" s="1263"/>
      <c r="AN629" s="1263"/>
      <c r="AO629" s="1263"/>
      <c r="AP629" s="1263"/>
      <c r="AQ629" s="1263"/>
      <c r="AR629" s="1236"/>
      <c r="AS629" s="1284"/>
      <c r="AT629" s="1248"/>
      <c r="AU629" s="1277"/>
      <c r="AV629" s="1263"/>
      <c r="AW629" s="1311"/>
      <c r="AX629" s="1262"/>
      <c r="AY629" s="1311"/>
      <c r="AZ629" s="1263"/>
      <c r="BA629" s="1308"/>
      <c r="BB629" s="1263"/>
      <c r="BC629" s="1263"/>
      <c r="BD629" s="1263"/>
      <c r="BE629" s="1263"/>
    </row>
    <row r="630" spans="1:74" s="572" customFormat="1" x14ac:dyDescent="0.2">
      <c r="A630" s="411"/>
      <c r="B630" s="340" t="s">
        <v>1198</v>
      </c>
      <c r="C630" s="388"/>
      <c r="D630" s="1426"/>
      <c r="E630" s="1426"/>
      <c r="F630" s="1426"/>
      <c r="G630" s="1426"/>
      <c r="H630" s="1426"/>
      <c r="I630" s="1426"/>
      <c r="J630" s="1426"/>
      <c r="K630" s="1426"/>
      <c r="L630" s="1426"/>
      <c r="M630" s="1426"/>
      <c r="N630" s="1426"/>
      <c r="O630" s="1426"/>
      <c r="P630" s="1426"/>
      <c r="Q630" s="1426"/>
      <c r="R630" s="1426"/>
      <c r="S630" s="1426"/>
      <c r="T630" s="1426"/>
      <c r="U630" s="1426"/>
      <c r="V630" s="1426"/>
      <c r="W630" s="1426"/>
      <c r="X630" s="1426"/>
      <c r="Y630" s="1417"/>
      <c r="Z630" s="1417"/>
      <c r="AA630" s="1265"/>
      <c r="AB630" s="1265"/>
      <c r="AC630" s="1265"/>
      <c r="AD630" s="1309"/>
      <c r="AE630" s="1309"/>
      <c r="AF630" s="1309"/>
      <c r="AG630" s="1309"/>
      <c r="AH630" s="1309"/>
      <c r="AI630" s="1265"/>
      <c r="AJ630" s="1265"/>
      <c r="AK630" s="1265"/>
      <c r="AL630" s="1265"/>
      <c r="AM630" s="1265"/>
      <c r="AN630" s="1265"/>
      <c r="AO630" s="1265"/>
      <c r="AP630" s="1265"/>
      <c r="AQ630" s="1265"/>
      <c r="AR630" s="1236"/>
      <c r="AS630" s="1313"/>
      <c r="AT630" s="1407"/>
      <c r="AU630" s="1310"/>
      <c r="AV630" s="1265"/>
      <c r="AW630" s="1426"/>
      <c r="AX630" s="1264"/>
      <c r="AY630" s="1426"/>
      <c r="AZ630" s="1265"/>
      <c r="BA630" s="1441"/>
      <c r="BB630" s="1265"/>
      <c r="BC630" s="1265"/>
      <c r="BD630" s="1265"/>
      <c r="BE630" s="1265"/>
      <c r="BF630" s="369"/>
      <c r="BG630" s="369"/>
      <c r="BH630" s="369"/>
      <c r="BI630" s="369"/>
      <c r="BJ630" s="369"/>
      <c r="BK630" s="369"/>
      <c r="BL630" s="369"/>
    </row>
    <row r="631" spans="1:74" s="369" customFormat="1" x14ac:dyDescent="0.2">
      <c r="A631" s="411"/>
      <c r="B631" s="321"/>
      <c r="C631" s="319"/>
      <c r="D631" s="1311"/>
      <c r="E631" s="1311"/>
      <c r="F631" s="1311"/>
      <c r="G631" s="1311"/>
      <c r="H631" s="1311"/>
      <c r="I631" s="1311"/>
      <c r="J631" s="1311"/>
      <c r="K631" s="1311"/>
      <c r="L631" s="1311"/>
      <c r="M631" s="1311"/>
      <c r="N631" s="1311"/>
      <c r="O631" s="1311"/>
      <c r="P631" s="1311"/>
      <c r="Q631" s="1311"/>
      <c r="R631" s="1311"/>
      <c r="S631" s="1311"/>
      <c r="T631" s="1311"/>
      <c r="U631" s="1311"/>
      <c r="V631" s="1311"/>
      <c r="W631" s="1311"/>
      <c r="X631" s="1284"/>
      <c r="Y631" s="1284"/>
      <c r="Z631" s="1284"/>
      <c r="AA631" s="1284"/>
      <c r="AB631" s="1284"/>
      <c r="AC631" s="1263"/>
      <c r="AD631" s="1278"/>
      <c r="AE631" s="1278"/>
      <c r="AF631" s="1278"/>
      <c r="AG631" s="1278"/>
      <c r="AH631" s="1278"/>
      <c r="AI631" s="1263"/>
      <c r="AJ631" s="1263"/>
      <c r="AK631" s="1263"/>
      <c r="AL631" s="1263"/>
      <c r="AM631" s="1263"/>
      <c r="AN631" s="1263"/>
      <c r="AO631" s="1263"/>
      <c r="AP631" s="1263"/>
      <c r="AQ631" s="1263"/>
      <c r="AR631" s="1236"/>
      <c r="AS631" s="1284"/>
      <c r="AT631" s="1248"/>
      <c r="AU631" s="1277"/>
      <c r="AV631" s="1263"/>
      <c r="AW631" s="1311"/>
      <c r="AX631" s="1262"/>
      <c r="AY631" s="1311"/>
      <c r="AZ631" s="1263"/>
      <c r="BA631" s="1308"/>
      <c r="BB631" s="1263"/>
      <c r="BC631" s="1263"/>
      <c r="BD631" s="1263"/>
      <c r="BE631" s="1263"/>
    </row>
    <row r="632" spans="1:74" s="369" customFormat="1" x14ac:dyDescent="0.2">
      <c r="A632" s="411"/>
      <c r="B632" s="321"/>
      <c r="C632" s="319" t="s">
        <v>751</v>
      </c>
      <c r="D632" s="1311"/>
      <c r="E632" s="1311"/>
      <c r="F632" s="1311"/>
      <c r="G632" s="1311"/>
      <c r="H632" s="1311" t="str">
        <f>IFERROR(Model!H632/Model!D632-1,"NA")</f>
        <v>NA</v>
      </c>
      <c r="I632" s="1311" t="str">
        <f>IFERROR(Model!I632/Model!E632-1,"NA")</f>
        <v>NA</v>
      </c>
      <c r="J632" s="1311" t="str">
        <f>IFERROR(Model!J632/Model!F632-1,"NA")</f>
        <v>NA</v>
      </c>
      <c r="K632" s="1311" t="str">
        <f>IFERROR(Model!K632/Model!G632-1,"NA")</f>
        <v>NA</v>
      </c>
      <c r="L632" s="1303" t="str">
        <f>IFERROR(Model!L632/Model!H632-1,"NA")</f>
        <v>NA</v>
      </c>
      <c r="M632" s="1303" t="str">
        <f>IFERROR(Model!M632/Model!I632-1,"NA")</f>
        <v>NA</v>
      </c>
      <c r="N632" s="1303" t="str">
        <f>IFERROR(Model!N632/Model!J632-1,"NA")</f>
        <v>NA</v>
      </c>
      <c r="O632" s="1303" t="str">
        <f>IFERROR(Model!O632/Model!K632-1,"NA")</f>
        <v>NA</v>
      </c>
      <c r="P632" s="1303">
        <f>IFERROR(Model!P632/Model!L632-1,"NA")</f>
        <v>0.13432835820895517</v>
      </c>
      <c r="Q632" s="1303">
        <f>IFERROR(Model!Q632/Model!M632-1,"NA")</f>
        <v>0.13432835820895517</v>
      </c>
      <c r="R632" s="1303">
        <f>IFERROR(Model!R632/Model!N632-1,"NA")</f>
        <v>0.13432835820895517</v>
      </c>
      <c r="S632" s="1303">
        <f>IFERROR(Model!S632/Model!O632-1,"NA")</f>
        <v>0.13432835820895517</v>
      </c>
      <c r="T632" s="1303">
        <f>IFERROR(Model!T632/Model!P632-1,"NA")</f>
        <v>5.2631578947368363E-2</v>
      </c>
      <c r="U632" s="1303">
        <f>IFERROR(Model!U632/Model!Q632-1,"NA")</f>
        <v>5.2631578947368363E-2</v>
      </c>
      <c r="V632" s="1303">
        <f>IFERROR(Model!V632/Model!R632-1,"NA")</f>
        <v>5.2631578947368363E-2</v>
      </c>
      <c r="W632" s="1303">
        <f>IFERROR(Model!W632/Model!S632-1,"NA")</f>
        <v>5.2631578947368363E-2</v>
      </c>
      <c r="X632" s="1303">
        <f>IFERROR(Model!X632/Model!T632-1,"NA")</f>
        <v>2.4999999999999911E-2</v>
      </c>
      <c r="Y632" s="1303">
        <f>IFERROR(Model!Y632/Model!U632-1,"NA")</f>
        <v>2.4999999999999911E-2</v>
      </c>
      <c r="Z632" s="1303">
        <f>IFERROR(Model!Z632/Model!V632-1,"NA")</f>
        <v>2.4999999999999911E-2</v>
      </c>
      <c r="AA632" s="1303">
        <f>IFERROR(Model!AA632/Model!W632-1,"NA")</f>
        <v>2.4999999999999911E-2</v>
      </c>
      <c r="AB632" s="1303">
        <f>IFERROR(Model!AB632/Model!X632-1,"NA")</f>
        <v>0</v>
      </c>
      <c r="AC632" s="1303">
        <f>IFERROR(Model!AC632/Model!Y632-1,"NA")</f>
        <v>0</v>
      </c>
      <c r="AD632" s="1303">
        <f>IFERROR(Model!AD632/Model!Z632-1,"NA")</f>
        <v>0</v>
      </c>
      <c r="AE632" s="1303">
        <f>IFERROR(Model!AE632/Model!AA632-1,"NA")</f>
        <v>0</v>
      </c>
      <c r="AF632" s="1303">
        <f>IFERROR(Model!AF632/Model!AB632-1,"NA")</f>
        <v>6.0975609756097615E-2</v>
      </c>
      <c r="AG632" s="1303">
        <f>IFERROR(Model!AG632/Model!AC632-1,"NA")</f>
        <v>6.0975609756097615E-2</v>
      </c>
      <c r="AH632" s="1303">
        <f>IFERROR(Model!AH632/Model!AD632-1,"NA")</f>
        <v>6.0975609756097615E-2</v>
      </c>
      <c r="AI632" s="1303">
        <f>IFERROR(Model!AI632/Model!AE632-1,"NA")</f>
        <v>6.0975609756097615E-2</v>
      </c>
      <c r="AJ632" s="1303"/>
      <c r="AK632" s="1303"/>
      <c r="AL632" s="1303"/>
      <c r="AM632" s="1303"/>
      <c r="AN632" s="1303"/>
      <c r="AO632" s="1303"/>
      <c r="AP632" s="1303"/>
      <c r="AQ632" s="1303"/>
      <c r="AR632" s="1236"/>
      <c r="AS632" s="1284"/>
      <c r="AT632" s="1248"/>
      <c r="AU632" s="1236"/>
      <c r="AV632" s="1236" t="str">
        <f>IFERROR(Model!AV632/Model!AU632-1,"NA")</f>
        <v>NA</v>
      </c>
      <c r="AW632" s="1236" t="str">
        <f>IFERROR(Model!AW632/Model!AV632-1,"NA")</f>
        <v>NA</v>
      </c>
      <c r="AX632" s="1236">
        <f>IFERROR(Model!AX632/Model!AW632-1,"NA")</f>
        <v>0.13432835820895517</v>
      </c>
      <c r="AY632" s="1236">
        <f>IFERROR(Model!AY632/Model!AX632-1,"NA")</f>
        <v>5.2631578947368363E-2</v>
      </c>
      <c r="AZ632" s="1236">
        <f>IFERROR(Model!AZ632/Model!AY632-1,"NA")</f>
        <v>2.4999999999999911E-2</v>
      </c>
      <c r="BA632" s="1236">
        <f>IFERROR(Model!BA632/Model!AZ632-1,"NA")</f>
        <v>0</v>
      </c>
      <c r="BB632" s="1381">
        <f>IFERROR(Model!BB632/Model!BA632-1,"NA")</f>
        <v>6.0975609756097615E-2</v>
      </c>
      <c r="BC632" s="1381">
        <f>IFERROR(Model!BC632/Model!BB632-1,"NA")</f>
        <v>5.7471264367816133E-2</v>
      </c>
      <c r="BD632" s="1381">
        <f>IFERROR(Model!BD632/Model!BC632-1,"NA")</f>
        <v>5.4347826086956541E-2</v>
      </c>
      <c r="BE632" s="1381">
        <f>IFERROR(Model!BE632/Model!BD632-1,"NA")</f>
        <v>6.1855670103092786E-2</v>
      </c>
    </row>
    <row r="633" spans="1:74" s="369" customFormat="1" x14ac:dyDescent="0.2">
      <c r="A633" s="411"/>
      <c r="B633" s="321"/>
      <c r="C633" s="319" t="s">
        <v>1241</v>
      </c>
      <c r="D633" s="1311"/>
      <c r="E633" s="1311"/>
      <c r="F633" s="1311"/>
      <c r="G633" s="1311"/>
      <c r="H633" s="1311"/>
      <c r="I633" s="1311"/>
      <c r="J633" s="1311"/>
      <c r="K633" s="1311"/>
      <c r="L633" s="1311"/>
      <c r="M633" s="1311"/>
      <c r="N633" s="1311"/>
      <c r="O633" s="1311"/>
      <c r="P633" s="1311"/>
      <c r="Q633" s="1311"/>
      <c r="R633" s="1311"/>
      <c r="S633" s="1311"/>
      <c r="T633" s="1311"/>
      <c r="U633" s="1311"/>
      <c r="V633" s="1311"/>
      <c r="W633" s="1311"/>
      <c r="X633" s="1311"/>
      <c r="Y633" s="1311"/>
      <c r="Z633" s="1311"/>
      <c r="AA633" s="1311"/>
      <c r="AB633" s="1311"/>
      <c r="AC633" s="1311"/>
      <c r="AD633" s="1311"/>
      <c r="AE633" s="1311"/>
      <c r="AF633" s="1311"/>
      <c r="AG633" s="1311"/>
      <c r="AH633" s="1311"/>
      <c r="AI633" s="1311"/>
      <c r="AJ633" s="1311"/>
      <c r="AK633" s="1311"/>
      <c r="AL633" s="1311"/>
      <c r="AM633" s="1311"/>
      <c r="AN633" s="1311"/>
      <c r="AO633" s="1311"/>
      <c r="AP633" s="1311"/>
      <c r="AQ633" s="1311"/>
      <c r="AR633" s="1236"/>
      <c r="AS633" s="1284"/>
      <c r="AT633" s="1248"/>
      <c r="AU633" s="1236"/>
      <c r="AV633" s="1236"/>
      <c r="AW633" s="1311"/>
      <c r="AX633" s="1311"/>
      <c r="AY633" s="1311"/>
      <c r="AZ633" s="1311"/>
      <c r="BA633" s="1311"/>
      <c r="BB633" s="1381"/>
      <c r="BC633" s="1381"/>
      <c r="BD633" s="1381"/>
      <c r="BE633" s="1381"/>
    </row>
    <row r="634" spans="1:74" x14ac:dyDescent="0.2">
      <c r="D634" s="407"/>
      <c r="E634" s="407"/>
      <c r="F634" s="407"/>
      <c r="G634" s="407"/>
      <c r="H634" s="407"/>
      <c r="I634" s="407"/>
      <c r="J634" s="407"/>
      <c r="K634" s="407"/>
      <c r="L634" s="407"/>
      <c r="M634" s="407"/>
      <c r="N634" s="407"/>
      <c r="O634" s="407"/>
      <c r="P634" s="407"/>
      <c r="Q634" s="407"/>
      <c r="R634" s="407"/>
      <c r="S634" s="407"/>
      <c r="T634" s="407"/>
      <c r="U634" s="407"/>
      <c r="V634" s="407"/>
      <c r="W634" s="407"/>
      <c r="X634" s="407"/>
      <c r="Y634" s="407"/>
      <c r="Z634" s="407"/>
      <c r="AA634" s="407"/>
      <c r="AB634" s="407"/>
      <c r="AC634" s="407"/>
      <c r="AD634" s="407"/>
      <c r="AE634" s="407"/>
      <c r="AF634" s="407"/>
      <c r="AG634" s="407"/>
      <c r="AH634" s="407"/>
      <c r="AI634" s="407"/>
      <c r="AJ634" s="407"/>
      <c r="AK634" s="407"/>
      <c r="AL634" s="407"/>
      <c r="AM634" s="407"/>
      <c r="AN634" s="407"/>
      <c r="AO634" s="407"/>
      <c r="AP634" s="407"/>
      <c r="AQ634" s="407"/>
      <c r="AR634" s="1236"/>
      <c r="AS634" s="1382"/>
      <c r="AT634" s="407"/>
      <c r="AU634" s="1236"/>
      <c r="AV634" s="1236"/>
      <c r="AW634" s="1236"/>
      <c r="AX634" s="1236"/>
      <c r="AY634" s="1236"/>
      <c r="AZ634" s="1236"/>
      <c r="BA634" s="1236"/>
      <c r="BB634" s="1236"/>
      <c r="BC634" s="1236"/>
      <c r="BD634" s="1236"/>
      <c r="BE634" s="1236"/>
    </row>
    <row r="635" spans="1:74" x14ac:dyDescent="0.2">
      <c r="A635" s="411" t="s">
        <v>194</v>
      </c>
      <c r="B635" s="13" t="s">
        <v>139</v>
      </c>
      <c r="C635" s="13"/>
      <c r="D635" s="1369"/>
      <c r="E635" s="1369"/>
      <c r="F635" s="1369"/>
      <c r="G635" s="1369"/>
      <c r="H635" s="1369"/>
      <c r="I635" s="1369"/>
      <c r="J635" s="1369"/>
      <c r="K635" s="1369"/>
      <c r="L635" s="1369"/>
      <c r="M635" s="1369"/>
      <c r="N635" s="1369"/>
      <c r="O635" s="1369"/>
      <c r="P635" s="1369"/>
      <c r="Q635" s="1369"/>
      <c r="R635" s="1369"/>
      <c r="S635" s="1369"/>
      <c r="T635" s="1369"/>
      <c r="U635" s="1369"/>
      <c r="V635" s="1369"/>
      <c r="W635" s="1369"/>
      <c r="X635" s="1369"/>
      <c r="Y635" s="1369"/>
      <c r="Z635" s="1369"/>
      <c r="AA635" s="1369"/>
      <c r="AB635" s="1369"/>
      <c r="AC635" s="1369"/>
      <c r="AD635" s="1369"/>
      <c r="AE635" s="1369"/>
      <c r="AF635" s="1369"/>
      <c r="AG635" s="1369"/>
      <c r="AH635" s="1369"/>
      <c r="AI635" s="1369"/>
      <c r="AJ635" s="1369"/>
      <c r="AK635" s="1369"/>
      <c r="AL635" s="1369"/>
      <c r="AM635" s="1369"/>
      <c r="AN635" s="1369"/>
      <c r="AO635" s="1369"/>
      <c r="AP635" s="1369"/>
      <c r="AQ635" s="1369"/>
      <c r="AR635" s="1236"/>
      <c r="AS635" s="1370"/>
      <c r="AT635" s="1370"/>
      <c r="AU635" s="1369"/>
      <c r="AV635" s="1369"/>
      <c r="AW635" s="1369"/>
      <c r="AX635" s="1369"/>
      <c r="AY635" s="1369"/>
      <c r="AZ635" s="1369"/>
      <c r="BA635" s="1369"/>
      <c r="BB635" s="1369"/>
      <c r="BC635" s="1369"/>
      <c r="BD635" s="1369"/>
      <c r="BE635" s="1369"/>
      <c r="BF635" s="15"/>
      <c r="BG635" s="15"/>
      <c r="BH635" s="15"/>
      <c r="BI635" s="15"/>
      <c r="BJ635" s="15"/>
      <c r="BK635" s="15"/>
      <c r="BL635" s="15"/>
      <c r="BM635" s="15"/>
      <c r="BN635" s="15"/>
      <c r="BO635" s="15"/>
      <c r="BP635" s="15"/>
      <c r="BQ635" s="15"/>
      <c r="BR635" s="15"/>
      <c r="BS635" s="15"/>
      <c r="BT635" s="15"/>
      <c r="BU635" s="15"/>
      <c r="BV635" s="15"/>
    </row>
    <row r="636" spans="1:74" x14ac:dyDescent="0.2">
      <c r="B636" s="577"/>
      <c r="C636" s="577"/>
      <c r="D636" s="1248"/>
      <c r="E636" s="1248"/>
      <c r="F636" s="1248"/>
      <c r="G636" s="1248"/>
      <c r="H636" s="1248"/>
      <c r="I636" s="1248"/>
      <c r="J636" s="1248"/>
      <c r="K636" s="1248"/>
      <c r="L636" s="1248"/>
      <c r="M636" s="1248"/>
      <c r="N636" s="1248"/>
      <c r="O636" s="1248"/>
      <c r="P636" s="1248"/>
      <c r="Q636" s="1248"/>
      <c r="R636" s="1248"/>
      <c r="S636" s="1248"/>
      <c r="T636" s="1248"/>
      <c r="U636" s="1248"/>
      <c r="V636" s="1248"/>
      <c r="W636" s="1248"/>
      <c r="X636" s="1248"/>
      <c r="Y636" s="1248"/>
      <c r="Z636" s="407"/>
      <c r="AA636" s="407"/>
      <c r="AB636" s="407"/>
      <c r="AC636" s="407"/>
      <c r="AD636" s="407"/>
      <c r="AE636" s="407"/>
      <c r="AF636" s="407"/>
      <c r="AG636" s="407"/>
      <c r="AH636" s="407"/>
      <c r="AI636" s="407"/>
      <c r="AJ636" s="407"/>
      <c r="AK636" s="407"/>
      <c r="AL636" s="407"/>
      <c r="AM636" s="407"/>
      <c r="AN636" s="407"/>
      <c r="AO636" s="407"/>
      <c r="AP636" s="407"/>
      <c r="AQ636" s="407"/>
      <c r="AR636" s="1236"/>
      <c r="AS636" s="1248"/>
      <c r="AT636" s="1248"/>
      <c r="AU636" s="1236"/>
      <c r="AV636" s="1236"/>
      <c r="AW636" s="1236"/>
      <c r="AX636" s="1236"/>
      <c r="AY636" s="1236"/>
      <c r="AZ636" s="1236"/>
      <c r="BA636" s="1236"/>
      <c r="BB636" s="1236"/>
      <c r="BC636" s="1236"/>
      <c r="BD636" s="1236"/>
      <c r="BE636" s="1236"/>
    </row>
    <row r="637" spans="1:74" x14ac:dyDescent="0.2">
      <c r="B637" s="326" t="s">
        <v>188</v>
      </c>
      <c r="C637" s="578"/>
      <c r="D637" s="1312"/>
      <c r="E637" s="1312"/>
      <c r="F637" s="1312"/>
      <c r="G637" s="1312"/>
      <c r="H637" s="1312"/>
      <c r="I637" s="1312"/>
      <c r="J637" s="1312"/>
      <c r="K637" s="1312"/>
      <c r="L637" s="1312"/>
      <c r="M637" s="1312"/>
      <c r="N637" s="1312"/>
      <c r="O637" s="1312"/>
      <c r="P637" s="1312"/>
      <c r="Q637" s="1312"/>
      <c r="R637" s="1312"/>
      <c r="S637" s="1312"/>
      <c r="T637" s="1312"/>
      <c r="U637" s="1312"/>
      <c r="V637" s="1312"/>
      <c r="W637" s="1312"/>
      <c r="X637" s="1312"/>
      <c r="Y637" s="1312"/>
      <c r="Z637" s="1312"/>
      <c r="AA637" s="1312"/>
      <c r="AB637" s="1312"/>
      <c r="AC637" s="1312"/>
      <c r="AD637" s="1312"/>
      <c r="AE637" s="1312"/>
      <c r="AF637" s="1312"/>
      <c r="AG637" s="1312"/>
      <c r="AH637" s="1312"/>
      <c r="AI637" s="1312"/>
      <c r="AJ637" s="1312"/>
      <c r="AK637" s="1312"/>
      <c r="AL637" s="1312"/>
      <c r="AM637" s="1312"/>
      <c r="AN637" s="1312"/>
      <c r="AO637" s="1312"/>
      <c r="AP637" s="1312"/>
      <c r="AQ637" s="1312"/>
      <c r="AR637" s="1236"/>
      <c r="AS637" s="1313"/>
      <c r="AT637" s="1313"/>
      <c r="AU637" s="1312"/>
      <c r="AV637" s="1312"/>
      <c r="AW637" s="1312"/>
      <c r="AX637" s="1312"/>
      <c r="AY637" s="1312"/>
      <c r="AZ637" s="1312"/>
      <c r="BA637" s="1312"/>
      <c r="BB637" s="1312"/>
      <c r="BC637" s="1312"/>
      <c r="BD637" s="1312"/>
      <c r="BE637" s="1312"/>
      <c r="BF637" s="390"/>
      <c r="BG637" s="390"/>
      <c r="BH637" s="390"/>
      <c r="BI637" s="390"/>
      <c r="BJ637" s="390"/>
      <c r="BK637" s="390"/>
      <c r="BL637" s="390"/>
      <c r="BM637" s="390"/>
      <c r="BN637" s="390"/>
      <c r="BO637" s="390"/>
      <c r="BP637" s="390"/>
      <c r="BQ637" s="390"/>
      <c r="BR637" s="390"/>
      <c r="BS637" s="390"/>
      <c r="BT637" s="390"/>
      <c r="BU637" s="390"/>
      <c r="BV637" s="390"/>
    </row>
    <row r="638" spans="1:74" x14ac:dyDescent="0.2">
      <c r="B638" s="315" t="s">
        <v>642</v>
      </c>
      <c r="C638" s="321"/>
      <c r="D638" s="1303"/>
      <c r="E638" s="1303"/>
      <c r="F638" s="1303"/>
      <c r="G638" s="1303"/>
      <c r="H638" s="1303">
        <f>IFERROR(Model!H638/Model!D638-1,"NA")</f>
        <v>-5.5729984301412849E-2</v>
      </c>
      <c r="I638" s="1303">
        <f>IFERROR(Model!I638/Model!E638-1,"NA")</f>
        <v>0.151685393258427</v>
      </c>
      <c r="J638" s="1303">
        <f>IFERROR(Model!J638/Model!F638-1,"NA")</f>
        <v>4.1020966271649861E-2</v>
      </c>
      <c r="K638" s="1303">
        <f>IFERROR(Model!K638/Model!G638-1,"NA")</f>
        <v>0.25290697674418605</v>
      </c>
      <c r="L638" s="1303">
        <f>IFERROR(Model!L638/Model!H638-1,"NA")</f>
        <v>0.14546965918536992</v>
      </c>
      <c r="M638" s="1303">
        <f>IFERROR(Model!M638/Model!I638-1,"NA")</f>
        <v>0.1821138211382114</v>
      </c>
      <c r="N638" s="1303">
        <f>IFERROR(Model!N638/Model!J638-1,"NA")</f>
        <v>0.14185639229422065</v>
      </c>
      <c r="O638" s="1303">
        <f>IFERROR(Model!O638/Model!K638-1,"NA")</f>
        <v>-7.3472544470224332E-2</v>
      </c>
      <c r="P638" s="1303">
        <f>IFERROR(Model!P638/Model!L638-1,"NA")</f>
        <v>2.3947750362844689E-2</v>
      </c>
      <c r="Q638" s="1303">
        <f>IFERROR(Model!Q638/Model!M638-1,"NA")</f>
        <v>-2.8885832187070193E-2</v>
      </c>
      <c r="R638" s="1303">
        <f>IFERROR(Model!R638/Model!N638-1,"NA")</f>
        <v>1.8404907975460016E-2</v>
      </c>
      <c r="S638" s="1303">
        <f>IFERROR(Model!S638/Model!O638-1,"NA")</f>
        <v>-0.11602671118530883</v>
      </c>
      <c r="T638" s="1303">
        <f>IFERROR(Model!T638/Model!P638-1,"NA")</f>
        <v>-0.36924167257264351</v>
      </c>
      <c r="U638" s="1303">
        <f>IFERROR(Model!U638/Model!Q638-1,"NA")</f>
        <v>-0.41926345609065152</v>
      </c>
      <c r="V638" s="1303">
        <f>IFERROR(Model!V638/Model!R638-1,"NA")</f>
        <v>-0.46837349397590367</v>
      </c>
      <c r="W638" s="1303">
        <f>IFERROR(Model!W638/Model!S638-1,"NA")</f>
        <v>-0.46270066100094431</v>
      </c>
      <c r="X638" s="1303">
        <f>IFERROR(Model!X638/Model!T638-1,"NA")</f>
        <v>-0.37303370786516854</v>
      </c>
      <c r="Y638" s="1303">
        <f>IFERROR(Model!Y638/Model!U638-1,"NA")</f>
        <v>-0.39390243902439026</v>
      </c>
      <c r="Z638" s="1303">
        <f>IFERROR(Model!Z638/Model!V638-1,"NA")</f>
        <v>-0.26912181303116145</v>
      </c>
      <c r="AA638" s="1303">
        <f>IFERROR(Model!AA638/Model!W638-1,"NA")</f>
        <v>-0.24604569420035149</v>
      </c>
      <c r="AB638" s="1303">
        <f>IFERROR(Model!AB638/Model!X638-1,"NA")</f>
        <v>-3.5842293906810041E-2</v>
      </c>
      <c r="AC638" s="407">
        <f>IFERROR(Model!AC638/Model!Y638-1,"NA")</f>
        <v>-0.23790854717345178</v>
      </c>
      <c r="AD638" s="407">
        <f>IFERROR(Model!AD638/Model!Z638-1,"NA")</f>
        <v>-0.29769913985345653</v>
      </c>
      <c r="AE638" s="407">
        <f>IFERROR(Model!AE638/Model!AA638-1,"NA")</f>
        <v>-0.20042332024140252</v>
      </c>
      <c r="AF638" s="407">
        <f>IFERROR(Model!AF638/Model!AB638-1,"NA")</f>
        <v>-0.41656569109334418</v>
      </c>
      <c r="AG638" s="407">
        <f>IFERROR(Model!AG638/Model!AC638-1,"NA")</f>
        <v>-0.21591928436018959</v>
      </c>
      <c r="AH638" s="407">
        <f>IFERROR(Model!AH638/Model!AD638-1,"NA")</f>
        <v>-0.21733112226656981</v>
      </c>
      <c r="AI638" s="407">
        <f>IFERROR(Model!AI638/Model!AE638-1,"NA")</f>
        <v>-0.21847340725132269</v>
      </c>
      <c r="AJ638" s="407"/>
      <c r="AK638" s="407"/>
      <c r="AL638" s="407"/>
      <c r="AM638" s="407"/>
      <c r="AN638" s="407"/>
      <c r="AO638" s="407"/>
      <c r="AP638" s="407"/>
      <c r="AQ638" s="407"/>
      <c r="AR638" s="1236"/>
      <c r="AS638" s="1400"/>
      <c r="AT638" s="1284"/>
      <c r="AU638" s="1236"/>
      <c r="AV638" s="1236">
        <f>IFERROR(Model!AV638/Model!AU638-1,"NA")</f>
        <v>8.8794453142473806E-2</v>
      </c>
      <c r="AW638" s="1236">
        <f>IFERROR(Model!AW638/Model!AV638-1,"NA")</f>
        <v>9.5727198027937499E-2</v>
      </c>
      <c r="AX638" s="1236">
        <f>IFERROR(Model!AX638/Model!AW638-1,"NA")</f>
        <v>-2.3247094113235889E-2</v>
      </c>
      <c r="AY638" s="1236">
        <f>IFERROR(Model!AY638/Model!AX638-1,"NA")</f>
        <v>-0.42706333973128596</v>
      </c>
      <c r="AZ638" s="1236">
        <f>IFERROR(Model!AZ638/Model!AY638-1,"NA")</f>
        <v>-0.32998324958123948</v>
      </c>
      <c r="BA638" s="1236">
        <f>IFERROR(Model!BA638/Model!AZ638-1,"NA")</f>
        <v>-0.18891745424657536</v>
      </c>
      <c r="BB638" s="407">
        <f>IFERROR(Model!BB638/Model!BA638-1,"NA")</f>
        <v>-0.28332026011712297</v>
      </c>
      <c r="BC638" s="407">
        <f>IFERROR(Model!BC638/Model!BB638-1,"NA")</f>
        <v>-0.21039171539309265</v>
      </c>
      <c r="BD638" s="407">
        <f>IFERROR(Model!BD638/Model!BC638-1,"NA")</f>
        <v>-0.20825077733078334</v>
      </c>
      <c r="BE638" s="407">
        <f>IFERROR(Model!BE638/Model!BD638-1,"NA")</f>
        <v>-0.20625256868807618</v>
      </c>
    </row>
    <row r="639" spans="1:74" x14ac:dyDescent="0.2">
      <c r="B639" s="375" t="s">
        <v>294</v>
      </c>
      <c r="C639" s="376"/>
      <c r="D639" s="1314"/>
      <c r="E639" s="1314"/>
      <c r="F639" s="1314"/>
      <c r="G639" s="1314"/>
      <c r="H639" s="1314">
        <f>IFERROR(Model!H639/Model!D639-1,"NA")</f>
        <v>0.1178247734138973</v>
      </c>
      <c r="I639" s="1314">
        <f>IFERROR(Model!I639/Model!E639-1,"NA")</f>
        <v>-2.8046421663442955E-2</v>
      </c>
      <c r="J639" s="1314">
        <f>IFERROR(Model!J639/Model!F639-1,"NA")</f>
        <v>0.24650161463939724</v>
      </c>
      <c r="K639" s="1314">
        <f>IFERROR(Model!K639/Model!G639-1,"NA")</f>
        <v>-2.4925224327018936E-2</v>
      </c>
      <c r="L639" s="1314">
        <f>IFERROR(Model!L639/Model!H639-1,"NA")</f>
        <v>0.61621621621621614</v>
      </c>
      <c r="M639" s="1314">
        <f>IFERROR(Model!M639/Model!I639-1,"NA")</f>
        <v>1.4925373134328401E-2</v>
      </c>
      <c r="N639" s="1314">
        <f>IFERROR(Model!N639/Model!J639-1,"NA")</f>
        <v>5.1813471502590636E-2</v>
      </c>
      <c r="O639" s="1314">
        <f>IFERROR(Model!O639/Model!K639-1,"NA")</f>
        <v>-0.13905930470347649</v>
      </c>
      <c r="P639" s="1314">
        <f>IFERROR(Model!P639/Model!L639-1,"NA")</f>
        <v>-5.9364548494983294E-2</v>
      </c>
      <c r="Q639" s="1314">
        <f>IFERROR(Model!Q639/Model!M639-1,"NA")</f>
        <v>0.13823529411764701</v>
      </c>
      <c r="R639" s="1314">
        <f>IFERROR(Model!R639/Model!N639-1,"NA")</f>
        <v>-0.33333333333333337</v>
      </c>
      <c r="S639" s="1314">
        <f>IFERROR(Model!S639/Model!O639-1,"NA")</f>
        <v>1.9251781472684084</v>
      </c>
      <c r="T639" s="1314">
        <f>IFERROR(Model!T639/Model!P639-1,"NA")</f>
        <v>-6.1333333333333351E-2</v>
      </c>
      <c r="U639" s="1314">
        <f>IFERROR(Model!U639/Model!Q639-1,"NA")</f>
        <v>-0.6856158484065461</v>
      </c>
      <c r="V639" s="1314">
        <f>IFERROR(Model!V639/Model!R639-1,"NA")</f>
        <v>-0.46921182266009853</v>
      </c>
      <c r="W639" s="1314">
        <f>IFERROR(Model!W639/Model!S639-1,"NA")</f>
        <v>-0.88144539179861958</v>
      </c>
      <c r="X639" s="1314">
        <f>IFERROR(Model!X639/Model!T639-1,"NA")</f>
        <v>-0.39109848484848486</v>
      </c>
      <c r="Y639" s="1314">
        <f>IFERROR(Model!Y639/Model!U639-1,"NA")</f>
        <v>-0.55068493150684938</v>
      </c>
      <c r="Z639" s="1314">
        <f>IFERROR(Model!Z639/Model!V639-1,"NA")</f>
        <v>-0.99303944315545245</v>
      </c>
      <c r="AA639" s="1314">
        <f>IFERROR(Model!AA639/Model!W639-1,"NA")</f>
        <v>0.10273972602739723</v>
      </c>
      <c r="AB639" s="1314">
        <f>IFERROR(Model!AB639/Model!X639-1,"NA")</f>
        <v>-0.91757387247278377</v>
      </c>
      <c r="AC639" s="1307">
        <f>IFERROR(Model!AC639/Model!Y639-1,"NA")</f>
        <v>-3.1289341797527626E-2</v>
      </c>
      <c r="AD639" s="1307">
        <f>IFERROR(Model!AD639/Model!Z639-1,"NA")</f>
        <v>49.834877260273977</v>
      </c>
      <c r="AE639" s="1307">
        <f>IFERROR(Model!AE639/Model!AA639-1,"NA")</f>
        <v>-0.54873787671232876</v>
      </c>
      <c r="AF639" s="1307">
        <f>IFERROR(Model!AF639/Model!AB639-1,"NA")</f>
        <v>1.5252492417420527</v>
      </c>
      <c r="AG639" s="1307">
        <f>IFERROR(Model!AG639/Model!AC639-1,"NA")</f>
        <v>-0.19774522803741257</v>
      </c>
      <c r="AH639" s="1307">
        <f>IFERROR(Model!AH639/Model!AD639-1,"NA")</f>
        <v>-0.19666659744192494</v>
      </c>
      <c r="AI639" s="1307">
        <f>IFERROR(Model!AI639/Model!AE639-1,"NA")</f>
        <v>-0.19797434908086542</v>
      </c>
      <c r="AJ639" s="1318"/>
      <c r="AK639" s="1318"/>
      <c r="AL639" s="1318"/>
      <c r="AM639" s="1318"/>
      <c r="AN639" s="1318"/>
      <c r="AO639" s="1318"/>
      <c r="AP639" s="1318"/>
      <c r="AQ639" s="1318"/>
      <c r="AR639" s="1236"/>
      <c r="AS639" s="1402"/>
      <c r="AT639" s="1270"/>
      <c r="AU639" s="1246"/>
      <c r="AV639" s="1246">
        <f>IFERROR(Model!AV639/Model!AU639-1,"NA")</f>
        <v>6.9735391400220559E-2</v>
      </c>
      <c r="AW639" s="1246">
        <f>IFERROR(Model!AW639/Model!AV639-1,"NA")</f>
        <v>0.10177789229580014</v>
      </c>
      <c r="AX639" s="1246">
        <f>IFERROR(Model!AX639/Model!AW639-1,"NA")</f>
        <v>0.30051449953227305</v>
      </c>
      <c r="AY639" s="1246">
        <f>IFERROR(Model!AY639/Model!AX639-1,"NA")</f>
        <v>-0.61445783132530118</v>
      </c>
      <c r="AZ639" s="1246">
        <f>IFERROR(Model!AZ639/Model!AY639-1,"NA")</f>
        <v>-0.47201492537313428</v>
      </c>
      <c r="BA639" s="1246">
        <f>IFERROR(Model!BA639/Model!AZ639-1,"NA")</f>
        <v>-0.54975301817609767</v>
      </c>
      <c r="BB639" s="1307">
        <f>IFERROR(Model!BB639/Model!BA639-1,"NA")</f>
        <v>-1.8318950667629008E-2</v>
      </c>
      <c r="BC639" s="1307">
        <f>IFERROR(Model!BC639/Model!BB639-1,"NA")</f>
        <v>-0.19732028477887198</v>
      </c>
      <c r="BD639" s="1307">
        <f>IFERROR(Model!BD639/Model!BC639-1,"NA")</f>
        <v>-0.19568332935190691</v>
      </c>
      <c r="BE639" s="1307">
        <f>IFERROR(Model!BE639/Model!BD639-1,"NA")</f>
        <v>-0.20625256868807618</v>
      </c>
    </row>
    <row r="640" spans="1:74" x14ac:dyDescent="0.2">
      <c r="B640" s="322" t="s">
        <v>657</v>
      </c>
      <c r="D640" s="1278"/>
      <c r="E640" s="1278"/>
      <c r="F640" s="1278"/>
      <c r="G640" s="1278"/>
      <c r="H640" s="1278">
        <f>IFERROR(Model!H640/Model!D640-1,"NA")</f>
        <v>3.6157024793388448E-3</v>
      </c>
      <c r="I640" s="1278">
        <f>IFERROR(Model!I640/Model!E640-1,"NA")</f>
        <v>6.3273073263558466E-2</v>
      </c>
      <c r="J640" s="1278">
        <f>IFERROR(Model!J640/Model!F640-1,"NA")</f>
        <v>0.13524185587364257</v>
      </c>
      <c r="K640" s="1278">
        <f>IFERROR(Model!K640/Model!G640-1,"NA")</f>
        <v>0.115970515970516</v>
      </c>
      <c r="L640" s="1278">
        <f>IFERROR(Model!L640/Model!H640-1,"NA")</f>
        <v>0.32475553268142043</v>
      </c>
      <c r="M640" s="1278">
        <f>IFERROR(Model!M640/Model!I640-1,"NA")</f>
        <v>0.10693512304250552</v>
      </c>
      <c r="N640" s="1278">
        <f>IFERROR(Model!N640/Model!J640-1,"NA")</f>
        <v>9.6521739130434714E-2</v>
      </c>
      <c r="O640" s="1278">
        <f>IFERROR(Model!O640/Model!K640-1,"NA")</f>
        <v>-0.10171730515191546</v>
      </c>
      <c r="P640" s="1278">
        <f>IFERROR(Model!P640/Model!L640-1,"NA")</f>
        <v>-1.4763014763014781E-2</v>
      </c>
      <c r="Q640" s="1278">
        <f>IFERROR(Model!Q640/Model!M640-1,"NA")</f>
        <v>4.0016168148746978E-2</v>
      </c>
      <c r="R640" s="1278">
        <f>IFERROR(Model!R640/Model!N640-1,"NA")</f>
        <v>-0.15146708961141953</v>
      </c>
      <c r="S640" s="1278">
        <f>IFERROR(Model!S640/Model!O640-1,"NA")</f>
        <v>0.7264705882352942</v>
      </c>
      <c r="T640" s="1278">
        <f>IFERROR(Model!T640/Model!P640-1,"NA")</f>
        <v>-0.23264984227129337</v>
      </c>
      <c r="U640" s="1278">
        <f>IFERROR(Model!U640/Model!Q640-1,"NA")</f>
        <v>-0.53944811504080836</v>
      </c>
      <c r="V640" s="1278">
        <f>IFERROR(Model!V640/Model!R640-1,"NA")</f>
        <v>-0.46869158878504669</v>
      </c>
      <c r="W640" s="1278">
        <f>IFERROR(Model!W640/Model!S640-1,"NA")</f>
        <v>-0.75553662691652468</v>
      </c>
      <c r="X640" s="1278">
        <f>IFERROR(Model!X640/Model!T640-1,"NA")</f>
        <v>-0.38283658787255914</v>
      </c>
      <c r="Y640" s="1278">
        <f>IFERROR(Model!Y640/Model!U640-1,"NA")</f>
        <v>-0.44219409282700417</v>
      </c>
      <c r="Z640" s="1278">
        <f>IFERROR(Model!Z640/Model!V640-1,"NA")</f>
        <v>-0.54353562005277045</v>
      </c>
      <c r="AA640" s="1278">
        <f>IFERROR(Model!AA640/Model!W640-1,"NA")</f>
        <v>-0.12775842044134722</v>
      </c>
      <c r="AB640" s="1278">
        <f>IFERROR(Model!AB640/Model!X640-1,"NA")</f>
        <v>-0.50791007493755203</v>
      </c>
      <c r="AC640" s="1278">
        <f>IFERROR(Model!AC640/Model!Y640-1,"NA")</f>
        <v>-0.18664447806354023</v>
      </c>
      <c r="AD640" s="1278">
        <f>IFERROR(Model!AD640/Model!Z640-1,"NA")</f>
        <v>-7.9154612400031965E-3</v>
      </c>
      <c r="AE640" s="1278">
        <f>IFERROR(Model!AE640/Model!AA640-1,"NA")</f>
        <v>-0.34976724458712583</v>
      </c>
      <c r="AF640" s="1278">
        <f>IFERROR(Model!AF640/Model!AB640-1,"NA")</f>
        <v>-0.24242661928238651</v>
      </c>
      <c r="AG640" s="1278">
        <f>IFERROR(Model!AG640/Model!AC640-1,"NA")</f>
        <v>-0.21054886849964294</v>
      </c>
      <c r="AH640" s="1278">
        <f>IFERROR(Model!AH640/Model!AD640-1,"NA")</f>
        <v>-0.21121054453258403</v>
      </c>
      <c r="AI640" s="1278">
        <f>IFERROR(Model!AI640/Model!AE640-1,"NA")</f>
        <v>-0.21237368750304031</v>
      </c>
      <c r="AJ640" s="1278"/>
      <c r="AK640" s="1278"/>
      <c r="AL640" s="1278"/>
      <c r="AM640" s="1278"/>
      <c r="AN640" s="1278"/>
      <c r="AO640" s="1278"/>
      <c r="AP640" s="1278"/>
      <c r="AQ640" s="1278"/>
      <c r="AR640" s="1236"/>
      <c r="AS640" s="1248"/>
      <c r="AT640" s="407"/>
      <c r="AU640" s="1278"/>
      <c r="AV640" s="1278">
        <f>IFERROR(Model!AV640/Model!AU640-1,"NA")</f>
        <v>8.0256821829855607E-2</v>
      </c>
      <c r="AW640" s="1278">
        <f>IFERROR(Model!AW640/Model!AV640-1,"NA")</f>
        <v>9.8411246999657198E-2</v>
      </c>
      <c r="AX640" s="1278">
        <f>IFERROR(Model!AX640/Model!AW640-1,"NA")</f>
        <v>0.12081165452653475</v>
      </c>
      <c r="AY640" s="1278">
        <f>IFERROR(Model!AY640/Model!AX640-1,"NA")</f>
        <v>-0.52381394485191723</v>
      </c>
      <c r="AZ640" s="1278">
        <f>IFERROR(Model!AZ640/Model!AY640-1,"NA")</f>
        <v>-0.38935465002924552</v>
      </c>
      <c r="BA640" s="1278">
        <f>IFERROR(Model!BA640/Model!AZ640-1,"NA")</f>
        <v>-0.31933439497716898</v>
      </c>
      <c r="BB640" s="1278">
        <f>IFERROR(Model!BB640/Model!BA640-1,"NA")</f>
        <v>-0.21996397595840655</v>
      </c>
      <c r="BC640" s="1278">
        <f>IFERROR(Model!BC640/Model!BB640-1,"NA")</f>
        <v>-0.20645874617514337</v>
      </c>
      <c r="BD640" s="1278">
        <f>IFERROR(Model!BD640/Model!BC640-1,"NA")</f>
        <v>-0.20442590185895138</v>
      </c>
      <c r="BE640" s="1278">
        <f>IFERROR(Model!BE640/Model!BD640-1,"NA")</f>
        <v>-0.20625256868807618</v>
      </c>
    </row>
    <row r="641" spans="1:57" x14ac:dyDescent="0.2">
      <c r="B641" s="580"/>
      <c r="C641" s="376" t="s">
        <v>479</v>
      </c>
      <c r="D641" s="1285"/>
      <c r="E641" s="1285"/>
      <c r="F641" s="1285"/>
      <c r="G641" s="1285"/>
      <c r="H641" s="1285">
        <f>IFERROR(Model!H641/Model!D641-1,"NA")</f>
        <v>-1.1022727272727273</v>
      </c>
      <c r="I641" s="1285">
        <f>IFERROR(Model!I641/Model!E641-1,"NA")</f>
        <v>-0.2857142857142857</v>
      </c>
      <c r="J641" s="1285">
        <f>IFERROR(Model!J641/Model!F641-1,"NA")</f>
        <v>-1.1739130434782608</v>
      </c>
      <c r="K641" s="1285">
        <f>IFERROR(Model!K641/Model!G641-1,"NA")</f>
        <v>-0.96</v>
      </c>
      <c r="L641" s="1285">
        <f>IFERROR(Model!L641/Model!H641-1,"NA")</f>
        <v>-2.5555555555555554</v>
      </c>
      <c r="M641" s="1285">
        <f>IFERROR(Model!M641/Model!I641-1,"NA")</f>
        <v>-1.0666666666666667</v>
      </c>
      <c r="N641" s="1285">
        <f>IFERROR(Model!N641/Model!J641-1,"NA")</f>
        <v>12.75</v>
      </c>
      <c r="O641" s="1285">
        <f>IFERROR(Model!O641/Model!K641-1,"NA")</f>
        <v>-6</v>
      </c>
      <c r="P641" s="1285">
        <f>IFERROR(Model!P641/Model!L641-1,"NA")</f>
        <v>-1.2857142857142856</v>
      </c>
      <c r="Q641" s="1285">
        <f>IFERROR(Model!Q641/Model!M641-1,"NA")</f>
        <v>-10</v>
      </c>
      <c r="R641" s="1285">
        <f>IFERROR(Model!R641/Model!N641-1,"NA")</f>
        <v>-0.54545454545454541</v>
      </c>
      <c r="S641" s="1285">
        <f>IFERROR(Model!S641/Model!O641-1,"NA")</f>
        <v>-2</v>
      </c>
      <c r="T641" s="1285">
        <f>IFERROR(Model!T641/Model!P641-1,"NA")</f>
        <v>-1</v>
      </c>
      <c r="U641" s="1285">
        <f>IFERROR(Model!U641/Model!Q641-1,"NA")</f>
        <v>-1</v>
      </c>
      <c r="V641" s="1285">
        <f>IFERROR(Model!V641/Model!R641-1,"NA")</f>
        <v>-1</v>
      </c>
      <c r="W641" s="1285">
        <f>IFERROR(Model!W641/Model!S641-1,"NA")</f>
        <v>-1</v>
      </c>
      <c r="X641" s="1285" t="str">
        <f>IFERROR(Model!X641/Model!T641-1,"NA")</f>
        <v>NA</v>
      </c>
      <c r="Y641" s="1285" t="str">
        <f>IFERROR(Model!Y641/Model!U641-1,"NA")</f>
        <v>NA</v>
      </c>
      <c r="Z641" s="1285" t="str">
        <f>IFERROR(Model!Z641/Model!V641-1,"NA")</f>
        <v>NA</v>
      </c>
      <c r="AA641" s="1285" t="str">
        <f>IFERROR(Model!AA641/Model!W641-1,"NA")</f>
        <v>NA</v>
      </c>
      <c r="AB641" s="1285" t="str">
        <f>IFERROR(Model!AB641/Model!X641-1,"NA")</f>
        <v>NA</v>
      </c>
      <c r="AC641" s="1285" t="str">
        <f>IFERROR(Model!AC641/Model!Y641-1,"NA")</f>
        <v>NA</v>
      </c>
      <c r="AD641" s="1285" t="str">
        <f>IFERROR(Model!AD641/Model!Z641-1,"NA")</f>
        <v>NA</v>
      </c>
      <c r="AE641" s="1285" t="str">
        <f>IFERROR(Model!AE641/Model!AA641-1,"NA")</f>
        <v>NA</v>
      </c>
      <c r="AF641" s="1285" t="str">
        <f>IFERROR(Model!AF641/Model!AB641-1,"NA")</f>
        <v>NA</v>
      </c>
      <c r="AG641" s="1285" t="str">
        <f>IFERROR(Model!AG641/Model!AC641-1,"NA")</f>
        <v>NA</v>
      </c>
      <c r="AH641" s="1285" t="str">
        <f>IFERROR(Model!AH641/Model!AD641-1,"NA")</f>
        <v>NA</v>
      </c>
      <c r="AI641" s="1285" t="str">
        <f>IFERROR(Model!AI641/Model!AE641-1,"NA")</f>
        <v>NA</v>
      </c>
      <c r="AJ641" s="1258"/>
      <c r="AK641" s="1258"/>
      <c r="AL641" s="1258"/>
      <c r="AM641" s="1258"/>
      <c r="AN641" s="1258"/>
      <c r="AO641" s="1258"/>
      <c r="AP641" s="1258"/>
      <c r="AQ641" s="1258"/>
      <c r="AR641" s="1236"/>
      <c r="AS641" s="1298"/>
      <c r="AT641" s="1270"/>
      <c r="AU641" s="1246"/>
      <c r="AV641" s="1246">
        <f>IFERROR(Model!AV641/Model!AU641-1,"NA")</f>
        <v>-0.98089171974522293</v>
      </c>
      <c r="AW641" s="1246">
        <f>IFERROR(Model!AW641/Model!AV641-1,"NA")</f>
        <v>-16.666666666666664</v>
      </c>
      <c r="AX641" s="1246">
        <f>IFERROR(Model!AX641/Model!AW641-1,"NA")</f>
        <v>-0.68085106382978722</v>
      </c>
      <c r="AY641" s="1246">
        <f>IFERROR(Model!AY641/Model!AX641-1,"NA")</f>
        <v>-1</v>
      </c>
      <c r="AZ641" s="1246" t="str">
        <f>IFERROR(Model!AZ641/Model!AY641-1,"NA")</f>
        <v>NA</v>
      </c>
      <c r="BA641" s="1246" t="str">
        <f>IFERROR(Model!BA641/Model!AZ641-1,"NA")</f>
        <v>NA</v>
      </c>
      <c r="BB641" s="1285" t="str">
        <f>IFERROR(Model!BB641/Model!BA641-1,"NA")</f>
        <v>NA</v>
      </c>
      <c r="BC641" s="1285" t="str">
        <f>IFERROR(Model!BC641/Model!BB641-1,"NA")</f>
        <v>NA</v>
      </c>
      <c r="BD641" s="1285" t="str">
        <f>IFERROR(Model!BD641/Model!BC641-1,"NA")</f>
        <v>NA</v>
      </c>
      <c r="BE641" s="1285" t="str">
        <f>IFERROR(Model!BE641/Model!BD641-1,"NA")</f>
        <v>NA</v>
      </c>
    </row>
    <row r="642" spans="1:57" x14ac:dyDescent="0.2">
      <c r="B642" s="325" t="s">
        <v>656</v>
      </c>
      <c r="C642" s="321"/>
      <c r="D642" s="1278"/>
      <c r="E642" s="1278"/>
      <c r="F642" s="1278"/>
      <c r="G642" s="1278"/>
      <c r="H642" s="1278">
        <f>IFERROR(Model!H642/Model!D642-1,"NA")</f>
        <v>5.6277056277056259E-2</v>
      </c>
      <c r="I642" s="1278">
        <f>IFERROR(Model!I642/Model!E642-1,"NA")</f>
        <v>6.6794810187409848E-2</v>
      </c>
      <c r="J642" s="1278">
        <f>IFERROR(Model!J642/Model!F642-1,"NA")</f>
        <v>0.15027458811782335</v>
      </c>
      <c r="K642" s="1278">
        <f>IFERROR(Model!K642/Model!G642-1,"NA")</f>
        <v>0.12935323383084585</v>
      </c>
      <c r="L642" s="1278">
        <f>IFERROR(Model!L642/Model!H642-1,"NA")</f>
        <v>0.31147540983606548</v>
      </c>
      <c r="M642" s="1278">
        <f>IFERROR(Model!M642/Model!I642-1,"NA")</f>
        <v>0.11486486486486491</v>
      </c>
      <c r="N642" s="1278">
        <f>IFERROR(Model!N642/Model!J642-1,"NA")</f>
        <v>0.11848958333333326</v>
      </c>
      <c r="O642" s="1278">
        <f>IFERROR(Model!O642/Model!K642-1,"NA")</f>
        <v>-9.9118942731277526E-2</v>
      </c>
      <c r="P642" s="1278">
        <f>IFERROR(Model!P642/Model!L642-1,"NA")</f>
        <v>-7.8125E-3</v>
      </c>
      <c r="Q642" s="1278">
        <f>IFERROR(Model!Q642/Model!M642-1,"NA")</f>
        <v>3.5959595959595969E-2</v>
      </c>
      <c r="R642" s="1278">
        <f>IFERROR(Model!R642/Model!N642-1,"NA")</f>
        <v>-0.15987582460225069</v>
      </c>
      <c r="S642" s="1278">
        <f>IFERROR(Model!S642/Model!O642-1,"NA")</f>
        <v>0.71980440097799514</v>
      </c>
      <c r="T642" s="1278">
        <f>IFERROR(Model!T642/Model!P642-1,"NA")</f>
        <v>-0.2338582677165354</v>
      </c>
      <c r="U642" s="1278">
        <f>IFERROR(Model!U642/Model!Q642-1,"NA")</f>
        <v>-0.53783151326053047</v>
      </c>
      <c r="V642" s="1278">
        <f>IFERROR(Model!V642/Model!R642-1,"NA")</f>
        <v>-0.47482678983833715</v>
      </c>
      <c r="W642" s="1278">
        <f>IFERROR(Model!W642/Model!S642-1,"NA")</f>
        <v>-0.75518908160363951</v>
      </c>
      <c r="X642" s="1278">
        <f>IFERROR(Model!X642/Model!T642-1,"NA")</f>
        <v>-0.38283658787255914</v>
      </c>
      <c r="Y642" s="1278">
        <f>IFERROR(Model!Y642/Model!U642-1,"NA")</f>
        <v>-0.44219409282700417</v>
      </c>
      <c r="Z642" s="1278">
        <f>IFERROR(Model!Z642/Model!V642-1,"NA")</f>
        <v>-0.54353562005277045</v>
      </c>
      <c r="AA642" s="1278">
        <f>IFERROR(Model!AA642/Model!W642-1,"NA")</f>
        <v>-0.12775842044134722</v>
      </c>
      <c r="AB642" s="1278">
        <f>IFERROR(Model!AB642/Model!X642-1,"NA")</f>
        <v>-0.50791007493755203</v>
      </c>
      <c r="AC642" s="1278">
        <f>IFERROR(Model!AC642/Model!Y642-1,"NA")</f>
        <v>-0.18664447806354023</v>
      </c>
      <c r="AD642" s="1278">
        <f>IFERROR(Model!AD642/Model!Z642-1,"NA")</f>
        <v>-7.9154612400031965E-3</v>
      </c>
      <c r="AE642" s="1278">
        <f>IFERROR(Model!AE642/Model!AA642-1,"NA")</f>
        <v>-0.34976724458712583</v>
      </c>
      <c r="AF642" s="1278">
        <f>IFERROR(Model!AF642/Model!AB642-1,"NA")</f>
        <v>-0.24242661928238651</v>
      </c>
      <c r="AG642" s="1278">
        <f>IFERROR(Model!AG642/Model!AC642-1,"NA")</f>
        <v>-0.21054886849964294</v>
      </c>
      <c r="AH642" s="1278">
        <f>IFERROR(Model!AH642/Model!AD642-1,"NA")</f>
        <v>-0.21121054453258403</v>
      </c>
      <c r="AI642" s="1278">
        <f>IFERROR(Model!AI642/Model!AE642-1,"NA")</f>
        <v>-0.21237368750304031</v>
      </c>
      <c r="AJ642" s="1278"/>
      <c r="AK642" s="1278"/>
      <c r="AL642" s="1278"/>
      <c r="AM642" s="1278"/>
      <c r="AN642" s="1278"/>
      <c r="AO642" s="1278"/>
      <c r="AP642" s="1278"/>
      <c r="AQ642" s="1278"/>
      <c r="AR642" s="1236"/>
      <c r="AS642" s="1239"/>
      <c r="AT642" s="1284"/>
      <c r="AU642" s="1278"/>
      <c r="AV642" s="1278">
        <f>IFERROR(Model!AV642/Model!AU642-1,"NA")</f>
        <v>0.10123394610929237</v>
      </c>
      <c r="AW642" s="1278">
        <f>IFERROR(Model!AW642/Model!AV642-1,"NA")</f>
        <v>0.10416190258403835</v>
      </c>
      <c r="AX642" s="1278">
        <f>IFERROR(Model!AX642/Model!AW642-1,"NA")</f>
        <v>0.11691001346173757</v>
      </c>
      <c r="AY642" s="1278">
        <f>IFERROR(Model!AY642/Model!AX642-1,"NA")</f>
        <v>-0.52447617281661407</v>
      </c>
      <c r="AZ642" s="1278">
        <f>IFERROR(Model!AZ642/Model!AY642-1,"NA")</f>
        <v>-0.38935465002924552</v>
      </c>
      <c r="BA642" s="1278">
        <f>IFERROR(Model!BA642/Model!AZ642-1,"NA")</f>
        <v>-0.31933439497716898</v>
      </c>
      <c r="BB642" s="1278">
        <f>IFERROR(Model!BB642/Model!BA642-1,"NA")</f>
        <v>-0.21996397595840655</v>
      </c>
      <c r="BC642" s="1278">
        <f>IFERROR(Model!BC642/Model!BB642-1,"NA")</f>
        <v>-0.20645874617514337</v>
      </c>
      <c r="BD642" s="1278">
        <f>IFERROR(Model!BD642/Model!BC642-1,"NA")</f>
        <v>-0.20442590185895138</v>
      </c>
      <c r="BE642" s="1278">
        <f>IFERROR(Model!BE642/Model!BD642-1,"NA")</f>
        <v>-0.20625256868807618</v>
      </c>
    </row>
    <row r="643" spans="1:57" x14ac:dyDescent="0.2">
      <c r="B643" s="1217"/>
      <c r="C643" s="316"/>
      <c r="D643" s="1278"/>
      <c r="E643" s="1278"/>
      <c r="F643" s="1278"/>
      <c r="G643" s="1278"/>
      <c r="H643" s="1278"/>
      <c r="I643" s="1278"/>
      <c r="J643" s="1278"/>
      <c r="K643" s="1278"/>
      <c r="L643" s="1278"/>
      <c r="M643" s="1278"/>
      <c r="N643" s="1278"/>
      <c r="O643" s="1278"/>
      <c r="P643" s="1278"/>
      <c r="Q643" s="1278"/>
      <c r="R643" s="1278"/>
      <c r="S643" s="1278"/>
      <c r="T643" s="1278"/>
      <c r="U643" s="1278"/>
      <c r="V643" s="1278"/>
      <c r="W643" s="1278"/>
      <c r="X643" s="1278"/>
      <c r="Y643" s="1278"/>
      <c r="Z643" s="1278"/>
      <c r="AA643" s="1278"/>
      <c r="AB643" s="1278"/>
      <c r="AC643" s="407"/>
      <c r="AD643" s="407"/>
      <c r="AE643" s="407"/>
      <c r="AF643" s="407"/>
      <c r="AG643" s="407"/>
      <c r="AH643" s="407"/>
      <c r="AI643" s="407"/>
      <c r="AJ643" s="407"/>
      <c r="AK643" s="407"/>
      <c r="AL643" s="407"/>
      <c r="AM643" s="407"/>
      <c r="AN643" s="407"/>
      <c r="AO643" s="407"/>
      <c r="AP643" s="407"/>
      <c r="AQ643" s="407"/>
      <c r="AR643" s="1236"/>
      <c r="AS643" s="407"/>
      <c r="AT643" s="1239"/>
      <c r="AU643" s="1236"/>
      <c r="AV643" s="1236"/>
      <c r="AW643" s="1236"/>
      <c r="AX643" s="1236"/>
      <c r="AY643" s="1236"/>
      <c r="AZ643" s="1236"/>
      <c r="BA643" s="1236"/>
      <c r="BB643" s="407"/>
      <c r="BC643" s="407"/>
      <c r="BD643" s="407"/>
      <c r="BE643" s="407"/>
    </row>
    <row r="644" spans="1:57" x14ac:dyDescent="0.2">
      <c r="B644" s="322" t="s">
        <v>23</v>
      </c>
      <c r="C644" s="387"/>
      <c r="D644" s="1303"/>
      <c r="E644" s="1303"/>
      <c r="F644" s="1303"/>
      <c r="G644" s="1303"/>
      <c r="H644" s="1303">
        <f>IFERROR(Model!H644/Model!D644-1,"NA")</f>
        <v>3.0710172744721653E-2</v>
      </c>
      <c r="I644" s="1303">
        <f>IFERROR(Model!I644/Model!E644-1,"NA")</f>
        <v>8.6669418076764426E-2</v>
      </c>
      <c r="J644" s="1303">
        <f>IFERROR(Model!J644/Model!F644-1,"NA")</f>
        <v>-7.1091908876669274E-2</v>
      </c>
      <c r="K644" s="1303">
        <f>IFERROR(Model!K644/Model!G644-1,"NA")</f>
        <v>-0.26906093612010595</v>
      </c>
      <c r="L644" s="1303">
        <f>IFERROR(Model!L644/Model!H644-1,"NA")</f>
        <v>8.566108007448836E-3</v>
      </c>
      <c r="M644" s="1303">
        <f>IFERROR(Model!M644/Model!I644-1,"NA")</f>
        <v>1.2586403342195216</v>
      </c>
      <c r="N644" s="1303">
        <f>IFERROR(Model!N644/Model!J644-1,"NA")</f>
        <v>0.43044397463002104</v>
      </c>
      <c r="O644" s="1303">
        <f>IFERROR(Model!O644/Model!K644-1,"NA")</f>
        <v>0.95287958115183247</v>
      </c>
      <c r="P644" s="1303">
        <f>IFERROR(Model!P644/Model!L644-1,"NA")</f>
        <v>-0.28729689807976366</v>
      </c>
      <c r="Q644" s="1303">
        <f>IFERROR(Model!Q644/Model!M644-1,"NA")</f>
        <v>-0.70623843954935261</v>
      </c>
      <c r="R644" s="1303">
        <f>IFERROR(Model!R644/Model!N644-1,"NA")</f>
        <v>-0.48980195093112622</v>
      </c>
      <c r="S644" s="1303">
        <f>IFERROR(Model!S644/Model!O644-1,"NA")</f>
        <v>-0.60280470200041247</v>
      </c>
      <c r="T644" s="1303">
        <f>IFERROR(Model!T644/Model!P644-1,"NA")</f>
        <v>-0.35233160621761661</v>
      </c>
      <c r="U644" s="1303">
        <f>IFERROR(Model!U644/Model!Q644-1,"NA")</f>
        <v>-0.25071551230681166</v>
      </c>
      <c r="V644" s="1303">
        <f>IFERROR(Model!V644/Model!R644-1,"NA")</f>
        <v>-0.25376593279258397</v>
      </c>
      <c r="W644" s="1303">
        <f>IFERROR(Model!W644/Model!S644-1,"NA")</f>
        <v>-0.41329179646936653</v>
      </c>
      <c r="X644" s="1303">
        <f>IFERROR(Model!X644/Model!T644-1,"NA")</f>
        <v>-9.2799999999999994E-2</v>
      </c>
      <c r="Y644" s="1303">
        <f>IFERROR(Model!Y644/Model!U644-1,"NA")</f>
        <v>-0.23911382734912145</v>
      </c>
      <c r="Z644" s="1303">
        <f>IFERROR(Model!Z644/Model!V644-1,"NA")</f>
        <v>-0.35791925465838514</v>
      </c>
      <c r="AA644" s="1303">
        <f>IFERROR(Model!AA644/Model!W644-1,"NA")</f>
        <v>-0.24159292035398228</v>
      </c>
      <c r="AB644" s="1303">
        <f>IFERROR(Model!AB644/Model!X644-1,"NA")</f>
        <v>-0.34656084656084651</v>
      </c>
      <c r="AC644" s="1467">
        <f>IFERROR(Model!AC644/Model!Y644-1,"NA")</f>
        <v>-0.28748096385542177</v>
      </c>
      <c r="AD644" s="1467">
        <f>IFERROR(Model!AD644/Model!Z644-1,"NA")</f>
        <v>-0.17193930523595757</v>
      </c>
      <c r="AE644" s="1467">
        <f>IFERROR(Model!AE644/Model!AA644-1,"NA")</f>
        <v>-0.22506216211377683</v>
      </c>
      <c r="AF644" s="1467">
        <f>IFERROR(Model!AF644/Model!AB644-1,"NA")</f>
        <v>-0.21451602104542178</v>
      </c>
      <c r="AG644" s="1467">
        <f>IFERROR(Model!AG644/Model!AC644-1,"NA")</f>
        <v>-0.22251024927995133</v>
      </c>
      <c r="AH644" s="1467">
        <f>IFERROR(Model!AH644/Model!AD644-1,"NA")</f>
        <v>-0.22900278788899198</v>
      </c>
      <c r="AI644" s="1467">
        <f>IFERROR(Model!AI644/Model!AE644-1,"NA")</f>
        <v>-0.24712190717202387</v>
      </c>
      <c r="AJ644" s="1467"/>
      <c r="AK644" s="1467"/>
      <c r="AL644" s="1467"/>
      <c r="AM644" s="1467"/>
      <c r="AN644" s="1467"/>
      <c r="AO644" s="1467"/>
      <c r="AP644" s="1467"/>
      <c r="AQ644" s="1467"/>
      <c r="AR644" s="1236"/>
      <c r="AS644" s="1248"/>
      <c r="AT644" s="1248"/>
      <c r="AU644" s="1236"/>
      <c r="AV644" s="1236">
        <f>IFERROR(Model!AV644/Model!AU644-1,"NA")</f>
        <v>-7.3375262054507284E-2</v>
      </c>
      <c r="AW644" s="1236">
        <f>IFERROR(Model!AW644/Model!AV644-1,"NA")</f>
        <v>0.66112531969309463</v>
      </c>
      <c r="AX644" s="1236">
        <f>IFERROR(Model!AX644/Model!AW644-1,"NA")</f>
        <v>-0.56599751287972999</v>
      </c>
      <c r="AY644" s="1236">
        <f>IFERROR(Model!AY644/Model!AX644-1,"NA")</f>
        <v>-0.3209169054441261</v>
      </c>
      <c r="AZ644" s="1236">
        <f>IFERROR(Model!AZ644/Model!AY644-1,"NA")</f>
        <v>-0.2336749045609805</v>
      </c>
      <c r="BA644" s="1236">
        <f>IFERROR(Model!BA644/Model!AZ644-1,"NA")</f>
        <v>-0.26596830581060393</v>
      </c>
      <c r="BB644" s="1467">
        <f>IFERROR(Model!BB644/Model!BA644-1,"NA")</f>
        <v>-0.22782085109515637</v>
      </c>
      <c r="BC644" s="1467">
        <f>IFERROR(Model!BC644/Model!BB644-1,"NA")</f>
        <v>-0.20645874617514326</v>
      </c>
      <c r="BD644" s="1467">
        <f>IFERROR(Model!BD644/Model!BC644-1,"NA")</f>
        <v>-0.20442590185895138</v>
      </c>
      <c r="BE644" s="1467">
        <f>IFERROR(Model!BE644/Model!BD644-1,"NA")</f>
        <v>-0.20625256868807629</v>
      </c>
    </row>
    <row r="645" spans="1:57" x14ac:dyDescent="0.2">
      <c r="B645" s="322"/>
      <c r="C645" s="387"/>
      <c r="D645" s="1303"/>
      <c r="E645" s="1303"/>
      <c r="F645" s="1303"/>
      <c r="G645" s="1303"/>
      <c r="H645" s="1303"/>
      <c r="I645" s="1303"/>
      <c r="J645" s="1303"/>
      <c r="K645" s="1303"/>
      <c r="L645" s="1303"/>
      <c r="M645" s="1303"/>
      <c r="N645" s="1303"/>
      <c r="O645" s="1303"/>
      <c r="P645" s="1303"/>
      <c r="Q645" s="1303"/>
      <c r="R645" s="1303"/>
      <c r="S645" s="1303"/>
      <c r="T645" s="1303"/>
      <c r="U645" s="1303"/>
      <c r="V645" s="1303"/>
      <c r="W645" s="407"/>
      <c r="X645" s="407"/>
      <c r="Y645" s="407"/>
      <c r="Z645" s="407"/>
      <c r="AA645" s="407"/>
      <c r="AB645" s="407"/>
      <c r="AC645" s="407"/>
      <c r="AD645" s="407"/>
      <c r="AE645" s="407"/>
      <c r="AF645" s="407"/>
      <c r="AG645" s="407"/>
      <c r="AH645" s="407"/>
      <c r="AI645" s="407"/>
      <c r="AJ645" s="407"/>
      <c r="AK645" s="407"/>
      <c r="AL645" s="407"/>
      <c r="AM645" s="407"/>
      <c r="AN645" s="407"/>
      <c r="AO645" s="407"/>
      <c r="AP645" s="407"/>
      <c r="AQ645" s="407"/>
      <c r="AR645" s="1236"/>
      <c r="AS645" s="1248"/>
      <c r="AT645" s="1248"/>
      <c r="AU645" s="1236"/>
      <c r="AV645" s="1236"/>
      <c r="AW645" s="1236"/>
      <c r="AX645" s="1236"/>
      <c r="AY645" s="1236"/>
      <c r="AZ645" s="1236"/>
      <c r="BA645" s="1236"/>
      <c r="BB645" s="407"/>
      <c r="BC645" s="407"/>
      <c r="BD645" s="407"/>
      <c r="BE645" s="407"/>
    </row>
    <row r="646" spans="1:57" x14ac:dyDescent="0.2">
      <c r="B646" s="322" t="s">
        <v>295</v>
      </c>
      <c r="C646" s="387"/>
      <c r="D646" s="1304"/>
      <c r="E646" s="1304"/>
      <c r="F646" s="1304"/>
      <c r="G646" s="1304"/>
      <c r="H646" s="1304">
        <f>IFERROR(Model!H646/Model!D646-1,"NA")</f>
        <v>-3.1704095112285335E-2</v>
      </c>
      <c r="I646" s="1304">
        <f>IFERROR(Model!I646/Model!E646-1,"NA")</f>
        <v>0.20760233918128645</v>
      </c>
      <c r="J646" s="1304">
        <f>IFERROR(Model!J646/Model!F646-1,"NA")</f>
        <v>-0.88766114180478817</v>
      </c>
      <c r="K646" s="1304">
        <f>IFERROR(Model!K646/Model!G646-1,"NA")</f>
        <v>-0.84643114635904837</v>
      </c>
      <c r="L646" s="1304">
        <f>IFERROR(Model!L646/Model!H646-1,"NA")</f>
        <v>-0.79809004092769442</v>
      </c>
      <c r="M646" s="1304">
        <f>IFERROR(Model!M646/Model!I646-1,"NA")</f>
        <v>7.4067796610169498</v>
      </c>
      <c r="N646" s="1304">
        <f>IFERROR(Model!N646/Model!J646-1,"NA")</f>
        <v>12.21311475409836</v>
      </c>
      <c r="O646" s="1304">
        <f>IFERROR(Model!O646/Model!K646-1,"NA")</f>
        <v>12.164319248826292</v>
      </c>
      <c r="P646" s="1304">
        <f>IFERROR(Model!P646/Model!L646-1,"NA")</f>
        <v>-5.1216216216216219</v>
      </c>
      <c r="Q646" s="1304">
        <f>IFERROR(Model!Q646/Model!M646-1,"NA")</f>
        <v>-1.2353110599078341</v>
      </c>
      <c r="R646" s="1304">
        <f>IFERROR(Model!R646/Model!N646-1,"NA")</f>
        <v>-1.5446650124069479</v>
      </c>
      <c r="S646" s="1304">
        <f>IFERROR(Model!S646/Model!O646-1,"NA")</f>
        <v>-1.5674037089871611</v>
      </c>
      <c r="T646" s="1304">
        <f>IFERROR(Model!T646/Model!P646-1,"NA")</f>
        <v>0.14098360655737707</v>
      </c>
      <c r="U646" s="1304">
        <f>IFERROR(Model!U646/Model!Q646-1,"NA")</f>
        <v>-1.1517747858017136</v>
      </c>
      <c r="V646" s="1304">
        <f>IFERROR(Model!V646/Model!R646-1,"NA")</f>
        <v>-1.3439635535307517</v>
      </c>
      <c r="W646" s="1304">
        <f>IFERROR(Model!W646/Model!S646-1,"NA")</f>
        <v>-1.169076052796983</v>
      </c>
      <c r="X646" s="1304">
        <f>IFERROR(Model!X646/Model!T646-1,"NA")</f>
        <v>-0.90373563218390807</v>
      </c>
      <c r="Y646" s="1304">
        <f>IFERROR(Model!Y646/Model!U646-1,"NA")</f>
        <v>1.7016129032258065</v>
      </c>
      <c r="Z646" s="1304">
        <f>IFERROR(Model!Z646/Model!V646-1,"NA")</f>
        <v>1.0397350993377485</v>
      </c>
      <c r="AA646" s="1304">
        <f>IFERROR(Model!AA646/Model!W646-1,"NA")</f>
        <v>-0.60594795539033464</v>
      </c>
      <c r="AB646" s="1304">
        <f>IFERROR(Model!AB646/Model!X646-1,"NA")</f>
        <v>-3.2388059701492535</v>
      </c>
      <c r="AC646" s="1304">
        <f>IFERROR(Model!AC646/Model!Y646-1,"NA")</f>
        <v>-0.4864448955223879</v>
      </c>
      <c r="AD646" s="1304">
        <f>IFERROR(Model!AD646/Model!Z646-1,"NA")</f>
        <v>-0.44833013326810145</v>
      </c>
      <c r="AE646" s="1304">
        <f>IFERROR(Model!AE646/Model!AA646-1,"NA")</f>
        <v>0.6584615825794784</v>
      </c>
      <c r="AF646" s="1304">
        <f>IFERROR(Model!AF646/Model!AB646-1,"NA")</f>
        <v>-0.10454826399178085</v>
      </c>
      <c r="AG646" s="1304">
        <f>IFERROR(Model!AG646/Model!AC646-1,"NA")</f>
        <v>-0.25988956421841525</v>
      </c>
      <c r="AH646" s="1304">
        <f>IFERROR(Model!AH646/Model!AD646-1,"NA")</f>
        <v>-0.28291867684780392</v>
      </c>
      <c r="AI646" s="1304">
        <f>IFERROR(Model!AI646/Model!AE646-1,"NA")</f>
        <v>-0.34364473958586705</v>
      </c>
      <c r="AJ646" s="1304"/>
      <c r="AK646" s="1304"/>
      <c r="AL646" s="1304"/>
      <c r="AM646" s="1304"/>
      <c r="AN646" s="1304"/>
      <c r="AO646" s="1304"/>
      <c r="AP646" s="1304"/>
      <c r="AQ646" s="1304"/>
      <c r="AR646" s="1236"/>
      <c r="AS646" s="1248"/>
      <c r="AT646" s="1248"/>
      <c r="AU646" s="1304"/>
      <c r="AV646" s="1304">
        <f>IFERROR(Model!AV646/Model!AU646-1,"NA")</f>
        <v>-0.53119841531858691</v>
      </c>
      <c r="AW646" s="1304">
        <f>IFERROR(Model!AW646/Model!AV646-1,"NA")</f>
        <v>4.091549295774648</v>
      </c>
      <c r="AX646" s="1304">
        <f>IFERROR(Model!AX646/Model!AW646-1,"NA")</f>
        <v>-1.4781466113416322</v>
      </c>
      <c r="AY646" s="1304">
        <f>IFERROR(Model!AY646/Model!AX646-1,"NA")</f>
        <v>-0.95603124096037029</v>
      </c>
      <c r="AZ646" s="1304">
        <f>IFERROR(Model!AZ646/Model!AY646-1,"NA")</f>
        <v>-5.4868421052631575</v>
      </c>
      <c r="BA646" s="1304">
        <f>IFERROR(Model!BA646/Model!AZ646-1,"NA")</f>
        <v>-2.0891192511950374E-2</v>
      </c>
      <c r="BB646" s="1304">
        <f>IFERROR(Model!BB646/Model!BA646-1,"NA")</f>
        <v>-0.2529044633298293</v>
      </c>
      <c r="BC646" s="1304">
        <f>IFERROR(Model!BC646/Model!BB646-1,"NA")</f>
        <v>-0.20645874617514326</v>
      </c>
      <c r="BD646" s="1304">
        <f>IFERROR(Model!BD646/Model!BC646-1,"NA")</f>
        <v>-0.20442590185895138</v>
      </c>
      <c r="BE646" s="1304">
        <f>IFERROR(Model!BE646/Model!BD646-1,"NA")</f>
        <v>-0.20625256868807662</v>
      </c>
    </row>
    <row r="647" spans="1:57" x14ac:dyDescent="0.2">
      <c r="B647" s="322"/>
      <c r="C647" s="387"/>
      <c r="D647" s="1303"/>
      <c r="E647" s="1303"/>
      <c r="F647" s="1303"/>
      <c r="G647" s="1303"/>
      <c r="H647" s="1303"/>
      <c r="I647" s="1303"/>
      <c r="J647" s="1303"/>
      <c r="K647" s="1303"/>
      <c r="L647" s="1303"/>
      <c r="M647" s="1303"/>
      <c r="N647" s="1303"/>
      <c r="O647" s="1303"/>
      <c r="P647" s="1303"/>
      <c r="Q647" s="1303"/>
      <c r="R647" s="1303"/>
      <c r="S647" s="1303"/>
      <c r="T647" s="1303"/>
      <c r="U647" s="1303"/>
      <c r="V647" s="1303"/>
      <c r="W647" s="1303"/>
      <c r="X647" s="1303"/>
      <c r="Y647" s="1303"/>
      <c r="Z647" s="1303"/>
      <c r="AA647" s="1303"/>
      <c r="AB647" s="1303"/>
      <c r="AC647" s="407"/>
      <c r="AD647" s="407"/>
      <c r="AE647" s="407"/>
      <c r="AF647" s="407"/>
      <c r="AG647" s="407"/>
      <c r="AH647" s="407"/>
      <c r="AI647" s="407"/>
      <c r="AJ647" s="407"/>
      <c r="AK647" s="407"/>
      <c r="AL647" s="407"/>
      <c r="AM647" s="407"/>
      <c r="AN647" s="407"/>
      <c r="AO647" s="407"/>
      <c r="AP647" s="407"/>
      <c r="AQ647" s="407"/>
      <c r="AR647" s="1236"/>
      <c r="AS647" s="1248"/>
      <c r="AT647" s="1248"/>
      <c r="AU647" s="1236"/>
      <c r="AV647" s="1236"/>
      <c r="AW647" s="1236"/>
      <c r="AX647" s="1236"/>
      <c r="AY647" s="1236"/>
      <c r="AZ647" s="1236"/>
      <c r="BA647" s="1236"/>
      <c r="BB647" s="407"/>
      <c r="BC647" s="407"/>
      <c r="BD647" s="407"/>
      <c r="BE647" s="407"/>
    </row>
    <row r="648" spans="1:57" x14ac:dyDescent="0.2">
      <c r="B648" s="322" t="s">
        <v>252</v>
      </c>
      <c r="C648" s="387"/>
      <c r="D648" s="1303"/>
      <c r="E648" s="1303"/>
      <c r="F648" s="1303"/>
      <c r="G648" s="1303"/>
      <c r="H648" s="1303">
        <f>IFERROR(Model!H648/Model!D648-1,"NA")</f>
        <v>-0.38775510204081631</v>
      </c>
      <c r="I648" s="1303">
        <f>IFERROR(Model!I648/Model!E648-1,"NA")</f>
        <v>-0.5787234042553191</v>
      </c>
      <c r="J648" s="1303">
        <f>IFERROR(Model!J648/Model!F648-1,"NA")</f>
        <v>-0.78847611827141773</v>
      </c>
      <c r="K648" s="1303">
        <f>IFERROR(Model!K648/Model!G648-1,"NA")</f>
        <v>-0.62354651162790697</v>
      </c>
      <c r="L648" s="1303">
        <f>IFERROR(Model!L648/Model!H648-1,"NA")</f>
        <v>-0.478494623655914</v>
      </c>
      <c r="M648" s="1303">
        <f>IFERROR(Model!M648/Model!I648-1,"NA")</f>
        <v>-0.20538720538720534</v>
      </c>
      <c r="N648" s="1303">
        <f>IFERROR(Model!N648/Model!J648-1,"NA")</f>
        <v>0.79569892473118276</v>
      </c>
      <c r="O648" s="1303">
        <f>IFERROR(Model!O648/Model!K648-1,"NA")</f>
        <v>-0.12934362934362931</v>
      </c>
      <c r="P648" s="1303">
        <f>IFERROR(Model!P648/Model!L648-1,"NA")</f>
        <v>-4.9484536082474273E-2</v>
      </c>
      <c r="Q648" s="1303">
        <f>IFERROR(Model!Q648/Model!M648-1,"NA")</f>
        <v>-0.34110169491525422</v>
      </c>
      <c r="R648" s="1303">
        <f>IFERROR(Model!R648/Model!N648-1,"NA")</f>
        <v>-0.51497005988023958</v>
      </c>
      <c r="S648" s="1303">
        <f>IFERROR(Model!S648/Model!O648-1,"NA")</f>
        <v>3.5476718403547602E-2</v>
      </c>
      <c r="T648" s="1303">
        <f>IFERROR(Model!T648/Model!P648-1,"NA")</f>
        <v>-0.63123644251626898</v>
      </c>
      <c r="U648" s="1303">
        <f>IFERROR(Model!U648/Model!Q648-1,"NA")</f>
        <v>-1.315112540192926</v>
      </c>
      <c r="V648" s="1303">
        <f>IFERROR(Model!V648/Model!R648-1,"NA")</f>
        <v>-0.92592592592592593</v>
      </c>
      <c r="W648" s="1303">
        <f>IFERROR(Model!W648/Model!S648-1,"NA")</f>
        <v>-1.044967880085653</v>
      </c>
      <c r="X648" s="1303">
        <f>IFERROR(Model!X648/Model!T648-1,"NA")</f>
        <v>-0.69411764705882351</v>
      </c>
      <c r="Y648" s="1303">
        <f>IFERROR(Model!Y648/Model!U648-1,"NA")</f>
        <v>0.34693877551020402</v>
      </c>
      <c r="Z648" s="1303">
        <f>IFERROR(Model!Z648/Model!V648-1,"NA")</f>
        <v>-3.7777777777777777</v>
      </c>
      <c r="AA648" s="1303">
        <f>IFERROR(Model!AA648/Model!W648-1,"NA")</f>
        <v>1.1428571428571428</v>
      </c>
      <c r="AB648" s="1303">
        <f>IFERROR(Model!AB648/Model!X648-1,"NA")</f>
        <v>-1.1346153846153846</v>
      </c>
      <c r="AC648" s="407">
        <f>IFERROR(Model!AC648/Model!Y648-1,"NA")</f>
        <v>-1.3985263594852637</v>
      </c>
      <c r="AD648" s="407">
        <f>IFERROR(Model!AD648/Model!Z648-1,"NA")</f>
        <v>-2.0066312328767122</v>
      </c>
      <c r="AE648" s="407">
        <f>IFERROR(Model!AE648/Model!AA648-1,"NA")</f>
        <v>-2.0586987519025879</v>
      </c>
      <c r="AF648" s="407">
        <f>IFERROR(Model!AF648/Model!AB648-1,"NA")</f>
        <v>-7.2279297260273969</v>
      </c>
      <c r="AG648" s="407">
        <f>IFERROR(Model!AG648/Model!AC648-1,"NA")</f>
        <v>-0.21591928436018959</v>
      </c>
      <c r="AH648" s="407">
        <f>IFERROR(Model!AH648/Model!AD648-1,"NA")</f>
        <v>-0.21733112226656981</v>
      </c>
      <c r="AI648" s="407">
        <f>IFERROR(Model!AI648/Model!AE648-1,"NA")</f>
        <v>-0.21847340725132258</v>
      </c>
      <c r="AJ648" s="407"/>
      <c r="AK648" s="407"/>
      <c r="AL648" s="407"/>
      <c r="AM648" s="407"/>
      <c r="AN648" s="407"/>
      <c r="AO648" s="407"/>
      <c r="AP648" s="407"/>
      <c r="AQ648" s="407"/>
      <c r="AR648" s="1236"/>
      <c r="AS648" s="1248"/>
      <c r="AT648" s="1248"/>
      <c r="AU648" s="1236"/>
      <c r="AV648" s="1236">
        <f>IFERROR(Model!AV648/Model!AU648-1,"NA")</f>
        <v>-0.58730440967283071</v>
      </c>
      <c r="AW648" s="1236">
        <f>IFERROR(Model!AW648/Model!AV648-1,"NA")</f>
        <v>-0.17750969409737183</v>
      </c>
      <c r="AX648" s="1236">
        <f>IFERROR(Model!AX648/Model!AW648-1,"NA")</f>
        <v>-0.22367731796752222</v>
      </c>
      <c r="AY648" s="1236">
        <f>IFERROR(Model!AY648/Model!AX648-1,"NA")</f>
        <v>-0.95344129554655865</v>
      </c>
      <c r="AZ648" s="1236">
        <f>IFERROR(Model!AZ648/Model!AY648-1,"NA")</f>
        <v>-3.5362318840579712</v>
      </c>
      <c r="BA648" s="1236">
        <f>IFERROR(Model!BA648/Model!AZ648-1,"NA")</f>
        <v>-1.8204484853228964</v>
      </c>
      <c r="BB648" s="407">
        <f>IFERROR(Model!BB648/Model!BA648-1,"NA")</f>
        <v>0.12460061321437044</v>
      </c>
      <c r="BC648" s="407">
        <f>IFERROR(Model!BC648/Model!BB648-1,"NA")</f>
        <v>-0.21039171539309287</v>
      </c>
      <c r="BD648" s="407">
        <f>IFERROR(Model!BD648/Model!BC648-1,"NA")</f>
        <v>-0.20825077733078323</v>
      </c>
      <c r="BE648" s="407">
        <f>IFERROR(Model!BE648/Model!BD648-1,"NA")</f>
        <v>-0.20625256868807629</v>
      </c>
    </row>
    <row r="649" spans="1:57" x14ac:dyDescent="0.2">
      <c r="B649" s="322"/>
      <c r="C649" s="322" t="s">
        <v>224</v>
      </c>
      <c r="D649" s="1303"/>
      <c r="E649" s="1303"/>
      <c r="F649" s="1303"/>
      <c r="G649" s="1303"/>
      <c r="H649" s="1303">
        <f>IFERROR(Model!H649/Model!D649-1,"NA")</f>
        <v>-0.41973333333333329</v>
      </c>
      <c r="I649" s="1303">
        <f>IFERROR(Model!I649/Model!E649-1,"NA")</f>
        <v>-0.39770425388251185</v>
      </c>
      <c r="J649" s="1303">
        <f>IFERROR(Model!J649/Model!F649-1,"NA")</f>
        <v>-0.5974554707379135</v>
      </c>
      <c r="K649" s="1303">
        <f>IFERROR(Model!K649/Model!G649-1,"NA")</f>
        <v>-0.21334503950834061</v>
      </c>
      <c r="L649" s="1303">
        <f>IFERROR(Model!L649/Model!H649-1,"NA")</f>
        <v>-0.390625</v>
      </c>
      <c r="M649" s="1303">
        <f>IFERROR(Model!M649/Model!I649-1,"NA")</f>
        <v>-0.40695067264573992</v>
      </c>
      <c r="N649" s="1303">
        <f>IFERROR(Model!N649/Model!J649-1,"NA")</f>
        <v>-0.38685208596713017</v>
      </c>
      <c r="O649" s="1303">
        <f>IFERROR(Model!O649/Model!K649-1,"NA")</f>
        <v>-0.4363839285714286</v>
      </c>
      <c r="P649" s="1303">
        <f>IFERROR(Model!P649/Model!L649-1,"NA")</f>
        <v>-0.29411764705882348</v>
      </c>
      <c r="Q649" s="1303">
        <f>IFERROR(Model!Q649/Model!M649-1,"NA")</f>
        <v>-0.36862003780718333</v>
      </c>
      <c r="R649" s="1303">
        <f>IFERROR(Model!R649/Model!N649-1,"NA")</f>
        <v>-0.43711340206185567</v>
      </c>
      <c r="S649" s="1303">
        <f>IFERROR(Model!S649/Model!O649-1,"NA")</f>
        <v>-0.48316831683168315</v>
      </c>
      <c r="T649" s="1303">
        <f>IFERROR(Model!T649/Model!P649-1,"NA")</f>
        <v>-0.69658119658119655</v>
      </c>
      <c r="U649" s="1303">
        <f>IFERROR(Model!U649/Model!Q649-1,"NA")</f>
        <v>-0.69760479041916168</v>
      </c>
      <c r="V649" s="1303">
        <f>IFERROR(Model!V649/Model!R649-1,"NA")</f>
        <v>-0.52014652014652007</v>
      </c>
      <c r="W649" s="1303">
        <f>IFERROR(Model!W649/Model!S649-1,"NA")</f>
        <v>-0.76628352490421459</v>
      </c>
      <c r="X649" s="1303">
        <f>IFERROR(Model!X649/Model!T649-1,"NA")</f>
        <v>-0.42957746478873238</v>
      </c>
      <c r="Y649" s="1303">
        <f>IFERROR(Model!Y649/Model!U649-1,"NA")</f>
        <v>-0.76237623762376239</v>
      </c>
      <c r="Z649" s="1303">
        <f>IFERROR(Model!Z649/Model!V649-1,"NA")</f>
        <v>-0.77862595419847325</v>
      </c>
      <c r="AA649" s="1303">
        <f>IFERROR(Model!AA649/Model!W649-1,"NA")</f>
        <v>-0.75409836065573765</v>
      </c>
      <c r="AB649" s="1303">
        <f>IFERROR(Model!AB649/Model!X649-1,"NA")</f>
        <v>-0.67901234567901236</v>
      </c>
      <c r="AC649" s="407">
        <f>IFERROR(Model!AC649/Model!Y649-1,"NA")</f>
        <v>1.1918949771689498</v>
      </c>
      <c r="AD649" s="407">
        <f>IFERROR(Model!AD649/Model!Z649-1,"NA")</f>
        <v>0.73557109116674546</v>
      </c>
      <c r="AE649" s="407">
        <f>IFERROR(Model!AE649/Model!AA649-1,"NA")</f>
        <v>2.1760962557077628</v>
      </c>
      <c r="AF649" s="407">
        <f>IFERROR(Model!AF649/Model!AB649-1,"NA")</f>
        <v>0.67675031085352999</v>
      </c>
      <c r="AG649" s="407">
        <f>IFERROR(Model!AG649/Model!AC649-1,"NA")</f>
        <v>-0.21591928436018959</v>
      </c>
      <c r="AH649" s="407">
        <f>IFERROR(Model!AH649/Model!AD649-1,"NA")</f>
        <v>-0.21733112226656981</v>
      </c>
      <c r="AI649" s="407">
        <f>IFERROR(Model!AI649/Model!AE649-1,"NA")</f>
        <v>-0.21847340725132258</v>
      </c>
      <c r="AJ649" s="407"/>
      <c r="AK649" s="407"/>
      <c r="AL649" s="407"/>
      <c r="AM649" s="407"/>
      <c r="AN649" s="407"/>
      <c r="AO649" s="407"/>
      <c r="AP649" s="407"/>
      <c r="AQ649" s="407"/>
      <c r="AR649" s="1236"/>
      <c r="AS649" s="1248"/>
      <c r="AT649" s="1248"/>
      <c r="AU649" s="1236"/>
      <c r="AV649" s="1236">
        <f>IFERROR(Model!AV649/Model!AU649-1,"NA")</f>
        <v>-0.43235294117647061</v>
      </c>
      <c r="AW649" s="1236">
        <f>IFERROR(Model!AW649/Model!AV649-1,"NA")</f>
        <v>-0.40496318516498497</v>
      </c>
      <c r="AX649" s="1236">
        <f>IFERROR(Model!AX649/Model!AW649-1,"NA")</f>
        <v>-0.38771769019248392</v>
      </c>
      <c r="AY649" s="1236">
        <f>IFERROR(Model!AY649/Model!AX649-1,"NA")</f>
        <v>-0.67440119760479034</v>
      </c>
      <c r="AZ649" s="1236">
        <f>IFERROR(Model!AZ649/Model!AY649-1,"NA")</f>
        <v>-0.65747126436781611</v>
      </c>
      <c r="BA649" s="1236">
        <f>IFERROR(Model!BA649/Model!AZ649-1,"NA")</f>
        <v>0.18509050289601925</v>
      </c>
      <c r="BB649" s="407">
        <f>IFERROR(Model!BB649/Model!BA649-1,"NA")</f>
        <v>-8.5571199339517734E-2</v>
      </c>
      <c r="BC649" s="407">
        <f>IFERROR(Model!BC649/Model!BB649-1,"NA")</f>
        <v>-0.21039171539309287</v>
      </c>
      <c r="BD649" s="407">
        <f>IFERROR(Model!BD649/Model!BC649-1,"NA")</f>
        <v>-0.20825077733078323</v>
      </c>
      <c r="BE649" s="407">
        <f>IFERROR(Model!BE649/Model!BD649-1,"NA")</f>
        <v>-0.20625256868807629</v>
      </c>
    </row>
    <row r="650" spans="1:57" x14ac:dyDescent="0.2">
      <c r="B650" s="322"/>
      <c r="C650" s="322" t="s">
        <v>243</v>
      </c>
      <c r="D650" s="1304"/>
      <c r="E650" s="1304"/>
      <c r="F650" s="1304"/>
      <c r="G650" s="1304"/>
      <c r="H650" s="1304">
        <f>IFERROR(Model!H650/Model!D650-1,"NA")</f>
        <v>-0.5561797752808989</v>
      </c>
      <c r="I650" s="1304">
        <f>IFERROR(Model!I650/Model!E650-1,"NA")</f>
        <v>3.197183098591549</v>
      </c>
      <c r="J650" s="1304">
        <f>IFERROR(Model!J650/Model!F650-1,"NA")</f>
        <v>-0.20743034055727549</v>
      </c>
      <c r="K650" s="1304">
        <f>IFERROR(Model!K650/Model!G650-1,"NA")</f>
        <v>-2.5949367088607596</v>
      </c>
      <c r="L650" s="1304">
        <f>IFERROR(Model!L650/Model!H650-1,"NA")</f>
        <v>0.12658227848101267</v>
      </c>
      <c r="M650" s="1304">
        <f>IFERROR(Model!M650/Model!I650-1,"NA")</f>
        <v>-0.8087248322147651</v>
      </c>
      <c r="N650" s="1304">
        <f>IFERROR(Model!N650/Model!J650-1,"NA")</f>
        <v>-1.03125</v>
      </c>
      <c r="O650" s="1304">
        <f>IFERROR(Model!O650/Model!K650-1,"NA")</f>
        <v>-0.85714285714285721</v>
      </c>
      <c r="P650" s="1304">
        <f>IFERROR(Model!P650/Model!L650-1,"NA")</f>
        <v>-0.9606741573033708</v>
      </c>
      <c r="Q650" s="1304">
        <f>IFERROR(Model!Q650/Model!M650-1,"NA")</f>
        <v>-0.59649122807017552</v>
      </c>
      <c r="R650" s="1304">
        <f>IFERROR(Model!R650/Model!N650-1,"NA")</f>
        <v>-2.875</v>
      </c>
      <c r="S650" s="1304">
        <f>IFERROR(Model!S650/Model!O650-1,"NA")</f>
        <v>-4.8148148148148149</v>
      </c>
      <c r="T650" s="1304">
        <f>IFERROR(Model!T650/Model!P650-1,"NA")</f>
        <v>-5</v>
      </c>
      <c r="U650" s="1304">
        <f>IFERROR(Model!U650/Model!Q650-1,"NA")</f>
        <v>7.6521739130434785</v>
      </c>
      <c r="V650" s="1304">
        <f>IFERROR(Model!V650/Model!R650-1,"NA")</f>
        <v>2.7666666666666666</v>
      </c>
      <c r="W650" s="1304">
        <f>IFERROR(Model!W650/Model!S650-1,"NA")</f>
        <v>-1.3980582524271845</v>
      </c>
      <c r="X650" s="1304">
        <f>IFERROR(Model!X650/Model!T650-1,"NA")</f>
        <v>-2.0357142857142856</v>
      </c>
      <c r="Y650" s="1304">
        <f>IFERROR(Model!Y650/Model!U650-1,"NA")</f>
        <v>-0.2160804020100503</v>
      </c>
      <c r="Z650" s="1304">
        <f>IFERROR(Model!Z650/Model!V650-1,"NA")</f>
        <v>-0.30088495575221241</v>
      </c>
      <c r="AA650" s="1304">
        <f>IFERROR(Model!AA650/Model!W650-1,"NA")</f>
        <v>-0.26829268292682928</v>
      </c>
      <c r="AB650" s="1304">
        <f>IFERROR(Model!AB650/Model!X650-1,"NA")</f>
        <v>0.13793103448275867</v>
      </c>
      <c r="AC650" s="1304">
        <f>IFERROR(Model!AC650/Model!Y650-1,"NA")</f>
        <v>-1</v>
      </c>
      <c r="AD650" s="1304">
        <f>IFERROR(Model!AD650/Model!Z650-1,"NA")</f>
        <v>-1</v>
      </c>
      <c r="AE650" s="1304">
        <f>IFERROR(Model!AE650/Model!AA650-1,"NA")</f>
        <v>-1</v>
      </c>
      <c r="AF650" s="1304">
        <f>IFERROR(Model!AF650/Model!AB650-1,"NA")</f>
        <v>-1</v>
      </c>
      <c r="AG650" s="1304" t="str">
        <f>IFERROR(Model!AG650/Model!AC650-1,"NA")</f>
        <v>NA</v>
      </c>
      <c r="AH650" s="1304" t="str">
        <f>IFERROR(Model!AH650/Model!AD650-1,"NA")</f>
        <v>NA</v>
      </c>
      <c r="AI650" s="1304" t="str">
        <f>IFERROR(Model!AI650/Model!AE650-1,"NA")</f>
        <v>NA</v>
      </c>
      <c r="AJ650" s="1304"/>
      <c r="AK650" s="1304"/>
      <c r="AL650" s="1304"/>
      <c r="AM650" s="1304"/>
      <c r="AN650" s="1304"/>
      <c r="AO650" s="1304"/>
      <c r="AP650" s="1304"/>
      <c r="AQ650" s="1304"/>
      <c r="AR650" s="1236"/>
      <c r="AS650" s="1248"/>
      <c r="AT650" s="1248"/>
      <c r="AU650" s="1236"/>
      <c r="AV650" s="1236">
        <f>IFERROR(Model!AV650/Model!AU650-1,"NA")</f>
        <v>0.61004784688995217</v>
      </c>
      <c r="AW650" s="1236">
        <f>IFERROR(Model!AW650/Model!AV650-1,"NA")</f>
        <v>-0.79717682020802383</v>
      </c>
      <c r="AX650" s="1236">
        <f>IFERROR(Model!AX650/Model!AW650-1,"NA")</f>
        <v>-1.5347985347985347</v>
      </c>
      <c r="AY650" s="1236">
        <f>IFERROR(Model!AY650/Model!AX650-1,"NA")</f>
        <v>-3.506849315068493</v>
      </c>
      <c r="AZ650" s="1236">
        <f>IFERROR(Model!AZ650/Model!AY650-1,"NA")</f>
        <v>-0.11475409836065575</v>
      </c>
      <c r="BA650" s="1236">
        <f>IFERROR(Model!BA650/Model!AZ650-1,"NA")</f>
        <v>-0.89814814814814814</v>
      </c>
      <c r="BB650" s="1304">
        <f>IFERROR(Model!BB650/Model!BA650-1,"NA")</f>
        <v>-1</v>
      </c>
      <c r="BC650" s="1304" t="str">
        <f>IFERROR(Model!BC650/Model!BB650-1,"NA")</f>
        <v>NA</v>
      </c>
      <c r="BD650" s="1304" t="str">
        <f>IFERROR(Model!BD650/Model!BC650-1,"NA")</f>
        <v>NA</v>
      </c>
      <c r="BE650" s="1304" t="str">
        <f>IFERROR(Model!BE650/Model!BD650-1,"NA")</f>
        <v>NA</v>
      </c>
    </row>
    <row r="651" spans="1:57" x14ac:dyDescent="0.2">
      <c r="B651" s="322"/>
      <c r="C651" s="322"/>
      <c r="D651" s="1304"/>
      <c r="E651" s="1304"/>
      <c r="F651" s="1304"/>
      <c r="G651" s="1304"/>
      <c r="H651" s="1304"/>
      <c r="I651" s="1304"/>
      <c r="J651" s="1304"/>
      <c r="K651" s="1304"/>
      <c r="L651" s="1304"/>
      <c r="M651" s="1304"/>
      <c r="N651" s="1304"/>
      <c r="O651" s="1304"/>
      <c r="P651" s="1304"/>
      <c r="Q651" s="1304"/>
      <c r="R651" s="1304"/>
      <c r="S651" s="1304"/>
      <c r="T651" s="1304"/>
      <c r="U651" s="1304"/>
      <c r="V651" s="1304"/>
      <c r="W651" s="1304"/>
      <c r="X651" s="1304"/>
      <c r="Y651" s="1304"/>
      <c r="Z651" s="1304"/>
      <c r="AA651" s="1304"/>
      <c r="AB651" s="1304"/>
      <c r="AC651" s="407"/>
      <c r="AD651" s="407"/>
      <c r="AE651" s="407"/>
      <c r="AF651" s="407"/>
      <c r="AG651" s="407"/>
      <c r="AH651" s="407"/>
      <c r="AI651" s="407"/>
      <c r="AJ651" s="407"/>
      <c r="AK651" s="407"/>
      <c r="AL651" s="407"/>
      <c r="AM651" s="407"/>
      <c r="AN651" s="407"/>
      <c r="AO651" s="407"/>
      <c r="AP651" s="407"/>
      <c r="AQ651" s="407"/>
      <c r="AR651" s="1236"/>
      <c r="AS651" s="1248"/>
      <c r="AT651" s="1248"/>
      <c r="AU651" s="1236"/>
      <c r="AV651" s="1236"/>
      <c r="AW651" s="1236"/>
      <c r="AX651" s="1236"/>
      <c r="AY651" s="1236"/>
      <c r="AZ651" s="1236"/>
      <c r="BA651" s="1236"/>
      <c r="BB651" s="407"/>
      <c r="BC651" s="407"/>
      <c r="BD651" s="407"/>
      <c r="BE651" s="407"/>
    </row>
    <row r="652" spans="1:57" x14ac:dyDescent="0.2">
      <c r="A652" s="830"/>
      <c r="B652" s="581" t="s">
        <v>548</v>
      </c>
      <c r="C652" s="582"/>
      <c r="D652" s="1278"/>
      <c r="E652" s="1278"/>
      <c r="F652" s="1278"/>
      <c r="G652" s="1278"/>
      <c r="H652" s="1278">
        <f>IFERROR(Model!H652/Model!D652-1,"NA")</f>
        <v>-0.26933216168717045</v>
      </c>
      <c r="I652" s="1278">
        <f>IFERROR(Model!I652/Model!E652-1,"NA")</f>
        <v>-0.42522831050228316</v>
      </c>
      <c r="J652" s="1278">
        <f>IFERROR(Model!J652/Model!F652-1,"NA")</f>
        <v>-0.81740064446831362</v>
      </c>
      <c r="K652" s="1278">
        <f>IFERROR(Model!K652/Model!G652-1,"NA")</f>
        <v>-0.7354325009048136</v>
      </c>
      <c r="L652" s="1278">
        <f>IFERROR(Model!L652/Model!H652-1,"NA")</f>
        <v>-0.61936259771497293</v>
      </c>
      <c r="M652" s="1278">
        <f>IFERROR(Model!M652/Model!I652-1,"NA")</f>
        <v>2.9165839126117179</v>
      </c>
      <c r="N652" s="1278">
        <f>IFERROR(Model!N652/Model!J652-1,"NA")</f>
        <v>2.8441176470588236</v>
      </c>
      <c r="O652" s="1278">
        <f>IFERROR(Model!O652/Model!K652-1,"NA")</f>
        <v>3.4528043775649797</v>
      </c>
      <c r="P652" s="1278">
        <f>IFERROR(Model!P652/Model!L652-1,"NA")</f>
        <v>-1.235387045813586</v>
      </c>
      <c r="Q652" s="1278">
        <f>IFERROR(Model!Q652/Model!M652-1,"NA")</f>
        <v>-1.1282961460446248</v>
      </c>
      <c r="R652" s="1278">
        <f>IFERROR(Model!R652/Model!N652-1,"NA")</f>
        <v>-1.1499617444529457</v>
      </c>
      <c r="S652" s="1278">
        <f>IFERROR(Model!S652/Model!O652-1,"NA")</f>
        <v>-1.3453149001536098</v>
      </c>
      <c r="T652" s="1278">
        <f>IFERROR(Model!T652/Model!P652-1,"NA")</f>
        <v>2.5302013422818792</v>
      </c>
      <c r="U652" s="1278">
        <f>IFERROR(Model!U652/Model!Q652-1,"NA")</f>
        <v>-1.0513833992094861</v>
      </c>
      <c r="V652" s="1278">
        <f>IFERROR(Model!V652/Model!R652-1,"NA")</f>
        <v>-1.8622448979591837</v>
      </c>
      <c r="W652" s="1278">
        <f>IFERROR(Model!W652/Model!S652-1,"NA")</f>
        <v>-1.2206405693950177</v>
      </c>
      <c r="X652" s="1278">
        <f>IFERROR(Model!X652/Model!T652-1,"NA")</f>
        <v>-0.97148288973384034</v>
      </c>
      <c r="Y652" s="1278">
        <f>IFERROR(Model!Y652/Model!U652-1,"NA")</f>
        <v>6.8076923076923075</v>
      </c>
      <c r="Z652" s="1278">
        <f>IFERROR(Model!Z652/Model!V652-1,"NA")</f>
        <v>0.52662721893491127</v>
      </c>
      <c r="AA652" s="1278">
        <f>IFERROR(Model!AA652/Model!W652-1,"NA")</f>
        <v>-0.75403225806451613</v>
      </c>
      <c r="AB652" s="1278">
        <f>IFERROR(Model!AB652/Model!X652-1,"NA")</f>
        <v>-10.533333333333333</v>
      </c>
      <c r="AC652" s="1278">
        <f>IFERROR(Model!AC652/Model!Y652-1,"NA")</f>
        <v>0.10663270666036873</v>
      </c>
      <c r="AD652" s="1278">
        <f>IFERROR(Model!AD652/Model!Z652-1,"NA")</f>
        <v>-0.1463337961346497</v>
      </c>
      <c r="AE652" s="1278">
        <f>IFERROR(Model!AE652/Model!AA652-1,"NA")</f>
        <v>2.6629241244105106</v>
      </c>
      <c r="AF652" s="1278">
        <f>IFERROR(Model!AF652/Model!AB652-1,"NA")</f>
        <v>0.24414873065331921</v>
      </c>
      <c r="AG652" s="1278">
        <f>IFERROR(Model!AG652/Model!AC652-1,"NA")</f>
        <v>-0.24959303933591581</v>
      </c>
      <c r="AH652" s="1278">
        <f>IFERROR(Model!AH652/Model!AD652-1,"NA")</f>
        <v>-0.26793031911996867</v>
      </c>
      <c r="AI652" s="1278">
        <f>IFERROR(Model!AI652/Model!AE652-1,"NA")</f>
        <v>-0.31695575614566573</v>
      </c>
      <c r="AJ652" s="1278"/>
      <c r="AK652" s="1278"/>
      <c r="AL652" s="1278"/>
      <c r="AM652" s="1278"/>
      <c r="AN652" s="1278"/>
      <c r="AO652" s="1278"/>
      <c r="AP652" s="1278"/>
      <c r="AQ652" s="1278"/>
      <c r="AR652" s="1236"/>
      <c r="AS652" s="1308"/>
      <c r="AT652" s="1308"/>
      <c r="AU652" s="1236"/>
      <c r="AV652" s="1236">
        <f>IFERROR(Model!AV652/Model!AU652-1,"NA")</f>
        <v>-0.56766439385184331</v>
      </c>
      <c r="AW652" s="1236">
        <f>IFERROR(Model!AW652/Model!AV652-1,"NA")</f>
        <v>1.442929697941727</v>
      </c>
      <c r="AX652" s="1236">
        <f>IFERROR(Model!AX652/Model!AW652-1,"NA")</f>
        <v>-1.2161067950541635</v>
      </c>
      <c r="AY652" s="1236">
        <f>IFERROR(Model!AY652/Model!AX652-1,"NA")</f>
        <v>-0.95797468354430382</v>
      </c>
      <c r="AZ652" s="1236">
        <f>IFERROR(Model!AZ652/Model!AY652-1,"NA")</f>
        <v>-7.1084337349397586</v>
      </c>
      <c r="BA652" s="1236">
        <f>IFERROR(Model!BA652/Model!AZ652-1,"NA")</f>
        <v>0.60025777443462802</v>
      </c>
      <c r="BB652" s="1278">
        <f>IFERROR(Model!BB652/Model!BA652-1,"NA")</f>
        <v>-0.18609864974139312</v>
      </c>
      <c r="BC652" s="1278">
        <f>IFERROR(Model!BC652/Model!BB652-1,"NA")</f>
        <v>-0.20742044382667557</v>
      </c>
      <c r="BD652" s="1278">
        <f>IFERROR(Model!BD652/Model!BC652-1,"NA")</f>
        <v>-0.20535766202261319</v>
      </c>
      <c r="BE652" s="1278">
        <f>IFERROR(Model!BE652/Model!BD652-1,"NA")</f>
        <v>-0.20625256868807651</v>
      </c>
    </row>
    <row r="653" spans="1:57" x14ac:dyDescent="0.2">
      <c r="A653" s="830"/>
      <c r="B653" s="581"/>
      <c r="C653" s="581" t="s">
        <v>132</v>
      </c>
      <c r="D653" s="1304"/>
      <c r="E653" s="1304"/>
      <c r="F653" s="1304"/>
      <c r="G653" s="1304"/>
      <c r="H653" s="1304">
        <f>IFERROR(Model!H653/Model!D653-1,"NA")</f>
        <v>-4.070556309362261E-3</v>
      </c>
      <c r="I653" s="1304">
        <f>IFERROR(Model!I653/Model!E653-1,"NA")</f>
        <v>-0.66343825665859568</v>
      </c>
      <c r="J653" s="1304">
        <f>IFERROR(Model!J653/Model!F653-1,"NA")</f>
        <v>-0.81134751773049651</v>
      </c>
      <c r="K653" s="1304">
        <f>IFERROR(Model!K653/Model!G653-1,"NA")</f>
        <v>-0.91590678824721383</v>
      </c>
      <c r="L653" s="1304">
        <f>IFERROR(Model!L653/Model!H653-1,"NA")</f>
        <v>-0.77384196185286103</v>
      </c>
      <c r="M653" s="1304">
        <f>IFERROR(Model!M653/Model!I653-1,"NA")</f>
        <v>-0.67625899280575541</v>
      </c>
      <c r="N653" s="1304">
        <f>IFERROR(Model!N653/Model!J653-1,"NA")</f>
        <v>-0.87969924812030076</v>
      </c>
      <c r="O653" s="1304">
        <f>IFERROR(Model!O653/Model!K653-1,"NA")</f>
        <v>2.0602409638554215</v>
      </c>
      <c r="P653" s="1304">
        <f>IFERROR(Model!P653/Model!L653-1,"NA")</f>
        <v>-0.40361445783132532</v>
      </c>
      <c r="Q653" s="1304">
        <f>IFERROR(Model!Q653/Model!M653-1,"NA")</f>
        <v>-0.71111111111111114</v>
      </c>
      <c r="R653" s="1304">
        <f>IFERROR(Model!R653/Model!N653-1,"NA")</f>
        <v>8.8125</v>
      </c>
      <c r="S653" s="1304">
        <f>IFERROR(Model!S653/Model!O653-1,"NA")</f>
        <v>-1.7283464566929134</v>
      </c>
      <c r="T653" s="1304">
        <f>IFERROR(Model!T653/Model!P653-1,"NA")</f>
        <v>-1.8181818181818183</v>
      </c>
      <c r="U653" s="1304">
        <f>IFERROR(Model!U653/Model!Q653-1,"NA")</f>
        <v>5.6538461538461542</v>
      </c>
      <c r="V653" s="1304">
        <f>IFERROR(Model!V653/Model!R653-1,"NA")</f>
        <v>-7.0063694267515908E-2</v>
      </c>
      <c r="W653" s="1304">
        <f>IFERROR(Model!W653/Model!S653-1,"NA")</f>
        <v>-2.2594594594594595</v>
      </c>
      <c r="X653" s="1304">
        <f>IFERROR(Model!X653/Model!T653-1,"NA")</f>
        <v>-2.1604938271604937</v>
      </c>
      <c r="Y653" s="1304">
        <f>IFERROR(Model!Y653/Model!U653-1,"NA")</f>
        <v>2.8901734104046284E-2</v>
      </c>
      <c r="Z653" s="1304">
        <f>IFERROR(Model!Z653/Model!V653-1,"NA")</f>
        <v>0.11643835616438358</v>
      </c>
      <c r="AA653" s="1304">
        <f>IFERROR(Model!AA653/Model!W653-1,"NA")</f>
        <v>12.283261802575108</v>
      </c>
      <c r="AB653" s="1304">
        <f>IFERROR(Model!AB653/Model!X653-1,"NA")</f>
        <v>-0.26595744680851063</v>
      </c>
      <c r="AC653" s="1304">
        <f>IFERROR(Model!AC653/Model!Y653-1,"NA")</f>
        <v>-0.70171298403470228</v>
      </c>
      <c r="AD653" s="1304">
        <f>IFERROR(Model!AD653/Model!Z653-1,"NA")</f>
        <v>-0.49870183684921077</v>
      </c>
      <c r="AE653" s="1304">
        <f>IFERROR(Model!AE653/Model!AA653-1,"NA")</f>
        <v>-0.97237296005551244</v>
      </c>
      <c r="AF653" s="1304">
        <f>IFERROR(Model!AF653/Model!AB653-1,"NA")</f>
        <v>-0.61670127658165752</v>
      </c>
      <c r="AG653" s="1304">
        <f>IFERROR(Model!AG653/Model!AC653-1,"NA")</f>
        <v>-0.39172936870344466</v>
      </c>
      <c r="AH653" s="1304">
        <f>IFERROR(Model!AH653/Model!AD653-1,"NA")</f>
        <v>-0.61063252791014733</v>
      </c>
      <c r="AI653" s="1304">
        <f>IFERROR(Model!AI653/Model!AE653-1,"NA")</f>
        <v>-0.58682136001851481</v>
      </c>
      <c r="AJ653" s="1304"/>
      <c r="AK653" s="1304"/>
      <c r="AL653" s="1304"/>
      <c r="AM653" s="1304"/>
      <c r="AN653" s="1304"/>
      <c r="AO653" s="1304"/>
      <c r="AP653" s="1304"/>
      <c r="AQ653" s="1304"/>
      <c r="AR653" s="1236"/>
      <c r="AS653" s="1308"/>
      <c r="AT653" s="1308"/>
      <c r="AU653" s="1304"/>
      <c r="AV653" s="1304">
        <f>IFERROR(Model!AV653/Model!AU653-1,"NA")</f>
        <v>-0.62273425499231949</v>
      </c>
      <c r="AW653" s="1304">
        <f>IFERROR(Model!AW653/Model!AV653-1,"NA")</f>
        <v>-0.57166123778501632</v>
      </c>
      <c r="AX653" s="1304">
        <f>IFERROR(Model!AX653/Model!AW653-1,"NA")</f>
        <v>-0.81558935361216733</v>
      </c>
      <c r="AY653" s="1304">
        <f>IFERROR(Model!AY653/Model!AX653-1,"NA")</f>
        <v>3.8556701030927831</v>
      </c>
      <c r="AZ653" s="1304">
        <f>IFERROR(Model!AZ653/Model!AY653-1,"NA")</f>
        <v>6.4946921443736727</v>
      </c>
      <c r="BA653" s="1304">
        <f>IFERROR(Model!BA653/Model!AZ653-1,"NA")</f>
        <v>-0.9180418192454417</v>
      </c>
      <c r="BB653" s="1304">
        <f>IFERROR(Model!BB653/Model!BA653-1,"NA")</f>
        <v>-0.56486908901502098</v>
      </c>
      <c r="BC653" s="1304">
        <f>IFERROR(Model!BC653/Model!BB653-1,"NA")</f>
        <v>-0.37141000722973316</v>
      </c>
      <c r="BD653" s="1304">
        <f>IFERROR(Model!BD653/Model!BC653-1,"NA")</f>
        <v>-0.42188813839510508</v>
      </c>
      <c r="BE653" s="1304">
        <f>IFERROR(Model!BE653/Model!BD653-1,"NA")</f>
        <v>-0.43888839626541942</v>
      </c>
    </row>
    <row r="654" spans="1:57" s="72" customFormat="1" x14ac:dyDescent="0.2">
      <c r="A654" s="834"/>
      <c r="B654" s="73"/>
      <c r="C654" s="74" t="s">
        <v>254</v>
      </c>
      <c r="D654" s="1339"/>
      <c r="E654" s="1339"/>
      <c r="F654" s="1339"/>
      <c r="G654" s="1339"/>
      <c r="H654" s="1339">
        <f>IFERROR(Model!H654/Model!D654-1,"NA")</f>
        <v>0.36303993616349439</v>
      </c>
      <c r="I654" s="1339">
        <f>IFERROR(Model!I654/Model!E654-1,"NA")</f>
        <v>-0.41444272657980097</v>
      </c>
      <c r="J654" s="1339">
        <f>IFERROR(Model!J654/Model!F654-1,"NA")</f>
        <v>3.3149770546516466E-2</v>
      </c>
      <c r="K654" s="1339">
        <f>IFERROR(Model!K654/Model!G654-1,"NA")</f>
        <v>-0.68214836652127453</v>
      </c>
      <c r="L654" s="1339">
        <f>IFERROR(Model!L654/Model!H654-1,"NA")</f>
        <v>-0.40584389030222412</v>
      </c>
      <c r="M654" s="1339">
        <f>IFERROR(Model!M654/Model!I654-1,"NA")</f>
        <v>-0.91734097509011048</v>
      </c>
      <c r="N654" s="1339">
        <f>IFERROR(Model!N654/Model!J654-1,"NA")</f>
        <v>-0.96870523669541109</v>
      </c>
      <c r="O654" s="1339">
        <f>IFERROR(Model!O654/Model!K654-1,"NA")</f>
        <v>-0.31273851165028776</v>
      </c>
      <c r="P654" s="1339">
        <f>IFERROR(Model!P654/Model!L654-1,"NA")</f>
        <v>-3.5336379073340338</v>
      </c>
      <c r="Q654" s="1339">
        <f>IFERROR(Model!Q654/Model!M654-1,"NA")</f>
        <v>-3.2517347386912605</v>
      </c>
      <c r="R654" s="1339">
        <f>IFERROR(Model!R654/Model!N654-1,"NA")</f>
        <v>-66.433354591836732</v>
      </c>
      <c r="S654" s="1339">
        <f>IFERROR(Model!S654/Model!O654-1,"NA")</f>
        <v>1.1092239470955811</v>
      </c>
      <c r="T654" s="1339">
        <f>IFERROR(Model!T654/Model!P654-1,"NA")</f>
        <v>-1.2317663325267887</v>
      </c>
      <c r="U654" s="1339">
        <f>IFERROR(Model!U654/Model!Q654-1,"NA")</f>
        <v>-130.4940828402367</v>
      </c>
      <c r="V654" s="1339">
        <f>IFERROR(Model!V654/Model!R654-1,"NA")</f>
        <v>-2.0785060113820526</v>
      </c>
      <c r="W654" s="1339">
        <f>IFERROR(Model!W654/Model!S654-1,"NA")</f>
        <v>4.70819529206626</v>
      </c>
      <c r="X654" s="1339">
        <f>IFERROR(Model!X654/Model!T654-1,"NA")</f>
        <v>-41.694650205761313</v>
      </c>
      <c r="Y654" s="1339">
        <f>IFERROR(Model!Y654/Model!U654-1,"NA")</f>
        <v>-0.86821948233150148</v>
      </c>
      <c r="Z654" s="1339">
        <f>IFERROR(Model!Z654/Model!V654-1,"NA")</f>
        <v>-0.26868960390782626</v>
      </c>
      <c r="AA654" s="1339">
        <f>IFERROR(Model!AA654/Model!W654-1,"NA")</f>
        <v>53.004080771125025</v>
      </c>
      <c r="AB654" s="1339">
        <f>IFERROR(Model!AB654/Model!X654-1,"NA")</f>
        <v>-1.0769974706144918</v>
      </c>
      <c r="AC654" s="1339">
        <f>IFERROR(Model!AC654/Model!Y654-1,"NA")</f>
        <v>-0.73045526833787722</v>
      </c>
      <c r="AD654" s="1339">
        <f>IFERROR(Model!AD654/Model!Z654-1,"NA")</f>
        <v>-0.41277028318452735</v>
      </c>
      <c r="AE654" s="1339">
        <f>IFERROR(Model!AE654/Model!AA654-1,"NA")</f>
        <v>-0.99245765432038979</v>
      </c>
      <c r="AF654" s="1339">
        <f>IFERROR(Model!AF654/Model!AB654-1,"NA")</f>
        <v>-0.69191888881559416</v>
      </c>
      <c r="AG654" s="1339">
        <f>IFERROR(Model!AG654/Model!AC654-1,"NA")</f>
        <v>-0.18941232800098629</v>
      </c>
      <c r="AH654" s="1339">
        <f>IFERROR(Model!AH654/Model!AD654-1,"NA")</f>
        <v>-0.46812785413843594</v>
      </c>
      <c r="AI654" s="1339">
        <f>IFERROR(Model!AI654/Model!AE654-1,"NA")</f>
        <v>-0.39509242088042618</v>
      </c>
      <c r="AJ654" s="1339"/>
      <c r="AK654" s="1339"/>
      <c r="AL654" s="1339"/>
      <c r="AM654" s="1339"/>
      <c r="AN654" s="1339"/>
      <c r="AO654" s="1339"/>
      <c r="AP654" s="1339"/>
      <c r="AQ654" s="1339"/>
      <c r="AR654" s="1236"/>
      <c r="AS654" s="1318"/>
      <c r="AT654" s="1308"/>
      <c r="AU654" s="1339"/>
      <c r="AV654" s="1339">
        <f>IFERROR(Model!AV654/Model!AU654-1,"NA")</f>
        <v>-0.12737757509985048</v>
      </c>
      <c r="AW654" s="1339">
        <f>IFERROR(Model!AW654/Model!AV654-1,"NA")</f>
        <v>-0.82466185474928833</v>
      </c>
      <c r="AX654" s="1339">
        <f>IFERROR(Model!AX654/Model!AW654-1,"NA")</f>
        <v>-1.8533310872599509</v>
      </c>
      <c r="AY654" s="1339">
        <f>IFERROR(Model!AY654/Model!AX654-1,"NA")</f>
        <v>114.54154763383431</v>
      </c>
      <c r="AZ654" s="1339">
        <f>IFERROR(Model!AZ654/Model!AY654-1,"NA")</f>
        <v>-2.226941711998057</v>
      </c>
      <c r="BA654" s="1339">
        <f>IFERROR(Model!BA654/Model!AZ654-1,"NA")</f>
        <v>-0.94878438832549072</v>
      </c>
      <c r="BB654" s="1339">
        <f>IFERROR(Model!BB654/Model!BA654-1,"NA")</f>
        <v>-0.46537634954565221</v>
      </c>
      <c r="BC654" s="1339">
        <f>IFERROR(Model!BC654/Model!BB654-1,"NA")</f>
        <v>-0.2069061233358328</v>
      </c>
      <c r="BD654" s="1339">
        <f>IFERROR(Model!BD654/Model!BC654-1,"NA")</f>
        <v>-0.27248796851628843</v>
      </c>
      <c r="BE654" s="1339">
        <f>IFERROR(Model!BE654/Model!BD654-1,"NA")</f>
        <v>-0.29308545565034116</v>
      </c>
    </row>
    <row r="655" spans="1:57" s="72" customFormat="1" x14ac:dyDescent="0.2">
      <c r="A655" s="834"/>
      <c r="B655" s="73"/>
      <c r="C655" s="74"/>
      <c r="D655" s="1318"/>
      <c r="E655" s="1318"/>
      <c r="F655" s="1318"/>
      <c r="G655" s="1318"/>
      <c r="H655" s="1318"/>
      <c r="I655" s="1318"/>
      <c r="J655" s="1318"/>
      <c r="K655" s="1318"/>
      <c r="L655" s="1318"/>
      <c r="M655" s="1318"/>
      <c r="N655" s="1318"/>
      <c r="O655" s="1318"/>
      <c r="P655" s="1318"/>
      <c r="Q655" s="1318"/>
      <c r="R655" s="1318"/>
      <c r="S655" s="1318"/>
      <c r="T655" s="1318"/>
      <c r="U655" s="1318"/>
      <c r="V655" s="1318"/>
      <c r="W655" s="1318"/>
      <c r="X655" s="1318"/>
      <c r="Y655" s="1318"/>
      <c r="Z655" s="1318"/>
      <c r="AA655" s="1318"/>
      <c r="AB655" s="1318"/>
      <c r="AC655" s="1318"/>
      <c r="AD655" s="1318"/>
      <c r="AE655" s="1318"/>
      <c r="AF655" s="1318"/>
      <c r="AG655" s="1318"/>
      <c r="AH655" s="1318"/>
      <c r="AI655" s="1318"/>
      <c r="AJ655" s="1318"/>
      <c r="AK655" s="1318"/>
      <c r="AL655" s="1318"/>
      <c r="AM655" s="1318"/>
      <c r="AN655" s="1318"/>
      <c r="AO655" s="1318"/>
      <c r="AP655" s="1318"/>
      <c r="AQ655" s="1318"/>
      <c r="AR655" s="1236"/>
      <c r="AS655" s="1318"/>
      <c r="AT655" s="1308"/>
      <c r="AU655" s="1236"/>
      <c r="AV655" s="1236"/>
      <c r="AW655" s="1236"/>
      <c r="AX655" s="1236"/>
      <c r="AY655" s="1236"/>
      <c r="AZ655" s="1236"/>
      <c r="BA655" s="1236"/>
      <c r="BB655" s="1318"/>
      <c r="BC655" s="1318"/>
      <c r="BD655" s="1318"/>
      <c r="BE655" s="1318"/>
    </row>
    <row r="656" spans="1:57" x14ac:dyDescent="0.2">
      <c r="B656" s="322" t="s">
        <v>606</v>
      </c>
      <c r="C656" s="387"/>
      <c r="D656" s="1303"/>
      <c r="E656" s="1303"/>
      <c r="F656" s="1303"/>
      <c r="G656" s="1303"/>
      <c r="H656" s="1303">
        <f>IFERROR(Model!H656/Model!D656-1,"NA")</f>
        <v>-0.37037037037037035</v>
      </c>
      <c r="I656" s="1303">
        <f>IFERROR(Model!I656/Model!E656-1,"NA")</f>
        <v>-0.21052631578947367</v>
      </c>
      <c r="J656" s="1303">
        <f>IFERROR(Model!J656/Model!F656-1,"NA")</f>
        <v>-0.81714785651793531</v>
      </c>
      <c r="K656" s="1303">
        <f>IFERROR(Model!K656/Model!G656-1,"NA")</f>
        <v>-0.63202725724020437</v>
      </c>
      <c r="L656" s="1303">
        <f>IFERROR(Model!L656/Model!H656-1,"NA")</f>
        <v>-0.50909090909090904</v>
      </c>
      <c r="M656" s="1303">
        <f>IFERROR(Model!M656/Model!I656-1,"NA")</f>
        <v>4.3527777777777779</v>
      </c>
      <c r="N656" s="1303">
        <f>IFERROR(Model!N656/Model!J656-1,"NA")</f>
        <v>5.339712918660287</v>
      </c>
      <c r="O656" s="1303">
        <f>IFERROR(Model!O656/Model!K656-1,"NA")</f>
        <v>3.6358024691358022</v>
      </c>
      <c r="P656" s="1303">
        <f>IFERROR(Model!P656/Model!L656-1,"NA")</f>
        <v>-1.5337690631808278</v>
      </c>
      <c r="Q656" s="1303">
        <f>IFERROR(Model!Q656/Model!M656-1,"NA")</f>
        <v>-1.1395952257394915</v>
      </c>
      <c r="R656" s="1303">
        <f>IFERROR(Model!R656/Model!N656-1,"NA")</f>
        <v>-1.2543396226415093</v>
      </c>
      <c r="S656" s="1303">
        <f>IFERROR(Model!S656/Model!O656-1,"NA")</f>
        <v>-1.3135818908122503</v>
      </c>
      <c r="T656" s="1303">
        <f>IFERROR(Model!T656/Model!P656-1,"NA")</f>
        <v>0.81632653061224492</v>
      </c>
      <c r="U656" s="1303">
        <f>IFERROR(Model!U656/Model!Q656-1,"NA")</f>
        <v>-0.72676579925650553</v>
      </c>
      <c r="V656" s="1303">
        <f>IFERROR(Model!V656/Model!R656-1,"NA")</f>
        <v>-1.0682492581602374</v>
      </c>
      <c r="W656" s="1303">
        <f>IFERROR(Model!W656/Model!S656-1,"NA")</f>
        <v>-1.015923566878981</v>
      </c>
      <c r="X656" s="1303">
        <f>IFERROR(Model!X656/Model!T656-1,"NA")</f>
        <v>-0.75505617977528083</v>
      </c>
      <c r="Y656" s="1303">
        <f>IFERROR(Model!Y656/Model!U656-1,"NA")</f>
        <v>-1.1700680272108843</v>
      </c>
      <c r="Z656" s="1303">
        <f>IFERROR(Model!Z656/Model!V656-1,"NA")</f>
        <v>3.1304347826086953</v>
      </c>
      <c r="AA656" s="1303">
        <f>IFERROR(Model!AA656/Model!W656-1,"NA")</f>
        <v>-203.26666666666668</v>
      </c>
      <c r="AB656" s="1303">
        <f>IFERROR(Model!AB656/Model!X656-1,"NA")</f>
        <v>-1.6788990825688073</v>
      </c>
      <c r="AC656" s="407">
        <f>IFERROR(Model!AC656/Model!Y656-1,"NA")</f>
        <v>5.8620540244092743</v>
      </c>
      <c r="AD656" s="407">
        <f>IFERROR(Model!AD656/Model!Z656-1,"NA")</f>
        <v>0.45825557898612335</v>
      </c>
      <c r="AE656" s="407">
        <f>IFERROR(Model!AE656/Model!AA656-1,"NA")</f>
        <v>-1.0454623213450402</v>
      </c>
      <c r="AF656" s="407">
        <f>IFERROR(Model!AF656/Model!AB656-1,"NA")</f>
        <v>1.0468331968589055</v>
      </c>
      <c r="AG656" s="407">
        <f>IFERROR(Model!AG656/Model!AC656-1,"NA")</f>
        <v>-0.20560189028010978</v>
      </c>
      <c r="AH656" s="407">
        <f>IFERROR(Model!AH656/Model!AD656-1,"NA")</f>
        <v>-6.5794457826604313E-2</v>
      </c>
      <c r="AI656" s="407">
        <f>IFERROR(Model!AI656/Model!AE656-1,"NA")</f>
        <v>-0.14966368438368016</v>
      </c>
      <c r="AJ656" s="407"/>
      <c r="AK656" s="407"/>
      <c r="AL656" s="407"/>
      <c r="AM656" s="407"/>
      <c r="AN656" s="407"/>
      <c r="AO656" s="407"/>
      <c r="AP656" s="407"/>
      <c r="AQ656" s="407"/>
      <c r="AR656" s="1236"/>
      <c r="AS656" s="1248"/>
      <c r="AT656" s="1248"/>
      <c r="AU656" s="1236"/>
      <c r="AV656" s="1236">
        <f>IFERROR(Model!AV656/Model!AU656-1,"NA")</f>
        <v>-0.52612714582154307</v>
      </c>
      <c r="AW656" s="1236">
        <f>IFERROR(Model!AW656/Model!AV656-1,"NA")</f>
        <v>2.4402866242038215</v>
      </c>
      <c r="AX656" s="1236">
        <f>IFERROR(Model!AX656/Model!AW656-1,"NA")</f>
        <v>-1.238602175422356</v>
      </c>
      <c r="AY656" s="1236">
        <f>IFERROR(Model!AY656/Model!AX656-1,"NA")</f>
        <v>-0.7313288069835111</v>
      </c>
      <c r="AZ656" s="1236">
        <f>IFERROR(Model!AZ656/Model!AY656-1,"NA")</f>
        <v>4.4566787003610111</v>
      </c>
      <c r="BA656" s="1236">
        <f>IFERROR(Model!BA656/Model!AZ656-1,"NA")</f>
        <v>-1.1726822075999885</v>
      </c>
      <c r="BB656" s="407">
        <f>IFERROR(Model!BB656/Model!BA656-1,"NA")</f>
        <v>2.3823059280696945E-2</v>
      </c>
      <c r="BC656" s="407">
        <f>IFERROR(Model!BC656/Model!BB656-1,"NA")</f>
        <v>-0.16879330730364328</v>
      </c>
      <c r="BD656" s="407">
        <f>IFERROR(Model!BD656/Model!BC656-1,"NA")</f>
        <v>-0.16678729534615655</v>
      </c>
      <c r="BE656" s="407">
        <f>IFERROR(Model!BE656/Model!BD656-1,"NA")</f>
        <v>-0.1775006167949118</v>
      </c>
    </row>
    <row r="657" spans="1:74" x14ac:dyDescent="0.2">
      <c r="C657" s="376" t="s">
        <v>883</v>
      </c>
      <c r="D657" s="1307"/>
      <c r="E657" s="1307"/>
      <c r="F657" s="1307"/>
      <c r="G657" s="1307"/>
      <c r="H657" s="1307">
        <f>IFERROR(Model!H657/Model!D657-1,"NA")</f>
        <v>-1.1111111111111112</v>
      </c>
      <c r="I657" s="1307">
        <f>IFERROR(Model!I657/Model!E657-1,"NA")</f>
        <v>-0.3571428571428571</v>
      </c>
      <c r="J657" s="1307">
        <f>IFERROR(Model!J657/Model!F657-1,"NA")</f>
        <v>-1.1428571428571428</v>
      </c>
      <c r="K657" s="1307">
        <f>IFERROR(Model!K657/Model!G657-1,"NA")</f>
        <v>-1</v>
      </c>
      <c r="L657" s="1307">
        <f>IFERROR(Model!L657/Model!H657-1,"NA")</f>
        <v>-2.333333333333333</v>
      </c>
      <c r="M657" s="1307">
        <f>IFERROR(Model!M657/Model!I657-1,"NA")</f>
        <v>-1</v>
      </c>
      <c r="N657" s="1307">
        <f>IFERROR(Model!N657/Model!J657-1,"NA")</f>
        <v>16</v>
      </c>
      <c r="O657" s="1307" t="str">
        <f>IFERROR(Model!O657/Model!K657-1,"NA")</f>
        <v>NA</v>
      </c>
      <c r="P657" s="1307">
        <f>IFERROR(Model!P657/Model!L657-1,"NA")</f>
        <v>-1.375</v>
      </c>
      <c r="Q657" s="1307" t="str">
        <f>IFERROR(Model!Q657/Model!M657-1,"NA")</f>
        <v>NA</v>
      </c>
      <c r="R657" s="1307">
        <f>IFERROR(Model!R657/Model!N657-1,"NA")</f>
        <v>-0.52941176470588236</v>
      </c>
      <c r="S657" s="1307">
        <f>IFERROR(Model!S657/Model!O657-1,"NA")</f>
        <v>-2</v>
      </c>
      <c r="T657" s="1307">
        <f>IFERROR(Model!T657/Model!P657-1,"NA")</f>
        <v>-1</v>
      </c>
      <c r="U657" s="1307">
        <f>IFERROR(Model!U657/Model!Q657-1,"NA")</f>
        <v>-1</v>
      </c>
      <c r="V657" s="1307">
        <f>IFERROR(Model!V657/Model!R657-1,"NA")</f>
        <v>-1</v>
      </c>
      <c r="W657" s="1307">
        <f>IFERROR(Model!W657/Model!S657-1,"NA")</f>
        <v>-1</v>
      </c>
      <c r="X657" s="1307" t="str">
        <f>IFERROR(Model!X657/Model!T657-1,"NA")</f>
        <v>NA</v>
      </c>
      <c r="Y657" s="1307" t="str">
        <f>IFERROR(Model!Y657/Model!U657-1,"NA")</f>
        <v>NA</v>
      </c>
      <c r="Z657" s="1307" t="str">
        <f>IFERROR(Model!Z657/Model!V657-1,"NA")</f>
        <v>NA</v>
      </c>
      <c r="AA657" s="1307" t="str">
        <f>IFERROR(Model!AA657/Model!W657-1,"NA")</f>
        <v>NA</v>
      </c>
      <c r="AB657" s="1307" t="str">
        <f>IFERROR(Model!AB657/Model!X657-1,"NA")</f>
        <v>NA</v>
      </c>
      <c r="AC657" s="1307" t="str">
        <f>IFERROR(Model!AC657/Model!Y657-1,"NA")</f>
        <v>NA</v>
      </c>
      <c r="AD657" s="1307" t="str">
        <f>IFERROR(Model!AD657/Model!Z657-1,"NA")</f>
        <v>NA</v>
      </c>
      <c r="AE657" s="1307" t="str">
        <f>IFERROR(Model!AE657/Model!AA657-1,"NA")</f>
        <v>NA</v>
      </c>
      <c r="AF657" s="1307" t="str">
        <f>IFERROR(Model!AF657/Model!AB657-1,"NA")</f>
        <v>NA</v>
      </c>
      <c r="AG657" s="1307" t="str">
        <f>IFERROR(Model!AG657/Model!AC657-1,"NA")</f>
        <v>NA</v>
      </c>
      <c r="AH657" s="1307" t="str">
        <f>IFERROR(Model!AH657/Model!AD657-1,"NA")</f>
        <v>NA</v>
      </c>
      <c r="AI657" s="1307" t="str">
        <f>IFERROR(Model!AI657/Model!AE657-1,"NA")</f>
        <v>NA</v>
      </c>
      <c r="AJ657" s="1318"/>
      <c r="AK657" s="1318"/>
      <c r="AL657" s="1318"/>
      <c r="AM657" s="1318"/>
      <c r="AN657" s="1318"/>
      <c r="AO657" s="1318"/>
      <c r="AP657" s="1318"/>
      <c r="AQ657" s="1318"/>
      <c r="AR657" s="1236"/>
      <c r="AS657" s="1382"/>
      <c r="AT657" s="1270"/>
      <c r="AU657" s="1246"/>
      <c r="AV657" s="1246">
        <f>IFERROR(Model!AV657/Model!AU657-1,"NA")</f>
        <v>-0.98969072164948457</v>
      </c>
      <c r="AW657" s="1246">
        <f>IFERROR(Model!AW657/Model!AV657-1,"NA")</f>
        <v>-30</v>
      </c>
      <c r="AX657" s="1246">
        <f>IFERROR(Model!AX657/Model!AW657-1,"NA")</f>
        <v>-0.65517241379310343</v>
      </c>
      <c r="AY657" s="1246">
        <f>IFERROR(Model!AY657/Model!AX657-1,"NA")</f>
        <v>-1</v>
      </c>
      <c r="AZ657" s="1246" t="str">
        <f>IFERROR(Model!AZ657/Model!AY657-1,"NA")</f>
        <v>NA</v>
      </c>
      <c r="BA657" s="1246" t="str">
        <f>IFERROR(Model!BA657/Model!AZ657-1,"NA")</f>
        <v>NA</v>
      </c>
      <c r="BB657" s="1246" t="str">
        <f>IFERROR(Model!BB657/Model!BA657-1,"NA")</f>
        <v>NA</v>
      </c>
      <c r="BC657" s="1246" t="str">
        <f>IFERROR(Model!BC657/Model!BB657-1,"NA")</f>
        <v>NA</v>
      </c>
      <c r="BD657" s="1246" t="str">
        <f>IFERROR(Model!BD657/Model!BC657-1,"NA")</f>
        <v>NA</v>
      </c>
      <c r="BE657" s="1246" t="str">
        <f>IFERROR(Model!BE657/Model!BD657-1,"NA")</f>
        <v>NA</v>
      </c>
    </row>
    <row r="658" spans="1:74" x14ac:dyDescent="0.2">
      <c r="B658" s="316" t="s">
        <v>535</v>
      </c>
      <c r="C658" s="321"/>
      <c r="D658" s="1315"/>
      <c r="E658" s="1315"/>
      <c r="F658" s="1315"/>
      <c r="G658" s="1315"/>
      <c r="H658" s="1315">
        <f>IFERROR(Model!H658/Model!D658-1,"NA")</f>
        <v>-0.39636127355425599</v>
      </c>
      <c r="I658" s="1315">
        <f>IFERROR(Model!I658/Model!E658-1,"NA")</f>
        <v>-0.21274298056155505</v>
      </c>
      <c r="J658" s="1315">
        <f>IFERROR(Model!J658/Model!F658-1,"NA")</f>
        <v>-0.82108902333621436</v>
      </c>
      <c r="K658" s="1315">
        <f>IFERROR(Model!K658/Model!G658-1,"NA")</f>
        <v>-0.63513513513513509</v>
      </c>
      <c r="L658" s="1315">
        <f>IFERROR(Model!L658/Model!H658-1,"NA")</f>
        <v>-0.49730893433799783</v>
      </c>
      <c r="M658" s="1315">
        <f>IFERROR(Model!M658/Model!I658-1,"NA")</f>
        <v>4.2866941015089166</v>
      </c>
      <c r="N658" s="1315">
        <f>IFERROR(Model!N658/Model!J658-1,"NA")</f>
        <v>5.2367149758454108</v>
      </c>
      <c r="O658" s="1315">
        <f>IFERROR(Model!O658/Model!K658-1,"NA")</f>
        <v>3.6311728395061724</v>
      </c>
      <c r="P658" s="1315">
        <f>IFERROR(Model!P658/Model!L658-1,"NA")</f>
        <v>-1.5310492505353319</v>
      </c>
      <c r="Q658" s="1315">
        <f>IFERROR(Model!Q658/Model!M658-1,"NA")</f>
        <v>-1.1380384016606124</v>
      </c>
      <c r="R658" s="1315">
        <f>IFERROR(Model!R658/Model!N658-1,"NA")</f>
        <v>-1.273431448489543</v>
      </c>
      <c r="S658" s="1315">
        <f>IFERROR(Model!S658/Model!O658-1,"NA")</f>
        <v>-1.3128957014328557</v>
      </c>
      <c r="T658" s="1315">
        <f>IFERROR(Model!T658/Model!P658-1,"NA")</f>
        <v>0.79435483870967749</v>
      </c>
      <c r="U658" s="1315">
        <f>IFERROR(Model!U658/Model!Q658-1,"NA")</f>
        <v>-0.72368421052631571</v>
      </c>
      <c r="V658" s="1315">
        <f>IFERROR(Model!V658/Model!R658-1,"NA")</f>
        <v>-1.065155807365439</v>
      </c>
      <c r="W658" s="1315">
        <f>IFERROR(Model!W658/Model!S658-1,"NA")</f>
        <v>-1.0159744408945688</v>
      </c>
      <c r="X658" s="1315">
        <f>IFERROR(Model!X658/Model!T658-1,"NA")</f>
        <v>-0.75505617977528083</v>
      </c>
      <c r="Y658" s="1315">
        <f>IFERROR(Model!Y658/Model!U658-1,"NA")</f>
        <v>-1.1700680272108843</v>
      </c>
      <c r="Z658" s="1315">
        <f>IFERROR(Model!Z658/Model!V658-1,"NA")</f>
        <v>3.1304347826086953</v>
      </c>
      <c r="AA658" s="1315">
        <f>IFERROR(Model!AA658/Model!W658-1,"NA")</f>
        <v>-203.26666666666668</v>
      </c>
      <c r="AB658" s="1315">
        <f>IFERROR(Model!AB658/Model!X658-1,"NA")</f>
        <v>-1.6788990825688073</v>
      </c>
      <c r="AC658" s="1315">
        <f>IFERROR(Model!AC658/Model!Y658-1,"NA")</f>
        <v>5.8620540244092743</v>
      </c>
      <c r="AD658" s="1315">
        <f>IFERROR(Model!AD658/Model!Z658-1,"NA")</f>
        <v>0.45825557898612335</v>
      </c>
      <c r="AE658" s="1315">
        <f>IFERROR(Model!AE658/Model!AA658-1,"NA")</f>
        <v>-1.0454623213450402</v>
      </c>
      <c r="AF658" s="1315">
        <f>IFERROR(Model!AF658/Model!AB658-1,"NA")</f>
        <v>1.0468331968589055</v>
      </c>
      <c r="AG658" s="1315">
        <f>IFERROR(Model!AG658/Model!AC658-1,"NA")</f>
        <v>-0.20560189028010978</v>
      </c>
      <c r="AH658" s="1315">
        <f>IFERROR(Model!AH658/Model!AD658-1,"NA")</f>
        <v>-6.5794457826604313E-2</v>
      </c>
      <c r="AI658" s="1315">
        <f>IFERROR(Model!AI658/Model!AE658-1,"NA")</f>
        <v>-0.14966368438368016</v>
      </c>
      <c r="AJ658" s="1315"/>
      <c r="AK658" s="1315"/>
      <c r="AL658" s="1315"/>
      <c r="AM658" s="1315"/>
      <c r="AN658" s="1315"/>
      <c r="AO658" s="1315"/>
      <c r="AP658" s="1315"/>
      <c r="AQ658" s="1315"/>
      <c r="AR658" s="1236"/>
      <c r="AS658" s="1239"/>
      <c r="AT658" s="1284"/>
      <c r="AU658" s="1315"/>
      <c r="AV658" s="1315">
        <f>IFERROR(Model!AV658/Model!AU658-1,"NA")</f>
        <v>-0.53445720637273064</v>
      </c>
      <c r="AW658" s="1315">
        <f>IFERROR(Model!AW658/Model!AV658-1,"NA")</f>
        <v>2.4273776362912853</v>
      </c>
      <c r="AX658" s="1315">
        <f>IFERROR(Model!AX658/Model!AW658-1,"NA")</f>
        <v>-1.2405665853941716</v>
      </c>
      <c r="AY658" s="1315">
        <f>IFERROR(Model!AY658/Model!AX658-1,"NA")</f>
        <v>-0.73262548262548255</v>
      </c>
      <c r="AZ658" s="1315">
        <f>IFERROR(Model!AZ658/Model!AY658-1,"NA")</f>
        <v>4.4566787003610111</v>
      </c>
      <c r="BA658" s="1315">
        <f>IFERROR(Model!BA658/Model!AZ658-1,"NA")</f>
        <v>-1.1726822075999885</v>
      </c>
      <c r="BB658" s="1315">
        <f>IFERROR(Model!BB658/Model!BA658-1,"NA")</f>
        <v>2.3823059280696945E-2</v>
      </c>
      <c r="BC658" s="1315">
        <f>IFERROR(Model!BC658/Model!BB658-1,"NA")</f>
        <v>-0.16879330730364328</v>
      </c>
      <c r="BD658" s="1315">
        <f>IFERROR(Model!BD658/Model!BC658-1,"NA")</f>
        <v>-0.16678729534615655</v>
      </c>
      <c r="BE658" s="1315">
        <f>IFERROR(Model!BE658/Model!BD658-1,"NA")</f>
        <v>-0.1775006167949118</v>
      </c>
    </row>
    <row r="659" spans="1:74" x14ac:dyDescent="0.2">
      <c r="B659" s="316"/>
      <c r="C659" s="321"/>
      <c r="D659" s="1252"/>
      <c r="E659" s="1252"/>
      <c r="F659" s="1252"/>
      <c r="G659" s="1252"/>
      <c r="H659" s="1252"/>
      <c r="I659" s="1252"/>
      <c r="J659" s="1252"/>
      <c r="K659" s="1252"/>
      <c r="L659" s="1252"/>
      <c r="M659" s="1252"/>
      <c r="N659" s="1252"/>
      <c r="O659" s="1252"/>
      <c r="P659" s="1252"/>
      <c r="Q659" s="1252"/>
      <c r="R659" s="1252"/>
      <c r="S659" s="1252"/>
      <c r="T659" s="1252"/>
      <c r="U659" s="1252"/>
      <c r="V659" s="1252"/>
      <c r="W659" s="1252"/>
      <c r="X659" s="1252"/>
      <c r="Y659" s="1252"/>
      <c r="Z659" s="1252"/>
      <c r="AA659" s="1252"/>
      <c r="AB659" s="1252"/>
      <c r="AC659" s="1250"/>
      <c r="AD659" s="1250"/>
      <c r="AE659" s="1250"/>
      <c r="AF659" s="1250"/>
      <c r="AG659" s="1250"/>
      <c r="AH659" s="1250"/>
      <c r="AI659" s="1250"/>
      <c r="AJ659" s="1250"/>
      <c r="AK659" s="1250"/>
      <c r="AL659" s="1250"/>
      <c r="AM659" s="1250"/>
      <c r="AN659" s="1250"/>
      <c r="AO659" s="1250"/>
      <c r="AP659" s="1250"/>
      <c r="AQ659" s="1250"/>
      <c r="AR659" s="1236"/>
      <c r="AS659" s="1239"/>
      <c r="AT659" s="1284"/>
      <c r="AU659" s="1236"/>
      <c r="AV659" s="1236"/>
      <c r="AW659" s="1236"/>
      <c r="AX659" s="1236"/>
      <c r="AY659" s="1236"/>
      <c r="AZ659" s="1236"/>
      <c r="BA659" s="1236"/>
      <c r="BB659" s="1236"/>
      <c r="BC659" s="1236"/>
      <c r="BD659" s="1236"/>
      <c r="BE659" s="1236"/>
    </row>
    <row r="660" spans="1:74" x14ac:dyDescent="0.2">
      <c r="B660" s="340" t="s">
        <v>296</v>
      </c>
      <c r="C660" s="388"/>
      <c r="D660" s="1441"/>
      <c r="E660" s="1441"/>
      <c r="F660" s="1441"/>
      <c r="G660" s="1441"/>
      <c r="H660" s="1468"/>
      <c r="I660" s="1468"/>
      <c r="J660" s="1468"/>
      <c r="K660" s="1468"/>
      <c r="L660" s="1468"/>
      <c r="M660" s="1468"/>
      <c r="N660" s="1468"/>
      <c r="O660" s="1468"/>
      <c r="P660" s="1468"/>
      <c r="Q660" s="1468"/>
      <c r="R660" s="1468"/>
      <c r="S660" s="1468"/>
      <c r="T660" s="1468"/>
      <c r="U660" s="1468"/>
      <c r="V660" s="1468"/>
      <c r="W660" s="1468"/>
      <c r="X660" s="1468"/>
      <c r="Y660" s="1468"/>
      <c r="Z660" s="1468"/>
      <c r="AA660" s="1468"/>
      <c r="AB660" s="1468"/>
      <c r="AC660" s="1398"/>
      <c r="AD660" s="1398"/>
      <c r="AE660" s="1398"/>
      <c r="AF660" s="1398"/>
      <c r="AG660" s="1398"/>
      <c r="AH660" s="1398"/>
      <c r="AI660" s="1398"/>
      <c r="AJ660" s="1398"/>
      <c r="AK660" s="1398"/>
      <c r="AL660" s="1398"/>
      <c r="AM660" s="1398"/>
      <c r="AN660" s="1398"/>
      <c r="AO660" s="1398"/>
      <c r="AP660" s="1398"/>
      <c r="AQ660" s="1398"/>
      <c r="AR660" s="1236"/>
      <c r="AS660" s="1313"/>
      <c r="AT660" s="1407"/>
      <c r="AU660" s="1312"/>
      <c r="AV660" s="1312"/>
      <c r="AW660" s="1312"/>
      <c r="AX660" s="1312"/>
      <c r="AY660" s="1312"/>
      <c r="AZ660" s="1312"/>
      <c r="BA660" s="1312"/>
      <c r="BB660" s="1312"/>
      <c r="BC660" s="1312"/>
      <c r="BD660" s="1312"/>
      <c r="BE660" s="1312"/>
      <c r="BF660" s="390"/>
      <c r="BG660" s="390"/>
      <c r="BH660" s="390"/>
      <c r="BI660" s="390"/>
      <c r="BJ660" s="390"/>
      <c r="BK660" s="390"/>
      <c r="BL660" s="390"/>
      <c r="BM660" s="390"/>
      <c r="BN660" s="390"/>
      <c r="BO660" s="390"/>
      <c r="BP660" s="390"/>
      <c r="BQ660" s="390"/>
      <c r="BR660" s="390"/>
      <c r="BS660" s="390"/>
      <c r="BT660" s="390"/>
      <c r="BU660" s="390"/>
      <c r="BV660" s="390"/>
    </row>
    <row r="661" spans="1:74" x14ac:dyDescent="0.2">
      <c r="B661" s="65" t="s">
        <v>559</v>
      </c>
      <c r="D661" s="407"/>
      <c r="E661" s="407"/>
      <c r="F661" s="407"/>
      <c r="G661" s="407"/>
      <c r="H661" s="407"/>
      <c r="I661" s="407"/>
      <c r="J661" s="407"/>
      <c r="K661" s="407"/>
      <c r="L661" s="407"/>
      <c r="M661" s="407"/>
      <c r="N661" s="407"/>
      <c r="O661" s="407"/>
      <c r="P661" s="407"/>
      <c r="Q661" s="407"/>
      <c r="R661" s="407"/>
      <c r="S661" s="407"/>
      <c r="T661" s="407"/>
      <c r="U661" s="407"/>
      <c r="V661" s="407"/>
      <c r="W661" s="407"/>
      <c r="X661" s="407"/>
      <c r="Y661" s="407"/>
      <c r="Z661" s="407"/>
      <c r="AA661" s="407"/>
      <c r="AB661" s="407"/>
      <c r="AC661" s="407"/>
      <c r="AD661" s="407"/>
      <c r="AE661" s="407"/>
      <c r="AF661" s="407"/>
      <c r="AG661" s="407"/>
      <c r="AH661" s="407"/>
      <c r="AI661" s="407"/>
      <c r="AJ661" s="407"/>
      <c r="AK661" s="407"/>
      <c r="AL661" s="407"/>
      <c r="AM661" s="407"/>
      <c r="AN661" s="407"/>
      <c r="AO661" s="407"/>
      <c r="AP661" s="407"/>
      <c r="AQ661" s="407"/>
      <c r="AR661" s="1236"/>
      <c r="AS661" s="1329"/>
      <c r="AT661" s="407"/>
      <c r="AU661" s="1236"/>
      <c r="AV661" s="1236"/>
      <c r="AW661" s="1236"/>
      <c r="AX661" s="1236"/>
      <c r="AY661" s="1236"/>
      <c r="AZ661" s="1236"/>
      <c r="BA661" s="1236"/>
      <c r="BB661" s="1236"/>
      <c r="BC661" s="1236"/>
      <c r="BD661" s="1236"/>
      <c r="BE661" s="1236"/>
    </row>
    <row r="662" spans="1:74" x14ac:dyDescent="0.2">
      <c r="B662" s="319"/>
      <c r="C662" s="319" t="s">
        <v>298</v>
      </c>
      <c r="D662" s="1303"/>
      <c r="E662" s="1303"/>
      <c r="F662" s="1303"/>
      <c r="G662" s="1303"/>
      <c r="H662" s="1303">
        <f>IFERROR(Model!H662/Model!D662-1,"NA")</f>
        <v>0.18701298701298708</v>
      </c>
      <c r="I662" s="1303">
        <f>IFERROR(Model!I662/Model!E662-1,"NA")</f>
        <v>3.6855036855036882E-2</v>
      </c>
      <c r="J662" s="1303">
        <f>IFERROR(Model!J662/Model!F662-1,"NA")</f>
        <v>6.9124423963133896E-3</v>
      </c>
      <c r="K662" s="1303">
        <f>IFERROR(Model!K662/Model!G662-1,"NA")</f>
        <v>6.6193853427896077E-2</v>
      </c>
      <c r="L662" s="1303">
        <f>IFERROR(Model!L662/Model!H662-1,"NA")</f>
        <v>1.5317286652078765E-2</v>
      </c>
      <c r="M662" s="1303">
        <f>IFERROR(Model!M662/Model!I662-1,"NA")</f>
        <v>4.0284360189573487E-2</v>
      </c>
      <c r="N662" s="1303">
        <f>IFERROR(Model!N662/Model!J662-1,"NA")</f>
        <v>-4.1189931350114395E-2</v>
      </c>
      <c r="O662" s="1303">
        <f>IFERROR(Model!O662/Model!K662-1,"NA")</f>
        <v>-8.4257206208425695E-2</v>
      </c>
      <c r="P662" s="1303">
        <f>IFERROR(Model!P662/Model!L662-1,"NA")</f>
        <v>-0.26077586206896552</v>
      </c>
      <c r="Q662" s="1303">
        <f>IFERROR(Model!Q662/Model!M662-1,"NA")</f>
        <v>-0.31435079726651483</v>
      </c>
      <c r="R662" s="1303">
        <f>IFERROR(Model!R662/Model!N662-1,"NA")</f>
        <v>-0.33890214797136042</v>
      </c>
      <c r="S662" s="1303">
        <f>IFERROR(Model!S662/Model!O662-1,"NA")</f>
        <v>-0.40435835351089588</v>
      </c>
      <c r="T662" s="1303">
        <f>IFERROR(Model!T662/Model!P662-1,"NA")</f>
        <v>-0.24781341107871724</v>
      </c>
      <c r="U662" s="1303">
        <f>IFERROR(Model!U662/Model!Q662-1,"NA")</f>
        <v>-0.40863787375415284</v>
      </c>
      <c r="V662" s="1303">
        <f>IFERROR(Model!V662/Model!R662-1,"NA")</f>
        <v>-0.45848375451263534</v>
      </c>
      <c r="W662" s="1303">
        <f>IFERROR(Model!W662/Model!S662-1,"NA")</f>
        <v>-0.53658536585365857</v>
      </c>
      <c r="X662" s="1303">
        <f>IFERROR(Model!X662/Model!T662-1,"NA")</f>
        <v>-0.60077519379844957</v>
      </c>
      <c r="Y662" s="1303">
        <f>IFERROR(Model!Y662/Model!U662-1,"NA")</f>
        <v>-0.66292134831460681</v>
      </c>
      <c r="Z662" s="1303">
        <f>IFERROR(Model!Z662/Model!V662-1,"NA")</f>
        <v>-0.48666666666666669</v>
      </c>
      <c r="AA662" s="1303">
        <f>IFERROR(Model!AA662/Model!W662-1,"NA")</f>
        <v>-0.31578947368421051</v>
      </c>
      <c r="AB662" s="1303">
        <f>IFERROR(Model!AB662/Model!X662-1,"NA")</f>
        <v>-0.14563106796116509</v>
      </c>
      <c r="AC662" s="1256" t="str">
        <f>IFERROR(Model!AC662/Model!Y662-1,"NA")</f>
        <v>NA</v>
      </c>
      <c r="AD662" s="1256" t="str">
        <f>IFERROR(Model!AD662/Model!Z662-1,"NA")</f>
        <v>NA</v>
      </c>
      <c r="AE662" s="1256" t="str">
        <f>IFERROR(Model!AE662/Model!AA662-1,"NA")</f>
        <v>NA</v>
      </c>
      <c r="AF662" s="1256" t="str">
        <f>IFERROR(Model!AF662/Model!AB662-1,"NA")</f>
        <v>NA</v>
      </c>
      <c r="AG662" s="1256" t="str">
        <f>IFERROR(Model!AG662/Model!AC662-1,"NA")</f>
        <v>NA</v>
      </c>
      <c r="AH662" s="1256" t="str">
        <f>IFERROR(Model!AH662/Model!AD662-1,"NA")</f>
        <v>NA</v>
      </c>
      <c r="AI662" s="1256" t="str">
        <f>IFERROR(Model!AI662/Model!AE662-1,"NA")</f>
        <v>NA</v>
      </c>
      <c r="AJ662" s="1256"/>
      <c r="AK662" s="1256"/>
      <c r="AL662" s="1256"/>
      <c r="AM662" s="1256"/>
      <c r="AN662" s="1256"/>
      <c r="AO662" s="1256"/>
      <c r="AP662" s="1256"/>
      <c r="AQ662" s="1256"/>
      <c r="AR662" s="1236"/>
      <c r="AS662" s="1248"/>
      <c r="AT662" s="1248"/>
      <c r="AU662" s="1236"/>
      <c r="AV662" s="1236">
        <f>IFERROR(Model!AV662/Model!AU662-1,"NA")</f>
        <v>7.15585203153426E-2</v>
      </c>
      <c r="AW662" s="1236">
        <f>IFERROR(Model!AW662/Model!AV662-1,"NA")</f>
        <v>-1.8109790605546072E-2</v>
      </c>
      <c r="AX662" s="1236">
        <f>IFERROR(Model!AX662/Model!AW662-1,"NA")</f>
        <v>-0.32737752161383282</v>
      </c>
      <c r="AY662" s="1236">
        <f>IFERROR(Model!AY662/Model!AX662-1,"NA")</f>
        <v>-0.40017137960582694</v>
      </c>
      <c r="AZ662" s="1236" t="str">
        <f>IFERROR(Model!AZ662/Model!AY662-1,"NA")</f>
        <v>NA</v>
      </c>
      <c r="BA662" s="1236" t="str">
        <f>IFERROR(Model!BA662/Model!AZ662-1,"NA")</f>
        <v>NA</v>
      </c>
      <c r="BB662" s="1236" t="str">
        <f>IFERROR(Model!BB662/Model!BA662-1,"NA")</f>
        <v>NA</v>
      </c>
      <c r="BC662" s="1236" t="str">
        <f>IFERROR(Model!BC662/Model!BB662-1,"NA")</f>
        <v>NA</v>
      </c>
      <c r="BD662" s="1236" t="str">
        <f>IFERROR(Model!BD662/Model!BC662-1,"NA")</f>
        <v>NA</v>
      </c>
      <c r="BE662" s="1236" t="str">
        <f>IFERROR(Model!BE662/Model!BD662-1,"NA")</f>
        <v>NA</v>
      </c>
    </row>
    <row r="663" spans="1:74" x14ac:dyDescent="0.2">
      <c r="A663" s="830"/>
      <c r="B663" s="580"/>
      <c r="C663" s="580" t="s">
        <v>16</v>
      </c>
      <c r="D663" s="1298"/>
      <c r="E663" s="1298"/>
      <c r="F663" s="1298"/>
      <c r="G663" s="1298"/>
      <c r="H663" s="1298">
        <f>IFERROR(Model!H663/Model!D663-1,"NA")</f>
        <v>6.0070671378091856E-2</v>
      </c>
      <c r="I663" s="1298">
        <f>IFERROR(Model!I663/Model!E663-1,"NA")</f>
        <v>0.27952755905511806</v>
      </c>
      <c r="J663" s="1298">
        <f>IFERROR(Model!J663/Model!F663-1,"NA")</f>
        <v>0.2808988764044944</v>
      </c>
      <c r="K663" s="1298">
        <f>IFERROR(Model!K663/Model!G663-1,"NA")</f>
        <v>0.38345864661654128</v>
      </c>
      <c r="L663" s="1298">
        <f>IFERROR(Model!L663/Model!H663-1,"NA")</f>
        <v>0.32666666666666666</v>
      </c>
      <c r="M663" s="1298">
        <f>IFERROR(Model!M663/Model!I663-1,"NA")</f>
        <v>0.29230769230769238</v>
      </c>
      <c r="N663" s="1298">
        <f>IFERROR(Model!N663/Model!J663-1,"NA")</f>
        <v>0.28947368421052633</v>
      </c>
      <c r="O663" s="1298">
        <f>IFERROR(Model!O663/Model!K663-1,"NA")</f>
        <v>0.21467391304347827</v>
      </c>
      <c r="P663" s="1298">
        <f>IFERROR(Model!P663/Model!L663-1,"NA")</f>
        <v>0.21859296482412049</v>
      </c>
      <c r="Q663" s="1298">
        <f>IFERROR(Model!Q663/Model!M663-1,"NA")</f>
        <v>0.15476190476190466</v>
      </c>
      <c r="R663" s="1298">
        <f>IFERROR(Model!R663/Model!N663-1,"NA")</f>
        <v>0.11564625850340127</v>
      </c>
      <c r="S663" s="1298">
        <f>IFERROR(Model!S663/Model!O663-1,"NA")</f>
        <v>-0.36689038031319909</v>
      </c>
      <c r="T663" s="1298">
        <f>IFERROR(Model!T663/Model!P663-1,"NA")</f>
        <v>-0.83298969072164952</v>
      </c>
      <c r="U663" s="1298">
        <f>IFERROR(Model!U663/Model!Q663-1,"NA")</f>
        <v>-0.75670103092783503</v>
      </c>
      <c r="V663" s="1298">
        <f>IFERROR(Model!V663/Model!R663-1,"NA")</f>
        <v>-0.83536585365853655</v>
      </c>
      <c r="W663" s="1298">
        <f>IFERROR(Model!W663/Model!S663-1,"NA")</f>
        <v>-0.70318021201413428</v>
      </c>
      <c r="X663" s="1298">
        <f>IFERROR(Model!X663/Model!T663-1,"NA")</f>
        <v>0.24691358024691357</v>
      </c>
      <c r="Y663" s="1298">
        <f>IFERROR(Model!Y663/Model!U663-1,"NA")</f>
        <v>-0.57627118644067798</v>
      </c>
      <c r="Z663" s="1298">
        <f>IFERROR(Model!Z663/Model!V663-1,"NA")</f>
        <v>0.12345679012345689</v>
      </c>
      <c r="AA663" s="1298">
        <f>IFERROR(Model!AA663/Model!W663-1,"NA")</f>
        <v>0.14285714285714279</v>
      </c>
      <c r="AB663" s="1298">
        <f>IFERROR(Model!AB663/Model!X663-1,"NA")</f>
        <v>-0.19801980198019797</v>
      </c>
      <c r="AC663" s="1257" t="str">
        <f>IFERROR(Model!AC663/Model!Y663-1,"NA")</f>
        <v>NA</v>
      </c>
      <c r="AD663" s="1257" t="str">
        <f>IFERROR(Model!AD663/Model!Z663-1,"NA")</f>
        <v>NA</v>
      </c>
      <c r="AE663" s="1257" t="str">
        <f>IFERROR(Model!AE663/Model!AA663-1,"NA")</f>
        <v>NA</v>
      </c>
      <c r="AF663" s="1257" t="str">
        <f>IFERROR(Model!AF663/Model!AB663-1,"NA")</f>
        <v>NA</v>
      </c>
      <c r="AG663" s="1257" t="str">
        <f>IFERROR(Model!AG663/Model!AC663-1,"NA")</f>
        <v>NA</v>
      </c>
      <c r="AH663" s="1257" t="str">
        <f>IFERROR(Model!AH663/Model!AD663-1,"NA")</f>
        <v>NA</v>
      </c>
      <c r="AI663" s="1257" t="str">
        <f>IFERROR(Model!AI663/Model!AE663-1,"NA")</f>
        <v>NA</v>
      </c>
      <c r="AJ663" s="1338"/>
      <c r="AK663" s="1338"/>
      <c r="AL663" s="1338"/>
      <c r="AM663" s="1338"/>
      <c r="AN663" s="1338"/>
      <c r="AO663" s="1338"/>
      <c r="AP663" s="1338"/>
      <c r="AQ663" s="1338"/>
      <c r="AR663" s="1236"/>
      <c r="AS663" s="1298"/>
      <c r="AT663" s="1298"/>
      <c r="AU663" s="1246"/>
      <c r="AV663" s="1246">
        <f>IFERROR(Model!AV663/Model!AU663-1,"NA")</f>
        <v>0.24766355140186924</v>
      </c>
      <c r="AW663" s="1246">
        <f>IFERROR(Model!AW663/Model!AV663-1,"NA")</f>
        <v>0.27790262172284641</v>
      </c>
      <c r="AX663" s="1246">
        <f>IFERROR(Model!AX663/Model!AW663-1,"NA")</f>
        <v>2.2860492379835895E-2</v>
      </c>
      <c r="AY663" s="1246">
        <f>IFERROR(Model!AY663/Model!AX663-1,"NA")</f>
        <v>-0.79140401146131811</v>
      </c>
      <c r="AZ663" s="1246" t="str">
        <f>IFERROR(Model!AZ663/Model!AY663-1,"NA")</f>
        <v>NA</v>
      </c>
      <c r="BA663" s="1246" t="str">
        <f>IFERROR(Model!BA663/Model!AZ663-1,"NA")</f>
        <v>NA</v>
      </c>
      <c r="BB663" s="1246" t="str">
        <f>IFERROR(Model!BB663/Model!BA663-1,"NA")</f>
        <v>NA</v>
      </c>
      <c r="BC663" s="1246" t="str">
        <f>IFERROR(Model!BC663/Model!BB663-1,"NA")</f>
        <v>NA</v>
      </c>
      <c r="BD663" s="1246" t="str">
        <f>IFERROR(Model!BD663/Model!BC663-1,"NA")</f>
        <v>NA</v>
      </c>
      <c r="BE663" s="1246" t="str">
        <f>IFERROR(Model!BE663/Model!BD663-1,"NA")</f>
        <v>NA</v>
      </c>
    </row>
    <row r="664" spans="1:74" x14ac:dyDescent="0.2">
      <c r="B664" s="319" t="s">
        <v>297</v>
      </c>
      <c r="C664" s="15"/>
      <c r="D664" s="1303"/>
      <c r="E664" s="1303"/>
      <c r="F664" s="1303"/>
      <c r="G664" s="1303"/>
      <c r="H664" s="1303">
        <f>IFERROR(Model!H664/Model!D664-1,"NA")</f>
        <v>0.13323353293413165</v>
      </c>
      <c r="I664" s="1303">
        <f>IFERROR(Model!I664/Model!E664-1,"NA")</f>
        <v>0.13010590015128587</v>
      </c>
      <c r="J664" s="1303">
        <f>IFERROR(Model!J664/Model!F664-1,"NA")</f>
        <v>0.11126961483594866</v>
      </c>
      <c r="K664" s="1303">
        <f>IFERROR(Model!K664/Model!G664-1,"NA")</f>
        <v>0.18867924528301883</v>
      </c>
      <c r="L664" s="1303">
        <f>IFERROR(Model!L664/Model!H664-1,"NA")</f>
        <v>0.13870541611624843</v>
      </c>
      <c r="M664" s="1303">
        <f>IFERROR(Model!M664/Model!I664-1,"NA")</f>
        <v>0.14993306559571629</v>
      </c>
      <c r="N664" s="1303">
        <f>IFERROR(Model!N664/Model!J664-1,"NA")</f>
        <v>0.10397946084723997</v>
      </c>
      <c r="O664" s="1303">
        <f>IFERROR(Model!O664/Model!K664-1,"NA")</f>
        <v>5.0061050061050105E-2</v>
      </c>
      <c r="P664" s="1303">
        <f>IFERROR(Model!P664/Model!L664-1,"NA")</f>
        <v>-3.9443155452436152E-2</v>
      </c>
      <c r="Q664" s="1303">
        <f>IFERROR(Model!Q664/Model!M664-1,"NA")</f>
        <v>-8.4982537834691452E-2</v>
      </c>
      <c r="R664" s="1303">
        <f>IFERROR(Model!R664/Model!N664-1,"NA")</f>
        <v>-0.10581395348837208</v>
      </c>
      <c r="S664" s="1303">
        <f>IFERROR(Model!S664/Model!O664-1,"NA")</f>
        <v>-0.3848837209302326</v>
      </c>
      <c r="T664" s="1303">
        <f>IFERROR(Model!T664/Model!P664-1,"NA")</f>
        <v>-0.59057971014492749</v>
      </c>
      <c r="U664" s="1303">
        <f>IFERROR(Model!U664/Model!Q664-1,"NA")</f>
        <v>-0.62340966921119589</v>
      </c>
      <c r="V664" s="1303">
        <f>IFERROR(Model!V664/Model!R664-1,"NA")</f>
        <v>-0.69960988296488946</v>
      </c>
      <c r="W664" s="1303">
        <f>IFERROR(Model!W664/Model!S664-1,"NA")</f>
        <v>-0.62570888468809072</v>
      </c>
      <c r="X664" s="1303">
        <f>IFERROR(Model!X664/Model!T664-1,"NA")</f>
        <v>-0.39823008849557517</v>
      </c>
      <c r="Y664" s="1303">
        <f>IFERROR(Model!Y664/Model!U664-1,"NA")</f>
        <v>-0.6283783783783784</v>
      </c>
      <c r="Z664" s="1303">
        <f>IFERROR(Model!Z664/Model!V664-1,"NA")</f>
        <v>-0.27272727272727271</v>
      </c>
      <c r="AA664" s="1303">
        <f>IFERROR(Model!AA664/Model!W664-1,"NA")</f>
        <v>-0.12121212121212122</v>
      </c>
      <c r="AB664" s="1303">
        <f>IFERROR(Model!AB664/Model!X664-1,"NA")</f>
        <v>-0.17156862745098034</v>
      </c>
      <c r="AC664" s="1256" t="str">
        <f>IFERROR(Model!AC664/Model!Y664-1,"NA")</f>
        <v>NA</v>
      </c>
      <c r="AD664" s="1256" t="str">
        <f>IFERROR(Model!AD664/Model!Z664-1,"NA")</f>
        <v>NA</v>
      </c>
      <c r="AE664" s="1256" t="str">
        <f>IFERROR(Model!AE664/Model!AA664-1,"NA")</f>
        <v>NA</v>
      </c>
      <c r="AF664" s="1256" t="str">
        <f>IFERROR(Model!AF664/Model!AB664-1,"NA")</f>
        <v>NA</v>
      </c>
      <c r="AG664" s="1256" t="str">
        <f>IFERROR(Model!AG664/Model!AC664-1,"NA")</f>
        <v>NA</v>
      </c>
      <c r="AH664" s="1256" t="str">
        <f>IFERROR(Model!AH664/Model!AD664-1,"NA")</f>
        <v>NA</v>
      </c>
      <c r="AI664" s="1256" t="str">
        <f>IFERROR(Model!AI664/Model!AE664-1,"NA")</f>
        <v>NA</v>
      </c>
      <c r="AJ664" s="1256"/>
      <c r="AK664" s="1256"/>
      <c r="AL664" s="1256"/>
      <c r="AM664" s="1256"/>
      <c r="AN664" s="1256"/>
      <c r="AO664" s="1256"/>
      <c r="AP664" s="1256"/>
      <c r="AQ664" s="1256"/>
      <c r="AR664" s="1236"/>
      <c r="AS664" s="1248"/>
      <c r="AT664" s="1250"/>
      <c r="AU664" s="1256"/>
      <c r="AV664" s="1256">
        <f>IFERROR(Model!AV664/Model!AU664-1,"NA")</f>
        <v>0.14086061051857302</v>
      </c>
      <c r="AW664" s="1256">
        <f>IFERROR(Model!AW664/Model!AV664-1,"NA")</f>
        <v>0.10928433268858795</v>
      </c>
      <c r="AX664" s="1256">
        <f>IFERROR(Model!AX664/Model!AW664-1,"NA")</f>
        <v>-0.15373437954083113</v>
      </c>
      <c r="AY664" s="1256">
        <f>IFERROR(Model!AY664/Model!AX664-1,"NA")</f>
        <v>-0.63461538461538458</v>
      </c>
      <c r="AZ664" s="1236" t="str">
        <f>IFERROR(Model!AZ664/Model!AY664-1,"NA")</f>
        <v>NA</v>
      </c>
      <c r="BA664" s="1236" t="str">
        <f>IFERROR(Model!BA664/Model!AZ664-1,"NA")</f>
        <v>NA</v>
      </c>
      <c r="BB664" s="1236" t="str">
        <f>IFERROR(Model!BB664/Model!BA664-1,"NA")</f>
        <v>NA</v>
      </c>
      <c r="BC664" s="1236" t="str">
        <f>IFERROR(Model!BC664/Model!BB664-1,"NA")</f>
        <v>NA</v>
      </c>
      <c r="BD664" s="1236" t="str">
        <f>IFERROR(Model!BD664/Model!BC664-1,"NA")</f>
        <v>NA</v>
      </c>
      <c r="BE664" s="1236" t="str">
        <f>IFERROR(Model!BE664/Model!BD664-1,"NA")</f>
        <v>NA</v>
      </c>
    </row>
    <row r="665" spans="1:74" x14ac:dyDescent="0.2">
      <c r="B665" s="364" t="s">
        <v>301</v>
      </c>
      <c r="C665" s="70"/>
      <c r="D665" s="1303"/>
      <c r="E665" s="1303"/>
      <c r="F665" s="1303"/>
      <c r="G665" s="1303"/>
      <c r="H665" s="1303">
        <f>IFERROR(Model!H665/Model!D665-1,"NA")</f>
        <v>-0.23236994219653184</v>
      </c>
      <c r="I665" s="1303">
        <f>IFERROR(Model!I665/Model!E665-1,"NA")</f>
        <v>-2.3943661971830954E-2</v>
      </c>
      <c r="J665" s="1303">
        <f>IFERROR(Model!J665/Model!F665-1,"NA")</f>
        <v>-0.18842530282637959</v>
      </c>
      <c r="K665" s="1303">
        <f>IFERROR(Model!K665/Model!G665-1,"NA")</f>
        <v>-0.12354651162790697</v>
      </c>
      <c r="L665" s="1303">
        <f>IFERROR(Model!L665/Model!H665-1,"NA")</f>
        <v>-0.1912650602409639</v>
      </c>
      <c r="M665" s="1303">
        <f>IFERROR(Model!M665/Model!I665-1,"NA")</f>
        <v>-0.1428571428571429</v>
      </c>
      <c r="N665" s="1303">
        <f>IFERROR(Model!N665/Model!J665-1,"NA")</f>
        <v>-0.1807628524046434</v>
      </c>
      <c r="O665" s="1303">
        <f>IFERROR(Model!O665/Model!K665-1,"NA")</f>
        <v>-0.31343283582089554</v>
      </c>
      <c r="P665" s="1303">
        <f>IFERROR(Model!P665/Model!L665-1,"NA")</f>
        <v>-0.18994413407821231</v>
      </c>
      <c r="Q665" s="1303">
        <f>IFERROR(Model!Q665/Model!M665-1,"NA")</f>
        <v>-0.29966329966329963</v>
      </c>
      <c r="R665" s="1303">
        <f>IFERROR(Model!R665/Model!N665-1,"NA")</f>
        <v>-0.21255060728744934</v>
      </c>
      <c r="S665" s="1303">
        <f>IFERROR(Model!S665/Model!O665-1,"NA")</f>
        <v>-0.18840579710144922</v>
      </c>
      <c r="T665" s="1303">
        <f>IFERROR(Model!T665/Model!P665-1,"NA")</f>
        <v>-0.38160919540229887</v>
      </c>
      <c r="U665" s="1303">
        <f>IFERROR(Model!U665/Model!Q665-1,"NA")</f>
        <v>-0.37740384615384615</v>
      </c>
      <c r="V665" s="1303">
        <f>IFERROR(Model!V665/Model!R665-1,"NA")</f>
        <v>-0.36760925449871462</v>
      </c>
      <c r="W665" s="1303">
        <f>IFERROR(Model!W665/Model!S665-1,"NA")</f>
        <v>-0.72023809523809523</v>
      </c>
      <c r="X665" s="1303">
        <f>IFERROR(Model!X665/Model!T665-1,"NA")</f>
        <v>-0.71747211895910779</v>
      </c>
      <c r="Y665" s="1303">
        <f>IFERROR(Model!Y665/Model!U665-1,"NA")</f>
        <v>-0.69111969111969107</v>
      </c>
      <c r="Z665" s="1303">
        <f>IFERROR(Model!Z665/Model!V665-1,"NA")</f>
        <v>-0.74390243902439024</v>
      </c>
      <c r="AA665" s="1303">
        <f>IFERROR(Model!AA665/Model!W665-1,"NA")</f>
        <v>-0.21276595744680848</v>
      </c>
      <c r="AB665" s="1303">
        <f>IFERROR(Model!AB665/Model!X665-1,"NA")</f>
        <v>0.15789473684210531</v>
      </c>
      <c r="AC665" s="1256" t="str">
        <f>IFERROR(Model!AC665/Model!Y665-1,"NA")</f>
        <v>NA</v>
      </c>
      <c r="AD665" s="1256" t="str">
        <f>IFERROR(Model!AD665/Model!Z665-1,"NA")</f>
        <v>NA</v>
      </c>
      <c r="AE665" s="1256" t="str">
        <f>IFERROR(Model!AE665/Model!AA665-1,"NA")</f>
        <v>NA</v>
      </c>
      <c r="AF665" s="1256" t="str">
        <f>IFERROR(Model!AF665/Model!AB665-1,"NA")</f>
        <v>NA</v>
      </c>
      <c r="AG665" s="1256" t="str">
        <f>IFERROR(Model!AG665/Model!AC665-1,"NA")</f>
        <v>NA</v>
      </c>
      <c r="AH665" s="1256" t="str">
        <f>IFERROR(Model!AH665/Model!AD665-1,"NA")</f>
        <v>NA</v>
      </c>
      <c r="AI665" s="1256" t="str">
        <f>IFERROR(Model!AI665/Model!AE665-1,"NA")</f>
        <v>NA</v>
      </c>
      <c r="AJ665" s="1256"/>
      <c r="AK665" s="1256"/>
      <c r="AL665" s="1256"/>
      <c r="AM665" s="1256"/>
      <c r="AN665" s="1256"/>
      <c r="AO665" s="1256"/>
      <c r="AP665" s="1256"/>
      <c r="AQ665" s="1256"/>
      <c r="AR665" s="1236"/>
      <c r="AS665" s="1277"/>
      <c r="AT665" s="1236"/>
      <c r="AU665" s="1236"/>
      <c r="AV665" s="1236">
        <f>IFERROR(Model!AV665/Model!AU665-1,"NA")</f>
        <v>-0.14737192282102463</v>
      </c>
      <c r="AW665" s="1236">
        <f>IFERROR(Model!AW665/Model!AV665-1,"NA")</f>
        <v>-0.20444791260241901</v>
      </c>
      <c r="AX665" s="1236">
        <f>IFERROR(Model!AX665/Model!AW665-1,"NA")</f>
        <v>-0.2270720941638058</v>
      </c>
      <c r="AY665" s="1236">
        <f>IFERROR(Model!AY665/Model!AX665-1,"NA")</f>
        <v>-0.449238578680203</v>
      </c>
      <c r="AZ665" s="1236" t="str">
        <f>IFERROR(Model!AZ665/Model!AY665-1,"NA")</f>
        <v>NA</v>
      </c>
      <c r="BA665" s="1236" t="str">
        <f>IFERROR(Model!BA665/Model!AZ665-1,"NA")</f>
        <v>NA</v>
      </c>
      <c r="BB665" s="1236" t="str">
        <f>IFERROR(Model!BB665/Model!BA665-1,"NA")</f>
        <v>NA</v>
      </c>
      <c r="BC665" s="1236" t="str">
        <f>IFERROR(Model!BC665/Model!BB665-1,"NA")</f>
        <v>NA</v>
      </c>
      <c r="BD665" s="1236" t="str">
        <f>IFERROR(Model!BD665/Model!BC665-1,"NA")</f>
        <v>NA</v>
      </c>
      <c r="BE665" s="1236" t="str">
        <f>IFERROR(Model!BE665/Model!BD665-1,"NA")</f>
        <v>NA</v>
      </c>
    </row>
    <row r="666" spans="1:74" x14ac:dyDescent="0.2">
      <c r="A666" s="830"/>
      <c r="B666" s="585" t="s">
        <v>16</v>
      </c>
      <c r="C666" s="28"/>
      <c r="D666" s="1316"/>
      <c r="E666" s="1316"/>
      <c r="F666" s="1316"/>
      <c r="G666" s="1316"/>
      <c r="H666" s="1316">
        <f>IFERROR(Model!H666/Model!D666-1,"NA")</f>
        <v>-0.15830115830115832</v>
      </c>
      <c r="I666" s="1316">
        <f>IFERROR(Model!I666/Model!E666-1,"NA")</f>
        <v>-0.30693069306930698</v>
      </c>
      <c r="J666" s="1316">
        <f>IFERROR(Model!J666/Model!F666-1,"NA")</f>
        <v>-0.30835734870317</v>
      </c>
      <c r="K666" s="1316">
        <f>IFERROR(Model!K666/Model!G666-1,"NA")</f>
        <v>-0.62608695652173907</v>
      </c>
      <c r="L666" s="1316">
        <f>IFERROR(Model!L666/Model!H666-1,"NA")</f>
        <v>-0.90366972477064222</v>
      </c>
      <c r="M666" s="1316">
        <f>IFERROR(Model!M666/Model!I666-1,"NA")</f>
        <v>-1.0047619047619047</v>
      </c>
      <c r="N666" s="1316">
        <f>IFERROR(Model!N666/Model!J666-1,"NA")</f>
        <v>-0.79166666666666663</v>
      </c>
      <c r="O666" s="1316">
        <f>IFERROR(Model!O666/Model!K666-1,"NA")</f>
        <v>-0.41085271317829453</v>
      </c>
      <c r="P666" s="1316">
        <f>IFERROR(Model!P666/Model!L666-1,"NA")</f>
        <v>-8.0476190476190474</v>
      </c>
      <c r="Q666" s="1316">
        <f>IFERROR(Model!Q666/Model!M666-1,"NA")</f>
        <v>209</v>
      </c>
      <c r="R666" s="1316">
        <f>IFERROR(Model!R666/Model!N666-1,"NA")</f>
        <v>-4.4000000000000004</v>
      </c>
      <c r="S666" s="1316">
        <f>IFERROR(Model!S666/Model!O666-1,"NA")</f>
        <v>-3.5526315789473686</v>
      </c>
      <c r="T666" s="1316">
        <f>IFERROR(Model!T666/Model!P666-1,"NA")</f>
        <v>0.90540540540540548</v>
      </c>
      <c r="U666" s="1316">
        <f>IFERROR(Model!U666/Model!Q666-1,"NA")</f>
        <v>0.26190476190476186</v>
      </c>
      <c r="V666" s="1316">
        <f>IFERROR(Model!V666/Model!R666-1,"NA")</f>
        <v>0.34705882352941186</v>
      </c>
      <c r="W666" s="1316">
        <f>IFERROR(Model!W666/Model!S666-1,"NA")</f>
        <v>0.42783505154639179</v>
      </c>
      <c r="X666" s="1316">
        <f>IFERROR(Model!X666/Model!T666-1,"NA")</f>
        <v>-1.4184397163120588E-2</v>
      </c>
      <c r="Y666" s="1316">
        <f>IFERROR(Model!Y666/Model!U666-1,"NA")</f>
        <v>0.15849056603773581</v>
      </c>
      <c r="Z666" s="1316">
        <f>IFERROR(Model!Z666/Model!V666-1,"NA")</f>
        <v>0.24454148471615711</v>
      </c>
      <c r="AA666" s="1316">
        <f>IFERROR(Model!AA666/Model!W666-1,"NA")</f>
        <v>-0.3465703971119134</v>
      </c>
      <c r="AB666" s="1316">
        <f>IFERROR(Model!AB666/Model!X666-1,"NA")</f>
        <v>1.0791366906474753E-2</v>
      </c>
      <c r="AC666" s="1257" t="str">
        <f>IFERROR(Model!AC666/Model!Y666-1,"NA")</f>
        <v>NA</v>
      </c>
      <c r="AD666" s="1257" t="str">
        <f>IFERROR(Model!AD666/Model!Z666-1,"NA")</f>
        <v>NA</v>
      </c>
      <c r="AE666" s="1257" t="str">
        <f>IFERROR(Model!AE666/Model!AA666-1,"NA")</f>
        <v>NA</v>
      </c>
      <c r="AF666" s="1257" t="str">
        <f>IFERROR(Model!AF666/Model!AB666-1,"NA")</f>
        <v>NA</v>
      </c>
      <c r="AG666" s="1257" t="str">
        <f>IFERROR(Model!AG666/Model!AC666-1,"NA")</f>
        <v>NA</v>
      </c>
      <c r="AH666" s="1257" t="str">
        <f>IFERROR(Model!AH666/Model!AD666-1,"NA")</f>
        <v>NA</v>
      </c>
      <c r="AI666" s="1257" t="str">
        <f>IFERROR(Model!AI666/Model!AE666-1,"NA")</f>
        <v>NA</v>
      </c>
      <c r="AJ666" s="1338"/>
      <c r="AK666" s="1338"/>
      <c r="AL666" s="1338"/>
      <c r="AM666" s="1338"/>
      <c r="AN666" s="1338"/>
      <c r="AO666" s="1338"/>
      <c r="AP666" s="1338"/>
      <c r="AQ666" s="1338"/>
      <c r="AR666" s="1236"/>
      <c r="AS666" s="1469"/>
      <c r="AT666" s="1246"/>
      <c r="AU666" s="1246"/>
      <c r="AV666" s="1246">
        <f>IFERROR(Model!AV666/Model!AU666-1,"NA")</f>
        <v>-0.36443381180223289</v>
      </c>
      <c r="AW666" s="1246">
        <f>IFERROR(Model!AW666/Model!AV666-1,"NA")</f>
        <v>-0.8168130489335006</v>
      </c>
      <c r="AX666" s="1246">
        <f>IFERROR(Model!AX666/Model!AW666-1,"NA")</f>
        <v>-5.9452054794520546</v>
      </c>
      <c r="AY666" s="1246">
        <f>IFERROR(Model!AY666/Model!AX666-1,"NA")</f>
        <v>0.45844875346260383</v>
      </c>
      <c r="AZ666" s="1246" t="str">
        <f>IFERROR(Model!AZ666/Model!AY666-1,"NA")</f>
        <v>NA</v>
      </c>
      <c r="BA666" s="1246" t="str">
        <f>IFERROR(Model!BA666/Model!AZ666-1,"NA")</f>
        <v>NA</v>
      </c>
      <c r="BB666" s="1246" t="str">
        <f>IFERROR(Model!BB666/Model!BA666-1,"NA")</f>
        <v>NA</v>
      </c>
      <c r="BC666" s="1246" t="str">
        <f>IFERROR(Model!BC666/Model!BB666-1,"NA")</f>
        <v>NA</v>
      </c>
      <c r="BD666" s="1246" t="str">
        <f>IFERROR(Model!BD666/Model!BC666-1,"NA")</f>
        <v>NA</v>
      </c>
      <c r="BE666" s="1246" t="str">
        <f>IFERROR(Model!BE666/Model!BD666-1,"NA")</f>
        <v>NA</v>
      </c>
    </row>
    <row r="667" spans="1:74" x14ac:dyDescent="0.2">
      <c r="B667" s="319" t="s">
        <v>658</v>
      </c>
      <c r="D667" s="1308"/>
      <c r="E667" s="1308"/>
      <c r="F667" s="1308"/>
      <c r="G667" s="1308"/>
      <c r="H667" s="1308">
        <f>IFERROR(Model!H667/Model!D667-1,"NA")</f>
        <v>-5.5729984301412849E-2</v>
      </c>
      <c r="I667" s="1308">
        <f>IFERROR(Model!I667/Model!E667-1,"NA")</f>
        <v>0.151685393258427</v>
      </c>
      <c r="J667" s="1308">
        <f>IFERROR(Model!J667/Model!F667-1,"NA")</f>
        <v>4.1020966271649861E-2</v>
      </c>
      <c r="K667" s="1308">
        <f>IFERROR(Model!K667/Model!G667-1,"NA")</f>
        <v>0.25290697674418605</v>
      </c>
      <c r="L667" s="1308">
        <f>IFERROR(Model!L667/Model!H667-1,"NA")</f>
        <v>0.14546965918536992</v>
      </c>
      <c r="M667" s="1308">
        <f>IFERROR(Model!M667/Model!I667-1,"NA")</f>
        <v>0.1821138211382114</v>
      </c>
      <c r="N667" s="1308">
        <f>IFERROR(Model!N667/Model!J667-1,"NA")</f>
        <v>0.14185639229422065</v>
      </c>
      <c r="O667" s="1308">
        <f>IFERROR(Model!O667/Model!K667-1,"NA")</f>
        <v>-7.3472544470224332E-2</v>
      </c>
      <c r="P667" s="1308">
        <f>IFERROR(Model!P667/Model!L667-1,"NA")</f>
        <v>2.3947750362844689E-2</v>
      </c>
      <c r="Q667" s="1308">
        <f>IFERROR(Model!Q667/Model!M667-1,"NA")</f>
        <v>-2.8885832187070193E-2</v>
      </c>
      <c r="R667" s="1308">
        <f>IFERROR(Model!R667/Model!N667-1,"NA")</f>
        <v>1.8404907975460016E-2</v>
      </c>
      <c r="S667" s="1308">
        <f>IFERROR(Model!S667/Model!O667-1,"NA")</f>
        <v>-0.11602671118530883</v>
      </c>
      <c r="T667" s="1308">
        <f>IFERROR(Model!T667/Model!P667-1,"NA")</f>
        <v>-0.36924167257264351</v>
      </c>
      <c r="U667" s="1308">
        <f>IFERROR(Model!U667/Model!Q667-1,"NA")</f>
        <v>-0.41926345609065152</v>
      </c>
      <c r="V667" s="1308">
        <f>IFERROR(Model!V667/Model!R667-1,"NA")</f>
        <v>-0.46837349397590367</v>
      </c>
      <c r="W667" s="1308">
        <f>IFERROR(Model!W667/Model!S667-1,"NA")</f>
        <v>-0.46270066100094431</v>
      </c>
      <c r="X667" s="1308">
        <f>IFERROR(Model!X667/Model!T667-1,"NA")</f>
        <v>-0.37303370786516854</v>
      </c>
      <c r="Y667" s="1308">
        <f>IFERROR(Model!Y667/Model!U667-1,"NA")</f>
        <v>-0.39390243902439026</v>
      </c>
      <c r="Z667" s="1308">
        <f>IFERROR(Model!Z667/Model!V667-1,"NA")</f>
        <v>-0.26912181303116145</v>
      </c>
      <c r="AA667" s="1308">
        <f>IFERROR(Model!AA667/Model!W667-1,"NA")</f>
        <v>-0.24604569420035149</v>
      </c>
      <c r="AB667" s="1308">
        <f>IFERROR(Model!AB667/Model!X667-1,"NA")</f>
        <v>-3.5842293906810041E-2</v>
      </c>
      <c r="AC667" s="407">
        <f>IFERROR(Model!AC667/Model!Y667-1,"NA")</f>
        <v>-0.23790854717345178</v>
      </c>
      <c r="AD667" s="407">
        <f>IFERROR(Model!AD667/Model!Z667-1,"NA")</f>
        <v>-0.29769913985345653</v>
      </c>
      <c r="AE667" s="407">
        <f>IFERROR(Model!AE667/Model!AA667-1,"NA")</f>
        <v>-0.20042332024140252</v>
      </c>
      <c r="AF667" s="407">
        <f>IFERROR(Model!AF667/Model!AB667-1,"NA")</f>
        <v>-0.41656569109334418</v>
      </c>
      <c r="AG667" s="407">
        <f>IFERROR(Model!AG667/Model!AC667-1,"NA")</f>
        <v>-0.21591928436018959</v>
      </c>
      <c r="AH667" s="407">
        <f>IFERROR(Model!AH667/Model!AD667-1,"NA")</f>
        <v>-0.21733112226656981</v>
      </c>
      <c r="AI667" s="407">
        <f>IFERROR(Model!AI667/Model!AE667-1,"NA")</f>
        <v>-0.21847340725132269</v>
      </c>
      <c r="AJ667" s="407"/>
      <c r="AK667" s="407"/>
      <c r="AL667" s="407"/>
      <c r="AM667" s="407"/>
      <c r="AN667" s="407"/>
      <c r="AO667" s="407"/>
      <c r="AP667" s="407"/>
      <c r="AQ667" s="407"/>
      <c r="AR667" s="1236"/>
      <c r="AS667" s="1248"/>
      <c r="AT667" s="407"/>
      <c r="AU667" s="1236"/>
      <c r="AV667" s="1236">
        <f>IFERROR(Model!AV667/Model!AU667-1,"NA")</f>
        <v>8.8794453142473806E-2</v>
      </c>
      <c r="AW667" s="1236">
        <f>IFERROR(Model!AW667/Model!AV667-1,"NA")</f>
        <v>9.5727198027937499E-2</v>
      </c>
      <c r="AX667" s="1236">
        <f>IFERROR(Model!AX667/Model!AW667-1,"NA")</f>
        <v>-2.3247094113235889E-2</v>
      </c>
      <c r="AY667" s="1236">
        <f>IFERROR(Model!AY667/Model!AX667-1,"NA")</f>
        <v>-0.42706333973128596</v>
      </c>
      <c r="AZ667" s="1236">
        <f>IFERROR(Model!AZ667/Model!AY667-1,"NA")</f>
        <v>-0.32998324958123948</v>
      </c>
      <c r="BA667" s="1236">
        <f>IFERROR(Model!BA667/Model!AZ667-1,"NA")</f>
        <v>-0.18891745424657536</v>
      </c>
      <c r="BB667" s="407">
        <f>IFERROR(Model!BB667/Model!BA667-1,"NA")</f>
        <v>-0.28332026011712297</v>
      </c>
      <c r="BC667" s="407">
        <f>IFERROR(Model!BC667/Model!BB667-1,"NA")</f>
        <v>-0.21039171539309265</v>
      </c>
      <c r="BD667" s="407">
        <f>IFERROR(Model!BD667/Model!BC667-1,"NA")</f>
        <v>-0.20825077733078334</v>
      </c>
      <c r="BE667" s="407">
        <f>IFERROR(Model!BE667/Model!BD667-1,"NA")</f>
        <v>-0.20625256868807618</v>
      </c>
    </row>
    <row r="668" spans="1:74" x14ac:dyDescent="0.2">
      <c r="B668" s="319"/>
      <c r="D668" s="1308"/>
      <c r="E668" s="1308"/>
      <c r="F668" s="1308"/>
      <c r="G668" s="1308"/>
      <c r="H668" s="1308"/>
      <c r="I668" s="1308"/>
      <c r="J668" s="1308"/>
      <c r="K668" s="1308"/>
      <c r="L668" s="1308"/>
      <c r="M668" s="1308"/>
      <c r="N668" s="1308"/>
      <c r="O668" s="1308"/>
      <c r="P668" s="1308"/>
      <c r="Q668" s="1308"/>
      <c r="R668" s="1308"/>
      <c r="S668" s="1308"/>
      <c r="T668" s="1308"/>
      <c r="U668" s="1308"/>
      <c r="V668" s="1308"/>
      <c r="W668" s="1308"/>
      <c r="X668" s="1308"/>
      <c r="Y668" s="1308"/>
      <c r="Z668" s="1308"/>
      <c r="AA668" s="1308"/>
      <c r="AB668" s="1308"/>
      <c r="AC668" s="407"/>
      <c r="AD668" s="407"/>
      <c r="AE668" s="407"/>
      <c r="AF668" s="407"/>
      <c r="AG668" s="407"/>
      <c r="AH668" s="407"/>
      <c r="AI668" s="407"/>
      <c r="AJ668" s="407"/>
      <c r="AK668" s="407"/>
      <c r="AL668" s="407"/>
      <c r="AM668" s="407"/>
      <c r="AN668" s="407"/>
      <c r="AO668" s="407"/>
      <c r="AP668" s="407"/>
      <c r="AQ668" s="407"/>
      <c r="AR668" s="1236"/>
      <c r="AS668" s="1248"/>
      <c r="AT668" s="407"/>
      <c r="AU668" s="1236"/>
      <c r="AV668" s="1236"/>
      <c r="AW668" s="1236"/>
      <c r="AX668" s="1236"/>
      <c r="AY668" s="1236"/>
      <c r="AZ668" s="1236"/>
      <c r="BA668" s="1236"/>
      <c r="BB668" s="407"/>
      <c r="BC668" s="407"/>
      <c r="BD668" s="407"/>
      <c r="BE668" s="407"/>
    </row>
    <row r="669" spans="1:74" x14ac:dyDescent="0.2">
      <c r="B669" s="326" t="s">
        <v>659</v>
      </c>
      <c r="C669" s="388"/>
      <c r="D669" s="1310"/>
      <c r="E669" s="1310"/>
      <c r="F669" s="1310"/>
      <c r="G669" s="1310"/>
      <c r="H669" s="1407"/>
      <c r="I669" s="1407"/>
      <c r="J669" s="1407"/>
      <c r="K669" s="1417"/>
      <c r="L669" s="1407"/>
      <c r="M669" s="1407"/>
      <c r="N669" s="1407"/>
      <c r="O669" s="1417"/>
      <c r="P669" s="1407"/>
      <c r="Q669" s="1407"/>
      <c r="R669" s="1407"/>
      <c r="S669" s="1417"/>
      <c r="T669" s="1407"/>
      <c r="U669" s="1407"/>
      <c r="V669" s="1407"/>
      <c r="W669" s="1417"/>
      <c r="X669" s="1417"/>
      <c r="Y669" s="1417"/>
      <c r="Z669" s="1417"/>
      <c r="AA669" s="1417"/>
      <c r="AB669" s="1417"/>
      <c r="AC669" s="1398"/>
      <c r="AD669" s="1398"/>
      <c r="AE669" s="1398"/>
      <c r="AF669" s="1398"/>
      <c r="AG669" s="1398"/>
      <c r="AH669" s="1398"/>
      <c r="AI669" s="1398"/>
      <c r="AJ669" s="1398"/>
      <c r="AK669" s="1398"/>
      <c r="AL669" s="1398"/>
      <c r="AM669" s="1398"/>
      <c r="AN669" s="1398"/>
      <c r="AO669" s="1398"/>
      <c r="AP669" s="1398"/>
      <c r="AQ669" s="1398"/>
      <c r="AR669" s="1236"/>
      <c r="AS669" s="1313"/>
      <c r="AT669" s="1407"/>
      <c r="AU669" s="1312"/>
      <c r="AV669" s="1312"/>
      <c r="AW669" s="1312"/>
      <c r="AX669" s="1312"/>
      <c r="AY669" s="1312"/>
      <c r="AZ669" s="1312"/>
      <c r="BA669" s="1312"/>
      <c r="BB669" s="1398"/>
      <c r="BC669" s="1398"/>
      <c r="BD669" s="1398"/>
      <c r="BE669" s="1398"/>
      <c r="BF669" s="390"/>
      <c r="BG669" s="390"/>
      <c r="BH669" s="390"/>
      <c r="BI669" s="390"/>
      <c r="BJ669" s="390"/>
      <c r="BK669" s="390"/>
      <c r="BL669" s="390"/>
      <c r="BM669" s="390"/>
      <c r="BN669" s="390"/>
      <c r="BO669" s="390"/>
      <c r="BP669" s="390"/>
      <c r="BQ669" s="390"/>
      <c r="BR669" s="390"/>
      <c r="BS669" s="390"/>
      <c r="BT669" s="390"/>
      <c r="BU669" s="390"/>
      <c r="BV669" s="390"/>
    </row>
    <row r="670" spans="1:74" x14ac:dyDescent="0.2">
      <c r="B670" s="65" t="s">
        <v>559</v>
      </c>
      <c r="D670" s="407"/>
      <c r="E670" s="407"/>
      <c r="F670" s="407"/>
      <c r="G670" s="407"/>
      <c r="H670" s="407"/>
      <c r="I670" s="407"/>
      <c r="J670" s="407"/>
      <c r="K670" s="407"/>
      <c r="L670" s="407"/>
      <c r="M670" s="407"/>
      <c r="N670" s="407"/>
      <c r="O670" s="407"/>
      <c r="P670" s="407"/>
      <c r="Q670" s="407"/>
      <c r="R670" s="407"/>
      <c r="S670" s="407"/>
      <c r="T670" s="407"/>
      <c r="U670" s="407"/>
      <c r="V670" s="407"/>
      <c r="W670" s="407"/>
      <c r="X670" s="407"/>
      <c r="Y670" s="407"/>
      <c r="Z670" s="407"/>
      <c r="AA670" s="407"/>
      <c r="AB670" s="407"/>
      <c r="AC670" s="407"/>
      <c r="AD670" s="407"/>
      <c r="AE670" s="407"/>
      <c r="AF670" s="407"/>
      <c r="AG670" s="407"/>
      <c r="AH670" s="407"/>
      <c r="AI670" s="407"/>
      <c r="AJ670" s="407"/>
      <c r="AK670" s="407"/>
      <c r="AL670" s="407"/>
      <c r="AM670" s="407"/>
      <c r="AN670" s="407"/>
      <c r="AO670" s="407"/>
      <c r="AP670" s="407"/>
      <c r="AQ670" s="407"/>
      <c r="AR670" s="1236"/>
      <c r="AS670" s="1329"/>
      <c r="AT670" s="407"/>
      <c r="AU670" s="1236"/>
      <c r="AV670" s="1236"/>
      <c r="AW670" s="1236"/>
      <c r="AX670" s="1236"/>
      <c r="AY670" s="1236"/>
      <c r="AZ670" s="1236"/>
      <c r="BA670" s="1236"/>
      <c r="BB670" s="407"/>
      <c r="BC670" s="407"/>
      <c r="BD670" s="407"/>
      <c r="BE670" s="407"/>
    </row>
    <row r="671" spans="1:74" x14ac:dyDescent="0.2">
      <c r="B671" s="319"/>
      <c r="C671" s="319" t="s">
        <v>298</v>
      </c>
      <c r="D671" s="1274"/>
      <c r="E671" s="1274"/>
      <c r="F671" s="1274"/>
      <c r="G671" s="1274"/>
      <c r="H671" s="1274"/>
      <c r="I671" s="1274"/>
      <c r="J671" s="1274"/>
      <c r="K671" s="1274"/>
      <c r="L671" s="1274"/>
      <c r="M671" s="1274"/>
      <c r="N671" s="1274"/>
      <c r="O671" s="1274"/>
      <c r="P671" s="1274"/>
      <c r="Q671" s="1274"/>
      <c r="R671" s="1274"/>
      <c r="S671" s="1274"/>
      <c r="T671" s="1274"/>
      <c r="U671" s="1274"/>
      <c r="V671" s="1274"/>
      <c r="W671" s="1274"/>
      <c r="X671" s="1274"/>
      <c r="Y671" s="1274"/>
      <c r="Z671" s="1274"/>
      <c r="AA671" s="1274"/>
      <c r="AB671" s="1274"/>
      <c r="AC671" s="1250"/>
      <c r="AD671" s="1250"/>
      <c r="AE671" s="1250"/>
      <c r="AF671" s="1250"/>
      <c r="AG671" s="1250"/>
      <c r="AH671" s="1250"/>
      <c r="AI671" s="1250"/>
      <c r="AJ671" s="1250"/>
      <c r="AK671" s="1250"/>
      <c r="AL671" s="1250"/>
      <c r="AM671" s="1250"/>
      <c r="AN671" s="1250"/>
      <c r="AO671" s="1250"/>
      <c r="AP671" s="1250"/>
      <c r="AQ671" s="1250"/>
      <c r="AR671" s="1236"/>
      <c r="AS671" s="1248"/>
      <c r="AT671" s="1248"/>
      <c r="AU671" s="1274"/>
      <c r="AV671" s="1274"/>
      <c r="AW671" s="1274"/>
      <c r="AX671" s="1274"/>
      <c r="AY671" s="1274"/>
      <c r="AZ671" s="1250"/>
      <c r="BA671" s="1250"/>
      <c r="BB671" s="1250"/>
      <c r="BC671" s="1250"/>
      <c r="BD671" s="1250"/>
      <c r="BE671" s="1250"/>
    </row>
    <row r="672" spans="1:74" x14ac:dyDescent="0.2">
      <c r="B672" s="580"/>
      <c r="C672" s="580" t="s">
        <v>16</v>
      </c>
      <c r="D672" s="1470"/>
      <c r="E672" s="1470"/>
      <c r="F672" s="1470"/>
      <c r="G672" s="1470"/>
      <c r="H672" s="1470"/>
      <c r="I672" s="1470"/>
      <c r="J672" s="1470"/>
      <c r="K672" s="1470"/>
      <c r="L672" s="1470"/>
      <c r="M672" s="1470"/>
      <c r="N672" s="1470"/>
      <c r="O672" s="1470"/>
      <c r="P672" s="1470"/>
      <c r="Q672" s="1470"/>
      <c r="R672" s="1470"/>
      <c r="S672" s="1470"/>
      <c r="T672" s="1470"/>
      <c r="U672" s="1470"/>
      <c r="V672" s="1470"/>
      <c r="W672" s="1470"/>
      <c r="X672" s="1470"/>
      <c r="Y672" s="1470"/>
      <c r="Z672" s="1470"/>
      <c r="AA672" s="1470"/>
      <c r="AB672" s="1470"/>
      <c r="AC672" s="1246"/>
      <c r="AD672" s="1246"/>
      <c r="AE672" s="1246"/>
      <c r="AF672" s="1246"/>
      <c r="AG672" s="1246"/>
      <c r="AH672" s="1246"/>
      <c r="AI672" s="1246"/>
      <c r="AJ672" s="1236"/>
      <c r="AK672" s="1236"/>
      <c r="AL672" s="1236"/>
      <c r="AM672" s="1236"/>
      <c r="AN672" s="1236"/>
      <c r="AO672" s="1236"/>
      <c r="AP672" s="1236"/>
      <c r="AQ672" s="1236"/>
      <c r="AR672" s="1236"/>
      <c r="AS672" s="1298"/>
      <c r="AT672" s="1298"/>
      <c r="AU672" s="1470"/>
      <c r="AV672" s="1470"/>
      <c r="AW672" s="1470"/>
      <c r="AX672" s="1470"/>
      <c r="AY672" s="1470"/>
      <c r="AZ672" s="1246"/>
      <c r="BA672" s="1246"/>
      <c r="BB672" s="1246"/>
      <c r="BC672" s="1246"/>
      <c r="BD672" s="1246"/>
      <c r="BE672" s="1246"/>
    </row>
    <row r="673" spans="2:74" s="70" customFormat="1" x14ac:dyDescent="0.2">
      <c r="B673" s="319" t="s">
        <v>297</v>
      </c>
      <c r="C673" s="15"/>
      <c r="D673" s="1311"/>
      <c r="E673" s="1311"/>
      <c r="F673" s="1311"/>
      <c r="G673" s="1311"/>
      <c r="H673" s="1311"/>
      <c r="I673" s="1311"/>
      <c r="J673" s="1311"/>
      <c r="K673" s="1311"/>
      <c r="L673" s="1311"/>
      <c r="M673" s="1311"/>
      <c r="N673" s="1311"/>
      <c r="O673" s="1311"/>
      <c r="P673" s="1311"/>
      <c r="Q673" s="1311"/>
      <c r="R673" s="1311"/>
      <c r="S673" s="1311"/>
      <c r="T673" s="1311"/>
      <c r="U673" s="1311"/>
      <c r="V673" s="1311"/>
      <c r="W673" s="1311"/>
      <c r="X673" s="1311"/>
      <c r="Y673" s="1311"/>
      <c r="Z673" s="1311"/>
      <c r="AA673" s="1311"/>
      <c r="AB673" s="1311"/>
      <c r="AC673" s="1250"/>
      <c r="AD673" s="1250"/>
      <c r="AE673" s="1250"/>
      <c r="AF673" s="1250"/>
      <c r="AG673" s="1250"/>
      <c r="AH673" s="1250"/>
      <c r="AI673" s="1250"/>
      <c r="AJ673" s="1250"/>
      <c r="AK673" s="1250"/>
      <c r="AL673" s="1250"/>
      <c r="AM673" s="1250"/>
      <c r="AN673" s="1250"/>
      <c r="AO673" s="1250"/>
      <c r="AP673" s="1250"/>
      <c r="AQ673" s="1250"/>
      <c r="AR673" s="1236"/>
      <c r="AS673" s="1248"/>
      <c r="AT673" s="1250"/>
      <c r="AU673" s="1311"/>
      <c r="AV673" s="1311"/>
      <c r="AW673" s="1311"/>
      <c r="AX673" s="1311"/>
      <c r="AY673" s="1311"/>
      <c r="AZ673" s="1250"/>
      <c r="BA673" s="1250"/>
      <c r="BB673" s="1250"/>
      <c r="BC673" s="1250"/>
      <c r="BD673" s="1250"/>
      <c r="BE673" s="1250"/>
    </row>
    <row r="674" spans="2:74" s="70" customFormat="1" x14ac:dyDescent="0.2">
      <c r="B674" s="364" t="s">
        <v>301</v>
      </c>
      <c r="D674" s="1274"/>
      <c r="E674" s="1274"/>
      <c r="F674" s="1274"/>
      <c r="G674" s="1274"/>
      <c r="H674" s="1274"/>
      <c r="I674" s="1274"/>
      <c r="J674" s="1274"/>
      <c r="K674" s="1274"/>
      <c r="L674" s="1274"/>
      <c r="M674" s="1274"/>
      <c r="N674" s="1274"/>
      <c r="O674" s="1274"/>
      <c r="P674" s="1274"/>
      <c r="Q674" s="1274"/>
      <c r="R674" s="1274"/>
      <c r="S674" s="1274"/>
      <c r="T674" s="1274"/>
      <c r="U674" s="1274"/>
      <c r="V674" s="1274"/>
      <c r="W674" s="1274"/>
      <c r="X674" s="1274"/>
      <c r="Y674" s="1274"/>
      <c r="Z674" s="1274"/>
      <c r="AA674" s="1274"/>
      <c r="AB674" s="1274"/>
      <c r="AC674" s="1250"/>
      <c r="AD674" s="1250"/>
      <c r="AE674" s="1250"/>
      <c r="AF674" s="1250"/>
      <c r="AG674" s="1250"/>
      <c r="AH674" s="1250"/>
      <c r="AI674" s="1250"/>
      <c r="AJ674" s="1250"/>
      <c r="AK674" s="1250"/>
      <c r="AL674" s="1250"/>
      <c r="AM674" s="1250"/>
      <c r="AN674" s="1250"/>
      <c r="AO674" s="1250"/>
      <c r="AP674" s="1250"/>
      <c r="AQ674" s="1250"/>
      <c r="AR674" s="1236"/>
      <c r="AS674" s="1277"/>
      <c r="AT674" s="1236"/>
      <c r="AU674" s="1274"/>
      <c r="AV674" s="1274"/>
      <c r="AW674" s="1274"/>
      <c r="AX674" s="1274"/>
      <c r="AY674" s="1274"/>
      <c r="AZ674" s="1250"/>
      <c r="BA674" s="1250"/>
      <c r="BB674" s="1250"/>
      <c r="BC674" s="1250"/>
      <c r="BD674" s="1250"/>
      <c r="BE674" s="1250"/>
    </row>
    <row r="675" spans="2:74" s="70" customFormat="1" x14ac:dyDescent="0.2">
      <c r="B675" s="10"/>
      <c r="C675" s="1217"/>
      <c r="D675" s="407"/>
      <c r="E675" s="407"/>
      <c r="F675" s="407"/>
      <c r="G675" s="407"/>
      <c r="H675" s="407"/>
      <c r="I675" s="407"/>
      <c r="J675" s="407"/>
      <c r="K675" s="407"/>
      <c r="L675" s="407"/>
      <c r="M675" s="407"/>
      <c r="N675" s="407"/>
      <c r="O675" s="407"/>
      <c r="P675" s="407"/>
      <c r="Q675" s="407"/>
      <c r="R675" s="407"/>
      <c r="S675" s="407"/>
      <c r="T675" s="407"/>
      <c r="U675" s="407"/>
      <c r="V675" s="407"/>
      <c r="W675" s="407"/>
      <c r="X675" s="407"/>
      <c r="Y675" s="407"/>
      <c r="Z675" s="407"/>
      <c r="AA675" s="407"/>
      <c r="AB675" s="407"/>
      <c r="AC675" s="407"/>
      <c r="AD675" s="407"/>
      <c r="AE675" s="407"/>
      <c r="AF675" s="407"/>
      <c r="AG675" s="407"/>
      <c r="AH675" s="407"/>
      <c r="AI675" s="407"/>
      <c r="AJ675" s="407"/>
      <c r="AK675" s="407"/>
      <c r="AL675" s="407"/>
      <c r="AM675" s="407"/>
      <c r="AN675" s="407"/>
      <c r="AO675" s="407"/>
      <c r="AP675" s="407"/>
      <c r="AQ675" s="407"/>
      <c r="AR675" s="1236"/>
      <c r="AS675" s="1382"/>
      <c r="AT675" s="407"/>
      <c r="AU675" s="407"/>
      <c r="AV675" s="407"/>
      <c r="AW675" s="407"/>
      <c r="AX675" s="407"/>
      <c r="AY675" s="407"/>
      <c r="AZ675" s="407"/>
      <c r="BA675" s="407"/>
      <c r="BB675" s="407"/>
      <c r="BC675" s="407"/>
      <c r="BD675" s="407"/>
      <c r="BE675" s="407"/>
    </row>
    <row r="676" spans="2:74" s="70" customFormat="1" x14ac:dyDescent="0.2">
      <c r="B676" s="35" t="s">
        <v>972</v>
      </c>
      <c r="C676" s="1217"/>
      <c r="D676" s="1242"/>
      <c r="E676" s="1242"/>
      <c r="F676" s="1242"/>
      <c r="G676" s="1242"/>
      <c r="H676" s="1242"/>
      <c r="I676" s="1242"/>
      <c r="J676" s="1242"/>
      <c r="K676" s="1242"/>
      <c r="L676" s="1242"/>
      <c r="M676" s="1242"/>
      <c r="N676" s="1242"/>
      <c r="O676" s="1242"/>
      <c r="P676" s="1242"/>
      <c r="Q676" s="1242"/>
      <c r="R676" s="1242"/>
      <c r="S676" s="1242"/>
      <c r="T676" s="1242"/>
      <c r="U676" s="1242"/>
      <c r="V676" s="1242"/>
      <c r="W676" s="1242"/>
      <c r="X676" s="1242"/>
      <c r="Y676" s="1242"/>
      <c r="Z676" s="1242"/>
      <c r="AA676" s="1242"/>
      <c r="AB676" s="1242"/>
      <c r="AC676" s="1429"/>
      <c r="AD676" s="1429"/>
      <c r="AE676" s="1429"/>
      <c r="AF676" s="1429"/>
      <c r="AG676" s="1429"/>
      <c r="AH676" s="1429"/>
      <c r="AI676" s="1429"/>
      <c r="AJ676" s="1429"/>
      <c r="AK676" s="1429"/>
      <c r="AL676" s="1429"/>
      <c r="AM676" s="1429"/>
      <c r="AN676" s="1429"/>
      <c r="AO676" s="1429"/>
      <c r="AP676" s="1429"/>
      <c r="AQ676" s="1429"/>
      <c r="AR676" s="1236"/>
      <c r="AS676" s="407"/>
      <c r="AT676" s="407"/>
      <c r="AU676" s="1242"/>
      <c r="AV676" s="1242"/>
      <c r="AW676" s="1242"/>
      <c r="AX676" s="1242"/>
      <c r="AY676" s="1242"/>
      <c r="AZ676" s="1242"/>
      <c r="BA676" s="1242"/>
      <c r="BB676" s="1429"/>
      <c r="BC676" s="1429"/>
      <c r="BD676" s="1429"/>
      <c r="BE676" s="1429"/>
    </row>
    <row r="677" spans="2:74" s="70" customFormat="1" x14ac:dyDescent="0.2">
      <c r="B677" s="319"/>
      <c r="C677" s="1217"/>
      <c r="D677" s="1308"/>
      <c r="E677" s="1308"/>
      <c r="F677" s="1308"/>
      <c r="G677" s="1308"/>
      <c r="H677" s="1308"/>
      <c r="I677" s="1308"/>
      <c r="J677" s="1308"/>
      <c r="K677" s="1308"/>
      <c r="L677" s="1308"/>
      <c r="M677" s="1308"/>
      <c r="N677" s="1308"/>
      <c r="O677" s="1308"/>
      <c r="P677" s="1308"/>
      <c r="Q677" s="1308"/>
      <c r="R677" s="1308"/>
      <c r="S677" s="1308"/>
      <c r="T677" s="1308"/>
      <c r="U677" s="1308"/>
      <c r="V677" s="1308"/>
      <c r="W677" s="1308"/>
      <c r="X677" s="1308"/>
      <c r="Y677" s="1308"/>
      <c r="Z677" s="1308"/>
      <c r="AA677" s="1308"/>
      <c r="AB677" s="1308"/>
      <c r="AC677" s="407"/>
      <c r="AD677" s="407"/>
      <c r="AE677" s="407"/>
      <c r="AF677" s="407"/>
      <c r="AG677" s="407"/>
      <c r="AH677" s="407"/>
      <c r="AI677" s="407"/>
      <c r="AJ677" s="407"/>
      <c r="AK677" s="407"/>
      <c r="AL677" s="407"/>
      <c r="AM677" s="407"/>
      <c r="AN677" s="407"/>
      <c r="AO677" s="407"/>
      <c r="AP677" s="407"/>
      <c r="AQ677" s="407"/>
      <c r="AR677" s="1236"/>
      <c r="AS677" s="1248"/>
      <c r="AT677" s="407"/>
      <c r="AU677" s="1236"/>
      <c r="AV677" s="1236"/>
      <c r="AW677" s="1236"/>
      <c r="AX677" s="1236"/>
      <c r="AY677" s="1236"/>
      <c r="AZ677" s="1236"/>
      <c r="BA677" s="1236"/>
      <c r="BB677" s="407"/>
      <c r="BC677" s="407"/>
      <c r="BD677" s="407"/>
      <c r="BE677" s="407"/>
    </row>
    <row r="678" spans="2:74" s="70" customFormat="1" x14ac:dyDescent="0.2">
      <c r="B678" s="340" t="s">
        <v>300</v>
      </c>
      <c r="C678" s="12"/>
      <c r="D678" s="1441"/>
      <c r="E678" s="1441"/>
      <c r="F678" s="1441"/>
      <c r="G678" s="1441"/>
      <c r="H678" s="1441"/>
      <c r="I678" s="1441"/>
      <c r="J678" s="1441"/>
      <c r="K678" s="1441"/>
      <c r="L678" s="1441"/>
      <c r="M678" s="1441"/>
      <c r="N678" s="1441"/>
      <c r="O678" s="1441"/>
      <c r="P678" s="1441"/>
      <c r="Q678" s="1441"/>
      <c r="R678" s="1441"/>
      <c r="S678" s="1441"/>
      <c r="T678" s="1441"/>
      <c r="U678" s="1441"/>
      <c r="V678" s="1441"/>
      <c r="W678" s="1441"/>
      <c r="X678" s="1441"/>
      <c r="Y678" s="1441"/>
      <c r="Z678" s="1441"/>
      <c r="AA678" s="1441"/>
      <c r="AB678" s="1441"/>
      <c r="AC678" s="1398"/>
      <c r="AD678" s="1398"/>
      <c r="AE678" s="1398"/>
      <c r="AF678" s="1398"/>
      <c r="AG678" s="1398"/>
      <c r="AH678" s="1398"/>
      <c r="AI678" s="1398"/>
      <c r="AJ678" s="1398"/>
      <c r="AK678" s="1398"/>
      <c r="AL678" s="1398"/>
      <c r="AM678" s="1398"/>
      <c r="AN678" s="1398"/>
      <c r="AO678" s="1398"/>
      <c r="AP678" s="1398"/>
      <c r="AQ678" s="1398"/>
      <c r="AR678" s="1236"/>
      <c r="AS678" s="1313"/>
      <c r="AT678" s="1398"/>
      <c r="AU678" s="1312"/>
      <c r="AV678" s="1312"/>
      <c r="AW678" s="1312"/>
      <c r="AX678" s="1312"/>
      <c r="AY678" s="1312"/>
      <c r="AZ678" s="1312"/>
      <c r="BA678" s="1312"/>
      <c r="BB678" s="1398"/>
      <c r="BC678" s="1398"/>
      <c r="BD678" s="1398"/>
      <c r="BE678" s="1398"/>
      <c r="BF678" s="390"/>
      <c r="BG678" s="390"/>
      <c r="BH678" s="390"/>
      <c r="BI678" s="390"/>
      <c r="BJ678" s="390"/>
      <c r="BK678" s="390"/>
      <c r="BL678" s="390"/>
      <c r="BM678" s="390"/>
      <c r="BN678" s="390"/>
      <c r="BO678" s="390"/>
      <c r="BP678" s="390"/>
      <c r="BQ678" s="390"/>
      <c r="BR678" s="390"/>
      <c r="BS678" s="390"/>
      <c r="BT678" s="390"/>
      <c r="BU678" s="390"/>
      <c r="BV678" s="390"/>
    </row>
    <row r="679" spans="2:74" s="70" customFormat="1" x14ac:dyDescent="0.2">
      <c r="B679" s="319"/>
      <c r="C679" s="1217" t="s">
        <v>303</v>
      </c>
      <c r="D679" s="1303"/>
      <c r="E679" s="1303"/>
      <c r="F679" s="1303"/>
      <c r="G679" s="1303"/>
      <c r="H679" s="1303">
        <f>IFERROR(Model!H679/Model!D679-1,"NA")</f>
        <v>1.9404915912031084E-2</v>
      </c>
      <c r="I679" s="1303">
        <f>IFERROR(Model!I679/Model!E679-1,"NA")</f>
        <v>-1.7946859903381642</v>
      </c>
      <c r="J679" s="1303">
        <f>IFERROR(Model!J679/Model!F679-1,"NA")</f>
        <v>-0.69126691266912665</v>
      </c>
      <c r="K679" s="1303">
        <f>IFERROR(Model!K679/Model!G679-1,"NA")</f>
        <v>-0.31056701030927825</v>
      </c>
      <c r="L679" s="1303">
        <f>IFERROR(Model!L679/Model!H679-1,"NA")</f>
        <v>-0.65482233502538079</v>
      </c>
      <c r="M679" s="1303">
        <f>IFERROR(Model!M679/Model!I679-1,"NA")</f>
        <v>-0.64944275582573452</v>
      </c>
      <c r="N679" s="1303">
        <f>IFERROR(Model!N679/Model!J679-1,"NA")</f>
        <v>2.2470119521912348</v>
      </c>
      <c r="O679" s="1303">
        <f>IFERROR(Model!O679/Model!K679-1,"NA")</f>
        <v>0.8093457943925233</v>
      </c>
      <c r="P679" s="1303">
        <f>IFERROR(Model!P679/Model!L679-1,"NA")</f>
        <v>2.5367647058823533</v>
      </c>
      <c r="Q679" s="1303">
        <f>IFERROR(Model!Q679/Model!M679-1,"NA")</f>
        <v>0.77167630057803449</v>
      </c>
      <c r="R679" s="1303">
        <f>IFERROR(Model!R679/Model!N679-1,"NA")</f>
        <v>-0.39141104294478524</v>
      </c>
      <c r="S679" s="1303">
        <f>IFERROR(Model!S679/Model!O679-1,"NA")</f>
        <v>-0.94834710743801653</v>
      </c>
      <c r="T679" s="1303">
        <f>IFERROR(Model!T679/Model!P679-1,"NA")</f>
        <v>0.23076923076923084</v>
      </c>
      <c r="U679" s="1303">
        <f>IFERROR(Model!U679/Model!Q679-1,"NA")</f>
        <v>-0.68352365415986949</v>
      </c>
      <c r="V679" s="1303">
        <f>IFERROR(Model!V679/Model!R679-1,"NA")</f>
        <v>-0.657258064516129</v>
      </c>
      <c r="W679" s="1303">
        <f>IFERROR(Model!W679/Model!S679-1,"NA")</f>
        <v>2.5799999999999996</v>
      </c>
      <c r="X679" s="1303">
        <f>IFERROR(Model!X679/Model!T679-1,"NA")</f>
        <v>-3.2415540540540539</v>
      </c>
      <c r="Y679" s="1303">
        <f>IFERROR(Model!Y679/Model!U679-1,"NA")</f>
        <v>0.52061855670103108</v>
      </c>
      <c r="Z679" s="1303">
        <f>IFERROR(Model!Z679/Model!V679-1,"NA")</f>
        <v>0.22352941176470598</v>
      </c>
      <c r="AA679" s="1303">
        <f>IFERROR(Model!AA679/Model!W679-1,"NA")</f>
        <v>0.3128491620111733</v>
      </c>
      <c r="AB679" s="1303">
        <f>IFERROR(Model!AB679/Model!X679-1,"NA")</f>
        <v>-1.032027128862095</v>
      </c>
      <c r="AC679" s="407" t="str">
        <f>IFERROR(Model!AC679/Model!Y679-1,"NA")</f>
        <v>NA</v>
      </c>
      <c r="AD679" s="407" t="str">
        <f>IFERROR(Model!AD679/Model!Z679-1,"NA")</f>
        <v>NA</v>
      </c>
      <c r="AE679" s="407" t="str">
        <f>IFERROR(Model!AE679/Model!AA679-1,"NA")</f>
        <v>NA</v>
      </c>
      <c r="AF679" s="407" t="str">
        <f>IFERROR(Model!AF679/Model!AB679-1,"NA")</f>
        <v>NA</v>
      </c>
      <c r="AG679" s="407" t="str">
        <f>IFERROR(Model!AG679/Model!AC679-1,"NA")</f>
        <v>NA</v>
      </c>
      <c r="AH679" s="407" t="str">
        <f>IFERROR(Model!AH679/Model!AD679-1,"NA")</f>
        <v>NA</v>
      </c>
      <c r="AI679" s="407" t="str">
        <f>IFERROR(Model!AI679/Model!AE679-1,"NA")</f>
        <v>NA</v>
      </c>
      <c r="AJ679" s="407"/>
      <c r="AK679" s="407"/>
      <c r="AL679" s="407"/>
      <c r="AM679" s="407"/>
      <c r="AN679" s="407"/>
      <c r="AO679" s="407"/>
      <c r="AP679" s="407"/>
      <c r="AQ679" s="407"/>
      <c r="AR679" s="1236"/>
      <c r="AS679" s="1248"/>
      <c r="AT679" s="407"/>
      <c r="AU679" s="1236"/>
      <c r="AV679" s="1236">
        <f>IFERROR(Model!AV679/Model!AU679-1,"NA")</f>
        <v>1.2866071428571435</v>
      </c>
      <c r="AW679" s="1236">
        <f>IFERROR(Model!AW679/Model!AV679-1,"NA")</f>
        <v>-6.2475595470519285E-2</v>
      </c>
      <c r="AX679" s="1236">
        <f>IFERROR(Model!AX679/Model!AW679-1,"NA")</f>
        <v>-0.11661807580174943</v>
      </c>
      <c r="AY679" s="1236">
        <f>IFERROR(Model!AY679/Model!AX679-1,"NA")</f>
        <v>-0.18576143328618566</v>
      </c>
      <c r="AZ679" s="407" t="str">
        <f>IFERROR(Model!AZ679/Model!AY679-1,"NA")</f>
        <v>NA</v>
      </c>
      <c r="BA679" s="407" t="str">
        <f>IFERROR(Model!BA679/Model!AZ679-1,"NA")</f>
        <v>NA</v>
      </c>
      <c r="BB679" s="407" t="str">
        <f>IFERROR(Model!BB679/Model!BA679-1,"NA")</f>
        <v>NA</v>
      </c>
      <c r="BC679" s="407" t="str">
        <f>IFERROR(Model!BC679/Model!BB679-1,"NA")</f>
        <v>NA</v>
      </c>
      <c r="BD679" s="407" t="str">
        <f>IFERROR(Model!BD679/Model!BC679-1,"NA")</f>
        <v>NA</v>
      </c>
      <c r="BE679" s="407" t="str">
        <f>IFERROR(Model!BE679/Model!BD679-1,"NA")</f>
        <v>NA</v>
      </c>
    </row>
    <row r="680" spans="2:74" s="70" customFormat="1" x14ac:dyDescent="0.2">
      <c r="B680" s="580"/>
      <c r="C680" s="25" t="s">
        <v>16</v>
      </c>
      <c r="D680" s="1298"/>
      <c r="E680" s="1298"/>
      <c r="F680" s="1298"/>
      <c r="G680" s="1298"/>
      <c r="H680" s="1298">
        <f>IFERROR(Model!H680/Model!D680-1,"NA")</f>
        <v>0.13083632632119024</v>
      </c>
      <c r="I680" s="1298">
        <f>IFERROR(Model!I680/Model!E680-1,"NA")</f>
        <v>-0.21749266102572962</v>
      </c>
      <c r="J680" s="1298">
        <f>IFERROR(Model!J680/Model!F680-1,"NA")</f>
        <v>0.33643977822342808</v>
      </c>
      <c r="K680" s="1298">
        <f>IFERROR(Model!K680/Model!G680-1,"NA")</f>
        <v>-9.7255240976867885E-4</v>
      </c>
      <c r="L680" s="1298">
        <f>IFERROR(Model!L680/Model!H680-1,"NA")</f>
        <v>0.76769509981851169</v>
      </c>
      <c r="M680" s="1298">
        <f>IFERROR(Model!M680/Model!I680-1,"NA")</f>
        <v>8.7277943285887671E-2</v>
      </c>
      <c r="N680" s="1298">
        <f>IFERROR(Model!N680/Model!J680-1,"NA")</f>
        <v>3.1776855856651132E-3</v>
      </c>
      <c r="O680" s="1298">
        <f>IFERROR(Model!O680/Model!K680-1,"NA")</f>
        <v>-0.19394267171444024</v>
      </c>
      <c r="P680" s="1298">
        <f>IFERROR(Model!P680/Model!L680-1,"NA")</f>
        <v>-0.11978097193702941</v>
      </c>
      <c r="Q680" s="1298">
        <f>IFERROR(Model!Q680/Model!M680-1,"NA")</f>
        <v>0.11599350517556339</v>
      </c>
      <c r="R680" s="1298">
        <f>IFERROR(Model!R680/Model!N680-1,"NA")</f>
        <v>-0.32916849978002638</v>
      </c>
      <c r="S680" s="1298">
        <f>IFERROR(Model!S680/Model!O680-1,"NA")</f>
        <v>2.298443370907139</v>
      </c>
      <c r="T680" s="1298">
        <f>IFERROR(Model!T680/Model!P680-1,"NA")</f>
        <v>-8.8646967340590965E-2</v>
      </c>
      <c r="U680" s="1298">
        <f>IFERROR(Model!U680/Model!Q680-1,"NA")</f>
        <v>-0.68573247249249802</v>
      </c>
      <c r="V680" s="1298">
        <f>IFERROR(Model!V680/Model!R680-1,"NA")</f>
        <v>-0.45697796432318993</v>
      </c>
      <c r="W680" s="1298">
        <f>IFERROR(Model!W680/Model!S680-1,"NA")</f>
        <v>-0.88848657445077295</v>
      </c>
      <c r="X680" s="1298">
        <f>IFERROR(Model!X680/Model!T680-1,"NA")</f>
        <v>-3.1143344709897658E-2</v>
      </c>
      <c r="Y680" s="1298">
        <f>IFERROR(Model!Y680/Model!U680-1,"NA")</f>
        <v>-0.6108217592592593</v>
      </c>
      <c r="Z680" s="1298">
        <f>IFERROR(Model!Z680/Model!V680-1,"NA")</f>
        <v>-1.0429951690821255</v>
      </c>
      <c r="AA680" s="1298">
        <f>IFERROR(Model!AA680/Model!W680-1,"NA")</f>
        <v>8.9018606348048035E-2</v>
      </c>
      <c r="AB680" s="1298">
        <f>IFERROR(Model!AB680/Model!X680-1,"NA")</f>
        <v>-0.95101276970497572</v>
      </c>
      <c r="AC680" s="1307" t="str">
        <f>IFERROR(Model!AC680/Model!Y680-1,"NA")</f>
        <v>NA</v>
      </c>
      <c r="AD680" s="1307" t="str">
        <f>IFERROR(Model!AD680/Model!Z680-1,"NA")</f>
        <v>NA</v>
      </c>
      <c r="AE680" s="1307" t="str">
        <f>IFERROR(Model!AE680/Model!AA680-1,"NA")</f>
        <v>NA</v>
      </c>
      <c r="AF680" s="1307" t="str">
        <f>IFERROR(Model!AF680/Model!AB680-1,"NA")</f>
        <v>NA</v>
      </c>
      <c r="AG680" s="1307" t="str">
        <f>IFERROR(Model!AG680/Model!AC680-1,"NA")</f>
        <v>NA</v>
      </c>
      <c r="AH680" s="1307" t="str">
        <f>IFERROR(Model!AH680/Model!AD680-1,"NA")</f>
        <v>NA</v>
      </c>
      <c r="AI680" s="1307" t="str">
        <f>IFERROR(Model!AI680/Model!AE680-1,"NA")</f>
        <v>NA</v>
      </c>
      <c r="AJ680" s="1318"/>
      <c r="AK680" s="1318"/>
      <c r="AL680" s="1318"/>
      <c r="AM680" s="1318"/>
      <c r="AN680" s="1318"/>
      <c r="AO680" s="1318"/>
      <c r="AP680" s="1318"/>
      <c r="AQ680" s="1318"/>
      <c r="AR680" s="1236"/>
      <c r="AS680" s="1298"/>
      <c r="AT680" s="1307"/>
      <c r="AU680" s="1246"/>
      <c r="AV680" s="1246">
        <f>IFERROR(Model!AV680/Model!AU680-1,"NA")</f>
        <v>3.0972696245733733E-2</v>
      </c>
      <c r="AW680" s="1246">
        <f>IFERROR(Model!AW680/Model!AV680-1,"NA")</f>
        <v>0.11338243813622428</v>
      </c>
      <c r="AX680" s="1246">
        <f>IFERROR(Model!AX680/Model!AW680-1,"NA")</f>
        <v>0.32533016179786411</v>
      </c>
      <c r="AY680" s="1246">
        <f>IFERROR(Model!AY680/Model!AX680-1,"NA")</f>
        <v>-0.63145693507076217</v>
      </c>
      <c r="AZ680" s="1307" t="str">
        <f>IFERROR(Model!AZ680/Model!AY680-1,"NA")</f>
        <v>NA</v>
      </c>
      <c r="BA680" s="1307" t="str">
        <f>IFERROR(Model!BA680/Model!AZ680-1,"NA")</f>
        <v>NA</v>
      </c>
      <c r="BB680" s="1307" t="str">
        <f>IFERROR(Model!BB680/Model!BA680-1,"NA")</f>
        <v>NA</v>
      </c>
      <c r="BC680" s="1307" t="str">
        <f>IFERROR(Model!BC680/Model!BB680-1,"NA")</f>
        <v>NA</v>
      </c>
      <c r="BD680" s="1307" t="str">
        <f>IFERROR(Model!BD680/Model!BC680-1,"NA")</f>
        <v>NA</v>
      </c>
      <c r="BE680" s="1307" t="str">
        <f>IFERROR(Model!BE680/Model!BD680-1,"NA")</f>
        <v>NA</v>
      </c>
    </row>
    <row r="681" spans="2:74" s="70" customFormat="1" x14ac:dyDescent="0.2">
      <c r="B681" s="319" t="s">
        <v>304</v>
      </c>
      <c r="C681" s="1217"/>
      <c r="D681" s="1308"/>
      <c r="E681" s="1308"/>
      <c r="F681" s="1308"/>
      <c r="G681" s="1308"/>
      <c r="H681" s="1308">
        <f>IFERROR(Model!H681/Model!D681-1,"NA")</f>
        <v>0.1178247734138973</v>
      </c>
      <c r="I681" s="1308">
        <f>IFERROR(Model!I681/Model!E681-1,"NA")</f>
        <v>-2.8046421663442955E-2</v>
      </c>
      <c r="J681" s="1308">
        <f>IFERROR(Model!J681/Model!F681-1,"NA")</f>
        <v>0.24650161463939724</v>
      </c>
      <c r="K681" s="1308">
        <f>IFERROR(Model!K681/Model!G681-1,"NA")</f>
        <v>-2.4925224327018936E-2</v>
      </c>
      <c r="L681" s="1308">
        <f>IFERROR(Model!L681/Model!H681-1,"NA")</f>
        <v>0.61621621621621614</v>
      </c>
      <c r="M681" s="1308">
        <f>IFERROR(Model!M681/Model!I681-1,"NA")</f>
        <v>1.4925373134328401E-2</v>
      </c>
      <c r="N681" s="1308">
        <f>IFERROR(Model!N681/Model!J681-1,"NA")</f>
        <v>5.1813471502590636E-2</v>
      </c>
      <c r="O681" s="1308">
        <f>IFERROR(Model!O681/Model!K681-1,"NA")</f>
        <v>-0.13905930470347649</v>
      </c>
      <c r="P681" s="1308">
        <f>IFERROR(Model!P681/Model!L681-1,"NA")</f>
        <v>-5.9364548494983294E-2</v>
      </c>
      <c r="Q681" s="1308">
        <f>IFERROR(Model!Q681/Model!M681-1,"NA")</f>
        <v>0.13823529411764701</v>
      </c>
      <c r="R681" s="1308">
        <f>IFERROR(Model!R681/Model!N681-1,"NA")</f>
        <v>-0.33333333333333337</v>
      </c>
      <c r="S681" s="1308">
        <f>IFERROR(Model!S681/Model!O681-1,"NA")</f>
        <v>1.9251781472684084</v>
      </c>
      <c r="T681" s="1308">
        <f>IFERROR(Model!T681/Model!P681-1,"NA")</f>
        <v>-6.1333333333333351E-2</v>
      </c>
      <c r="U681" s="1308">
        <f>IFERROR(Model!U681/Model!Q681-1,"NA")</f>
        <v>-0.6856158484065461</v>
      </c>
      <c r="V681" s="1308">
        <f>IFERROR(Model!V681/Model!R681-1,"NA")</f>
        <v>-0.46921182266009853</v>
      </c>
      <c r="W681" s="1308">
        <f>IFERROR(Model!W681/Model!S681-1,"NA")</f>
        <v>-0.88144539179861958</v>
      </c>
      <c r="X681" s="1308">
        <f>IFERROR(Model!X681/Model!T681-1,"NA")</f>
        <v>-0.39109848484848486</v>
      </c>
      <c r="Y681" s="1308">
        <f>IFERROR(Model!Y681/Model!U681-1,"NA")</f>
        <v>-0.55068493150684938</v>
      </c>
      <c r="Z681" s="1308">
        <f>IFERROR(Model!Z681/Model!V681-1,"NA")</f>
        <v>-0.99303944315545245</v>
      </c>
      <c r="AA681" s="1308">
        <f>IFERROR(Model!AA681/Model!W681-1,"NA")</f>
        <v>0.10273972602739723</v>
      </c>
      <c r="AB681" s="1308">
        <f>IFERROR(Model!AB681/Model!X681-1,"NA")</f>
        <v>-0.91757387247278377</v>
      </c>
      <c r="AC681" s="1256">
        <f>IFERROR(Model!AC681/Model!Y681-1,"NA")</f>
        <v>-3.1289341797527626E-2</v>
      </c>
      <c r="AD681" s="1256">
        <f>IFERROR(Model!AD681/Model!Z681-1,"NA")</f>
        <v>49.834877260273977</v>
      </c>
      <c r="AE681" s="1256">
        <f>IFERROR(Model!AE681/Model!AA681-1,"NA")</f>
        <v>-0.54873787671232876</v>
      </c>
      <c r="AF681" s="1256">
        <f>IFERROR(Model!AF681/Model!AB681-1,"NA")</f>
        <v>1.5252492417420527</v>
      </c>
      <c r="AG681" s="1256">
        <f>IFERROR(Model!AG681/Model!AC681-1,"NA")</f>
        <v>-0.19774522803741257</v>
      </c>
      <c r="AH681" s="1256">
        <f>IFERROR(Model!AH681/Model!AD681-1,"NA")</f>
        <v>-0.19666659744192494</v>
      </c>
      <c r="AI681" s="1256">
        <f>IFERROR(Model!AI681/Model!AE681-1,"NA")</f>
        <v>-0.19797434908086542</v>
      </c>
      <c r="AJ681" s="1256"/>
      <c r="AK681" s="1256"/>
      <c r="AL681" s="1256"/>
      <c r="AM681" s="1256"/>
      <c r="AN681" s="1256"/>
      <c r="AO681" s="1256"/>
      <c r="AP681" s="1256"/>
      <c r="AQ681" s="1256"/>
      <c r="AR681" s="1236"/>
      <c r="AS681" s="1248"/>
      <c r="AT681" s="407"/>
      <c r="AU681" s="1236"/>
      <c r="AV681" s="1236">
        <f>IFERROR(Model!AV681/Model!AU681-1,"NA")</f>
        <v>6.9735391400220559E-2</v>
      </c>
      <c r="AW681" s="1236">
        <f>IFERROR(Model!AW681/Model!AV681-1,"NA")</f>
        <v>0.10177789229580014</v>
      </c>
      <c r="AX681" s="1236">
        <f>IFERROR(Model!AX681/Model!AW681-1,"NA")</f>
        <v>0.30051449953227305</v>
      </c>
      <c r="AY681" s="1236">
        <f>IFERROR(Model!AY681/Model!AX681-1,"NA")</f>
        <v>-0.61445783132530118</v>
      </c>
      <c r="AZ681" s="1236">
        <f>IFERROR(Model!AZ681/Model!AY681-1,"NA")</f>
        <v>-0.47201492537313428</v>
      </c>
      <c r="BA681" s="1236">
        <f>IFERROR(Model!BA681/Model!AZ681-1,"NA")</f>
        <v>-0.54975301817609767</v>
      </c>
      <c r="BB681" s="1256">
        <f>IFERROR(Model!BB681/Model!BA681-1,"NA")</f>
        <v>-1.8318950667629008E-2</v>
      </c>
      <c r="BC681" s="1256">
        <f>IFERROR(Model!BC681/Model!BB681-1,"NA")</f>
        <v>-0.19732028477887198</v>
      </c>
      <c r="BD681" s="1256">
        <f>IFERROR(Model!BD681/Model!BC681-1,"NA")</f>
        <v>-0.19568332935190691</v>
      </c>
      <c r="BE681" s="1256">
        <f>IFERROR(Model!BE681/Model!BD681-1,"NA")</f>
        <v>-0.20625256868807618</v>
      </c>
    </row>
    <row r="682" spans="2:74" s="70" customFormat="1" x14ac:dyDescent="0.2">
      <c r="B682" s="319"/>
      <c r="C682" s="1217"/>
      <c r="D682" s="1308"/>
      <c r="E682" s="1308"/>
      <c r="F682" s="1308"/>
      <c r="G682" s="1308"/>
      <c r="H682" s="1308"/>
      <c r="I682" s="1308"/>
      <c r="J682" s="1308"/>
      <c r="K682" s="1308"/>
      <c r="L682" s="1308"/>
      <c r="M682" s="1308"/>
      <c r="N682" s="1308"/>
      <c r="O682" s="1308"/>
      <c r="P682" s="1308"/>
      <c r="Q682" s="1308"/>
      <c r="R682" s="1308"/>
      <c r="S682" s="1308"/>
      <c r="T682" s="1308"/>
      <c r="U682" s="1308"/>
      <c r="V682" s="1308"/>
      <c r="W682" s="1308"/>
      <c r="X682" s="1308"/>
      <c r="Y682" s="1308"/>
      <c r="Z682" s="1308"/>
      <c r="AA682" s="1308"/>
      <c r="AB682" s="1308"/>
      <c r="AC682" s="407"/>
      <c r="AD682" s="407"/>
      <c r="AE682" s="407"/>
      <c r="AF682" s="407"/>
      <c r="AG682" s="407"/>
      <c r="AH682" s="407"/>
      <c r="AI682" s="407"/>
      <c r="AJ682" s="407"/>
      <c r="AK682" s="407"/>
      <c r="AL682" s="407"/>
      <c r="AM682" s="407"/>
      <c r="AN682" s="407"/>
      <c r="AO682" s="407"/>
      <c r="AP682" s="407"/>
      <c r="AQ682" s="407"/>
      <c r="AR682" s="1236"/>
      <c r="AS682" s="1248"/>
      <c r="AT682" s="407"/>
      <c r="AU682" s="1236"/>
      <c r="AV682" s="1236"/>
      <c r="AW682" s="1236"/>
      <c r="AX682" s="1236"/>
      <c r="AY682" s="1236"/>
      <c r="AZ682" s="1236"/>
      <c r="BA682" s="1236"/>
      <c r="BB682" s="407"/>
      <c r="BC682" s="407"/>
      <c r="BD682" s="407"/>
      <c r="BE682" s="407"/>
    </row>
    <row r="683" spans="2:74" s="70" customFormat="1" x14ac:dyDescent="0.2">
      <c r="B683" s="35" t="s">
        <v>970</v>
      </c>
      <c r="C683" s="1217"/>
      <c r="D683" s="1242"/>
      <c r="E683" s="1242"/>
      <c r="F683" s="1242"/>
      <c r="G683" s="1242"/>
      <c r="H683" s="1242"/>
      <c r="I683" s="1242"/>
      <c r="J683" s="1242"/>
      <c r="K683" s="1242"/>
      <c r="L683" s="1242"/>
      <c r="M683" s="1242"/>
      <c r="N683" s="1242"/>
      <c r="O683" s="1242"/>
      <c r="P683" s="1242"/>
      <c r="Q683" s="1242"/>
      <c r="R683" s="1242"/>
      <c r="S683" s="1242"/>
      <c r="T683" s="1242"/>
      <c r="U683" s="1242"/>
      <c r="V683" s="1242"/>
      <c r="W683" s="1242"/>
      <c r="X683" s="1242"/>
      <c r="Y683" s="1242"/>
      <c r="Z683" s="1242"/>
      <c r="AA683" s="1242"/>
      <c r="AB683" s="1242"/>
      <c r="AC683" s="1429"/>
      <c r="AD683" s="1429"/>
      <c r="AE683" s="1429"/>
      <c r="AF683" s="1429"/>
      <c r="AG683" s="1429"/>
      <c r="AH683" s="1429"/>
      <c r="AI683" s="1429"/>
      <c r="AJ683" s="1429"/>
      <c r="AK683" s="1429"/>
      <c r="AL683" s="1429"/>
      <c r="AM683" s="1429"/>
      <c r="AN683" s="1429"/>
      <c r="AO683" s="1429"/>
      <c r="AP683" s="1429"/>
      <c r="AQ683" s="1429"/>
      <c r="AR683" s="1236"/>
      <c r="AS683" s="407"/>
      <c r="AT683" s="407"/>
      <c r="AU683" s="1242"/>
      <c r="AV683" s="1242"/>
      <c r="AW683" s="1242"/>
      <c r="AX683" s="1242"/>
      <c r="AY683" s="1242"/>
      <c r="AZ683" s="1242"/>
      <c r="BA683" s="1242"/>
      <c r="BB683" s="1429"/>
      <c r="BC683" s="1429"/>
      <c r="BD683" s="1429"/>
      <c r="BE683" s="1429"/>
    </row>
    <row r="684" spans="2:74" s="70" customFormat="1" x14ac:dyDescent="0.2">
      <c r="B684" s="35" t="s">
        <v>971</v>
      </c>
      <c r="C684" s="1217"/>
      <c r="D684" s="1242"/>
      <c r="E684" s="1242"/>
      <c r="F684" s="1242"/>
      <c r="G684" s="1242"/>
      <c r="H684" s="1242"/>
      <c r="I684" s="1242"/>
      <c r="J684" s="1242"/>
      <c r="K684" s="1242"/>
      <c r="L684" s="1242"/>
      <c r="M684" s="1242"/>
      <c r="N684" s="1242"/>
      <c r="O684" s="1242"/>
      <c r="P684" s="1242"/>
      <c r="Q684" s="1242"/>
      <c r="R684" s="1242"/>
      <c r="S684" s="1242"/>
      <c r="T684" s="1242"/>
      <c r="U684" s="1242"/>
      <c r="V684" s="1242"/>
      <c r="W684" s="1242"/>
      <c r="X684" s="1242"/>
      <c r="Y684" s="1242"/>
      <c r="Z684" s="1242"/>
      <c r="AA684" s="1242"/>
      <c r="AB684" s="1242"/>
      <c r="AC684" s="1242"/>
      <c r="AD684" s="1242"/>
      <c r="AE684" s="1242"/>
      <c r="AF684" s="1242"/>
      <c r="AG684" s="1242"/>
      <c r="AH684" s="1242"/>
      <c r="AI684" s="1242"/>
      <c r="AJ684" s="1242"/>
      <c r="AK684" s="1242"/>
      <c r="AL684" s="1242"/>
      <c r="AM684" s="1242"/>
      <c r="AN684" s="1242"/>
      <c r="AO684" s="1242"/>
      <c r="AP684" s="1242"/>
      <c r="AQ684" s="1242"/>
      <c r="AR684" s="1236"/>
      <c r="AS684" s="407"/>
      <c r="AT684" s="407"/>
      <c r="AU684" s="1242"/>
      <c r="AV684" s="1242"/>
      <c r="AW684" s="1242"/>
      <c r="AX684" s="1242"/>
      <c r="AY684" s="1242"/>
      <c r="AZ684" s="1242"/>
      <c r="BA684" s="1242"/>
      <c r="BB684" s="1242"/>
      <c r="BC684" s="1242"/>
      <c r="BD684" s="1242"/>
      <c r="BE684" s="1242"/>
    </row>
    <row r="685" spans="2:74" s="70" customFormat="1" x14ac:dyDescent="0.2">
      <c r="B685" s="382"/>
      <c r="C685" s="382"/>
      <c r="D685" s="1274"/>
      <c r="E685" s="1471"/>
      <c r="F685" s="1471"/>
      <c r="G685" s="1471"/>
      <c r="H685" s="1471"/>
      <c r="I685" s="1471"/>
      <c r="J685" s="1308"/>
      <c r="K685" s="1308"/>
      <c r="L685" s="1308"/>
      <c r="M685" s="1308"/>
      <c r="N685" s="1308"/>
      <c r="O685" s="1308"/>
      <c r="P685" s="1308"/>
      <c r="Q685" s="1308"/>
      <c r="R685" s="1308"/>
      <c r="S685" s="1308"/>
      <c r="T685" s="1308"/>
      <c r="U685" s="1308"/>
      <c r="V685" s="1308"/>
      <c r="W685" s="1308"/>
      <c r="X685" s="407"/>
      <c r="Y685" s="407"/>
      <c r="Z685" s="407"/>
      <c r="AA685" s="407"/>
      <c r="AB685" s="407"/>
      <c r="AC685" s="407"/>
      <c r="AD685" s="407"/>
      <c r="AE685" s="407"/>
      <c r="AF685" s="407"/>
      <c r="AG685" s="407"/>
      <c r="AH685" s="407"/>
      <c r="AI685" s="407"/>
      <c r="AJ685" s="407"/>
      <c r="AK685" s="407"/>
      <c r="AL685" s="407"/>
      <c r="AM685" s="407"/>
      <c r="AN685" s="407"/>
      <c r="AO685" s="407"/>
      <c r="AP685" s="407"/>
      <c r="AQ685" s="407"/>
      <c r="AR685" s="1236"/>
      <c r="AS685" s="1308"/>
      <c r="AT685" s="1308"/>
      <c r="AU685" s="1236"/>
      <c r="AV685" s="1236"/>
      <c r="AW685" s="1236"/>
      <c r="AX685" s="1236"/>
      <c r="AY685" s="1236"/>
      <c r="AZ685" s="1236"/>
      <c r="BA685" s="1236"/>
      <c r="BB685" s="407"/>
      <c r="BC685" s="407"/>
      <c r="BD685" s="407"/>
      <c r="BE685" s="407"/>
    </row>
    <row r="686" spans="2:74" s="70" customFormat="1" x14ac:dyDescent="0.2">
      <c r="B686" s="574" t="s">
        <v>225</v>
      </c>
      <c r="C686" s="525"/>
      <c r="D686" s="1428"/>
      <c r="E686" s="1472"/>
      <c r="F686" s="1472"/>
      <c r="G686" s="1472"/>
      <c r="H686" s="1472"/>
      <c r="I686" s="1472"/>
      <c r="J686" s="1441"/>
      <c r="K686" s="1441"/>
      <c r="L686" s="1441"/>
      <c r="M686" s="1441"/>
      <c r="N686" s="1441"/>
      <c r="O686" s="1441"/>
      <c r="P686" s="1441"/>
      <c r="Q686" s="1441"/>
      <c r="R686" s="1441"/>
      <c r="S686" s="1441"/>
      <c r="T686" s="1441"/>
      <c r="U686" s="1441"/>
      <c r="V686" s="1441"/>
      <c r="W686" s="1441"/>
      <c r="X686" s="1398"/>
      <c r="Y686" s="1398"/>
      <c r="Z686" s="1398"/>
      <c r="AA686" s="1398"/>
      <c r="AB686" s="1398"/>
      <c r="AC686" s="1398"/>
      <c r="AD686" s="1398"/>
      <c r="AE686" s="1398"/>
      <c r="AF686" s="1398"/>
      <c r="AG686" s="1398"/>
      <c r="AH686" s="1398"/>
      <c r="AI686" s="1398"/>
      <c r="AJ686" s="1398"/>
      <c r="AK686" s="1398"/>
      <c r="AL686" s="1398"/>
      <c r="AM686" s="1398"/>
      <c r="AN686" s="1398"/>
      <c r="AO686" s="1398"/>
      <c r="AP686" s="1398"/>
      <c r="AQ686" s="1398"/>
      <c r="AR686" s="1236"/>
      <c r="AS686" s="1310"/>
      <c r="AT686" s="1441"/>
      <c r="AU686" s="1312"/>
      <c r="AV686" s="1312"/>
      <c r="AW686" s="1312"/>
      <c r="AX686" s="1312"/>
      <c r="AY686" s="1312"/>
      <c r="AZ686" s="1312"/>
      <c r="BA686" s="1312"/>
      <c r="BB686" s="1398"/>
      <c r="BC686" s="1398"/>
      <c r="BD686" s="1398"/>
      <c r="BE686" s="1398"/>
      <c r="BF686" s="390"/>
      <c r="BG686" s="390"/>
      <c r="BH686" s="390"/>
      <c r="BI686" s="390"/>
      <c r="BJ686" s="390"/>
      <c r="BK686" s="390"/>
      <c r="BL686" s="390"/>
      <c r="BM686" s="390"/>
      <c r="BN686" s="390"/>
      <c r="BO686" s="390"/>
      <c r="BP686" s="390"/>
      <c r="BQ686" s="390"/>
      <c r="BR686" s="390"/>
      <c r="BS686" s="390"/>
      <c r="BT686" s="390"/>
      <c r="BU686" s="390"/>
      <c r="BV686" s="390"/>
    </row>
    <row r="687" spans="2:74" s="70" customFormat="1" x14ac:dyDescent="0.2">
      <c r="B687" s="325" t="s">
        <v>297</v>
      </c>
      <c r="C687" s="1217"/>
      <c r="D687" s="407"/>
      <c r="E687" s="407"/>
      <c r="F687" s="407"/>
      <c r="G687" s="407"/>
      <c r="H687" s="407"/>
      <c r="I687" s="407"/>
      <c r="J687" s="407"/>
      <c r="K687" s="407"/>
      <c r="L687" s="407"/>
      <c r="M687" s="407"/>
      <c r="N687" s="407"/>
      <c r="O687" s="407"/>
      <c r="P687" s="407"/>
      <c r="Q687" s="407"/>
      <c r="R687" s="407"/>
      <c r="S687" s="407"/>
      <c r="T687" s="407"/>
      <c r="U687" s="407"/>
      <c r="V687" s="407"/>
      <c r="W687" s="407"/>
      <c r="X687" s="407"/>
      <c r="Y687" s="407"/>
      <c r="Z687" s="407"/>
      <c r="AA687" s="407"/>
      <c r="AB687" s="407"/>
      <c r="AC687" s="407"/>
      <c r="AD687" s="407"/>
      <c r="AE687" s="407"/>
      <c r="AF687" s="407"/>
      <c r="AG687" s="407"/>
      <c r="AH687" s="407"/>
      <c r="AI687" s="407"/>
      <c r="AJ687" s="407"/>
      <c r="AK687" s="407"/>
      <c r="AL687" s="407"/>
      <c r="AM687" s="407"/>
      <c r="AN687" s="407"/>
      <c r="AO687" s="407"/>
      <c r="AP687" s="407"/>
      <c r="AQ687" s="407"/>
      <c r="AR687" s="1236"/>
      <c r="AS687" s="1239"/>
      <c r="AT687" s="407"/>
      <c r="AU687" s="1236"/>
      <c r="AV687" s="1236"/>
      <c r="AW687" s="1236"/>
      <c r="AX687" s="1236"/>
      <c r="AY687" s="1236"/>
      <c r="AZ687" s="1236"/>
      <c r="BA687" s="1236"/>
      <c r="BB687" s="407"/>
      <c r="BC687" s="407"/>
      <c r="BD687" s="407"/>
      <c r="BE687" s="407"/>
    </row>
    <row r="688" spans="2:74" s="70" customFormat="1" x14ac:dyDescent="0.2">
      <c r="B688" s="10"/>
      <c r="C688" s="382" t="s">
        <v>103</v>
      </c>
      <c r="D688" s="1303"/>
      <c r="E688" s="1303"/>
      <c r="F688" s="1303"/>
      <c r="G688" s="1303"/>
      <c r="H688" s="1303">
        <f>IFERROR(Model!H688/Model!D688-1,"NA")</f>
        <v>-0.14925373134328357</v>
      </c>
      <c r="I688" s="1303">
        <f>IFERROR(Model!I688/Model!E688-1,"NA")</f>
        <v>-0.171875</v>
      </c>
      <c r="J688" s="1303">
        <f>IFERROR(Model!J688/Model!F688-1,"NA")</f>
        <v>-0.22580645161290325</v>
      </c>
      <c r="K688" s="1303">
        <f>IFERROR(Model!K688/Model!G688-1,"NA")</f>
        <v>-0.22033898305084743</v>
      </c>
      <c r="L688" s="1303">
        <f>IFERROR(Model!L688/Model!H688-1,"NA")</f>
        <v>-0.22807017543859653</v>
      </c>
      <c r="M688" s="1303">
        <f>IFERROR(Model!M688/Model!I688-1,"NA")</f>
        <v>-0.20754716981132071</v>
      </c>
      <c r="N688" s="1303">
        <f>IFERROR(Model!N688/Model!J688-1,"NA")</f>
        <v>-0.1875</v>
      </c>
      <c r="O688" s="1303">
        <f>IFERROR(Model!O688/Model!K688-1,"NA")</f>
        <v>-0.19565217391304346</v>
      </c>
      <c r="P688" s="1303">
        <f>IFERROR(Model!P688/Model!L688-1,"NA")</f>
        <v>-0.25</v>
      </c>
      <c r="Q688" s="1303">
        <f>IFERROR(Model!Q688/Model!M688-1,"NA")</f>
        <v>-0.30952380952380953</v>
      </c>
      <c r="R688" s="1303">
        <f>IFERROR(Model!R688/Model!N688-1,"NA")</f>
        <v>-0.28205128205128205</v>
      </c>
      <c r="S688" s="1303">
        <f>IFERROR(Model!S688/Model!O688-1,"NA")</f>
        <v>-0.29729729729729726</v>
      </c>
      <c r="T688" s="1303">
        <f>IFERROR(Model!T688/Model!P688-1,"NA")</f>
        <v>-0.45151515151515142</v>
      </c>
      <c r="U688" s="1303">
        <f>IFERROR(Model!U688/Model!Q688-1,"NA")</f>
        <v>-0.43103448275862066</v>
      </c>
      <c r="V688" s="1303">
        <f>IFERROR(Model!V688/Model!R688-1,"NA")</f>
        <v>-0.4464285714285714</v>
      </c>
      <c r="W688" s="1303">
        <f>IFERROR(Model!W688/Model!S688-1,"NA")</f>
        <v>-0.4653846153846154</v>
      </c>
      <c r="X688" s="1303">
        <f>IFERROR(Model!X688/Model!T688-1,"NA")</f>
        <v>-0.3204419889502762</v>
      </c>
      <c r="Y688" s="1303">
        <f>IFERROR(Model!Y688/Model!U688-1,"NA")</f>
        <v>-0.30909090909090908</v>
      </c>
      <c r="Z688" s="1303">
        <f>IFERROR(Model!Z688/Model!V688-1,"NA")</f>
        <v>-0.34193548387096784</v>
      </c>
      <c r="AA688" s="1303">
        <f>IFERROR(Model!AA688/Model!W688-1,"NA")</f>
        <v>-0.32374100719424459</v>
      </c>
      <c r="AB688" s="1303">
        <f>IFERROR(Model!AB688/Model!X688-1,"NA")</f>
        <v>-0.26829268292682928</v>
      </c>
      <c r="AC688" s="1256">
        <f>IFERROR(Model!AC688/Model!Y688-1,"NA")</f>
        <v>-0.25</v>
      </c>
      <c r="AD688" s="1256">
        <f>IFERROR(Model!AD688/Model!Z688-1,"NA")</f>
        <v>-0.20367647058823524</v>
      </c>
      <c r="AE688" s="1256">
        <f>IFERROR(Model!AE688/Model!AA688-1,"NA")</f>
        <v>-0.17910904255319138</v>
      </c>
      <c r="AF688" s="1256">
        <f>IFERROR(Model!AF688/Model!AB688-1,"NA")</f>
        <v>-0.19406749999999984</v>
      </c>
      <c r="AG688" s="1256">
        <f>IFERROR(Model!AG688/Model!AC688-1,"NA")</f>
        <v>-0.20255099999999993</v>
      </c>
      <c r="AH688" s="1256">
        <f>IFERROR(Model!AH688/Model!AD688-1,"NA")</f>
        <v>-0.20255099999999993</v>
      </c>
      <c r="AI688" s="1256">
        <f>IFERROR(Model!AI688/Model!AE688-1,"NA")</f>
        <v>-0.20255100000000004</v>
      </c>
      <c r="AJ688" s="1256"/>
      <c r="AK688" s="1256"/>
      <c r="AL688" s="1256"/>
      <c r="AM688" s="1256"/>
      <c r="AN688" s="1256"/>
      <c r="AO688" s="1256"/>
      <c r="AP688" s="1256"/>
      <c r="AQ688" s="1256"/>
      <c r="AR688" s="1236"/>
      <c r="AS688" s="1382"/>
      <c r="AT688" s="1308"/>
      <c r="AU688" s="1236"/>
      <c r="AV688" s="1236">
        <f>IFERROR(Model!AV688/Model!AU688-1,"NA")</f>
        <v>-0.19047619047619047</v>
      </c>
      <c r="AW688" s="1236">
        <f>IFERROR(Model!AW688/Model!AV688-1,"NA")</f>
        <v>-0.20588235294117652</v>
      </c>
      <c r="AX688" s="1236">
        <f>IFERROR(Model!AX688/Model!AW688-1,"NA")</f>
        <v>-0.28395061728395066</v>
      </c>
      <c r="AY688" s="1236">
        <f>IFERROR(Model!AY688/Model!AX688-1,"NA")</f>
        <v>-0.44827586206896552</v>
      </c>
      <c r="AZ688" s="1236">
        <f>IFERROR(Model!AZ688/Model!AY688-1,"NA")</f>
        <v>-0.32343749999999993</v>
      </c>
      <c r="BA688" s="1236">
        <f>IFERROR(Model!BA688/Model!AZ688-1,"NA")</f>
        <v>-0.22889434180138579</v>
      </c>
      <c r="BB688" s="1256">
        <f>IFERROR(Model!BB688/Model!BA688-1,"NA")</f>
        <v>-0.20026426527174079</v>
      </c>
      <c r="BC688" s="1256">
        <f>IFERROR(Model!BC688/Model!BB688-1,"NA")</f>
        <v>-0.19999999999999984</v>
      </c>
      <c r="BD688" s="1256">
        <f>IFERROR(Model!BD688/Model!BC688-1,"NA")</f>
        <v>-0.19999999999999996</v>
      </c>
      <c r="BE688" s="1256">
        <f>IFERROR(Model!BE688/Model!BD688-1,"NA")</f>
        <v>-0.20000000000000007</v>
      </c>
    </row>
    <row r="689" spans="1:74" x14ac:dyDescent="0.2">
      <c r="A689" s="830"/>
      <c r="C689" s="580" t="s">
        <v>104</v>
      </c>
      <c r="D689" s="1303"/>
      <c r="E689" s="1303"/>
      <c r="F689" s="1303"/>
      <c r="G689" s="1303"/>
      <c r="H689" s="1303">
        <f>IFERROR(Model!H689/Model!D689-1,"NA")</f>
        <v>-0.15000000000000002</v>
      </c>
      <c r="I689" s="1303">
        <f>IFERROR(Model!I689/Model!E689-1,"NA")</f>
        <v>-0.15789473684210531</v>
      </c>
      <c r="J689" s="1303">
        <f>IFERROR(Model!J689/Model!F689-1,"NA")</f>
        <v>-0.16216216216216217</v>
      </c>
      <c r="K689" s="1303">
        <f>IFERROR(Model!K689/Model!G689-1,"NA")</f>
        <v>-0.17142857142857137</v>
      </c>
      <c r="L689" s="1303">
        <f>IFERROR(Model!L689/Model!H689-1,"NA")</f>
        <v>-0.17647058823529416</v>
      </c>
      <c r="M689" s="1303">
        <f>IFERROR(Model!M689/Model!I689-1,"NA")</f>
        <v>-0.15625</v>
      </c>
      <c r="N689" s="1303">
        <f>IFERROR(Model!N689/Model!J689-1,"NA")</f>
        <v>-0.16129032258064513</v>
      </c>
      <c r="O689" s="1303">
        <f>IFERROR(Model!O689/Model!K689-1,"NA")</f>
        <v>-0.13793103448275867</v>
      </c>
      <c r="P689" s="1303">
        <f>IFERROR(Model!P689/Model!L689-1,"NA")</f>
        <v>-0.1428571428571429</v>
      </c>
      <c r="Q689" s="1303">
        <f>IFERROR(Model!Q689/Model!M689-1,"NA")</f>
        <v>-0.14814814814814814</v>
      </c>
      <c r="R689" s="1303">
        <f>IFERROR(Model!R689/Model!N689-1,"NA")</f>
        <v>-0.15384615384615385</v>
      </c>
      <c r="S689" s="1303">
        <f>IFERROR(Model!S689/Model!O689-1,"NA")</f>
        <v>-0.16000000000000003</v>
      </c>
      <c r="T689" s="1303">
        <f>IFERROR(Model!T689/Model!P689-1,"NA")</f>
        <v>-0.22499999999999998</v>
      </c>
      <c r="U689" s="1303">
        <f>IFERROR(Model!U689/Model!Q689-1,"NA")</f>
        <v>-0.21739130434782605</v>
      </c>
      <c r="V689" s="1303">
        <f>IFERROR(Model!V689/Model!R689-1,"NA")</f>
        <v>-0.24090909090909096</v>
      </c>
      <c r="W689" s="1303">
        <f>IFERROR(Model!W689/Model!S689-1,"NA")</f>
        <v>-0.25714285714285712</v>
      </c>
      <c r="X689" s="1303">
        <f>IFERROR(Model!X689/Model!T689-1,"NA")</f>
        <v>-0.20967741935483886</v>
      </c>
      <c r="Y689" s="1303">
        <f>IFERROR(Model!Y689/Model!U689-1,"NA")</f>
        <v>-0.28333333333333333</v>
      </c>
      <c r="Z689" s="1303">
        <f>IFERROR(Model!Z689/Model!V689-1,"NA")</f>
        <v>-0.28742514970059874</v>
      </c>
      <c r="AA689" s="1303">
        <f>IFERROR(Model!AA689/Model!W689-1,"NA")</f>
        <v>-0.28846153846153844</v>
      </c>
      <c r="AB689" s="1303">
        <f>IFERROR(Model!AB689/Model!X689-1,"NA")</f>
        <v>-0.29931972789115635</v>
      </c>
      <c r="AC689" s="1257">
        <f>IFERROR(Model!AC689/Model!Y689-1,"NA")</f>
        <v>-0.24147286821705427</v>
      </c>
      <c r="AD689" s="1257">
        <f>IFERROR(Model!AD689/Model!Z689-1,"NA")</f>
        <v>-0.21884453781512603</v>
      </c>
      <c r="AE689" s="1257">
        <f>IFERROR(Model!AE689/Model!AA689-1,"NA")</f>
        <v>-0.20441779279279282</v>
      </c>
      <c r="AF689" s="1257">
        <f>IFERROR(Model!AF689/Model!AB689-1,"NA")</f>
        <v>-0.19406750000000006</v>
      </c>
      <c r="AG689" s="1257">
        <f>IFERROR(Model!AG689/Model!AC689-1,"NA")</f>
        <v>-0.20255100000000004</v>
      </c>
      <c r="AH689" s="1257">
        <f>IFERROR(Model!AH689/Model!AD689-1,"NA")</f>
        <v>-0.20255100000000004</v>
      </c>
      <c r="AI689" s="1257">
        <f>IFERROR(Model!AI689/Model!AE689-1,"NA")</f>
        <v>-0.20255100000000015</v>
      </c>
      <c r="AJ689" s="1338"/>
      <c r="AK689" s="1338"/>
      <c r="AL689" s="1338"/>
      <c r="AM689" s="1338"/>
      <c r="AN689" s="1338"/>
      <c r="AO689" s="1338"/>
      <c r="AP689" s="1338"/>
      <c r="AQ689" s="1338"/>
      <c r="AR689" s="1236"/>
      <c r="AS689" s="1382"/>
      <c r="AT689" s="1298"/>
      <c r="AU689" s="1246"/>
      <c r="AV689" s="1246">
        <f>IFERROR(Model!AV689/Model!AU689-1,"NA")</f>
        <v>-0.16000000000000003</v>
      </c>
      <c r="AW689" s="1246">
        <f>IFERROR(Model!AW689/Model!AV689-1,"NA")</f>
        <v>-0.15873015873015872</v>
      </c>
      <c r="AX689" s="1246">
        <f>IFERROR(Model!AX689/Model!AW689-1,"NA")</f>
        <v>-0.15094339622641506</v>
      </c>
      <c r="AY689" s="1246">
        <f>IFERROR(Model!AY689/Model!AX689-1,"NA")</f>
        <v>-0.23444444444444457</v>
      </c>
      <c r="AZ689" s="1246">
        <f>IFERROR(Model!AZ689/Model!AY689-1,"NA")</f>
        <v>-0.2656023222060957</v>
      </c>
      <c r="BA689" s="1246">
        <f>IFERROR(Model!BA689/Model!AZ689-1,"NA")</f>
        <v>-0.24482781620553362</v>
      </c>
      <c r="BB689" s="1257">
        <f>IFERROR(Model!BB689/Model!BA689-1,"NA")</f>
        <v>-0.2002642652717409</v>
      </c>
      <c r="BC689" s="1257">
        <f>IFERROR(Model!BC689/Model!BB689-1,"NA")</f>
        <v>-0.19999999999999996</v>
      </c>
      <c r="BD689" s="1257">
        <f>IFERROR(Model!BD689/Model!BC689-1,"NA")</f>
        <v>-0.20000000000000007</v>
      </c>
      <c r="BE689" s="1257">
        <f>IFERROR(Model!BE689/Model!BD689-1,"NA")</f>
        <v>-0.20000000000000007</v>
      </c>
    </row>
    <row r="690" spans="1:74" x14ac:dyDescent="0.2">
      <c r="A690" s="830"/>
      <c r="B690" s="563" t="s">
        <v>298</v>
      </c>
      <c r="D690" s="1317"/>
      <c r="E690" s="1317"/>
      <c r="F690" s="1317"/>
      <c r="G690" s="1317"/>
      <c r="H690" s="1317">
        <f>IFERROR(Model!H690/Model!D690-1,"NA")</f>
        <v>-0.14953271028037385</v>
      </c>
      <c r="I690" s="1317">
        <f>IFERROR(Model!I690/Model!E690-1,"NA")</f>
        <v>-0.16666666666666663</v>
      </c>
      <c r="J690" s="1317">
        <f>IFERROR(Model!J690/Model!F690-1,"NA")</f>
        <v>-0.20202020202020199</v>
      </c>
      <c r="K690" s="1317">
        <f>IFERROR(Model!K690/Model!G690-1,"NA")</f>
        <v>-0.2021276595744681</v>
      </c>
      <c r="L690" s="1317">
        <f>IFERROR(Model!L690/Model!H690-1,"NA")</f>
        <v>-0.20879120879120883</v>
      </c>
      <c r="M690" s="1317">
        <f>IFERROR(Model!M690/Model!I690-1,"NA")</f>
        <v>-0.18823529411764706</v>
      </c>
      <c r="N690" s="1317">
        <f>IFERROR(Model!N690/Model!J690-1,"NA")</f>
        <v>-0.17721518987341767</v>
      </c>
      <c r="O690" s="1317">
        <f>IFERROR(Model!O690/Model!K690-1,"NA")</f>
        <v>-0.17333333333333334</v>
      </c>
      <c r="P690" s="1317">
        <f>IFERROR(Model!P690/Model!L690-1,"NA")</f>
        <v>-0.20833333333333337</v>
      </c>
      <c r="Q690" s="1317">
        <f>IFERROR(Model!Q690/Model!M690-1,"NA")</f>
        <v>-0.24637681159420288</v>
      </c>
      <c r="R690" s="1317">
        <f>IFERROR(Model!R690/Model!N690-1,"NA")</f>
        <v>-0.23076923076923073</v>
      </c>
      <c r="S690" s="1317">
        <f>IFERROR(Model!S690/Model!O690-1,"NA")</f>
        <v>-0.24193548387096775</v>
      </c>
      <c r="T690" s="1317">
        <f>IFERROR(Model!T690/Model!P690-1,"NA")</f>
        <v>-0.35614035087719298</v>
      </c>
      <c r="U690" s="1317">
        <f>IFERROR(Model!U690/Model!Q690-1,"NA")</f>
        <v>-0.33653846153846156</v>
      </c>
      <c r="V690" s="1317">
        <f>IFERROR(Model!V690/Model!R690-1,"NA")</f>
        <v>-0.35599999999999998</v>
      </c>
      <c r="W690" s="1317">
        <f>IFERROR(Model!W690/Model!S690-1,"NA")</f>
        <v>-0.37234042553191493</v>
      </c>
      <c r="X690" s="1317">
        <f>IFERROR(Model!X690/Model!T690-1,"NA")</f>
        <v>-0.26430517711171664</v>
      </c>
      <c r="Y690" s="1317">
        <f>IFERROR(Model!Y690/Model!U690-1,"NA")</f>
        <v>-0.29565217391304344</v>
      </c>
      <c r="Z690" s="1317">
        <f>IFERROR(Model!Z690/Model!V690-1,"NA")</f>
        <v>-0.31366459627329191</v>
      </c>
      <c r="AA690" s="1317">
        <f>IFERROR(Model!AA690/Model!W690-1,"NA")</f>
        <v>-0.30508474576271183</v>
      </c>
      <c r="AB690" s="1317">
        <f>IFERROR(Model!AB690/Model!X690-1,"NA")</f>
        <v>-0.28518518518518521</v>
      </c>
      <c r="AC690" s="1381">
        <f>IFERROR(Model!AC690/Model!Y690-1,"NA")</f>
        <v>-0.24547325102880657</v>
      </c>
      <c r="AD690" s="1381">
        <f>IFERROR(Model!AD690/Model!Z690-1,"NA")</f>
        <v>-0.21184389140271498</v>
      </c>
      <c r="AE690" s="1381">
        <f>IFERROR(Model!AE690/Model!AA690-1,"NA")</f>
        <v>-0.19281280487804875</v>
      </c>
      <c r="AF690" s="1381">
        <f>IFERROR(Model!AF690/Model!AB690-1,"NA")</f>
        <v>-0.19406749999999995</v>
      </c>
      <c r="AG690" s="1381">
        <f>IFERROR(Model!AG690/Model!AC690-1,"NA")</f>
        <v>-0.20255100000000004</v>
      </c>
      <c r="AH690" s="1381">
        <f>IFERROR(Model!AH690/Model!AD690-1,"NA")</f>
        <v>-0.20255100000000004</v>
      </c>
      <c r="AI690" s="1381">
        <f>IFERROR(Model!AI690/Model!AE690-1,"NA")</f>
        <v>-0.20255100000000015</v>
      </c>
      <c r="AJ690" s="1381"/>
      <c r="AK690" s="1381"/>
      <c r="AL690" s="1381"/>
      <c r="AM690" s="1381"/>
      <c r="AN690" s="1381"/>
      <c r="AO690" s="1381"/>
      <c r="AP690" s="1381"/>
      <c r="AQ690" s="1381"/>
      <c r="AR690" s="1236"/>
      <c r="AS690" s="1464"/>
      <c r="AT690" s="407"/>
      <c r="AU690" s="1236"/>
      <c r="AV690" s="1236">
        <f>IFERROR(Model!AV690/Model!AU690-1,"NA")</f>
        <v>-0.17910447761194026</v>
      </c>
      <c r="AW690" s="1236">
        <f>IFERROR(Model!AW690/Model!AV690-1,"NA")</f>
        <v>-0.18787878787878787</v>
      </c>
      <c r="AX690" s="1236">
        <f>IFERROR(Model!AX690/Model!AW690-1,"NA")</f>
        <v>-0.23134328358208955</v>
      </c>
      <c r="AY690" s="1236">
        <f>IFERROR(Model!AY690/Model!AX690-1,"NA")</f>
        <v>-0.35485436893203881</v>
      </c>
      <c r="AZ690" s="1236">
        <f>IFERROR(Model!AZ690/Model!AY690-1,"NA")</f>
        <v>-0.2934537246049661</v>
      </c>
      <c r="BA690" s="1236">
        <f>IFERROR(Model!BA690/Model!AZ690-1,"NA")</f>
        <v>-0.23748043130990415</v>
      </c>
      <c r="BB690" s="1381">
        <f>IFERROR(Model!BB690/Model!BA690-1,"NA")</f>
        <v>-0.20026426527174102</v>
      </c>
      <c r="BC690" s="1381">
        <f>IFERROR(Model!BC690/Model!BB690-1,"NA")</f>
        <v>-0.19999999999999996</v>
      </c>
      <c r="BD690" s="1381">
        <f>IFERROR(Model!BD690/Model!BC690-1,"NA")</f>
        <v>-0.19999999999999996</v>
      </c>
      <c r="BE690" s="1381">
        <f>IFERROR(Model!BE690/Model!BD690-1,"NA")</f>
        <v>-0.19999999999999996</v>
      </c>
    </row>
    <row r="691" spans="1:74" x14ac:dyDescent="0.2">
      <c r="A691" s="830"/>
      <c r="B691" s="157"/>
      <c r="C691" s="25" t="s">
        <v>16</v>
      </c>
      <c r="D691" s="1316"/>
      <c r="E691" s="1316"/>
      <c r="F691" s="1316"/>
      <c r="G691" s="1316"/>
      <c r="H691" s="1316">
        <f>IFERROR(Model!H691/Model!D691-1,"NA")</f>
        <v>-0.19999999999999996</v>
      </c>
      <c r="I691" s="1316">
        <f>IFERROR(Model!I691/Model!E691-1,"NA")</f>
        <v>-0.19999999999999996</v>
      </c>
      <c r="J691" s="1316">
        <f>IFERROR(Model!J691/Model!F691-1,"NA")</f>
        <v>-0.1428571428571429</v>
      </c>
      <c r="K691" s="1316">
        <f>IFERROR(Model!K691/Model!G691-1,"NA")</f>
        <v>-0.1428571428571429</v>
      </c>
      <c r="L691" s="1316">
        <f>IFERROR(Model!L691/Model!H691-1,"NA")</f>
        <v>0</v>
      </c>
      <c r="M691" s="1316">
        <f>IFERROR(Model!M691/Model!I691-1,"NA")</f>
        <v>0</v>
      </c>
      <c r="N691" s="1316">
        <f>IFERROR(Model!N691/Model!J691-1,"NA")</f>
        <v>0</v>
      </c>
      <c r="O691" s="1316">
        <f>IFERROR(Model!O691/Model!K691-1,"NA")</f>
        <v>0</v>
      </c>
      <c r="P691" s="1316">
        <f>IFERROR(Model!P691/Model!L691-1,"NA")</f>
        <v>0</v>
      </c>
      <c r="Q691" s="1316">
        <f>IFERROR(Model!Q691/Model!M691-1,"NA")</f>
        <v>-0.66666666666666674</v>
      </c>
      <c r="R691" s="1316">
        <f>IFERROR(Model!R691/Model!N691-1,"NA")</f>
        <v>-0.75</v>
      </c>
      <c r="S691" s="1316">
        <f>IFERROR(Model!S691/Model!O691-1,"NA")</f>
        <v>-0.83333333333333337</v>
      </c>
      <c r="T691" s="1316">
        <f>IFERROR(Model!T691/Model!P691-1,"NA")</f>
        <v>-0.77500000000000036</v>
      </c>
      <c r="U691" s="1316">
        <f>IFERROR(Model!U691/Model!Q691-1,"NA")</f>
        <v>-0.32499999999999929</v>
      </c>
      <c r="V691" s="1316">
        <f>IFERROR(Model!V691/Model!R691-1,"NA")</f>
        <v>6.666666666666532E-2</v>
      </c>
      <c r="W691" s="1316">
        <f>IFERROR(Model!W691/Model!S691-1,"NA")</f>
        <v>0.25</v>
      </c>
      <c r="X691" s="1316">
        <f>IFERROR(Model!X691/Model!T691-1,"NA")</f>
        <v>-3.7037037037034981E-2</v>
      </c>
      <c r="Y691" s="1316">
        <f>IFERROR(Model!Y691/Model!U691-1,"NA")</f>
        <v>-0.40740740740740877</v>
      </c>
      <c r="Z691" s="1316">
        <f>IFERROR(Model!Z691/Model!V691-1,"NA")</f>
        <v>-0.43750000000000011</v>
      </c>
      <c r="AA691" s="1316">
        <f>IFERROR(Model!AA691/Model!W691-1,"NA")</f>
        <v>-0.44000000000000061</v>
      </c>
      <c r="AB691" s="1316">
        <f>IFERROR(Model!AB691/Model!X691-1,"NA")</f>
        <v>-0.5</v>
      </c>
      <c r="AC691" s="1425">
        <f>IFERROR(Model!AC691/Model!Y691-1,"NA")</f>
        <v>-0.22812499999999858</v>
      </c>
      <c r="AD691" s="1425">
        <f>IFERROR(Model!AD691/Model!Z691-1,"NA")</f>
        <v>-0.34819444444444314</v>
      </c>
      <c r="AE691" s="1425">
        <f>IFERROR(Model!AE691/Model!AA691-1,"NA")</f>
        <v>-0.20386607142857027</v>
      </c>
      <c r="AF691" s="1425">
        <f>IFERROR(Model!AF691/Model!AB691-1,"NA")</f>
        <v>-0.19406750000000006</v>
      </c>
      <c r="AG691" s="1425">
        <f>IFERROR(Model!AG691/Model!AC691-1,"NA")</f>
        <v>-0.20255100000000004</v>
      </c>
      <c r="AH691" s="1425">
        <f>IFERROR(Model!AH691/Model!AD691-1,"NA")</f>
        <v>-0.20255100000000015</v>
      </c>
      <c r="AI691" s="1425">
        <f>IFERROR(Model!AI691/Model!AE691-1,"NA")</f>
        <v>-0.20255100000000015</v>
      </c>
      <c r="AJ691" s="1585"/>
      <c r="AK691" s="1585"/>
      <c r="AL691" s="1585"/>
      <c r="AM691" s="1585"/>
      <c r="AN691" s="1585"/>
      <c r="AO691" s="1585"/>
      <c r="AP691" s="1585"/>
      <c r="AQ691" s="1585"/>
      <c r="AR691" s="1236"/>
      <c r="AS691" s="1473"/>
      <c r="AT691" s="1307"/>
      <c r="AU691" s="1246"/>
      <c r="AV691" s="1246">
        <f>IFERROR(Model!AV691/Model!AU691-1,"NA")</f>
        <v>-0.17241379310344829</v>
      </c>
      <c r="AW691" s="1246">
        <f>IFERROR(Model!AW691/Model!AV691-1,"NA")</f>
        <v>0</v>
      </c>
      <c r="AX691" s="1246">
        <f>IFERROR(Model!AX691/Model!AW691-1,"NA")</f>
        <v>-0.5625</v>
      </c>
      <c r="AY691" s="1246">
        <f>IFERROR(Model!AY691/Model!AX691-1,"NA")</f>
        <v>-0.47142857142857175</v>
      </c>
      <c r="AZ691" s="1246">
        <f>IFERROR(Model!AZ691/Model!AY691-1,"NA")</f>
        <v>-0.33333333333333348</v>
      </c>
      <c r="BA691" s="1246">
        <f>IFERROR(Model!BA691/Model!AZ691-1,"NA")</f>
        <v>-0.348265202702702</v>
      </c>
      <c r="BB691" s="1425">
        <f>IFERROR(Model!BB691/Model!BA691-1,"NA")</f>
        <v>-0.20026426527174102</v>
      </c>
      <c r="BC691" s="1425">
        <f>IFERROR(Model!BC691/Model!BB691-1,"NA")</f>
        <v>-0.19999999999999996</v>
      </c>
      <c r="BD691" s="1425">
        <f>IFERROR(Model!BD691/Model!BC691-1,"NA")</f>
        <v>-0.19999999999999996</v>
      </c>
      <c r="BE691" s="1425">
        <f>IFERROR(Model!BE691/Model!BD691-1,"NA")</f>
        <v>-0.19999999999999996</v>
      </c>
    </row>
    <row r="692" spans="1:74" x14ac:dyDescent="0.2">
      <c r="B692" s="319" t="s">
        <v>513</v>
      </c>
      <c r="D692" s="1303"/>
      <c r="E692" s="1303"/>
      <c r="F692" s="1303"/>
      <c r="G692" s="1303"/>
      <c r="H692" s="1303">
        <f>IFERROR(Model!H692/Model!D692-1,"NA")</f>
        <v>-0.15573770491803274</v>
      </c>
      <c r="I692" s="1303">
        <f>IFERROR(Model!I692/Model!E692-1,"NA")</f>
        <v>-0.17094017094017089</v>
      </c>
      <c r="J692" s="1303">
        <f>IFERROR(Model!J692/Model!F692-1,"NA")</f>
        <v>-0.19469026548672563</v>
      </c>
      <c r="K692" s="1303">
        <f>IFERROR(Model!K692/Model!G692-1,"NA")</f>
        <v>-0.19444444444444442</v>
      </c>
      <c r="L692" s="1303">
        <f>IFERROR(Model!L692/Model!H692-1,"NA")</f>
        <v>-0.18446601941747576</v>
      </c>
      <c r="M692" s="1303">
        <f>IFERROR(Model!M692/Model!I692-1,"NA")</f>
        <v>-0.16494845360824739</v>
      </c>
      <c r="N692" s="1303">
        <f>IFERROR(Model!N692/Model!J692-1,"NA")</f>
        <v>-0.15384615384615385</v>
      </c>
      <c r="O692" s="1303">
        <f>IFERROR(Model!O692/Model!K692-1,"NA")</f>
        <v>-0.14942528735632188</v>
      </c>
      <c r="P692" s="1303">
        <f>IFERROR(Model!P692/Model!L692-1,"NA")</f>
        <v>-0.1785714285714286</v>
      </c>
      <c r="Q692" s="1303">
        <f>IFERROR(Model!Q692/Model!M692-1,"NA")</f>
        <v>-0.30864197530864201</v>
      </c>
      <c r="R692" s="1303">
        <f>IFERROR(Model!R692/Model!N692-1,"NA")</f>
        <v>-0.31168831168831168</v>
      </c>
      <c r="S692" s="1303">
        <f>IFERROR(Model!S692/Model!O692-1,"NA")</f>
        <v>-0.33783783783783783</v>
      </c>
      <c r="T692" s="1303">
        <f>IFERROR(Model!T692/Model!P692-1,"NA")</f>
        <v>-0.42898550724637685</v>
      </c>
      <c r="U692" s="1303">
        <f>IFERROR(Model!U692/Model!Q692-1,"NA")</f>
        <v>-0.33571428571428563</v>
      </c>
      <c r="V692" s="1303">
        <f>IFERROR(Model!V692/Model!R692-1,"NA")</f>
        <v>-0.33207547169811324</v>
      </c>
      <c r="W692" s="1303">
        <f>IFERROR(Model!W692/Model!S692-1,"NA")</f>
        <v>-0.34693877551020413</v>
      </c>
      <c r="X692" s="1303">
        <f>IFERROR(Model!X692/Model!T692-1,"NA")</f>
        <v>-0.24873096446700504</v>
      </c>
      <c r="Y692" s="1303">
        <f>IFERROR(Model!Y692/Model!U692-1,"NA")</f>
        <v>-0.30376344086021512</v>
      </c>
      <c r="Z692" s="1303">
        <f>IFERROR(Model!Z692/Model!V692-1,"NA")</f>
        <v>-0.32485875706214695</v>
      </c>
      <c r="AA692" s="1303">
        <f>IFERROR(Model!AA692/Model!W692-1,"NA")</f>
        <v>-0.31562500000000004</v>
      </c>
      <c r="AB692" s="1303">
        <f>IFERROR(Model!AB692/Model!X692-1,"NA")</f>
        <v>-0.30405405405405406</v>
      </c>
      <c r="AC692" s="1256">
        <f>IFERROR(Model!AC692/Model!Y692-1,"NA")</f>
        <v>-0.24440154440154438</v>
      </c>
      <c r="AD692" s="1256">
        <f>IFERROR(Model!AD692/Model!Z692-1,"NA")</f>
        <v>-0.22211297071129699</v>
      </c>
      <c r="AE692" s="1256">
        <f>IFERROR(Model!AE692/Model!AA692-1,"NA")</f>
        <v>-0.19351940639269405</v>
      </c>
      <c r="AF692" s="1256">
        <f>IFERROR(Model!AF692/Model!AB692-1,"NA")</f>
        <v>-0.19406750000000006</v>
      </c>
      <c r="AG692" s="1256">
        <f>IFERROR(Model!AG692/Model!AC692-1,"NA")</f>
        <v>-0.20255100000000004</v>
      </c>
      <c r="AH692" s="1256">
        <f>IFERROR(Model!AH692/Model!AD692-1,"NA")</f>
        <v>-0.20255100000000004</v>
      </c>
      <c r="AI692" s="1256">
        <f>IFERROR(Model!AI692/Model!AE692-1,"NA")</f>
        <v>-0.20255100000000015</v>
      </c>
      <c r="AJ692" s="1256"/>
      <c r="AK692" s="1256"/>
      <c r="AL692" s="1256"/>
      <c r="AM692" s="1256"/>
      <c r="AN692" s="1256"/>
      <c r="AO692" s="1256"/>
      <c r="AP692" s="1256"/>
      <c r="AQ692" s="1256"/>
      <c r="AR692" s="1236"/>
      <c r="AS692" s="1248"/>
      <c r="AT692" s="407"/>
      <c r="AU692" s="1236"/>
      <c r="AV692" s="1236">
        <f>IFERROR(Model!AV692/Model!AU692-1,"NA")</f>
        <v>-0.17826086956521736</v>
      </c>
      <c r="AW692" s="1236">
        <f>IFERROR(Model!AW692/Model!AV692-1,"NA")</f>
        <v>-0.16402116402116407</v>
      </c>
      <c r="AX692" s="1236">
        <f>IFERROR(Model!AX692/Model!AW692-1,"NA")</f>
        <v>-0.28164556962025311</v>
      </c>
      <c r="AY692" s="1236">
        <f>IFERROR(Model!AY692/Model!AX692-1,"NA")</f>
        <v>-0.36563876651982374</v>
      </c>
      <c r="AZ692" s="1236">
        <f>IFERROR(Model!AZ692/Model!AY692-1,"NA")</f>
        <v>-0.29652777777777772</v>
      </c>
      <c r="BA692" s="1236">
        <f>IFERROR(Model!BA692/Model!AZ692-1,"NA")</f>
        <v>-0.24557329713721632</v>
      </c>
      <c r="BB692" s="1256">
        <f>IFERROR(Model!BB692/Model!BA692-1,"NA")</f>
        <v>-0.2002642652717409</v>
      </c>
      <c r="BC692" s="1256">
        <f>IFERROR(Model!BC692/Model!BB692-1,"NA")</f>
        <v>-0.19999999999999996</v>
      </c>
      <c r="BD692" s="1256">
        <f>IFERROR(Model!BD692/Model!BC692-1,"NA")</f>
        <v>-0.19999999999999984</v>
      </c>
      <c r="BE692" s="1256">
        <f>IFERROR(Model!BE692/Model!BD692-1,"NA")</f>
        <v>-0.20000000000000007</v>
      </c>
    </row>
    <row r="693" spans="1:74" x14ac:dyDescent="0.2">
      <c r="D693" s="1256"/>
      <c r="E693" s="1256"/>
      <c r="F693" s="1256"/>
      <c r="G693" s="1256"/>
      <c r="H693" s="1256"/>
      <c r="I693" s="1256"/>
      <c r="J693" s="1256"/>
      <c r="K693" s="1256"/>
      <c r="L693" s="1256"/>
      <c r="M693" s="1256"/>
      <c r="N693" s="1256"/>
      <c r="O693" s="1256"/>
      <c r="P693" s="1256"/>
      <c r="Q693" s="1256"/>
      <c r="R693" s="1256"/>
      <c r="S693" s="1256"/>
      <c r="T693" s="1256"/>
      <c r="U693" s="1256"/>
      <c r="V693" s="1256"/>
      <c r="W693" s="1256"/>
      <c r="X693" s="1256"/>
      <c r="Y693" s="1256"/>
      <c r="Z693" s="1256"/>
      <c r="AA693" s="1256"/>
      <c r="AB693" s="1256"/>
      <c r="AC693" s="1256"/>
      <c r="AD693" s="1256"/>
      <c r="AE693" s="1256"/>
      <c r="AF693" s="1256"/>
      <c r="AG693" s="1256"/>
      <c r="AH693" s="1256"/>
      <c r="AI693" s="1256"/>
      <c r="AJ693" s="1256"/>
      <c r="AK693" s="1256"/>
      <c r="AL693" s="1256"/>
      <c r="AM693" s="1256"/>
      <c r="AN693" s="1256"/>
      <c r="AO693" s="1256"/>
      <c r="AP693" s="1256"/>
      <c r="AQ693" s="1256"/>
      <c r="AR693" s="1236"/>
      <c r="AS693" s="1382"/>
      <c r="AT693" s="407"/>
      <c r="AU693" s="1236"/>
      <c r="AV693" s="1236"/>
      <c r="AW693" s="1236"/>
      <c r="AX693" s="1236"/>
      <c r="AY693" s="1236"/>
      <c r="AZ693" s="1236"/>
      <c r="BA693" s="1236"/>
      <c r="BB693" s="1256"/>
      <c r="BC693" s="1256"/>
      <c r="BD693" s="1256"/>
      <c r="BE693" s="1256"/>
    </row>
    <row r="694" spans="1:74" x14ac:dyDescent="0.2">
      <c r="B694" s="325" t="s">
        <v>301</v>
      </c>
      <c r="D694" s="1303"/>
      <c r="E694" s="1303"/>
      <c r="F694" s="1303"/>
      <c r="G694" s="1303"/>
      <c r="H694" s="1303">
        <f>IFERROR(Model!H694/Model!D694-1,"NA")</f>
        <v>-0.14000000000000001</v>
      </c>
      <c r="I694" s="1303">
        <f>IFERROR(Model!I694/Model!E694-1,"NA")</f>
        <v>-0.14487632508833925</v>
      </c>
      <c r="J694" s="1303">
        <f>IFERROR(Model!J694/Model!F694-1,"NA")</f>
        <v>-0.24909747292418771</v>
      </c>
      <c r="K694" s="1303">
        <f>IFERROR(Model!K694/Model!G694-1,"NA")</f>
        <v>-0.22388059701492535</v>
      </c>
      <c r="L694" s="1303">
        <f>IFERROR(Model!L694/Model!H694-1,"NA")</f>
        <v>-0.23643410852713187</v>
      </c>
      <c r="M694" s="1303">
        <f>IFERROR(Model!M694/Model!I694-1,"NA")</f>
        <v>-0.17768595041322321</v>
      </c>
      <c r="N694" s="1303">
        <f>IFERROR(Model!N694/Model!J694-1,"NA")</f>
        <v>-0.10576923076923073</v>
      </c>
      <c r="O694" s="1303">
        <f>IFERROR(Model!O694/Model!K694-1,"NA")</f>
        <v>-0.28846153846153844</v>
      </c>
      <c r="P694" s="1303">
        <f>IFERROR(Model!P694/Model!L694-1,"NA")</f>
        <v>-0.34517766497461921</v>
      </c>
      <c r="Q694" s="1303">
        <f>IFERROR(Model!Q694/Model!M694-1,"NA")</f>
        <v>-0.50251256281407031</v>
      </c>
      <c r="R694" s="1303">
        <f>IFERROR(Model!R694/Model!N694-1,"NA")</f>
        <v>-0.5268817204301075</v>
      </c>
      <c r="S694" s="1303">
        <f>IFERROR(Model!S694/Model!O694-1,"NA")</f>
        <v>-0.43918918918918914</v>
      </c>
      <c r="T694" s="1303">
        <f>IFERROR(Model!T694/Model!P694-1,"NA")</f>
        <v>-0.48062015503875966</v>
      </c>
      <c r="U694" s="1303">
        <f>IFERROR(Model!U694/Model!Q694-1,"NA")</f>
        <v>-0.38383838383838387</v>
      </c>
      <c r="V694" s="1303">
        <f>IFERROR(Model!V694/Model!R694-1,"NA")</f>
        <v>-0.38636363636363635</v>
      </c>
      <c r="W694" s="1303">
        <f>IFERROR(Model!W694/Model!S694-1,"NA")</f>
        <v>-0.71084337349397586</v>
      </c>
      <c r="X694" s="1303">
        <f>IFERROR(Model!X694/Model!T694-1,"NA")</f>
        <v>-0.68656716417910446</v>
      </c>
      <c r="Y694" s="1303">
        <f>IFERROR(Model!Y694/Model!U694-1,"NA")</f>
        <v>-0.68852459016393441</v>
      </c>
      <c r="Z694" s="1303">
        <f>IFERROR(Model!Z694/Model!V694-1,"NA")</f>
        <v>-0.64814814814814814</v>
      </c>
      <c r="AA694" s="1303">
        <f>IFERROR(Model!AA694/Model!W694-1,"NA")</f>
        <v>-0.29166666666666663</v>
      </c>
      <c r="AB694" s="1303">
        <f>IFERROR(Model!AB694/Model!X694-1,"NA")</f>
        <v>-0.19047619047619058</v>
      </c>
      <c r="AC694" s="1381">
        <f>IFERROR(Model!AC694/Model!Y694-1,"NA")</f>
        <v>-0.1947368421052631</v>
      </c>
      <c r="AD694" s="1381">
        <f>IFERROR(Model!AD694/Model!Z694-1,"NA")</f>
        <v>-0.27526315789473677</v>
      </c>
      <c r="AE694" s="1381">
        <f>IFERROR(Model!AE694/Model!AA694-1,"NA")</f>
        <v>-0.27099999999999991</v>
      </c>
      <c r="AF694" s="1381">
        <f>IFERROR(Model!AF694/Model!AB694-1,"NA")</f>
        <v>-0.36576999999999993</v>
      </c>
      <c r="AG694" s="1381">
        <f>IFERROR(Model!AG694/Model!AC694-1,"NA")</f>
        <v>-0.38691099999999989</v>
      </c>
      <c r="AH694" s="1381">
        <f>IFERROR(Model!AH694/Model!AD694-1,"NA")</f>
        <v>-0.41688423999999991</v>
      </c>
      <c r="AI694" s="1381">
        <f>IFERROR(Model!AI694/Model!AE694-1,"NA")</f>
        <v>-0.44539212159999997</v>
      </c>
      <c r="AJ694" s="1381"/>
      <c r="AK694" s="1381"/>
      <c r="AL694" s="1381"/>
      <c r="AM694" s="1381"/>
      <c r="AN694" s="1381"/>
      <c r="AO694" s="1381"/>
      <c r="AP694" s="1381"/>
      <c r="AQ694" s="1381"/>
      <c r="AR694" s="1236"/>
      <c r="AS694" s="1239"/>
      <c r="AT694" s="407"/>
      <c r="AU694" s="1236"/>
      <c r="AV694" s="1236">
        <f>IFERROR(Model!AV694/Model!AU694-1,"NA")</f>
        <v>-0.18794326241134751</v>
      </c>
      <c r="AW694" s="1236">
        <f>IFERROR(Model!AW694/Model!AV694-1,"NA")</f>
        <v>-0.20305676855895194</v>
      </c>
      <c r="AX694" s="1236">
        <f>IFERROR(Model!AX694/Model!AW694-1,"NA")</f>
        <v>-0.45342465753424654</v>
      </c>
      <c r="AY694" s="1236">
        <f>IFERROR(Model!AY694/Model!AX694-1,"NA")</f>
        <v>-0.48370927318295742</v>
      </c>
      <c r="AZ694" s="1236">
        <f>IFERROR(Model!AZ694/Model!AY694-1,"NA")</f>
        <v>-0.63106796116504849</v>
      </c>
      <c r="BA694" s="1236">
        <f>IFERROR(Model!BA694/Model!AZ694-1,"NA")</f>
        <v>-0.23075000000000001</v>
      </c>
      <c r="BB694" s="1381">
        <f>IFERROR(Model!BB694/Model!BA694-1,"NA")</f>
        <v>-0.40022011952497816</v>
      </c>
      <c r="BC694" s="1381">
        <f>IFERROR(Model!BC694/Model!BB694-1,"NA")</f>
        <v>-0.4</v>
      </c>
      <c r="BD694" s="1381">
        <f>IFERROR(Model!BD694/Model!BC694-1,"NA")</f>
        <v>-0.4</v>
      </c>
      <c r="BE694" s="1381">
        <f>IFERROR(Model!BE694/Model!BD694-1,"NA")</f>
        <v>-0.4</v>
      </c>
    </row>
    <row r="695" spans="1:74" x14ac:dyDescent="0.2">
      <c r="D695" s="407"/>
      <c r="E695" s="407"/>
      <c r="F695" s="407"/>
      <c r="G695" s="407"/>
      <c r="H695" s="407"/>
      <c r="I695" s="407"/>
      <c r="J695" s="407"/>
      <c r="K695" s="407"/>
      <c r="L695" s="407"/>
      <c r="M695" s="407"/>
      <c r="N695" s="407"/>
      <c r="O695" s="407"/>
      <c r="P695" s="407"/>
      <c r="Q695" s="407"/>
      <c r="R695" s="407"/>
      <c r="S695" s="407"/>
      <c r="T695" s="407"/>
      <c r="U695" s="407"/>
      <c r="V695" s="407"/>
      <c r="W695" s="407"/>
      <c r="X695" s="407"/>
      <c r="Y695" s="407"/>
      <c r="Z695" s="407"/>
      <c r="AA695" s="407"/>
      <c r="AB695" s="407"/>
      <c r="AC695" s="407"/>
      <c r="AD695" s="407"/>
      <c r="AE695" s="407"/>
      <c r="AF695" s="407"/>
      <c r="AG695" s="407"/>
      <c r="AH695" s="407"/>
      <c r="AI695" s="407"/>
      <c r="AJ695" s="407"/>
      <c r="AK695" s="407"/>
      <c r="AL695" s="407"/>
      <c r="AM695" s="407"/>
      <c r="AN695" s="407"/>
      <c r="AO695" s="407"/>
      <c r="AP695" s="407"/>
      <c r="AQ695" s="407"/>
      <c r="AR695" s="1236"/>
      <c r="AS695" s="1382"/>
      <c r="AT695" s="407"/>
      <c r="AU695" s="1236"/>
      <c r="AV695" s="1236"/>
      <c r="AW695" s="1236"/>
      <c r="AX695" s="1236"/>
      <c r="AY695" s="1236"/>
      <c r="AZ695" s="1236"/>
      <c r="BA695" s="1236"/>
      <c r="BB695" s="407"/>
      <c r="BC695" s="407"/>
      <c r="BD695" s="407"/>
      <c r="BE695" s="407"/>
    </row>
    <row r="696" spans="1:74" x14ac:dyDescent="0.2">
      <c r="B696" s="364" t="s">
        <v>523</v>
      </c>
      <c r="D696" s="1256"/>
      <c r="E696" s="407"/>
      <c r="F696" s="407"/>
      <c r="G696" s="407"/>
      <c r="H696" s="407" t="str">
        <f>IFERROR(Model!H696/Model!D696-1,"NA")</f>
        <v>NA</v>
      </c>
      <c r="I696" s="407">
        <f>IFERROR(Model!I696/Model!E696-1,"NA")</f>
        <v>-0.23809523809523869</v>
      </c>
      <c r="J696" s="407">
        <f>IFERROR(Model!J696/Model!F696-1,"NA")</f>
        <v>-0.19047619047619246</v>
      </c>
      <c r="K696" s="407">
        <f>IFERROR(Model!K696/Model!G696-1,"NA")</f>
        <v>-0.2000000000000014</v>
      </c>
      <c r="L696" s="407">
        <f>IFERROR(Model!L696/Model!H696-1,"NA")</f>
        <v>-0.29411764705881471</v>
      </c>
      <c r="M696" s="407">
        <f>IFERROR(Model!M696/Model!I696-1,"NA")</f>
        <v>-2.0624999999999876</v>
      </c>
      <c r="N696" s="407">
        <f>IFERROR(Model!N696/Model!J696-1,"NA")</f>
        <v>-2.1764705882352837</v>
      </c>
      <c r="O696" s="407">
        <f>IFERROR(Model!O696/Model!K696-1,"NA")</f>
        <v>-1.062499999999996</v>
      </c>
      <c r="P696" s="407">
        <f>IFERROR(Model!P696/Model!L696-1,"NA")</f>
        <v>-1.1666666666666725</v>
      </c>
      <c r="Q696" s="407">
        <f>IFERROR(Model!Q696/Model!M696-1,"NA")</f>
        <v>-1.1764705882352908</v>
      </c>
      <c r="R696" s="407">
        <f>IFERROR(Model!R696/Model!N696-1,"NA")</f>
        <v>-1.1500000000000068</v>
      </c>
      <c r="S696" s="407">
        <f>IFERROR(Model!S696/Model!O696-1,"NA")</f>
        <v>-4.0000000000002842</v>
      </c>
      <c r="T696" s="407">
        <f>IFERROR(Model!T696/Model!P696-1,"NA")</f>
        <v>-3.4999999999998757</v>
      </c>
      <c r="U696" s="407">
        <f>IFERROR(Model!U696/Model!Q696-1,"NA")</f>
        <v>0.33333333333337278</v>
      </c>
      <c r="V696" s="407">
        <f>IFERROR(Model!V696/Model!R696-1,"NA")</f>
        <v>-0.33333333333334914</v>
      </c>
      <c r="W696" s="407">
        <f>IFERROR(Model!W696/Model!S696-1,"NA")</f>
        <v>-0.66666666666667451</v>
      </c>
      <c r="X696" s="407">
        <f>IFERROR(Model!X696/Model!T696-1,"NA")</f>
        <v>-1</v>
      </c>
      <c r="Y696" s="407">
        <f>IFERROR(Model!Y696/Model!U696-1,"NA")</f>
        <v>-1</v>
      </c>
      <c r="Z696" s="407">
        <f>IFERROR(Model!Z696/Model!V696-1,"NA")</f>
        <v>-1</v>
      </c>
      <c r="AA696" s="407">
        <f>IFERROR(Model!AA696/Model!W696-1,"NA")</f>
        <v>-1</v>
      </c>
      <c r="AB696" s="407" t="str">
        <f>IFERROR(Model!AB696/Model!X696-1,"NA")</f>
        <v>NA</v>
      </c>
      <c r="AC696" s="1381" t="str">
        <f>IFERROR(Model!AC696/Model!Y696-1,"NA")</f>
        <v>NA</v>
      </c>
      <c r="AD696" s="1381" t="str">
        <f>IFERROR(Model!AD696/Model!Z696-1,"NA")</f>
        <v>NA</v>
      </c>
      <c r="AE696" s="1381" t="str">
        <f>IFERROR(Model!AE696/Model!AA696-1,"NA")</f>
        <v>NA</v>
      </c>
      <c r="AF696" s="1381" t="str">
        <f>IFERROR(Model!AF696/Model!AB696-1,"NA")</f>
        <v>NA</v>
      </c>
      <c r="AG696" s="1381" t="str">
        <f>IFERROR(Model!AG696/Model!AC696-1,"NA")</f>
        <v>NA</v>
      </c>
      <c r="AH696" s="1381" t="str">
        <f>IFERROR(Model!AH696/Model!AD696-1,"NA")</f>
        <v>NA</v>
      </c>
      <c r="AI696" s="1381" t="str">
        <f>IFERROR(Model!AI696/Model!AE696-1,"NA")</f>
        <v>NA</v>
      </c>
      <c r="AJ696" s="1381"/>
      <c r="AK696" s="1381"/>
      <c r="AL696" s="1381"/>
      <c r="AM696" s="1381"/>
      <c r="AN696" s="1381"/>
      <c r="AO696" s="1381"/>
      <c r="AP696" s="1381"/>
      <c r="AQ696" s="1381"/>
      <c r="AR696" s="1236"/>
      <c r="AS696" s="1277"/>
      <c r="AT696" s="407"/>
      <c r="AU696" s="1236"/>
      <c r="AV696" s="1236">
        <f>IFERROR(Model!AV696/Model!AU696-1,"NA")</f>
        <v>-0.2016129032258076</v>
      </c>
      <c r="AW696" s="1236">
        <f>IFERROR(Model!AW696/Model!AV696-1,"NA")</f>
        <v>-1.3939393939393838</v>
      </c>
      <c r="AX696" s="1236">
        <f>IFERROR(Model!AX696/Model!AW696-1,"NA")</f>
        <v>-1.2692307692307767</v>
      </c>
      <c r="AY696" s="1236">
        <f>IFERROR(Model!AY696/Model!AX696-1,"NA")</f>
        <v>0.7142857142857113</v>
      </c>
      <c r="AZ696" s="1236">
        <f>IFERROR(Model!AZ696/Model!AY696-1,"NA")</f>
        <v>-1</v>
      </c>
      <c r="BA696" s="1236" t="str">
        <f>IFERROR(Model!BA696/Model!AZ696-1,"NA")</f>
        <v>NA</v>
      </c>
      <c r="BB696" s="1381" t="str">
        <f>IFERROR(Model!BB696/Model!BA696-1,"NA")</f>
        <v>NA</v>
      </c>
      <c r="BC696" s="1381" t="str">
        <f>IFERROR(Model!BC696/Model!BB696-1,"NA")</f>
        <v>NA</v>
      </c>
      <c r="BD696" s="1381" t="str">
        <f>IFERROR(Model!BD696/Model!BC696-1,"NA")</f>
        <v>NA</v>
      </c>
      <c r="BE696" s="1381" t="str">
        <f>IFERROR(Model!BE696/Model!BD696-1,"NA")</f>
        <v>NA</v>
      </c>
    </row>
    <row r="697" spans="1:74" x14ac:dyDescent="0.2">
      <c r="D697" s="1256"/>
      <c r="E697" s="407"/>
      <c r="F697" s="407"/>
      <c r="G697" s="407"/>
      <c r="H697" s="407"/>
      <c r="I697" s="407"/>
      <c r="J697" s="407"/>
      <c r="K697" s="407"/>
      <c r="L697" s="407"/>
      <c r="M697" s="407"/>
      <c r="N697" s="407"/>
      <c r="O697" s="407"/>
      <c r="P697" s="407"/>
      <c r="Q697" s="407"/>
      <c r="R697" s="407"/>
      <c r="S697" s="407"/>
      <c r="T697" s="407"/>
      <c r="U697" s="407"/>
      <c r="V697" s="407"/>
      <c r="W697" s="407"/>
      <c r="X697" s="407"/>
      <c r="Y697" s="407"/>
      <c r="Z697" s="407"/>
      <c r="AA697" s="407"/>
      <c r="AB697" s="407"/>
      <c r="AC697" s="407"/>
      <c r="AD697" s="407"/>
      <c r="AE697" s="407"/>
      <c r="AF697" s="407"/>
      <c r="AG697" s="407"/>
      <c r="AH697" s="407"/>
      <c r="AI697" s="407"/>
      <c r="AJ697" s="407"/>
      <c r="AK697" s="407"/>
      <c r="AL697" s="407"/>
      <c r="AM697" s="407"/>
      <c r="AN697" s="407"/>
      <c r="AO697" s="407"/>
      <c r="AP697" s="407"/>
      <c r="AQ697" s="407"/>
      <c r="AR697" s="1236"/>
      <c r="AS697" s="1382"/>
      <c r="AT697" s="407"/>
      <c r="AU697" s="1236"/>
      <c r="AV697" s="1236"/>
      <c r="AW697" s="1236"/>
      <c r="AX697" s="1236"/>
      <c r="AY697" s="1236"/>
      <c r="AZ697" s="1236"/>
      <c r="BA697" s="1236"/>
      <c r="BB697" s="407"/>
      <c r="BC697" s="407"/>
      <c r="BD697" s="407"/>
      <c r="BE697" s="407"/>
    </row>
    <row r="698" spans="1:74" x14ac:dyDescent="0.2">
      <c r="B698" s="364" t="s">
        <v>258</v>
      </c>
      <c r="C698" s="382"/>
      <c r="D698" s="1267"/>
      <c r="E698" s="1267"/>
      <c r="F698" s="1267"/>
      <c r="G698" s="1267"/>
      <c r="H698" s="1267" t="str">
        <f>IFERROR(Model!H698/Model!D698-1,"NA")</f>
        <v>NA</v>
      </c>
      <c r="I698" s="1267">
        <f>IFERROR(Model!I698/Model!E698-1,"NA")</f>
        <v>-0.1663819610522721</v>
      </c>
      <c r="J698" s="1267">
        <f>IFERROR(Model!J698/Model!F698-1,"NA")</f>
        <v>-0.2052910052910053</v>
      </c>
      <c r="K698" s="1267">
        <f>IFERROR(Model!K698/Model!G698-1,"NA")</f>
        <v>-0.20029455081001479</v>
      </c>
      <c r="L698" s="1267">
        <f>IFERROR(Model!L698/Model!H698-1,"NA")</f>
        <v>-0.19552641727728493</v>
      </c>
      <c r="M698" s="1267">
        <f>IFERROR(Model!M698/Model!I698-1,"NA")</f>
        <v>-0.17991803278688512</v>
      </c>
      <c r="N698" s="1267">
        <f>IFERROR(Model!N698/Model!J698-1,"NA")</f>
        <v>-0.16023080337328022</v>
      </c>
      <c r="O698" s="1267">
        <f>IFERROR(Model!O698/Model!K698-1,"NA")</f>
        <v>-0.18278084714548803</v>
      </c>
      <c r="P698" s="1267">
        <f>IFERROR(Model!P698/Model!L698-1,"NA")</f>
        <v>-0.2157238734419944</v>
      </c>
      <c r="Q698" s="1267">
        <f>IFERROR(Model!Q698/Model!M698-1,"NA")</f>
        <v>-0.33983008495752132</v>
      </c>
      <c r="R698" s="1267">
        <f>IFERROR(Model!R698/Model!N698-1,"NA")</f>
        <v>-0.34513742071881603</v>
      </c>
      <c r="S698" s="1267">
        <f>IFERROR(Model!S698/Model!O698-1,"NA")</f>
        <v>-0.35267605633802812</v>
      </c>
      <c r="T698" s="1267">
        <f>IFERROR(Model!T698/Model!P698-1,"NA")</f>
        <v>-0.43337408312958436</v>
      </c>
      <c r="U698" s="1267">
        <f>IFERROR(Model!U698/Model!Q698-1,"NA")</f>
        <v>-0.34140802422407268</v>
      </c>
      <c r="V698" s="1267">
        <f>IFERROR(Model!V698/Model!R698-1,"NA")</f>
        <v>-0.33979015334947549</v>
      </c>
      <c r="W698" s="1267">
        <f>IFERROR(Model!W698/Model!S698-1,"NA")</f>
        <v>-0.4003481288076588</v>
      </c>
      <c r="X698" s="1267">
        <f>IFERROR(Model!X698/Model!T698-1,"NA")</f>
        <v>-0.31607335490830635</v>
      </c>
      <c r="Y698" s="1267">
        <f>IFERROR(Model!Y698/Model!U698-1,"NA")</f>
        <v>-0.36091954022988515</v>
      </c>
      <c r="Z698" s="1267">
        <f>IFERROR(Model!Z698/Model!V698-1,"NA")</f>
        <v>-0.36919315403422992</v>
      </c>
      <c r="AA698" s="1267">
        <f>IFERROR(Model!AA698/Model!W698-1,"NA")</f>
        <v>-0.31494920174165464</v>
      </c>
      <c r="AB698" s="1267">
        <f>IFERROR(Model!AB698/Model!X698-1,"NA")</f>
        <v>-0.29652996845425872</v>
      </c>
      <c r="AC698" s="1267">
        <f>IFERROR(Model!AC698/Model!Y698-1,"NA")</f>
        <v>-0.24100719424460415</v>
      </c>
      <c r="AD698" s="1267">
        <f>IFERROR(Model!AD698/Model!Z698-1,"NA")</f>
        <v>-0.22602713178294564</v>
      </c>
      <c r="AE698" s="1267">
        <f>IFERROR(Model!AE698/Model!AA698-1,"NA")</f>
        <v>-0.19910063559322022</v>
      </c>
      <c r="AF698" s="1267">
        <f>IFERROR(Model!AF698/Model!AB698-1,"NA")</f>
        <v>-0.20715692825112109</v>
      </c>
      <c r="AG698" s="1267">
        <f>IFERROR(Model!AG698/Model!AC698-1,"NA")</f>
        <v>-0.21591928436018959</v>
      </c>
      <c r="AH698" s="1267">
        <f>IFERROR(Model!AH698/Model!AD698-1,"NA")</f>
        <v>-0.21733112226656981</v>
      </c>
      <c r="AI698" s="1267">
        <f>IFERROR(Model!AI698/Model!AE698-1,"NA")</f>
        <v>-0.21847340725132258</v>
      </c>
      <c r="AJ698" s="1267"/>
      <c r="AK698" s="1267"/>
      <c r="AL698" s="1267"/>
      <c r="AM698" s="1267"/>
      <c r="AN698" s="1267"/>
      <c r="AO698" s="1267"/>
      <c r="AP698" s="1267"/>
      <c r="AQ698" s="1267"/>
      <c r="AR698" s="1236"/>
      <c r="AS698" s="1277"/>
      <c r="AT698" s="1308"/>
      <c r="AU698" s="1236"/>
      <c r="AV698" s="1236">
        <f>IFERROR(Model!AV698/Model!AU698-1,"NA")</f>
        <v>-0.16330502476999298</v>
      </c>
      <c r="AW698" s="1236">
        <f>IFERROR(Model!AW698/Model!AV698-1,"NA")</f>
        <v>-0.18016493973355874</v>
      </c>
      <c r="AX698" s="1236">
        <f>IFERROR(Model!AX698/Model!AW698-1,"NA")</f>
        <v>-0.31067835955635814</v>
      </c>
      <c r="AY698" s="1236">
        <f>IFERROR(Model!AY698/Model!AX698-1,"NA")</f>
        <v>-0.38185219831618344</v>
      </c>
      <c r="AZ698" s="1236">
        <f>IFERROR(Model!AZ698/Model!AY698-1,"NA")</f>
        <v>-0.34079903147699764</v>
      </c>
      <c r="BA698" s="1236">
        <f>IFERROR(Model!BA698/Model!AZ698-1,"NA")</f>
        <v>-0.24453879706152415</v>
      </c>
      <c r="BB698" s="1267">
        <f>IFERROR(Model!BB698/Model!BA698-1,"NA")</f>
        <v>-0.21447364679964442</v>
      </c>
      <c r="BC698" s="1267">
        <f>IFERROR(Model!BC698/Model!BB698-1,"NA")</f>
        <v>-0.21085180999454323</v>
      </c>
      <c r="BD698" s="1267">
        <f>IFERROR(Model!BD698/Model!BC698-1,"NA")</f>
        <v>-0.20825077733078345</v>
      </c>
      <c r="BE698" s="1267">
        <f>IFERROR(Model!BE698/Model!BD698-1,"NA")</f>
        <v>-0.20625256868807618</v>
      </c>
    </row>
    <row r="699" spans="1:74" x14ac:dyDescent="0.2">
      <c r="B699" s="382"/>
      <c r="C699" s="382"/>
      <c r="D699" s="1277"/>
      <c r="E699" s="1277"/>
      <c r="F699" s="1277"/>
      <c r="G699" s="1277"/>
      <c r="H699" s="1308"/>
      <c r="I699" s="1308"/>
      <c r="J699" s="1308"/>
      <c r="K699" s="1308"/>
      <c r="L699" s="1308"/>
      <c r="M699" s="1308"/>
      <c r="N699" s="1308"/>
      <c r="O699" s="1308"/>
      <c r="P699" s="1308"/>
      <c r="Q699" s="1308"/>
      <c r="R699" s="1308"/>
      <c r="S699" s="1308"/>
      <c r="T699" s="1308"/>
      <c r="U699" s="1308"/>
      <c r="V699" s="1308"/>
      <c r="W699" s="1308"/>
      <c r="X699" s="1308"/>
      <c r="Y699" s="1308"/>
      <c r="Z699" s="1308"/>
      <c r="AA699" s="1308"/>
      <c r="AB699" s="1308"/>
      <c r="AC699" s="407"/>
      <c r="AD699" s="407"/>
      <c r="AE699" s="407"/>
      <c r="AF699" s="407"/>
      <c r="AG699" s="407"/>
      <c r="AH699" s="407"/>
      <c r="AI699" s="407"/>
      <c r="AJ699" s="407"/>
      <c r="AK699" s="407"/>
      <c r="AL699" s="407"/>
      <c r="AM699" s="407"/>
      <c r="AN699" s="407"/>
      <c r="AO699" s="407"/>
      <c r="AP699" s="407"/>
      <c r="AQ699" s="407"/>
      <c r="AR699" s="1236"/>
      <c r="AS699" s="1308"/>
      <c r="AT699" s="1308"/>
      <c r="AU699" s="1236"/>
      <c r="AV699" s="1236"/>
      <c r="AW699" s="1236"/>
      <c r="AX699" s="1236"/>
      <c r="AY699" s="1236"/>
      <c r="AZ699" s="1236"/>
      <c r="BA699" s="1236"/>
      <c r="BB699" s="407"/>
      <c r="BC699" s="407"/>
      <c r="BD699" s="407"/>
      <c r="BE699" s="407"/>
    </row>
    <row r="700" spans="1:74" x14ac:dyDescent="0.2">
      <c r="B700" s="574" t="s">
        <v>212</v>
      </c>
      <c r="C700" s="525"/>
      <c r="D700" s="1310"/>
      <c r="E700" s="1310"/>
      <c r="F700" s="1310"/>
      <c r="G700" s="1310"/>
      <c r="H700" s="1441"/>
      <c r="I700" s="1441"/>
      <c r="J700" s="1441"/>
      <c r="K700" s="1441"/>
      <c r="L700" s="1441"/>
      <c r="M700" s="1441"/>
      <c r="N700" s="1441"/>
      <c r="O700" s="1441"/>
      <c r="P700" s="1441"/>
      <c r="Q700" s="1441"/>
      <c r="R700" s="1441"/>
      <c r="S700" s="1441"/>
      <c r="T700" s="1441"/>
      <c r="U700" s="1441"/>
      <c r="V700" s="1441"/>
      <c r="W700" s="1441"/>
      <c r="X700" s="1441"/>
      <c r="Y700" s="1441"/>
      <c r="Z700" s="1398"/>
      <c r="AA700" s="1398"/>
      <c r="AB700" s="1398"/>
      <c r="AC700" s="1398"/>
      <c r="AD700" s="1398"/>
      <c r="AE700" s="1398"/>
      <c r="AF700" s="1398"/>
      <c r="AG700" s="1398"/>
      <c r="AH700" s="1398"/>
      <c r="AI700" s="1398"/>
      <c r="AJ700" s="1398"/>
      <c r="AK700" s="1398"/>
      <c r="AL700" s="1398"/>
      <c r="AM700" s="1398"/>
      <c r="AN700" s="1398"/>
      <c r="AO700" s="1398"/>
      <c r="AP700" s="1398"/>
      <c r="AQ700" s="1398"/>
      <c r="AR700" s="1236"/>
      <c r="AS700" s="1310"/>
      <c r="AT700" s="1441"/>
      <c r="AU700" s="1312"/>
      <c r="AV700" s="1312"/>
      <c r="AW700" s="1312"/>
      <c r="AX700" s="1312"/>
      <c r="AY700" s="1312"/>
      <c r="AZ700" s="1312"/>
      <c r="BA700" s="1312"/>
      <c r="BB700" s="1398"/>
      <c r="BC700" s="1398"/>
      <c r="BD700" s="1398"/>
      <c r="BE700" s="1398"/>
      <c r="BF700" s="390"/>
      <c r="BG700" s="390"/>
      <c r="BH700" s="390"/>
      <c r="BI700" s="390"/>
      <c r="BJ700" s="390"/>
      <c r="BK700" s="390"/>
      <c r="BL700" s="390"/>
      <c r="BM700" s="390"/>
      <c r="BN700" s="390"/>
      <c r="BO700" s="390"/>
      <c r="BP700" s="390"/>
      <c r="BQ700" s="390"/>
      <c r="BR700" s="390"/>
      <c r="BS700" s="390"/>
      <c r="BT700" s="390"/>
      <c r="BU700" s="390"/>
      <c r="BV700" s="390"/>
    </row>
    <row r="701" spans="1:74" x14ac:dyDescent="0.2">
      <c r="B701" s="325" t="s">
        <v>297</v>
      </c>
      <c r="D701" s="407"/>
      <c r="E701" s="407"/>
      <c r="F701" s="407"/>
      <c r="G701" s="407"/>
      <c r="H701" s="407"/>
      <c r="I701" s="407"/>
      <c r="J701" s="407"/>
      <c r="K701" s="407"/>
      <c r="L701" s="407"/>
      <c r="M701" s="407"/>
      <c r="N701" s="407"/>
      <c r="O701" s="407"/>
      <c r="P701" s="407"/>
      <c r="Q701" s="407"/>
      <c r="R701" s="407"/>
      <c r="S701" s="407"/>
      <c r="T701" s="407"/>
      <c r="U701" s="407"/>
      <c r="V701" s="407"/>
      <c r="W701" s="407"/>
      <c r="X701" s="407"/>
      <c r="Y701" s="407"/>
      <c r="Z701" s="407"/>
      <c r="AA701" s="407"/>
      <c r="AB701" s="407"/>
      <c r="AC701" s="407"/>
      <c r="AD701" s="407"/>
      <c r="AE701" s="407"/>
      <c r="AF701" s="407"/>
      <c r="AG701" s="407"/>
      <c r="AH701" s="407"/>
      <c r="AI701" s="407"/>
      <c r="AJ701" s="407"/>
      <c r="AK701" s="407"/>
      <c r="AL701" s="407"/>
      <c r="AM701" s="407"/>
      <c r="AN701" s="407"/>
      <c r="AO701" s="407"/>
      <c r="AP701" s="407"/>
      <c r="AQ701" s="407"/>
      <c r="AR701" s="1236"/>
      <c r="AS701" s="1239"/>
      <c r="AT701" s="407"/>
      <c r="AU701" s="1236"/>
      <c r="AV701" s="1236"/>
      <c r="AW701" s="1236"/>
      <c r="AX701" s="1236"/>
      <c r="AY701" s="1236"/>
      <c r="AZ701" s="1236"/>
      <c r="BA701" s="1236"/>
      <c r="BB701" s="407"/>
      <c r="BC701" s="407"/>
      <c r="BD701" s="407"/>
      <c r="BE701" s="407"/>
    </row>
    <row r="702" spans="1:74" x14ac:dyDescent="0.2">
      <c r="C702" s="382" t="s">
        <v>103</v>
      </c>
      <c r="D702" s="1303"/>
      <c r="E702" s="1303"/>
      <c r="F702" s="1303"/>
      <c r="G702" s="1303"/>
      <c r="H702" s="1303">
        <f>IFERROR(Model!H702/Model!D702-1,"NA")</f>
        <v>-0.17692307692307696</v>
      </c>
      <c r="I702" s="1303">
        <f>IFERROR(Model!I702/Model!E702-1,"NA")</f>
        <v>-0.22364217252396168</v>
      </c>
      <c r="J702" s="1303">
        <f>IFERROR(Model!J702/Model!F702-1,"NA")</f>
        <v>-0.22370617696160267</v>
      </c>
      <c r="K702" s="1303">
        <f>IFERROR(Model!K702/Model!G702-1,"NA")</f>
        <v>-0.22703639514731366</v>
      </c>
      <c r="L702" s="1303">
        <f>IFERROR(Model!L702/Model!H702-1,"NA")</f>
        <v>-0.19252336448598129</v>
      </c>
      <c r="M702" s="1303">
        <f>IFERROR(Model!M702/Model!I702-1,"NA")</f>
        <v>-0.17695473251028804</v>
      </c>
      <c r="N702" s="1303">
        <f>IFERROR(Model!N702/Model!J702-1,"NA")</f>
        <v>-0.19354838709677424</v>
      </c>
      <c r="O702" s="1303">
        <f>IFERROR(Model!O702/Model!K702-1,"NA")</f>
        <v>-0.22869955156950683</v>
      </c>
      <c r="P702" s="1303">
        <f>IFERROR(Model!P702/Model!L702-1,"NA")</f>
        <v>-0.31018518518518523</v>
      </c>
      <c r="Q702" s="1303">
        <f>IFERROR(Model!Q702/Model!M702-1,"NA")</f>
        <v>-0.28499999999999992</v>
      </c>
      <c r="R702" s="1303">
        <f>IFERROR(Model!R702/Model!N702-1,"NA")</f>
        <v>-0.29600000000000004</v>
      </c>
      <c r="S702" s="1303">
        <f>IFERROR(Model!S702/Model!O702-1,"NA")</f>
        <v>-0.45639534883720934</v>
      </c>
      <c r="T702" s="1303">
        <f>IFERROR(Model!T702/Model!P702-1,"NA")</f>
        <v>-0.40939597315436238</v>
      </c>
      <c r="U702" s="1303">
        <f>IFERROR(Model!U702/Model!Q702-1,"NA")</f>
        <v>-0.44755244755244761</v>
      </c>
      <c r="V702" s="1303">
        <f>IFERROR(Model!V702/Model!R702-1,"NA")</f>
        <v>-0.43939393939393934</v>
      </c>
      <c r="W702" s="1303">
        <f>IFERROR(Model!W702/Model!S702-1,"NA")</f>
        <v>-0.28342245989304804</v>
      </c>
      <c r="X702" s="1303">
        <f>IFERROR(Model!X702/Model!T702-1,"NA")</f>
        <v>-0.30113636363636365</v>
      </c>
      <c r="Y702" s="1303">
        <f>IFERROR(Model!Y702/Model!U702-1,"NA")</f>
        <v>-0.30379746835443044</v>
      </c>
      <c r="Z702" s="1303">
        <f>IFERROR(Model!Z702/Model!V702-1,"NA")</f>
        <v>-0.31756756756756765</v>
      </c>
      <c r="AA702" s="1303">
        <f>IFERROR(Model!AA702/Model!W702-1,"NA")</f>
        <v>-0.30597014925373134</v>
      </c>
      <c r="AB702" s="1303">
        <f>IFERROR(Model!AB702/Model!X702-1,"NA")</f>
        <v>-0.34146341463414642</v>
      </c>
      <c r="AC702" s="1256">
        <f>IFERROR(Model!AC702/Model!Y702-1,"NA")</f>
        <v>-0.30045454545454531</v>
      </c>
      <c r="AD702" s="1256">
        <f>IFERROR(Model!AD702/Model!Z702-1,"NA")</f>
        <v>-0.27621287128712857</v>
      </c>
      <c r="AE702" s="1256">
        <f>IFERROR(Model!AE702/Model!AA702-1,"NA")</f>
        <v>-0.25325403225806442</v>
      </c>
      <c r="AF702" s="1256">
        <f>IFERROR(Model!AF702/Model!AB702-1,"NA")</f>
        <v>-0.19406749999999973</v>
      </c>
      <c r="AG702" s="1256">
        <f>IFERROR(Model!AG702/Model!AC702-1,"NA")</f>
        <v>-0.20255099999999981</v>
      </c>
      <c r="AH702" s="1256">
        <f>IFERROR(Model!AH702/Model!AD702-1,"NA")</f>
        <v>-0.20255099999999981</v>
      </c>
      <c r="AI702" s="1256">
        <f>IFERROR(Model!AI702/Model!AE702-1,"NA")</f>
        <v>-0.20255100000000004</v>
      </c>
      <c r="AJ702" s="1256"/>
      <c r="AK702" s="1256"/>
      <c r="AL702" s="1256"/>
      <c r="AM702" s="1256"/>
      <c r="AN702" s="1256"/>
      <c r="AO702" s="1256"/>
      <c r="AP702" s="1256"/>
      <c r="AQ702" s="1256"/>
      <c r="AR702" s="1236"/>
      <c r="AS702" s="1382"/>
      <c r="AT702" s="1308"/>
      <c r="AU702" s="1236"/>
      <c r="AV702" s="1236">
        <f>IFERROR(Model!AV702/Model!AU702-1,"NA")</f>
        <v>-0.22703639514731366</v>
      </c>
      <c r="AW702" s="1236">
        <f>IFERROR(Model!AW702/Model!AV702-1,"NA")</f>
        <v>-0.22869955156950683</v>
      </c>
      <c r="AX702" s="1236">
        <f>IFERROR(Model!AX702/Model!AW702-1,"NA")</f>
        <v>-0.45639534883720934</v>
      </c>
      <c r="AY702" s="1236">
        <f>IFERROR(Model!AY702/Model!AX702-1,"NA")</f>
        <v>-0.28342245989304804</v>
      </c>
      <c r="AZ702" s="1236">
        <f>IFERROR(Model!AZ702/Model!AY702-1,"NA")</f>
        <v>-0.30597014925373134</v>
      </c>
      <c r="BA702" s="1236">
        <f>IFERROR(Model!BA702/Model!AZ702-1,"NA")</f>
        <v>-0.25325403225806442</v>
      </c>
      <c r="BB702" s="1256">
        <f>IFERROR(Model!BB702/Model!BA702-1,"NA")</f>
        <v>-0.20255100000000004</v>
      </c>
      <c r="BC702" s="1256">
        <f>IFERROR(Model!BC702/Model!BB702-1,"NA")</f>
        <v>-0.19999999999999996</v>
      </c>
      <c r="BD702" s="1256">
        <f>IFERROR(Model!BD702/Model!BC702-1,"NA")</f>
        <v>-0.19999999999999996</v>
      </c>
      <c r="BE702" s="1256">
        <f>IFERROR(Model!BE702/Model!BD702-1,"NA")</f>
        <v>-0.20000000000000007</v>
      </c>
    </row>
    <row r="703" spans="1:74" x14ac:dyDescent="0.2">
      <c r="C703" s="580" t="s">
        <v>104</v>
      </c>
      <c r="D703" s="1314"/>
      <c r="E703" s="1314"/>
      <c r="F703" s="1314"/>
      <c r="G703" s="1314"/>
      <c r="H703" s="1314">
        <f>IFERROR(Model!H703/Model!D703-1,"NA")</f>
        <v>-0.15544041450777202</v>
      </c>
      <c r="I703" s="1314">
        <f>IFERROR(Model!I703/Model!E703-1,"NA")</f>
        <v>-0.16129032258064524</v>
      </c>
      <c r="J703" s="1314">
        <f>IFERROR(Model!J703/Model!F703-1,"NA")</f>
        <v>-0.15819209039548021</v>
      </c>
      <c r="K703" s="1314">
        <f>IFERROR(Model!K703/Model!G703-1,"NA")</f>
        <v>-0.15835777126099715</v>
      </c>
      <c r="L703" s="1314">
        <f>IFERROR(Model!L703/Model!H703-1,"NA")</f>
        <v>-0.15030674846625769</v>
      </c>
      <c r="M703" s="1314">
        <f>IFERROR(Model!M703/Model!I703-1,"NA")</f>
        <v>-0.13782051282051289</v>
      </c>
      <c r="N703" s="1314">
        <f>IFERROR(Model!N703/Model!J703-1,"NA")</f>
        <v>-0.1308724832214766</v>
      </c>
      <c r="O703" s="1314">
        <f>IFERROR(Model!O703/Model!K703-1,"NA")</f>
        <v>-0.13240418118466901</v>
      </c>
      <c r="P703" s="1314">
        <f>IFERROR(Model!P703/Model!L703-1,"NA")</f>
        <v>-0.1407942238267148</v>
      </c>
      <c r="Q703" s="1314">
        <f>IFERROR(Model!Q703/Model!M703-1,"NA")</f>
        <v>-0.15613382899628248</v>
      </c>
      <c r="R703" s="1314">
        <f>IFERROR(Model!R703/Model!N703-1,"NA")</f>
        <v>-0.16988416988416988</v>
      </c>
      <c r="S703" s="1314">
        <f>IFERROR(Model!S703/Model!O703-1,"NA")</f>
        <v>-0.23293172690763042</v>
      </c>
      <c r="T703" s="1314">
        <f>IFERROR(Model!T703/Model!P703-1,"NA")</f>
        <v>-0.23109243697478987</v>
      </c>
      <c r="U703" s="1314">
        <f>IFERROR(Model!U703/Model!Q703-1,"NA")</f>
        <v>-0.23788546255506604</v>
      </c>
      <c r="V703" s="1314">
        <f>IFERROR(Model!V703/Model!R703-1,"NA")</f>
        <v>-0.25116279069767433</v>
      </c>
      <c r="W703" s="1314">
        <f>IFERROR(Model!W703/Model!S703-1,"NA")</f>
        <v>-0.21465968586387441</v>
      </c>
      <c r="X703" s="1314">
        <f>IFERROR(Model!X703/Model!T703-1,"NA")</f>
        <v>-0.26775956284153002</v>
      </c>
      <c r="Y703" s="1314">
        <f>IFERROR(Model!Y703/Model!U703-1,"NA")</f>
        <v>-0.2832369942196532</v>
      </c>
      <c r="Z703" s="1314">
        <f>IFERROR(Model!Z703/Model!V703-1,"NA")</f>
        <v>-0.28571428571428581</v>
      </c>
      <c r="AA703" s="1314">
        <f>IFERROR(Model!AA703/Model!W703-1,"NA")</f>
        <v>-0.29333333333333333</v>
      </c>
      <c r="AB703" s="1314">
        <f>IFERROR(Model!AB703/Model!X703-1,"NA")</f>
        <v>-0.26119402985074625</v>
      </c>
      <c r="AC703" s="1257">
        <f>IFERROR(Model!AC703/Model!Y703-1,"NA")</f>
        <v>-0.24153225806451606</v>
      </c>
      <c r="AD703" s="1257">
        <f>IFERROR(Model!AD703/Model!Z703-1,"NA")</f>
        <v>-0.22306521739130425</v>
      </c>
      <c r="AE703" s="1257">
        <f>IFERROR(Model!AE703/Model!AA703-1,"NA")</f>
        <v>-0.1992441037735847</v>
      </c>
      <c r="AF703" s="1257">
        <f>IFERROR(Model!AF703/Model!AB703-1,"NA")</f>
        <v>-0.19406749999999984</v>
      </c>
      <c r="AG703" s="1257">
        <f>IFERROR(Model!AG703/Model!AC703-1,"NA")</f>
        <v>-0.20255099999999993</v>
      </c>
      <c r="AH703" s="1257">
        <f>IFERROR(Model!AH703/Model!AD703-1,"NA")</f>
        <v>-0.20255099999999981</v>
      </c>
      <c r="AI703" s="1257">
        <f>IFERROR(Model!AI703/Model!AE703-1,"NA")</f>
        <v>-0.20255100000000004</v>
      </c>
      <c r="AJ703" s="1338"/>
      <c r="AK703" s="1338"/>
      <c r="AL703" s="1338"/>
      <c r="AM703" s="1338"/>
      <c r="AN703" s="1338"/>
      <c r="AO703" s="1338"/>
      <c r="AP703" s="1338"/>
      <c r="AQ703" s="1338"/>
      <c r="AR703" s="1236"/>
      <c r="AS703" s="1382"/>
      <c r="AT703" s="1298"/>
      <c r="AU703" s="1246"/>
      <c r="AV703" s="1246">
        <f>IFERROR(Model!AV703/Model!AU703-1,"NA")</f>
        <v>-0.15835777126099715</v>
      </c>
      <c r="AW703" s="1246">
        <f>IFERROR(Model!AW703/Model!AV703-1,"NA")</f>
        <v>-0.13240418118466901</v>
      </c>
      <c r="AX703" s="1246">
        <f>IFERROR(Model!AX703/Model!AW703-1,"NA")</f>
        <v>-0.23293172690763042</v>
      </c>
      <c r="AY703" s="1246">
        <f>IFERROR(Model!AY703/Model!AX703-1,"NA")</f>
        <v>-0.21465968586387441</v>
      </c>
      <c r="AZ703" s="1246">
        <f>IFERROR(Model!AZ703/Model!AY703-1,"NA")</f>
        <v>-0.29333333333333333</v>
      </c>
      <c r="BA703" s="1246">
        <f>IFERROR(Model!BA703/Model!AZ703-1,"NA")</f>
        <v>-0.1992441037735847</v>
      </c>
      <c r="BB703" s="1257">
        <f>IFERROR(Model!BB703/Model!BA703-1,"NA")</f>
        <v>-0.20255100000000004</v>
      </c>
      <c r="BC703" s="1257">
        <f>IFERROR(Model!BC703/Model!BB703-1,"NA")</f>
        <v>-0.20000000000000007</v>
      </c>
      <c r="BD703" s="1257">
        <f>IFERROR(Model!BD703/Model!BC703-1,"NA")</f>
        <v>-0.20000000000000007</v>
      </c>
      <c r="BE703" s="1257">
        <f>IFERROR(Model!BE703/Model!BD703-1,"NA")</f>
        <v>-0.20000000000000007</v>
      </c>
    </row>
    <row r="704" spans="1:74" x14ac:dyDescent="0.2">
      <c r="B704" s="563" t="s">
        <v>298</v>
      </c>
      <c r="D704" s="1304"/>
      <c r="E704" s="1304"/>
      <c r="F704" s="1304"/>
      <c r="G704" s="1304"/>
      <c r="H704" s="1304">
        <f>IFERROR(Model!H704/Model!D704-1,"NA")</f>
        <v>-0.16891891891891897</v>
      </c>
      <c r="I704" s="1304">
        <f>IFERROR(Model!I704/Model!E704-1,"NA")</f>
        <v>-0.2004008016032065</v>
      </c>
      <c r="J704" s="1304">
        <f>IFERROR(Model!J704/Model!F704-1,"NA")</f>
        <v>-0.19937040923399796</v>
      </c>
      <c r="K704" s="1304">
        <f>IFERROR(Model!K704/Model!G704-1,"NA")</f>
        <v>-0.20152505446623104</v>
      </c>
      <c r="L704" s="1304">
        <f>IFERROR(Model!L704/Model!H704-1,"NA")</f>
        <v>-0.1765389082462252</v>
      </c>
      <c r="M704" s="1304">
        <f>IFERROR(Model!M704/Model!I704-1,"NA")</f>
        <v>-0.16165413533834572</v>
      </c>
      <c r="N704" s="1304">
        <f>IFERROR(Model!N704/Model!J704-1,"NA")</f>
        <v>-0.16906946264744427</v>
      </c>
      <c r="O704" s="1304">
        <f>IFERROR(Model!O704/Model!K704-1,"NA")</f>
        <v>-0.19099590723055937</v>
      </c>
      <c r="P704" s="1304">
        <f>IFERROR(Model!P704/Model!L704-1,"NA")</f>
        <v>-0.24400564174894224</v>
      </c>
      <c r="Q704" s="1304">
        <f>IFERROR(Model!Q704/Model!M704-1,"NA")</f>
        <v>-0.23318385650224227</v>
      </c>
      <c r="R704" s="1304">
        <f>IFERROR(Model!R704/Model!N704-1,"NA")</f>
        <v>-0.24447949526813884</v>
      </c>
      <c r="S704" s="1304">
        <f>IFERROR(Model!S704/Model!O704-1,"NA")</f>
        <v>-0.36256323777403032</v>
      </c>
      <c r="T704" s="1304">
        <f>IFERROR(Model!T704/Model!P704-1,"NA")</f>
        <v>-0.3302238805970148</v>
      </c>
      <c r="U704" s="1304">
        <f>IFERROR(Model!U704/Model!Q704-1,"NA")</f>
        <v>-0.35477582846003897</v>
      </c>
      <c r="V704" s="1304">
        <f>IFERROR(Model!V704/Model!R704-1,"NA")</f>
        <v>-0.35490605427974942</v>
      </c>
      <c r="W704" s="1304">
        <f>IFERROR(Model!W704/Model!S704-1,"NA")</f>
        <v>-0.24867724867724861</v>
      </c>
      <c r="X704" s="1304">
        <f>IFERROR(Model!X704/Model!T704-1,"NA")</f>
        <v>-0.28412256267409475</v>
      </c>
      <c r="Y704" s="1304">
        <f>IFERROR(Model!Y704/Model!U704-1,"NA")</f>
        <v>-0.29305135951661643</v>
      </c>
      <c r="Z704" s="1304">
        <f>IFERROR(Model!Z704/Model!V704-1,"NA")</f>
        <v>-0.30097087378640774</v>
      </c>
      <c r="AA704" s="1304">
        <f>IFERROR(Model!AA704/Model!W704-1,"NA")</f>
        <v>-0.29929577464788737</v>
      </c>
      <c r="AB704" s="1304">
        <f>IFERROR(Model!AB704/Model!X704-1,"NA")</f>
        <v>-0.29961089494163429</v>
      </c>
      <c r="AC704" s="1256">
        <f>IFERROR(Model!AC704/Model!Y704-1,"NA")</f>
        <v>-0.26923076923076916</v>
      </c>
      <c r="AD704" s="1256">
        <f>IFERROR(Model!AD704/Model!Z704-1,"NA")</f>
        <v>-0.24791666666666667</v>
      </c>
      <c r="AE704" s="1256">
        <f>IFERROR(Model!AE704/Model!AA704-1,"NA")</f>
        <v>-0.22448492462311542</v>
      </c>
      <c r="AF704" s="1256">
        <f>IFERROR(Model!AF704/Model!AB704-1,"NA")</f>
        <v>-0.19406749999999973</v>
      </c>
      <c r="AG704" s="1256">
        <f>IFERROR(Model!AG704/Model!AC704-1,"NA")</f>
        <v>-0.20255099999999993</v>
      </c>
      <c r="AH704" s="1256">
        <f>IFERROR(Model!AH704/Model!AD704-1,"NA")</f>
        <v>-0.20255099999999981</v>
      </c>
      <c r="AI704" s="1256">
        <f>IFERROR(Model!AI704/Model!AE704-1,"NA")</f>
        <v>-0.20255099999999993</v>
      </c>
      <c r="AJ704" s="1256"/>
      <c r="AK704" s="1256"/>
      <c r="AL704" s="1256"/>
      <c r="AM704" s="1256"/>
      <c r="AN704" s="1256"/>
      <c r="AO704" s="1256"/>
      <c r="AP704" s="1256"/>
      <c r="AQ704" s="1256"/>
      <c r="AR704" s="1236"/>
      <c r="AS704" s="1464"/>
      <c r="AT704" s="407"/>
      <c r="AU704" s="1236"/>
      <c r="AV704" s="1236">
        <f>IFERROR(Model!AV704/Model!AU704-1,"NA")</f>
        <v>-0.20152505446623104</v>
      </c>
      <c r="AW704" s="1236">
        <f>IFERROR(Model!AW704/Model!AV704-1,"NA")</f>
        <v>-0.19099590723055937</v>
      </c>
      <c r="AX704" s="1236">
        <f>IFERROR(Model!AX704/Model!AW704-1,"NA")</f>
        <v>-0.36256323777403032</v>
      </c>
      <c r="AY704" s="1236">
        <f>IFERROR(Model!AY704/Model!AX704-1,"NA")</f>
        <v>-0.24867724867724861</v>
      </c>
      <c r="AZ704" s="1236">
        <f>IFERROR(Model!AZ704/Model!AY704-1,"NA")</f>
        <v>-0.29929577464788737</v>
      </c>
      <c r="BA704" s="1236">
        <f>IFERROR(Model!BA704/Model!AZ704-1,"NA")</f>
        <v>-0.22448492462311542</v>
      </c>
      <c r="BB704" s="1256">
        <f>IFERROR(Model!BB704/Model!BA704-1,"NA")</f>
        <v>-0.20255099999999993</v>
      </c>
      <c r="BC704" s="1256">
        <f>IFERROR(Model!BC704/Model!BB704-1,"NA")</f>
        <v>-0.19999999999999996</v>
      </c>
      <c r="BD704" s="1256">
        <f>IFERROR(Model!BD704/Model!BC704-1,"NA")</f>
        <v>-0.19999999999999996</v>
      </c>
      <c r="BE704" s="1256">
        <f>IFERROR(Model!BE704/Model!BD704-1,"NA")</f>
        <v>-0.20000000000000018</v>
      </c>
    </row>
    <row r="705" spans="1:74" x14ac:dyDescent="0.2">
      <c r="B705" s="157"/>
      <c r="C705" s="25" t="s">
        <v>16</v>
      </c>
      <c r="D705" s="1316"/>
      <c r="E705" s="1316"/>
      <c r="F705" s="1316"/>
      <c r="G705" s="1316"/>
      <c r="H705" s="1316">
        <f>IFERROR(Model!H705/Model!D705-1,"NA")</f>
        <v>-0.20261437908496771</v>
      </c>
      <c r="I705" s="1316">
        <f>IFERROR(Model!I705/Model!E705-1,"NA")</f>
        <v>-0.19594594594594461</v>
      </c>
      <c r="J705" s="1316">
        <f>IFERROR(Model!J705/Model!F705-1,"NA")</f>
        <v>-0.13043478260869545</v>
      </c>
      <c r="K705" s="1316">
        <f>IFERROR(Model!K705/Model!G705-1,"NA")</f>
        <v>-9.7744360902254468E-2</v>
      </c>
      <c r="L705" s="1316">
        <f>IFERROR(Model!L705/Model!H705-1,"NA")</f>
        <v>-6.557377049180424E-2</v>
      </c>
      <c r="M705" s="1316">
        <f>IFERROR(Model!M705/Model!I705-1,"NA")</f>
        <v>-2.5210084033614355E-2</v>
      </c>
      <c r="N705" s="1316">
        <f>IFERROR(Model!N705/Model!J705-1,"NA")</f>
        <v>-4.1666666666666075E-2</v>
      </c>
      <c r="O705" s="1316">
        <f>IFERROR(Model!O705/Model!K705-1,"NA")</f>
        <v>-4.166666666666663E-2</v>
      </c>
      <c r="P705" s="1316">
        <f>IFERROR(Model!P705/Model!L705-1,"NA")</f>
        <v>-0.73684210526315774</v>
      </c>
      <c r="Q705" s="1316">
        <f>IFERROR(Model!Q705/Model!M705-1,"NA")</f>
        <v>-0.74999999999999933</v>
      </c>
      <c r="R705" s="1316">
        <f>IFERROR(Model!R705/Model!N705-1,"NA")</f>
        <v>-0.75652173913043452</v>
      </c>
      <c r="S705" s="1316">
        <f>IFERROR(Model!S705/Model!O705-1,"NA")</f>
        <v>-0.76521739130434763</v>
      </c>
      <c r="T705" s="1316">
        <f>IFERROR(Model!T705/Model!P705-1,"NA")</f>
        <v>-0.10000000000000142</v>
      </c>
      <c r="U705" s="1316">
        <f>IFERROR(Model!U705/Model!Q705-1,"NA")</f>
        <v>-0.10344827586207028</v>
      </c>
      <c r="V705" s="1316">
        <f>IFERROR(Model!V705/Model!R705-1,"NA")</f>
        <v>-0.10714285714285976</v>
      </c>
      <c r="W705" s="1316">
        <f>IFERROR(Model!W705/Model!S705-1,"NA")</f>
        <v>-0.11111111111111127</v>
      </c>
      <c r="X705" s="1316">
        <f>IFERROR(Model!X705/Model!T705-1,"NA")</f>
        <v>-0.44444444444444486</v>
      </c>
      <c r="Y705" s="1316">
        <f>IFERROR(Model!Y705/Model!U705-1,"NA")</f>
        <v>-0.42307692307692335</v>
      </c>
      <c r="Z705" s="1316">
        <f>IFERROR(Model!Z705/Model!V705-1,"NA")</f>
        <v>-0.43999999999999972</v>
      </c>
      <c r="AA705" s="1316">
        <f>IFERROR(Model!AA705/Model!W705-1,"NA")</f>
        <v>-0.45833333333333348</v>
      </c>
      <c r="AB705" s="1316">
        <f>IFERROR(Model!AB705/Model!X705-1,"NA")</f>
        <v>-0.13333333333333086</v>
      </c>
      <c r="AC705" s="1257">
        <f>IFERROR(Model!AC705/Model!Y705-1,"NA")</f>
        <v>-0.17666666666666631</v>
      </c>
      <c r="AD705" s="1257">
        <f>IFERROR(Model!AD705/Model!Z705-1,"NA")</f>
        <v>-0.16196428571428445</v>
      </c>
      <c r="AE705" s="1257">
        <f>IFERROR(Model!AE705/Model!AA705-1,"NA")</f>
        <v>-0.14262500000000011</v>
      </c>
      <c r="AF705" s="1257">
        <f>IFERROR(Model!AF705/Model!AB705-1,"NA")</f>
        <v>-0.19406750000000006</v>
      </c>
      <c r="AG705" s="1257">
        <f>IFERROR(Model!AG705/Model!AC705-1,"NA")</f>
        <v>-0.20255099999999993</v>
      </c>
      <c r="AH705" s="1257">
        <f>IFERROR(Model!AH705/Model!AD705-1,"NA")</f>
        <v>-0.20255100000000015</v>
      </c>
      <c r="AI705" s="1257">
        <f>IFERROR(Model!AI705/Model!AE705-1,"NA")</f>
        <v>-0.20255100000000015</v>
      </c>
      <c r="AJ705" s="1338"/>
      <c r="AK705" s="1338"/>
      <c r="AL705" s="1338"/>
      <c r="AM705" s="1338"/>
      <c r="AN705" s="1338"/>
      <c r="AO705" s="1338"/>
      <c r="AP705" s="1338"/>
      <c r="AQ705" s="1338"/>
      <c r="AR705" s="1236"/>
      <c r="AS705" s="1473"/>
      <c r="AT705" s="1307"/>
      <c r="AU705" s="1246"/>
      <c r="AV705" s="1246">
        <f>IFERROR(Model!AV705/Model!AU705-1,"NA")</f>
        <v>-9.7744360902254468E-2</v>
      </c>
      <c r="AW705" s="1246">
        <f>IFERROR(Model!AW705/Model!AV705-1,"NA")</f>
        <v>-4.166666666666663E-2</v>
      </c>
      <c r="AX705" s="1246">
        <f>IFERROR(Model!AX705/Model!AW705-1,"NA")</f>
        <v>-0.76521739130434763</v>
      </c>
      <c r="AY705" s="1246">
        <f>IFERROR(Model!AY705/Model!AX705-1,"NA")</f>
        <v>-0.11111111111111127</v>
      </c>
      <c r="AZ705" s="1246">
        <f>IFERROR(Model!AZ705/Model!AY705-1,"NA")</f>
        <v>-0.45833333333333348</v>
      </c>
      <c r="BA705" s="1246">
        <f>IFERROR(Model!BA705/Model!AZ705-1,"NA")</f>
        <v>-0.14262500000000011</v>
      </c>
      <c r="BB705" s="1257">
        <f>IFERROR(Model!BB705/Model!BA705-1,"NA")</f>
        <v>-0.20255100000000015</v>
      </c>
      <c r="BC705" s="1257">
        <f>IFERROR(Model!BC705/Model!BB705-1,"NA")</f>
        <v>-0.19999999999999996</v>
      </c>
      <c r="BD705" s="1257">
        <f>IFERROR(Model!BD705/Model!BC705-1,"NA")</f>
        <v>-0.19999999999999996</v>
      </c>
      <c r="BE705" s="1257">
        <f>IFERROR(Model!BE705/Model!BD705-1,"NA")</f>
        <v>-0.20000000000000007</v>
      </c>
    </row>
    <row r="706" spans="1:74" x14ac:dyDescent="0.2">
      <c r="B706" s="319" t="s">
        <v>513</v>
      </c>
      <c r="D706" s="1303"/>
      <c r="E706" s="1303"/>
      <c r="F706" s="1303"/>
      <c r="G706" s="1303"/>
      <c r="H706" s="1303">
        <f>IFERROR(Model!H706/Model!D706-1,"NA")</f>
        <v>-0.17325483599663594</v>
      </c>
      <c r="I706" s="1303">
        <f>IFERROR(Model!I706/Model!E706-1,"NA")</f>
        <v>-0.19982547993019195</v>
      </c>
      <c r="J706" s="1303">
        <f>IFERROR(Model!J706/Model!F706-1,"NA")</f>
        <v>-0.19065077910174155</v>
      </c>
      <c r="K706" s="1303">
        <f>IFERROR(Model!K706/Model!G706-1,"NA")</f>
        <v>-0.18839200761179831</v>
      </c>
      <c r="L706" s="1303">
        <f>IFERROR(Model!L706/Model!H706-1,"NA")</f>
        <v>-0.16276703967446593</v>
      </c>
      <c r="M706" s="1303">
        <f>IFERROR(Model!M706/Model!I706-1,"NA")</f>
        <v>-0.14394765539803711</v>
      </c>
      <c r="N706" s="1303">
        <f>IFERROR(Model!N706/Model!J706-1,"NA")</f>
        <v>-0.15175537938844841</v>
      </c>
      <c r="O706" s="1303">
        <f>IFERROR(Model!O706/Model!K706-1,"NA")</f>
        <v>-0.16998827667057448</v>
      </c>
      <c r="P706" s="1303">
        <f>IFERROR(Model!P706/Model!L706-1,"NA")</f>
        <v>-0.31227217496962334</v>
      </c>
      <c r="Q706" s="1303">
        <f>IFERROR(Model!Q706/Model!M706-1,"NA")</f>
        <v>-0.30955414012738847</v>
      </c>
      <c r="R706" s="1303">
        <f>IFERROR(Model!R706/Model!N706-1,"NA")</f>
        <v>-0.32309746328437916</v>
      </c>
      <c r="S706" s="1303">
        <f>IFERROR(Model!S706/Model!O706-1,"NA")</f>
        <v>-0.42796610169491522</v>
      </c>
      <c r="T706" s="1303">
        <f>IFERROR(Model!T706/Model!P706-1,"NA")</f>
        <v>-0.3180212014134276</v>
      </c>
      <c r="U706" s="1303">
        <f>IFERROR(Model!U706/Model!Q706-1,"NA")</f>
        <v>-0.34132841328413277</v>
      </c>
      <c r="V706" s="1303">
        <f>IFERROR(Model!V706/Model!R706-1,"NA")</f>
        <v>-0.34122287968441822</v>
      </c>
      <c r="W706" s="1303">
        <f>IFERROR(Model!W706/Model!S706-1,"NA")</f>
        <v>-0.23950617283950615</v>
      </c>
      <c r="X706" s="1303">
        <f>IFERROR(Model!X706/Model!T706-1,"NA")</f>
        <v>-0.29533678756476689</v>
      </c>
      <c r="Y706" s="1303">
        <f>IFERROR(Model!Y706/Model!U706-1,"NA")</f>
        <v>-0.30252100840336149</v>
      </c>
      <c r="Z706" s="1303">
        <f>IFERROR(Model!Z706/Model!V706-1,"NA")</f>
        <v>-0.31137724550898205</v>
      </c>
      <c r="AA706" s="1303">
        <f>IFERROR(Model!AA706/Model!W706-1,"NA")</f>
        <v>-0.31168831168831168</v>
      </c>
      <c r="AB706" s="1303">
        <f>IFERROR(Model!AB706/Model!X706-1,"NA")</f>
        <v>-0.2904411764705882</v>
      </c>
      <c r="AC706" s="1256">
        <f>IFERROR(Model!AC706/Model!Y706-1,"NA")</f>
        <v>-0.26365461847389549</v>
      </c>
      <c r="AD706" s="1256">
        <f>IFERROR(Model!AD706/Model!Z706-1,"NA")</f>
        <v>-0.24268478260869564</v>
      </c>
      <c r="AE706" s="1256">
        <f>IFERROR(Model!AE706/Model!AA706-1,"NA")</f>
        <v>-0.21946521226415083</v>
      </c>
      <c r="AF706" s="1256">
        <f>IFERROR(Model!AF706/Model!AB706-1,"NA")</f>
        <v>-0.19406749999999984</v>
      </c>
      <c r="AG706" s="1256">
        <f>IFERROR(Model!AG706/Model!AC706-1,"NA")</f>
        <v>-0.20255099999999981</v>
      </c>
      <c r="AH706" s="1256">
        <f>IFERROR(Model!AH706/Model!AD706-1,"NA")</f>
        <v>-0.20255099999999981</v>
      </c>
      <c r="AI706" s="1256">
        <f>IFERROR(Model!AI706/Model!AE706-1,"NA")</f>
        <v>-0.20255099999999993</v>
      </c>
      <c r="AJ706" s="1256"/>
      <c r="AK706" s="1256"/>
      <c r="AL706" s="1256"/>
      <c r="AM706" s="1256"/>
      <c r="AN706" s="1256"/>
      <c r="AO706" s="1256"/>
      <c r="AP706" s="1256"/>
      <c r="AQ706" s="1256"/>
      <c r="AR706" s="1236"/>
      <c r="AS706" s="1248"/>
      <c r="AT706" s="407"/>
      <c r="AU706" s="1236"/>
      <c r="AV706" s="1236">
        <f>IFERROR(Model!AV706/Model!AU706-1,"NA")</f>
        <v>-0.18839200761179831</v>
      </c>
      <c r="AW706" s="1236">
        <f>IFERROR(Model!AW706/Model!AV706-1,"NA")</f>
        <v>-0.16998827667057448</v>
      </c>
      <c r="AX706" s="1236">
        <f>IFERROR(Model!AX706/Model!AW706-1,"NA")</f>
        <v>-0.42796610169491522</v>
      </c>
      <c r="AY706" s="1236">
        <f>IFERROR(Model!AY706/Model!AX706-1,"NA")</f>
        <v>-0.23950617283950615</v>
      </c>
      <c r="AZ706" s="1236">
        <f>IFERROR(Model!AZ706/Model!AY706-1,"NA")</f>
        <v>-0.31168831168831168</v>
      </c>
      <c r="BA706" s="1236">
        <f>IFERROR(Model!BA706/Model!AZ706-1,"NA")</f>
        <v>-0.21946521226415083</v>
      </c>
      <c r="BB706" s="1256">
        <f>IFERROR(Model!BB706/Model!BA706-1,"NA")</f>
        <v>-0.20255099999999993</v>
      </c>
      <c r="BC706" s="1256">
        <f>IFERROR(Model!BC706/Model!BB706-1,"NA")</f>
        <v>-0.19999999999999996</v>
      </c>
      <c r="BD706" s="1256">
        <f>IFERROR(Model!BD706/Model!BC706-1,"NA")</f>
        <v>-0.19999999999999996</v>
      </c>
      <c r="BE706" s="1256">
        <f>IFERROR(Model!BE706/Model!BD706-1,"NA")</f>
        <v>-0.20000000000000018</v>
      </c>
    </row>
    <row r="707" spans="1:74" x14ac:dyDescent="0.2">
      <c r="B707" s="382"/>
      <c r="D707" s="1304"/>
      <c r="E707" s="1304"/>
      <c r="F707" s="1304"/>
      <c r="G707" s="1304"/>
      <c r="H707" s="1304"/>
      <c r="I707" s="1304"/>
      <c r="J707" s="1304"/>
      <c r="K707" s="1304"/>
      <c r="L707" s="1304"/>
      <c r="M707" s="1304"/>
      <c r="N707" s="1304"/>
      <c r="O707" s="1304"/>
      <c r="P707" s="1304"/>
      <c r="Q707" s="1304"/>
      <c r="R707" s="1304"/>
      <c r="S707" s="1304"/>
      <c r="T707" s="1304"/>
      <c r="U707" s="1304"/>
      <c r="V707" s="1304"/>
      <c r="W707" s="1304"/>
      <c r="X707" s="1304"/>
      <c r="Y707" s="1304"/>
      <c r="Z707" s="1304"/>
      <c r="AA707" s="1304"/>
      <c r="AB707" s="1304"/>
      <c r="AC707" s="1256"/>
      <c r="AD707" s="1256"/>
      <c r="AE707" s="1256"/>
      <c r="AF707" s="1256"/>
      <c r="AG707" s="1256"/>
      <c r="AH707" s="1256"/>
      <c r="AI707" s="1256"/>
      <c r="AJ707" s="1256"/>
      <c r="AK707" s="1256"/>
      <c r="AL707" s="1256"/>
      <c r="AM707" s="1256"/>
      <c r="AN707" s="1256"/>
      <c r="AO707" s="1256"/>
      <c r="AP707" s="1256"/>
      <c r="AQ707" s="1256"/>
      <c r="AR707" s="1236"/>
      <c r="AS707" s="1308"/>
      <c r="AT707" s="407"/>
      <c r="AU707" s="1236"/>
      <c r="AV707" s="1236"/>
      <c r="AW707" s="1236"/>
      <c r="AX707" s="1236"/>
      <c r="AY707" s="1236"/>
      <c r="AZ707" s="1236"/>
      <c r="BA707" s="1236"/>
      <c r="BB707" s="1256"/>
      <c r="BC707" s="1256"/>
      <c r="BD707" s="1256"/>
      <c r="BE707" s="1256"/>
    </row>
    <row r="708" spans="1:74" x14ac:dyDescent="0.2">
      <c r="B708" s="325" t="s">
        <v>301</v>
      </c>
      <c r="D708" s="1303"/>
      <c r="E708" s="1303"/>
      <c r="F708" s="1303"/>
      <c r="G708" s="1303"/>
      <c r="H708" s="1303">
        <f>IFERROR(Model!H708/Model!D708-1,"NA")</f>
        <v>-0.15306122448979598</v>
      </c>
      <c r="I708" s="1303">
        <f>IFERROR(Model!I708/Model!E708-1,"NA")</f>
        <v>-0.25266903914590755</v>
      </c>
      <c r="J708" s="1303">
        <f>IFERROR(Model!J708/Model!F708-1,"NA")</f>
        <v>-0.23741007194244612</v>
      </c>
      <c r="K708" s="1303">
        <f>IFERROR(Model!K708/Model!G708-1,"NA")</f>
        <v>-0.22180451127819556</v>
      </c>
      <c r="L708" s="1303">
        <f>IFERROR(Model!L708/Model!H708-1,"NA")</f>
        <v>-0.19277108433734924</v>
      </c>
      <c r="M708" s="1303">
        <f>IFERROR(Model!M708/Model!I708-1,"NA")</f>
        <v>-5.2380952380952417E-2</v>
      </c>
      <c r="N708" s="1303">
        <f>IFERROR(Model!N708/Model!J708-1,"NA")</f>
        <v>-0.2735849056603773</v>
      </c>
      <c r="O708" s="1303">
        <f>IFERROR(Model!O708/Model!K708-1,"NA")</f>
        <v>-0.30434782608695643</v>
      </c>
      <c r="P708" s="1303">
        <f>IFERROR(Model!P708/Model!L708-1,"NA")</f>
        <v>-0.49253731343283591</v>
      </c>
      <c r="Q708" s="1303">
        <f>IFERROR(Model!Q708/Model!M708-1,"NA")</f>
        <v>-0.52763819095477382</v>
      </c>
      <c r="R708" s="1303">
        <f>IFERROR(Model!R708/Model!N708-1,"NA")</f>
        <v>-0.43506493506493515</v>
      </c>
      <c r="S708" s="1303">
        <f>IFERROR(Model!S708/Model!O708-1,"NA")</f>
        <v>-0.43055555555555558</v>
      </c>
      <c r="T708" s="1303">
        <f>IFERROR(Model!T708/Model!P708-1,"NA")</f>
        <v>-0.37254901960784303</v>
      </c>
      <c r="U708" s="1303">
        <f>IFERROR(Model!U708/Model!Q708-1,"NA")</f>
        <v>-0.41489361702127658</v>
      </c>
      <c r="V708" s="1303">
        <f>IFERROR(Model!V708/Model!R708-1,"NA")</f>
        <v>-0.36781609195402298</v>
      </c>
      <c r="W708" s="1303">
        <f>IFERROR(Model!W708/Model!S708-1,"NA")</f>
        <v>-0.70731707317073167</v>
      </c>
      <c r="X708" s="1303">
        <f>IFERROR(Model!X708/Model!T708-1,"NA")</f>
        <v>-0.671875</v>
      </c>
      <c r="Y708" s="1303">
        <f>IFERROR(Model!Y708/Model!U708-1,"NA")</f>
        <v>-0.67272727272727273</v>
      </c>
      <c r="Z708" s="1303">
        <f>IFERROR(Model!Z708/Model!V708-1,"NA")</f>
        <v>-0.69090909090909092</v>
      </c>
      <c r="AA708" s="1303">
        <f>IFERROR(Model!AA708/Model!W708-1,"NA")</f>
        <v>-0.33333333333333326</v>
      </c>
      <c r="AB708" s="1303">
        <f>IFERROR(Model!AB708/Model!X708-1,"NA")</f>
        <v>-0.19047619047619058</v>
      </c>
      <c r="AC708" s="1256">
        <f>IFERROR(Model!AC708/Model!Y708-1,"NA")</f>
        <v>-0.15000000000000002</v>
      </c>
      <c r="AD708" s="1256">
        <f>IFERROR(Model!AD708/Model!Z708-1,"NA")</f>
        <v>-0.19000000000000006</v>
      </c>
      <c r="AE708" s="1256">
        <f>IFERROR(Model!AE708/Model!AA708-1,"NA")</f>
        <v>-0.22543750000000018</v>
      </c>
      <c r="AF708" s="1256">
        <f>IFERROR(Model!AF708/Model!AB708-1,"NA")</f>
        <v>-0.36577000000000004</v>
      </c>
      <c r="AG708" s="1256">
        <f>IFERROR(Model!AG708/Model!AC708-1,"NA")</f>
        <v>-0.38691100000000012</v>
      </c>
      <c r="AH708" s="1256">
        <f>IFERROR(Model!AH708/Model!AD708-1,"NA")</f>
        <v>-0.41688424000000002</v>
      </c>
      <c r="AI708" s="1256">
        <f>IFERROR(Model!AI708/Model!AE708-1,"NA")</f>
        <v>-0.44539212159999997</v>
      </c>
      <c r="AJ708" s="1256"/>
      <c r="AK708" s="1256"/>
      <c r="AL708" s="1256"/>
      <c r="AM708" s="1256"/>
      <c r="AN708" s="1256"/>
      <c r="AO708" s="1256"/>
      <c r="AP708" s="1256"/>
      <c r="AQ708" s="1256"/>
      <c r="AR708" s="1236"/>
      <c r="AS708" s="1239"/>
      <c r="AT708" s="407"/>
      <c r="AU708" s="1236"/>
      <c r="AV708" s="1236">
        <f>IFERROR(Model!AV708/Model!AU708-1,"NA")</f>
        <v>-0.22180451127819556</v>
      </c>
      <c r="AW708" s="1236">
        <f>IFERROR(Model!AW708/Model!AV708-1,"NA")</f>
        <v>-0.30434782608695643</v>
      </c>
      <c r="AX708" s="1236">
        <f>IFERROR(Model!AX708/Model!AW708-1,"NA")</f>
        <v>-0.43055555555555558</v>
      </c>
      <c r="AY708" s="1236">
        <f>IFERROR(Model!AY708/Model!AX708-1,"NA")</f>
        <v>-0.70731707317073167</v>
      </c>
      <c r="AZ708" s="1236">
        <f>IFERROR(Model!AZ708/Model!AY708-1,"NA")</f>
        <v>-0.33333333333333326</v>
      </c>
      <c r="BA708" s="1236">
        <f>IFERROR(Model!BA708/Model!AZ708-1,"NA")</f>
        <v>-0.22543750000000018</v>
      </c>
      <c r="BB708" s="1256">
        <f>IFERROR(Model!BB708/Model!BA708-1,"NA")</f>
        <v>-0.44539212159999997</v>
      </c>
      <c r="BC708" s="1256">
        <f>IFERROR(Model!BC708/Model!BB708-1,"NA")</f>
        <v>-0.4</v>
      </c>
      <c r="BD708" s="1256">
        <f>IFERROR(Model!BD708/Model!BC708-1,"NA")</f>
        <v>-0.4</v>
      </c>
      <c r="BE708" s="1256">
        <f>IFERROR(Model!BE708/Model!BD708-1,"NA")</f>
        <v>-0.4</v>
      </c>
    </row>
    <row r="709" spans="1:74" x14ac:dyDescent="0.2">
      <c r="D709" s="407"/>
      <c r="E709" s="407"/>
      <c r="F709" s="407"/>
      <c r="G709" s="407"/>
      <c r="H709" s="407"/>
      <c r="I709" s="407"/>
      <c r="J709" s="407"/>
      <c r="K709" s="407"/>
      <c r="L709" s="407"/>
      <c r="M709" s="407"/>
      <c r="N709" s="407"/>
      <c r="O709" s="407"/>
      <c r="P709" s="407"/>
      <c r="Q709" s="407"/>
      <c r="R709" s="407"/>
      <c r="S709" s="407"/>
      <c r="T709" s="407"/>
      <c r="U709" s="407"/>
      <c r="V709" s="407"/>
      <c r="W709" s="407"/>
      <c r="X709" s="407"/>
      <c r="Y709" s="407"/>
      <c r="Z709" s="407"/>
      <c r="AA709" s="407"/>
      <c r="AB709" s="407"/>
      <c r="AC709" s="1256"/>
      <c r="AD709" s="1256"/>
      <c r="AE709" s="1256"/>
      <c r="AF709" s="1256"/>
      <c r="AG709" s="1256"/>
      <c r="AH709" s="1256"/>
      <c r="AI709" s="1256"/>
      <c r="AJ709" s="1256"/>
      <c r="AK709" s="1256"/>
      <c r="AL709" s="1256"/>
      <c r="AM709" s="1256"/>
      <c r="AN709" s="1256"/>
      <c r="AO709" s="1256"/>
      <c r="AP709" s="1256"/>
      <c r="AQ709" s="1256"/>
      <c r="AR709" s="1236"/>
      <c r="AS709" s="1382"/>
      <c r="AT709" s="407"/>
      <c r="AU709" s="1236"/>
      <c r="AV709" s="1236"/>
      <c r="AW709" s="1236"/>
      <c r="AX709" s="1236"/>
      <c r="AY709" s="1236"/>
      <c r="AZ709" s="1236"/>
      <c r="BA709" s="1236"/>
      <c r="BB709" s="1256"/>
      <c r="BC709" s="1256"/>
      <c r="BD709" s="1256"/>
      <c r="BE709" s="1256"/>
    </row>
    <row r="710" spans="1:74" x14ac:dyDescent="0.2">
      <c r="B710" s="364" t="s">
        <v>523</v>
      </c>
      <c r="D710" s="407"/>
      <c r="E710" s="407"/>
      <c r="F710" s="407"/>
      <c r="G710" s="407"/>
      <c r="H710" s="407">
        <f>IFERROR(Model!H710/Model!D710-1,"NA")</f>
        <v>-0.2727272727272716</v>
      </c>
      <c r="I710" s="407">
        <f>IFERROR(Model!I710/Model!E710-1,"NA")</f>
        <v>-0.20000000000000284</v>
      </c>
      <c r="J710" s="407">
        <f>IFERROR(Model!J710/Model!F710-1,"NA")</f>
        <v>-0.18181818181818299</v>
      </c>
      <c r="K710" s="407">
        <f>IFERROR(Model!K710/Model!G710-1,"NA")</f>
        <v>-0.22222222222222399</v>
      </c>
      <c r="L710" s="407">
        <f>IFERROR(Model!L710/Model!H710-1,"NA")</f>
        <v>-0.37499999999998002</v>
      </c>
      <c r="M710" s="407">
        <f>IFERROR(Model!M710/Model!I710-1,"NA")</f>
        <v>-3.7499999999999956</v>
      </c>
      <c r="N710" s="407">
        <f>IFERROR(Model!N710/Model!J710-1,"NA")</f>
        <v>-0.77777777777777601</v>
      </c>
      <c r="O710" s="407">
        <f>IFERROR(Model!O710/Model!K710-1,"NA")</f>
        <v>-1.4285714285714228</v>
      </c>
      <c r="P710" s="407">
        <f>IFERROR(Model!P710/Model!L710-1,"NA")</f>
        <v>-0.80000000000003124</v>
      </c>
      <c r="Q710" s="407">
        <f>IFERROR(Model!Q710/Model!M710-1,"NA")</f>
        <v>-1.0909090909090926</v>
      </c>
      <c r="R710" s="407">
        <f>IFERROR(Model!R710/Model!N710-1,"NA")</f>
        <v>-0.49999999999996447</v>
      </c>
      <c r="S710" s="407">
        <f>IFERROR(Model!S710/Model!O710-1,"NA")</f>
        <v>-1.6666666666666825</v>
      </c>
      <c r="T710" s="407">
        <f>IFERROR(Model!T710/Model!P710-1,"NA")</f>
        <v>2.0000000000003553</v>
      </c>
      <c r="U710" s="407">
        <f>IFERROR(Model!U710/Model!Q710-1,"NA")</f>
        <v>-0.5</v>
      </c>
      <c r="V710" s="407">
        <f>IFERROR(Model!V710/Model!R710-1,"NA")</f>
        <v>-7.1054273576010019E-14</v>
      </c>
      <c r="W710" s="407">
        <f>IFERROR(Model!W710/Model!S710-1,"NA")</f>
        <v>-1</v>
      </c>
      <c r="X710" s="407">
        <f>IFERROR(Model!X710/Model!T710-1,"NA")</f>
        <v>-1</v>
      </c>
      <c r="Y710" s="407">
        <f>IFERROR(Model!Y710/Model!U710-1,"NA")</f>
        <v>-1</v>
      </c>
      <c r="Z710" s="407">
        <f>IFERROR(Model!Z710/Model!V710-1,"NA")</f>
        <v>-1</v>
      </c>
      <c r="AA710" s="407" t="str">
        <f>IFERROR(Model!AA710/Model!W710-1,"NA")</f>
        <v>NA</v>
      </c>
      <c r="AB710" s="407" t="str">
        <f>IFERROR(Model!AB710/Model!X710-1,"NA")</f>
        <v>NA</v>
      </c>
      <c r="AC710" s="1256" t="str">
        <f>IFERROR(Model!AC710/Model!Y710-1,"NA")</f>
        <v>NA</v>
      </c>
      <c r="AD710" s="1256" t="str">
        <f>IFERROR(Model!AD710/Model!Z710-1,"NA")</f>
        <v>NA</v>
      </c>
      <c r="AE710" s="1256" t="str">
        <f>IFERROR(Model!AE710/Model!AA710-1,"NA")</f>
        <v>NA</v>
      </c>
      <c r="AF710" s="1256" t="str">
        <f>IFERROR(Model!AF710/Model!AB710-1,"NA")</f>
        <v>NA</v>
      </c>
      <c r="AG710" s="1256" t="str">
        <f>IFERROR(Model!AG710/Model!AC710-1,"NA")</f>
        <v>NA</v>
      </c>
      <c r="AH710" s="1256" t="str">
        <f>IFERROR(Model!AH710/Model!AD710-1,"NA")</f>
        <v>NA</v>
      </c>
      <c r="AI710" s="1256" t="str">
        <f>IFERROR(Model!AI710/Model!AE710-1,"NA")</f>
        <v>NA</v>
      </c>
      <c r="AJ710" s="1256"/>
      <c r="AK710" s="1256"/>
      <c r="AL710" s="1256"/>
      <c r="AM710" s="1256"/>
      <c r="AN710" s="1256"/>
      <c r="AO710" s="1256"/>
      <c r="AP710" s="1256"/>
      <c r="AQ710" s="1256"/>
      <c r="AR710" s="1236"/>
      <c r="AS710" s="1277"/>
      <c r="AT710" s="407"/>
      <c r="AU710" s="1236"/>
      <c r="AV710" s="1236">
        <f>IFERROR(Model!AV710/Model!AU710-1,"NA")</f>
        <v>-0.22222222222222399</v>
      </c>
      <c r="AW710" s="1236">
        <f>IFERROR(Model!AW710/Model!AV710-1,"NA")</f>
        <v>-1.4285714285714228</v>
      </c>
      <c r="AX710" s="1236">
        <f>IFERROR(Model!AX710/Model!AW710-1,"NA")</f>
        <v>-1.6666666666666825</v>
      </c>
      <c r="AY710" s="1236">
        <f>IFERROR(Model!AY710/Model!AX710-1,"NA")</f>
        <v>-1</v>
      </c>
      <c r="AZ710" s="1236" t="str">
        <f>IFERROR(Model!AZ710/Model!AY710-1,"NA")</f>
        <v>NA</v>
      </c>
      <c r="BA710" s="1236" t="str">
        <f>IFERROR(Model!BA710/Model!AZ710-1,"NA")</f>
        <v>NA</v>
      </c>
      <c r="BB710" s="1256" t="str">
        <f>IFERROR(Model!BB710/Model!BA710-1,"NA")</f>
        <v>NA</v>
      </c>
      <c r="BC710" s="1256" t="str">
        <f>IFERROR(Model!BC710/Model!BB710-1,"NA")</f>
        <v>NA</v>
      </c>
      <c r="BD710" s="1256" t="str">
        <f>IFERROR(Model!BD710/Model!BC710-1,"NA")</f>
        <v>NA</v>
      </c>
      <c r="BE710" s="1256" t="str">
        <f>IFERROR(Model!BE710/Model!BD710-1,"NA")</f>
        <v>NA</v>
      </c>
    </row>
    <row r="711" spans="1:74" x14ac:dyDescent="0.2">
      <c r="D711" s="407"/>
      <c r="E711" s="407"/>
      <c r="F711" s="407"/>
      <c r="G711" s="407"/>
      <c r="H711" s="407"/>
      <c r="I711" s="407"/>
      <c r="J711" s="407"/>
      <c r="K711" s="407"/>
      <c r="L711" s="407"/>
      <c r="M711" s="407"/>
      <c r="N711" s="407"/>
      <c r="O711" s="407"/>
      <c r="P711" s="407"/>
      <c r="Q711" s="407"/>
      <c r="R711" s="407"/>
      <c r="S711" s="407"/>
      <c r="T711" s="407"/>
      <c r="U711" s="407"/>
      <c r="V711" s="407"/>
      <c r="W711" s="407"/>
      <c r="X711" s="407"/>
      <c r="Y711" s="407"/>
      <c r="Z711" s="407"/>
      <c r="AA711" s="407"/>
      <c r="AB711" s="407"/>
      <c r="AC711" s="1256"/>
      <c r="AD711" s="1256"/>
      <c r="AE711" s="1256"/>
      <c r="AF711" s="1256"/>
      <c r="AG711" s="1256"/>
      <c r="AH711" s="1256"/>
      <c r="AI711" s="1256"/>
      <c r="AJ711" s="1256"/>
      <c r="AK711" s="1256"/>
      <c r="AL711" s="1256"/>
      <c r="AM711" s="1256"/>
      <c r="AN711" s="1256"/>
      <c r="AO711" s="1256"/>
      <c r="AP711" s="1256"/>
      <c r="AQ711" s="1256"/>
      <c r="AR711" s="1236"/>
      <c r="AS711" s="1382"/>
      <c r="AT711" s="407"/>
      <c r="AU711" s="1236"/>
      <c r="AV711" s="1236"/>
      <c r="AW711" s="1236"/>
      <c r="AX711" s="1236"/>
      <c r="AY711" s="1236"/>
      <c r="AZ711" s="1236"/>
      <c r="BA711" s="1236"/>
      <c r="BB711" s="1256"/>
      <c r="BC711" s="1256"/>
      <c r="BD711" s="1256"/>
      <c r="BE711" s="1256"/>
    </row>
    <row r="712" spans="1:74" x14ac:dyDescent="0.2">
      <c r="B712" s="364" t="s">
        <v>258</v>
      </c>
      <c r="C712" s="382"/>
      <c r="D712" s="1267"/>
      <c r="E712" s="1267"/>
      <c r="F712" s="1267"/>
      <c r="G712" s="1267"/>
      <c r="H712" s="1267">
        <f>IFERROR(Model!H712/Model!D712-1,"NA")</f>
        <v>-0.17001338688085688</v>
      </c>
      <c r="I712" s="1267">
        <f>IFERROR(Model!I712/Model!E712-1,"NA")</f>
        <v>-0.21016005567153784</v>
      </c>
      <c r="J712" s="1267">
        <f>IFERROR(Model!J712/Model!F712-1,"NA")</f>
        <v>-0.19999999999999996</v>
      </c>
      <c r="K712" s="1267">
        <f>IFERROR(Model!K712/Model!G712-1,"NA")</f>
        <v>-0.19532428355957765</v>
      </c>
      <c r="L712" s="1267">
        <f>IFERROR(Model!L712/Model!H712-1,"NA")</f>
        <v>-0.17016129032258054</v>
      </c>
      <c r="M712" s="1267">
        <f>IFERROR(Model!M712/Model!I712-1,"NA")</f>
        <v>-0.15242290748898679</v>
      </c>
      <c r="N712" s="1267">
        <f>IFERROR(Model!N712/Model!J712-1,"NA")</f>
        <v>-0.18025362318840576</v>
      </c>
      <c r="O712" s="1267">
        <f>IFERROR(Model!O712/Model!K712-1,"NA")</f>
        <v>-0.20431115276476097</v>
      </c>
      <c r="P712" s="1267">
        <f>IFERROR(Model!P712/Model!L712-1,"NA")</f>
        <v>-0.34985422740524796</v>
      </c>
      <c r="Q712" s="1267">
        <f>IFERROR(Model!Q712/Model!M712-1,"NA")</f>
        <v>-0.33679833679833682</v>
      </c>
      <c r="R712" s="1267">
        <f>IFERROR(Model!R712/Model!N712-1,"NA")</f>
        <v>-0.34254143646408841</v>
      </c>
      <c r="S712" s="1267">
        <f>IFERROR(Model!S712/Model!O712-1,"NA")</f>
        <v>-0.42402826855123676</v>
      </c>
      <c r="T712" s="1267">
        <f>IFERROR(Model!T712/Model!P712-1,"NA")</f>
        <v>-0.32286995515695061</v>
      </c>
      <c r="U712" s="1267">
        <f>IFERROR(Model!U712/Model!Q712-1,"NA")</f>
        <v>-0.35266457680250785</v>
      </c>
      <c r="V712" s="1267">
        <f>IFERROR(Model!V712/Model!R712-1,"NA")</f>
        <v>-0.34453781512605053</v>
      </c>
      <c r="W712" s="1267">
        <f>IFERROR(Model!W712/Model!S712-1,"NA")</f>
        <v>-0.32106339468302658</v>
      </c>
      <c r="X712" s="1267">
        <f>IFERROR(Model!X712/Model!T712-1,"NA")</f>
        <v>-0.35320088300220742</v>
      </c>
      <c r="Y712" s="1267">
        <f>IFERROR(Model!Y712/Model!U712-1,"NA")</f>
        <v>-0.35351089588377738</v>
      </c>
      <c r="Z712" s="1267">
        <f>IFERROR(Model!Z712/Model!V712-1,"NA")</f>
        <v>-0.3666666666666667</v>
      </c>
      <c r="AA712" s="1267">
        <f>IFERROR(Model!AA712/Model!W712-1,"NA")</f>
        <v>-0.31325301204819278</v>
      </c>
      <c r="AB712" s="1267">
        <f>IFERROR(Model!AB712/Model!X712-1,"NA")</f>
        <v>-0.28327645051194539</v>
      </c>
      <c r="AC712" s="1256" t="str">
        <f>IFERROR(Model!AC712/Model!Y712-1,"NA")</f>
        <v>NA</v>
      </c>
      <c r="AD712" s="1256" t="str">
        <f>IFERROR(Model!AD712/Model!Z712-1,"NA")</f>
        <v>NA</v>
      </c>
      <c r="AE712" s="1256" t="str">
        <f>IFERROR(Model!AE712/Model!AA712-1,"NA")</f>
        <v>NA</v>
      </c>
      <c r="AF712" s="1256" t="str">
        <f>IFERROR(Model!AF712/Model!AB712-1,"NA")</f>
        <v>NA</v>
      </c>
      <c r="AG712" s="1256" t="str">
        <f>IFERROR(Model!AG712/Model!AC712-1,"NA")</f>
        <v>NA</v>
      </c>
      <c r="AH712" s="1256" t="str">
        <f>IFERROR(Model!AH712/Model!AD712-1,"NA")</f>
        <v>NA</v>
      </c>
      <c r="AI712" s="1256" t="str">
        <f>IFERROR(Model!AI712/Model!AE712-1,"NA")</f>
        <v>NA</v>
      </c>
      <c r="AJ712" s="1256"/>
      <c r="AK712" s="1256"/>
      <c r="AL712" s="1256"/>
      <c r="AM712" s="1256"/>
      <c r="AN712" s="1256"/>
      <c r="AO712" s="1256"/>
      <c r="AP712" s="1256"/>
      <c r="AQ712" s="1256"/>
      <c r="AR712" s="1236"/>
      <c r="AS712" s="1277"/>
      <c r="AT712" s="1308"/>
      <c r="AU712" s="1236"/>
      <c r="AV712" s="1236">
        <f>IFERROR(Model!AV712/Model!AU712-1,"NA")</f>
        <v>-0.19532428355957765</v>
      </c>
      <c r="AW712" s="1236">
        <f>IFERROR(Model!AW712/Model!AV712-1,"NA")</f>
        <v>-0.20431115276476097</v>
      </c>
      <c r="AX712" s="1236">
        <f>IFERROR(Model!AX712/Model!AW712-1,"NA")</f>
        <v>-0.42402826855123676</v>
      </c>
      <c r="AY712" s="1236">
        <f>IFERROR(Model!AY712/Model!AX712-1,"NA")</f>
        <v>-0.32106339468302658</v>
      </c>
      <c r="AZ712" s="1236">
        <f>IFERROR(Model!AZ712/Model!AY712-1,"NA")</f>
        <v>-0.31325301204819278</v>
      </c>
      <c r="BA712" s="1236" t="str">
        <f>IFERROR(Model!BA712/Model!AZ712-1,"NA")</f>
        <v>NA</v>
      </c>
      <c r="BB712" s="1256" t="str">
        <f>IFERROR(Model!BB712/Model!BA712-1,"NA")</f>
        <v>NA</v>
      </c>
      <c r="BC712" s="1256" t="str">
        <f>IFERROR(Model!BC712/Model!BB712-1,"NA")</f>
        <v>NA</v>
      </c>
      <c r="BD712" s="1256" t="str">
        <f>IFERROR(Model!BD712/Model!BC712-1,"NA")</f>
        <v>NA</v>
      </c>
      <c r="BE712" s="1256" t="str">
        <f>IFERROR(Model!BE712/Model!BD712-1,"NA")</f>
        <v>NA</v>
      </c>
    </row>
    <row r="713" spans="1:74" x14ac:dyDescent="0.2">
      <c r="B713" s="382"/>
      <c r="C713" s="382"/>
      <c r="D713" s="1277"/>
      <c r="E713" s="1277"/>
      <c r="F713" s="1277"/>
      <c r="G713" s="1277"/>
      <c r="H713" s="1308"/>
      <c r="I713" s="1308"/>
      <c r="J713" s="1308"/>
      <c r="K713" s="1308"/>
      <c r="L713" s="1308"/>
      <c r="M713" s="1308"/>
      <c r="N713" s="1308"/>
      <c r="O713" s="1308"/>
      <c r="P713" s="1308"/>
      <c r="Q713" s="1308"/>
      <c r="R713" s="1308"/>
      <c r="S713" s="1308"/>
      <c r="T713" s="1308"/>
      <c r="U713" s="1308"/>
      <c r="V713" s="1308"/>
      <c r="W713" s="1308"/>
      <c r="X713" s="1308"/>
      <c r="Y713" s="1308"/>
      <c r="Z713" s="1308"/>
      <c r="AA713" s="1308"/>
      <c r="AB713" s="1308"/>
      <c r="AC713" s="407"/>
      <c r="AD713" s="407"/>
      <c r="AE713" s="407"/>
      <c r="AF713" s="407"/>
      <c r="AG713" s="407"/>
      <c r="AH713" s="407"/>
      <c r="AI713" s="407"/>
      <c r="AJ713" s="407"/>
      <c r="AK713" s="407"/>
      <c r="AL713" s="407"/>
      <c r="AM713" s="407"/>
      <c r="AN713" s="407"/>
      <c r="AO713" s="407"/>
      <c r="AP713" s="407"/>
      <c r="AQ713" s="407"/>
      <c r="AR713" s="1236"/>
      <c r="AS713" s="1308"/>
      <c r="AT713" s="1308"/>
      <c r="AU713" s="1236"/>
      <c r="AV713" s="1236"/>
      <c r="AW713" s="1236"/>
      <c r="AX713" s="1236"/>
      <c r="AY713" s="1236"/>
      <c r="AZ713" s="1236"/>
      <c r="BA713" s="1236"/>
      <c r="BB713" s="1236"/>
      <c r="BC713" s="1236"/>
      <c r="BD713" s="1236"/>
      <c r="BE713" s="1236"/>
    </row>
    <row r="714" spans="1:74" s="160" customFormat="1" x14ac:dyDescent="0.2">
      <c r="A714" s="829"/>
      <c r="B714" s="574" t="s">
        <v>224</v>
      </c>
      <c r="C714" s="574"/>
      <c r="D714" s="1310"/>
      <c r="E714" s="1310"/>
      <c r="F714" s="1310"/>
      <c r="G714" s="1310"/>
      <c r="H714" s="1310"/>
      <c r="I714" s="1310"/>
      <c r="J714" s="1310"/>
      <c r="K714" s="1310"/>
      <c r="L714" s="1310"/>
      <c r="M714" s="1310"/>
      <c r="N714" s="1310"/>
      <c r="O714" s="1310"/>
      <c r="P714" s="1310"/>
      <c r="Q714" s="1310"/>
      <c r="R714" s="1310"/>
      <c r="S714" s="1310"/>
      <c r="T714" s="1310"/>
      <c r="U714" s="1310"/>
      <c r="V714" s="1310"/>
      <c r="W714" s="1310"/>
      <c r="X714" s="1310"/>
      <c r="Y714" s="1310"/>
      <c r="Z714" s="1310"/>
      <c r="AA714" s="1310"/>
      <c r="AB714" s="1310"/>
      <c r="AC714" s="1451"/>
      <c r="AD714" s="1451"/>
      <c r="AE714" s="1451"/>
      <c r="AF714" s="1451"/>
      <c r="AG714" s="1451"/>
      <c r="AH714" s="1451"/>
      <c r="AI714" s="1451"/>
      <c r="AJ714" s="1451"/>
      <c r="AK714" s="1451"/>
      <c r="AL714" s="1451"/>
      <c r="AM714" s="1451"/>
      <c r="AN714" s="1451"/>
      <c r="AO714" s="1451"/>
      <c r="AP714" s="1451"/>
      <c r="AQ714" s="1451"/>
      <c r="AR714" s="1236"/>
      <c r="AS714" s="1310"/>
      <c r="AT714" s="1310"/>
      <c r="AU714" s="1312"/>
      <c r="AV714" s="1312"/>
      <c r="AW714" s="1312"/>
      <c r="AX714" s="1312"/>
      <c r="AY714" s="1312"/>
      <c r="AZ714" s="1312"/>
      <c r="BA714" s="1312"/>
      <c r="BB714" s="1312"/>
      <c r="BC714" s="1312"/>
      <c r="BD714" s="1312"/>
      <c r="BE714" s="1312"/>
      <c r="BF714" s="390"/>
      <c r="BG714" s="390"/>
      <c r="BH714" s="390"/>
      <c r="BI714" s="390"/>
      <c r="BJ714" s="390"/>
      <c r="BK714" s="390"/>
      <c r="BL714" s="390"/>
      <c r="BM714" s="390"/>
      <c r="BN714" s="390"/>
      <c r="BO714" s="390"/>
      <c r="BP714" s="390"/>
      <c r="BQ714" s="390"/>
      <c r="BR714" s="390"/>
      <c r="BS714" s="390"/>
      <c r="BT714" s="390"/>
      <c r="BU714" s="390"/>
      <c r="BV714" s="390"/>
    </row>
    <row r="715" spans="1:74" s="160" customFormat="1" x14ac:dyDescent="0.2">
      <c r="A715" s="829"/>
      <c r="B715" s="325" t="s">
        <v>297</v>
      </c>
      <c r="C715" s="1217"/>
      <c r="D715" s="1277"/>
      <c r="E715" s="1277"/>
      <c r="F715" s="1277"/>
      <c r="G715" s="1277"/>
      <c r="H715" s="1277"/>
      <c r="I715" s="1277"/>
      <c r="J715" s="1277"/>
      <c r="K715" s="1277"/>
      <c r="L715" s="1277"/>
      <c r="M715" s="1277"/>
      <c r="N715" s="1277"/>
      <c r="O715" s="1277"/>
      <c r="P715" s="1277"/>
      <c r="Q715" s="1277"/>
      <c r="R715" s="1277"/>
      <c r="S715" s="1277"/>
      <c r="T715" s="1277"/>
      <c r="U715" s="1277"/>
      <c r="V715" s="1277"/>
      <c r="W715" s="1277"/>
      <c r="X715" s="1277"/>
      <c r="Y715" s="1277"/>
      <c r="Z715" s="1277"/>
      <c r="AA715" s="1277"/>
      <c r="AB715" s="1277"/>
      <c r="AC715" s="1329"/>
      <c r="AD715" s="1329"/>
      <c r="AE715" s="1329"/>
      <c r="AF715" s="1329"/>
      <c r="AG715" s="1329"/>
      <c r="AH715" s="1329"/>
      <c r="AI715" s="1329"/>
      <c r="AJ715" s="1329"/>
      <c r="AK715" s="1329"/>
      <c r="AL715" s="1329"/>
      <c r="AM715" s="1329"/>
      <c r="AN715" s="1329"/>
      <c r="AO715" s="1329"/>
      <c r="AP715" s="1329"/>
      <c r="AQ715" s="1329"/>
      <c r="AR715" s="1236"/>
      <c r="AS715" s="1239"/>
      <c r="AT715" s="407"/>
      <c r="AU715" s="1396"/>
      <c r="AV715" s="1396"/>
      <c r="AW715" s="1396"/>
      <c r="AX715" s="1396"/>
      <c r="AY715" s="1396"/>
      <c r="AZ715" s="1396"/>
      <c r="BA715" s="1396"/>
      <c r="BB715" s="1396"/>
      <c r="BC715" s="1396"/>
      <c r="BD715" s="1396"/>
      <c r="BE715" s="1396"/>
    </row>
    <row r="716" spans="1:74" s="160" customFormat="1" x14ac:dyDescent="0.2">
      <c r="A716" s="829"/>
      <c r="B716" s="10"/>
      <c r="C716" s="382" t="s">
        <v>103</v>
      </c>
      <c r="D716" s="1303"/>
      <c r="E716" s="1303"/>
      <c r="F716" s="1303"/>
      <c r="G716" s="1303"/>
      <c r="H716" s="1303">
        <f>IFERROR(Model!H716/Model!D716-1,"NA")</f>
        <v>-0.5731543624161074</v>
      </c>
      <c r="I716" s="1303">
        <f>IFERROR(Model!I716/Model!E716-1,"NA")</f>
        <v>-0.34507042253521125</v>
      </c>
      <c r="J716" s="1303">
        <f>IFERROR(Model!J716/Model!F716-1,"NA")</f>
        <v>-0.66077170418006426</v>
      </c>
      <c r="K716" s="1303">
        <f>IFERROR(Model!K716/Model!G716-1,"NA")</f>
        <v>-0.19073569482288832</v>
      </c>
      <c r="L716" s="1303">
        <f>IFERROR(Model!L716/Model!H716-1,"NA")</f>
        <v>-0.40251572327044027</v>
      </c>
      <c r="M716" s="1303">
        <f>IFERROR(Model!M716/Model!I716-1,"NA")</f>
        <v>-0.67383512544802859</v>
      </c>
      <c r="N716" s="1303">
        <f>IFERROR(Model!N716/Model!J716-1,"NA")</f>
        <v>-0.35071090047393361</v>
      </c>
      <c r="O716" s="1303">
        <f>IFERROR(Model!O716/Model!K716-1,"NA")</f>
        <v>-0.60606060606060608</v>
      </c>
      <c r="P716" s="1303">
        <f>IFERROR(Model!P716/Model!L716-1,"NA")</f>
        <v>-0.45789473684210524</v>
      </c>
      <c r="Q716" s="1303">
        <f>IFERROR(Model!Q716/Model!M716-1,"NA")</f>
        <v>0.10989010989010994</v>
      </c>
      <c r="R716" s="1303">
        <f>IFERROR(Model!R716/Model!N716-1,"NA")</f>
        <v>-0.38686131386861311</v>
      </c>
      <c r="S716" s="1303">
        <f>IFERROR(Model!S716/Model!O716-1,"NA")</f>
        <v>-0.44444444444444442</v>
      </c>
      <c r="T716" s="1303">
        <f>IFERROR(Model!T716/Model!P716-1,"NA")</f>
        <v>-0.99029126213592233</v>
      </c>
      <c r="U716" s="1303">
        <f>IFERROR(Model!U716/Model!Q716-1,"NA")</f>
        <v>-1.1188118811881189</v>
      </c>
      <c r="V716" s="1303">
        <f>IFERROR(Model!V716/Model!R716-1,"NA")</f>
        <v>-0.91666666666666663</v>
      </c>
      <c r="W716" s="1303">
        <f>IFERROR(Model!W716/Model!S716-1,"NA")</f>
        <v>-1.3538461538461539</v>
      </c>
      <c r="X716" s="1303">
        <f>IFERROR(Model!X716/Model!T716-1,"NA")</f>
        <v>6</v>
      </c>
      <c r="Y716" s="1303">
        <f>IFERROR(Model!Y716/Model!U716-1,"NA")</f>
        <v>1.1666666666666665</v>
      </c>
      <c r="Z716" s="1303">
        <f>IFERROR(Model!Z716/Model!V716-1,"NA")</f>
        <v>-0.85714285714285721</v>
      </c>
      <c r="AA716" s="1303">
        <f>IFERROR(Model!AA716/Model!W716-1,"NA")</f>
        <v>-0.95652173913043481</v>
      </c>
      <c r="AB716" s="1303">
        <f>IFERROR(Model!AB716/Model!X716-1,"NA")</f>
        <v>-0.5714285714285714</v>
      </c>
      <c r="AC716" s="407" t="str">
        <f>IFERROR(Model!AC716/Model!Y716-1,"NA")</f>
        <v>NA</v>
      </c>
      <c r="AD716" s="407" t="str">
        <f>IFERROR(Model!AD716/Model!Z716-1,"NA")</f>
        <v>NA</v>
      </c>
      <c r="AE716" s="407" t="str">
        <f>IFERROR(Model!AE716/Model!AA716-1,"NA")</f>
        <v>NA</v>
      </c>
      <c r="AF716" s="407" t="str">
        <f>IFERROR(Model!AF716/Model!AB716-1,"NA")</f>
        <v>NA</v>
      </c>
      <c r="AG716" s="407" t="str">
        <f>IFERROR(Model!AG716/Model!AC716-1,"NA")</f>
        <v>NA</v>
      </c>
      <c r="AH716" s="407" t="str">
        <f>IFERROR(Model!AH716/Model!AD716-1,"NA")</f>
        <v>NA</v>
      </c>
      <c r="AI716" s="407" t="str">
        <f>IFERROR(Model!AI716/Model!AE716-1,"NA")</f>
        <v>NA</v>
      </c>
      <c r="AJ716" s="407"/>
      <c r="AK716" s="407"/>
      <c r="AL716" s="407"/>
      <c r="AM716" s="407"/>
      <c r="AN716" s="407"/>
      <c r="AO716" s="407"/>
      <c r="AP716" s="407"/>
      <c r="AQ716" s="407"/>
      <c r="AR716" s="1236"/>
      <c r="AS716" s="1382"/>
      <c r="AT716" s="1308"/>
      <c r="AU716" s="1236"/>
      <c r="AV716" s="1236">
        <f>IFERROR(Model!AV716/Model!AU716-1,"NA")</f>
        <v>-0.48842592592592593</v>
      </c>
      <c r="AW716" s="1236">
        <f>IFERROR(Model!AW716/Model!AV716-1,"NA")</f>
        <v>-0.51583710407239813</v>
      </c>
      <c r="AX716" s="1236">
        <f>IFERROR(Model!AX716/Model!AW716-1,"NA")</f>
        <v>-0.34018691588785044</v>
      </c>
      <c r="AY716" s="1236">
        <f>IFERROR(Model!AY716/Model!AX716-1,"NA")</f>
        <v>-1.0764872521246458</v>
      </c>
      <c r="AZ716" s="407" t="str">
        <f>IFERROR(Model!AZ716/Model!AY716-1,"NA")</f>
        <v>NA</v>
      </c>
      <c r="BA716" s="407" t="str">
        <f>IFERROR(Model!BA716/Model!AZ716-1,"NA")</f>
        <v>NA</v>
      </c>
      <c r="BB716" s="407" t="str">
        <f>IFERROR(Model!BB716/Model!BA716-1,"NA")</f>
        <v>NA</v>
      </c>
      <c r="BC716" s="407" t="str">
        <f>IFERROR(Model!BC716/Model!BB716-1,"NA")</f>
        <v>NA</v>
      </c>
      <c r="BD716" s="407" t="str">
        <f>IFERROR(Model!BD716/Model!BC716-1,"NA")</f>
        <v>NA</v>
      </c>
      <c r="BE716" s="407" t="str">
        <f>IFERROR(Model!BE716/Model!BD716-1,"NA")</f>
        <v>NA</v>
      </c>
    </row>
    <row r="717" spans="1:74" s="160" customFormat="1" x14ac:dyDescent="0.2">
      <c r="A717" s="829"/>
      <c r="B717" s="10"/>
      <c r="C717" s="580" t="s">
        <v>104</v>
      </c>
      <c r="D717" s="1314"/>
      <c r="E717" s="1314"/>
      <c r="F717" s="1314"/>
      <c r="G717" s="1314"/>
      <c r="H717" s="1314">
        <f>IFERROR(Model!H717/Model!D717-1,"NA")</f>
        <v>-0.44385026737967914</v>
      </c>
      <c r="I717" s="1314">
        <f>IFERROR(Model!I717/Model!E717-1,"NA")</f>
        <v>-0.3883928571428571</v>
      </c>
      <c r="J717" s="1314">
        <f>IFERROR(Model!J717/Model!F717-1,"NA")</f>
        <v>-0.75434530706836611</v>
      </c>
      <c r="K717" s="1314">
        <f>IFERROR(Model!K717/Model!G717-1,"NA")</f>
        <v>-0.24225352112676057</v>
      </c>
      <c r="L717" s="1314">
        <f>IFERROR(Model!L717/Model!H717-1,"NA")</f>
        <v>-0.55128205128205132</v>
      </c>
      <c r="M717" s="1314">
        <f>IFERROR(Model!M717/Model!I717-1,"NA")</f>
        <v>-0.58394160583941601</v>
      </c>
      <c r="N717" s="1314">
        <f>IFERROR(Model!N717/Model!J717-1,"NA")</f>
        <v>-0.53773584905660377</v>
      </c>
      <c r="O717" s="1314">
        <f>IFERROR(Model!O717/Model!K717-1,"NA")</f>
        <v>-0.67657992565055758</v>
      </c>
      <c r="P717" s="1314">
        <f>IFERROR(Model!P717/Model!L717-1,"NA")</f>
        <v>-0.42142857142857137</v>
      </c>
      <c r="Q717" s="1314">
        <f>IFERROR(Model!Q717/Model!M717-1,"NA")</f>
        <v>-0.38596491228070173</v>
      </c>
      <c r="R717" s="1314">
        <f>IFERROR(Model!R717/Model!N717-1,"NA")</f>
        <v>-0.37755102040816324</v>
      </c>
      <c r="S717" s="1314">
        <f>IFERROR(Model!S717/Model!O717-1,"NA")</f>
        <v>-0.35632183908045978</v>
      </c>
      <c r="T717" s="1314">
        <f>IFERROR(Model!T717/Model!P717-1,"NA")</f>
        <v>-0.48148148148148151</v>
      </c>
      <c r="U717" s="1314">
        <f>IFERROR(Model!U717/Model!Q717-1,"NA")</f>
        <v>-0.81428571428571428</v>
      </c>
      <c r="V717" s="1314">
        <f>IFERROR(Model!V717/Model!R717-1,"NA")</f>
        <v>-0.62295081967213117</v>
      </c>
      <c r="W717" s="1314">
        <f>IFERROR(Model!W717/Model!S717-1,"NA")</f>
        <v>-0.5535714285714286</v>
      </c>
      <c r="X717" s="1314">
        <f>IFERROR(Model!X717/Model!T717-1,"NA")</f>
        <v>-0.76190476190476186</v>
      </c>
      <c r="Y717" s="1314">
        <f>IFERROR(Model!Y717/Model!U717-1,"NA")</f>
        <v>7.6923076923076872E-2</v>
      </c>
      <c r="Z717" s="1314">
        <f>IFERROR(Model!Z717/Model!V717-1,"NA")</f>
        <v>0</v>
      </c>
      <c r="AA717" s="1314">
        <f>IFERROR(Model!AA717/Model!W717-1,"NA")</f>
        <v>-0.67999999999999994</v>
      </c>
      <c r="AB717" s="1314">
        <f>IFERROR(Model!AB717/Model!X717-1,"NA")</f>
        <v>-0.30000000000000004</v>
      </c>
      <c r="AC717" s="1307" t="str">
        <f>IFERROR(Model!AC717/Model!Y717-1,"NA")</f>
        <v>NA</v>
      </c>
      <c r="AD717" s="1307" t="str">
        <f>IFERROR(Model!AD717/Model!Z717-1,"NA")</f>
        <v>NA</v>
      </c>
      <c r="AE717" s="1307" t="str">
        <f>IFERROR(Model!AE717/Model!AA717-1,"NA")</f>
        <v>NA</v>
      </c>
      <c r="AF717" s="1307" t="str">
        <f>IFERROR(Model!AF717/Model!AB717-1,"NA")</f>
        <v>NA</v>
      </c>
      <c r="AG717" s="1307" t="str">
        <f>IFERROR(Model!AG717/Model!AC717-1,"NA")</f>
        <v>NA</v>
      </c>
      <c r="AH717" s="1307" t="str">
        <f>IFERROR(Model!AH717/Model!AD717-1,"NA")</f>
        <v>NA</v>
      </c>
      <c r="AI717" s="1307" t="str">
        <f>IFERROR(Model!AI717/Model!AE717-1,"NA")</f>
        <v>NA</v>
      </c>
      <c r="AJ717" s="1318"/>
      <c r="AK717" s="1318"/>
      <c r="AL717" s="1318"/>
      <c r="AM717" s="1318"/>
      <c r="AN717" s="1318"/>
      <c r="AO717" s="1318"/>
      <c r="AP717" s="1318"/>
      <c r="AQ717" s="1318"/>
      <c r="AR717" s="1236"/>
      <c r="AS717" s="1382"/>
      <c r="AT717" s="1298"/>
      <c r="AU717" s="1246"/>
      <c r="AV717" s="1246">
        <f>IFERROR(Model!AV717/Model!AU717-1,"NA")</f>
        <v>-0.52088010776829818</v>
      </c>
      <c r="AW717" s="1246">
        <f>IFERROR(Model!AW717/Model!AV717-1,"NA")</f>
        <v>-0.58856607310215558</v>
      </c>
      <c r="AX717" s="1246">
        <f>IFERROR(Model!AX717/Model!AW717-1,"NA")</f>
        <v>-0.38952164009111623</v>
      </c>
      <c r="AY717" s="1246">
        <f>IFERROR(Model!AY717/Model!AX717-1,"NA")</f>
        <v>-0.61567164179104483</v>
      </c>
      <c r="AZ717" s="1307" t="str">
        <f>IFERROR(Model!AZ717/Model!AY717-1,"NA")</f>
        <v>NA</v>
      </c>
      <c r="BA717" s="1307" t="str">
        <f>IFERROR(Model!BA717/Model!AZ717-1,"NA")</f>
        <v>NA</v>
      </c>
      <c r="BB717" s="1307" t="str">
        <f>IFERROR(Model!BB717/Model!BA717-1,"NA")</f>
        <v>NA</v>
      </c>
      <c r="BC717" s="1307" t="str">
        <f>IFERROR(Model!BC717/Model!BB717-1,"NA")</f>
        <v>NA</v>
      </c>
      <c r="BD717" s="1307" t="str">
        <f>IFERROR(Model!BD717/Model!BC717-1,"NA")</f>
        <v>NA</v>
      </c>
      <c r="BE717" s="1307" t="str">
        <f>IFERROR(Model!BE717/Model!BD717-1,"NA")</f>
        <v>NA</v>
      </c>
    </row>
    <row r="718" spans="1:74" s="160" customFormat="1" x14ac:dyDescent="0.2">
      <c r="A718" s="829"/>
      <c r="B718" s="563" t="s">
        <v>298</v>
      </c>
      <c r="C718" s="1217"/>
      <c r="D718" s="1304"/>
      <c r="E718" s="1304"/>
      <c r="F718" s="1304"/>
      <c r="G718" s="1304"/>
      <c r="H718" s="1304">
        <f>IFERROR(Model!H718/Model!D718-1,"NA")</f>
        <v>-0.51761102603369058</v>
      </c>
      <c r="I718" s="1304">
        <f>IFERROR(Model!I718/Model!E718-1,"NA")</f>
        <v>-0.36727688787185353</v>
      </c>
      <c r="J718" s="1304">
        <f>IFERROR(Model!J718/Model!F718-1,"NA")</f>
        <v>-0.71515151515151509</v>
      </c>
      <c r="K718" s="1304">
        <f>IFERROR(Model!K718/Model!G718-1,"NA")</f>
        <v>-0.21606648199445988</v>
      </c>
      <c r="L718" s="1304">
        <f>IFERROR(Model!L718/Model!H718-1,"NA")</f>
        <v>-0.47619047619047616</v>
      </c>
      <c r="M718" s="1304">
        <f>IFERROR(Model!M718/Model!I718-1,"NA")</f>
        <v>-0.62929475587703432</v>
      </c>
      <c r="N718" s="1304">
        <f>IFERROR(Model!N718/Model!J718-1,"NA")</f>
        <v>-0.44444444444444442</v>
      </c>
      <c r="O718" s="1304">
        <f>IFERROR(Model!O718/Model!K718-1,"NA")</f>
        <v>-0.63957597173144876</v>
      </c>
      <c r="P718" s="1304">
        <f>IFERROR(Model!P718/Model!L718-1,"NA")</f>
        <v>-0.44242424242424239</v>
      </c>
      <c r="Q718" s="1304">
        <f>IFERROR(Model!Q718/Model!M718-1,"NA")</f>
        <v>-0.1658536585365854</v>
      </c>
      <c r="R718" s="1304">
        <f>IFERROR(Model!R718/Model!N718-1,"NA")</f>
        <v>-0.38297872340425532</v>
      </c>
      <c r="S718" s="1304">
        <f>IFERROR(Model!S718/Model!O718-1,"NA")</f>
        <v>-0.40686274509803921</v>
      </c>
      <c r="T718" s="1304">
        <f>IFERROR(Model!T718/Model!P718-1,"NA")</f>
        <v>-0.76630434782608692</v>
      </c>
      <c r="U718" s="1304">
        <f>IFERROR(Model!U718/Model!Q718-1,"NA")</f>
        <v>-0.99415204678362579</v>
      </c>
      <c r="V718" s="1304">
        <f>IFERROR(Model!V718/Model!R718-1,"NA")</f>
        <v>-0.7931034482758621</v>
      </c>
      <c r="W718" s="1304">
        <f>IFERROR(Model!W718/Model!S718-1,"NA")</f>
        <v>-0.98347107438016534</v>
      </c>
      <c r="X718" s="1304">
        <f>IFERROR(Model!X718/Model!T718-1,"NA")</f>
        <v>-0.60465116279069764</v>
      </c>
      <c r="Y718" s="1304">
        <f>IFERROR(Model!Y718/Model!U718-1,"NA")</f>
        <v>-13</v>
      </c>
      <c r="Z718" s="1304">
        <f>IFERROR(Model!Z718/Model!V718-1,"NA")</f>
        <v>-0.19999999999999996</v>
      </c>
      <c r="AA718" s="1304">
        <f>IFERROR(Model!AA718/Model!W718-1,"NA")</f>
        <v>2.5</v>
      </c>
      <c r="AB718" s="1304">
        <f>IFERROR(Model!AB718/Model!X718-1,"NA")</f>
        <v>-0.41176470588235292</v>
      </c>
      <c r="AC718" s="407" t="str">
        <f>IFERROR(Model!AC718/Model!Y718-1,"NA")</f>
        <v>NA</v>
      </c>
      <c r="AD718" s="407" t="str">
        <f>IFERROR(Model!AD718/Model!Z718-1,"NA")</f>
        <v>NA</v>
      </c>
      <c r="AE718" s="407" t="str">
        <f>IFERROR(Model!AE718/Model!AA718-1,"NA")</f>
        <v>NA</v>
      </c>
      <c r="AF718" s="407" t="str">
        <f>IFERROR(Model!AF718/Model!AB718-1,"NA")</f>
        <v>NA</v>
      </c>
      <c r="AG718" s="407" t="str">
        <f>IFERROR(Model!AG718/Model!AC718-1,"NA")</f>
        <v>NA</v>
      </c>
      <c r="AH718" s="407" t="str">
        <f>IFERROR(Model!AH718/Model!AD718-1,"NA")</f>
        <v>NA</v>
      </c>
      <c r="AI718" s="407" t="str">
        <f>IFERROR(Model!AI718/Model!AE718-1,"NA")</f>
        <v>NA</v>
      </c>
      <c r="AJ718" s="407"/>
      <c r="AK718" s="407"/>
      <c r="AL718" s="407"/>
      <c r="AM718" s="407"/>
      <c r="AN718" s="407"/>
      <c r="AO718" s="407"/>
      <c r="AP718" s="407"/>
      <c r="AQ718" s="407"/>
      <c r="AR718" s="1236"/>
      <c r="AS718" s="1464"/>
      <c r="AT718" s="407"/>
      <c r="AU718" s="1236"/>
      <c r="AV718" s="1236">
        <f>IFERROR(Model!AV718/Model!AU718-1,"NA")</f>
        <v>-0.50490084340095742</v>
      </c>
      <c r="AW718" s="1236">
        <f>IFERROR(Model!AW718/Model!AV718-1,"NA")</f>
        <v>-0.55156537753222834</v>
      </c>
      <c r="AX718" s="1236">
        <f>IFERROR(Model!AX718/Model!AW718-1,"NA")</f>
        <v>-0.36242299794661192</v>
      </c>
      <c r="AY718" s="1236">
        <f>IFERROR(Model!AY718/Model!AX718-1,"NA")</f>
        <v>-0.87761674718196458</v>
      </c>
      <c r="AZ718" s="407" t="str">
        <f>IFERROR(Model!AZ718/Model!AY718-1,"NA")</f>
        <v>NA</v>
      </c>
      <c r="BA718" s="407" t="str">
        <f>IFERROR(Model!BA718/Model!AZ718-1,"NA")</f>
        <v>NA</v>
      </c>
      <c r="BB718" s="407" t="str">
        <f>IFERROR(Model!BB718/Model!BA718-1,"NA")</f>
        <v>NA</v>
      </c>
      <c r="BC718" s="407" t="str">
        <f>IFERROR(Model!BC718/Model!BB718-1,"NA")</f>
        <v>NA</v>
      </c>
      <c r="BD718" s="407" t="str">
        <f>IFERROR(Model!BD718/Model!BC718-1,"NA")</f>
        <v>NA</v>
      </c>
      <c r="BE718" s="407" t="str">
        <f>IFERROR(Model!BE718/Model!BD718-1,"NA")</f>
        <v>NA</v>
      </c>
    </row>
    <row r="719" spans="1:74" s="160" customFormat="1" x14ac:dyDescent="0.2">
      <c r="A719" s="829"/>
      <c r="B719" s="157"/>
      <c r="C719" s="25" t="s">
        <v>16</v>
      </c>
      <c r="D719" s="1401"/>
      <c r="E719" s="1401"/>
      <c r="F719" s="1401"/>
      <c r="G719" s="1401"/>
      <c r="H719" s="1401">
        <f>IFERROR(Model!H719/Model!D719-1,"NA")</f>
        <v>-0.25724637681159424</v>
      </c>
      <c r="I719" s="1401">
        <f>IFERROR(Model!I719/Model!E719-1,"NA")</f>
        <v>-0.34732824427480913</v>
      </c>
      <c r="J719" s="1401">
        <f>IFERROR(Model!J719/Model!F719-1,"NA")</f>
        <v>-0.38990825688073394</v>
      </c>
      <c r="K719" s="1401">
        <f>IFERROR(Model!K719/Model!G719-1,"NA")</f>
        <v>-0.24226804123711343</v>
      </c>
      <c r="L719" s="1401">
        <f>IFERROR(Model!L719/Model!H719-1,"NA")</f>
        <v>-0.29756097560975614</v>
      </c>
      <c r="M719" s="1401">
        <f>IFERROR(Model!M719/Model!I719-1,"NA")</f>
        <v>-0.11695906432748537</v>
      </c>
      <c r="N719" s="1401">
        <f>IFERROR(Model!N719/Model!J719-1,"NA")</f>
        <v>7.5187969924812581E-3</v>
      </c>
      <c r="O719" s="1401">
        <f>IFERROR(Model!O719/Model!K719-1,"NA")</f>
        <v>5.4421768707483054E-2</v>
      </c>
      <c r="P719" s="1401">
        <f>IFERROR(Model!P719/Model!L719-1,"NA")</f>
        <v>0.24305555555555558</v>
      </c>
      <c r="Q719" s="1401">
        <f>IFERROR(Model!Q719/Model!M719-1,"NA")</f>
        <v>-0.85430463576158944</v>
      </c>
      <c r="R719" s="1401">
        <f>IFERROR(Model!R719/Model!N719-1,"NA")</f>
        <v>-0.84328358208955223</v>
      </c>
      <c r="S719" s="1401">
        <f>IFERROR(Model!S719/Model!O719-1,"NA")</f>
        <v>-0.87096774193548387</v>
      </c>
      <c r="T719" s="1401">
        <f>IFERROR(Model!T719/Model!P719-1,"NA")</f>
        <v>-0.87709497206703912</v>
      </c>
      <c r="U719" s="1401">
        <f>IFERROR(Model!U719/Model!Q719-1,"NA")</f>
        <v>4.5454545454545414E-2</v>
      </c>
      <c r="V719" s="1401">
        <f>IFERROR(Model!V719/Model!R719-1,"NA")</f>
        <v>4.7619047619047672E-2</v>
      </c>
      <c r="W719" s="1401">
        <f>IFERROR(Model!W719/Model!S719-1,"NA")</f>
        <v>0.30000000000000004</v>
      </c>
      <c r="X719" s="1401">
        <f>IFERROR(Model!X719/Model!T719-1,"NA")</f>
        <v>0.18181818181818188</v>
      </c>
      <c r="Y719" s="1401">
        <f>IFERROR(Model!Y719/Model!U719-1,"NA")</f>
        <v>-0.73913043478260865</v>
      </c>
      <c r="Z719" s="1401">
        <f>IFERROR(Model!Z719/Model!V719-1,"NA")</f>
        <v>-0.86363636363636365</v>
      </c>
      <c r="AA719" s="1401">
        <f>IFERROR(Model!AA719/Model!W719-1,"NA")</f>
        <v>-0.88461538461538458</v>
      </c>
      <c r="AB719" s="1401">
        <f>IFERROR(Model!AB719/Model!X719-1,"NA")</f>
        <v>-0.92307692307692313</v>
      </c>
      <c r="AC719" s="1307" t="str">
        <f>IFERROR(Model!AC719/Model!Y719-1,"NA")</f>
        <v>NA</v>
      </c>
      <c r="AD719" s="1307" t="str">
        <f>IFERROR(Model!AD719/Model!Z719-1,"NA")</f>
        <v>NA</v>
      </c>
      <c r="AE719" s="1307" t="str">
        <f>IFERROR(Model!AE719/Model!AA719-1,"NA")</f>
        <v>NA</v>
      </c>
      <c r="AF719" s="1307" t="str">
        <f>IFERROR(Model!AF719/Model!AB719-1,"NA")</f>
        <v>NA</v>
      </c>
      <c r="AG719" s="1307" t="str">
        <f>IFERROR(Model!AG719/Model!AC719-1,"NA")</f>
        <v>NA</v>
      </c>
      <c r="AH719" s="1307" t="str">
        <f>IFERROR(Model!AH719/Model!AD719-1,"NA")</f>
        <v>NA</v>
      </c>
      <c r="AI719" s="1307" t="str">
        <f>IFERROR(Model!AI719/Model!AE719-1,"NA")</f>
        <v>NA</v>
      </c>
      <c r="AJ719" s="1318"/>
      <c r="AK719" s="1318"/>
      <c r="AL719" s="1318"/>
      <c r="AM719" s="1318"/>
      <c r="AN719" s="1318"/>
      <c r="AO719" s="1318"/>
      <c r="AP719" s="1318"/>
      <c r="AQ719" s="1318"/>
      <c r="AR719" s="1236"/>
      <c r="AS719" s="1473"/>
      <c r="AT719" s="1307"/>
      <c r="AU719" s="1246"/>
      <c r="AV719" s="1246">
        <f>IFERROR(Model!AV719/Model!AU719-1,"NA")</f>
        <v>-0.30947368421052635</v>
      </c>
      <c r="AW719" s="1246">
        <f>IFERROR(Model!AW719/Model!AV719-1,"NA")</f>
        <v>-0.1097560975609756</v>
      </c>
      <c r="AX719" s="1246">
        <f>IFERROR(Model!AX719/Model!AW719-1,"NA")</f>
        <v>-0.58561643835616439</v>
      </c>
      <c r="AY719" s="1246">
        <f>IFERROR(Model!AY719/Model!AX719-1,"NA")</f>
        <v>-0.61570247933884303</v>
      </c>
      <c r="AZ719" s="1307" t="str">
        <f>IFERROR(Model!AZ719/Model!AY719-1,"NA")</f>
        <v>NA</v>
      </c>
      <c r="BA719" s="1307" t="str">
        <f>IFERROR(Model!BA719/Model!AZ719-1,"NA")</f>
        <v>NA</v>
      </c>
      <c r="BB719" s="1307" t="str">
        <f>IFERROR(Model!BB719/Model!BA719-1,"NA")</f>
        <v>NA</v>
      </c>
      <c r="BC719" s="1307" t="str">
        <f>IFERROR(Model!BC719/Model!BB719-1,"NA")</f>
        <v>NA</v>
      </c>
      <c r="BD719" s="1307" t="str">
        <f>IFERROR(Model!BD719/Model!BC719-1,"NA")</f>
        <v>NA</v>
      </c>
      <c r="BE719" s="1307" t="str">
        <f>IFERROR(Model!BE719/Model!BD719-1,"NA")</f>
        <v>NA</v>
      </c>
    </row>
    <row r="720" spans="1:74" s="160" customFormat="1" x14ac:dyDescent="0.2">
      <c r="A720" s="829"/>
      <c r="B720" s="319" t="s">
        <v>513</v>
      </c>
      <c r="C720" s="1217"/>
      <c r="D720" s="1303"/>
      <c r="E720" s="1303"/>
      <c r="F720" s="1303"/>
      <c r="G720" s="1303"/>
      <c r="H720" s="1303">
        <f>IFERROR(Model!H720/Model!D720-1,"NA")</f>
        <v>-0.47218710493046778</v>
      </c>
      <c r="I720" s="1303">
        <f>IFERROR(Model!I720/Model!E720-1,"NA")</f>
        <v>-0.36267605633802813</v>
      </c>
      <c r="J720" s="1303">
        <f>IFERROR(Model!J720/Model!F720-1,"NA")</f>
        <v>-0.67351732237228412</v>
      </c>
      <c r="K720" s="1303">
        <f>IFERROR(Model!K720/Model!G720-1,"NA")</f>
        <v>-0.22161572052401746</v>
      </c>
      <c r="L720" s="1303">
        <f>IFERROR(Model!L720/Model!H720-1,"NA")</f>
        <v>-0.43233532934131735</v>
      </c>
      <c r="M720" s="1303">
        <f>IFERROR(Model!M720/Model!I720-1,"NA")</f>
        <v>-0.50828729281767959</v>
      </c>
      <c r="N720" s="1303">
        <f>IFERROR(Model!N720/Model!J720-1,"NA")</f>
        <v>-0.33633093525179858</v>
      </c>
      <c r="O720" s="1303">
        <f>IFERROR(Model!O720/Model!K720-1,"NA")</f>
        <v>-0.49649368863955123</v>
      </c>
      <c r="P720" s="1303">
        <f>IFERROR(Model!P720/Model!L720-1,"NA")</f>
        <v>-0.23417721518987344</v>
      </c>
      <c r="Q720" s="1303">
        <f>IFERROR(Model!Q720/Model!M720-1,"NA")</f>
        <v>-0.4578651685393258</v>
      </c>
      <c r="R720" s="1303">
        <f>IFERROR(Model!R720/Model!N720-1,"NA")</f>
        <v>-0.55013550135501355</v>
      </c>
      <c r="S720" s="1303">
        <f>IFERROR(Model!S720/Model!O720-1,"NA")</f>
        <v>-0.60724233983286902</v>
      </c>
      <c r="T720" s="1303">
        <f>IFERROR(Model!T720/Model!P720-1,"NA")</f>
        <v>-0.82093663911845727</v>
      </c>
      <c r="U720" s="1303">
        <f>IFERROR(Model!U720/Model!Q720-1,"NA")</f>
        <v>-0.87564766839378239</v>
      </c>
      <c r="V720" s="1303">
        <f>IFERROR(Model!V720/Model!R720-1,"NA")</f>
        <v>-0.68674698795180722</v>
      </c>
      <c r="W720" s="1303">
        <f>IFERROR(Model!W720/Model!S720-1,"NA")</f>
        <v>-0.80141843971631199</v>
      </c>
      <c r="X720" s="1303">
        <f>IFERROR(Model!X720/Model!T720-1,"NA")</f>
        <v>-0.33846153846153848</v>
      </c>
      <c r="Y720" s="1303">
        <f>IFERROR(Model!Y720/Model!U720-1,"NA")</f>
        <v>-1.25</v>
      </c>
      <c r="Z720" s="1303">
        <f>IFERROR(Model!Z720/Model!V720-1,"NA")</f>
        <v>-0.48076923076923073</v>
      </c>
      <c r="AA720" s="1303">
        <f>IFERROR(Model!AA720/Model!W720-1,"NA")</f>
        <v>-0.64285714285714279</v>
      </c>
      <c r="AB720" s="1303">
        <f>IFERROR(Model!AB720/Model!X720-1,"NA")</f>
        <v>-0.72093023255813948</v>
      </c>
      <c r="AC720" s="407" t="str">
        <f>IFERROR(Model!AC720/Model!Y720-1,"NA")</f>
        <v>NA</v>
      </c>
      <c r="AD720" s="407" t="str">
        <f>IFERROR(Model!AD720/Model!Z720-1,"NA")</f>
        <v>NA</v>
      </c>
      <c r="AE720" s="407" t="str">
        <f>IFERROR(Model!AE720/Model!AA720-1,"NA")</f>
        <v>NA</v>
      </c>
      <c r="AF720" s="407" t="str">
        <f>IFERROR(Model!AF720/Model!AB720-1,"NA")</f>
        <v>NA</v>
      </c>
      <c r="AG720" s="407" t="str">
        <f>IFERROR(Model!AG720/Model!AC720-1,"NA")</f>
        <v>NA</v>
      </c>
      <c r="AH720" s="407" t="str">
        <f>IFERROR(Model!AH720/Model!AD720-1,"NA")</f>
        <v>NA</v>
      </c>
      <c r="AI720" s="407" t="str">
        <f>IFERROR(Model!AI720/Model!AE720-1,"NA")</f>
        <v>NA</v>
      </c>
      <c r="AJ720" s="407"/>
      <c r="AK720" s="407"/>
      <c r="AL720" s="407"/>
      <c r="AM720" s="407"/>
      <c r="AN720" s="407"/>
      <c r="AO720" s="407"/>
      <c r="AP720" s="407"/>
      <c r="AQ720" s="407"/>
      <c r="AR720" s="1236"/>
      <c r="AS720" s="1248"/>
      <c r="AT720" s="407"/>
      <c r="AU720" s="1236"/>
      <c r="AV720" s="1236">
        <f>IFERROR(Model!AV720/Model!AU720-1,"NA")</f>
        <v>-0.47011429642121039</v>
      </c>
      <c r="AW720" s="1236">
        <f>IFERROR(Model!AW720/Model!AV720-1,"NA")</f>
        <v>-0.4490806223479491</v>
      </c>
      <c r="AX720" s="1236">
        <f>IFERROR(Model!AX720/Model!AW720-1,"NA")</f>
        <v>-0.44608472400513477</v>
      </c>
      <c r="AY720" s="1236">
        <f>IFERROR(Model!AY720/Model!AX720-1,"NA")</f>
        <v>-0.80417149478563155</v>
      </c>
      <c r="AZ720" s="407" t="str">
        <f>IFERROR(Model!AZ720/Model!AY720-1,"NA")</f>
        <v>NA</v>
      </c>
      <c r="BA720" s="407" t="str">
        <f>IFERROR(Model!BA720/Model!AZ720-1,"NA")</f>
        <v>NA</v>
      </c>
      <c r="BB720" s="407" t="str">
        <f>IFERROR(Model!BB720/Model!BA720-1,"NA")</f>
        <v>NA</v>
      </c>
      <c r="BC720" s="407" t="str">
        <f>IFERROR(Model!BC720/Model!BB720-1,"NA")</f>
        <v>NA</v>
      </c>
      <c r="BD720" s="407" t="str">
        <f>IFERROR(Model!BD720/Model!BC720-1,"NA")</f>
        <v>NA</v>
      </c>
      <c r="BE720" s="407" t="str">
        <f>IFERROR(Model!BE720/Model!BD720-1,"NA")</f>
        <v>NA</v>
      </c>
    </row>
    <row r="721" spans="1:74" s="160" customFormat="1" x14ac:dyDescent="0.2">
      <c r="A721" s="829"/>
      <c r="B721" s="382"/>
      <c r="C721" s="1217"/>
      <c r="D721" s="1277"/>
      <c r="E721" s="1277"/>
      <c r="F721" s="1277"/>
      <c r="G721" s="1277"/>
      <c r="H721" s="1277"/>
      <c r="I721" s="1277"/>
      <c r="J721" s="1277"/>
      <c r="K721" s="1277"/>
      <c r="L721" s="1277"/>
      <c r="M721" s="1277"/>
      <c r="N721" s="1277"/>
      <c r="O721" s="1277"/>
      <c r="P721" s="1277"/>
      <c r="Q721" s="1277"/>
      <c r="R721" s="1277"/>
      <c r="S721" s="1277"/>
      <c r="T721" s="1277"/>
      <c r="U721" s="1277"/>
      <c r="V721" s="1277"/>
      <c r="W721" s="1277"/>
      <c r="X721" s="1277"/>
      <c r="Y721" s="1277"/>
      <c r="Z721" s="1277"/>
      <c r="AA721" s="1277"/>
      <c r="AB721" s="1277"/>
      <c r="AC721" s="407"/>
      <c r="AD721" s="407"/>
      <c r="AE721" s="407"/>
      <c r="AF721" s="407"/>
      <c r="AG721" s="407"/>
      <c r="AH721" s="407"/>
      <c r="AI721" s="407"/>
      <c r="AJ721" s="407"/>
      <c r="AK721" s="407"/>
      <c r="AL721" s="407"/>
      <c r="AM721" s="407"/>
      <c r="AN721" s="407"/>
      <c r="AO721" s="407"/>
      <c r="AP721" s="407"/>
      <c r="AQ721" s="407"/>
      <c r="AR721" s="1236"/>
      <c r="AS721" s="1308"/>
      <c r="AT721" s="407"/>
      <c r="AU721" s="1396"/>
      <c r="AV721" s="1396"/>
      <c r="AW721" s="1396"/>
      <c r="AX721" s="1396"/>
      <c r="AY721" s="1396"/>
      <c r="AZ721" s="407"/>
      <c r="BA721" s="407"/>
      <c r="BB721" s="407"/>
      <c r="BC721" s="407"/>
      <c r="BD721" s="407"/>
      <c r="BE721" s="407"/>
    </row>
    <row r="722" spans="1:74" s="160" customFormat="1" x14ac:dyDescent="0.2">
      <c r="A722" s="829"/>
      <c r="B722" s="325" t="s">
        <v>301</v>
      </c>
      <c r="C722" s="1217"/>
      <c r="D722" s="1303"/>
      <c r="E722" s="1303"/>
      <c r="F722" s="1303"/>
      <c r="G722" s="1303"/>
      <c r="H722" s="1303">
        <f>IFERROR(Model!H722/Model!D722-1,"NA")</f>
        <v>-0.2129032258064516</v>
      </c>
      <c r="I722" s="1303">
        <f>IFERROR(Model!I722/Model!E722-1,"NA")</f>
        <v>-0.42574257425742579</v>
      </c>
      <c r="J722" s="1303">
        <f>IFERROR(Model!J722/Model!F722-1,"NA")</f>
        <v>-0.27142857142857146</v>
      </c>
      <c r="K722" s="1303">
        <f>IFERROR(Model!K722/Model!G722-1,"NA")</f>
        <v>-0.24124513618677046</v>
      </c>
      <c r="L722" s="1303">
        <f>IFERROR(Model!L722/Model!H722-1,"NA")</f>
        <v>-0.27868852459016391</v>
      </c>
      <c r="M722" s="1303">
        <f>IFERROR(Model!M722/Model!I722-1,"NA")</f>
        <v>-2.2988505747126409E-2</v>
      </c>
      <c r="N722" s="1303">
        <f>IFERROR(Model!N722/Model!J722-1,"NA")</f>
        <v>-0.2990196078431373</v>
      </c>
      <c r="O722" s="1303">
        <f>IFERROR(Model!O722/Model!K722-1,"NA")</f>
        <v>-0.40512820512820513</v>
      </c>
      <c r="P722" s="1303">
        <f>IFERROR(Model!P722/Model!L722-1,"NA")</f>
        <v>-0.36363636363636365</v>
      </c>
      <c r="Q722" s="1303">
        <f>IFERROR(Model!Q722/Model!M722-1,"NA")</f>
        <v>-0.31764705882352939</v>
      </c>
      <c r="R722" s="1303">
        <f>IFERROR(Model!R722/Model!N722-1,"NA")</f>
        <v>-0.34965034965034969</v>
      </c>
      <c r="S722" s="1303">
        <f>IFERROR(Model!S722/Model!O722-1,"NA")</f>
        <v>5.1724137931034475E-2</v>
      </c>
      <c r="T722" s="1303">
        <f>IFERROR(Model!T722/Model!P722-1,"NA")</f>
        <v>-0.3035714285714286</v>
      </c>
      <c r="U722" s="1303">
        <f>IFERROR(Model!U722/Model!Q722-1,"NA")</f>
        <v>-0.33620689655172409</v>
      </c>
      <c r="V722" s="1303">
        <f>IFERROR(Model!V722/Model!R722-1,"NA")</f>
        <v>-0.11827956989247312</v>
      </c>
      <c r="W722" s="1303">
        <f>IFERROR(Model!W722/Model!S722-1,"NA")</f>
        <v>-0.73770491803278682</v>
      </c>
      <c r="X722" s="1303">
        <f>IFERROR(Model!X722/Model!T722-1,"NA")</f>
        <v>-0.66666666666666674</v>
      </c>
      <c r="Y722" s="1303">
        <f>IFERROR(Model!Y722/Model!U722-1,"NA")</f>
        <v>-0.68831168831168832</v>
      </c>
      <c r="Z722" s="1303">
        <f>IFERROR(Model!Z722/Model!V722-1,"NA")</f>
        <v>-0.69512195121951215</v>
      </c>
      <c r="AA722" s="1303">
        <f>IFERROR(Model!AA722/Model!W722-1,"NA")</f>
        <v>-0.78125</v>
      </c>
      <c r="AB722" s="1303">
        <f>IFERROR(Model!AB722/Model!X722-1,"NA")</f>
        <v>-0.11538461538461542</v>
      </c>
      <c r="AC722" s="407" t="str">
        <f>IFERROR(Model!AC722/Model!Y722-1,"NA")</f>
        <v>NA</v>
      </c>
      <c r="AD722" s="407" t="str">
        <f>IFERROR(Model!AD722/Model!Z722-1,"NA")</f>
        <v>NA</v>
      </c>
      <c r="AE722" s="407" t="str">
        <f>IFERROR(Model!AE722/Model!AA722-1,"NA")</f>
        <v>NA</v>
      </c>
      <c r="AF722" s="407" t="str">
        <f>IFERROR(Model!AF722/Model!AB722-1,"NA")</f>
        <v>NA</v>
      </c>
      <c r="AG722" s="407" t="str">
        <f>IFERROR(Model!AG722/Model!AC722-1,"NA")</f>
        <v>NA</v>
      </c>
      <c r="AH722" s="407" t="str">
        <f>IFERROR(Model!AH722/Model!AD722-1,"NA")</f>
        <v>NA</v>
      </c>
      <c r="AI722" s="407" t="str">
        <f>IFERROR(Model!AI722/Model!AE722-1,"NA")</f>
        <v>NA</v>
      </c>
      <c r="AJ722" s="407"/>
      <c r="AK722" s="407"/>
      <c r="AL722" s="407"/>
      <c r="AM722" s="407"/>
      <c r="AN722" s="407"/>
      <c r="AO722" s="407"/>
      <c r="AP722" s="407"/>
      <c r="AQ722" s="407"/>
      <c r="AR722" s="1236"/>
      <c r="AS722" s="1239"/>
      <c r="AT722" s="407"/>
      <c r="AU722" s="1236"/>
      <c r="AV722" s="1236">
        <f>IFERROR(Model!AV722/Model!AU722-1,"NA")</f>
        <v>-0.28956521739130436</v>
      </c>
      <c r="AW722" s="1236">
        <f>IFERROR(Model!AW722/Model!AV722-1,"NA")</f>
        <v>-0.25948592411260707</v>
      </c>
      <c r="AX722" s="1236">
        <f>IFERROR(Model!AX722/Model!AW722-1,"NA")</f>
        <v>-0.26776859504132233</v>
      </c>
      <c r="AY722" s="1236">
        <f>IFERROR(Model!AY722/Model!AX722-1,"NA")</f>
        <v>-0.39277652370203164</v>
      </c>
      <c r="AZ722" s="407" t="str">
        <f>IFERROR(Model!AZ722/Model!AY722-1,"NA")</f>
        <v>NA</v>
      </c>
      <c r="BA722" s="407" t="str">
        <f>IFERROR(Model!BA722/Model!AZ722-1,"NA")</f>
        <v>NA</v>
      </c>
      <c r="BB722" s="407" t="str">
        <f>IFERROR(Model!BB722/Model!BA722-1,"NA")</f>
        <v>NA</v>
      </c>
      <c r="BC722" s="407" t="str">
        <f>IFERROR(Model!BC722/Model!BB722-1,"NA")</f>
        <v>NA</v>
      </c>
      <c r="BD722" s="407" t="str">
        <f>IFERROR(Model!BD722/Model!BC722-1,"NA")</f>
        <v>NA</v>
      </c>
      <c r="BE722" s="407" t="str">
        <f>IFERROR(Model!BE722/Model!BD722-1,"NA")</f>
        <v>NA</v>
      </c>
    </row>
    <row r="723" spans="1:74" s="160" customFormat="1" x14ac:dyDescent="0.2">
      <c r="A723" s="829"/>
      <c r="B723" s="364" t="s">
        <v>562</v>
      </c>
      <c r="C723" s="71"/>
      <c r="D723" s="1267"/>
      <c r="E723" s="1267"/>
      <c r="F723" s="1267"/>
      <c r="G723" s="1267"/>
      <c r="H723" s="1267">
        <f>IFERROR(Model!H723/Model!D723-1,"NA")</f>
        <v>-1.5294117647058822</v>
      </c>
      <c r="I723" s="1267">
        <f>IFERROR(Model!I723/Model!E723-1,"NA")</f>
        <v>-1.1428571428571428</v>
      </c>
      <c r="J723" s="1267">
        <f>IFERROR(Model!J723/Model!F723-1,"NA")</f>
        <v>-2.7222222222222223</v>
      </c>
      <c r="K723" s="1267">
        <f>IFERROR(Model!K723/Model!G723-1,"NA")</f>
        <v>-0.64705882352941169</v>
      </c>
      <c r="L723" s="1267">
        <f>IFERROR(Model!L723/Model!H723-1,"NA")</f>
        <v>0.44444444444444442</v>
      </c>
      <c r="M723" s="1267">
        <f>IFERROR(Model!M723/Model!I723-1,"NA")</f>
        <v>-1.5</v>
      </c>
      <c r="N723" s="1267">
        <f>IFERROR(Model!N723/Model!J723-1,"NA")</f>
        <v>-1.870967741935484</v>
      </c>
      <c r="O723" s="1267">
        <f>IFERROR(Model!O723/Model!K723-1,"NA")</f>
        <v>-3.5</v>
      </c>
      <c r="P723" s="1267">
        <f>IFERROR(Model!P723/Model!L723-1,"NA")</f>
        <v>-1.5384615384615383</v>
      </c>
      <c r="Q723" s="1267">
        <f>IFERROR(Model!Q723/Model!M723-1,"NA")</f>
        <v>7.3333333333333339</v>
      </c>
      <c r="R723" s="1267">
        <f>IFERROR(Model!R723/Model!N723-1,"NA")</f>
        <v>-1.5185185185185186</v>
      </c>
      <c r="S723" s="1267">
        <f>IFERROR(Model!S723/Model!O723-1,"NA")</f>
        <v>-1.0666666666666667</v>
      </c>
      <c r="T723" s="1267">
        <f>IFERROR(Model!T723/Model!P723-1,"NA")</f>
        <v>-0.85714285714285721</v>
      </c>
      <c r="U723" s="1267">
        <f>IFERROR(Model!U723/Model!Q723-1,"NA")</f>
        <v>-1</v>
      </c>
      <c r="V723" s="1267">
        <f>IFERROR(Model!V723/Model!R723-1,"NA")</f>
        <v>-1.2142857142857142</v>
      </c>
      <c r="W723" s="1267">
        <f>IFERROR(Model!W723/Model!S723-1,"NA")</f>
        <v>-1.5</v>
      </c>
      <c r="X723" s="1267">
        <f>IFERROR(Model!X723/Model!T723-1,"NA")</f>
        <v>-13</v>
      </c>
      <c r="Y723" s="1267" t="str">
        <f>IFERROR(Model!Y723/Model!U723-1,"NA")</f>
        <v>NA</v>
      </c>
      <c r="Z723" s="1267">
        <f>IFERROR(Model!Z723/Model!V723-1,"NA")</f>
        <v>6.666666666666667</v>
      </c>
      <c r="AA723" s="1267">
        <f>IFERROR(Model!AA723/Model!W723-1,"NA")</f>
        <v>-3</v>
      </c>
      <c r="AB723" s="1267">
        <f>IFERROR(Model!AB723/Model!X723-1,"NA")</f>
        <v>-1.75</v>
      </c>
      <c r="AC723" s="407" t="str">
        <f>IFERROR(Model!AC723/Model!Y723-1,"NA")</f>
        <v>NA</v>
      </c>
      <c r="AD723" s="407" t="str">
        <f>IFERROR(Model!AD723/Model!Z723-1,"NA")</f>
        <v>NA</v>
      </c>
      <c r="AE723" s="407" t="str">
        <f>IFERROR(Model!AE723/Model!AA723-1,"NA")</f>
        <v>NA</v>
      </c>
      <c r="AF723" s="407" t="str">
        <f>IFERROR(Model!AF723/Model!AB723-1,"NA")</f>
        <v>NA</v>
      </c>
      <c r="AG723" s="407" t="str">
        <f>IFERROR(Model!AG723/Model!AC723-1,"NA")</f>
        <v>NA</v>
      </c>
      <c r="AH723" s="407" t="str">
        <f>IFERROR(Model!AH723/Model!AD723-1,"NA")</f>
        <v>NA</v>
      </c>
      <c r="AI723" s="407" t="str">
        <f>IFERROR(Model!AI723/Model!AE723-1,"NA")</f>
        <v>NA</v>
      </c>
      <c r="AJ723" s="407"/>
      <c r="AK723" s="407"/>
      <c r="AL723" s="407"/>
      <c r="AM723" s="407"/>
      <c r="AN723" s="407"/>
      <c r="AO723" s="407"/>
      <c r="AP723" s="407"/>
      <c r="AQ723" s="407"/>
      <c r="AR723" s="1236"/>
      <c r="AS723" s="1277"/>
      <c r="AT723" s="1318"/>
      <c r="AU723" s="1236"/>
      <c r="AV723" s="1236">
        <f>IFERROR(Model!AV723/Model!AU723-1,"NA")</f>
        <v>-1.8148148148148149</v>
      </c>
      <c r="AW723" s="1236">
        <f>IFERROR(Model!AW723/Model!AV723-1,"NA")</f>
        <v>-0.13636363636363635</v>
      </c>
      <c r="AX723" s="1236">
        <f>IFERROR(Model!AX723/Model!AW723-1,"NA")</f>
        <v>0.57894736842105265</v>
      </c>
      <c r="AY723" s="1236">
        <f>IFERROR(Model!AY723/Model!AX723-1,"NA")</f>
        <v>-1.1000000000000001</v>
      </c>
      <c r="AZ723" s="407" t="str">
        <f>IFERROR(Model!AZ723/Model!AY723-1,"NA")</f>
        <v>NA</v>
      </c>
      <c r="BA723" s="407" t="str">
        <f>IFERROR(Model!BA723/Model!AZ723-1,"NA")</f>
        <v>NA</v>
      </c>
      <c r="BB723" s="407" t="str">
        <f>IFERROR(Model!BB723/Model!BA723-1,"NA")</f>
        <v>NA</v>
      </c>
      <c r="BC723" s="407" t="str">
        <f>IFERROR(Model!BC723/Model!BB723-1,"NA")</f>
        <v>NA</v>
      </c>
      <c r="BD723" s="407" t="str">
        <f>IFERROR(Model!BD723/Model!BC723-1,"NA")</f>
        <v>NA</v>
      </c>
      <c r="BE723" s="407" t="str">
        <f>IFERROR(Model!BE723/Model!BD723-1,"NA")</f>
        <v>NA</v>
      </c>
    </row>
    <row r="724" spans="1:74" x14ac:dyDescent="0.2">
      <c r="D724" s="407"/>
      <c r="E724" s="407"/>
      <c r="F724" s="407"/>
      <c r="G724" s="407"/>
      <c r="H724" s="407"/>
      <c r="I724" s="407"/>
      <c r="J724" s="407"/>
      <c r="K724" s="407"/>
      <c r="L724" s="407"/>
      <c r="M724" s="407"/>
      <c r="N724" s="407"/>
      <c r="O724" s="407"/>
      <c r="P724" s="407"/>
      <c r="Q724" s="407"/>
      <c r="R724" s="407"/>
      <c r="S724" s="407"/>
      <c r="T724" s="407"/>
      <c r="U724" s="407"/>
      <c r="V724" s="407"/>
      <c r="W724" s="407"/>
      <c r="X724" s="407"/>
      <c r="Y724" s="407"/>
      <c r="Z724" s="407"/>
      <c r="AA724" s="407"/>
      <c r="AB724" s="407"/>
      <c r="AC724" s="407"/>
      <c r="AD724" s="407"/>
      <c r="AE724" s="407"/>
      <c r="AF724" s="407"/>
      <c r="AG724" s="407"/>
      <c r="AH724" s="407"/>
      <c r="AI724" s="407"/>
      <c r="AJ724" s="407"/>
      <c r="AK724" s="407"/>
      <c r="AL724" s="407"/>
      <c r="AM724" s="407"/>
      <c r="AN724" s="407"/>
      <c r="AO724" s="407"/>
      <c r="AP724" s="407"/>
      <c r="AQ724" s="407"/>
      <c r="AR724" s="1236"/>
      <c r="AS724" s="1382"/>
      <c r="AT724" s="407"/>
      <c r="AU724" s="1236"/>
      <c r="AV724" s="1236"/>
      <c r="AW724" s="1236"/>
      <c r="AX724" s="1236"/>
      <c r="AY724" s="1236"/>
      <c r="AZ724" s="1236"/>
      <c r="BA724" s="1236"/>
      <c r="BB724" s="1236"/>
      <c r="BC724" s="1236"/>
      <c r="BD724" s="1236"/>
      <c r="BE724" s="1236"/>
    </row>
    <row r="725" spans="1:74" s="160" customFormat="1" x14ac:dyDescent="0.2">
      <c r="A725" s="829"/>
      <c r="B725" s="364" t="s">
        <v>258</v>
      </c>
      <c r="C725" s="382"/>
      <c r="D725" s="1447"/>
      <c r="E725" s="1447"/>
      <c r="F725" s="1447"/>
      <c r="G725" s="1447"/>
      <c r="H725" s="1447">
        <f>IFERROR(Model!H725/Model!D725-1,"NA")</f>
        <v>-0.41973333333333329</v>
      </c>
      <c r="I725" s="1447">
        <f>IFERROR(Model!I725/Model!E725-1,"NA")</f>
        <v>-0.39770425388251185</v>
      </c>
      <c r="J725" s="1447">
        <f>IFERROR(Model!J725/Model!F725-1,"NA")</f>
        <v>-0.5974554707379135</v>
      </c>
      <c r="K725" s="1447">
        <f>IFERROR(Model!K725/Model!G725-1,"NA")</f>
        <v>-0.21334503950834061</v>
      </c>
      <c r="L725" s="1447">
        <f>IFERROR(Model!L725/Model!H725-1,"NA")</f>
        <v>-0.390625</v>
      </c>
      <c r="M725" s="1447">
        <f>IFERROR(Model!M725/Model!I725-1,"NA")</f>
        <v>-0.40695067264573992</v>
      </c>
      <c r="N725" s="1447">
        <f>IFERROR(Model!N725/Model!J725-1,"NA")</f>
        <v>-0.38685208596713017</v>
      </c>
      <c r="O725" s="1447">
        <f>IFERROR(Model!O725/Model!K725-1,"NA")</f>
        <v>-0.4363839285714286</v>
      </c>
      <c r="P725" s="1447">
        <f>IFERROR(Model!P725/Model!L725-1,"NA")</f>
        <v>-0.29411764705882348</v>
      </c>
      <c r="Q725" s="1447">
        <f>IFERROR(Model!Q725/Model!M725-1,"NA")</f>
        <v>-0.36862003780718333</v>
      </c>
      <c r="R725" s="1447">
        <f>IFERROR(Model!R725/Model!N725-1,"NA")</f>
        <v>-0.43711340206185567</v>
      </c>
      <c r="S725" s="1447">
        <f>IFERROR(Model!S725/Model!O725-1,"NA")</f>
        <v>-0.48316831683168315</v>
      </c>
      <c r="T725" s="1447">
        <f>IFERROR(Model!T725/Model!P725-1,"NA")</f>
        <v>-0.69658119658119655</v>
      </c>
      <c r="U725" s="1447">
        <f>IFERROR(Model!U725/Model!Q725-1,"NA")</f>
        <v>-0.69760479041916168</v>
      </c>
      <c r="V725" s="1447">
        <f>IFERROR(Model!V725/Model!R725-1,"NA")</f>
        <v>-0.52014652014652007</v>
      </c>
      <c r="W725" s="1447">
        <f>IFERROR(Model!W725/Model!S725-1,"NA")</f>
        <v>-0.76628352490421459</v>
      </c>
      <c r="X725" s="1447">
        <f>IFERROR(Model!X725/Model!T725-1,"NA")</f>
        <v>-0.42957746478873238</v>
      </c>
      <c r="Y725" s="1447">
        <f>IFERROR(Model!Y725/Model!U725-1,"NA")</f>
        <v>-0.76237623762376239</v>
      </c>
      <c r="Z725" s="1447">
        <f>IFERROR(Model!Z725/Model!V725-1,"NA")</f>
        <v>-0.77862595419847325</v>
      </c>
      <c r="AA725" s="1447">
        <f>IFERROR(Model!AA725/Model!W725-1,"NA")</f>
        <v>-0.75409836065573765</v>
      </c>
      <c r="AB725" s="1447">
        <f>IFERROR(Model!AB725/Model!X725-1,"NA")</f>
        <v>-0.67901234567901236</v>
      </c>
      <c r="AC725" s="1345">
        <f>IFERROR(Model!AC725/Model!Y725-1,"NA")</f>
        <v>1.1918949771689498</v>
      </c>
      <c r="AD725" s="1345">
        <f>IFERROR(Model!AD725/Model!Z725-1,"NA")</f>
        <v>0.73557109116674546</v>
      </c>
      <c r="AE725" s="1345">
        <f>IFERROR(Model!AE725/Model!AA725-1,"NA")</f>
        <v>2.1760962557077628</v>
      </c>
      <c r="AF725" s="1345">
        <f>IFERROR(Model!AF725/Model!AB725-1,"NA")</f>
        <v>0.67675031085352999</v>
      </c>
      <c r="AG725" s="1345">
        <f>IFERROR(Model!AG725/Model!AC725-1,"NA")</f>
        <v>-0.21591928436018959</v>
      </c>
      <c r="AH725" s="1345">
        <f>IFERROR(Model!AH725/Model!AD725-1,"NA")</f>
        <v>-0.21733112226656981</v>
      </c>
      <c r="AI725" s="1345">
        <f>IFERROR(Model!AI725/Model!AE725-1,"NA")</f>
        <v>-0.21847340725132258</v>
      </c>
      <c r="AJ725" s="1345"/>
      <c r="AK725" s="1345"/>
      <c r="AL725" s="1345"/>
      <c r="AM725" s="1345"/>
      <c r="AN725" s="1345"/>
      <c r="AO725" s="1345"/>
      <c r="AP725" s="1345"/>
      <c r="AQ725" s="1345"/>
      <c r="AR725" s="1236"/>
      <c r="AS725" s="1277"/>
      <c r="AT725" s="1308"/>
      <c r="AU725" s="1396"/>
      <c r="AV725" s="1396">
        <f>IFERROR(Model!AV725/Model!AU725-1,"NA")</f>
        <v>-0.43235294117647061</v>
      </c>
      <c r="AW725" s="1396">
        <f>IFERROR(Model!AW725/Model!AV725-1,"NA")</f>
        <v>-0.40496318516498497</v>
      </c>
      <c r="AX725" s="1396">
        <f>IFERROR(Model!AX725/Model!AW725-1,"NA")</f>
        <v>-0.38771769019248392</v>
      </c>
      <c r="AY725" s="1396">
        <f>IFERROR(Model!AY725/Model!AX725-1,"NA")</f>
        <v>-0.67440119760479034</v>
      </c>
      <c r="AZ725" s="1345">
        <f>IFERROR(Model!AZ725/Model!AY725-1,"NA")</f>
        <v>-0.65747126436781611</v>
      </c>
      <c r="BA725" s="1345">
        <f>IFERROR(Model!BA725/Model!AZ725-1,"NA")</f>
        <v>0.18509050289601925</v>
      </c>
      <c r="BB725" s="1345">
        <f>IFERROR(Model!BB725/Model!BA725-1,"NA")</f>
        <v>-8.5571199339517734E-2</v>
      </c>
      <c r="BC725" s="1345">
        <f>IFERROR(Model!BC725/Model!BB725-1,"NA")</f>
        <v>-0.21039171539309287</v>
      </c>
      <c r="BD725" s="1345">
        <f>IFERROR(Model!BD725/Model!BC725-1,"NA")</f>
        <v>-0.20825077733078323</v>
      </c>
      <c r="BE725" s="1345">
        <f>IFERROR(Model!BE725/Model!BD725-1,"NA")</f>
        <v>-0.20625256868807629</v>
      </c>
      <c r="BF725" s="390"/>
      <c r="BG725" s="390"/>
      <c r="BH725" s="390"/>
      <c r="BI725" s="390"/>
      <c r="BJ725" s="390"/>
      <c r="BK725" s="390"/>
      <c r="BL725" s="390"/>
      <c r="BM725" s="390"/>
      <c r="BN725" s="390"/>
      <c r="BO725" s="390"/>
      <c r="BP725" s="390"/>
      <c r="BQ725" s="390"/>
      <c r="BR725" s="390"/>
      <c r="BS725" s="390"/>
      <c r="BT725" s="390"/>
      <c r="BU725" s="390"/>
      <c r="BV725" s="390"/>
    </row>
    <row r="726" spans="1:74" x14ac:dyDescent="0.2">
      <c r="B726" s="382"/>
      <c r="C726" s="382"/>
      <c r="D726" s="1277"/>
      <c r="E726" s="1277"/>
      <c r="F726" s="1277"/>
      <c r="G726" s="1277"/>
      <c r="H726" s="1308"/>
      <c r="I726" s="1308"/>
      <c r="J726" s="1308"/>
      <c r="K726" s="1308"/>
      <c r="L726" s="1308"/>
      <c r="M726" s="1308"/>
      <c r="N726" s="1308"/>
      <c r="O726" s="1308"/>
      <c r="P726" s="1308"/>
      <c r="Q726" s="1308"/>
      <c r="R726" s="1308"/>
      <c r="S726" s="1308"/>
      <c r="T726" s="1308"/>
      <c r="U726" s="1308"/>
      <c r="V726" s="1308"/>
      <c r="W726" s="1308"/>
      <c r="X726" s="1308"/>
      <c r="Y726" s="1308"/>
      <c r="Z726" s="1308"/>
      <c r="AA726" s="1308"/>
      <c r="AB726" s="1308"/>
      <c r="AC726" s="407"/>
      <c r="AD726" s="407"/>
      <c r="AE726" s="407"/>
      <c r="AF726" s="407"/>
      <c r="AG726" s="407"/>
      <c r="AH726" s="407"/>
      <c r="AI726" s="407"/>
      <c r="AJ726" s="407"/>
      <c r="AK726" s="407"/>
      <c r="AL726" s="407"/>
      <c r="AM726" s="407"/>
      <c r="AN726" s="407"/>
      <c r="AO726" s="407"/>
      <c r="AP726" s="407"/>
      <c r="AQ726" s="407"/>
      <c r="AR726" s="1236"/>
      <c r="AS726" s="1308"/>
      <c r="AT726" s="1308"/>
      <c r="AU726" s="1236"/>
      <c r="AV726" s="1236"/>
      <c r="AW726" s="1236"/>
      <c r="AX726" s="1236"/>
      <c r="AY726" s="1236"/>
      <c r="AZ726" s="1236"/>
      <c r="BA726" s="1236"/>
      <c r="BB726" s="1236"/>
      <c r="BC726" s="1236"/>
      <c r="BD726" s="1236"/>
      <c r="BE726" s="1236"/>
    </row>
    <row r="727" spans="1:74" s="160" customFormat="1" x14ac:dyDescent="0.2">
      <c r="A727" s="829"/>
      <c r="B727" s="574" t="s">
        <v>213</v>
      </c>
      <c r="C727" s="574"/>
      <c r="D727" s="1310"/>
      <c r="E727" s="1310"/>
      <c r="F727" s="1310"/>
      <c r="G727" s="1310"/>
      <c r="H727" s="1310"/>
      <c r="I727" s="1310"/>
      <c r="J727" s="1310"/>
      <c r="K727" s="1310"/>
      <c r="L727" s="1310"/>
      <c r="M727" s="1310"/>
      <c r="N727" s="1310"/>
      <c r="O727" s="1310"/>
      <c r="P727" s="1310"/>
      <c r="Q727" s="1310"/>
      <c r="R727" s="1310"/>
      <c r="S727" s="1310"/>
      <c r="T727" s="1310"/>
      <c r="U727" s="1310"/>
      <c r="V727" s="1310"/>
      <c r="W727" s="1310"/>
      <c r="X727" s="1310"/>
      <c r="Y727" s="1310"/>
      <c r="Z727" s="1310"/>
      <c r="AA727" s="1310"/>
      <c r="AB727" s="1310"/>
      <c r="AC727" s="1451"/>
      <c r="AD727" s="1451"/>
      <c r="AE727" s="1451"/>
      <c r="AF727" s="1451"/>
      <c r="AG727" s="1451"/>
      <c r="AH727" s="1451"/>
      <c r="AI727" s="1451"/>
      <c r="AJ727" s="1451"/>
      <c r="AK727" s="1451"/>
      <c r="AL727" s="1451"/>
      <c r="AM727" s="1451"/>
      <c r="AN727" s="1451"/>
      <c r="AO727" s="1451"/>
      <c r="AP727" s="1451"/>
      <c r="AQ727" s="1451"/>
      <c r="AR727" s="1236"/>
      <c r="AS727" s="1310"/>
      <c r="AT727" s="1310"/>
      <c r="AU727" s="1312"/>
      <c r="AV727" s="1312"/>
      <c r="AW727" s="1312"/>
      <c r="AX727" s="1312"/>
      <c r="AY727" s="1312"/>
      <c r="AZ727" s="1312"/>
      <c r="BA727" s="1312"/>
      <c r="BB727" s="1312"/>
      <c r="BC727" s="1312"/>
      <c r="BD727" s="1312"/>
      <c r="BE727" s="1312"/>
      <c r="BF727" s="390"/>
      <c r="BG727" s="390"/>
      <c r="BH727" s="390"/>
      <c r="BI727" s="390"/>
      <c r="BJ727" s="390"/>
      <c r="BK727" s="390"/>
      <c r="BL727" s="390"/>
      <c r="BM727" s="390"/>
      <c r="BN727" s="390"/>
      <c r="BO727" s="390"/>
      <c r="BP727" s="390"/>
      <c r="BQ727" s="390"/>
      <c r="BR727" s="390"/>
      <c r="BS727" s="390"/>
      <c r="BT727" s="390"/>
      <c r="BU727" s="390"/>
      <c r="BV727" s="390"/>
    </row>
    <row r="728" spans="1:74" s="160" customFormat="1" x14ac:dyDescent="0.2">
      <c r="A728" s="829"/>
      <c r="B728" s="325" t="s">
        <v>297</v>
      </c>
      <c r="C728" s="1217"/>
      <c r="D728" s="1345"/>
      <c r="E728" s="1345"/>
      <c r="F728" s="1345"/>
      <c r="G728" s="1345"/>
      <c r="H728" s="1345"/>
      <c r="I728" s="1345"/>
      <c r="J728" s="1345"/>
      <c r="K728" s="1345"/>
      <c r="L728" s="1345"/>
      <c r="M728" s="1345"/>
      <c r="N728" s="1345"/>
      <c r="O728" s="1345"/>
      <c r="P728" s="1345"/>
      <c r="Q728" s="1345"/>
      <c r="R728" s="1345"/>
      <c r="S728" s="1345"/>
      <c r="T728" s="1345"/>
      <c r="U728" s="1345"/>
      <c r="V728" s="1345"/>
      <c r="W728" s="1345"/>
      <c r="X728" s="1345"/>
      <c r="Y728" s="1345"/>
      <c r="Z728" s="1345"/>
      <c r="AA728" s="1345"/>
      <c r="AB728" s="1345"/>
      <c r="AC728" s="1345"/>
      <c r="AD728" s="1345"/>
      <c r="AE728" s="1345"/>
      <c r="AF728" s="1345"/>
      <c r="AG728" s="1345"/>
      <c r="AH728" s="1345"/>
      <c r="AI728" s="1345"/>
      <c r="AJ728" s="1345"/>
      <c r="AK728" s="1345"/>
      <c r="AL728" s="1345"/>
      <c r="AM728" s="1345"/>
      <c r="AN728" s="1345"/>
      <c r="AO728" s="1345"/>
      <c r="AP728" s="1345"/>
      <c r="AQ728" s="1345"/>
      <c r="AR728" s="1236"/>
      <c r="AS728" s="1239"/>
      <c r="AT728" s="407"/>
      <c r="AU728" s="1396"/>
      <c r="AV728" s="1396"/>
      <c r="AW728" s="1396"/>
      <c r="AX728" s="1396"/>
      <c r="AY728" s="1396"/>
      <c r="AZ728" s="1396"/>
      <c r="BA728" s="1396"/>
      <c r="BB728" s="1396"/>
      <c r="BC728" s="1396"/>
      <c r="BD728" s="1396"/>
      <c r="BE728" s="1396"/>
    </row>
    <row r="729" spans="1:74" s="160" customFormat="1" x14ac:dyDescent="0.2">
      <c r="A729" s="829"/>
      <c r="B729" s="10"/>
      <c r="C729" s="382" t="s">
        <v>103</v>
      </c>
      <c r="D729" s="1274"/>
      <c r="E729" s="1274"/>
      <c r="F729" s="1274"/>
      <c r="G729" s="1274"/>
      <c r="H729" s="1274"/>
      <c r="I729" s="1274"/>
      <c r="J729" s="1274"/>
      <c r="K729" s="1274"/>
      <c r="L729" s="1274"/>
      <c r="M729" s="1274"/>
      <c r="N729" s="1274"/>
      <c r="O729" s="1274"/>
      <c r="P729" s="1274"/>
      <c r="Q729" s="1274"/>
      <c r="R729" s="1274"/>
      <c r="S729" s="1274"/>
      <c r="T729" s="1274"/>
      <c r="U729" s="1274"/>
      <c r="V729" s="1274"/>
      <c r="W729" s="1274"/>
      <c r="X729" s="1274"/>
      <c r="Y729" s="1274"/>
      <c r="Z729" s="407"/>
      <c r="AA729" s="407"/>
      <c r="AB729" s="407"/>
      <c r="AC729" s="407"/>
      <c r="AD729" s="407"/>
      <c r="AE729" s="407"/>
      <c r="AF729" s="407"/>
      <c r="AG729" s="407"/>
      <c r="AH729" s="407"/>
      <c r="AI729" s="407"/>
      <c r="AJ729" s="407"/>
      <c r="AK729" s="407"/>
      <c r="AL729" s="407"/>
      <c r="AM729" s="407"/>
      <c r="AN729" s="407"/>
      <c r="AO729" s="407"/>
      <c r="AP729" s="407"/>
      <c r="AQ729" s="407"/>
      <c r="AR729" s="1236"/>
      <c r="AS729" s="1382"/>
      <c r="AT729" s="1308"/>
      <c r="AU729" s="1274"/>
      <c r="AV729" s="1274"/>
      <c r="AW729" s="1274"/>
      <c r="AX729" s="1274"/>
      <c r="AY729" s="1274"/>
      <c r="AZ729" s="407"/>
      <c r="BA729" s="407"/>
      <c r="BB729" s="407"/>
      <c r="BC729" s="407"/>
      <c r="BD729" s="407"/>
      <c r="BE729" s="407"/>
    </row>
    <row r="730" spans="1:74" s="160" customFormat="1" x14ac:dyDescent="0.2">
      <c r="A730" s="829"/>
      <c r="B730" s="10"/>
      <c r="C730" s="580" t="s">
        <v>104</v>
      </c>
      <c r="D730" s="1470"/>
      <c r="E730" s="1470"/>
      <c r="F730" s="1470"/>
      <c r="G730" s="1470"/>
      <c r="H730" s="1470"/>
      <c r="I730" s="1470"/>
      <c r="J730" s="1470"/>
      <c r="K730" s="1470"/>
      <c r="L730" s="1470"/>
      <c r="M730" s="1470"/>
      <c r="N730" s="1470"/>
      <c r="O730" s="1470"/>
      <c r="P730" s="1470"/>
      <c r="Q730" s="1470"/>
      <c r="R730" s="1470"/>
      <c r="S730" s="1470"/>
      <c r="T730" s="1470"/>
      <c r="U730" s="1470"/>
      <c r="V730" s="1470"/>
      <c r="W730" s="1470"/>
      <c r="X730" s="1470"/>
      <c r="Y730" s="1470"/>
      <c r="Z730" s="1307"/>
      <c r="AA730" s="1307"/>
      <c r="AB730" s="1307"/>
      <c r="AC730" s="1307"/>
      <c r="AD730" s="1307"/>
      <c r="AE730" s="1307"/>
      <c r="AF730" s="1307"/>
      <c r="AG730" s="1307"/>
      <c r="AH730" s="1307"/>
      <c r="AI730" s="1307"/>
      <c r="AJ730" s="1318"/>
      <c r="AK730" s="1318"/>
      <c r="AL730" s="1318"/>
      <c r="AM730" s="1318"/>
      <c r="AN730" s="1318"/>
      <c r="AO730" s="1318"/>
      <c r="AP730" s="1318"/>
      <c r="AQ730" s="1318"/>
      <c r="AR730" s="1236"/>
      <c r="AS730" s="1382"/>
      <c r="AT730" s="1298"/>
      <c r="AU730" s="1470"/>
      <c r="AV730" s="1470"/>
      <c r="AW730" s="1470"/>
      <c r="AX730" s="1470"/>
      <c r="AY730" s="1470"/>
      <c r="AZ730" s="1307"/>
      <c r="BA730" s="1307"/>
      <c r="BB730" s="1307"/>
      <c r="BC730" s="1307"/>
      <c r="BD730" s="1307"/>
      <c r="BE730" s="1307"/>
    </row>
    <row r="731" spans="1:74" s="160" customFormat="1" x14ac:dyDescent="0.2">
      <c r="A731" s="829"/>
      <c r="B731" s="563" t="s">
        <v>298</v>
      </c>
      <c r="C731" s="1217"/>
      <c r="D731" s="1274"/>
      <c r="E731" s="1274"/>
      <c r="F731" s="1274"/>
      <c r="G731" s="1274"/>
      <c r="H731" s="1274"/>
      <c r="I731" s="1274"/>
      <c r="J731" s="1274"/>
      <c r="K731" s="1274"/>
      <c r="L731" s="1274"/>
      <c r="M731" s="1274"/>
      <c r="N731" s="1274"/>
      <c r="O731" s="1274"/>
      <c r="P731" s="1274"/>
      <c r="Q731" s="1274"/>
      <c r="R731" s="1274"/>
      <c r="S731" s="1274"/>
      <c r="T731" s="1274"/>
      <c r="U731" s="1274"/>
      <c r="V731" s="1274"/>
      <c r="W731" s="1274"/>
      <c r="X731" s="1274"/>
      <c r="Y731" s="1274"/>
      <c r="Z731" s="407"/>
      <c r="AA731" s="407"/>
      <c r="AB731" s="407"/>
      <c r="AC731" s="407"/>
      <c r="AD731" s="407"/>
      <c r="AE731" s="407"/>
      <c r="AF731" s="407"/>
      <c r="AG731" s="407"/>
      <c r="AH731" s="407"/>
      <c r="AI731" s="407"/>
      <c r="AJ731" s="407"/>
      <c r="AK731" s="407"/>
      <c r="AL731" s="407"/>
      <c r="AM731" s="407"/>
      <c r="AN731" s="407"/>
      <c r="AO731" s="407"/>
      <c r="AP731" s="407"/>
      <c r="AQ731" s="407"/>
      <c r="AR731" s="1236"/>
      <c r="AS731" s="1464"/>
      <c r="AT731" s="407"/>
      <c r="AU731" s="1274"/>
      <c r="AV731" s="1274"/>
      <c r="AW731" s="1274"/>
      <c r="AX731" s="1274"/>
      <c r="AY731" s="1274"/>
      <c r="AZ731" s="407"/>
      <c r="BA731" s="407"/>
      <c r="BB731" s="407"/>
      <c r="BC731" s="407"/>
      <c r="BD731" s="407"/>
      <c r="BE731" s="407"/>
    </row>
    <row r="732" spans="1:74" s="160" customFormat="1" x14ac:dyDescent="0.2">
      <c r="A732" s="835"/>
      <c r="B732" s="159"/>
      <c r="C732" s="28" t="s">
        <v>16</v>
      </c>
      <c r="D732" s="1470"/>
      <c r="E732" s="1470"/>
      <c r="F732" s="1470"/>
      <c r="G732" s="1470"/>
      <c r="H732" s="1470"/>
      <c r="I732" s="1470"/>
      <c r="J732" s="1470"/>
      <c r="K732" s="1470"/>
      <c r="L732" s="1470"/>
      <c r="M732" s="1470"/>
      <c r="N732" s="1470"/>
      <c r="O732" s="1470"/>
      <c r="P732" s="1470"/>
      <c r="Q732" s="1470"/>
      <c r="R732" s="1470"/>
      <c r="S732" s="1470"/>
      <c r="T732" s="1470"/>
      <c r="U732" s="1470"/>
      <c r="V732" s="1470"/>
      <c r="W732" s="1470"/>
      <c r="X732" s="1470"/>
      <c r="Y732" s="1470"/>
      <c r="Z732" s="1307"/>
      <c r="AA732" s="1307"/>
      <c r="AB732" s="1307"/>
      <c r="AC732" s="1307"/>
      <c r="AD732" s="1307"/>
      <c r="AE732" s="1307"/>
      <c r="AF732" s="1307"/>
      <c r="AG732" s="1307"/>
      <c r="AH732" s="1307"/>
      <c r="AI732" s="1307"/>
      <c r="AJ732" s="1318"/>
      <c r="AK732" s="1318"/>
      <c r="AL732" s="1318"/>
      <c r="AM732" s="1318"/>
      <c r="AN732" s="1318"/>
      <c r="AO732" s="1318"/>
      <c r="AP732" s="1318"/>
      <c r="AQ732" s="1318"/>
      <c r="AR732" s="1236"/>
      <c r="AS732" s="1474"/>
      <c r="AT732" s="1246"/>
      <c r="AU732" s="1470"/>
      <c r="AV732" s="1470"/>
      <c r="AW732" s="1470"/>
      <c r="AX732" s="1470"/>
      <c r="AY732" s="1470"/>
      <c r="AZ732" s="1307"/>
      <c r="BA732" s="1307"/>
      <c r="BB732" s="1307"/>
      <c r="BC732" s="1307"/>
      <c r="BD732" s="1307"/>
      <c r="BE732" s="1307"/>
    </row>
    <row r="733" spans="1:74" s="160" customFormat="1" x14ac:dyDescent="0.2">
      <c r="A733" s="829"/>
      <c r="B733" s="319" t="s">
        <v>513</v>
      </c>
      <c r="C733" s="1217"/>
      <c r="D733" s="1274"/>
      <c r="E733" s="1274"/>
      <c r="F733" s="1274"/>
      <c r="G733" s="1274"/>
      <c r="H733" s="1274"/>
      <c r="I733" s="1274"/>
      <c r="J733" s="1274"/>
      <c r="K733" s="1274"/>
      <c r="L733" s="1274"/>
      <c r="M733" s="1274"/>
      <c r="N733" s="1274"/>
      <c r="O733" s="1274"/>
      <c r="P733" s="1274"/>
      <c r="Q733" s="1274"/>
      <c r="R733" s="1274"/>
      <c r="S733" s="1274"/>
      <c r="T733" s="1274"/>
      <c r="U733" s="1274"/>
      <c r="V733" s="1274"/>
      <c r="W733" s="1274"/>
      <c r="X733" s="1274"/>
      <c r="Y733" s="1274"/>
      <c r="Z733" s="407"/>
      <c r="AA733" s="407"/>
      <c r="AB733" s="407"/>
      <c r="AC733" s="407"/>
      <c r="AD733" s="407"/>
      <c r="AE733" s="407"/>
      <c r="AF733" s="407"/>
      <c r="AG733" s="407"/>
      <c r="AH733" s="407"/>
      <c r="AI733" s="407"/>
      <c r="AJ733" s="407"/>
      <c r="AK733" s="407"/>
      <c r="AL733" s="407"/>
      <c r="AM733" s="407"/>
      <c r="AN733" s="407"/>
      <c r="AO733" s="407"/>
      <c r="AP733" s="407"/>
      <c r="AQ733" s="407"/>
      <c r="AR733" s="1236"/>
      <c r="AS733" s="1248"/>
      <c r="AT733" s="407"/>
      <c r="AU733" s="1274"/>
      <c r="AV733" s="1274"/>
      <c r="AW733" s="1274"/>
      <c r="AX733" s="1274"/>
      <c r="AY733" s="1274"/>
      <c r="AZ733" s="407"/>
      <c r="BA733" s="407"/>
      <c r="BB733" s="407"/>
      <c r="BC733" s="407"/>
      <c r="BD733" s="407"/>
      <c r="BE733" s="407"/>
    </row>
    <row r="734" spans="1:74" s="160" customFormat="1" x14ac:dyDescent="0.2">
      <c r="A734" s="829"/>
      <c r="B734" s="382"/>
      <c r="C734" s="1217"/>
      <c r="D734" s="1277"/>
      <c r="E734" s="1277"/>
      <c r="F734" s="1277"/>
      <c r="G734" s="1277"/>
      <c r="H734" s="1277"/>
      <c r="I734" s="1277"/>
      <c r="J734" s="1277"/>
      <c r="K734" s="1277"/>
      <c r="L734" s="1277"/>
      <c r="M734" s="1277"/>
      <c r="N734" s="1277"/>
      <c r="O734" s="1277"/>
      <c r="P734" s="1277"/>
      <c r="Q734" s="1277"/>
      <c r="R734" s="1277"/>
      <c r="S734" s="1277"/>
      <c r="T734" s="1277"/>
      <c r="U734" s="1277"/>
      <c r="V734" s="1277"/>
      <c r="W734" s="1277"/>
      <c r="X734" s="1277"/>
      <c r="Y734" s="1277"/>
      <c r="Z734" s="407"/>
      <c r="AA734" s="407"/>
      <c r="AB734" s="407"/>
      <c r="AC734" s="407"/>
      <c r="AD734" s="407"/>
      <c r="AE734" s="407"/>
      <c r="AF734" s="407"/>
      <c r="AG734" s="407"/>
      <c r="AH734" s="407"/>
      <c r="AI734" s="407"/>
      <c r="AJ734" s="407"/>
      <c r="AK734" s="407"/>
      <c r="AL734" s="407"/>
      <c r="AM734" s="407"/>
      <c r="AN734" s="407"/>
      <c r="AO734" s="407"/>
      <c r="AP734" s="407"/>
      <c r="AQ734" s="407"/>
      <c r="AR734" s="1236"/>
      <c r="AS734" s="1308"/>
      <c r="AT734" s="407"/>
      <c r="AU734" s="1396"/>
      <c r="AV734" s="1396"/>
      <c r="AW734" s="1396"/>
      <c r="AX734" s="1396"/>
      <c r="AY734" s="1396"/>
      <c r="AZ734" s="407"/>
      <c r="BA734" s="407"/>
      <c r="BB734" s="407"/>
      <c r="BC734" s="407"/>
      <c r="BD734" s="407"/>
      <c r="BE734" s="407"/>
    </row>
    <row r="735" spans="1:74" s="160" customFormat="1" x14ac:dyDescent="0.2">
      <c r="A735" s="829"/>
      <c r="B735" s="325" t="s">
        <v>301</v>
      </c>
      <c r="C735" s="1217"/>
      <c r="D735" s="1274"/>
      <c r="E735" s="1274"/>
      <c r="F735" s="1274"/>
      <c r="G735" s="1274"/>
      <c r="H735" s="1274"/>
      <c r="I735" s="1274"/>
      <c r="J735" s="1274"/>
      <c r="K735" s="1274"/>
      <c r="L735" s="1274"/>
      <c r="M735" s="1274"/>
      <c r="N735" s="1274"/>
      <c r="O735" s="1274"/>
      <c r="P735" s="1274"/>
      <c r="Q735" s="1274"/>
      <c r="R735" s="1274"/>
      <c r="S735" s="1274"/>
      <c r="T735" s="1274"/>
      <c r="U735" s="1274"/>
      <c r="V735" s="1274"/>
      <c r="W735" s="1274"/>
      <c r="X735" s="1274"/>
      <c r="Y735" s="1274"/>
      <c r="Z735" s="407"/>
      <c r="AA735" s="407"/>
      <c r="AB735" s="407"/>
      <c r="AC735" s="407"/>
      <c r="AD735" s="407"/>
      <c r="AE735" s="407"/>
      <c r="AF735" s="407"/>
      <c r="AG735" s="407"/>
      <c r="AH735" s="407"/>
      <c r="AI735" s="407"/>
      <c r="AJ735" s="407"/>
      <c r="AK735" s="407"/>
      <c r="AL735" s="407"/>
      <c r="AM735" s="407"/>
      <c r="AN735" s="407"/>
      <c r="AO735" s="407"/>
      <c r="AP735" s="407"/>
      <c r="AQ735" s="407"/>
      <c r="AR735" s="1236"/>
      <c r="AS735" s="1239"/>
      <c r="AT735" s="407"/>
      <c r="AU735" s="1274"/>
      <c r="AV735" s="1274"/>
      <c r="AW735" s="1274"/>
      <c r="AX735" s="1274"/>
      <c r="AY735" s="1274"/>
      <c r="AZ735" s="407"/>
      <c r="BA735" s="407"/>
      <c r="BB735" s="407"/>
      <c r="BC735" s="407"/>
      <c r="BD735" s="407"/>
      <c r="BE735" s="407"/>
    </row>
    <row r="736" spans="1:74" s="160" customFormat="1" x14ac:dyDescent="0.2">
      <c r="A736" s="829"/>
      <c r="B736" s="10"/>
      <c r="C736" s="1217"/>
      <c r="D736" s="1277"/>
      <c r="E736" s="1277"/>
      <c r="F736" s="1277"/>
      <c r="G736" s="1277"/>
      <c r="H736" s="1277"/>
      <c r="I736" s="1277"/>
      <c r="J736" s="1277"/>
      <c r="K736" s="1277"/>
      <c r="L736" s="1277"/>
      <c r="M736" s="1277"/>
      <c r="N736" s="1277"/>
      <c r="O736" s="1277"/>
      <c r="P736" s="1277"/>
      <c r="Q736" s="1277"/>
      <c r="R736" s="1277"/>
      <c r="S736" s="1277"/>
      <c r="T736" s="1277"/>
      <c r="U736" s="1277"/>
      <c r="V736" s="1277"/>
      <c r="W736" s="1277"/>
      <c r="X736" s="1277"/>
      <c r="Y736" s="1277"/>
      <c r="Z736" s="1345"/>
      <c r="AA736" s="1345"/>
      <c r="AB736" s="1345"/>
      <c r="AC736" s="1345"/>
      <c r="AD736" s="1345"/>
      <c r="AE736" s="1345"/>
      <c r="AF736" s="1345"/>
      <c r="AG736" s="1345"/>
      <c r="AH736" s="1345"/>
      <c r="AI736" s="1345"/>
      <c r="AJ736" s="1345"/>
      <c r="AK736" s="1345"/>
      <c r="AL736" s="1345"/>
      <c r="AM736" s="1345"/>
      <c r="AN736" s="1345"/>
      <c r="AO736" s="1345"/>
      <c r="AP736" s="1345"/>
      <c r="AQ736" s="1345"/>
      <c r="AR736" s="1236"/>
      <c r="AS736" s="1382"/>
      <c r="AT736" s="407"/>
      <c r="AU736" s="1396"/>
      <c r="AV736" s="1396"/>
      <c r="AW736" s="1396"/>
      <c r="AX736" s="1396"/>
      <c r="AY736" s="1396"/>
      <c r="AZ736" s="1396"/>
      <c r="BA736" s="1396"/>
      <c r="BB736" s="1396"/>
      <c r="BC736" s="1396"/>
      <c r="BD736" s="1396"/>
      <c r="BE736" s="1396"/>
    </row>
    <row r="737" spans="1:74" s="160" customFormat="1" x14ac:dyDescent="0.2">
      <c r="A737" s="829"/>
      <c r="B737" s="364" t="s">
        <v>258</v>
      </c>
      <c r="C737" s="382"/>
      <c r="D737" s="1274"/>
      <c r="E737" s="1274"/>
      <c r="F737" s="1274"/>
      <c r="G737" s="1274"/>
      <c r="H737" s="1274"/>
      <c r="I737" s="1274"/>
      <c r="J737" s="1274"/>
      <c r="K737" s="1274"/>
      <c r="L737" s="1274"/>
      <c r="M737" s="1274"/>
      <c r="N737" s="1274"/>
      <c r="O737" s="1274"/>
      <c r="P737" s="1274"/>
      <c r="Q737" s="1274"/>
      <c r="R737" s="1274"/>
      <c r="S737" s="1274"/>
      <c r="T737" s="1274"/>
      <c r="U737" s="1274"/>
      <c r="V737" s="1274"/>
      <c r="W737" s="1274"/>
      <c r="X737" s="1274"/>
      <c r="Y737" s="1274"/>
      <c r="Z737" s="1412"/>
      <c r="AA737" s="1412"/>
      <c r="AB737" s="1412"/>
      <c r="AC737" s="1412"/>
      <c r="AD737" s="1412"/>
      <c r="AE737" s="1412"/>
      <c r="AF737" s="1412"/>
      <c r="AG737" s="1412"/>
      <c r="AH737" s="1412"/>
      <c r="AI737" s="1412"/>
      <c r="AJ737" s="1412"/>
      <c r="AK737" s="1412"/>
      <c r="AL737" s="1412"/>
      <c r="AM737" s="1412"/>
      <c r="AN737" s="1412"/>
      <c r="AO737" s="1412"/>
      <c r="AP737" s="1412"/>
      <c r="AQ737" s="1412"/>
      <c r="AR737" s="1236"/>
      <c r="AS737" s="1277"/>
      <c r="AT737" s="1308"/>
      <c r="AU737" s="1274"/>
      <c r="AV737" s="1274"/>
      <c r="AW737" s="1274"/>
      <c r="AX737" s="1274"/>
      <c r="AY737" s="1274"/>
      <c r="AZ737" s="1274"/>
      <c r="BA737" s="1274"/>
      <c r="BB737" s="1274"/>
      <c r="BC737" s="1274"/>
      <c r="BD737" s="1274"/>
      <c r="BE737" s="1274"/>
    </row>
    <row r="738" spans="1:74" x14ac:dyDescent="0.2">
      <c r="B738" s="382"/>
      <c r="C738" s="382"/>
      <c r="D738" s="1277"/>
      <c r="E738" s="1277"/>
      <c r="F738" s="1277"/>
      <c r="G738" s="1277"/>
      <c r="H738" s="1308"/>
      <c r="I738" s="1308"/>
      <c r="J738" s="1308"/>
      <c r="K738" s="1308"/>
      <c r="L738" s="1308"/>
      <c r="M738" s="1308"/>
      <c r="N738" s="1308"/>
      <c r="O738" s="1308"/>
      <c r="P738" s="1308"/>
      <c r="Q738" s="1308"/>
      <c r="R738" s="1308"/>
      <c r="S738" s="1308"/>
      <c r="T738" s="1308"/>
      <c r="U738" s="1308"/>
      <c r="V738" s="1308"/>
      <c r="W738" s="1308"/>
      <c r="X738" s="1308"/>
      <c r="Y738" s="1308"/>
      <c r="Z738" s="407"/>
      <c r="AA738" s="407"/>
      <c r="AB738" s="407"/>
      <c r="AC738" s="407"/>
      <c r="AD738" s="407"/>
      <c r="AE738" s="407"/>
      <c r="AF738" s="407"/>
      <c r="AG738" s="407"/>
      <c r="AH738" s="407"/>
      <c r="AI738" s="407"/>
      <c r="AJ738" s="407"/>
      <c r="AK738" s="407"/>
      <c r="AL738" s="407"/>
      <c r="AM738" s="407"/>
      <c r="AN738" s="407"/>
      <c r="AO738" s="407"/>
      <c r="AP738" s="407"/>
      <c r="AQ738" s="407"/>
      <c r="AR738" s="1236"/>
      <c r="AS738" s="1308"/>
      <c r="AT738" s="1308"/>
      <c r="AU738" s="1236"/>
      <c r="AV738" s="1236"/>
      <c r="AW738" s="1236"/>
      <c r="AX738" s="1236"/>
      <c r="AY738" s="1236"/>
      <c r="AZ738" s="1236"/>
      <c r="BA738" s="1236"/>
      <c r="BB738" s="1236"/>
      <c r="BC738" s="1236"/>
      <c r="BD738" s="1236"/>
      <c r="BE738" s="1236"/>
    </row>
    <row r="739" spans="1:74" x14ac:dyDescent="0.2">
      <c r="B739" s="608" t="s">
        <v>308</v>
      </c>
      <c r="C739" s="609"/>
      <c r="D739" s="1426"/>
      <c r="E739" s="1426"/>
      <c r="F739" s="1426"/>
      <c r="G739" s="1426"/>
      <c r="H739" s="1426"/>
      <c r="I739" s="1426"/>
      <c r="J739" s="1426"/>
      <c r="K739" s="1426"/>
      <c r="L739" s="1426"/>
      <c r="M739" s="1426"/>
      <c r="N739" s="1426"/>
      <c r="O739" s="1426"/>
      <c r="P739" s="1426"/>
      <c r="Q739" s="1426"/>
      <c r="R739" s="1426"/>
      <c r="S739" s="1426"/>
      <c r="T739" s="1426"/>
      <c r="U739" s="1426"/>
      <c r="V739" s="1426"/>
      <c r="W739" s="1426"/>
      <c r="X739" s="1426"/>
      <c r="Y739" s="1426"/>
      <c r="Z739" s="1398"/>
      <c r="AA739" s="1398"/>
      <c r="AB739" s="1398"/>
      <c r="AC739" s="1398"/>
      <c r="AD739" s="1398"/>
      <c r="AE739" s="1398"/>
      <c r="AF739" s="1398"/>
      <c r="AG739" s="1398"/>
      <c r="AH739" s="1398"/>
      <c r="AI739" s="1398"/>
      <c r="AJ739" s="1398"/>
      <c r="AK739" s="1398"/>
      <c r="AL739" s="1398"/>
      <c r="AM739" s="1398"/>
      <c r="AN739" s="1398"/>
      <c r="AO739" s="1398"/>
      <c r="AP739" s="1398"/>
      <c r="AQ739" s="1398"/>
      <c r="AR739" s="1236"/>
      <c r="AS739" s="1475"/>
      <c r="AT739" s="1476"/>
      <c r="AU739" s="1312"/>
      <c r="AV739" s="1312"/>
      <c r="AW739" s="1312"/>
      <c r="AX739" s="1312"/>
      <c r="AY739" s="1312"/>
      <c r="AZ739" s="1312"/>
      <c r="BA739" s="1312"/>
      <c r="BB739" s="1312"/>
      <c r="BC739" s="1312"/>
      <c r="BD739" s="1312"/>
      <c r="BE739" s="1312"/>
      <c r="BF739" s="390"/>
      <c r="BG739" s="390"/>
      <c r="BH739" s="390"/>
      <c r="BI739" s="390"/>
      <c r="BJ739" s="390"/>
      <c r="BK739" s="390"/>
      <c r="BL739" s="390"/>
      <c r="BM739" s="390"/>
      <c r="BN739" s="390"/>
      <c r="BO739" s="390"/>
      <c r="BP739" s="390"/>
      <c r="BQ739" s="390"/>
      <c r="BR739" s="390"/>
      <c r="BS739" s="390"/>
      <c r="BT739" s="390"/>
      <c r="BU739" s="390"/>
      <c r="BV739" s="390"/>
    </row>
    <row r="740" spans="1:74" x14ac:dyDescent="0.2">
      <c r="B740" s="322" t="s">
        <v>305</v>
      </c>
      <c r="C740" s="611"/>
      <c r="D740" s="1303"/>
      <c r="E740" s="1303"/>
      <c r="F740" s="1303"/>
      <c r="G740" s="1303"/>
      <c r="H740" s="1303">
        <f>IFERROR(Model!H740/Model!D740-1,"NA")</f>
        <v>-0.29347229840921552</v>
      </c>
      <c r="I740" s="1303">
        <f>IFERROR(Model!I740/Model!E740-1,"NA")</f>
        <v>-0.30700712589073631</v>
      </c>
      <c r="J740" s="1303">
        <f>IFERROR(Model!J740/Model!F740-1,"NA")</f>
        <v>-0.31399097356544159</v>
      </c>
      <c r="K740" s="1303">
        <f>IFERROR(Model!K740/Model!G740-1,"NA")</f>
        <v>-0.29951014695591327</v>
      </c>
      <c r="L740" s="1303">
        <f>IFERROR(Model!L740/Model!H740-1,"NA")</f>
        <v>-0.31366459627329191</v>
      </c>
      <c r="M740" s="1303">
        <f>IFERROR(Model!M740/Model!I740-1,"NA")</f>
        <v>-0.40102827763496141</v>
      </c>
      <c r="N740" s="1303">
        <f>IFERROR(Model!N740/Model!J740-1,"NA")</f>
        <v>-0.47368421052631582</v>
      </c>
      <c r="O740" s="1303">
        <f>IFERROR(Model!O740/Model!K740-1,"NA")</f>
        <v>-0.52647352647352652</v>
      </c>
      <c r="P740" s="1303">
        <f>IFERROR(Model!P740/Model!L740-1,"NA")</f>
        <v>-0.50904977375565608</v>
      </c>
      <c r="Q740" s="1303">
        <f>IFERROR(Model!Q740/Model!M740-1,"NA")</f>
        <v>-0.43919885550786841</v>
      </c>
      <c r="R740" s="1303">
        <f>IFERROR(Model!R740/Model!N740-1,"NA")</f>
        <v>-0.35</v>
      </c>
      <c r="S740" s="1303">
        <f>IFERROR(Model!S740/Model!O740-1,"NA")</f>
        <v>-0.28270042194092826</v>
      </c>
      <c r="T740" s="1303">
        <f>IFERROR(Model!T740/Model!P740-1,"NA")</f>
        <v>-0.32488479262672809</v>
      </c>
      <c r="U740" s="1303">
        <f>IFERROR(Model!U740/Model!Q740-1,"NA")</f>
        <v>-0.27295918367346939</v>
      </c>
      <c r="V740" s="1303">
        <f>IFERROR(Model!V740/Model!R740-1,"NA")</f>
        <v>-0.48901098901098894</v>
      </c>
      <c r="W740" s="1303">
        <f>IFERROR(Model!W740/Model!S740-1,"NA")</f>
        <v>-0.47058823529411764</v>
      </c>
      <c r="X740" s="1303">
        <f>IFERROR(Model!X740/Model!T740-1,"NA")</f>
        <v>-0.4573378839590444</v>
      </c>
      <c r="Y740" s="1303">
        <f>IFERROR(Model!Y740/Model!U740-1,"NA")</f>
        <v>-0.47719298245614039</v>
      </c>
      <c r="Z740" s="1303">
        <f>IFERROR(Model!Z740/Model!V740-1,"NA")</f>
        <v>-0.32258064516129037</v>
      </c>
      <c r="AA740" s="1303">
        <f>IFERROR(Model!AA740/Model!W740-1,"NA")</f>
        <v>-0.32777777777777783</v>
      </c>
      <c r="AB740" s="1303">
        <f>IFERROR(Model!AB740/Model!X740-1,"NA")</f>
        <v>-0.27044025157232709</v>
      </c>
      <c r="AC740" s="1318" t="str">
        <f>IFERROR(Model!AC740/Model!Y740-1,"NA")</f>
        <v>NA</v>
      </c>
      <c r="AD740" s="1318" t="str">
        <f>IFERROR(Model!AD740/Model!Z740-1,"NA")</f>
        <v>NA</v>
      </c>
      <c r="AE740" s="1318" t="str">
        <f>IFERROR(Model!AE740/Model!AA740-1,"NA")</f>
        <v>NA</v>
      </c>
      <c r="AF740" s="1318" t="str">
        <f>IFERROR(Model!AF740/Model!AB740-1,"NA")</f>
        <v>NA</v>
      </c>
      <c r="AG740" s="1318" t="str">
        <f>IFERROR(Model!AG740/Model!AC740-1,"NA")</f>
        <v>NA</v>
      </c>
      <c r="AH740" s="1318" t="str">
        <f>IFERROR(Model!AH740/Model!AD740-1,"NA")</f>
        <v>NA</v>
      </c>
      <c r="AI740" s="1318" t="str">
        <f>IFERROR(Model!AI740/Model!AE740-1,"NA")</f>
        <v>NA</v>
      </c>
      <c r="AJ740" s="1318"/>
      <c r="AK740" s="1318"/>
      <c r="AL740" s="1318"/>
      <c r="AM740" s="1318"/>
      <c r="AN740" s="1318"/>
      <c r="AO740" s="1318"/>
      <c r="AP740" s="1318"/>
      <c r="AQ740" s="1318"/>
      <c r="AR740" s="1236"/>
      <c r="AS740" s="1248"/>
      <c r="AT740" s="1477"/>
      <c r="AU740" s="1236"/>
      <c r="AV740" s="1236">
        <f>IFERROR(Model!AV740/Model!AU740-1,"NA")</f>
        <v>-0.29951014695591327</v>
      </c>
      <c r="AW740" s="1236">
        <f>IFERROR(Model!AW740/Model!AV740-1,"NA")</f>
        <v>-0.52647352647352652</v>
      </c>
      <c r="AX740" s="1236">
        <f>IFERROR(Model!AX740/Model!AW740-1,"NA")</f>
        <v>-0.28270042194092826</v>
      </c>
      <c r="AY740" s="1236">
        <f>IFERROR(Model!AY740/Model!AX740-1,"NA")</f>
        <v>-0.47058823529411764</v>
      </c>
      <c r="AZ740" s="1236">
        <f>IFERROR(Model!AZ740/Model!AY740-1,"NA")</f>
        <v>-0.32777777777777783</v>
      </c>
      <c r="BA740" s="1236">
        <f>IFERROR(Model!BA740/Model!AZ740-1,"NA")</f>
        <v>-4.132231404958675E-2</v>
      </c>
      <c r="BB740" s="1236" t="str">
        <f>IFERROR(Model!BB740/Model!BA740-1,"NA")</f>
        <v>NA</v>
      </c>
      <c r="BC740" s="1236" t="str">
        <f>IFERROR(Model!BC740/Model!BB740-1,"NA")</f>
        <v>NA</v>
      </c>
      <c r="BD740" s="1236" t="str">
        <f>IFERROR(Model!BD740/Model!BC740-1,"NA")</f>
        <v>NA</v>
      </c>
      <c r="BE740" s="1236" t="str">
        <f>IFERROR(Model!BE740/Model!BD740-1,"NA")</f>
        <v>NA</v>
      </c>
    </row>
    <row r="741" spans="1:74" x14ac:dyDescent="0.2">
      <c r="B741" s="322" t="s">
        <v>307</v>
      </c>
      <c r="C741" s="611"/>
      <c r="D741" s="1303"/>
      <c r="E741" s="1304"/>
      <c r="F741" s="1304"/>
      <c r="G741" s="1304"/>
      <c r="H741" s="1304" t="str">
        <f>IFERROR(Model!H741/Model!D741-1,"NA")</f>
        <v>NA</v>
      </c>
      <c r="I741" s="1304">
        <f>IFERROR(Model!I741/Model!E741-1,"NA")</f>
        <v>-0.29997148560022824</v>
      </c>
      <c r="J741" s="1304">
        <f>IFERROR(Model!J741/Model!F741-1,"NA")</f>
        <v>-0.31035548686244196</v>
      </c>
      <c r="K741" s="1304">
        <f>IFERROR(Model!K741/Model!G741-1,"NA")</f>
        <v>-0.30704697986577179</v>
      </c>
      <c r="L741" s="1304">
        <f>IFERROR(Model!L741/Model!H741-1,"NA")</f>
        <v>-0.30622009569378006</v>
      </c>
      <c r="M741" s="1304">
        <f>IFERROR(Model!M741/Model!I741-1,"NA")</f>
        <v>-0.35519348268839102</v>
      </c>
      <c r="N741" s="1304">
        <f>IFERROR(Model!N741/Model!J741-1,"NA")</f>
        <v>-0.43567906768265352</v>
      </c>
      <c r="O741" s="1304">
        <f>IFERROR(Model!O741/Model!K741-1,"NA")</f>
        <v>-0.49927360774818397</v>
      </c>
      <c r="P741" s="1304">
        <f>IFERROR(Model!P741/Model!L741-1,"NA")</f>
        <v>-0.51830238726790445</v>
      </c>
      <c r="Q741" s="1304">
        <f>IFERROR(Model!Q741/Model!M741-1,"NA")</f>
        <v>-0.47820593809223</v>
      </c>
      <c r="R741" s="1304">
        <f>IFERROR(Model!R741/Model!N741-1,"NA")</f>
        <v>-0.39952343129467838</v>
      </c>
      <c r="S741" s="1304">
        <f>IFERROR(Model!S741/Model!O741-1,"NA")</f>
        <v>-0.31914893617021278</v>
      </c>
      <c r="T741" s="1304">
        <f>IFERROR(Model!T741/Model!P741-1,"NA")</f>
        <v>-0.30286343612334798</v>
      </c>
      <c r="U741" s="1304">
        <f>IFERROR(Model!U741/Model!Q741-1,"NA")</f>
        <v>-0.30024213075060535</v>
      </c>
      <c r="V741" s="1304">
        <f>IFERROR(Model!V741/Model!R741-1,"NA")</f>
        <v>-0.37698412698412687</v>
      </c>
      <c r="W741" s="1304">
        <f>IFERROR(Model!W741/Model!S741-1,"NA")</f>
        <v>-0.48011363636363635</v>
      </c>
      <c r="X741" s="1304">
        <f>IFERROR(Model!X741/Model!T741-1,"NA")</f>
        <v>-0.46445497630331756</v>
      </c>
      <c r="Y741" s="1304">
        <f>IFERROR(Model!Y741/Model!U741-1,"NA")</f>
        <v>-0.46712802768166084</v>
      </c>
      <c r="Z741" s="1304">
        <f>IFERROR(Model!Z741/Model!V741-1,"NA")</f>
        <v>-0.41613588110403399</v>
      </c>
      <c r="AA741" s="1304">
        <f>IFERROR(Model!AA741/Model!W741-1,"NA")</f>
        <v>-0.32513661202185795</v>
      </c>
      <c r="AB741" s="1304">
        <f>IFERROR(Model!AB741/Model!X741-1,"NA")</f>
        <v>-0.30088495575221241</v>
      </c>
      <c r="AC741" s="1318" t="str">
        <f>IFERROR(Model!AC741/Model!Y741-1,"NA")</f>
        <v>NA</v>
      </c>
      <c r="AD741" s="1318" t="str">
        <f>IFERROR(Model!AD741/Model!Z741-1,"NA")</f>
        <v>NA</v>
      </c>
      <c r="AE741" s="1318" t="str">
        <f>IFERROR(Model!AE741/Model!AA741-1,"NA")</f>
        <v>NA</v>
      </c>
      <c r="AF741" s="1318" t="str">
        <f>IFERROR(Model!AF741/Model!AB741-1,"NA")</f>
        <v>NA</v>
      </c>
      <c r="AG741" s="1318" t="str">
        <f>IFERROR(Model!AG741/Model!AC741-1,"NA")</f>
        <v>NA</v>
      </c>
      <c r="AH741" s="1318" t="str">
        <f>IFERROR(Model!AH741/Model!AD741-1,"NA")</f>
        <v>NA</v>
      </c>
      <c r="AI741" s="1318" t="str">
        <f>IFERROR(Model!AI741/Model!AE741-1,"NA")</f>
        <v>NA</v>
      </c>
      <c r="AJ741" s="1318"/>
      <c r="AK741" s="1318"/>
      <c r="AL741" s="1318"/>
      <c r="AM741" s="1318"/>
      <c r="AN741" s="1318"/>
      <c r="AO741" s="1318"/>
      <c r="AP741" s="1318"/>
      <c r="AQ741" s="1318"/>
      <c r="AR741" s="1236"/>
      <c r="AS741" s="1248"/>
      <c r="AT741" s="1477"/>
      <c r="AU741" s="1236"/>
      <c r="AV741" s="1236">
        <f>IFERROR(Model!AV741/Model!AU741-1,"NA")</f>
        <v>-0.26959473359391062</v>
      </c>
      <c r="AW741" s="1236">
        <f>IFERROR(Model!AW741/Model!AV741-1,"NA")</f>
        <v>-0.39152936206168143</v>
      </c>
      <c r="AX741" s="1236">
        <f>IFERROR(Model!AX741/Model!AW741-1,"NA")</f>
        <v>-0.44558236417288666</v>
      </c>
      <c r="AY741" s="1236">
        <f>IFERROR(Model!AY741/Model!AX741-1,"NA")</f>
        <v>-0.35879774577332502</v>
      </c>
      <c r="AZ741" s="1236">
        <f>IFERROR(Model!AZ741/Model!AY741-1,"NA")</f>
        <v>-0.517578125</v>
      </c>
      <c r="BA741" s="1236">
        <f>IFERROR(Model!BA741/Model!AZ741-1,"NA")</f>
        <v>-4.0485829959514219E-2</v>
      </c>
      <c r="BB741" s="1236" t="str">
        <f>IFERROR(Model!BB741/Model!BA741-1,"NA")</f>
        <v>NA</v>
      </c>
      <c r="BC741" s="1236" t="str">
        <f>IFERROR(Model!BC741/Model!BB741-1,"NA")</f>
        <v>NA</v>
      </c>
      <c r="BD741" s="1236" t="str">
        <f>IFERROR(Model!BD741/Model!BC741-1,"NA")</f>
        <v>NA</v>
      </c>
      <c r="BE741" s="1236" t="str">
        <f>IFERROR(Model!BE741/Model!BD741-1,"NA")</f>
        <v>NA</v>
      </c>
    </row>
    <row r="742" spans="1:74" s="382" customFormat="1" x14ac:dyDescent="0.2">
      <c r="A742" s="833"/>
      <c r="B742" s="322" t="s">
        <v>52</v>
      </c>
      <c r="C742" s="319"/>
      <c r="D742" s="1303"/>
      <c r="E742" s="1303"/>
      <c r="F742" s="1303"/>
      <c r="G742" s="1303"/>
      <c r="H742" s="1303">
        <f>IFERROR(Model!H742/Model!D742-1,"NA")</f>
        <v>1.9404915912031084E-2</v>
      </c>
      <c r="I742" s="1303">
        <f>IFERROR(Model!I742/Model!E742-1,"NA")</f>
        <v>-1.7946859903381642</v>
      </c>
      <c r="J742" s="1303">
        <f>IFERROR(Model!J742/Model!F742-1,"NA")</f>
        <v>-0.69126691266912665</v>
      </c>
      <c r="K742" s="1303">
        <f>IFERROR(Model!K742/Model!G742-1,"NA")</f>
        <v>-0.31056701030927825</v>
      </c>
      <c r="L742" s="1303">
        <f>IFERROR(Model!L742/Model!H742-1,"NA")</f>
        <v>-0.65482233502538079</v>
      </c>
      <c r="M742" s="1303">
        <f>IFERROR(Model!M742/Model!I742-1,"NA")</f>
        <v>-0.64944275582573452</v>
      </c>
      <c r="N742" s="1303">
        <f>IFERROR(Model!N742/Model!J742-1,"NA")</f>
        <v>2.2470119521912348</v>
      </c>
      <c r="O742" s="1303">
        <f>IFERROR(Model!O742/Model!K742-1,"NA")</f>
        <v>0.8093457943925233</v>
      </c>
      <c r="P742" s="1303">
        <f>IFERROR(Model!P742/Model!L742-1,"NA")</f>
        <v>2.5367647058823533</v>
      </c>
      <c r="Q742" s="1303">
        <f>IFERROR(Model!Q742/Model!M742-1,"NA")</f>
        <v>0.77167630057803449</v>
      </c>
      <c r="R742" s="1303">
        <f>IFERROR(Model!R742/Model!N742-1,"NA")</f>
        <v>-0.39141104294478524</v>
      </c>
      <c r="S742" s="1303">
        <f>IFERROR(Model!S742/Model!O742-1,"NA")</f>
        <v>-0.94834710743801653</v>
      </c>
      <c r="T742" s="1303">
        <f>IFERROR(Model!T742/Model!P742-1,"NA")</f>
        <v>0.23076923076923084</v>
      </c>
      <c r="U742" s="1303">
        <f>IFERROR(Model!U742/Model!Q742-1,"NA")</f>
        <v>-0.68352365415986949</v>
      </c>
      <c r="V742" s="1303">
        <f>IFERROR(Model!V742/Model!R742-1,"NA")</f>
        <v>-0.657258064516129</v>
      </c>
      <c r="W742" s="1303">
        <f>IFERROR(Model!W742/Model!S742-1,"NA")</f>
        <v>2.5799999999999996</v>
      </c>
      <c r="X742" s="1303">
        <f>IFERROR(Model!X742/Model!T742-1,"NA")</f>
        <v>-3.2415540540540539</v>
      </c>
      <c r="Y742" s="1303">
        <f>IFERROR(Model!Y742/Model!U742-1,"NA")</f>
        <v>0.52061855670103108</v>
      </c>
      <c r="Z742" s="1303">
        <f>IFERROR(Model!Z742/Model!V742-1,"NA")</f>
        <v>0.22352941176470598</v>
      </c>
      <c r="AA742" s="1303">
        <f>IFERROR(Model!AA742/Model!W742-1,"NA")</f>
        <v>0.3128491620111733</v>
      </c>
      <c r="AB742" s="1303">
        <f>IFERROR(Model!AB742/Model!X742-1,"NA")</f>
        <v>-1.032027128862095</v>
      </c>
      <c r="AC742" s="1318" t="str">
        <f>IFERROR(Model!AC742/Model!Y742-1,"NA")</f>
        <v>NA</v>
      </c>
      <c r="AD742" s="1318" t="str">
        <f>IFERROR(Model!AD742/Model!Z742-1,"NA")</f>
        <v>NA</v>
      </c>
      <c r="AE742" s="1318" t="str">
        <f>IFERROR(Model!AE742/Model!AA742-1,"NA")</f>
        <v>NA</v>
      </c>
      <c r="AF742" s="1318" t="str">
        <f>IFERROR(Model!AF742/Model!AB742-1,"NA")</f>
        <v>NA</v>
      </c>
      <c r="AG742" s="1318" t="str">
        <f>IFERROR(Model!AG742/Model!AC742-1,"NA")</f>
        <v>NA</v>
      </c>
      <c r="AH742" s="1318" t="str">
        <f>IFERROR(Model!AH742/Model!AD742-1,"NA")</f>
        <v>NA</v>
      </c>
      <c r="AI742" s="1318" t="str">
        <f>IFERROR(Model!AI742/Model!AE742-1,"NA")</f>
        <v>NA</v>
      </c>
      <c r="AJ742" s="1318"/>
      <c r="AK742" s="1318"/>
      <c r="AL742" s="1318"/>
      <c r="AM742" s="1318"/>
      <c r="AN742" s="1318"/>
      <c r="AO742" s="1318"/>
      <c r="AP742" s="1318"/>
      <c r="AQ742" s="1318"/>
      <c r="AR742" s="1236"/>
      <c r="AS742" s="1248"/>
      <c r="AT742" s="1248"/>
      <c r="AU742" s="1236"/>
      <c r="AV742" s="1236">
        <f>IFERROR(Model!AV742/Model!AU742-1,"NA")</f>
        <v>1.2866071428571435</v>
      </c>
      <c r="AW742" s="1236">
        <f>IFERROR(Model!AW742/Model!AV742-1,"NA")</f>
        <v>-6.2475595470519285E-2</v>
      </c>
      <c r="AX742" s="1236">
        <f>IFERROR(Model!AX742/Model!AW742-1,"NA")</f>
        <v>-0.11661807580174943</v>
      </c>
      <c r="AY742" s="1236">
        <f>IFERROR(Model!AY742/Model!AX742-1,"NA")</f>
        <v>-0.18576143328618566</v>
      </c>
      <c r="AZ742" s="1236">
        <f>IFERROR(Model!AZ742/Model!AY742-1,"NA")</f>
        <v>-0.86392588303416329</v>
      </c>
      <c r="BA742" s="1236">
        <f>IFERROR(Model!BA742/Model!AZ742-1,"NA")</f>
        <v>-0.63829787234042556</v>
      </c>
      <c r="BB742" s="1236" t="str">
        <f>IFERROR(Model!BB742/Model!BA742-1,"NA")</f>
        <v>NA</v>
      </c>
      <c r="BC742" s="1236" t="str">
        <f>IFERROR(Model!BC742/Model!BB742-1,"NA")</f>
        <v>NA</v>
      </c>
      <c r="BD742" s="1236" t="str">
        <f>IFERROR(Model!BD742/Model!BC742-1,"NA")</f>
        <v>NA</v>
      </c>
      <c r="BE742" s="1236" t="str">
        <f>IFERROR(Model!BE742/Model!BD742-1,"NA")</f>
        <v>NA</v>
      </c>
    </row>
    <row r="743" spans="1:74" s="54" customFormat="1" x14ac:dyDescent="0.2">
      <c r="A743" s="836"/>
      <c r="B743" s="46"/>
      <c r="C743" s="61" t="s">
        <v>306</v>
      </c>
      <c r="D743" s="1319"/>
      <c r="E743" s="1320"/>
      <c r="F743" s="1320"/>
      <c r="G743" s="1320"/>
      <c r="H743" s="1320"/>
      <c r="I743" s="1320"/>
      <c r="J743" s="1320"/>
      <c r="K743" s="1320"/>
      <c r="L743" s="1320"/>
      <c r="M743" s="1320"/>
      <c r="N743" s="1320"/>
      <c r="O743" s="1320"/>
      <c r="P743" s="1320"/>
      <c r="Q743" s="1320"/>
      <c r="R743" s="1320"/>
      <c r="S743" s="1320"/>
      <c r="T743" s="1320"/>
      <c r="U743" s="1320"/>
      <c r="V743" s="1320"/>
      <c r="W743" s="1320"/>
      <c r="X743" s="1320"/>
      <c r="Y743" s="1320"/>
      <c r="Z743" s="1320"/>
      <c r="AA743" s="1320"/>
      <c r="AB743" s="1320"/>
      <c r="AC743" s="1318"/>
      <c r="AD743" s="1318"/>
      <c r="AE743" s="1318"/>
      <c r="AF743" s="1318"/>
      <c r="AG743" s="1318"/>
      <c r="AH743" s="1318"/>
      <c r="AI743" s="1318"/>
      <c r="AJ743" s="1318"/>
      <c r="AK743" s="1318"/>
      <c r="AL743" s="1318"/>
      <c r="AM743" s="1318"/>
      <c r="AN743" s="1318"/>
      <c r="AO743" s="1318"/>
      <c r="AP743" s="1318"/>
      <c r="AQ743" s="1318"/>
      <c r="AR743" s="1236"/>
      <c r="AS743" s="1248"/>
      <c r="AT743" s="1248"/>
      <c r="AU743" s="1320"/>
      <c r="AV743" s="1320"/>
      <c r="AW743" s="1320"/>
      <c r="AX743" s="1320"/>
      <c r="AY743" s="1320"/>
      <c r="AZ743" s="1318"/>
      <c r="BA743" s="1318"/>
      <c r="BB743" s="1318"/>
      <c r="BC743" s="1318"/>
      <c r="BD743" s="1318"/>
      <c r="BE743" s="1318"/>
    </row>
    <row r="744" spans="1:74" s="54" customFormat="1" x14ac:dyDescent="0.2">
      <c r="A744" s="836"/>
      <c r="B744" s="46"/>
      <c r="C744" s="61"/>
      <c r="D744" s="1319"/>
      <c r="E744" s="1320"/>
      <c r="F744" s="1320"/>
      <c r="G744" s="1320"/>
      <c r="H744" s="1320"/>
      <c r="I744" s="1320"/>
      <c r="J744" s="1320"/>
      <c r="K744" s="1320"/>
      <c r="L744" s="1320"/>
      <c r="M744" s="1320"/>
      <c r="N744" s="1320"/>
      <c r="O744" s="1320"/>
      <c r="P744" s="1320"/>
      <c r="Q744" s="1320"/>
      <c r="R744" s="1320"/>
      <c r="S744" s="1320"/>
      <c r="T744" s="1320"/>
      <c r="U744" s="1320"/>
      <c r="V744" s="1320"/>
      <c r="W744" s="1320"/>
      <c r="X744" s="1305"/>
      <c r="Y744" s="1321"/>
      <c r="Z744" s="1321"/>
      <c r="AA744" s="1321"/>
      <c r="AB744" s="1321"/>
      <c r="AC744" s="1305"/>
      <c r="AD744" s="1305"/>
      <c r="AE744" s="1305"/>
      <c r="AF744" s="1305"/>
      <c r="AG744" s="1305"/>
      <c r="AH744" s="1305"/>
      <c r="AI744" s="1305"/>
      <c r="AJ744" s="1305"/>
      <c r="AK744" s="1305"/>
      <c r="AL744" s="1305"/>
      <c r="AM744" s="1305"/>
      <c r="AN744" s="1305"/>
      <c r="AO744" s="1305"/>
      <c r="AP744" s="1305"/>
      <c r="AQ744" s="1305"/>
      <c r="AR744" s="1236"/>
      <c r="AS744" s="1248"/>
      <c r="AT744" s="1248"/>
      <c r="AU744" s="1308"/>
      <c r="AV744" s="1308"/>
      <c r="AW744" s="1308"/>
      <c r="AX744" s="1308"/>
      <c r="AY744" s="1308"/>
      <c r="AZ744" s="1308"/>
      <c r="BA744" s="1308"/>
      <c r="BB744" s="1308"/>
      <c r="BC744" s="1308"/>
      <c r="BD744" s="1308"/>
      <c r="BE744" s="1308"/>
    </row>
    <row r="745" spans="1:74" x14ac:dyDescent="0.2">
      <c r="D745" s="407"/>
      <c r="E745" s="407"/>
      <c r="F745" s="407"/>
      <c r="G745" s="407"/>
      <c r="H745" s="407"/>
      <c r="I745" s="407"/>
      <c r="J745" s="407"/>
      <c r="K745" s="407"/>
      <c r="L745" s="407"/>
      <c r="M745" s="407"/>
      <c r="N745" s="407"/>
      <c r="O745" s="407"/>
      <c r="P745" s="407"/>
      <c r="Q745" s="407"/>
      <c r="R745" s="407"/>
      <c r="S745" s="407"/>
      <c r="T745" s="407"/>
      <c r="U745" s="407"/>
      <c r="V745" s="407"/>
      <c r="W745" s="407"/>
      <c r="X745" s="407"/>
      <c r="Y745" s="407"/>
      <c r="Z745" s="407"/>
      <c r="AA745" s="407"/>
      <c r="AB745" s="407"/>
      <c r="AC745" s="407"/>
      <c r="AD745" s="407"/>
      <c r="AE745" s="407"/>
      <c r="AF745" s="407"/>
      <c r="AG745" s="407"/>
      <c r="AH745" s="407"/>
      <c r="AI745" s="407"/>
      <c r="AJ745" s="407"/>
      <c r="AK745" s="407"/>
      <c r="AL745" s="407"/>
      <c r="AM745" s="407"/>
      <c r="AN745" s="407"/>
      <c r="AO745" s="407"/>
      <c r="AP745" s="407"/>
      <c r="AQ745" s="407"/>
      <c r="AR745" s="1236"/>
      <c r="AS745" s="1382"/>
      <c r="AT745" s="407"/>
      <c r="AU745" s="1236"/>
      <c r="AV745" s="1236"/>
      <c r="AW745" s="1236"/>
      <c r="AX745" s="1236"/>
      <c r="AY745" s="1236"/>
      <c r="AZ745" s="1236"/>
      <c r="BA745" s="1236"/>
      <c r="BB745" s="1236"/>
      <c r="BC745" s="1236"/>
      <c r="BD745" s="1236"/>
      <c r="BE745" s="1236"/>
    </row>
    <row r="746" spans="1:74" x14ac:dyDescent="0.2">
      <c r="A746" s="411" t="s">
        <v>194</v>
      </c>
      <c r="B746" s="13" t="s">
        <v>390</v>
      </c>
      <c r="C746" s="13"/>
      <c r="D746" s="1369"/>
      <c r="E746" s="1369"/>
      <c r="F746" s="1369"/>
      <c r="G746" s="1369"/>
      <c r="H746" s="1369"/>
      <c r="I746" s="1369"/>
      <c r="J746" s="1369"/>
      <c r="K746" s="1369"/>
      <c r="L746" s="1369"/>
      <c r="M746" s="1369"/>
      <c r="N746" s="1369"/>
      <c r="O746" s="1369"/>
      <c r="P746" s="1369"/>
      <c r="Q746" s="1369"/>
      <c r="R746" s="1369"/>
      <c r="S746" s="1369"/>
      <c r="T746" s="1369"/>
      <c r="U746" s="1369"/>
      <c r="V746" s="1369"/>
      <c r="W746" s="1369"/>
      <c r="X746" s="1369"/>
      <c r="Y746" s="1369"/>
      <c r="Z746" s="1369"/>
      <c r="AA746" s="1369"/>
      <c r="AB746" s="1369"/>
      <c r="AC746" s="1369"/>
      <c r="AD746" s="1369"/>
      <c r="AE746" s="1369"/>
      <c r="AF746" s="1369"/>
      <c r="AG746" s="1369"/>
      <c r="AH746" s="1369"/>
      <c r="AI746" s="1369"/>
      <c r="AJ746" s="1369"/>
      <c r="AK746" s="1369"/>
      <c r="AL746" s="1369"/>
      <c r="AM746" s="1369"/>
      <c r="AN746" s="1369"/>
      <c r="AO746" s="1369"/>
      <c r="AP746" s="1369"/>
      <c r="AQ746" s="1369"/>
      <c r="AR746" s="1236"/>
      <c r="AS746" s="1370"/>
      <c r="AT746" s="1370"/>
      <c r="AU746" s="1369"/>
      <c r="AV746" s="1369"/>
      <c r="AW746" s="1369"/>
      <c r="AX746" s="1369"/>
      <c r="AY746" s="1369"/>
      <c r="AZ746" s="1369"/>
      <c r="BA746" s="1369"/>
      <c r="BB746" s="1369"/>
      <c r="BC746" s="1369"/>
      <c r="BD746" s="1369"/>
      <c r="BE746" s="1369"/>
      <c r="BF746" s="15"/>
      <c r="BG746" s="15"/>
      <c r="BH746" s="15"/>
      <c r="BI746" s="15"/>
      <c r="BJ746" s="15"/>
      <c r="BK746" s="15"/>
      <c r="BL746" s="15"/>
    </row>
    <row r="747" spans="1:74" x14ac:dyDescent="0.2">
      <c r="D747" s="407"/>
      <c r="E747" s="407"/>
      <c r="F747" s="407"/>
      <c r="G747" s="407"/>
      <c r="H747" s="407"/>
      <c r="I747" s="407"/>
      <c r="J747" s="407"/>
      <c r="K747" s="407"/>
      <c r="L747" s="407"/>
      <c r="M747" s="407"/>
      <c r="N747" s="407"/>
      <c r="O747" s="407"/>
      <c r="P747" s="407"/>
      <c r="Q747" s="407"/>
      <c r="R747" s="407"/>
      <c r="S747" s="407"/>
      <c r="T747" s="407"/>
      <c r="U747" s="407"/>
      <c r="V747" s="407"/>
      <c r="W747" s="407"/>
      <c r="X747" s="407"/>
      <c r="Y747" s="407"/>
      <c r="Z747" s="407"/>
      <c r="AA747" s="407"/>
      <c r="AB747" s="407"/>
      <c r="AC747" s="407"/>
      <c r="AD747" s="407"/>
      <c r="AE747" s="407"/>
      <c r="AF747" s="407"/>
      <c r="AG747" s="407"/>
      <c r="AH747" s="407"/>
      <c r="AI747" s="407"/>
      <c r="AJ747" s="407"/>
      <c r="AK747" s="407"/>
      <c r="AL747" s="407"/>
      <c r="AM747" s="407"/>
      <c r="AN747" s="407"/>
      <c r="AO747" s="407"/>
      <c r="AP747" s="407"/>
      <c r="AQ747" s="407"/>
      <c r="AR747" s="1236"/>
      <c r="AS747" s="1382"/>
      <c r="AT747" s="407"/>
      <c r="AU747" s="1236"/>
      <c r="AV747" s="1236"/>
      <c r="AW747" s="1236"/>
      <c r="AX747" s="1236"/>
      <c r="AY747" s="1236"/>
      <c r="AZ747" s="1236"/>
      <c r="BA747" s="1236"/>
      <c r="BB747" s="1236"/>
      <c r="BC747" s="1236"/>
      <c r="BD747" s="1236"/>
      <c r="BE747" s="1236"/>
    </row>
    <row r="748" spans="1:74" x14ac:dyDescent="0.2">
      <c r="B748" s="302" t="s">
        <v>209</v>
      </c>
      <c r="D748" s="407"/>
      <c r="E748" s="407"/>
      <c r="F748" s="407"/>
      <c r="G748" s="407"/>
      <c r="H748" s="407"/>
      <c r="I748" s="407"/>
      <c r="J748" s="407"/>
      <c r="K748" s="407"/>
      <c r="L748" s="407"/>
      <c r="M748" s="407"/>
      <c r="N748" s="407"/>
      <c r="O748" s="407"/>
      <c r="P748" s="407"/>
      <c r="Q748" s="407"/>
      <c r="R748" s="407"/>
      <c r="S748" s="407"/>
      <c r="T748" s="407"/>
      <c r="U748" s="407"/>
      <c r="V748" s="407"/>
      <c r="W748" s="407"/>
      <c r="X748" s="407"/>
      <c r="Y748" s="407"/>
      <c r="Z748" s="407"/>
      <c r="AA748" s="407"/>
      <c r="AB748" s="407"/>
      <c r="AC748" s="407"/>
      <c r="AD748" s="407"/>
      <c r="AE748" s="407"/>
      <c r="AF748" s="407"/>
      <c r="AG748" s="407"/>
      <c r="AH748" s="407"/>
      <c r="AI748" s="407"/>
      <c r="AJ748" s="407"/>
      <c r="AK748" s="407"/>
      <c r="AL748" s="407"/>
      <c r="AM748" s="407"/>
      <c r="AN748" s="407"/>
      <c r="AO748" s="407"/>
      <c r="AP748" s="407"/>
      <c r="AQ748" s="407"/>
      <c r="AR748" s="1236"/>
      <c r="AS748" s="1478"/>
      <c r="AT748" s="407"/>
      <c r="AU748" s="1236"/>
      <c r="AV748" s="1236"/>
      <c r="AW748" s="1236"/>
      <c r="AX748" s="1236"/>
      <c r="AY748" s="1236"/>
      <c r="AZ748" s="1236"/>
      <c r="BA748" s="1236"/>
      <c r="BB748" s="1236"/>
      <c r="BC748" s="1236"/>
      <c r="BD748" s="1236"/>
      <c r="BE748" s="1236"/>
    </row>
    <row r="749" spans="1:74" x14ac:dyDescent="0.2">
      <c r="B749" s="327" t="s">
        <v>660</v>
      </c>
      <c r="D749" s="1303"/>
      <c r="E749" s="1303"/>
      <c r="F749" s="1303"/>
      <c r="G749" s="1303"/>
      <c r="H749" s="1303">
        <f>IFERROR(Model!H749/Model!D749-1,"NA")</f>
        <v>-7.7136579160402396E-2</v>
      </c>
      <c r="I749" s="1303">
        <f>IFERROR(Model!I749/Model!E749-1,"NA")</f>
        <v>-5.0701186623516747E-2</v>
      </c>
      <c r="J749" s="1303">
        <f>IFERROR(Model!J749/Model!F749-1,"NA")</f>
        <v>-7.6118778753659577E-2</v>
      </c>
      <c r="K749" s="1303">
        <f>IFERROR(Model!K749/Model!G749-1,"NA")</f>
        <v>-5.2710934201797288E-2</v>
      </c>
      <c r="L749" s="1303">
        <f>IFERROR(Model!L749/Model!H749-1,"NA")</f>
        <v>-3.8220551378446155E-2</v>
      </c>
      <c r="M749" s="1303">
        <f>IFERROR(Model!M749/Model!I749-1,"NA")</f>
        <v>-1.7613636363636331E-2</v>
      </c>
      <c r="N749" s="1303">
        <f>IFERROR(Model!N749/Model!J749-1,"NA")</f>
        <v>3.1688546853780863E-3</v>
      </c>
      <c r="O749" s="1303">
        <f>IFERROR(Model!O749/Model!K749-1,"NA")</f>
        <v>-2.8458649009995507E-2</v>
      </c>
      <c r="P749" s="1303">
        <f>IFERROR(Model!P749/Model!L749-1,"NA")</f>
        <v>-4.8859934853420217E-2</v>
      </c>
      <c r="Q749" s="1303">
        <f>IFERROR(Model!Q749/Model!M749-1,"NA")</f>
        <v>-4.4213096844675781E-2</v>
      </c>
      <c r="R749" s="1303">
        <f>IFERROR(Model!R749/Model!N749-1,"NA")</f>
        <v>-5.1444043321299593E-2</v>
      </c>
      <c r="S749" s="1303">
        <f>IFERROR(Model!S749/Model!O749-1,"NA")</f>
        <v>-5.8715596330275233E-2</v>
      </c>
      <c r="T749" s="1303">
        <f>IFERROR(Model!T749/Model!P749-1,"NA")</f>
        <v>-2.9657534246575357E-2</v>
      </c>
      <c r="U749" s="1303">
        <f>IFERROR(Model!U749/Model!Q749-1,"NA")</f>
        <v>-3.4760976265716392E-2</v>
      </c>
      <c r="V749" s="1303">
        <f>IFERROR(Model!V749/Model!R749-1,"NA")</f>
        <v>-4.1457115672148825E-3</v>
      </c>
      <c r="W749" s="1303">
        <f>IFERROR(Model!W749/Model!S749-1,"NA")</f>
        <v>5.2213868003341268E-3</v>
      </c>
      <c r="X749" s="1303">
        <f>IFERROR(Model!X749/Model!T749-1,"NA")</f>
        <v>2.4987647349474118E-2</v>
      </c>
      <c r="Y749" s="1303">
        <f>IFERROR(Model!Y749/Model!U749-1,"NA")</f>
        <v>6.5338534410699367E-2</v>
      </c>
      <c r="Z749" s="1303">
        <f>IFERROR(Model!Z749/Model!V749-1,"NA")</f>
        <v>8.6057462635637849E-2</v>
      </c>
      <c r="AA749" s="1303">
        <f>IFERROR(Model!AA749/Model!W749-1,"NA")</f>
        <v>9.7721448853798742E-2</v>
      </c>
      <c r="AB749" s="1303">
        <f>IFERROR(Model!AB749/Model!X749-1,"NA")</f>
        <v>0.12471592865505121</v>
      </c>
      <c r="AC749" s="1256" t="str">
        <f>IFERROR(Model!AC749/Model!Y749-1,"NA")</f>
        <v>NA</v>
      </c>
      <c r="AD749" s="1256" t="str">
        <f>IFERROR(Model!AD749/Model!Z749-1,"NA")</f>
        <v>NA</v>
      </c>
      <c r="AE749" s="1256" t="str">
        <f>IFERROR(Model!AE749/Model!AA749-1,"NA")</f>
        <v>NA</v>
      </c>
      <c r="AF749" s="1256" t="str">
        <f>IFERROR(Model!AF749/Model!AB749-1,"NA")</f>
        <v>NA</v>
      </c>
      <c r="AG749" s="1256" t="str">
        <f>IFERROR(Model!AG749/Model!AC749-1,"NA")</f>
        <v>NA</v>
      </c>
      <c r="AH749" s="1256" t="str">
        <f>IFERROR(Model!AH749/Model!AD749-1,"NA")</f>
        <v>NA</v>
      </c>
      <c r="AI749" s="1256" t="str">
        <f>IFERROR(Model!AI749/Model!AE749-1,"NA")</f>
        <v>NA</v>
      </c>
      <c r="AJ749" s="1256"/>
      <c r="AK749" s="1256"/>
      <c r="AL749" s="1256"/>
      <c r="AM749" s="1256"/>
      <c r="AN749" s="1256"/>
      <c r="AO749" s="1256"/>
      <c r="AP749" s="1256"/>
      <c r="AQ749" s="1256"/>
      <c r="AR749" s="1236"/>
      <c r="AS749" s="1284"/>
      <c r="AT749" s="407"/>
      <c r="AU749" s="1236"/>
      <c r="AV749" s="1236">
        <f>IFERROR(Model!AV749/Model!AU749-1,"NA")</f>
        <v>-6.4310975066123821E-2</v>
      </c>
      <c r="AW749" s="1236">
        <f>IFERROR(Model!AW749/Model!AV749-1,"NA")</f>
        <v>-2.0438303954263937E-2</v>
      </c>
      <c r="AX749" s="1236">
        <f>IFERROR(Model!AX749/Model!AW749-1,"NA")</f>
        <v>-5.0775740479548692E-2</v>
      </c>
      <c r="AY749" s="1236">
        <f>IFERROR(Model!AY749/Model!AX749-1,"NA")</f>
        <v>-1.5986063431879916E-2</v>
      </c>
      <c r="AZ749" s="1256" t="str">
        <f>IFERROR(Model!AZ749/Model!AY749-1,"NA")</f>
        <v>NA</v>
      </c>
      <c r="BA749" s="1256" t="str">
        <f>IFERROR(Model!BA749/Model!AZ749-1,"NA")</f>
        <v>NA</v>
      </c>
      <c r="BB749" s="1256" t="str">
        <f>IFERROR(Model!BB749/Model!BA749-1,"NA")</f>
        <v>NA</v>
      </c>
      <c r="BC749" s="1256" t="str">
        <f>IFERROR(Model!BC749/Model!BB749-1,"NA")</f>
        <v>NA</v>
      </c>
      <c r="BD749" s="1256" t="str">
        <f>IFERROR(Model!BD749/Model!BC749-1,"NA")</f>
        <v>NA</v>
      </c>
      <c r="BE749" s="1256" t="str">
        <f>IFERROR(Model!BE749/Model!BD749-1,"NA")</f>
        <v>NA</v>
      </c>
      <c r="BM749" s="1075"/>
      <c r="BN749" s="1075"/>
      <c r="BO749" s="1075"/>
      <c r="BP749" s="1075"/>
      <c r="BQ749" s="1075"/>
    </row>
    <row r="750" spans="1:74" x14ac:dyDescent="0.2">
      <c r="B750" s="327" t="s">
        <v>661</v>
      </c>
      <c r="D750" s="1479"/>
      <c r="E750" s="1479"/>
      <c r="F750" s="1479"/>
      <c r="G750" s="1479"/>
      <c r="H750" s="1479">
        <f>IFERROR(Model!H750/Model!D750-1,"NA")</f>
        <v>-0.22373610613122985</v>
      </c>
      <c r="I750" s="1479">
        <f>IFERROR(Model!I750/Model!E750-1,"NA")</f>
        <v>-0.22178551375631672</v>
      </c>
      <c r="J750" s="1479">
        <f>IFERROR(Model!J750/Model!F750-1,"NA")</f>
        <v>-0.21368881814564267</v>
      </c>
      <c r="K750" s="1479">
        <f>IFERROR(Model!K750/Model!G750-1,"NA")</f>
        <v>-0.19892818863879957</v>
      </c>
      <c r="L750" s="1479">
        <f>IFERROR(Model!L750/Model!H750-1,"NA")</f>
        <v>-0.17066974595842954</v>
      </c>
      <c r="M750" s="1479">
        <f>IFERROR(Model!M750/Model!I750-1,"NA")</f>
        <v>-0.13059163059163059</v>
      </c>
      <c r="N750" s="1479">
        <f>IFERROR(Model!N750/Model!J750-1,"NA")</f>
        <v>-0.15865384615384615</v>
      </c>
      <c r="O750" s="1479">
        <f>IFERROR(Model!O750/Model!K750-1,"NA")</f>
        <v>-0.15466952100615472</v>
      </c>
      <c r="P750" s="1479">
        <f>IFERROR(Model!P750/Model!L750-1,"NA")</f>
        <v>-0.15678084099136735</v>
      </c>
      <c r="Q750" s="1479">
        <f>IFERROR(Model!Q750/Model!M750-1,"NA")</f>
        <v>-0.15601659751037344</v>
      </c>
      <c r="R750" s="1479">
        <f>IFERROR(Model!R750/Model!N750-1,"NA")</f>
        <v>-0.11548872180451131</v>
      </c>
      <c r="S750" s="1479">
        <f>IFERROR(Model!S750/Model!O750-1,"NA")</f>
        <v>-8.1671415004748393E-2</v>
      </c>
      <c r="T750" s="1479">
        <f>IFERROR(Model!T750/Model!P750-1,"NA")</f>
        <v>-2.9062087186261576E-2</v>
      </c>
      <c r="U750" s="1479">
        <f>IFERROR(Model!U750/Model!Q750-1,"NA")</f>
        <v>2.2615535889872085E-2</v>
      </c>
      <c r="V750" s="1479">
        <f>IFERROR(Model!V750/Model!R750-1,"NA")</f>
        <v>7.9224753485209076E-2</v>
      </c>
      <c r="W750" s="1479">
        <f>IFERROR(Model!W750/Model!S750-1,"NA")</f>
        <v>0.12961047914512247</v>
      </c>
      <c r="X750" s="1479">
        <f>IFERROR(Model!X750/Model!T750-1,"NA")</f>
        <v>0.21292517006802725</v>
      </c>
      <c r="Y750" s="1479">
        <f>IFERROR(Model!Y750/Model!U750-1,"NA")</f>
        <v>0.29358974358974366</v>
      </c>
      <c r="Z750" s="1479">
        <f>IFERROR(Model!Z750/Model!V750-1,"NA")</f>
        <v>0.37964713295526153</v>
      </c>
      <c r="AA750" s="1479">
        <f>IFERROR(Model!AA750/Model!W750-1,"NA")</f>
        <v>0.38449801647848636</v>
      </c>
      <c r="AB750" s="1479">
        <f>IFERROR(Model!AB750/Model!X750-1,"NA")</f>
        <v>0.44699943914750428</v>
      </c>
      <c r="AC750" s="1256" t="str">
        <f>IFERROR(Model!AC750/Model!Y750-1,"NA")</f>
        <v>NA</v>
      </c>
      <c r="AD750" s="1256" t="str">
        <f>IFERROR(Model!AD750/Model!Z750-1,"NA")</f>
        <v>NA</v>
      </c>
      <c r="AE750" s="1256" t="str">
        <f>IFERROR(Model!AE750/Model!AA750-1,"NA")</f>
        <v>NA</v>
      </c>
      <c r="AF750" s="1256" t="str">
        <f>IFERROR(Model!AF750/Model!AB750-1,"NA")</f>
        <v>NA</v>
      </c>
      <c r="AG750" s="1256" t="str">
        <f>IFERROR(Model!AG750/Model!AC750-1,"NA")</f>
        <v>NA</v>
      </c>
      <c r="AH750" s="1256" t="str">
        <f>IFERROR(Model!AH750/Model!AD750-1,"NA")</f>
        <v>NA</v>
      </c>
      <c r="AI750" s="1256" t="str">
        <f>IFERROR(Model!AI750/Model!AE750-1,"NA")</f>
        <v>NA</v>
      </c>
      <c r="AJ750" s="1256"/>
      <c r="AK750" s="1256"/>
      <c r="AL750" s="1256"/>
      <c r="AM750" s="1256"/>
      <c r="AN750" s="1256"/>
      <c r="AO750" s="1256"/>
      <c r="AP750" s="1256"/>
      <c r="AQ750" s="1256"/>
      <c r="AR750" s="1236"/>
      <c r="AS750" s="1284"/>
      <c r="AT750" s="407"/>
      <c r="AU750" s="1246"/>
      <c r="AV750" s="1246">
        <f>IFERROR(Model!AV750/Model!AU750-1,"NA")</f>
        <v>-0.21516592276343882</v>
      </c>
      <c r="AW750" s="1246">
        <f>IFERROR(Model!AW750/Model!AV750-1,"NA")</f>
        <v>-0.1537367867960685</v>
      </c>
      <c r="AX750" s="1246">
        <f>IFERROR(Model!AX750/Model!AW750-1,"NA")</f>
        <v>-0.12921840759678593</v>
      </c>
      <c r="AY750" s="1246">
        <f>IFERROR(Model!AY750/Model!AX750-1,"NA")</f>
        <v>4.9492492240583941E-2</v>
      </c>
      <c r="AZ750" s="1257" t="str">
        <f>IFERROR(Model!AZ750/Model!AY750-1,"NA")</f>
        <v>NA</v>
      </c>
      <c r="BA750" s="1257" t="str">
        <f>IFERROR(Model!BA750/Model!AZ750-1,"NA")</f>
        <v>NA</v>
      </c>
      <c r="BB750" s="1257" t="str">
        <f>IFERROR(Model!BB750/Model!BA750-1,"NA")</f>
        <v>NA</v>
      </c>
      <c r="BC750" s="1257" t="str">
        <f>IFERROR(Model!BC750/Model!BB750-1,"NA")</f>
        <v>NA</v>
      </c>
      <c r="BD750" s="1257" t="str">
        <f>IFERROR(Model!BD750/Model!BC750-1,"NA")</f>
        <v>NA</v>
      </c>
      <c r="BE750" s="1257" t="str">
        <f>IFERROR(Model!BE750/Model!BD750-1,"NA")</f>
        <v>NA</v>
      </c>
      <c r="BM750" s="1075"/>
      <c r="BN750" s="1075"/>
      <c r="BO750" s="1075"/>
      <c r="BP750" s="1075"/>
      <c r="BQ750" s="1075"/>
    </row>
    <row r="751" spans="1:74" x14ac:dyDescent="0.2">
      <c r="B751" s="1217"/>
      <c r="C751" s="1217" t="s">
        <v>647</v>
      </c>
      <c r="D751" s="1480"/>
      <c r="E751" s="1480"/>
      <c r="F751" s="1480"/>
      <c r="G751" s="1480"/>
      <c r="H751" s="1480">
        <f>IFERROR(Model!H751/Model!D751-1,"NA")</f>
        <v>-7.3403892113349523E-3</v>
      </c>
      <c r="I751" s="1480">
        <f>IFERROR(Model!I751/Model!E751-1,"NA")</f>
        <v>2.9886273472626179E-2</v>
      </c>
      <c r="J751" s="1480">
        <f>IFERROR(Model!J751/Model!F751-1,"NA")</f>
        <v>-1.7077960891469512E-2</v>
      </c>
      <c r="K751" s="1480">
        <f>IFERROR(Model!K751/Model!G751-1,"NA")</f>
        <v>4.5317220543805714E-3</v>
      </c>
      <c r="L751" s="1480">
        <f>IFERROR(Model!L751/Model!H751-1,"NA")</f>
        <v>1.1092003439380882E-2</v>
      </c>
      <c r="M751" s="1480">
        <f>IFERROR(Model!M751/Model!I751-1,"NA")</f>
        <v>2.2598870056497189E-2</v>
      </c>
      <c r="N751" s="1480">
        <f>IFERROR(Model!N751/Model!J751-1,"NA")</f>
        <v>5.8726435583354997E-2</v>
      </c>
      <c r="O751" s="1480">
        <f>IFERROR(Model!O751/Model!K751-1,"NA")</f>
        <v>1.0944026733500367E-2</v>
      </c>
      <c r="P751" s="1480">
        <f>IFERROR(Model!P751/Model!L751-1,"NA")</f>
        <v>-1.5902712815715647E-2</v>
      </c>
      <c r="Q751" s="1480">
        <f>IFERROR(Model!Q751/Model!M751-1,"NA")</f>
        <v>-1.0380043529214844E-2</v>
      </c>
      <c r="R751" s="1480">
        <f>IFERROR(Model!R751/Model!N751-1,"NA")</f>
        <v>-3.3970624435874286E-2</v>
      </c>
      <c r="S751" s="1480">
        <f>IFERROR(Model!S751/Model!O751-1,"NA")</f>
        <v>-5.2722915461532072E-2</v>
      </c>
      <c r="T751" s="1480">
        <f>IFERROR(Model!T751/Model!P751-1,"NA")</f>
        <v>-2.9813342550985111E-2</v>
      </c>
      <c r="U751" s="1480">
        <f>IFERROR(Model!U751/Model!Q751-1,"NA")</f>
        <v>-4.9568600913550975E-2</v>
      </c>
      <c r="V751" s="1480">
        <f>IFERROR(Model!V751/Model!R751-1,"NA")</f>
        <v>-2.4972394461904357E-2</v>
      </c>
      <c r="W751" s="1480">
        <f>IFERROR(Model!W751/Model!S751-1,"NA")</f>
        <v>-2.6258396580301824E-2</v>
      </c>
      <c r="X751" s="1480">
        <f>IFERROR(Model!X751/Model!T751-1,"NA")</f>
        <v>-2.4227309165404831E-2</v>
      </c>
      <c r="Y751" s="1480">
        <f>IFERROR(Model!Y751/Model!U751-1,"NA")</f>
        <v>1.9579921680312751E-3</v>
      </c>
      <c r="Z751" s="1480">
        <f>IFERROR(Model!Z751/Model!V751-1,"NA")</f>
        <v>4.878473734645894E-3</v>
      </c>
      <c r="AA751" s="1480">
        <f>IFERROR(Model!AA751/Model!W751-1,"NA")</f>
        <v>1.3528041569611071E-2</v>
      </c>
      <c r="AB751" s="1480">
        <f>IFERROR(Model!AB751/Model!X751-1,"NA")</f>
        <v>1.9808306709265144E-2</v>
      </c>
      <c r="AC751" s="1480">
        <f>IFERROR(Model!AC751/Model!Y751-1,"NA")</f>
        <v>1.1742054636337595E-2</v>
      </c>
      <c r="AD751" s="1480">
        <f>IFERROR(Model!AD751/Model!Z751-1,"NA")</f>
        <v>2.0960669706135526E-2</v>
      </c>
      <c r="AE751" s="1480">
        <f>IFERROR(Model!AE751/Model!AA751-1,"NA")</f>
        <v>6.775810977780683E-2</v>
      </c>
      <c r="AF751" s="1480">
        <f>IFERROR(Model!AF751/Model!AB751-1,"NA")</f>
        <v>6.9604166738327811E-2</v>
      </c>
      <c r="AG751" s="1480">
        <f>IFERROR(Model!AG751/Model!AC751-1,"NA")</f>
        <v>7.8243853886424963E-2</v>
      </c>
      <c r="AH751" s="1480">
        <f>IFERROR(Model!AH751/Model!AD751-1,"NA")</f>
        <v>8.4107426413785102E-2</v>
      </c>
      <c r="AI751" s="1480">
        <f>IFERROR(Model!AI751/Model!AE751-1,"NA")</f>
        <v>8.6907575638478729E-2</v>
      </c>
      <c r="AJ751" s="1410"/>
      <c r="AK751" s="1410"/>
      <c r="AL751" s="1410"/>
      <c r="AM751" s="1410"/>
      <c r="AN751" s="1410"/>
      <c r="AO751" s="1410"/>
      <c r="AP751" s="1410"/>
      <c r="AQ751" s="1410"/>
      <c r="AR751" s="1236"/>
      <c r="AS751" s="407"/>
      <c r="AT751" s="407"/>
      <c r="AU751" s="1236"/>
      <c r="AV751" s="1236">
        <f>IFERROR(Model!AV751/Model!AU751-1,"NA")</f>
        <v>2.2919076382641457E-3</v>
      </c>
      <c r="AW751" s="1236">
        <f>IFERROR(Model!AW751/Model!AV751-1,"NA")</f>
        <v>2.5644861410894837E-2</v>
      </c>
      <c r="AX751" s="1236">
        <f>IFERROR(Model!AX751/Model!AW751-1,"NA")</f>
        <v>-2.8399974996353605E-2</v>
      </c>
      <c r="AY751" s="1236">
        <f>IFERROR(Model!AY751/Model!AX751-1,"NA")</f>
        <v>-3.2725713060261619E-2</v>
      </c>
      <c r="AZ751" s="1236">
        <f>IFERROR(Model!AZ751/Model!AY751-1,"NA")</f>
        <v>-9.5335225257187073E-4</v>
      </c>
      <c r="BA751" s="1236">
        <f>IFERROR(Model!BA751/Model!AZ751-1,"NA")</f>
        <v>3.0126292627160822E-2</v>
      </c>
      <c r="BB751" s="1410">
        <f>IFERROR(Model!BB751/Model!BA751-1,"NA")</f>
        <v>7.9906665703024515E-2</v>
      </c>
      <c r="BC751" s="1410">
        <f>IFERROR(Model!BC751/Model!BB751-1,"NA")</f>
        <v>6.4409827906117378E-2</v>
      </c>
      <c r="BD751" s="1410">
        <f>IFERROR(Model!BD751/Model!BC751-1,"NA")</f>
        <v>5.8621852735626367E-2</v>
      </c>
      <c r="BE751" s="1410">
        <f>IFERROR(Model!BE751/Model!BD751-1,"NA")</f>
        <v>5.2915701716824914E-2</v>
      </c>
    </row>
    <row r="752" spans="1:74" x14ac:dyDescent="0.2">
      <c r="B752" s="327"/>
      <c r="C752" s="327"/>
      <c r="D752" s="1284"/>
      <c r="E752" s="1284"/>
      <c r="F752" s="1284"/>
      <c r="G752" s="1284"/>
      <c r="H752" s="1284"/>
      <c r="I752" s="1284"/>
      <c r="J752" s="1284"/>
      <c r="K752" s="1284"/>
      <c r="L752" s="1284"/>
      <c r="M752" s="1284"/>
      <c r="N752" s="1284"/>
      <c r="O752" s="1284"/>
      <c r="P752" s="1284"/>
      <c r="Q752" s="1284"/>
      <c r="R752" s="1284"/>
      <c r="S752" s="1284"/>
      <c r="T752" s="1284"/>
      <c r="U752" s="1284"/>
      <c r="V752" s="1284"/>
      <c r="W752" s="1284"/>
      <c r="X752" s="1284"/>
      <c r="Y752" s="1284"/>
      <c r="Z752" s="1284"/>
      <c r="AA752" s="1284"/>
      <c r="AB752" s="1284"/>
      <c r="AC752" s="407"/>
      <c r="AD752" s="407"/>
      <c r="AE752" s="407"/>
      <c r="AF752" s="407"/>
      <c r="AG752" s="407"/>
      <c r="AH752" s="407"/>
      <c r="AI752" s="407"/>
      <c r="AJ752" s="407"/>
      <c r="AK752" s="407"/>
      <c r="AL752" s="407"/>
      <c r="AM752" s="407"/>
      <c r="AN752" s="407"/>
      <c r="AO752" s="407"/>
      <c r="AP752" s="407"/>
      <c r="AQ752" s="407"/>
      <c r="AR752" s="1236"/>
      <c r="AS752" s="1284"/>
      <c r="AT752" s="1284"/>
      <c r="AU752" s="1236"/>
      <c r="AV752" s="1236"/>
      <c r="AW752" s="1236"/>
      <c r="AX752" s="1236"/>
      <c r="AY752" s="1236"/>
      <c r="AZ752" s="1236"/>
      <c r="BA752" s="1236"/>
      <c r="BB752" s="1318"/>
      <c r="BC752" s="1318"/>
      <c r="BD752" s="1318"/>
      <c r="BE752" s="1318"/>
    </row>
    <row r="753" spans="1:69" x14ac:dyDescent="0.2">
      <c r="B753" s="327"/>
      <c r="C753" s="327" t="s">
        <v>622</v>
      </c>
      <c r="D753" s="1284"/>
      <c r="E753" s="1284"/>
      <c r="F753" s="1284"/>
      <c r="G753" s="1284"/>
      <c r="H753" s="1284">
        <f>IFERROR(Model!H753/Model!D753-1,"NA")</f>
        <v>-5.2238805970149294E-2</v>
      </c>
      <c r="I753" s="1284">
        <f>IFERROR(Model!I753/Model!E753-1,"NA")</f>
        <v>-0.34259259259259256</v>
      </c>
      <c r="J753" s="1284">
        <f>IFERROR(Model!J753/Model!F753-1,"NA")</f>
        <v>-0.26035502958579881</v>
      </c>
      <c r="K753" s="1284">
        <f>IFERROR(Model!K753/Model!G753-1,"NA")</f>
        <v>-4.5112781954887216E-2</v>
      </c>
      <c r="L753" s="1284">
        <f>IFERROR(Model!L753/Model!H753-1,"NA")</f>
        <v>7.8740157480314821E-3</v>
      </c>
      <c r="M753" s="1284">
        <f>IFERROR(Model!M753/Model!I753-1,"NA")</f>
        <v>-0.147887323943662</v>
      </c>
      <c r="N753" s="1284">
        <f>IFERROR(Model!N753/Model!J753-1,"NA")</f>
        <v>-8.0000000000000071E-3</v>
      </c>
      <c r="O753" s="1284">
        <f>IFERROR(Model!O753/Model!K753-1,"NA")</f>
        <v>-2.3622047244094446E-2</v>
      </c>
      <c r="P753" s="1284">
        <f>IFERROR(Model!P753/Model!L753-1,"NA")</f>
        <v>-3.90625E-2</v>
      </c>
      <c r="Q753" s="1284">
        <f>IFERROR(Model!Q753/Model!M753-1,"NA")</f>
        <v>4.9586776859504189E-2</v>
      </c>
      <c r="R753" s="1284">
        <f>IFERROR(Model!R753/Model!N753-1,"NA")</f>
        <v>-6.4516129032258118E-2</v>
      </c>
      <c r="S753" s="1284">
        <f>IFERROR(Model!S753/Model!O753-1,"NA")</f>
        <v>3.2258064516129004E-2</v>
      </c>
      <c r="T753" s="1284">
        <f>IFERROR(Model!T753/Model!P753-1,"NA")</f>
        <v>-3.2520325203251987E-2</v>
      </c>
      <c r="U753" s="1284">
        <f>IFERROR(Model!U753/Model!Q753-1,"NA")</f>
        <v>-9.4488188976378007E-2</v>
      </c>
      <c r="V753" s="1284">
        <f>IFERROR(Model!V753/Model!R753-1,"NA")</f>
        <v>-1.7241379310344862E-2</v>
      </c>
      <c r="W753" s="1284">
        <f>IFERROR(Model!W753/Model!S753-1,"NA")</f>
        <v>-0.1171875</v>
      </c>
      <c r="X753" s="1284">
        <f>IFERROR(Model!X753/Model!T753-1,"NA")</f>
        <v>3.3613445378151363E-2</v>
      </c>
      <c r="Y753" s="1284">
        <f>IFERROR(Model!Y753/Model!U753-1,"NA")</f>
        <v>6.0869565217391397E-2</v>
      </c>
      <c r="Z753" s="1284">
        <f>IFERROR(Model!Z753/Model!V753-1,"NA")</f>
        <v>7.8947368421052655E-2</v>
      </c>
      <c r="AA753" s="1284">
        <f>IFERROR(Model!AA753/Model!W753-1,"NA")</f>
        <v>0.13274336283185839</v>
      </c>
      <c r="AB753" s="1284">
        <f>IFERROR(Model!AB753/Model!X753-1,"NA")</f>
        <v>-0.47967479674796742</v>
      </c>
      <c r="AC753" s="1256">
        <f>IFERROR(Model!AC753/Model!Y753-1,"NA")</f>
        <v>-0.37378082997569517</v>
      </c>
      <c r="AD753" s="1256">
        <f>IFERROR(Model!AD753/Model!Z753-1,"NA")</f>
        <v>-0.38002132542275657</v>
      </c>
      <c r="AE753" s="1256">
        <f>IFERROR(Model!AE753/Model!AA753-1,"NA")</f>
        <v>-0.38552105396765712</v>
      </c>
      <c r="AF753" s="1256">
        <f>IFERROR(Model!AF753/Model!AB753-1,"NA")</f>
        <v>2.1043502435286632E-2</v>
      </c>
      <c r="AG753" s="1256">
        <f>IFERROR(Model!AG753/Model!AC753-1,"NA")</f>
        <v>2.4747964079316898E-2</v>
      </c>
      <c r="AH753" s="1256">
        <f>IFERROR(Model!AH753/Model!AD753-1,"NA")</f>
        <v>3.0531396186273874E-2</v>
      </c>
      <c r="AI753" s="1256">
        <f>IFERROR(Model!AI753/Model!AE753-1,"NA")</f>
        <v>3.6402481716700352E-2</v>
      </c>
      <c r="AJ753" s="1256"/>
      <c r="AK753" s="1256"/>
      <c r="AL753" s="1256"/>
      <c r="AM753" s="1256"/>
      <c r="AN753" s="1256"/>
      <c r="AO753" s="1256"/>
      <c r="AP753" s="1256"/>
      <c r="AQ753" s="1256"/>
      <c r="AR753" s="1236"/>
      <c r="AS753" s="1284"/>
      <c r="AT753" s="1284"/>
      <c r="AU753" s="1284"/>
      <c r="AV753" s="1284">
        <f>IFERROR(Model!AV753/Model!AU753-1,"NA")</f>
        <v>-0.20092024539877296</v>
      </c>
      <c r="AW753" s="1284">
        <f>IFERROR(Model!AW753/Model!AV753-1,"NA")</f>
        <v>-4.606525911708248E-2</v>
      </c>
      <c r="AX753" s="1284">
        <f>IFERROR(Model!AX753/Model!AW753-1,"NA")</f>
        <v>-6.0362173038229772E-3</v>
      </c>
      <c r="AY753" s="1284">
        <f>IFERROR(Model!AY753/Model!AX753-1,"NA")</f>
        <v>-6.68016194331984E-2</v>
      </c>
      <c r="AZ753" s="1284">
        <f>IFERROR(Model!AZ753/Model!AY753-1,"NA")</f>
        <v>7.5921908893709311E-2</v>
      </c>
      <c r="BA753" s="1284">
        <f>IFERROR(Model!BA753/Model!AZ753-1,"NA")</f>
        <v>-0.40461810320947178</v>
      </c>
      <c r="BB753" s="1256">
        <f>IFERROR(Model!BB753/Model!BA753-1,"NA")</f>
        <v>2.8542662350449444E-2</v>
      </c>
      <c r="BC753" s="1256">
        <f>IFERROR(Model!BC753/Model!BB753-1,"NA")</f>
        <v>2.6855249536858583E-2</v>
      </c>
      <c r="BD753" s="1256">
        <f>IFERROR(Model!BD753/Model!BC753-1,"NA")</f>
        <v>3.396350735454523E-2</v>
      </c>
      <c r="BE753" s="1256">
        <f>IFERROR(Model!BE753/Model!BD753-1,"NA")</f>
        <v>3.2515303954525621E-2</v>
      </c>
    </row>
    <row r="754" spans="1:69" x14ac:dyDescent="0.2">
      <c r="B754" s="327"/>
      <c r="C754" s="327" t="s">
        <v>621</v>
      </c>
      <c r="D754" s="1249"/>
      <c r="E754" s="1249"/>
      <c r="F754" s="1249"/>
      <c r="G754" s="1249"/>
      <c r="H754" s="1249"/>
      <c r="I754" s="1249"/>
      <c r="J754" s="1249"/>
      <c r="K754" s="1249"/>
      <c r="L754" s="1249"/>
      <c r="M754" s="1249"/>
      <c r="N754" s="1249"/>
      <c r="O754" s="1249"/>
      <c r="P754" s="1249"/>
      <c r="Q754" s="1249"/>
      <c r="R754" s="1249"/>
      <c r="S754" s="1249"/>
      <c r="T754" s="1249"/>
      <c r="U754" s="1249"/>
      <c r="V754" s="1249"/>
      <c r="W754" s="1249"/>
      <c r="X754" s="1249"/>
      <c r="Y754" s="1249"/>
      <c r="Z754" s="1249"/>
      <c r="AA754" s="1249"/>
      <c r="AB754" s="1249"/>
      <c r="AC754" s="1429"/>
      <c r="AD754" s="1429"/>
      <c r="AE754" s="1429"/>
      <c r="AF754" s="1429"/>
      <c r="AG754" s="1429"/>
      <c r="AH754" s="1429"/>
      <c r="AI754" s="1429"/>
      <c r="AJ754" s="1429"/>
      <c r="AK754" s="1429"/>
      <c r="AL754" s="1429"/>
      <c r="AM754" s="1429"/>
      <c r="AN754" s="1429"/>
      <c r="AO754" s="1429"/>
      <c r="AP754" s="1429"/>
      <c r="AQ754" s="1429"/>
      <c r="AR754" s="1236"/>
      <c r="AS754" s="1284"/>
      <c r="AT754" s="1284"/>
      <c r="AU754" s="1249"/>
      <c r="AV754" s="1249"/>
      <c r="AW754" s="1249"/>
      <c r="AX754" s="1249"/>
      <c r="AY754" s="1249"/>
      <c r="AZ754" s="1249"/>
      <c r="BA754" s="1249"/>
      <c r="BB754" s="1429"/>
      <c r="BC754" s="1429"/>
      <c r="BD754" s="1429"/>
      <c r="BE754" s="1429"/>
    </row>
    <row r="755" spans="1:69" s="160" customFormat="1" x14ac:dyDescent="0.2">
      <c r="A755" s="829"/>
      <c r="B755" s="59" t="s">
        <v>1344</v>
      </c>
      <c r="C755" s="328"/>
      <c r="D755" s="1481"/>
      <c r="E755" s="1481"/>
      <c r="F755" s="1481"/>
      <c r="G755" s="1481"/>
      <c r="H755" s="1481">
        <f>IFERROR(Model!H755/Model!D755-1,"NA")</f>
        <v>-7.8481012658228044E-3</v>
      </c>
      <c r="I755" s="1481">
        <f>IFERROR(Model!I755/Model!E755-1,"NA")</f>
        <v>2.2925858638290553E-2</v>
      </c>
      <c r="J755" s="1481">
        <f>IFERROR(Model!J755/Model!F755-1,"NA")</f>
        <v>-2.0538720538720523E-2</v>
      </c>
      <c r="K755" s="1481">
        <f>IFERROR(Model!K755/Model!G755-1,"NA")</f>
        <v>3.9837330898828682E-3</v>
      </c>
      <c r="L755" s="1481">
        <f>IFERROR(Model!L755/Model!H755-1,"NA")</f>
        <v>1.1057242493833552E-2</v>
      </c>
      <c r="M755" s="1481">
        <f>IFERROR(Model!M755/Model!I755-1,"NA")</f>
        <v>2.0551420838971657E-2</v>
      </c>
      <c r="N755" s="1481">
        <f>IFERROR(Model!N755/Model!J755-1,"NA")</f>
        <v>5.8009625300790679E-2</v>
      </c>
      <c r="O755" s="1481">
        <f>IFERROR(Model!O755/Model!K755-1,"NA")</f>
        <v>1.058113581879816E-2</v>
      </c>
      <c r="P755" s="1481">
        <f>IFERROR(Model!P755/Model!L755-1,"NA")</f>
        <v>-1.6152098931605963E-2</v>
      </c>
      <c r="Q755" s="1481">
        <f>IFERROR(Model!Q755/Model!M755-1,"NA")</f>
        <v>-9.7787353940499422E-3</v>
      </c>
      <c r="R755" s="1481">
        <f>IFERROR(Model!R755/Model!N755-1,"NA")</f>
        <v>-3.4278287710177935E-2</v>
      </c>
      <c r="S755" s="1481">
        <f>IFERROR(Model!S755/Model!O755-1,"NA")</f>
        <v>-5.1860940695296565E-2</v>
      </c>
      <c r="T755" s="1481">
        <f>IFERROR(Model!T755/Model!P755-1,"NA")</f>
        <v>-2.9841812740487361E-2</v>
      </c>
      <c r="U755" s="1481">
        <f>IFERROR(Model!U755/Model!Q755-1,"NA")</f>
        <v>-5.0046028956397981E-2</v>
      </c>
      <c r="V755" s="1481">
        <f>IFERROR(Model!V755/Model!R755-1,"NA")</f>
        <v>-2.4896963579779663E-2</v>
      </c>
      <c r="W755" s="1481">
        <f>IFERROR(Model!W755/Model!S755-1,"NA")</f>
        <v>-2.7262531274264479E-2</v>
      </c>
      <c r="X755" s="1481">
        <f>IFERROR(Model!X755/Model!T755-1,"NA")</f>
        <v>-2.3620659263176469E-2</v>
      </c>
      <c r="Y755" s="1481">
        <f>IFERROR(Model!Y755/Model!U755-1,"NA")</f>
        <v>2.5548409831732677E-3</v>
      </c>
      <c r="Z755" s="1481">
        <f>IFERROR(Model!Z755/Model!V755-1,"NA")</f>
        <v>5.6068317087898389E-3</v>
      </c>
      <c r="AA755" s="1481">
        <f>IFERROR(Model!AA755/Model!W755-1,"NA")</f>
        <v>1.4722838137472216E-2</v>
      </c>
      <c r="AB755" s="1481">
        <f>IFERROR(Model!AB755/Model!X755-1,"NA")</f>
        <v>1.4262502256725096E-2</v>
      </c>
      <c r="AC755" s="1329">
        <f>IFERROR(Model!AC755/Model!Y755-1,"NA")</f>
        <v>7.6090324990207847E-3</v>
      </c>
      <c r="AD755" s="1329">
        <f>IFERROR(Model!AD755/Model!Z755-1,"NA")</f>
        <v>1.6730031054492667E-2</v>
      </c>
      <c r="AE755" s="1329">
        <f>IFERROR(Model!AE755/Model!AA755-1,"NA")</f>
        <v>6.2686898086572018E-2</v>
      </c>
      <c r="AF755" s="1329">
        <f>IFERROR(Model!AF755/Model!AB755-1,"NA")</f>
        <v>6.9327566300859456E-2</v>
      </c>
      <c r="AG755" s="1329">
        <f>IFERROR(Model!AG755/Model!AC755-1,"NA")</f>
        <v>7.7887425495100748E-2</v>
      </c>
      <c r="AH755" s="1329">
        <f>IFERROR(Model!AH755/Model!AD755-1,"NA")</f>
        <v>8.3762741170069877E-2</v>
      </c>
      <c r="AI755" s="1329">
        <f>IFERROR(Model!AI755/Model!AE755-1,"NA")</f>
        <v>8.6580850276235299E-2</v>
      </c>
      <c r="AJ755" s="1329"/>
      <c r="AK755" s="1329"/>
      <c r="AL755" s="1329"/>
      <c r="AM755" s="1329"/>
      <c r="AN755" s="1329"/>
      <c r="AO755" s="1329"/>
      <c r="AP755" s="1329"/>
      <c r="AQ755" s="1329"/>
      <c r="AR755" s="1396"/>
      <c r="AS755" s="1329"/>
      <c r="AT755" s="1342"/>
      <c r="AU755" s="1396"/>
      <c r="AV755" s="1396">
        <f>IFERROR(Model!AV755/Model!AU755-1,"NA")</f>
        <v>-5.0699226836792288E-4</v>
      </c>
      <c r="AW755" s="1396">
        <f>IFERROR(Model!AW755/Model!AV755-1,"NA")</f>
        <v>2.4855222555691725E-2</v>
      </c>
      <c r="AX755" s="1396">
        <f>IFERROR(Model!AX755/Model!AW755-1,"NA")</f>
        <v>-2.8170756857083923E-2</v>
      </c>
      <c r="AY755" s="1396">
        <f>IFERROR(Model!AY755/Model!AX755-1,"NA")</f>
        <v>-3.3082930141753675E-2</v>
      </c>
      <c r="AZ755" s="1322">
        <f>IFERROR(Model!AZ755/Model!AY755-1,"NA")</f>
        <v>-1.7557335674311947E-4</v>
      </c>
      <c r="BA755" s="1322">
        <f>IFERROR(Model!BA755/Model!AZ755-1,"NA")</f>
        <v>2.5393030552507634E-2</v>
      </c>
      <c r="BB755" s="1329">
        <f>IFERROR(Model!BB755/Model!BA755-1,"NA")</f>
        <v>7.958195942256463E-2</v>
      </c>
      <c r="BC755" s="1329">
        <f>IFERROR(Model!BC755/Model!BB755-1,"NA")</f>
        <v>6.4183644153429587E-2</v>
      </c>
      <c r="BD755" s="1329">
        <f>IFERROR(Model!BD755/Model!BC755-1,"NA")</f>
        <v>5.8478549797750023E-2</v>
      </c>
      <c r="BE755" s="1329">
        <f>IFERROR(Model!BE755/Model!BD755-1,"NA")</f>
        <v>5.2799889880560391E-2</v>
      </c>
    </row>
    <row r="756" spans="1:69" x14ac:dyDescent="0.2">
      <c r="B756" s="327"/>
      <c r="C756" s="327"/>
      <c r="D756" s="1284"/>
      <c r="E756" s="1284"/>
      <c r="F756" s="1284"/>
      <c r="G756" s="1284"/>
      <c r="H756" s="1284"/>
      <c r="I756" s="1284"/>
      <c r="J756" s="1284"/>
      <c r="K756" s="1284"/>
      <c r="L756" s="1284"/>
      <c r="M756" s="1284"/>
      <c r="N756" s="1284"/>
      <c r="O756" s="1284"/>
      <c r="P756" s="1284"/>
      <c r="Q756" s="1284"/>
      <c r="R756" s="1284"/>
      <c r="S756" s="1284"/>
      <c r="T756" s="1284"/>
      <c r="U756" s="1284"/>
      <c r="V756" s="1284"/>
      <c r="W756" s="1284"/>
      <c r="X756" s="1284"/>
      <c r="Y756" s="1284"/>
      <c r="Z756" s="1284"/>
      <c r="AA756" s="1284"/>
      <c r="AB756" s="1284"/>
      <c r="AC756" s="407"/>
      <c r="AD756" s="407"/>
      <c r="AE756" s="407"/>
      <c r="AF756" s="407"/>
      <c r="AG756" s="407"/>
      <c r="AH756" s="407"/>
      <c r="AI756" s="407"/>
      <c r="AJ756" s="407"/>
      <c r="AK756" s="407"/>
      <c r="AL756" s="407"/>
      <c r="AM756" s="407"/>
      <c r="AN756" s="407"/>
      <c r="AO756" s="407"/>
      <c r="AP756" s="407"/>
      <c r="AQ756" s="407"/>
      <c r="AR756" s="1236"/>
      <c r="AS756" s="1284"/>
      <c r="AT756" s="1284"/>
      <c r="AU756" s="1236"/>
      <c r="AV756" s="1236"/>
      <c r="AW756" s="1236"/>
      <c r="AX756" s="1236"/>
      <c r="AY756" s="1236"/>
      <c r="AZ756" s="1236"/>
      <c r="BA756" s="1236"/>
      <c r="BB756" s="1318"/>
      <c r="BC756" s="1318"/>
      <c r="BD756" s="1318"/>
      <c r="BE756" s="1318"/>
    </row>
    <row r="757" spans="1:69" x14ac:dyDescent="0.2">
      <c r="B757" s="302" t="s">
        <v>206</v>
      </c>
      <c r="C757" s="327"/>
      <c r="D757" s="1284"/>
      <c r="E757" s="1284"/>
      <c r="F757" s="1284"/>
      <c r="G757" s="1284"/>
      <c r="H757" s="1284"/>
      <c r="I757" s="1284"/>
      <c r="J757" s="1284"/>
      <c r="K757" s="1284"/>
      <c r="L757" s="1284"/>
      <c r="M757" s="1284"/>
      <c r="N757" s="1284"/>
      <c r="O757" s="1284"/>
      <c r="P757" s="1284"/>
      <c r="Q757" s="1284"/>
      <c r="R757" s="1284"/>
      <c r="S757" s="1284"/>
      <c r="T757" s="1284"/>
      <c r="U757" s="1284"/>
      <c r="V757" s="1284"/>
      <c r="W757" s="1284"/>
      <c r="X757" s="1284"/>
      <c r="Y757" s="1284"/>
      <c r="Z757" s="1284"/>
      <c r="AA757" s="1284"/>
      <c r="AB757" s="1284"/>
      <c r="AC757" s="407"/>
      <c r="AD757" s="407"/>
      <c r="AE757" s="407"/>
      <c r="AF757" s="407"/>
      <c r="AG757" s="407"/>
      <c r="AH757" s="407"/>
      <c r="AI757" s="407"/>
      <c r="AJ757" s="407"/>
      <c r="AK757" s="407"/>
      <c r="AL757" s="407"/>
      <c r="AM757" s="407"/>
      <c r="AN757" s="407"/>
      <c r="AO757" s="407"/>
      <c r="AP757" s="407"/>
      <c r="AQ757" s="407"/>
      <c r="AR757" s="1236"/>
      <c r="AS757" s="1478"/>
      <c r="AT757" s="1284"/>
      <c r="AU757" s="1236"/>
      <c r="AV757" s="1236"/>
      <c r="AW757" s="1236"/>
      <c r="AX757" s="1236"/>
      <c r="AY757" s="1236"/>
      <c r="AZ757" s="1236"/>
      <c r="BA757" s="1236"/>
      <c r="BB757" s="1318"/>
      <c r="BC757" s="1318"/>
      <c r="BD757" s="1318"/>
      <c r="BE757" s="1318"/>
    </row>
    <row r="758" spans="1:69" x14ac:dyDescent="0.2">
      <c r="B758" s="315" t="s">
        <v>46</v>
      </c>
      <c r="C758" s="327"/>
      <c r="D758" s="1325"/>
      <c r="E758" s="1325"/>
      <c r="F758" s="1325"/>
      <c r="G758" s="1325"/>
      <c r="H758" s="1325">
        <f>IFERROR(Model!H758/Model!D758-1,"NA")</f>
        <v>0.12365063788027486</v>
      </c>
      <c r="I758" s="1325">
        <f>IFERROR(Model!I758/Model!E758-1,"NA")</f>
        <v>0.10060160427807485</v>
      </c>
      <c r="J758" s="1325">
        <f>IFERROR(Model!J758/Model!F758-1,"NA")</f>
        <v>-4.9083566324945593E-2</v>
      </c>
      <c r="K758" s="1325">
        <f>IFERROR(Model!K758/Model!G758-1,"NA")</f>
        <v>-4.9457177322074775E-2</v>
      </c>
      <c r="L758" s="1325">
        <f>IFERROR(Model!L758/Model!H758-1,"NA")</f>
        <v>-7.3071324599708887E-2</v>
      </c>
      <c r="M758" s="1325">
        <f>IFERROR(Model!M758/Model!I758-1,"NA")</f>
        <v>4.4943820224719211E-2</v>
      </c>
      <c r="N758" s="1325">
        <f>IFERROR(Model!N758/Model!J758-1,"NA")</f>
        <v>7.1545246651421035E-2</v>
      </c>
      <c r="O758" s="1325">
        <f>IFERROR(Model!O758/Model!K758-1,"NA")</f>
        <v>-7.9314720812182493E-3</v>
      </c>
      <c r="P758" s="1325">
        <f>IFERROR(Model!P758/Model!L758-1,"NA")</f>
        <v>-4.3969849246231485E-3</v>
      </c>
      <c r="Q758" s="1325">
        <f>IFERROR(Model!Q758/Model!M758-1,"NA")</f>
        <v>-7.1781458878233062E-2</v>
      </c>
      <c r="R758" s="1325">
        <f>IFERROR(Model!R758/Model!N758-1,"NA")</f>
        <v>-0.16707317073170735</v>
      </c>
      <c r="S758" s="1325">
        <f>IFERROR(Model!S758/Model!O758-1,"NA")</f>
        <v>-0.11992324912056285</v>
      </c>
      <c r="T758" s="1325">
        <f>IFERROR(Model!T758/Model!P758-1,"NA")</f>
        <v>-0.22302839116719242</v>
      </c>
      <c r="U758" s="1325">
        <f>IFERROR(Model!U758/Model!Q758-1,"NA")</f>
        <v>-0.14683782091421416</v>
      </c>
      <c r="V758" s="1325">
        <f>IFERROR(Model!V758/Model!R758-1,"NA")</f>
        <v>-3.2210834553440648E-2</v>
      </c>
      <c r="W758" s="1325">
        <f>IFERROR(Model!W758/Model!S758-1,"NA")</f>
        <v>8.9026162790697638E-2</v>
      </c>
      <c r="X758" s="1325">
        <f>IFERROR(Model!X758/Model!T758-1,"NA")</f>
        <v>0.24035728786033284</v>
      </c>
      <c r="Y758" s="1325">
        <f>IFERROR(Model!Y758/Model!U758-1,"NA")</f>
        <v>0.19486238532110089</v>
      </c>
      <c r="Z758" s="1325">
        <f>IFERROR(Model!Z758/Model!V758-1,"NA")</f>
        <v>0.22579425113464446</v>
      </c>
      <c r="AA758" s="1325">
        <f>IFERROR(Model!AA758/Model!W758-1,"NA")</f>
        <v>5.2719386052719308E-2</v>
      </c>
      <c r="AB758" s="1325">
        <f>IFERROR(Model!AB758/Model!X758-1,"NA")</f>
        <v>-8.1833060556464332E-3</v>
      </c>
      <c r="AC758" s="1256" t="str">
        <f>IFERROR(Model!AC758/Model!Y758-1,"NA")</f>
        <v>NA</v>
      </c>
      <c r="AD758" s="1256" t="str">
        <f>IFERROR(Model!AD758/Model!Z758-1,"NA")</f>
        <v>NA</v>
      </c>
      <c r="AE758" s="1256" t="str">
        <f>IFERROR(Model!AE758/Model!AA758-1,"NA")</f>
        <v>NA</v>
      </c>
      <c r="AF758" s="1256" t="str">
        <f>IFERROR(Model!AF758/Model!AB758-1,"NA")</f>
        <v>NA</v>
      </c>
      <c r="AG758" s="1256" t="str">
        <f>IFERROR(Model!AG758/Model!AC758-1,"NA")</f>
        <v>NA</v>
      </c>
      <c r="AH758" s="1256" t="str">
        <f>IFERROR(Model!AH758/Model!AD758-1,"NA")</f>
        <v>NA</v>
      </c>
      <c r="AI758" s="1256" t="str">
        <f>IFERROR(Model!AI758/Model!AE758-1,"NA")</f>
        <v>NA</v>
      </c>
      <c r="AJ758" s="1256"/>
      <c r="AK758" s="1256"/>
      <c r="AL758" s="1256"/>
      <c r="AM758" s="1256"/>
      <c r="AN758" s="1256"/>
      <c r="AO758" s="1256"/>
      <c r="AP758" s="1256"/>
      <c r="AQ758" s="1256"/>
      <c r="AR758" s="1236"/>
      <c r="AS758" s="1400"/>
      <c r="AT758" s="1284"/>
      <c r="AU758" s="1236"/>
      <c r="AV758" s="1236">
        <f>IFERROR(Model!AV758/Model!AU758-1,"NA")</f>
        <v>2.8369357914812543E-2</v>
      </c>
      <c r="AW758" s="1236">
        <f>IFERROR(Model!AW758/Model!AV758-1,"NA")</f>
        <v>7.0319140715555672E-3</v>
      </c>
      <c r="AX758" s="1236">
        <f>IFERROR(Model!AX758/Model!AW758-1,"NA")</f>
        <v>-9.0853284223449959E-2</v>
      </c>
      <c r="AY758" s="1236">
        <f>IFERROR(Model!AY758/Model!AX758-1,"NA")</f>
        <v>-8.6006076975016832E-2</v>
      </c>
      <c r="AZ758" s="1256" t="str">
        <f>IFERROR(Model!AZ758/Model!AY758-1,"NA")</f>
        <v>NA</v>
      </c>
      <c r="BA758" s="1256" t="str">
        <f>IFERROR(Model!BA758/Model!AZ758-1,"NA")</f>
        <v>NA</v>
      </c>
      <c r="BB758" s="1256" t="str">
        <f>IFERROR(Model!BB758/Model!BA758-1,"NA")</f>
        <v>NA</v>
      </c>
      <c r="BC758" s="1256" t="str">
        <f>IFERROR(Model!BC758/Model!BB758-1,"NA")</f>
        <v>NA</v>
      </c>
      <c r="BD758" s="1256" t="str">
        <f>IFERROR(Model!BD758/Model!BC758-1,"NA")</f>
        <v>NA</v>
      </c>
      <c r="BE758" s="1256" t="str">
        <f>IFERROR(Model!BE758/Model!BD758-1,"NA")</f>
        <v>NA</v>
      </c>
    </row>
    <row r="759" spans="1:69" x14ac:dyDescent="0.2">
      <c r="B759" s="315" t="s">
        <v>47</v>
      </c>
      <c r="C759" s="327"/>
      <c r="D759" s="1325"/>
      <c r="E759" s="1325"/>
      <c r="F759" s="1325"/>
      <c r="G759" s="1325"/>
      <c r="H759" s="1325">
        <f>IFERROR(Model!H759/Model!D759-1,"NA")</f>
        <v>0.252</v>
      </c>
      <c r="I759" s="1325">
        <f>IFERROR(Model!I759/Model!E759-1,"NA")</f>
        <v>0.59477124183006547</v>
      </c>
      <c r="J759" s="1325">
        <f>IFERROR(Model!J759/Model!F759-1,"NA")</f>
        <v>0.12647058823529411</v>
      </c>
      <c r="K759" s="1325">
        <f>IFERROR(Model!K759/Model!G759-1,"NA")</f>
        <v>2.4837545126353793</v>
      </c>
      <c r="L759" s="1325">
        <f>IFERROR(Model!L759/Model!H759-1,"NA")</f>
        <v>0.15335463258785942</v>
      </c>
      <c r="M759" s="1325">
        <f>IFERROR(Model!M759/Model!I759-1,"NA")</f>
        <v>-0.31333830104321903</v>
      </c>
      <c r="N759" s="1325">
        <f>IFERROR(Model!N759/Model!J759-1,"NA")</f>
        <v>0.34812880765883381</v>
      </c>
      <c r="O759" s="1325">
        <f>IFERROR(Model!O759/Model!K759-1,"NA")</f>
        <v>-0.56683937823834196</v>
      </c>
      <c r="P759" s="1325">
        <f>IFERROR(Model!P759/Model!L759-1,"NA")</f>
        <v>-0.31752077562326875</v>
      </c>
      <c r="Q759" s="1325">
        <f>IFERROR(Model!Q759/Model!M759-1,"NA")</f>
        <v>0.17905588714053167</v>
      </c>
      <c r="R759" s="1325">
        <f>IFERROR(Model!R759/Model!N759-1,"NA")</f>
        <v>-0.14331826985151708</v>
      </c>
      <c r="S759" s="1325">
        <f>IFERROR(Model!S759/Model!O759-1,"NA")</f>
        <v>0.2846889952153111</v>
      </c>
      <c r="T759" s="1325">
        <f>IFERROR(Model!T759/Model!P759-1,"NA")</f>
        <v>-6.6463723997970625E-2</v>
      </c>
      <c r="U759" s="1325">
        <f>IFERROR(Model!U759/Model!Q759-1,"NA")</f>
        <v>-0.16428900138057989</v>
      </c>
      <c r="V759" s="1325">
        <f>IFERROR(Model!V759/Model!R759-1,"NA")</f>
        <v>0.68651092690278825</v>
      </c>
      <c r="W759" s="1325">
        <f>IFERROR(Model!W759/Model!S759-1,"NA")</f>
        <v>2.1489757914338918</v>
      </c>
      <c r="X759" s="1325">
        <f>IFERROR(Model!X759/Model!T759-1,"NA")</f>
        <v>0.68152173913043468</v>
      </c>
      <c r="Y759" s="1325">
        <f>IFERROR(Model!Y759/Model!U759-1,"NA")</f>
        <v>0.45539647577092501</v>
      </c>
      <c r="Z759" s="1325">
        <f>IFERROR(Model!Z759/Model!V759-1,"NA")</f>
        <v>4.4682752457552155E-3</v>
      </c>
      <c r="AA759" s="1325">
        <f>IFERROR(Model!AA759/Model!W759-1,"NA")</f>
        <v>-0.11886457717327026</v>
      </c>
      <c r="AB759" s="1325">
        <f>IFERROR(Model!AB759/Model!X759-1,"NA")</f>
        <v>6.3025210084033612E-2</v>
      </c>
      <c r="AC759" s="1256" t="str">
        <f>IFERROR(Model!AC759/Model!Y759-1,"NA")</f>
        <v>NA</v>
      </c>
      <c r="AD759" s="1256" t="str">
        <f>IFERROR(Model!AD759/Model!Z759-1,"NA")</f>
        <v>NA</v>
      </c>
      <c r="AE759" s="1256" t="str">
        <f>IFERROR(Model!AE759/Model!AA759-1,"NA")</f>
        <v>NA</v>
      </c>
      <c r="AF759" s="1256" t="str">
        <f>IFERROR(Model!AF759/Model!AB759-1,"NA")</f>
        <v>NA</v>
      </c>
      <c r="AG759" s="1256" t="str">
        <f>IFERROR(Model!AG759/Model!AC759-1,"NA")</f>
        <v>NA</v>
      </c>
      <c r="AH759" s="1256" t="str">
        <f>IFERROR(Model!AH759/Model!AD759-1,"NA")</f>
        <v>NA</v>
      </c>
      <c r="AI759" s="1256" t="str">
        <f>IFERROR(Model!AI759/Model!AE759-1,"NA")</f>
        <v>NA</v>
      </c>
      <c r="AJ759" s="1256"/>
      <c r="AK759" s="1256"/>
      <c r="AL759" s="1256"/>
      <c r="AM759" s="1256"/>
      <c r="AN759" s="1256"/>
      <c r="AO759" s="1256"/>
      <c r="AP759" s="1256"/>
      <c r="AQ759" s="1256"/>
      <c r="AR759" s="1236"/>
      <c r="AS759" s="1400"/>
      <c r="AT759" s="1284"/>
      <c r="AU759" s="1236"/>
      <c r="AV759" s="1236">
        <f>IFERROR(Model!AV759/Model!AU759-1,"NA")</f>
        <v>0.46626506024096392</v>
      </c>
      <c r="AW759" s="1236">
        <f>IFERROR(Model!AW759/Model!AV759-1,"NA")</f>
        <v>-8.2717063818132042E-2</v>
      </c>
      <c r="AX759" s="1236">
        <f>IFERROR(Model!AX759/Model!AW759-1,"NA")</f>
        <v>-0.10301582561958789</v>
      </c>
      <c r="AY759" s="1236">
        <f>IFERROR(Model!AY759/Model!AX759-1,"NA")</f>
        <v>0.26248335552596536</v>
      </c>
      <c r="AZ759" s="1256" t="str">
        <f>IFERROR(Model!AZ759/Model!AY759-1,"NA")</f>
        <v>NA</v>
      </c>
      <c r="BA759" s="1256" t="str">
        <f>IFERROR(Model!BA759/Model!AZ759-1,"NA")</f>
        <v>NA</v>
      </c>
      <c r="BB759" s="1256" t="str">
        <f>IFERROR(Model!BB759/Model!BA759-1,"NA")</f>
        <v>NA</v>
      </c>
      <c r="BC759" s="1256" t="str">
        <f>IFERROR(Model!BC759/Model!BB759-1,"NA")</f>
        <v>NA</v>
      </c>
      <c r="BD759" s="1256" t="str">
        <f>IFERROR(Model!BD759/Model!BC759-1,"NA")</f>
        <v>NA</v>
      </c>
      <c r="BE759" s="1256" t="str">
        <f>IFERROR(Model!BE759/Model!BD759-1,"NA")</f>
        <v>NA</v>
      </c>
      <c r="BM759" s="238"/>
      <c r="BN759" s="238"/>
      <c r="BO759" s="238"/>
      <c r="BP759" s="238"/>
      <c r="BQ759" s="238"/>
    </row>
    <row r="760" spans="1:69" x14ac:dyDescent="0.2">
      <c r="B760" s="315" t="s">
        <v>69</v>
      </c>
      <c r="C760" s="327"/>
      <c r="D760" s="1325"/>
      <c r="E760" s="1325"/>
      <c r="F760" s="1325"/>
      <c r="G760" s="1325"/>
      <c r="H760" s="1325">
        <f>IFERROR(Model!H760/Model!D760-1,"NA")</f>
        <v>8.8685015290519864E-2</v>
      </c>
      <c r="I760" s="1325">
        <f>IFERROR(Model!I760/Model!E760-1,"NA")</f>
        <v>4.4358727097396411E-2</v>
      </c>
      <c r="J760" s="1325">
        <f>IFERROR(Model!J760/Model!F760-1,"NA")</f>
        <v>-6.1601642710472637E-3</v>
      </c>
      <c r="K760" s="1325">
        <f>IFERROR(Model!K760/Model!G760-1,"NA")</f>
        <v>-4.9019607843137303E-2</v>
      </c>
      <c r="L760" s="1325">
        <f>IFERROR(Model!L760/Model!H760-1,"NA")</f>
        <v>-5.5243445692883864E-2</v>
      </c>
      <c r="M760" s="1325">
        <f>IFERROR(Model!M760/Model!I760-1,"NA")</f>
        <v>-4.9861495844875314E-2</v>
      </c>
      <c r="N760" s="1325">
        <f>IFERROR(Model!N760/Model!J760-1,"NA")</f>
        <v>6.301652892561993E-2</v>
      </c>
      <c r="O760" s="1325">
        <f>IFERROR(Model!O760/Model!K760-1,"NA")</f>
        <v>-2.4742268041237137E-2</v>
      </c>
      <c r="P760" s="1325">
        <f>IFERROR(Model!P760/Model!L760-1,"NA")</f>
        <v>-4.658077304261643E-2</v>
      </c>
      <c r="Q760" s="1325">
        <f>IFERROR(Model!Q760/Model!M760-1,"NA")</f>
        <v>-3.3041788143828965E-2</v>
      </c>
      <c r="R760" s="1325">
        <f>IFERROR(Model!R760/Model!N760-1,"NA")</f>
        <v>-0.15451895043731778</v>
      </c>
      <c r="S760" s="1325">
        <f>IFERROR(Model!S760/Model!O760-1,"NA")</f>
        <v>-0.13213530655391126</v>
      </c>
      <c r="T760" s="1325">
        <f>IFERROR(Model!T760/Model!P760-1,"NA")</f>
        <v>-0.156964656964657</v>
      </c>
      <c r="U760" s="1325">
        <f>IFERROR(Model!U760/Model!Q760-1,"NA")</f>
        <v>-0.11758793969849246</v>
      </c>
      <c r="V760" s="1325">
        <f>IFERROR(Model!V760/Model!R760-1,"NA")</f>
        <v>-9.1954022988506301E-3</v>
      </c>
      <c r="W760" s="1325">
        <f>IFERROR(Model!W760/Model!S760-1,"NA")</f>
        <v>-0.17661388550548107</v>
      </c>
      <c r="X760" s="1325">
        <f>IFERROR(Model!X760/Model!T760-1,"NA")</f>
        <v>2.8360049321825009E-2</v>
      </c>
      <c r="Y760" s="1325">
        <f>IFERROR(Model!Y760/Model!U760-1,"NA")</f>
        <v>3.530751708428248E-2</v>
      </c>
      <c r="Z760" s="1325">
        <f>IFERROR(Model!Z760/Model!V760-1,"NA")</f>
        <v>7.7726218097447841E-2</v>
      </c>
      <c r="AA760" s="1325">
        <f>IFERROR(Model!AA760/Model!W760-1,"NA")</f>
        <v>0.34911242603550297</v>
      </c>
      <c r="AB760" s="1325">
        <f>IFERROR(Model!AB760/Model!X760-1,"NA")</f>
        <v>8.5131894484412385E-2</v>
      </c>
      <c r="AC760" s="1256" t="str">
        <f>IFERROR(Model!AC760/Model!Y760-1,"NA")</f>
        <v>NA</v>
      </c>
      <c r="AD760" s="1256" t="str">
        <f>IFERROR(Model!AD760/Model!Z760-1,"NA")</f>
        <v>NA</v>
      </c>
      <c r="AE760" s="1256" t="str">
        <f>IFERROR(Model!AE760/Model!AA760-1,"NA")</f>
        <v>NA</v>
      </c>
      <c r="AF760" s="1256" t="str">
        <f>IFERROR(Model!AF760/Model!AB760-1,"NA")</f>
        <v>NA</v>
      </c>
      <c r="AG760" s="1256" t="str">
        <f>IFERROR(Model!AG760/Model!AC760-1,"NA")</f>
        <v>NA</v>
      </c>
      <c r="AH760" s="1256" t="str">
        <f>IFERROR(Model!AH760/Model!AD760-1,"NA")</f>
        <v>NA</v>
      </c>
      <c r="AI760" s="1256" t="str">
        <f>IFERROR(Model!AI760/Model!AE760-1,"NA")</f>
        <v>NA</v>
      </c>
      <c r="AJ760" s="1256"/>
      <c r="AK760" s="1256"/>
      <c r="AL760" s="1256"/>
      <c r="AM760" s="1256"/>
      <c r="AN760" s="1256"/>
      <c r="AO760" s="1256"/>
      <c r="AP760" s="1256"/>
      <c r="AQ760" s="1256"/>
      <c r="AR760" s="1236"/>
      <c r="AS760" s="1400"/>
      <c r="AT760" s="1284"/>
      <c r="AU760" s="1236"/>
      <c r="AV760" s="1236">
        <f>IFERROR(Model!AV760/Model!AU760-1,"NA")</f>
        <v>1.9192422731804548E-2</v>
      </c>
      <c r="AW760" s="1236">
        <f>IFERROR(Model!AW760/Model!AV760-1,"NA")</f>
        <v>-1.8586451455123498E-2</v>
      </c>
      <c r="AX760" s="1236">
        <f>IFERROR(Model!AX760/Model!AW760-1,"NA")</f>
        <v>-9.0954398205831066E-2</v>
      </c>
      <c r="AY760" s="1236">
        <f>IFERROR(Model!AY760/Model!AX760-1,"NA")</f>
        <v>-0.11540570175438591</v>
      </c>
      <c r="AZ760" s="1256" t="str">
        <f>IFERROR(Model!AZ760/Model!AY760-1,"NA")</f>
        <v>NA</v>
      </c>
      <c r="BA760" s="1256" t="str">
        <f>IFERROR(Model!BA760/Model!AZ760-1,"NA")</f>
        <v>NA</v>
      </c>
      <c r="BB760" s="1256" t="str">
        <f>IFERROR(Model!BB760/Model!BA760-1,"NA")</f>
        <v>NA</v>
      </c>
      <c r="BC760" s="1256" t="str">
        <f>IFERROR(Model!BC760/Model!BB760-1,"NA")</f>
        <v>NA</v>
      </c>
      <c r="BD760" s="1256" t="str">
        <f>IFERROR(Model!BD760/Model!BC760-1,"NA")</f>
        <v>NA</v>
      </c>
      <c r="BE760" s="1256" t="str">
        <f>IFERROR(Model!BE760/Model!BD760-1,"NA")</f>
        <v>NA</v>
      </c>
    </row>
    <row r="761" spans="1:69" x14ac:dyDescent="0.2">
      <c r="B761" s="315" t="s">
        <v>107</v>
      </c>
      <c r="C761" s="327"/>
      <c r="D761" s="1325"/>
      <c r="E761" s="1325"/>
      <c r="F761" s="1325"/>
      <c r="G761" s="1325"/>
      <c r="H761" s="1325">
        <f>IFERROR(Model!H761/Model!D761-1,"NA")</f>
        <v>-0.76623376623376627</v>
      </c>
      <c r="I761" s="1325">
        <f>IFERROR(Model!I761/Model!E761-1,"NA")</f>
        <v>-8.0586080586080633E-2</v>
      </c>
      <c r="J761" s="1325">
        <f>IFERROR(Model!J761/Model!F761-1,"NA")</f>
        <v>-0.89756097560975612</v>
      </c>
      <c r="K761" s="1325">
        <f>IFERROR(Model!K761/Model!G761-1,"NA")</f>
        <v>-1.0365296803652968</v>
      </c>
      <c r="L761" s="1325">
        <f>IFERROR(Model!L761/Model!H761-1,"NA")</f>
        <v>-0.7155555555555555</v>
      </c>
      <c r="M761" s="1325">
        <f>IFERROR(Model!M761/Model!I761-1,"NA")</f>
        <v>-0.66533864541832677</v>
      </c>
      <c r="N761" s="1325">
        <f>IFERROR(Model!N761/Model!J761-1,"NA")</f>
        <v>1.1587301587301586</v>
      </c>
      <c r="O761" s="1325">
        <f>IFERROR(Model!O761/Model!K761-1,"NA")</f>
        <v>-14.875</v>
      </c>
      <c r="P761" s="1325">
        <f>IFERROR(Model!P761/Model!L761-1,"NA")</f>
        <v>1.3984375</v>
      </c>
      <c r="Q761" s="1325">
        <f>IFERROR(Model!Q761/Model!M761-1,"NA")</f>
        <v>1.1785714285714284</v>
      </c>
      <c r="R761" s="1325">
        <f>IFERROR(Model!R761/Model!N761-1,"NA")</f>
        <v>0.11029411764705888</v>
      </c>
      <c r="S761" s="1325">
        <f>IFERROR(Model!S761/Model!O761-1,"NA")</f>
        <v>-0.81531531531531531</v>
      </c>
      <c r="T761" s="1325">
        <f>IFERROR(Model!T761/Model!P761-1,"NA")</f>
        <v>-0.39413680781758953</v>
      </c>
      <c r="U761" s="1325">
        <f>IFERROR(Model!U761/Model!Q761-1,"NA")</f>
        <v>9.2896174863388081E-2</v>
      </c>
      <c r="V761" s="1325">
        <f>IFERROR(Model!V761/Model!R761-1,"NA")</f>
        <v>0.90066225165562908</v>
      </c>
      <c r="W761" s="1325">
        <f>IFERROR(Model!W761/Model!S761-1,"NA")</f>
        <v>5.7073170731707314</v>
      </c>
      <c r="X761" s="1325">
        <f>IFERROR(Model!X761/Model!T761-1,"NA")</f>
        <v>3.2258064516129004E-2</v>
      </c>
      <c r="Y761" s="1325">
        <f>IFERROR(Model!Y761/Model!U761-1,"NA")</f>
        <v>0.10499999999999998</v>
      </c>
      <c r="Z761" s="1325">
        <f>IFERROR(Model!Z761/Model!V761-1,"NA")</f>
        <v>-0.25783972125435539</v>
      </c>
      <c r="AA761" s="1325">
        <f>IFERROR(Model!AA761/Model!W761-1,"NA")</f>
        <v>-0.44727272727272727</v>
      </c>
      <c r="AB761" s="1325">
        <f>IFERROR(Model!AB761/Model!X761-1,"NA")</f>
        <v>-0.11458333333333337</v>
      </c>
      <c r="AC761" s="1256" t="str">
        <f>IFERROR(Model!AC761/Model!Y761-1,"NA")</f>
        <v>NA</v>
      </c>
      <c r="AD761" s="1256" t="str">
        <f>IFERROR(Model!AD761/Model!Z761-1,"NA")</f>
        <v>NA</v>
      </c>
      <c r="AE761" s="1256" t="str">
        <f>IFERROR(Model!AE761/Model!AA761-1,"NA")</f>
        <v>NA</v>
      </c>
      <c r="AF761" s="1256" t="str">
        <f>IFERROR(Model!AF761/Model!AB761-1,"NA")</f>
        <v>NA</v>
      </c>
      <c r="AG761" s="1256" t="str">
        <f>IFERROR(Model!AG761/Model!AC761-1,"NA")</f>
        <v>NA</v>
      </c>
      <c r="AH761" s="1256" t="str">
        <f>IFERROR(Model!AH761/Model!AD761-1,"NA")</f>
        <v>NA</v>
      </c>
      <c r="AI761" s="1256" t="str">
        <f>IFERROR(Model!AI761/Model!AE761-1,"NA")</f>
        <v>NA</v>
      </c>
      <c r="AJ761" s="1256"/>
      <c r="AK761" s="1256"/>
      <c r="AL761" s="1256"/>
      <c r="AM761" s="1256"/>
      <c r="AN761" s="1256"/>
      <c r="AO761" s="1256"/>
      <c r="AP761" s="1256"/>
      <c r="AQ761" s="1256"/>
      <c r="AR761" s="1236"/>
      <c r="AS761" s="1400"/>
      <c r="AT761" s="1284"/>
      <c r="AU761" s="1236"/>
      <c r="AV761" s="1236">
        <f>IFERROR(Model!AV761/Model!AU761-1,"NA")</f>
        <v>-0.76991694863119042</v>
      </c>
      <c r="AW761" s="1236">
        <f>IFERROR(Model!AW761/Model!AV761-1,"NA")</f>
        <v>-0.23796791443850263</v>
      </c>
      <c r="AX761" s="1236">
        <f>IFERROR(Model!AX761/Model!AW761-1,"NA")</f>
        <v>0.19649122807017538</v>
      </c>
      <c r="AY761" s="1236">
        <f>IFERROR(Model!AY761/Model!AX761-1,"NA")</f>
        <v>0.39002932551319658</v>
      </c>
      <c r="AZ761" s="1256" t="str">
        <f>IFERROR(Model!AZ761/Model!AY761-1,"NA")</f>
        <v>NA</v>
      </c>
      <c r="BA761" s="1256" t="str">
        <f>IFERROR(Model!BA761/Model!AZ761-1,"NA")</f>
        <v>NA</v>
      </c>
      <c r="BB761" s="1256" t="str">
        <f>IFERROR(Model!BB761/Model!BA761-1,"NA")</f>
        <v>NA</v>
      </c>
      <c r="BC761" s="1256" t="str">
        <f>IFERROR(Model!BC761/Model!BB761-1,"NA")</f>
        <v>NA</v>
      </c>
      <c r="BD761" s="1256" t="str">
        <f>IFERROR(Model!BD761/Model!BC761-1,"NA")</f>
        <v>NA</v>
      </c>
      <c r="BE761" s="1256" t="str">
        <f>IFERROR(Model!BE761/Model!BD761-1,"NA")</f>
        <v>NA</v>
      </c>
    </row>
    <row r="762" spans="1:69" x14ac:dyDescent="0.2">
      <c r="B762" s="315" t="s">
        <v>392</v>
      </c>
      <c r="C762" s="327"/>
      <c r="D762" s="1325"/>
      <c r="E762" s="1325"/>
      <c r="F762" s="1325"/>
      <c r="G762" s="1325"/>
      <c r="H762" s="1325">
        <f>IFERROR(Model!H762/Model!D762-1,"NA")</f>
        <v>-0.8</v>
      </c>
      <c r="I762" s="1325">
        <f>IFERROR(Model!I762/Model!E762-1,"NA")</f>
        <v>0.265625</v>
      </c>
      <c r="J762" s="1325">
        <f>IFERROR(Model!J762/Model!F762-1,"NA")</f>
        <v>-0.98876080691642654</v>
      </c>
      <c r="K762" s="1325">
        <f>IFERROR(Model!K762/Model!G762-1,"NA")</f>
        <v>7.3529411764705843E-2</v>
      </c>
      <c r="L762" s="1325">
        <f>IFERROR(Model!L762/Model!H762-1,"NA")</f>
        <v>-0.22988505747126442</v>
      </c>
      <c r="M762" s="1325">
        <f>IFERROR(Model!M762/Model!I762-1,"NA")</f>
        <v>-0.77160493827160492</v>
      </c>
      <c r="N762" s="1325">
        <f>IFERROR(Model!N762/Model!J762-1,"NA")</f>
        <v>1.3333333333333335</v>
      </c>
      <c r="O762" s="1325">
        <f>IFERROR(Model!O762/Model!K762-1,"NA")</f>
        <v>0.30136986301369872</v>
      </c>
      <c r="P762" s="1325">
        <f>IFERROR(Model!P762/Model!L762-1,"NA")</f>
        <v>-0.64179104477611948</v>
      </c>
      <c r="Q762" s="1325">
        <f>IFERROR(Model!Q762/Model!M762-1,"NA")</f>
        <v>0.16216216216216206</v>
      </c>
      <c r="R762" s="1325">
        <f>IFERROR(Model!R762/Model!N762-1,"NA")</f>
        <v>-0.12087912087912089</v>
      </c>
      <c r="S762" s="1325">
        <f>IFERROR(Model!S762/Model!O762-1,"NA")</f>
        <v>-0.26315789473684215</v>
      </c>
      <c r="T762" s="1325">
        <f>IFERROR(Model!T762/Model!P762-1,"NA")</f>
        <v>5.458333333333333</v>
      </c>
      <c r="U762" s="1325">
        <f>IFERROR(Model!U762/Model!Q762-1,"NA")</f>
        <v>1.7441860465116279</v>
      </c>
      <c r="V762" s="1325">
        <f>IFERROR(Model!V762/Model!R762-1,"NA")</f>
        <v>-0.6</v>
      </c>
      <c r="W762" s="1325">
        <f>IFERROR(Model!W762/Model!S762-1,"NA")</f>
        <v>-0.9285714285714286</v>
      </c>
      <c r="X762" s="1325">
        <f>IFERROR(Model!X762/Model!T762-1,"NA")</f>
        <v>-0.97419354838709682</v>
      </c>
      <c r="Y762" s="1325">
        <f>IFERROR(Model!Y762/Model!U762-1,"NA")</f>
        <v>-0.83050847457627119</v>
      </c>
      <c r="Z762" s="1325">
        <f>IFERROR(Model!Z762/Model!V762-1,"NA")</f>
        <v>-0.53125</v>
      </c>
      <c r="AA762" s="1325">
        <f>IFERROR(Model!AA762/Model!W762-1,"NA")</f>
        <v>2.2000000000000002</v>
      </c>
      <c r="AB762" s="1325">
        <f>IFERROR(Model!AB762/Model!X762-1,"NA")</f>
        <v>1.3333333333333335</v>
      </c>
      <c r="AC762" s="1256" t="str">
        <f>IFERROR(Model!AC762/Model!Y762-1,"NA")</f>
        <v>NA</v>
      </c>
      <c r="AD762" s="1256" t="str">
        <f>IFERROR(Model!AD762/Model!Z762-1,"NA")</f>
        <v>NA</v>
      </c>
      <c r="AE762" s="1256" t="str">
        <f>IFERROR(Model!AE762/Model!AA762-1,"NA")</f>
        <v>NA</v>
      </c>
      <c r="AF762" s="1256" t="str">
        <f>IFERROR(Model!AF762/Model!AB762-1,"NA")</f>
        <v>NA</v>
      </c>
      <c r="AG762" s="1256" t="str">
        <f>IFERROR(Model!AG762/Model!AC762-1,"NA")</f>
        <v>NA</v>
      </c>
      <c r="AH762" s="1256" t="str">
        <f>IFERROR(Model!AH762/Model!AD762-1,"NA")</f>
        <v>NA</v>
      </c>
      <c r="AI762" s="1256" t="str">
        <f>IFERROR(Model!AI762/Model!AE762-1,"NA")</f>
        <v>NA</v>
      </c>
      <c r="AJ762" s="1256"/>
      <c r="AK762" s="1256"/>
      <c r="AL762" s="1256"/>
      <c r="AM762" s="1256"/>
      <c r="AN762" s="1256"/>
      <c r="AO762" s="1256"/>
      <c r="AP762" s="1256"/>
      <c r="AQ762" s="1256"/>
      <c r="AR762" s="1236"/>
      <c r="AS762" s="1400"/>
      <c r="AT762" s="1284"/>
      <c r="AU762" s="1236"/>
      <c r="AV762" s="1236">
        <f>IFERROR(Model!AV762/Model!AU762-1,"NA")</f>
        <v>-0.89237577952122304</v>
      </c>
      <c r="AW762" s="1236">
        <f>IFERROR(Model!AW762/Model!AV762-1,"NA")</f>
        <v>-0.20747663551401874</v>
      </c>
      <c r="AX762" s="1236">
        <f>IFERROR(Model!AX762/Model!AW762-1,"NA")</f>
        <v>-0.375</v>
      </c>
      <c r="AY762" s="1236">
        <f>IFERROR(Model!AY762/Model!AX762-1,"NA")</f>
        <v>1.3396226415094339</v>
      </c>
      <c r="AZ762" s="1256" t="str">
        <f>IFERROR(Model!AZ762/Model!AY762-1,"NA")</f>
        <v>NA</v>
      </c>
      <c r="BA762" s="1256" t="str">
        <f>IFERROR(Model!BA762/Model!AZ762-1,"NA")</f>
        <v>NA</v>
      </c>
      <c r="BB762" s="1256" t="str">
        <f>IFERROR(Model!BB762/Model!BA762-1,"NA")</f>
        <v>NA</v>
      </c>
      <c r="BC762" s="1256" t="str">
        <f>IFERROR(Model!BC762/Model!BB762-1,"NA")</f>
        <v>NA</v>
      </c>
      <c r="BD762" s="1256" t="str">
        <f>IFERROR(Model!BD762/Model!BC762-1,"NA")</f>
        <v>NA</v>
      </c>
      <c r="BE762" s="1256" t="str">
        <f>IFERROR(Model!BE762/Model!BD762-1,"NA")</f>
        <v>NA</v>
      </c>
    </row>
    <row r="763" spans="1:69" x14ac:dyDescent="0.2">
      <c r="B763" s="315" t="s">
        <v>45</v>
      </c>
      <c r="C763" s="327"/>
      <c r="D763" s="1325"/>
      <c r="E763" s="1325"/>
      <c r="F763" s="1325"/>
      <c r="G763" s="1325"/>
      <c r="H763" s="1325">
        <f>IFERROR(Model!H763/Model!D763-1,"NA")</f>
        <v>-3.5947712418300637E-2</v>
      </c>
      <c r="I763" s="1325">
        <f>IFERROR(Model!I763/Model!E763-1,"NA")</f>
        <v>-3.1613976705490821E-2</v>
      </c>
      <c r="J763" s="1325">
        <f>IFERROR(Model!J763/Model!F763-1,"NA")</f>
        <v>-6.8676716917922986E-2</v>
      </c>
      <c r="K763" s="1325">
        <f>IFERROR(Model!K763/Model!G763-1,"NA")</f>
        <v>-5.6410256410256432E-2</v>
      </c>
      <c r="L763" s="1325">
        <f>IFERROR(Model!L763/Model!H763-1,"NA")</f>
        <v>-7.6271186440677985E-2</v>
      </c>
      <c r="M763" s="1325">
        <f>IFERROR(Model!M763/Model!I763-1,"NA")</f>
        <v>-7.5601374570446689E-2</v>
      </c>
      <c r="N763" s="1325">
        <f>IFERROR(Model!N763/Model!J763-1,"NA")</f>
        <v>-4.6762589928057596E-2</v>
      </c>
      <c r="O763" s="1325">
        <f>IFERROR(Model!O763/Model!K763-1,"NA")</f>
        <v>-9.9637681159420288E-2</v>
      </c>
      <c r="P763" s="1325">
        <f>IFERROR(Model!P763/Model!L763-1,"NA")</f>
        <v>-8.8073394495412849E-2</v>
      </c>
      <c r="Q763" s="1325">
        <f>IFERROR(Model!Q763/Model!M763-1,"NA")</f>
        <v>-0.10408921933085502</v>
      </c>
      <c r="R763" s="1325">
        <f>IFERROR(Model!R763/Model!N763-1,"NA")</f>
        <v>-0.12452830188679243</v>
      </c>
      <c r="S763" s="1325">
        <f>IFERROR(Model!S763/Model!O763-1,"NA")</f>
        <v>-0.19114688128772639</v>
      </c>
      <c r="T763" s="1325">
        <f>IFERROR(Model!T763/Model!P763-1,"NA")</f>
        <v>-0.46881287726358145</v>
      </c>
      <c r="U763" s="1325">
        <f>IFERROR(Model!U763/Model!Q763-1,"NA")</f>
        <v>-0.549792531120332</v>
      </c>
      <c r="V763" s="1325">
        <f>IFERROR(Model!V763/Model!R763-1,"NA")</f>
        <v>-0.60344827586206895</v>
      </c>
      <c r="W763" s="1325">
        <f>IFERROR(Model!W763/Model!S763-1,"NA")</f>
        <v>-0.57462686567164178</v>
      </c>
      <c r="X763" s="1325">
        <f>IFERROR(Model!X763/Model!T763-1,"NA")</f>
        <v>-0.35984848484848486</v>
      </c>
      <c r="Y763" s="1325">
        <f>IFERROR(Model!Y763/Model!U763-1,"NA")</f>
        <v>-0.28110599078341014</v>
      </c>
      <c r="Z763" s="1325">
        <f>IFERROR(Model!Z763/Model!V763-1,"NA")</f>
        <v>-9.7826086956521729E-2</v>
      </c>
      <c r="AA763" s="1325">
        <f>IFERROR(Model!AA763/Model!W763-1,"NA")</f>
        <v>-1</v>
      </c>
      <c r="AB763" s="1325">
        <f>IFERROR(Model!AB763/Model!X763-1,"NA")</f>
        <v>-1</v>
      </c>
      <c r="AC763" s="1256" t="str">
        <f>IFERROR(Model!AC763/Model!Y763-1,"NA")</f>
        <v>NA</v>
      </c>
      <c r="AD763" s="1256" t="str">
        <f>IFERROR(Model!AD763/Model!Z763-1,"NA")</f>
        <v>NA</v>
      </c>
      <c r="AE763" s="1256" t="str">
        <f>IFERROR(Model!AE763/Model!AA763-1,"NA")</f>
        <v>NA</v>
      </c>
      <c r="AF763" s="1256" t="str">
        <f>IFERROR(Model!AF763/Model!AB763-1,"NA")</f>
        <v>NA</v>
      </c>
      <c r="AG763" s="1256" t="str">
        <f>IFERROR(Model!AG763/Model!AC763-1,"NA")</f>
        <v>NA</v>
      </c>
      <c r="AH763" s="1256" t="str">
        <f>IFERROR(Model!AH763/Model!AD763-1,"NA")</f>
        <v>NA</v>
      </c>
      <c r="AI763" s="1256" t="str">
        <f>IFERROR(Model!AI763/Model!AE763-1,"NA")</f>
        <v>NA</v>
      </c>
      <c r="AJ763" s="1256"/>
      <c r="AK763" s="1256"/>
      <c r="AL763" s="1256"/>
      <c r="AM763" s="1256"/>
      <c r="AN763" s="1256"/>
      <c r="AO763" s="1256"/>
      <c r="AP763" s="1256"/>
      <c r="AQ763" s="1256"/>
      <c r="AR763" s="1236"/>
      <c r="AS763" s="1400"/>
      <c r="AT763" s="1284"/>
      <c r="AU763" s="1236"/>
      <c r="AV763" s="1236">
        <f>IFERROR(Model!AV763/Model!AU763-1,"NA")</f>
        <v>-4.801670146137782E-2</v>
      </c>
      <c r="AW763" s="1236">
        <f>IFERROR(Model!AW763/Model!AV763-1,"NA")</f>
        <v>-7.456140350877194E-2</v>
      </c>
      <c r="AX763" s="1236">
        <f>IFERROR(Model!AX763/Model!AW763-1,"NA")</f>
        <v>-0.12559241706161139</v>
      </c>
      <c r="AY763" s="1236">
        <f>IFERROR(Model!AY763/Model!AX763-1,"NA")</f>
        <v>-0.54688346883468841</v>
      </c>
      <c r="AZ763" s="1256" t="str">
        <f>IFERROR(Model!AZ763/Model!AY763-1,"NA")</f>
        <v>NA</v>
      </c>
      <c r="BA763" s="1256" t="str">
        <f>IFERROR(Model!BA763/Model!AZ763-1,"NA")</f>
        <v>NA</v>
      </c>
      <c r="BB763" s="1256" t="str">
        <f>IFERROR(Model!BB763/Model!BA763-1,"NA")</f>
        <v>NA</v>
      </c>
      <c r="BC763" s="1256" t="str">
        <f>IFERROR(Model!BC763/Model!BB763-1,"NA")</f>
        <v>NA</v>
      </c>
      <c r="BD763" s="1256" t="str">
        <f>IFERROR(Model!BD763/Model!BC763-1,"NA")</f>
        <v>NA</v>
      </c>
      <c r="BE763" s="1256" t="str">
        <f>IFERROR(Model!BE763/Model!BD763-1,"NA")</f>
        <v>NA</v>
      </c>
    </row>
    <row r="764" spans="1:69" x14ac:dyDescent="0.2">
      <c r="B764" s="315" t="s">
        <v>117</v>
      </c>
      <c r="C764" s="327"/>
      <c r="D764" s="1402"/>
      <c r="E764" s="1402"/>
      <c r="F764" s="1402"/>
      <c r="G764" s="1402"/>
      <c r="H764" s="1402">
        <f>IFERROR(Model!H764/Model!D764-1,"NA")</f>
        <v>-5.443349753694581</v>
      </c>
      <c r="I764" s="1402">
        <f>IFERROR(Model!I764/Model!E764-1,"NA")</f>
        <v>6.0251798561151038E-2</v>
      </c>
      <c r="J764" s="1402">
        <f>IFERROR(Model!J764/Model!F764-1,"NA")</f>
        <v>-0.8211338834176205</v>
      </c>
      <c r="K764" s="1402">
        <f>IFERROR(Model!K764/Model!G764-1,"NA")</f>
        <v>-0.36738351254480284</v>
      </c>
      <c r="L764" s="1402">
        <f>IFERROR(Model!L764/Model!H764-1,"NA")</f>
        <v>-8.8691796008869561E-3</v>
      </c>
      <c r="M764" s="1402">
        <f>IFERROR(Model!M764/Model!I764-1,"NA")</f>
        <v>-0.50720949957591177</v>
      </c>
      <c r="N764" s="1402">
        <f>IFERROR(Model!N764/Model!J764-1,"NA")</f>
        <v>0.59077380952380953</v>
      </c>
      <c r="O764" s="1402">
        <f>IFERROR(Model!O764/Model!K764-1,"NA")</f>
        <v>0.93484419263456098</v>
      </c>
      <c r="P764" s="1402">
        <f>IFERROR(Model!P764/Model!L764-1,"NA")</f>
        <v>0.48657718120805371</v>
      </c>
      <c r="Q764" s="1402">
        <f>IFERROR(Model!Q764/Model!M764-1,"NA")</f>
        <v>0.14285714285714279</v>
      </c>
      <c r="R764" s="1402">
        <f>IFERROR(Model!R764/Model!N764-1,"NA")</f>
        <v>0.36108512628624889</v>
      </c>
      <c r="S764" s="1402">
        <f>IFERROR(Model!S764/Model!O764-1,"NA")</f>
        <v>2.6749633967789164</v>
      </c>
      <c r="T764" s="1402">
        <f>IFERROR(Model!T764/Model!P764-1,"NA")</f>
        <v>-7.5244544770504129E-2</v>
      </c>
      <c r="U764" s="1402">
        <f>IFERROR(Model!U764/Model!Q764-1,"NA")</f>
        <v>-0.10542168674698793</v>
      </c>
      <c r="V764" s="1402">
        <f>IFERROR(Model!V764/Model!R764-1,"NA")</f>
        <v>-0.93264604810996565</v>
      </c>
      <c r="W764" s="1402">
        <f>IFERROR(Model!W764/Model!S764-1,"NA")</f>
        <v>-0.98207171314741037</v>
      </c>
      <c r="X764" s="1402">
        <f>IFERROR(Model!X764/Model!T764-1,"NA")</f>
        <v>-0.93572009764035802</v>
      </c>
      <c r="Y764" s="1402">
        <f>IFERROR(Model!Y764/Model!U764-1,"NA")</f>
        <v>-1.4511784511784511</v>
      </c>
      <c r="Z764" s="1402">
        <f>IFERROR(Model!Z764/Model!V764-1,"NA")</f>
        <v>4.081632653061229E-2</v>
      </c>
      <c r="AA764" s="1402">
        <f>IFERROR(Model!AA764/Model!W764-1,"NA")</f>
        <v>10.066666666666666</v>
      </c>
      <c r="AB764" s="1402">
        <f>IFERROR(Model!AB764/Model!X764-1,"NA")</f>
        <v>3.2278481012658231</v>
      </c>
      <c r="AC764" s="1256" t="str">
        <f>IFERROR(Model!AC764/Model!Y764-1,"NA")</f>
        <v>NA</v>
      </c>
      <c r="AD764" s="1256" t="str">
        <f>IFERROR(Model!AD764/Model!Z764-1,"NA")</f>
        <v>NA</v>
      </c>
      <c r="AE764" s="1256" t="str">
        <f>IFERROR(Model!AE764/Model!AA764-1,"NA")</f>
        <v>NA</v>
      </c>
      <c r="AF764" s="1256" t="str">
        <f>IFERROR(Model!AF764/Model!AB764-1,"NA")</f>
        <v>NA</v>
      </c>
      <c r="AG764" s="1256" t="str">
        <f>IFERROR(Model!AG764/Model!AC764-1,"NA")</f>
        <v>NA</v>
      </c>
      <c r="AH764" s="1256" t="str">
        <f>IFERROR(Model!AH764/Model!AD764-1,"NA")</f>
        <v>NA</v>
      </c>
      <c r="AI764" s="1256" t="str">
        <f>IFERROR(Model!AI764/Model!AE764-1,"NA")</f>
        <v>NA</v>
      </c>
      <c r="AJ764" s="1256"/>
      <c r="AK764" s="1256"/>
      <c r="AL764" s="1256"/>
      <c r="AM764" s="1256"/>
      <c r="AN764" s="1256"/>
      <c r="AO764" s="1256"/>
      <c r="AP764" s="1256"/>
      <c r="AQ764" s="1256"/>
      <c r="AR764" s="1236"/>
      <c r="AS764" s="1400"/>
      <c r="AT764" s="1284"/>
      <c r="AU764" s="1246"/>
      <c r="AV764" s="1246">
        <f>IFERROR(Model!AV764/Model!AU764-1,"NA")</f>
        <v>-0.40543644716692195</v>
      </c>
      <c r="AW764" s="1246">
        <f>IFERROR(Model!AW764/Model!AV764-1,"NA")</f>
        <v>3.8956857694784297E-2</v>
      </c>
      <c r="AX764" s="1246">
        <f>IFERROR(Model!AX764/Model!AW764-1,"NA")</f>
        <v>0.84629687015804156</v>
      </c>
      <c r="AY764" s="1246">
        <f>IFERROR(Model!AY764/Model!AX764-1,"NA")</f>
        <v>-0.6700234978180597</v>
      </c>
      <c r="AZ764" s="1257" t="str">
        <f>IFERROR(Model!AZ764/Model!AY764-1,"NA")</f>
        <v>NA</v>
      </c>
      <c r="BA764" s="1257" t="str">
        <f>IFERROR(Model!BA764/Model!AZ764-1,"NA")</f>
        <v>NA</v>
      </c>
      <c r="BB764" s="1257" t="str">
        <f>IFERROR(Model!BB764/Model!BA764-1,"NA")</f>
        <v>NA</v>
      </c>
      <c r="BC764" s="1257" t="str">
        <f>IFERROR(Model!BC764/Model!BB764-1,"NA")</f>
        <v>NA</v>
      </c>
      <c r="BD764" s="1257" t="str">
        <f>IFERROR(Model!BD764/Model!BC764-1,"NA")</f>
        <v>NA</v>
      </c>
      <c r="BE764" s="1257" t="str">
        <f>IFERROR(Model!BE764/Model!BD764-1,"NA")</f>
        <v>NA</v>
      </c>
    </row>
    <row r="765" spans="1:69" s="160" customFormat="1" x14ac:dyDescent="0.2">
      <c r="A765" s="829"/>
      <c r="B765" s="623"/>
      <c r="C765" s="328" t="s">
        <v>1345</v>
      </c>
      <c r="D765" s="1482"/>
      <c r="E765" s="1482"/>
      <c r="F765" s="1482"/>
      <c r="G765" s="1482"/>
      <c r="H765" s="1482">
        <f>IFERROR(Model!H765/Model!D765-1,"NA")</f>
        <v>0.22937597283147015</v>
      </c>
      <c r="I765" s="1482">
        <f>IFERROR(Model!I765/Model!E765-1,"NA")</f>
        <v>0.1770145310435931</v>
      </c>
      <c r="J765" s="1482">
        <f>IFERROR(Model!J765/Model!F765-1,"NA")</f>
        <v>-4.2014302741358756E-2</v>
      </c>
      <c r="K765" s="1482">
        <f>IFERROR(Model!K765/Model!G765-1,"NA")</f>
        <v>-3.6402220045706812E-2</v>
      </c>
      <c r="L765" s="1482">
        <f>IFERROR(Model!L765/Model!H765-1,"NA")</f>
        <v>-2.7739410681399623E-2</v>
      </c>
      <c r="M765" s="1482">
        <f>IFERROR(Model!M765/Model!I765-1,"NA")</f>
        <v>-0.16060606060606064</v>
      </c>
      <c r="N765" s="1482">
        <f>IFERROR(Model!N765/Model!J765-1,"NA")</f>
        <v>0.1667185069984447</v>
      </c>
      <c r="O765" s="1482">
        <f>IFERROR(Model!O765/Model!K765-1,"NA")</f>
        <v>-1.77875656445875E-2</v>
      </c>
      <c r="P765" s="1482">
        <f>IFERROR(Model!P765/Model!L765-1,"NA")</f>
        <v>-3.3503018823250907E-2</v>
      </c>
      <c r="Q765" s="1482">
        <f>IFERROR(Model!Q765/Model!M765-1,"NA")</f>
        <v>2.2596603824040606E-2</v>
      </c>
      <c r="R765" s="1482">
        <f>IFERROR(Model!R765/Model!N765-1,"NA")</f>
        <v>-7.7712609970674529E-2</v>
      </c>
      <c r="S765" s="1482">
        <f>IFERROR(Model!S765/Model!O765-1,"NA")</f>
        <v>0.20610555363918603</v>
      </c>
      <c r="T765" s="1482">
        <f>IFERROR(Model!T765/Model!P765-1,"NA")</f>
        <v>-0.22488975992160709</v>
      </c>
      <c r="U765" s="1482">
        <f>IFERROR(Model!U765/Model!Q765-1,"NA")</f>
        <v>-0.17468619246861927</v>
      </c>
      <c r="V765" s="1482">
        <f>IFERROR(Model!V765/Model!R765-1,"NA")</f>
        <v>-9.2209856915739241E-2</v>
      </c>
      <c r="W765" s="1482">
        <f>IFERROR(Model!W765/Model!S765-1,"NA")</f>
        <v>-0.16344916344916349</v>
      </c>
      <c r="X765" s="1482">
        <f>IFERROR(Model!X765/Model!T765-1,"NA")</f>
        <v>0.17114412136536039</v>
      </c>
      <c r="Y765" s="1482">
        <f>IFERROR(Model!Y765/Model!U765-1,"NA")</f>
        <v>9.2680608365018902E-2</v>
      </c>
      <c r="Z765" s="1482">
        <f>IFERROR(Model!Z765/Model!V765-1,"NA")</f>
        <v>9.6003821047603966E-2</v>
      </c>
      <c r="AA765" s="1482">
        <f>IFERROR(Model!AA765/Model!W765-1,"NA")</f>
        <v>5.829059829059835E-2</v>
      </c>
      <c r="AB765" s="1482">
        <f>IFERROR(Model!AB765/Model!X765-1,"NA")</f>
        <v>3.8996086897854498E-2</v>
      </c>
      <c r="AC765" s="1483">
        <f>IFERROR(Model!AC765/Model!Y765-1,"NA")</f>
        <v>0.11419769618997355</v>
      </c>
      <c r="AD765" s="1483">
        <f>IFERROR(Model!AD765/Model!Z765-1,"NA")</f>
        <v>6.9780850361370605E-2</v>
      </c>
      <c r="AE765" s="1483">
        <f>IFERROR(Model!AE765/Model!AA765-1,"NA")</f>
        <v>5.8833848104901554E-2</v>
      </c>
      <c r="AF765" s="1483">
        <f>IFERROR(Model!AF765/Model!AB765-1,"NA")</f>
        <v>5.5121361176850403E-2</v>
      </c>
      <c r="AG765" s="1483">
        <f>IFERROR(Model!AG765/Model!AC765-1,"NA")</f>
        <v>3.5062123564979508E-2</v>
      </c>
      <c r="AH765" s="1483">
        <f>IFERROR(Model!AH765/Model!AD765-1,"NA")</f>
        <v>1.1828963764976219E-2</v>
      </c>
      <c r="AI765" s="1483">
        <f>IFERROR(Model!AI765/Model!AE765-1,"NA")</f>
        <v>-6.7822579744879485E-3</v>
      </c>
      <c r="AJ765" s="1413"/>
      <c r="AK765" s="1413"/>
      <c r="AL765" s="1413"/>
      <c r="AM765" s="1413"/>
      <c r="AN765" s="1413"/>
      <c r="AO765" s="1413"/>
      <c r="AP765" s="1413"/>
      <c r="AQ765" s="1413"/>
      <c r="AR765" s="1396"/>
      <c r="AS765" s="1448"/>
      <c r="AT765" s="1342"/>
      <c r="AU765" s="1396"/>
      <c r="AV765" s="1396">
        <f>IFERROR(Model!AV765/Model!AU765-1,"NA")</f>
        <v>8.9390354868061905E-2</v>
      </c>
      <c r="AW765" s="1396">
        <f>IFERROR(Model!AW765/Model!AV765-1,"NA")</f>
        <v>-2.35541746015836E-2</v>
      </c>
      <c r="AX765" s="1396">
        <f>IFERROR(Model!AX765/Model!AW765-1,"NA")</f>
        <v>1.7039622254157338E-2</v>
      </c>
      <c r="AY765" s="1396">
        <f>IFERROR(Model!AY765/Model!AX765-1,"NA")</f>
        <v>-0.16663302381913603</v>
      </c>
      <c r="AZ765" s="1396">
        <f>IFERROR(Model!AZ765/Model!AY765-1,"NA")</f>
        <v>0.10544588430018975</v>
      </c>
      <c r="BA765" s="1396">
        <f>IFERROR(Model!BA765/Model!AZ765-1,"NA")</f>
        <v>7.0161532269195082E-2</v>
      </c>
      <c r="BB765" s="1413">
        <f>IFERROR(Model!BB765/Model!BA765-1,"NA")</f>
        <v>2.513381513867885E-2</v>
      </c>
      <c r="BC765" s="1413">
        <f>IFERROR(Model!BC765/Model!BB765-1,"NA")</f>
        <v>3.6044454447064611E-2</v>
      </c>
      <c r="BD765" s="1413">
        <f>IFERROR(Model!BD765/Model!BC765-1,"NA")</f>
        <v>3.9068029174867736E-2</v>
      </c>
      <c r="BE765" s="1413">
        <f>IFERROR(Model!BE765/Model!BD765-1,"NA")</f>
        <v>4.1022708116847273E-2</v>
      </c>
    </row>
    <row r="766" spans="1:69" x14ac:dyDescent="0.2">
      <c r="B766" s="315"/>
      <c r="C766" s="327"/>
      <c r="D766" s="1410"/>
      <c r="E766" s="1410"/>
      <c r="F766" s="1410"/>
      <c r="G766" s="1410"/>
      <c r="H766" s="1410"/>
      <c r="I766" s="1410"/>
      <c r="J766" s="1410"/>
      <c r="K766" s="1410"/>
      <c r="L766" s="1410"/>
      <c r="M766" s="1410"/>
      <c r="N766" s="1410"/>
      <c r="O766" s="1410"/>
      <c r="P766" s="1410"/>
      <c r="Q766" s="1410"/>
      <c r="R766" s="1410"/>
      <c r="S766" s="1410"/>
      <c r="T766" s="1410"/>
      <c r="U766" s="1410"/>
      <c r="V766" s="1410"/>
      <c r="W766" s="1410"/>
      <c r="X766" s="1410"/>
      <c r="Y766" s="1410"/>
      <c r="Z766" s="1410"/>
      <c r="AA766" s="1410"/>
      <c r="AB766" s="1410"/>
      <c r="AC766" s="407"/>
      <c r="AD766" s="407"/>
      <c r="AE766" s="407"/>
      <c r="AF766" s="407"/>
      <c r="AG766" s="407"/>
      <c r="AH766" s="407"/>
      <c r="AI766" s="407"/>
      <c r="AJ766" s="407"/>
      <c r="AK766" s="407"/>
      <c r="AL766" s="407"/>
      <c r="AM766" s="407"/>
      <c r="AN766" s="407"/>
      <c r="AO766" s="407"/>
      <c r="AP766" s="407"/>
      <c r="AQ766" s="407"/>
      <c r="AR766" s="1236"/>
      <c r="AS766" s="1400"/>
      <c r="AT766" s="1284"/>
      <c r="AU766" s="1236"/>
      <c r="AV766" s="1236"/>
      <c r="AW766" s="1236"/>
      <c r="AX766" s="1236"/>
      <c r="AY766" s="1236"/>
      <c r="AZ766" s="1236"/>
      <c r="BA766" s="1236"/>
      <c r="BB766" s="407"/>
      <c r="BC766" s="407"/>
      <c r="BD766" s="407"/>
      <c r="BE766" s="407"/>
    </row>
    <row r="767" spans="1:69" x14ac:dyDescent="0.2">
      <c r="B767" s="328" t="s">
        <v>1346</v>
      </c>
      <c r="C767" s="71"/>
      <c r="D767" s="1413"/>
      <c r="E767" s="1413"/>
      <c r="F767" s="1413"/>
      <c r="G767" s="1413"/>
      <c r="H767" s="1413">
        <f>IFERROR(Model!H767/Model!D767-1,"NA")</f>
        <v>8.0773907067716921E-2</v>
      </c>
      <c r="I767" s="1413">
        <f>IFERROR(Model!I767/Model!E767-1,"NA")</f>
        <v>8.3904020074232921E-2</v>
      </c>
      <c r="J767" s="1413">
        <f>IFERROR(Model!J767/Model!F767-1,"NA")</f>
        <v>-2.8291738382099862E-2</v>
      </c>
      <c r="K767" s="1413">
        <f>IFERROR(Model!K767/Model!G767-1,"NA")</f>
        <v>-9.6286107290234346E-3</v>
      </c>
      <c r="L767" s="1413">
        <f>IFERROR(Model!L767/Model!H767-1,"NA")</f>
        <v>-5.429200293470271E-3</v>
      </c>
      <c r="M767" s="1413">
        <f>IFERROR(Model!M767/Model!I767-1,"NA")</f>
        <v>-5.7297193016301762E-2</v>
      </c>
      <c r="N767" s="1413">
        <f>IFERROR(Model!N767/Model!J767-1,"NA")</f>
        <v>9.6700985276209517E-2</v>
      </c>
      <c r="O767" s="1413">
        <f>IFERROR(Model!O767/Model!K767-1,"NA")</f>
        <v>1.2777777777777111E-3</v>
      </c>
      <c r="P767" s="1413">
        <f>IFERROR(Model!P767/Model!L767-1,"NA")</f>
        <v>-2.3359889839677406E-2</v>
      </c>
      <c r="Q767" s="1413">
        <f>IFERROR(Model!Q767/Model!M767-1,"NA")</f>
        <v>2.6092295098740781E-3</v>
      </c>
      <c r="R767" s="1413">
        <f>IFERROR(Model!R767/Model!N767-1,"NA")</f>
        <v>-5.0724271942663934E-2</v>
      </c>
      <c r="S767" s="1413">
        <f>IFERROR(Model!S767/Model!O767-1,"NA")</f>
        <v>3.1126893413971013E-2</v>
      </c>
      <c r="T767" s="1413">
        <f>IFERROR(Model!T767/Model!P767-1,"NA")</f>
        <v>-0.11002568105141242</v>
      </c>
      <c r="U767" s="1413">
        <f>IFERROR(Model!U767/Model!Q767-1,"NA")</f>
        <v>-9.8688574781854332E-2</v>
      </c>
      <c r="V767" s="1413">
        <f>IFERROR(Model!V767/Model!R767-1,"NA")</f>
        <v>-4.9659719268396407E-2</v>
      </c>
      <c r="W767" s="1413">
        <f>IFERROR(Model!W767/Model!S767-1,"NA")</f>
        <v>-7.8508394317692631E-2</v>
      </c>
      <c r="X767" s="1413">
        <f>IFERROR(Model!X767/Model!T767-1,"NA")</f>
        <v>4.6112934253706106E-2</v>
      </c>
      <c r="Y767" s="1413">
        <f>IFERROR(Model!Y767/Model!U767-1,"NA")</f>
        <v>3.4761931721678074E-2</v>
      </c>
      <c r="Z767" s="1413">
        <f>IFERROR(Model!Z767/Model!V767-1,"NA")</f>
        <v>3.7372720152176298E-2</v>
      </c>
      <c r="AA767" s="1413">
        <f>IFERROR(Model!AA767/Model!W767-1,"NA")</f>
        <v>2.9605839416058322E-2</v>
      </c>
      <c r="AB767" s="1413">
        <f>IFERROR(Model!AB767/Model!X767-1,"NA")</f>
        <v>2.4176537400616649E-2</v>
      </c>
      <c r="AC767" s="1413">
        <f>IFERROR(Model!AC767/Model!Y767-1,"NA")</f>
        <v>4.7831279775734759E-2</v>
      </c>
      <c r="AD767" s="1413">
        <f>IFERROR(Model!AD767/Model!Z767-1,"NA")</f>
        <v>3.642595598753906E-2</v>
      </c>
      <c r="AE767" s="1413">
        <f>IFERROR(Model!AE767/Model!AA767-1,"NA")</f>
        <v>6.1334003778692914E-2</v>
      </c>
      <c r="AF767" s="1413">
        <f>IFERROR(Model!AF767/Model!AB767-1,"NA")</f>
        <v>6.3550856359220642E-2</v>
      </c>
      <c r="AG767" s="1413">
        <f>IFERROR(Model!AG767/Model!AC767-1,"NA")</f>
        <v>6.0703331284877926E-2</v>
      </c>
      <c r="AH767" s="1413">
        <f>IFERROR(Model!AH767/Model!AD767-1,"NA")</f>
        <v>5.6196745073569643E-2</v>
      </c>
      <c r="AI767" s="1413">
        <f>IFERROR(Model!AI767/Model!AE767-1,"NA")</f>
        <v>5.3876143018639189E-2</v>
      </c>
      <c r="AJ767" s="1413"/>
      <c r="AK767" s="1413"/>
      <c r="AL767" s="1413"/>
      <c r="AM767" s="1413"/>
      <c r="AN767" s="1413"/>
      <c r="AO767" s="1413"/>
      <c r="AP767" s="1413"/>
      <c r="AQ767" s="1413"/>
      <c r="AR767" s="1236"/>
      <c r="AS767" s="1342"/>
      <c r="AT767" s="1318"/>
      <c r="AU767" s="1413"/>
      <c r="AV767" s="1413">
        <f>IFERROR(Model!AV767/Model!AU767-1,"NA")</f>
        <v>3.2507719246654965E-2</v>
      </c>
      <c r="AW767" s="1413">
        <f>IFERROR(Model!AW767/Model!AV767-1,"NA")</f>
        <v>6.0974820376722416E-3</v>
      </c>
      <c r="AX767" s="1413">
        <f>IFERROR(Model!AX767/Model!AW767-1,"NA")</f>
        <v>-1.1168871274898295E-2</v>
      </c>
      <c r="AY767" s="1413">
        <f>IFERROR(Model!AY767/Model!AX767-1,"NA")</f>
        <v>-8.4738704976056622E-2</v>
      </c>
      <c r="AZ767" s="1413">
        <f>IFERROR(Model!AZ767/Model!AY767-1,"NA")</f>
        <v>3.7022292993630579E-2</v>
      </c>
      <c r="BA767" s="1413">
        <f>IFERROR(Model!BA767/Model!AZ767-1,"NA")</f>
        <v>4.2199938730572706E-2</v>
      </c>
      <c r="BB767" s="1413">
        <f>IFERROR(Model!BB767/Model!BA767-1,"NA")</f>
        <v>5.859272284687389E-2</v>
      </c>
      <c r="BC767" s="1413">
        <f>IFERROR(Model!BC767/Model!BB767-1,"NA")</f>
        <v>5.3679109873512321E-2</v>
      </c>
      <c r="BD767" s="1413">
        <f>IFERROR(Model!BD767/Model!BC767-1,"NA")</f>
        <v>5.1353754027962939E-2</v>
      </c>
      <c r="BE767" s="1413">
        <f>IFERROR(Model!BE767/Model!BD767-1,"NA")</f>
        <v>4.8527491652659016E-2</v>
      </c>
    </row>
    <row r="768" spans="1:69" x14ac:dyDescent="0.2">
      <c r="B768" s="328"/>
      <c r="C768" s="70" t="s">
        <v>408</v>
      </c>
      <c r="D768" s="1402"/>
      <c r="E768" s="1402"/>
      <c r="F768" s="1402"/>
      <c r="G768" s="1402"/>
      <c r="H768" s="1402">
        <f>IFERROR(Model!H768/Model!D768-1,"NA")</f>
        <v>-0.75232919254658381</v>
      </c>
      <c r="I768" s="1402">
        <f>IFERROR(Model!I768/Model!E768-1,"NA")</f>
        <v>1.1780821917808217</v>
      </c>
      <c r="J768" s="1402">
        <f>IFERROR(Model!J768/Model!F768-1,"NA")</f>
        <v>-0.5670103092783505</v>
      </c>
      <c r="K768" s="1402">
        <f>IFERROR(Model!K768/Model!G768-1,"NA")</f>
        <v>-0.66185567010309276</v>
      </c>
      <c r="L768" s="1402">
        <f>IFERROR(Model!L768/Model!H768-1,"NA")</f>
        <v>-1.0219435736677116</v>
      </c>
      <c r="M768" s="1402">
        <f>IFERROR(Model!M768/Model!I768-1,"NA")</f>
        <v>-1.0691823899371069</v>
      </c>
      <c r="N768" s="1402">
        <f>IFERROR(Model!N768/Model!J768-1,"NA")</f>
        <v>0.10416666666666674</v>
      </c>
      <c r="O768" s="1402">
        <f>IFERROR(Model!O768/Model!K768-1,"NA")</f>
        <v>-1.0426829268292683</v>
      </c>
      <c r="P768" s="1402">
        <f>IFERROR(Model!P768/Model!L768-1,"NA")</f>
        <v>-11.428571428571429</v>
      </c>
      <c r="Q768" s="1402">
        <f>IFERROR(Model!Q768/Model!M768-1,"NA")</f>
        <v>-10.454545454545455</v>
      </c>
      <c r="R768" s="1402">
        <f>IFERROR(Model!R768/Model!N768-1,"NA")</f>
        <v>-1.5283018867924527</v>
      </c>
      <c r="S768" s="1402">
        <f>IFERROR(Model!S768/Model!O768-1,"NA")</f>
        <v>-26.857142857142858</v>
      </c>
      <c r="T768" s="1402">
        <f>IFERROR(Model!T768/Model!P768-1,"NA")</f>
        <v>-1</v>
      </c>
      <c r="U768" s="1402">
        <f>IFERROR(Model!U768/Model!Q768-1,"NA")</f>
        <v>-1</v>
      </c>
      <c r="V768" s="1402">
        <f>IFERROR(Model!V768/Model!R768-1,"NA")</f>
        <v>-1</v>
      </c>
      <c r="W768" s="1402">
        <f>IFERROR(Model!W768/Model!S768-1,"NA")</f>
        <v>-1</v>
      </c>
      <c r="X768" s="1402" t="str">
        <f>IFERROR(Model!X768/Model!T768-1,"NA")</f>
        <v>NA</v>
      </c>
      <c r="Y768" s="1402" t="str">
        <f>IFERROR(Model!Y768/Model!U768-1,"NA")</f>
        <v>NA</v>
      </c>
      <c r="Z768" s="1402" t="str">
        <f>IFERROR(Model!Z768/Model!V768-1,"NA")</f>
        <v>NA</v>
      </c>
      <c r="AA768" s="1402" t="str">
        <f>IFERROR(Model!AA768/Model!W768-1,"NA")</f>
        <v>NA</v>
      </c>
      <c r="AB768" s="1402" t="str">
        <f>IFERROR(Model!AB768/Model!X768-1,"NA")</f>
        <v>NA</v>
      </c>
      <c r="AC768" s="1402" t="str">
        <f>IFERROR(Model!AC768/Model!Y768-1,"NA")</f>
        <v>NA</v>
      </c>
      <c r="AD768" s="1402" t="str">
        <f>IFERROR(Model!AD768/Model!Z768-1,"NA")</f>
        <v>NA</v>
      </c>
      <c r="AE768" s="1402" t="str">
        <f>IFERROR(Model!AE768/Model!AA768-1,"NA")</f>
        <v>NA</v>
      </c>
      <c r="AF768" s="1402" t="str">
        <f>IFERROR(Model!AF768/Model!AB768-1,"NA")</f>
        <v>NA</v>
      </c>
      <c r="AG768" s="1402" t="str">
        <f>IFERROR(Model!AG768/Model!AC768-1,"NA")</f>
        <v>NA</v>
      </c>
      <c r="AH768" s="1402" t="str">
        <f>IFERROR(Model!AH768/Model!AD768-1,"NA")</f>
        <v>NA</v>
      </c>
      <c r="AI768" s="1402" t="str">
        <f>IFERROR(Model!AI768/Model!AE768-1,"NA")</f>
        <v>NA</v>
      </c>
      <c r="AJ768" s="1410"/>
      <c r="AK768" s="1410"/>
      <c r="AL768" s="1410"/>
      <c r="AM768" s="1410"/>
      <c r="AN768" s="1410"/>
      <c r="AO768" s="1410"/>
      <c r="AP768" s="1410"/>
      <c r="AQ768" s="1410"/>
      <c r="AR768" s="1236"/>
      <c r="AS768" s="1342"/>
      <c r="AT768" s="1236"/>
      <c r="AU768" s="1236"/>
      <c r="AV768" s="1236">
        <f>IFERROR(Model!AV768/Model!AU768-1,"NA")</f>
        <v>-0.85321888412017166</v>
      </c>
      <c r="AW768" s="1236">
        <f>IFERROR(Model!AW768/Model!AV768-1,"NA")</f>
        <v>0.14035087719298245</v>
      </c>
      <c r="AX768" s="1236">
        <f>IFERROR(Model!AX768/Model!AW768-1,"NA")</f>
        <v>-1.6512820512820512</v>
      </c>
      <c r="AY768" s="1236">
        <f>IFERROR(Model!AY768/Model!AX768-1,"NA")</f>
        <v>-1</v>
      </c>
      <c r="AZ768" s="1236" t="str">
        <f>IFERROR(Model!AZ768/Model!AY768-1,"NA")</f>
        <v>NA</v>
      </c>
      <c r="BA768" s="1236" t="str">
        <f>IFERROR(Model!BA768/Model!AZ768-1,"NA")</f>
        <v>NA</v>
      </c>
      <c r="BB768" s="1410" t="str">
        <f>IFERROR(Model!BB768/Model!BA768-1,"NA")</f>
        <v>NA</v>
      </c>
      <c r="BC768" s="1410" t="str">
        <f>IFERROR(Model!BC768/Model!BB768-1,"NA")</f>
        <v>NA</v>
      </c>
      <c r="BD768" s="1410" t="str">
        <f>IFERROR(Model!BD768/Model!BC768-1,"NA")</f>
        <v>NA</v>
      </c>
      <c r="BE768" s="1410" t="str">
        <f>IFERROR(Model!BE768/Model!BD768-1,"NA")</f>
        <v>NA</v>
      </c>
      <c r="BM768" s="160"/>
      <c r="BN768" s="160"/>
      <c r="BO768" s="160"/>
      <c r="BP768" s="160"/>
    </row>
    <row r="769" spans="1:69" x14ac:dyDescent="0.2">
      <c r="B769" s="328" t="s">
        <v>1347</v>
      </c>
      <c r="D769" s="1413"/>
      <c r="E769" s="1413"/>
      <c r="F769" s="1413"/>
      <c r="G769" s="1413"/>
      <c r="H769" s="1413">
        <f>IFERROR(Model!H769/Model!D769-1,"NA")</f>
        <v>2.766641920316748E-2</v>
      </c>
      <c r="I769" s="1413">
        <f>IFERROR(Model!I769/Model!E769-1,"NA")</f>
        <v>7.1232152300370277E-2</v>
      </c>
      <c r="J769" s="1413">
        <f>IFERROR(Model!J769/Model!F769-1,"NA")</f>
        <v>-4.9876084262701403E-2</v>
      </c>
      <c r="K769" s="1413">
        <f>IFERROR(Model!K769/Model!G769-1,"NA")</f>
        <v>-2.6580921757770604E-2</v>
      </c>
      <c r="L769" s="1413">
        <f>IFERROR(Model!L769/Model!H769-1,"NA")</f>
        <v>-2.1046041225197487E-2</v>
      </c>
      <c r="M769" s="1413">
        <f>IFERROR(Model!M769/Model!I769-1,"NA")</f>
        <v>-3.3469911635484073E-2</v>
      </c>
      <c r="N769" s="1413">
        <f>IFERROR(Model!N769/Model!J769-1,"NA")</f>
        <v>9.6837300293446393E-2</v>
      </c>
      <c r="O769" s="1413">
        <f>IFERROR(Model!O769/Model!K769-1,"NA")</f>
        <v>-8.1479850253247665E-3</v>
      </c>
      <c r="P769" s="1413">
        <f>IFERROR(Model!P769/Model!L769-1,"NA")</f>
        <v>-1.9432282186254701E-2</v>
      </c>
      <c r="Q769" s="1413">
        <f>IFERROR(Model!Q769/Model!M769-1,"NA")</f>
        <v>-1.501608866642834E-2</v>
      </c>
      <c r="R769" s="1413">
        <f>IFERROR(Model!R769/Model!N769-1,"NA")</f>
        <v>-7.788347205707491E-2</v>
      </c>
      <c r="S769" s="1413">
        <f>IFERROR(Model!S769/Model!O769-1,"NA")</f>
        <v>4.1574156305506316E-2</v>
      </c>
      <c r="T769" s="1413">
        <f>IFERROR(Model!T769/Model!P769-1,"NA")</f>
        <v>-0.11328516957656032</v>
      </c>
      <c r="U769" s="1413">
        <f>IFERROR(Model!U769/Model!Q769-1,"NA")</f>
        <v>-8.4106818771065628E-2</v>
      </c>
      <c r="V769" s="1413">
        <f>IFERROR(Model!V769/Model!R769-1,"NA")</f>
        <v>-3.9651837524178002E-2</v>
      </c>
      <c r="W769" s="1413">
        <f>IFERROR(Model!W769/Model!S769-1,"NA")</f>
        <v>-8.7396749267252827E-2</v>
      </c>
      <c r="X769" s="1413">
        <f>IFERROR(Model!X769/Model!T769-1,"NA")</f>
        <v>4.6112934253706106E-2</v>
      </c>
      <c r="Y769" s="1413">
        <f>IFERROR(Model!Y769/Model!U769-1,"NA")</f>
        <v>3.4761931721678074E-2</v>
      </c>
      <c r="Z769" s="1413">
        <f>IFERROR(Model!Z769/Model!V769-1,"NA")</f>
        <v>3.7372720152176298E-2</v>
      </c>
      <c r="AA769" s="1413">
        <f>IFERROR(Model!AA769/Model!W769-1,"NA")</f>
        <v>2.9605839416058322E-2</v>
      </c>
      <c r="AB769" s="1413">
        <f>IFERROR(Model!AB769/Model!X769-1,"NA")</f>
        <v>2.4176537400616649E-2</v>
      </c>
      <c r="AC769" s="1413">
        <f>IFERROR(Model!AC769/Model!Y769-1,"NA")</f>
        <v>4.7831279775734759E-2</v>
      </c>
      <c r="AD769" s="1413">
        <f>IFERROR(Model!AD769/Model!Z769-1,"NA")</f>
        <v>3.642595598753906E-2</v>
      </c>
      <c r="AE769" s="1413">
        <f>IFERROR(Model!AE769/Model!AA769-1,"NA")</f>
        <v>6.1334003778692914E-2</v>
      </c>
      <c r="AF769" s="1413">
        <f>IFERROR(Model!AF769/Model!AB769-1,"NA")</f>
        <v>6.3550856359220642E-2</v>
      </c>
      <c r="AG769" s="1413">
        <f>IFERROR(Model!AG769/Model!AC769-1,"NA")</f>
        <v>6.0703331284877926E-2</v>
      </c>
      <c r="AH769" s="1413">
        <f>IFERROR(Model!AH769/Model!AD769-1,"NA")</f>
        <v>5.6196745073569643E-2</v>
      </c>
      <c r="AI769" s="1413">
        <f>IFERROR(Model!AI769/Model!AE769-1,"NA")</f>
        <v>5.3876143018639189E-2</v>
      </c>
      <c r="AJ769" s="1413"/>
      <c r="AK769" s="1413"/>
      <c r="AL769" s="1413"/>
      <c r="AM769" s="1413"/>
      <c r="AN769" s="1413"/>
      <c r="AO769" s="1413"/>
      <c r="AP769" s="1413"/>
      <c r="AQ769" s="1413"/>
      <c r="AR769" s="1236"/>
      <c r="AS769" s="1342"/>
      <c r="AT769" s="407"/>
      <c r="AU769" s="1396"/>
      <c r="AV769" s="1396">
        <f>IFERROR(Model!AV769/Model!AU769-1,"NA")</f>
        <v>5.7555448971391421E-3</v>
      </c>
      <c r="AW769" s="1396">
        <f>IFERROR(Model!AW769/Model!AV769-1,"NA")</f>
        <v>6.6892649541805405E-3</v>
      </c>
      <c r="AX769" s="1396">
        <f>IFERROR(Model!AX769/Model!AW769-1,"NA")</f>
        <v>-1.9358307940491093E-2</v>
      </c>
      <c r="AY769" s="1396">
        <f>IFERROR(Model!AY769/Model!AX769-1,"NA")</f>
        <v>-8.1703527691464051E-2</v>
      </c>
      <c r="AZ769" s="1396">
        <f>IFERROR(Model!AZ769/Model!AY769-1,"NA")</f>
        <v>3.7022292993630579E-2</v>
      </c>
      <c r="BA769" s="1396">
        <f>IFERROR(Model!BA769/Model!AZ769-1,"NA")</f>
        <v>4.2199938730572706E-2</v>
      </c>
      <c r="BB769" s="1413">
        <f>IFERROR(Model!BB769/Model!BA769-1,"NA")</f>
        <v>5.859272284687389E-2</v>
      </c>
      <c r="BC769" s="1413">
        <f>IFERROR(Model!BC769/Model!BB769-1,"NA")</f>
        <v>5.3679109873512321E-2</v>
      </c>
      <c r="BD769" s="1413">
        <f>IFERROR(Model!BD769/Model!BC769-1,"NA")</f>
        <v>5.1353754027962939E-2</v>
      </c>
      <c r="BE769" s="1413">
        <f>IFERROR(Model!BE769/Model!BD769-1,"NA")</f>
        <v>4.8527491652659016E-2</v>
      </c>
    </row>
    <row r="770" spans="1:69" x14ac:dyDescent="0.2">
      <c r="D770" s="407"/>
      <c r="E770" s="407"/>
      <c r="F770" s="407"/>
      <c r="G770" s="407"/>
      <c r="H770" s="407"/>
      <c r="I770" s="407"/>
      <c r="J770" s="407"/>
      <c r="K770" s="407"/>
      <c r="L770" s="407"/>
      <c r="M770" s="407"/>
      <c r="N770" s="407"/>
      <c r="O770" s="407"/>
      <c r="P770" s="407"/>
      <c r="Q770" s="407"/>
      <c r="R770" s="407"/>
      <c r="S770" s="407"/>
      <c r="T770" s="407"/>
      <c r="U770" s="407"/>
      <c r="V770" s="407"/>
      <c r="W770" s="407"/>
      <c r="X770" s="407"/>
      <c r="Y770" s="407"/>
      <c r="Z770" s="407"/>
      <c r="AA770" s="407"/>
      <c r="AB770" s="407"/>
      <c r="AC770" s="1318"/>
      <c r="AD770" s="1318"/>
      <c r="AE770" s="1318"/>
      <c r="AF770" s="1318"/>
      <c r="AG770" s="1318"/>
      <c r="AH770" s="1318"/>
      <c r="AI770" s="1318"/>
      <c r="AJ770" s="1318"/>
      <c r="AK770" s="1318"/>
      <c r="AL770" s="1318"/>
      <c r="AM770" s="1318"/>
      <c r="AN770" s="1318"/>
      <c r="AO770" s="1318"/>
      <c r="AP770" s="1318"/>
      <c r="AQ770" s="1318"/>
      <c r="AR770" s="1236"/>
      <c r="AS770" s="1382"/>
      <c r="AT770" s="407"/>
      <c r="AU770" s="1236"/>
      <c r="AV770" s="1236"/>
      <c r="AW770" s="1236"/>
      <c r="AX770" s="1236"/>
      <c r="AY770" s="1236"/>
      <c r="AZ770" s="1236"/>
      <c r="BA770" s="1236"/>
      <c r="BB770" s="1318"/>
      <c r="BC770" s="1318"/>
      <c r="BD770" s="1318"/>
      <c r="BE770" s="1318"/>
    </row>
    <row r="771" spans="1:69" x14ac:dyDescent="0.2">
      <c r="B771" s="110" t="s">
        <v>184</v>
      </c>
      <c r="D771" s="407"/>
      <c r="E771" s="407"/>
      <c r="F771" s="407"/>
      <c r="G771" s="407"/>
      <c r="H771" s="407"/>
      <c r="I771" s="407"/>
      <c r="J771" s="407"/>
      <c r="K771" s="407"/>
      <c r="L771" s="407"/>
      <c r="M771" s="407"/>
      <c r="N771" s="407"/>
      <c r="O771" s="407"/>
      <c r="P771" s="407"/>
      <c r="Q771" s="407"/>
      <c r="R771" s="407"/>
      <c r="S771" s="407"/>
      <c r="T771" s="407"/>
      <c r="U771" s="407"/>
      <c r="V771" s="407"/>
      <c r="W771" s="407"/>
      <c r="X771" s="407"/>
      <c r="Y771" s="407"/>
      <c r="Z771" s="1318"/>
      <c r="AA771" s="1318"/>
      <c r="AB771" s="1318"/>
      <c r="AC771" s="1318"/>
      <c r="AD771" s="1318"/>
      <c r="AE771" s="1318"/>
      <c r="AF771" s="1318"/>
      <c r="AG771" s="1318"/>
      <c r="AH771" s="1318"/>
      <c r="AI771" s="1318"/>
      <c r="AJ771" s="1318"/>
      <c r="AK771" s="1318"/>
      <c r="AL771" s="1318"/>
      <c r="AM771" s="1318"/>
      <c r="AN771" s="1318"/>
      <c r="AO771" s="1318"/>
      <c r="AP771" s="1318"/>
      <c r="AQ771" s="1318"/>
      <c r="AR771" s="1236"/>
      <c r="AS771" s="1484"/>
      <c r="AT771" s="407"/>
      <c r="AU771" s="1236"/>
      <c r="AV771" s="1236"/>
      <c r="AW771" s="1236"/>
      <c r="AX771" s="1236"/>
      <c r="AY771" s="1236"/>
      <c r="AZ771" s="1236"/>
      <c r="BA771" s="1236"/>
      <c r="BB771" s="1318"/>
      <c r="BC771" s="1318"/>
      <c r="BD771" s="1318"/>
      <c r="BE771" s="1318"/>
    </row>
    <row r="772" spans="1:69" x14ac:dyDescent="0.2">
      <c r="B772" s="315" t="s">
        <v>1</v>
      </c>
      <c r="D772" s="1325"/>
      <c r="E772" s="1325"/>
      <c r="F772" s="1325"/>
      <c r="G772" s="1325"/>
      <c r="H772" s="1325">
        <f>IFERROR(Model!H772/Model!D772-1,"NA")</f>
        <v>-4.2439484438855368E-3</v>
      </c>
      <c r="I772" s="1325">
        <f>IFERROR(Model!I772/Model!E772-1,"NA")</f>
        <v>-4.9140049140049546E-3</v>
      </c>
      <c r="J772" s="1325">
        <f>IFERROR(Model!J772/Model!F772-1,"NA")</f>
        <v>-4.6621953214460943E-2</v>
      </c>
      <c r="K772" s="1325">
        <f>IFERROR(Model!K772/Model!G772-1,"NA")</f>
        <v>-0.12387215170515364</v>
      </c>
      <c r="L772" s="1325">
        <f>IFERROR(Model!L772/Model!H772-1,"NA")</f>
        <v>-5.1302288871349688E-2</v>
      </c>
      <c r="M772" s="1325">
        <f>IFERROR(Model!M772/Model!I772-1,"NA")</f>
        <v>-7.7366255144032392E-3</v>
      </c>
      <c r="N772" s="1325">
        <f>IFERROR(Model!N772/Model!J772-1,"NA")</f>
        <v>4.9073438572408978E-2</v>
      </c>
      <c r="O772" s="1325">
        <f>IFERROR(Model!O772/Model!K772-1,"NA")</f>
        <v>1.3614941525571744E-2</v>
      </c>
      <c r="P772" s="1325">
        <f>IFERROR(Model!P772/Model!L772-1,"NA")</f>
        <v>-8.1530782029950122E-2</v>
      </c>
      <c r="Q772" s="1325">
        <f>IFERROR(Model!Q772/Model!M772-1,"NA")</f>
        <v>-9.0411413404114183E-2</v>
      </c>
      <c r="R772" s="1325">
        <f>IFERROR(Model!R772/Model!N772-1,"NA")</f>
        <v>-0.12970232253843639</v>
      </c>
      <c r="S772" s="1325">
        <f>IFERROR(Model!S772/Model!O772-1,"NA")</f>
        <v>-6.2338556914069199E-2</v>
      </c>
      <c r="T772" s="1325">
        <f>IFERROR(Model!T772/Model!P772-1,"NA")</f>
        <v>6.521739130434856E-3</v>
      </c>
      <c r="U772" s="1325">
        <f>IFERROR(Model!U772/Model!Q772-1,"NA")</f>
        <v>-4.6325004559547689E-2</v>
      </c>
      <c r="V772" s="1325">
        <f>IFERROR(Model!V772/Model!R772-1,"NA")</f>
        <v>-2.2176282653636581E-2</v>
      </c>
      <c r="W772" s="1325">
        <f>IFERROR(Model!W772/Model!S772-1,"NA")</f>
        <v>-8.5032139577594146E-2</v>
      </c>
      <c r="X772" s="1325">
        <f>IFERROR(Model!X772/Model!T772-1,"NA")</f>
        <v>-3.9596832253420144E-3</v>
      </c>
      <c r="Y772" s="1325">
        <f>IFERROR(Model!Y772/Model!U772-1,"NA")</f>
        <v>4.4750430292598953E-2</v>
      </c>
      <c r="Z772" s="1325">
        <f>IFERROR(Model!Z772/Model!V772-1,"NA")</f>
        <v>1.9411877762829155E-2</v>
      </c>
      <c r="AA772" s="1325">
        <f>IFERROR(Model!AA772/Model!W772-1,"NA")</f>
        <v>-2.0473705339221215E-2</v>
      </c>
      <c r="AB772" s="1325">
        <f>IFERROR(Model!AB772/Model!X772-1,"NA")</f>
        <v>4.9331405854716293E-2</v>
      </c>
      <c r="AC772" s="1256">
        <f>IFERROR(Model!AC772/Model!Y772-1,"NA")</f>
        <v>1.6630343608588616E-2</v>
      </c>
      <c r="AD772" s="1256">
        <f>IFERROR(Model!AD772/Model!Z772-1,"NA")</f>
        <v>5.07256640303686E-2</v>
      </c>
      <c r="AE772" s="1256">
        <f>IFERROR(Model!AE772/Model!AA772-1,"NA")</f>
        <v>7.3722033462142678E-2</v>
      </c>
      <c r="AF772" s="1256">
        <f>IFERROR(Model!AF772/Model!AB772-1,"NA")</f>
        <v>5.7561072232268362E-3</v>
      </c>
      <c r="AG772" s="1256">
        <f>IFERROR(Model!AG772/Model!AC772-1,"NA")</f>
        <v>5.8393658735913512E-3</v>
      </c>
      <c r="AH772" s="1256">
        <f>IFERROR(Model!AH772/Model!AD772-1,"NA")</f>
        <v>1.5658789490748948E-3</v>
      </c>
      <c r="AI772" s="1256">
        <f>IFERROR(Model!AI772/Model!AE772-1,"NA")</f>
        <v>3.5056926179020786E-2</v>
      </c>
      <c r="AJ772" s="1256"/>
      <c r="AK772" s="1256"/>
      <c r="AL772" s="1256"/>
      <c r="AM772" s="1256"/>
      <c r="AN772" s="1256"/>
      <c r="AO772" s="1256"/>
      <c r="AP772" s="1256"/>
      <c r="AQ772" s="1256"/>
      <c r="AR772" s="1236"/>
      <c r="AS772" s="1400"/>
      <c r="AT772" s="407"/>
      <c r="AU772" s="1236"/>
      <c r="AV772" s="1236">
        <f>IFERROR(Model!AV772/Model!AU772-1,"NA")</f>
        <v>-4.586169831601572E-2</v>
      </c>
      <c r="AW772" s="1236">
        <f>IFERROR(Model!AW772/Model!AV772-1,"NA")</f>
        <v>-3.337922977427743E-4</v>
      </c>
      <c r="AX772" s="1236">
        <f>IFERROR(Model!AX772/Model!AW772-1,"NA")</f>
        <v>-9.1406152176635058E-2</v>
      </c>
      <c r="AY772" s="1236">
        <f>IFERROR(Model!AY772/Model!AX772-1,"NA")</f>
        <v>-3.6703569295787553E-2</v>
      </c>
      <c r="AZ772" s="1256">
        <f>IFERROR(Model!AZ772/Model!AY772-1,"NA")</f>
        <v>1.0061993323795981E-2</v>
      </c>
      <c r="BA772" s="1256">
        <f>IFERROR(Model!BA772/Model!AZ772-1,"NA")</f>
        <v>4.6865776518863589E-2</v>
      </c>
      <c r="BB772" s="1256">
        <f>IFERROR(Model!BB772/Model!BA772-1,"NA")</f>
        <v>1.1647755140028249E-2</v>
      </c>
      <c r="BC772" s="1256">
        <f>IFERROR(Model!BC772/Model!BB772-1,"NA")</f>
        <v>5.8389013162301495E-2</v>
      </c>
      <c r="BD772" s="1256">
        <f>IFERROR(Model!BD772/Model!BC772-1,"NA")</f>
        <v>5.1353754027962939E-2</v>
      </c>
      <c r="BE772" s="1256">
        <f>IFERROR(Model!BE772/Model!BD772-1,"NA")</f>
        <v>4.8527491652659016E-2</v>
      </c>
    </row>
    <row r="773" spans="1:69" x14ac:dyDescent="0.2">
      <c r="B773" s="315" t="s">
        <v>973</v>
      </c>
      <c r="D773" s="1325"/>
      <c r="E773" s="1325"/>
      <c r="F773" s="1325"/>
      <c r="G773" s="1325"/>
      <c r="H773" s="1325"/>
      <c r="I773" s="1325"/>
      <c r="J773" s="1325"/>
      <c r="K773" s="1325"/>
      <c r="L773" s="1325"/>
      <c r="M773" s="1325"/>
      <c r="N773" s="1325"/>
      <c r="O773" s="1325"/>
      <c r="P773" s="1325"/>
      <c r="Q773" s="1325"/>
      <c r="R773" s="1325"/>
      <c r="S773" s="1325"/>
      <c r="T773" s="1325"/>
      <c r="U773" s="1325"/>
      <c r="V773" s="1325"/>
      <c r="W773" s="1325"/>
      <c r="X773" s="1325"/>
      <c r="Y773" s="1325"/>
      <c r="Z773" s="1325"/>
      <c r="AA773" s="1325"/>
      <c r="AB773" s="1325"/>
      <c r="AC773" s="1256"/>
      <c r="AD773" s="1256"/>
      <c r="AE773" s="1256"/>
      <c r="AF773" s="1256"/>
      <c r="AG773" s="1256"/>
      <c r="AH773" s="1256"/>
      <c r="AI773" s="1256"/>
      <c r="AJ773" s="1256"/>
      <c r="AK773" s="1256"/>
      <c r="AL773" s="1256"/>
      <c r="AM773" s="1256"/>
      <c r="AN773" s="1256"/>
      <c r="AO773" s="1256"/>
      <c r="AP773" s="1256"/>
      <c r="AQ773" s="1256"/>
      <c r="AR773" s="1236"/>
      <c r="AS773" s="1400"/>
      <c r="AT773" s="407"/>
      <c r="AU773" s="1236"/>
      <c r="AV773" s="1236"/>
      <c r="AW773" s="1236"/>
      <c r="AX773" s="1236"/>
      <c r="AY773" s="1236"/>
      <c r="AZ773" s="1256"/>
      <c r="BA773" s="1256"/>
      <c r="BB773" s="1256"/>
      <c r="BC773" s="1256"/>
      <c r="BD773" s="1256"/>
      <c r="BE773" s="1256"/>
    </row>
    <row r="774" spans="1:69" x14ac:dyDescent="0.2">
      <c r="B774" s="70"/>
      <c r="C774" s="315" t="s">
        <v>975</v>
      </c>
      <c r="D774" s="1325"/>
      <c r="E774" s="1325"/>
      <c r="F774" s="1325"/>
      <c r="G774" s="1325"/>
      <c r="H774" s="1325">
        <f>IFERROR(Model!H774/Model!D774-1,"NA")</f>
        <v>6.2972292191435741E-2</v>
      </c>
      <c r="I774" s="1325">
        <f>IFERROR(Model!I774/Model!E774-1,"NA")</f>
        <v>-5.1058530510585287E-2</v>
      </c>
      <c r="J774" s="1325">
        <f>IFERROR(Model!J774/Model!F774-1,"NA")</f>
        <v>-9.3824228028503542E-2</v>
      </c>
      <c r="K774" s="1325">
        <f>IFERROR(Model!K774/Model!G774-1,"NA")</f>
        <v>-3.7484885126964906E-2</v>
      </c>
      <c r="L774" s="1325">
        <f>IFERROR(Model!L774/Model!H774-1,"NA")</f>
        <v>-4.6208530805687209E-2</v>
      </c>
      <c r="M774" s="1325">
        <f>IFERROR(Model!M774/Model!I774-1,"NA")</f>
        <v>7.4803149606299302E-2</v>
      </c>
      <c r="N774" s="1325">
        <f>IFERROR(Model!N774/Model!J774-1,"NA")</f>
        <v>5.3735255570118046E-2</v>
      </c>
      <c r="O774" s="1325">
        <f>IFERROR(Model!O774/Model!K774-1,"NA")</f>
        <v>-5.7788944723618063E-2</v>
      </c>
      <c r="P774" s="1325">
        <f>IFERROR(Model!P774/Model!L774-1,"NA")</f>
        <v>-0.11925465838509319</v>
      </c>
      <c r="Q774" s="1325">
        <f>IFERROR(Model!Q774/Model!M774-1,"NA")</f>
        <v>-0.1001221001221001</v>
      </c>
      <c r="R774" s="1325">
        <f>IFERROR(Model!R774/Model!N774-1,"NA")</f>
        <v>-0.10199004975124382</v>
      </c>
      <c r="S774" s="1325">
        <f>IFERROR(Model!S774/Model!O774-1,"NA")</f>
        <v>-5.3333333333333344E-2</v>
      </c>
      <c r="T774" s="1325">
        <f>IFERROR(Model!T774/Model!P774-1,"NA")</f>
        <v>-8.1805359661495047E-2</v>
      </c>
      <c r="U774" s="1325">
        <f>IFERROR(Model!U774/Model!Q774-1,"NA")</f>
        <v>-0.12890094979647215</v>
      </c>
      <c r="V774" s="1325">
        <f>IFERROR(Model!V774/Model!R774-1,"NA")</f>
        <v>-0.1357340720221607</v>
      </c>
      <c r="W774" s="1325">
        <f>IFERROR(Model!W774/Model!S774-1,"NA")</f>
        <v>-0.11971830985915488</v>
      </c>
      <c r="X774" s="1325">
        <f>IFERROR(Model!X774/Model!T774-1,"NA")</f>
        <v>-4.7619047619047672E-2</v>
      </c>
      <c r="Y774" s="1325">
        <f>IFERROR(Model!Y774/Model!U774-1,"NA")</f>
        <v>-5.9190031152647982E-2</v>
      </c>
      <c r="Z774" s="1325">
        <f>IFERROR(Model!Z774/Model!V774-1,"NA")</f>
        <v>-2.5641025641025661E-2</v>
      </c>
      <c r="AA774" s="1325">
        <f>IFERROR(Model!AA774/Model!W774-1,"NA")</f>
        <v>-6.3999999999999613E-3</v>
      </c>
      <c r="AB774" s="1325">
        <f>IFERROR(Model!AB774/Model!X774-1,"NA")</f>
        <v>-4.3548387096774221E-2</v>
      </c>
      <c r="AC774" s="1256" t="str">
        <f>IFERROR(Model!AC774/Model!Y774-1,"NA")</f>
        <v>NA</v>
      </c>
      <c r="AD774" s="1256" t="str">
        <f>IFERROR(Model!AD774/Model!Z774-1,"NA")</f>
        <v>NA</v>
      </c>
      <c r="AE774" s="1256" t="str">
        <f>IFERROR(Model!AE774/Model!AA774-1,"NA")</f>
        <v>NA</v>
      </c>
      <c r="AF774" s="1256" t="str">
        <f>IFERROR(Model!AF774/Model!AB774-1,"NA")</f>
        <v>NA</v>
      </c>
      <c r="AG774" s="1256" t="str">
        <f>IFERROR(Model!AG774/Model!AC774-1,"NA")</f>
        <v>NA</v>
      </c>
      <c r="AH774" s="1256" t="str">
        <f>IFERROR(Model!AH774/Model!AD774-1,"NA")</f>
        <v>NA</v>
      </c>
      <c r="AI774" s="1256" t="str">
        <f>IFERROR(Model!AI774/Model!AE774-1,"NA")</f>
        <v>NA</v>
      </c>
      <c r="AJ774" s="1256"/>
      <c r="AK774" s="1256"/>
      <c r="AL774" s="1256"/>
      <c r="AM774" s="1256"/>
      <c r="AN774" s="1256"/>
      <c r="AO774" s="1256"/>
      <c r="AP774" s="1256"/>
      <c r="AQ774" s="1256"/>
      <c r="AR774" s="1236"/>
      <c r="AS774" s="1236"/>
      <c r="AT774" s="1400"/>
      <c r="AU774" s="1236"/>
      <c r="AV774" s="1236">
        <f>IFERROR(Model!AV774/Model!AU774-1,"NA")</f>
        <v>-3.0924678505817482E-2</v>
      </c>
      <c r="AW774" s="1236">
        <f>IFERROR(Model!AW774/Model!AV774-1,"NA")</f>
        <v>4.1074249605055346E-3</v>
      </c>
      <c r="AX774" s="1236">
        <f>IFERROR(Model!AX774/Model!AW774-1,"NA")</f>
        <v>-9.4398993077407178E-2</v>
      </c>
      <c r="AY774" s="1236">
        <f>IFERROR(Model!AY774/Model!AX774-1,"NA")</f>
        <v>-0.11674774148714384</v>
      </c>
      <c r="AZ774" s="1256" t="str">
        <f>IFERROR(Model!AZ774/Model!AY774-1,"NA")</f>
        <v>NA</v>
      </c>
      <c r="BA774" s="1256" t="str">
        <f>IFERROR(Model!BA774/Model!AZ774-1,"NA")</f>
        <v>NA</v>
      </c>
      <c r="BB774" s="1256" t="str">
        <f>IFERROR(Model!BB774/Model!BA774-1,"NA")</f>
        <v>NA</v>
      </c>
      <c r="BC774" s="1256" t="str">
        <f>IFERROR(Model!BC774/Model!BB774-1,"NA")</f>
        <v>NA</v>
      </c>
      <c r="BD774" s="1256" t="str">
        <f>IFERROR(Model!BD774/Model!BC774-1,"NA")</f>
        <v>NA</v>
      </c>
      <c r="BE774" s="1256" t="str">
        <f>IFERROR(Model!BE774/Model!BD774-1,"NA")</f>
        <v>NA</v>
      </c>
    </row>
    <row r="775" spans="1:69" x14ac:dyDescent="0.2">
      <c r="B775" s="70"/>
      <c r="C775" s="315" t="s">
        <v>18</v>
      </c>
      <c r="D775" s="1325"/>
      <c r="E775" s="1325"/>
      <c r="F775" s="1325"/>
      <c r="G775" s="1325"/>
      <c r="H775" s="1325">
        <f>IFERROR(Model!H775/Model!D775-1,"NA")</f>
        <v>0.12334801762114544</v>
      </c>
      <c r="I775" s="1325">
        <f>IFERROR(Model!I775/Model!E775-1,"NA")</f>
        <v>1.6415868673050671E-2</v>
      </c>
      <c r="J775" s="1325">
        <f>IFERROR(Model!J775/Model!F775-1,"NA")</f>
        <v>8.8888888888888795E-2</v>
      </c>
      <c r="K775" s="1325">
        <f>IFERROR(Model!K775/Model!G775-1,"NA")</f>
        <v>-8.3067092651757379E-3</v>
      </c>
      <c r="L775" s="1325">
        <f>IFERROR(Model!L775/Model!H775-1,"NA")</f>
        <v>0</v>
      </c>
      <c r="M775" s="1325">
        <f>IFERROR(Model!M775/Model!I775-1,"NA")</f>
        <v>8.9502018842530173E-2</v>
      </c>
      <c r="N775" s="1325">
        <f>IFERROR(Model!N775/Model!J775-1,"NA")</f>
        <v>3.9540816326530503E-2</v>
      </c>
      <c r="O775" s="1325">
        <f>IFERROR(Model!O775/Model!K775-1,"NA")</f>
        <v>6.7654639175257714E-2</v>
      </c>
      <c r="P775" s="1325">
        <f>IFERROR(Model!P775/Model!L775-1,"NA")</f>
        <v>4.5751633986928164E-2</v>
      </c>
      <c r="Q775" s="1325">
        <f>IFERROR(Model!Q775/Model!M775-1,"NA")</f>
        <v>2.2853613341568879E-2</v>
      </c>
      <c r="R775" s="1325">
        <f>IFERROR(Model!R775/Model!N775-1,"NA")</f>
        <v>-1.2269938650306678E-3</v>
      </c>
      <c r="S775" s="1325">
        <f>IFERROR(Model!S775/Model!O775-1,"NA")</f>
        <v>2.4140012070005934E-2</v>
      </c>
      <c r="T775" s="1325">
        <f>IFERROR(Model!T775/Model!P775-1,"NA")</f>
        <v>3.0624999999999902E-2</v>
      </c>
      <c r="U775" s="1325">
        <f>IFERROR(Model!U775/Model!Q775-1,"NA")</f>
        <v>6.0386473429940857E-4</v>
      </c>
      <c r="V775" s="1325">
        <f>IFERROR(Model!V775/Model!R775-1,"NA")</f>
        <v>4.0540540540540571E-2</v>
      </c>
      <c r="W775" s="1325">
        <f>IFERROR(Model!W775/Model!S775-1,"NA")</f>
        <v>-7.0713022981732099E-3</v>
      </c>
      <c r="X775" s="1325">
        <f>IFERROR(Model!X775/Model!T775-1,"NA")</f>
        <v>8.4899939357185872E-3</v>
      </c>
      <c r="Y775" s="1325">
        <f>IFERROR(Model!Y775/Model!U775-1,"NA")</f>
        <v>2.2933011466505837E-2</v>
      </c>
      <c r="Z775" s="1325">
        <f>IFERROR(Model!Z775/Model!V775-1,"NA")</f>
        <v>4.1322314049586861E-2</v>
      </c>
      <c r="AA775" s="1325">
        <f>IFERROR(Model!AA775/Model!W775-1,"NA")</f>
        <v>6.0534124629080033E-2</v>
      </c>
      <c r="AB775" s="1325">
        <f>IFERROR(Model!AB775/Model!X775-1,"NA")</f>
        <v>5.7125676488274157E-2</v>
      </c>
      <c r="AC775" s="1256" t="str">
        <f>IFERROR(Model!AC775/Model!Y775-1,"NA")</f>
        <v>NA</v>
      </c>
      <c r="AD775" s="1256" t="str">
        <f>IFERROR(Model!AD775/Model!Z775-1,"NA")</f>
        <v>NA</v>
      </c>
      <c r="AE775" s="1256" t="str">
        <f>IFERROR(Model!AE775/Model!AA775-1,"NA")</f>
        <v>NA</v>
      </c>
      <c r="AF775" s="1256" t="str">
        <f>IFERROR(Model!AF775/Model!AB775-1,"NA")</f>
        <v>NA</v>
      </c>
      <c r="AG775" s="1256" t="str">
        <f>IFERROR(Model!AG775/Model!AC775-1,"NA")</f>
        <v>NA</v>
      </c>
      <c r="AH775" s="1256" t="str">
        <f>IFERROR(Model!AH775/Model!AD775-1,"NA")</f>
        <v>NA</v>
      </c>
      <c r="AI775" s="1256" t="str">
        <f>IFERROR(Model!AI775/Model!AE775-1,"NA")</f>
        <v>NA</v>
      </c>
      <c r="AJ775" s="1256"/>
      <c r="AK775" s="1256"/>
      <c r="AL775" s="1256"/>
      <c r="AM775" s="1256"/>
      <c r="AN775" s="1256"/>
      <c r="AO775" s="1256"/>
      <c r="AP775" s="1256"/>
      <c r="AQ775" s="1256"/>
      <c r="AR775" s="1236"/>
      <c r="AS775" s="1236"/>
      <c r="AT775" s="1400"/>
      <c r="AU775" s="1236"/>
      <c r="AV775" s="1236">
        <f>IFERROR(Model!AV775/Model!AU775-1,"NA")</f>
        <v>5.266769600274479E-2</v>
      </c>
      <c r="AW775" s="1236">
        <f>IFERROR(Model!AW775/Model!AV775-1,"NA")</f>
        <v>4.8891786179921848E-2</v>
      </c>
      <c r="AX775" s="1236">
        <f>IFERROR(Model!AX775/Model!AW775-1,"NA")</f>
        <v>2.2529521441889466E-2</v>
      </c>
      <c r="AY775" s="1236">
        <f>IFERROR(Model!AY775/Model!AX775-1,"NA")</f>
        <v>1.5803069442333895E-2</v>
      </c>
      <c r="AZ775" s="1256" t="str">
        <f>IFERROR(Model!AZ775/Model!AY775-1,"NA")</f>
        <v>NA</v>
      </c>
      <c r="BA775" s="1256" t="str">
        <f>IFERROR(Model!BA775/Model!AZ775-1,"NA")</f>
        <v>NA</v>
      </c>
      <c r="BB775" s="1256" t="str">
        <f>IFERROR(Model!BB775/Model!BA775-1,"NA")</f>
        <v>NA</v>
      </c>
      <c r="BC775" s="1256" t="str">
        <f>IFERROR(Model!BC775/Model!BB775-1,"NA")</f>
        <v>NA</v>
      </c>
      <c r="BD775" s="1256" t="str">
        <f>IFERROR(Model!BD775/Model!BC775-1,"NA")</f>
        <v>NA</v>
      </c>
      <c r="BE775" s="1256" t="str">
        <f>IFERROR(Model!BE775/Model!BD775-1,"NA")</f>
        <v>NA</v>
      </c>
    </row>
    <row r="776" spans="1:69" x14ac:dyDescent="0.2">
      <c r="B776" s="70"/>
      <c r="C776" s="315" t="s">
        <v>72</v>
      </c>
      <c r="D776" s="1325"/>
      <c r="E776" s="1325"/>
      <c r="F776" s="1325"/>
      <c r="G776" s="1325"/>
      <c r="H776" s="1325">
        <f>IFERROR(Model!H776/Model!D776-1,"NA")</f>
        <v>-7.9918032786885251E-2</v>
      </c>
      <c r="I776" s="1325">
        <f>IFERROR(Model!I776/Model!E776-1,"NA")</f>
        <v>-0.16376306620209058</v>
      </c>
      <c r="J776" s="1325">
        <f>IFERROR(Model!J776/Model!F776-1,"NA")</f>
        <v>-0.22241086587436332</v>
      </c>
      <c r="K776" s="1325">
        <f>IFERROR(Model!K776/Model!G776-1,"NA")</f>
        <v>-2.3391812865497075E-2</v>
      </c>
      <c r="L776" s="1325">
        <f>IFERROR(Model!L776/Model!H776-1,"NA")</f>
        <v>2.0044543429844186E-2</v>
      </c>
      <c r="M776" s="1325">
        <f>IFERROR(Model!M776/Model!I776-1,"NA")</f>
        <v>-4.166666666666663E-2</v>
      </c>
      <c r="N776" s="1325">
        <f>IFERROR(Model!N776/Model!J776-1,"NA")</f>
        <v>-3.4934497816593857E-2</v>
      </c>
      <c r="O776" s="1325">
        <f>IFERROR(Model!O776/Model!K776-1,"NA")</f>
        <v>-3.3932135728542923E-2</v>
      </c>
      <c r="P776" s="1325">
        <f>IFERROR(Model!P776/Model!L776-1,"NA")</f>
        <v>-0.14410480349344978</v>
      </c>
      <c r="Q776" s="1325">
        <f>IFERROR(Model!Q776/Model!M776-1,"NA")</f>
        <v>-0.14565217391304353</v>
      </c>
      <c r="R776" s="1325">
        <f>IFERROR(Model!R776/Model!N776-1,"NA")</f>
        <v>-0.11538461538461542</v>
      </c>
      <c r="S776" s="1325">
        <f>IFERROR(Model!S776/Model!O776-1,"NA")</f>
        <v>-0.23347107438016534</v>
      </c>
      <c r="T776" s="1325">
        <f>IFERROR(Model!T776/Model!P776-1,"NA")</f>
        <v>-5.1020408163264808E-3</v>
      </c>
      <c r="U776" s="1325">
        <f>IFERROR(Model!U776/Model!Q776-1,"NA")</f>
        <v>0.10178117048346058</v>
      </c>
      <c r="V776" s="1325">
        <f>IFERROR(Model!V776/Model!R776-1,"NA")</f>
        <v>3.0690537084399061E-2</v>
      </c>
      <c r="W776" s="1325">
        <f>IFERROR(Model!W776/Model!S776-1,"NA")</f>
        <v>9.4339622641509413E-2</v>
      </c>
      <c r="X776" s="1325">
        <f>IFERROR(Model!X776/Model!T776-1,"NA")</f>
        <v>-4.3589743589743546E-2</v>
      </c>
      <c r="Y776" s="1325">
        <f>IFERROR(Model!Y776/Model!U776-1,"NA")</f>
        <v>-2.3094688221708681E-3</v>
      </c>
      <c r="Z776" s="1325">
        <f>IFERROR(Model!Z776/Model!V776-1,"NA")</f>
        <v>3.473945409429291E-2</v>
      </c>
      <c r="AA776" s="1325">
        <f>IFERROR(Model!AA776/Model!W776-1,"NA")</f>
        <v>-4.9261083743842415E-2</v>
      </c>
      <c r="AB776" s="1325">
        <f>IFERROR(Model!AB776/Model!X776-1,"NA")</f>
        <v>2.1447721179624679E-2</v>
      </c>
      <c r="AC776" s="1256" t="str">
        <f>IFERROR(Model!AC776/Model!Y776-1,"NA")</f>
        <v>NA</v>
      </c>
      <c r="AD776" s="1256" t="str">
        <f>IFERROR(Model!AD776/Model!Z776-1,"NA")</f>
        <v>NA</v>
      </c>
      <c r="AE776" s="1256" t="str">
        <f>IFERROR(Model!AE776/Model!AA776-1,"NA")</f>
        <v>NA</v>
      </c>
      <c r="AF776" s="1256" t="str">
        <f>IFERROR(Model!AF776/Model!AB776-1,"NA")</f>
        <v>NA</v>
      </c>
      <c r="AG776" s="1256" t="str">
        <f>IFERROR(Model!AG776/Model!AC776-1,"NA")</f>
        <v>NA</v>
      </c>
      <c r="AH776" s="1256" t="str">
        <f>IFERROR(Model!AH776/Model!AD776-1,"NA")</f>
        <v>NA</v>
      </c>
      <c r="AI776" s="1256" t="str">
        <f>IFERROR(Model!AI776/Model!AE776-1,"NA")</f>
        <v>NA</v>
      </c>
      <c r="AJ776" s="1256"/>
      <c r="AK776" s="1256"/>
      <c r="AL776" s="1256"/>
      <c r="AM776" s="1256"/>
      <c r="AN776" s="1256"/>
      <c r="AO776" s="1256"/>
      <c r="AP776" s="1256"/>
      <c r="AQ776" s="1256"/>
      <c r="AR776" s="1236"/>
      <c r="AS776" s="1236"/>
      <c r="AT776" s="1400"/>
      <c r="AU776" s="1236"/>
      <c r="AV776" s="1236">
        <f>IFERROR(Model!AV776/Model!AU776-1,"NA")</f>
        <v>-0.12754158964879847</v>
      </c>
      <c r="AW776" s="1236">
        <f>IFERROR(Model!AW776/Model!AV776-1,"NA")</f>
        <v>-2.3305084745762761E-2</v>
      </c>
      <c r="AX776" s="1236">
        <f>IFERROR(Model!AX776/Model!AW776-1,"NA")</f>
        <v>-0.16106290672451196</v>
      </c>
      <c r="AY776" s="1236">
        <f>IFERROR(Model!AY776/Model!AX776-1,"NA")</f>
        <v>5.4945054945054972E-2</v>
      </c>
      <c r="AZ776" s="1256" t="str">
        <f>IFERROR(Model!AZ776/Model!AY776-1,"NA")</f>
        <v>NA</v>
      </c>
      <c r="BA776" s="1256" t="str">
        <f>IFERROR(Model!BA776/Model!AZ776-1,"NA")</f>
        <v>NA</v>
      </c>
      <c r="BB776" s="1256" t="str">
        <f>IFERROR(Model!BB776/Model!BA776-1,"NA")</f>
        <v>NA</v>
      </c>
      <c r="BC776" s="1256" t="str">
        <f>IFERROR(Model!BC776/Model!BB776-1,"NA")</f>
        <v>NA</v>
      </c>
      <c r="BD776" s="1256" t="str">
        <f>IFERROR(Model!BD776/Model!BC776-1,"NA")</f>
        <v>NA</v>
      </c>
      <c r="BE776" s="1256" t="str">
        <f>IFERROR(Model!BE776/Model!BD776-1,"NA")</f>
        <v>NA</v>
      </c>
    </row>
    <row r="777" spans="1:69" x14ac:dyDescent="0.2">
      <c r="A777" s="830"/>
      <c r="B777" s="28"/>
      <c r="C777" s="375" t="s">
        <v>2</v>
      </c>
      <c r="D777" s="1402"/>
      <c r="E777" s="1402"/>
      <c r="F777" s="1402"/>
      <c r="G777" s="1402"/>
      <c r="H777" s="1402">
        <f>IFERROR(Model!H777/Model!D777-1,"NA")</f>
        <v>-2.4618261140542219E-2</v>
      </c>
      <c r="I777" s="1402">
        <f>IFERROR(Model!I777/Model!E777-1,"NA")</f>
        <v>9.7408986552968146E-2</v>
      </c>
      <c r="J777" s="1402">
        <f>IFERROR(Model!J777/Model!F777-1,"NA")</f>
        <v>-1.5750562520089995E-2</v>
      </c>
      <c r="K777" s="1402">
        <f>IFERROR(Model!K777/Model!G777-1,"NA")</f>
        <v>-0.13406388435532757</v>
      </c>
      <c r="L777" s="1402">
        <f>IFERROR(Model!L777/Model!H777-1,"NA")</f>
        <v>6.9009584664536661E-2</v>
      </c>
      <c r="M777" s="1402">
        <f>IFERROR(Model!M777/Model!I777-1,"NA")</f>
        <v>0.97101016138673035</v>
      </c>
      <c r="N777" s="1402">
        <f>IFERROR(Model!N777/Model!J777-1,"NA")</f>
        <v>0.29490529065969961</v>
      </c>
      <c r="O777" s="1402">
        <f>IFERROR(Model!O777/Model!K777-1,"NA")</f>
        <v>0.54227248249865379</v>
      </c>
      <c r="P777" s="1402">
        <f>IFERROR(Model!P777/Model!L777-1,"NA")</f>
        <v>-0.20412432755528986</v>
      </c>
      <c r="Q777" s="1402">
        <f>IFERROR(Model!Q777/Model!M777-1,"NA")</f>
        <v>-0.59681576952236548</v>
      </c>
      <c r="R777" s="1402">
        <f>IFERROR(Model!R777/Model!N777-1,"NA")</f>
        <v>-0.34249684741488018</v>
      </c>
      <c r="S777" s="1402">
        <f>IFERROR(Model!S777/Model!O777-1,"NA")</f>
        <v>-0.49179469273743015</v>
      </c>
      <c r="T777" s="1402">
        <f>IFERROR(Model!T777/Model!P777-1,"NA")</f>
        <v>-0.14494930529478034</v>
      </c>
      <c r="U777" s="1402">
        <f>IFERROR(Model!U777/Model!Q777-1,"NA")</f>
        <v>-9.439638962015795E-2</v>
      </c>
      <c r="V777" s="1402">
        <f>IFERROR(Model!V777/Model!R777-1,"NA")</f>
        <v>-4.871499808208668E-2</v>
      </c>
      <c r="W777" s="1402">
        <f>IFERROR(Model!W777/Model!S777-1,"NA")</f>
        <v>-0.1679835108210237</v>
      </c>
      <c r="X777" s="1402">
        <f>IFERROR(Model!X777/Model!T777-1,"NA")</f>
        <v>0.1124286341677645</v>
      </c>
      <c r="Y777" s="1402">
        <f>IFERROR(Model!Y777/Model!U777-1,"NA")</f>
        <v>6.5614617940199293E-2</v>
      </c>
      <c r="Z777" s="1402">
        <f>IFERROR(Model!Z777/Model!V777-1,"NA")</f>
        <v>-6.2903225806451579E-2</v>
      </c>
      <c r="AA777" s="1402">
        <f>IFERROR(Model!AA777/Model!W777-1,"NA")</f>
        <v>9.7440132122213141E-2</v>
      </c>
      <c r="AB777" s="1402">
        <f>IFERROR(Model!AB777/Model!X777-1,"NA")</f>
        <v>-5.8033951835767872E-2</v>
      </c>
      <c r="AC777" s="1257" t="str">
        <f>IFERROR(Model!AC777/Model!Y777-1,"NA")</f>
        <v>NA</v>
      </c>
      <c r="AD777" s="1257" t="str">
        <f>IFERROR(Model!AD777/Model!Z777-1,"NA")</f>
        <v>NA</v>
      </c>
      <c r="AE777" s="1257" t="str">
        <f>IFERROR(Model!AE777/Model!AA777-1,"NA")</f>
        <v>NA</v>
      </c>
      <c r="AF777" s="1257" t="str">
        <f>IFERROR(Model!AF777/Model!AB777-1,"NA")</f>
        <v>NA</v>
      </c>
      <c r="AG777" s="1257" t="str">
        <f>IFERROR(Model!AG777/Model!AC777-1,"NA")</f>
        <v>NA</v>
      </c>
      <c r="AH777" s="1257" t="str">
        <f>IFERROR(Model!AH777/Model!AD777-1,"NA")</f>
        <v>NA</v>
      </c>
      <c r="AI777" s="1257" t="str">
        <f>IFERROR(Model!AI777/Model!AE777-1,"NA")</f>
        <v>NA</v>
      </c>
      <c r="AJ777" s="1338"/>
      <c r="AK777" s="1338"/>
      <c r="AL777" s="1338"/>
      <c r="AM777" s="1338"/>
      <c r="AN777" s="1338"/>
      <c r="AO777" s="1338"/>
      <c r="AP777" s="1338"/>
      <c r="AQ777" s="1338"/>
      <c r="AR777" s="1236"/>
      <c r="AS777" s="1246"/>
      <c r="AT777" s="1402"/>
      <c r="AU777" s="1246"/>
      <c r="AV777" s="1246">
        <f>IFERROR(Model!AV777/Model!AU777-1,"NA")</f>
        <v>-2.9726167813735493E-2</v>
      </c>
      <c r="AW777" s="1246">
        <f>IFERROR(Model!AW777/Model!AV777-1,"NA")</f>
        <v>0.48158768487775427</v>
      </c>
      <c r="AX777" s="1246">
        <f>IFERROR(Model!AX777/Model!AW777-1,"NA")</f>
        <v>-0.44789650606091469</v>
      </c>
      <c r="AY777" s="1246">
        <f>IFERROR(Model!AY777/Model!AX777-1,"NA")</f>
        <v>-0.115590405904059</v>
      </c>
      <c r="AZ777" s="1257" t="str">
        <f>IFERROR(Model!AZ777/Model!AY777-1,"NA")</f>
        <v>NA</v>
      </c>
      <c r="BA777" s="1257" t="str">
        <f>IFERROR(Model!BA777/Model!AZ777-1,"NA")</f>
        <v>NA</v>
      </c>
      <c r="BB777" s="1257" t="str">
        <f>IFERROR(Model!BB777/Model!BA777-1,"NA")</f>
        <v>NA</v>
      </c>
      <c r="BC777" s="1257" t="str">
        <f>IFERROR(Model!BC777/Model!BB777-1,"NA")</f>
        <v>NA</v>
      </c>
      <c r="BD777" s="1257" t="str">
        <f>IFERROR(Model!BD777/Model!BC777-1,"NA")</f>
        <v>NA</v>
      </c>
      <c r="BE777" s="1257" t="str">
        <f>IFERROR(Model!BE777/Model!BD777-1,"NA")</f>
        <v>NA</v>
      </c>
    </row>
    <row r="778" spans="1:69" x14ac:dyDescent="0.2">
      <c r="B778" s="342" t="s">
        <v>973</v>
      </c>
      <c r="C778" s="315"/>
      <c r="D778" s="1485"/>
      <c r="E778" s="1485"/>
      <c r="F778" s="1485"/>
      <c r="G778" s="1485"/>
      <c r="H778" s="1485">
        <f>IFERROR(Model!H778/Model!D778-1,"NA")</f>
        <v>1.7085255424568624E-2</v>
      </c>
      <c r="I778" s="1485">
        <f>IFERROR(Model!I778/Model!E778-1,"NA")</f>
        <v>3.1589673913043459E-2</v>
      </c>
      <c r="J778" s="1485">
        <f>IFERROR(Model!J778/Model!F778-1,"NA")</f>
        <v>-2.1899030424607169E-2</v>
      </c>
      <c r="K778" s="1485">
        <f>IFERROR(Model!K778/Model!G778-1,"NA")</f>
        <v>-8.7711982207395067E-2</v>
      </c>
      <c r="L778" s="1485">
        <f>IFERROR(Model!L778/Model!H778-1,"NA")</f>
        <v>3.1244750545943223E-2</v>
      </c>
      <c r="M778" s="1485">
        <f>IFERROR(Model!M778/Model!I778-1,"NA")</f>
        <v>0.56289101086598614</v>
      </c>
      <c r="N778" s="1485">
        <f>IFERROR(Model!N778/Model!J778-1,"NA")</f>
        <v>0.16920184583831821</v>
      </c>
      <c r="O778" s="1485">
        <f>IFERROR(Model!O778/Model!K778-1,"NA")</f>
        <v>0.31327136980039616</v>
      </c>
      <c r="P778" s="1485">
        <f>IFERROR(Model!P778/Model!L778-1,"NA")</f>
        <v>-0.12624205896725849</v>
      </c>
      <c r="Q778" s="1485">
        <f>IFERROR(Model!Q778/Model!M778-1,"NA")</f>
        <v>-0.42641946697566624</v>
      </c>
      <c r="R778" s="1485">
        <f>IFERROR(Model!R778/Model!N778-1,"NA")</f>
        <v>-0.21824294693758217</v>
      </c>
      <c r="S778" s="1485">
        <f>IFERROR(Model!S778/Model!O778-1,"NA")</f>
        <v>-0.3399466295393897</v>
      </c>
      <c r="T778" s="1485">
        <f>IFERROR(Model!T778/Model!P778-1,"NA")</f>
        <v>-7.40119313944817E-2</v>
      </c>
      <c r="U778" s="1485">
        <f>IFERROR(Model!U778/Model!Q778-1,"NA")</f>
        <v>-5.601469237832879E-2</v>
      </c>
      <c r="V778" s="1485">
        <f>IFERROR(Model!V778/Model!R778-1,"NA")</f>
        <v>-2.7486910994764413E-2</v>
      </c>
      <c r="W778" s="1485">
        <f>IFERROR(Model!W778/Model!S778-1,"NA")</f>
        <v>-9.6853577078572672E-2</v>
      </c>
      <c r="X778" s="1485">
        <f>IFERROR(Model!X778/Model!T778-1,"NA")</f>
        <v>4.4694986913629942E-2</v>
      </c>
      <c r="Y778" s="1485">
        <f>IFERROR(Model!Y778/Model!U778-1,"NA")</f>
        <v>3.0544747081711954E-2</v>
      </c>
      <c r="Z778" s="1485">
        <f>IFERROR(Model!Z778/Model!V778-1,"NA")</f>
        <v>-1.6919823110940202E-2</v>
      </c>
      <c r="AA778" s="1485">
        <f>IFERROR(Model!AA778/Model!W778-1,"NA")</f>
        <v>6.1113273647333655E-2</v>
      </c>
      <c r="AB778" s="1485">
        <f>IFERROR(Model!AB778/Model!X778-1,"NA")</f>
        <v>-1.3682790518404264E-2</v>
      </c>
      <c r="AC778" s="1485">
        <f>IFERROR(Model!AC778/Model!Y778-1,"NA")</f>
        <v>1.1790135968604565E-2</v>
      </c>
      <c r="AD778" s="1485">
        <f>IFERROR(Model!AD778/Model!Z778-1,"NA")</f>
        <v>2.045736307472934E-2</v>
      </c>
      <c r="AE778" s="1485">
        <f>IFERROR(Model!AE778/Model!AA778-1,"NA")</f>
        <v>-5.0946196433047652E-2</v>
      </c>
      <c r="AF778" s="1485">
        <f>IFERROR(Model!AF778/Model!AB778-1,"NA")</f>
        <v>3.7198721834640791E-2</v>
      </c>
      <c r="AG778" s="1485">
        <f>IFERROR(Model!AG778/Model!AC778-1,"NA")</f>
        <v>2.1705311435613606E-2</v>
      </c>
      <c r="AH778" s="1485">
        <f>IFERROR(Model!AH778/Model!AD778-1,"NA")</f>
        <v>3.5479681738330049E-2</v>
      </c>
      <c r="AI778" s="1485">
        <f>IFERROR(Model!AI778/Model!AE778-1,"NA")</f>
        <v>2.3643571830944676E-3</v>
      </c>
      <c r="AJ778" s="1485"/>
      <c r="AK778" s="1485"/>
      <c r="AL778" s="1485"/>
      <c r="AM778" s="1485"/>
      <c r="AN778" s="1485"/>
      <c r="AO778" s="1485"/>
      <c r="AP778" s="1485"/>
      <c r="AQ778" s="1485"/>
      <c r="AR778" s="1236"/>
      <c r="AS778" s="1263"/>
      <c r="AT778" s="1400"/>
      <c r="AU778" s="1485"/>
      <c r="AV778" s="1485">
        <f>IFERROR(Model!AV778/Model!AU778-1,"NA")</f>
        <v>-1.9103423365573691E-2</v>
      </c>
      <c r="AW778" s="1485">
        <f>IFERROR(Model!AW778/Model!AV778-1,"NA")</f>
        <v>0.2721247084816496</v>
      </c>
      <c r="AX778" s="1485">
        <f>IFERROR(Model!AX778/Model!AW778-1,"NA")</f>
        <v>-0.29737553068313394</v>
      </c>
      <c r="AY778" s="1485">
        <f>IFERROR(Model!AY778/Model!AX778-1,"NA")</f>
        <v>-6.4084958344777121E-2</v>
      </c>
      <c r="AZ778" s="1485">
        <f>IFERROR(Model!AZ778/Model!AY778-1,"NA")</f>
        <v>2.9590139880661281E-2</v>
      </c>
      <c r="BA778" s="1485">
        <f>IFERROR(Model!BA778/Model!AZ778-1,"NA")</f>
        <v>-8.631790191733324E-3</v>
      </c>
      <c r="BB778" s="1485">
        <f>IFERROR(Model!BB778/Model!BA778-1,"NA")</f>
        <v>2.4153388867895309E-2</v>
      </c>
      <c r="BC778" s="1485">
        <f>IFERROR(Model!BC778/Model!BB778-1,"NA")</f>
        <v>-1.5097242157131041E-2</v>
      </c>
      <c r="BD778" s="1485">
        <f>IFERROR(Model!BD778/Model!BC778-1,"NA")</f>
        <v>9.4286775160972169E-3</v>
      </c>
      <c r="BE778" s="1485">
        <f>IFERROR(Model!BE778/Model!BD778-1,"NA")</f>
        <v>2.8481755924239183E-2</v>
      </c>
    </row>
    <row r="779" spans="1:69" x14ac:dyDescent="0.2">
      <c r="B779" s="342"/>
      <c r="C779" s="315"/>
      <c r="D779" s="1485"/>
      <c r="E779" s="1485"/>
      <c r="F779" s="1485"/>
      <c r="G779" s="1485"/>
      <c r="H779" s="1485"/>
      <c r="I779" s="1485"/>
      <c r="J779" s="1485"/>
      <c r="K779" s="1485"/>
      <c r="L779" s="1485"/>
      <c r="M779" s="1485"/>
      <c r="N779" s="1485"/>
      <c r="O779" s="1485"/>
      <c r="P779" s="1485"/>
      <c r="Q779" s="1485"/>
      <c r="R779" s="1485"/>
      <c r="S779" s="1485"/>
      <c r="T779" s="1485"/>
      <c r="U779" s="1485"/>
      <c r="V779" s="1485"/>
      <c r="W779" s="1485"/>
      <c r="X779" s="1485"/>
      <c r="Y779" s="1485"/>
      <c r="Z779" s="1485"/>
      <c r="AA779" s="1485"/>
      <c r="AB779" s="1485"/>
      <c r="AC779" s="1485"/>
      <c r="AD779" s="1485"/>
      <c r="AE779" s="1485"/>
      <c r="AF779" s="1485"/>
      <c r="AG779" s="1485"/>
      <c r="AH779" s="1485"/>
      <c r="AI779" s="1485"/>
      <c r="AJ779" s="1485"/>
      <c r="AK779" s="1485"/>
      <c r="AL779" s="1485"/>
      <c r="AM779" s="1485"/>
      <c r="AN779" s="1485"/>
      <c r="AO779" s="1485"/>
      <c r="AP779" s="1485"/>
      <c r="AQ779" s="1485"/>
      <c r="AR779" s="1236"/>
      <c r="AS779" s="1263"/>
      <c r="AT779" s="1400"/>
      <c r="AU779" s="1236"/>
      <c r="AV779" s="1236"/>
      <c r="AW779" s="1236"/>
      <c r="AX779" s="1236"/>
      <c r="AY779" s="1236"/>
      <c r="AZ779" s="1256"/>
      <c r="BA779" s="1256"/>
      <c r="BB779" s="1256"/>
      <c r="BC779" s="1256"/>
      <c r="BD779" s="1256"/>
      <c r="BE779" s="1256"/>
    </row>
    <row r="780" spans="1:69" x14ac:dyDescent="0.2">
      <c r="A780" s="830"/>
      <c r="B780" s="345" t="s">
        <v>1348</v>
      </c>
      <c r="C780" s="70"/>
      <c r="D780" s="1482"/>
      <c r="E780" s="1482"/>
      <c r="F780" s="1482"/>
      <c r="G780" s="1482"/>
      <c r="H780" s="1482">
        <f>IFERROR(Model!H780/Model!D780-1,"NA")</f>
        <v>5.9762586983216348E-3</v>
      </c>
      <c r="I780" s="1482">
        <f>IFERROR(Model!I780/Model!E780-1,"NA")</f>
        <v>1.3007587759526373E-2</v>
      </c>
      <c r="J780" s="1482">
        <f>IFERROR(Model!J780/Model!F780-1,"NA")</f>
        <v>-3.4394377842083546E-2</v>
      </c>
      <c r="K780" s="1482">
        <f>IFERROR(Model!K780/Model!G780-1,"NA")</f>
        <v>-0.10492973130415784</v>
      </c>
      <c r="L780" s="1482">
        <f>IFERROR(Model!L780/Model!H780-1,"NA")</f>
        <v>-1.131184895833337E-2</v>
      </c>
      <c r="M780" s="1482">
        <f>IFERROR(Model!M780/Model!I780-1,"NA")</f>
        <v>0.2775537081241255</v>
      </c>
      <c r="N780" s="1482">
        <f>IFERROR(Model!N780/Model!J780-1,"NA")</f>
        <v>0.10925592944601425</v>
      </c>
      <c r="O780" s="1482">
        <f>IFERROR(Model!O780/Model!K780-1,"NA")</f>
        <v>0.17360885128538883</v>
      </c>
      <c r="P780" s="1482">
        <f>IFERROR(Model!P780/Model!L780-1,"NA")</f>
        <v>-0.1041237961972179</v>
      </c>
      <c r="Q780" s="1482">
        <f>IFERROR(Model!Q780/Model!M780-1,"NA")</f>
        <v>-0.2959216545325688</v>
      </c>
      <c r="R780" s="1482">
        <f>IFERROR(Model!R780/Model!N780-1,"NA")</f>
        <v>-0.17645696642223085</v>
      </c>
      <c r="S780" s="1482">
        <f>IFERROR(Model!S780/Model!O780-1,"NA")</f>
        <v>-0.22819908498544295</v>
      </c>
      <c r="T780" s="1482">
        <f>IFERROR(Model!T780/Model!P780-1,"NA")</f>
        <v>-3.3167952958471192E-2</v>
      </c>
      <c r="U780" s="1482">
        <f>IFERROR(Model!U780/Model!Q780-1,"NA")</f>
        <v>-5.1153001464128822E-2</v>
      </c>
      <c r="V780" s="1482">
        <f>IFERROR(Model!V780/Model!R780-1,"NA")</f>
        <v>-2.4838316618239764E-2</v>
      </c>
      <c r="W780" s="1482">
        <f>IFERROR(Model!W780/Model!S780-1,"NA")</f>
        <v>-9.1072390874797904E-2</v>
      </c>
      <c r="X780" s="1482">
        <f>IFERROR(Model!X780/Model!T780-1,"NA")</f>
        <v>1.9005986885868964E-2</v>
      </c>
      <c r="Y780" s="1482">
        <f>IFERROR(Model!Y780/Model!U780-1,"NA")</f>
        <v>3.7708554344681344E-2</v>
      </c>
      <c r="Z780" s="1482">
        <f>IFERROR(Model!Z780/Model!V780-1,"NA")</f>
        <v>1.249519415609468E-3</v>
      </c>
      <c r="AA780" s="1482">
        <f>IFERROR(Model!AA780/Model!W780-1,"NA")</f>
        <v>2.0948616600790615E-2</v>
      </c>
      <c r="AB780" s="1482">
        <f>IFERROR(Model!AB780/Model!X780-1,"NA")</f>
        <v>1.8838011750442973E-2</v>
      </c>
      <c r="AC780" s="1413">
        <f>IFERROR(Model!AC780/Model!Y780-1,"NA")</f>
        <v>1.4247575962771375E-2</v>
      </c>
      <c r="AD780" s="1413">
        <f>IFERROR(Model!AD780/Model!Z780-1,"NA")</f>
        <v>3.5869004456001496E-2</v>
      </c>
      <c r="AE780" s="1413">
        <f>IFERROR(Model!AE780/Model!AA780-1,"NA")</f>
        <v>7.9369783529112947E-3</v>
      </c>
      <c r="AF780" s="1413">
        <f>IFERROR(Model!AF780/Model!AB780-1,"NA")</f>
        <v>2.0485928878257953E-2</v>
      </c>
      <c r="AG780" s="1413">
        <f>IFERROR(Model!AG780/Model!AC780-1,"NA")</f>
        <v>1.3631028222119257E-2</v>
      </c>
      <c r="AH780" s="1413">
        <f>IFERROR(Model!AH780/Model!AD780-1,"NA")</f>
        <v>1.7964209799543607E-2</v>
      </c>
      <c r="AI780" s="1413">
        <f>IFERROR(Model!AI780/Model!AE780-1,"NA")</f>
        <v>1.8813488214327379E-2</v>
      </c>
      <c r="AJ780" s="1413"/>
      <c r="AK780" s="1413"/>
      <c r="AL780" s="1413"/>
      <c r="AM780" s="1413"/>
      <c r="AN780" s="1413"/>
      <c r="AO780" s="1413"/>
      <c r="AP780" s="1413"/>
      <c r="AQ780" s="1413"/>
      <c r="AR780" s="1236"/>
      <c r="AS780" s="1409"/>
      <c r="AT780" s="1236"/>
      <c r="AU780" s="1396"/>
      <c r="AV780" s="1396">
        <f>IFERROR(Model!AV780/Model!AU780-1,"NA")</f>
        <v>-3.2536573666959834E-2</v>
      </c>
      <c r="AW780" s="1396">
        <f>IFERROR(Model!AW780/Model!AV780-1,"NA")</f>
        <v>0.13722938357296321</v>
      </c>
      <c r="AX780" s="1396">
        <f>IFERROR(Model!AX780/Model!AW780-1,"NA")</f>
        <v>-0.20773464605547587</v>
      </c>
      <c r="AY780" s="1396">
        <f>IFERROR(Model!AY780/Model!AX780-1,"NA")</f>
        <v>-5.0418434024991354E-2</v>
      </c>
      <c r="AZ780" s="1396">
        <f>IFERROR(Model!AZ780/Model!AY780-1,"NA")</f>
        <v>1.9702530423024944E-2</v>
      </c>
      <c r="BA780" s="1396">
        <f>IFERROR(Model!BA780/Model!AZ780-1,"NA")</f>
        <v>1.9202410426214067E-2</v>
      </c>
      <c r="BB780" s="1413">
        <f>IFERROR(Model!BB780/Model!BA780-1,"NA")</f>
        <v>1.7711086920172869E-2</v>
      </c>
      <c r="BC780" s="1413">
        <f>IFERROR(Model!BC780/Model!BB780-1,"NA")</f>
        <v>2.2533805145247721E-2</v>
      </c>
      <c r="BD780" s="1413">
        <f>IFERROR(Model!BD780/Model!BC780-1,"NA")</f>
        <v>3.1650603662271459E-2</v>
      </c>
      <c r="BE780" s="1413">
        <f>IFERROR(Model!BE780/Model!BD780-1,"NA")</f>
        <v>3.9309701637524785E-2</v>
      </c>
      <c r="BM780" s="238"/>
      <c r="BN780" s="238"/>
      <c r="BO780" s="238"/>
      <c r="BP780" s="238"/>
      <c r="BQ780" s="238"/>
    </row>
    <row r="781" spans="1:69" x14ac:dyDescent="0.2">
      <c r="B781" s="177"/>
      <c r="C781" s="70"/>
      <c r="D781" s="1236"/>
      <c r="E781" s="1236"/>
      <c r="F781" s="1236"/>
      <c r="G781" s="1236"/>
      <c r="H781" s="1236"/>
      <c r="I781" s="1236"/>
      <c r="J781" s="1236"/>
      <c r="K781" s="1236"/>
      <c r="L781" s="1236"/>
      <c r="M781" s="1236"/>
      <c r="N781" s="1236"/>
      <c r="O781" s="1236"/>
      <c r="P781" s="1236"/>
      <c r="Q781" s="1236"/>
      <c r="R781" s="1236"/>
      <c r="S781" s="1236"/>
      <c r="T781" s="1236"/>
      <c r="U781" s="1236"/>
      <c r="V781" s="1236"/>
      <c r="W781" s="1236"/>
      <c r="X781" s="1236"/>
      <c r="Y781" s="1236"/>
      <c r="Z781" s="1236"/>
      <c r="AA781" s="1236"/>
      <c r="AB781" s="1236"/>
      <c r="AC781" s="1236"/>
      <c r="AD781" s="1236"/>
      <c r="AE781" s="1236"/>
      <c r="AF781" s="1236"/>
      <c r="AG781" s="1236"/>
      <c r="AH781" s="1236"/>
      <c r="AI781" s="1236"/>
      <c r="AJ781" s="1236"/>
      <c r="AK781" s="1236"/>
      <c r="AL781" s="1236"/>
      <c r="AM781" s="1236"/>
      <c r="AN781" s="1236"/>
      <c r="AO781" s="1236"/>
      <c r="AP781" s="1236"/>
      <c r="AQ781" s="1236"/>
      <c r="AR781" s="1236"/>
      <c r="AS781" s="1463"/>
      <c r="AT781" s="1236"/>
      <c r="AU781" s="1236"/>
      <c r="AV781" s="1236"/>
      <c r="AW781" s="1236"/>
      <c r="AX781" s="1236"/>
      <c r="AY781" s="1236"/>
      <c r="AZ781" s="1236"/>
      <c r="BA781" s="1236"/>
      <c r="BB781" s="1236"/>
      <c r="BC781" s="1236"/>
      <c r="BD781" s="1236"/>
      <c r="BE781" s="1236"/>
    </row>
    <row r="782" spans="1:69" x14ac:dyDescent="0.2">
      <c r="B782" s="35" t="s">
        <v>1349</v>
      </c>
      <c r="D782" s="407"/>
      <c r="E782" s="407"/>
      <c r="F782" s="407"/>
      <c r="G782" s="407"/>
      <c r="H782" s="407">
        <f>IFERROR(Model!H782/Model!D782-1,"NA")</f>
        <v>6.0826032540675756E-2</v>
      </c>
      <c r="I782" s="407">
        <f>IFERROR(Model!I782/Model!E782-1,"NA")</f>
        <v>0.172184473037444</v>
      </c>
      <c r="J782" s="407">
        <f>IFERROR(Model!J782/Model!F782-1,"NA")</f>
        <v>-7.5622164168843709E-2</v>
      </c>
      <c r="K782" s="407">
        <f>IFERROR(Model!K782/Model!G782-1,"NA")</f>
        <v>0.19180028414856909</v>
      </c>
      <c r="L782" s="407">
        <f>IFERROR(Model!L782/Model!H782-1,"NA")</f>
        <v>-3.5158093440302074E-2</v>
      </c>
      <c r="M782" s="407">
        <f>IFERROR(Model!M782/Model!I782-1,"NA")</f>
        <v>-0.49950666008880118</v>
      </c>
      <c r="N782" s="407">
        <f>IFERROR(Model!N782/Model!J782-1,"NA")</f>
        <v>7.526401903911939E-2</v>
      </c>
      <c r="O782" s="407">
        <f>IFERROR(Model!O782/Model!K782-1,"NA")</f>
        <v>-0.38862397820163486</v>
      </c>
      <c r="P782" s="407">
        <f>IFERROR(Model!P782/Model!L782-1,"NA")</f>
        <v>0.1063829787234043</v>
      </c>
      <c r="Q782" s="407">
        <f>IFERROR(Model!Q782/Model!M782-1,"NA")</f>
        <v>1.0593888615081322</v>
      </c>
      <c r="R782" s="407">
        <f>IFERROR(Model!R782/Model!N782-1,"NA")</f>
        <v>9.8768847696776962E-2</v>
      </c>
      <c r="S782" s="407">
        <f>IFERROR(Model!S782/Model!O782-1,"NA")</f>
        <v>1.1256267409470753</v>
      </c>
      <c r="T782" s="407">
        <f>IFERROR(Model!T782/Model!P782-1,"NA")</f>
        <v>-0.20965959328028294</v>
      </c>
      <c r="U782" s="407">
        <f>IFERROR(Model!U782/Model!Q782-1,"NA")</f>
        <v>-0.12719875553428261</v>
      </c>
      <c r="V782" s="407">
        <f>IFERROR(Model!V782/Model!R782-1,"NA")</f>
        <v>-5.954928868185827E-2</v>
      </c>
      <c r="W782" s="407">
        <f>IFERROR(Model!W782/Model!S782-1,"NA")</f>
        <v>-8.203380946140737E-2</v>
      </c>
      <c r="X782" s="407">
        <f>IFERROR(Model!X782/Model!T782-1,"NA")</f>
        <v>8.6001957768144344E-2</v>
      </c>
      <c r="Y782" s="407">
        <f>IFERROR(Model!Y782/Model!U782-1,"NA")</f>
        <v>3.0573073759254221E-2</v>
      </c>
      <c r="Z782" s="407">
        <f>IFERROR(Model!Z782/Model!V782-1,"NA")</f>
        <v>8.7684069611780435E-2</v>
      </c>
      <c r="AA782" s="407">
        <f>IFERROR(Model!AA782/Model!W782-1,"NA")</f>
        <v>4.2112776588151268E-2</v>
      </c>
      <c r="AB782" s="407">
        <f>IFERROR(Model!AB782/Model!X782-1,"NA")</f>
        <v>3.154777234097339E-2</v>
      </c>
      <c r="AC782" s="407">
        <f>IFERROR(Model!AC782/Model!Y782-1,"NA")</f>
        <v>9.5903735945415347E-2</v>
      </c>
      <c r="AD782" s="407">
        <f>IFERROR(Model!AD782/Model!Z782-1,"NA")</f>
        <v>3.7140019261881152E-2</v>
      </c>
      <c r="AE782" s="407">
        <f>IFERROR(Model!AE782/Model!AA782-1,"NA")</f>
        <v>0.13690908140871705</v>
      </c>
      <c r="AF782" s="407">
        <f>IFERROR(Model!AF782/Model!AB782-1,"NA")</f>
        <v>0.12228064449172815</v>
      </c>
      <c r="AG782" s="407">
        <f>IFERROR(Model!AG782/Model!AC782-1,"NA")</f>
        <v>0.12306313495393884</v>
      </c>
      <c r="AH782" s="407">
        <f>IFERROR(Model!AH782/Model!AD782-1,"NA")</f>
        <v>0.10515431334851355</v>
      </c>
      <c r="AI782" s="407">
        <f>IFERROR(Model!AI782/Model!AE782-1,"NA")</f>
        <v>9.7872222342737958E-2</v>
      </c>
      <c r="AJ782" s="407"/>
      <c r="AK782" s="407"/>
      <c r="AL782" s="407"/>
      <c r="AM782" s="407"/>
      <c r="AN782" s="407"/>
      <c r="AO782" s="407"/>
      <c r="AP782" s="407"/>
      <c r="AQ782" s="407"/>
      <c r="AR782" s="1236"/>
      <c r="AS782" s="407"/>
      <c r="AT782" s="407"/>
      <c r="AU782" s="407"/>
      <c r="AV782" s="407">
        <f>IFERROR(Model!AV782/Model!AU782-1,"NA")</f>
        <v>7.643782048917247E-2</v>
      </c>
      <c r="AW782" s="407">
        <f>IFERROR(Model!AW782/Model!AV782-1,"NA")</f>
        <v>-0.2098769663113883</v>
      </c>
      <c r="AX782" s="407">
        <f>IFERROR(Model!AX782/Model!AW782-1,"NA")</f>
        <v>0.43044892648015609</v>
      </c>
      <c r="AY782" s="407">
        <f>IFERROR(Model!AY782/Model!AX782-1,"NA")</f>
        <v>-0.12307832256890749</v>
      </c>
      <c r="AZ782" s="407">
        <f>IFERROR(Model!AZ782/Model!AY782-1,"NA")</f>
        <v>6.1825726141078841E-2</v>
      </c>
      <c r="BA782" s="407">
        <f>IFERROR(Model!BA782/Model!AZ782-1,"NA")</f>
        <v>7.3827905884072509E-2</v>
      </c>
      <c r="BB782" s="407">
        <f>IFERROR(Model!BB782/Model!BA782-1,"NA")</f>
        <v>0.11195620235407211</v>
      </c>
      <c r="BC782" s="407">
        <f>IFERROR(Model!BC782/Model!BB782-1,"NA")</f>
        <v>9.0887877119776306E-2</v>
      </c>
      <c r="BD782" s="407">
        <f>IFERROR(Model!BD782/Model!BC782-1,"NA")</f>
        <v>7.3417839352099223E-2</v>
      </c>
      <c r="BE782" s="407">
        <f>IFERROR(Model!BE782/Model!BD782-1,"NA")</f>
        <v>5.8448159175261694E-2</v>
      </c>
    </row>
    <row r="783" spans="1:69" x14ac:dyDescent="0.2">
      <c r="D783" s="407"/>
      <c r="E783" s="407"/>
      <c r="F783" s="407"/>
      <c r="G783" s="407"/>
      <c r="H783" s="407"/>
      <c r="I783" s="407"/>
      <c r="J783" s="407"/>
      <c r="K783" s="407"/>
      <c r="L783" s="407"/>
      <c r="M783" s="407"/>
      <c r="N783" s="407"/>
      <c r="O783" s="407"/>
      <c r="P783" s="407"/>
      <c r="Q783" s="407"/>
      <c r="R783" s="407"/>
      <c r="S783" s="407"/>
      <c r="T783" s="407"/>
      <c r="U783" s="407"/>
      <c r="V783" s="407"/>
      <c r="W783" s="407"/>
      <c r="X783" s="407"/>
      <c r="Y783" s="407"/>
      <c r="Z783" s="407"/>
      <c r="AA783" s="407"/>
      <c r="AB783" s="407"/>
      <c r="AC783" s="1318"/>
      <c r="AD783" s="1318"/>
      <c r="AE783" s="1318"/>
      <c r="AF783" s="1318"/>
      <c r="AG783" s="1318"/>
      <c r="AH783" s="1318"/>
      <c r="AI783" s="1318"/>
      <c r="AJ783" s="1318"/>
      <c r="AK783" s="1318"/>
      <c r="AL783" s="1318"/>
      <c r="AM783" s="1318"/>
      <c r="AN783" s="1318"/>
      <c r="AO783" s="1318"/>
      <c r="AP783" s="1318"/>
      <c r="AQ783" s="1318"/>
      <c r="AR783" s="1236"/>
      <c r="AS783" s="1382"/>
      <c r="AT783" s="407"/>
      <c r="AU783" s="1236"/>
      <c r="AV783" s="1236"/>
      <c r="AW783" s="1236"/>
      <c r="AX783" s="1236"/>
      <c r="AY783" s="1236"/>
      <c r="AZ783" s="1236"/>
      <c r="BA783" s="1236"/>
      <c r="BB783" s="1318"/>
      <c r="BC783" s="1318"/>
      <c r="BD783" s="1318"/>
      <c r="BE783" s="1318"/>
    </row>
    <row r="784" spans="1:69" s="342" customFormat="1" x14ac:dyDescent="0.2">
      <c r="A784" s="411"/>
      <c r="B784" s="315" t="s">
        <v>252</v>
      </c>
      <c r="C784" s="315"/>
      <c r="D784" s="1486"/>
      <c r="E784" s="1486"/>
      <c r="F784" s="1486"/>
      <c r="G784" s="1486"/>
      <c r="H784" s="1486">
        <f>IFERROR(Model!H784/Model!D784-1,"NA")</f>
        <v>-0.15206896551724136</v>
      </c>
      <c r="I784" s="1486">
        <f>IFERROR(Model!I784/Model!E784-1,"NA")</f>
        <v>-0.24925816023738867</v>
      </c>
      <c r="J784" s="1486">
        <f>IFERROR(Model!J784/Model!F784-1,"NA")</f>
        <v>-0.25229007633587786</v>
      </c>
      <c r="K784" s="1486">
        <f>IFERROR(Model!K784/Model!G784-1,"NA")</f>
        <v>-0.33440411178927076</v>
      </c>
      <c r="L784" s="1486">
        <f>IFERROR(Model!L784/Model!H784-1,"NA")</f>
        <v>-0.19723464823098824</v>
      </c>
      <c r="M784" s="1486">
        <f>IFERROR(Model!M784/Model!I784-1,"NA")</f>
        <v>-0.14525691699604748</v>
      </c>
      <c r="N784" s="1486">
        <f>IFERROR(Model!N784/Model!J784-1,"NA")</f>
        <v>-0.10668708524757531</v>
      </c>
      <c r="O784" s="1486">
        <f>IFERROR(Model!O784/Model!K784-1,"NA")</f>
        <v>-2.8474903474903446E-2</v>
      </c>
      <c r="P784" s="1486">
        <f>IFERROR(Model!P784/Model!L784-1,"NA")</f>
        <v>-2.9888551165146882E-2</v>
      </c>
      <c r="Q784" s="1486">
        <f>IFERROR(Model!Q784/Model!M784-1,"NA")</f>
        <v>-4.739884393063587E-2</v>
      </c>
      <c r="R784" s="1486">
        <f>IFERROR(Model!R784/Model!N784-1,"NA")</f>
        <v>4.9142857142857155E-2</v>
      </c>
      <c r="S784" s="1486">
        <f>IFERROR(Model!S784/Model!O784-1,"NA")</f>
        <v>0.24888226527570789</v>
      </c>
      <c r="T784" s="1486">
        <f>IFERROR(Model!T784/Model!P784-1,"NA")</f>
        <v>6.788511749347248E-2</v>
      </c>
      <c r="U784" s="1486">
        <f>IFERROR(Model!U784/Model!Q784-1,"NA")</f>
        <v>-0.14502427184466016</v>
      </c>
      <c r="V784" s="1486">
        <f>IFERROR(Model!V784/Model!R784-1,"NA")</f>
        <v>-5.4466230936819127E-2</v>
      </c>
      <c r="W784" s="1486">
        <f>IFERROR(Model!W784/Model!S784-1,"NA")</f>
        <v>-0.28719172633253776</v>
      </c>
      <c r="X784" s="1486">
        <f>IFERROR(Model!X784/Model!T784-1,"NA")</f>
        <v>-0.18728606356968214</v>
      </c>
      <c r="Y784" s="1486">
        <f>IFERROR(Model!Y784/Model!U784-1,"NA")</f>
        <v>0.21859474804826107</v>
      </c>
      <c r="Z784" s="1486">
        <f>IFERROR(Model!Z784/Model!V784-1,"NA")</f>
        <v>0.15149769585253448</v>
      </c>
      <c r="AA784" s="1486">
        <f>IFERROR(Model!AA784/Model!W784-1,"NA")</f>
        <v>0.15680803571428581</v>
      </c>
      <c r="AB784" s="1486">
        <f>IFERROR(Model!AB784/Model!X784-1,"NA")</f>
        <v>0.11732851985559556</v>
      </c>
      <c r="AC784" s="1486">
        <f>IFERROR(Model!AC784/Model!Y784-1,"NA")</f>
        <v>0.28209136590580908</v>
      </c>
      <c r="AD784" s="1486">
        <f>IFERROR(Model!AD784/Model!Z784-1,"NA")</f>
        <v>0.15967093517026609</v>
      </c>
      <c r="AE784" s="1486">
        <f>IFERROR(Model!AE784/Model!AA784-1,"NA")</f>
        <v>0.17253240552259252</v>
      </c>
      <c r="AF784" s="1486">
        <f>IFERROR(Model!AF784/Model!AB784-1,"NA")</f>
        <v>0.29191028280148634</v>
      </c>
      <c r="AG784" s="1486">
        <f>IFERROR(Model!AG784/Model!AC784-1,"NA")</f>
        <v>0.12907086627358955</v>
      </c>
      <c r="AH784" s="1486">
        <f>IFERROR(Model!AH784/Model!AD784-1,"NA")</f>
        <v>0.14413002980678669</v>
      </c>
      <c r="AI784" s="1486">
        <f>IFERROR(Model!AI784/Model!AE784-1,"NA")</f>
        <v>0.14641364171512539</v>
      </c>
      <c r="AJ784" s="1486"/>
      <c r="AK784" s="1486"/>
      <c r="AL784" s="1486"/>
      <c r="AM784" s="1486"/>
      <c r="AN784" s="1486"/>
      <c r="AO784" s="1486"/>
      <c r="AP784" s="1486"/>
      <c r="AQ784" s="1486"/>
      <c r="AR784" s="1236"/>
      <c r="AS784" s="1400"/>
      <c r="AT784" s="1400"/>
      <c r="AU784" s="1236"/>
      <c r="AV784" s="1236">
        <f>IFERROR(Model!AV784/Model!AU784-1,"NA")</f>
        <v>-0.24847735899020218</v>
      </c>
      <c r="AW784" s="1236">
        <f>IFERROR(Model!AW784/Model!AV784-1,"NA")</f>
        <v>-0.12297392529950668</v>
      </c>
      <c r="AX784" s="1236">
        <f>IFERROR(Model!AX784/Model!AW784-1,"NA")</f>
        <v>5.9729476362662348E-2</v>
      </c>
      <c r="AY784" s="1236">
        <f>IFERROR(Model!AY784/Model!AX784-1,"NA")</f>
        <v>-0.11765449260710226</v>
      </c>
      <c r="AZ784" s="1236">
        <f>IFERROR(Model!AZ784/Model!AY784-1,"NA")</f>
        <v>6.7172729876826098E-2</v>
      </c>
      <c r="BA784" s="1236">
        <f>IFERROR(Model!BA784/Model!AZ784-1,"NA")</f>
        <v>0.18201486395302258</v>
      </c>
      <c r="BB784" s="1486">
        <f>IFERROR(Model!BB784/Model!BA784-1,"NA")</f>
        <v>0.17215577164518958</v>
      </c>
      <c r="BC784" s="1486">
        <f>IFERROR(Model!BC784/Model!BB784-1,"NA")</f>
        <v>0.12827732516436563</v>
      </c>
      <c r="BD784" s="1486">
        <f>IFERROR(Model!BD784/Model!BC784-1,"NA")</f>
        <v>0.11784281382132966</v>
      </c>
      <c r="BE784" s="1486">
        <f>IFERROR(Model!BE784/Model!BD784-1,"NA")</f>
        <v>0.13544473160588288</v>
      </c>
      <c r="BM784" s="238"/>
      <c r="BN784" s="238"/>
      <c r="BO784" s="238"/>
      <c r="BP784" s="238"/>
      <c r="BQ784" s="238"/>
    </row>
    <row r="785" spans="1:69" s="342" customFormat="1" x14ac:dyDescent="0.2">
      <c r="A785" s="411"/>
      <c r="B785" s="623"/>
      <c r="C785" s="315" t="s">
        <v>224</v>
      </c>
      <c r="D785" s="1486"/>
      <c r="E785" s="1486"/>
      <c r="F785" s="1486"/>
      <c r="G785" s="1486"/>
      <c r="H785" s="1486">
        <f>IFERROR(Model!H785/Model!D785-1,"NA")</f>
        <v>-0.25401762571280451</v>
      </c>
      <c r="I785" s="1486">
        <f>IFERROR(Model!I785/Model!E785-1,"NA")</f>
        <v>-0.25293612145517042</v>
      </c>
      <c r="J785" s="1486">
        <f>IFERROR(Model!J785/Model!F785-1,"NA")</f>
        <v>-0.37644341801385683</v>
      </c>
      <c r="K785" s="1486">
        <f>IFERROR(Model!K785/Model!G785-1,"NA")</f>
        <v>-0.14673366834170853</v>
      </c>
      <c r="L785" s="1486">
        <f>IFERROR(Model!L785/Model!H785-1,"NA")</f>
        <v>-0.15253648366921468</v>
      </c>
      <c r="M785" s="1486">
        <f>IFERROR(Model!M785/Model!I785-1,"NA")</f>
        <v>-0.16065950920245398</v>
      </c>
      <c r="N785" s="1486">
        <f>IFERROR(Model!N785/Model!J785-1,"NA")</f>
        <v>-0.13703703703703707</v>
      </c>
      <c r="O785" s="1486">
        <f>IFERROR(Model!O785/Model!K785-1,"NA")</f>
        <v>-0.11739301138594427</v>
      </c>
      <c r="P785" s="1486">
        <f>IFERROR(Model!P785/Model!L785-1,"NA")</f>
        <v>-0.19762197621976219</v>
      </c>
      <c r="Q785" s="1486">
        <f>IFERROR(Model!Q785/Model!M785-1,"NA")</f>
        <v>-0.12288716308816816</v>
      </c>
      <c r="R785" s="1486">
        <f>IFERROR(Model!R785/Model!N785-1,"NA")</f>
        <v>-0.20696232713400098</v>
      </c>
      <c r="S785" s="1486">
        <f>IFERROR(Model!S785/Model!O785-1,"NA")</f>
        <v>-0.21619217081850539</v>
      </c>
      <c r="T785" s="1486">
        <f>IFERROR(Model!T785/Model!P785-1,"NA")</f>
        <v>-0.11905978538579454</v>
      </c>
      <c r="U785" s="1486">
        <f>IFERROR(Model!U785/Model!Q785-1,"NA")</f>
        <v>-0.15833333333333333</v>
      </c>
      <c r="V785" s="1486">
        <f>IFERROR(Model!V785/Model!R785-1,"NA")</f>
        <v>-8.2982561635598362E-2</v>
      </c>
      <c r="W785" s="1486">
        <f>IFERROR(Model!W785/Model!S785-1,"NA")</f>
        <v>-3.7457434733257688E-2</v>
      </c>
      <c r="X785" s="1486">
        <f>IFERROR(Model!X785/Model!T785-1,"NA")</f>
        <v>-8.7006960556844648E-3</v>
      </c>
      <c r="Y785" s="1486">
        <f>IFERROR(Model!Y785/Model!U785-1,"NA")</f>
        <v>5.8168316831683109E-2</v>
      </c>
      <c r="Z785" s="1486">
        <f>IFERROR(Model!Z785/Model!V785-1,"NA")</f>
        <v>0.16524590163934416</v>
      </c>
      <c r="AA785" s="1486">
        <f>IFERROR(Model!AA785/Model!W785-1,"NA")</f>
        <v>0.10849056603773577</v>
      </c>
      <c r="AB785" s="1486">
        <f>IFERROR(Model!AB785/Model!X785-1,"NA")</f>
        <v>9.2451726155646563E-2</v>
      </c>
      <c r="AC785" s="1486">
        <f>IFERROR(Model!AC785/Model!Y785-1,"NA")</f>
        <v>0.18398619418409057</v>
      </c>
      <c r="AD785" s="1486">
        <f>IFERROR(Model!AD785/Model!Z785-1,"NA")</f>
        <v>0.20011877554269542</v>
      </c>
      <c r="AE785" s="1486">
        <f>IFERROR(Model!AE785/Model!AA785-1,"NA")</f>
        <v>0.18546948064141655</v>
      </c>
      <c r="AF785" s="1486">
        <f>IFERROR(Model!AF785/Model!AB785-1,"NA")</f>
        <v>0.18675787762159368</v>
      </c>
      <c r="AG785" s="1486">
        <f>IFERROR(Model!AG785/Model!AC785-1,"NA")</f>
        <v>0.12991208431648449</v>
      </c>
      <c r="AH785" s="1486">
        <f>IFERROR(Model!AH785/Model!AD785-1,"NA")</f>
        <v>0.14495774363180458</v>
      </c>
      <c r="AI785" s="1486">
        <f>IFERROR(Model!AI785/Model!AE785-1,"NA")</f>
        <v>0.15137445908174207</v>
      </c>
      <c r="AJ785" s="1486"/>
      <c r="AK785" s="1486"/>
      <c r="AL785" s="1486"/>
      <c r="AM785" s="1486"/>
      <c r="AN785" s="1486"/>
      <c r="AO785" s="1486"/>
      <c r="AP785" s="1486"/>
      <c r="AQ785" s="1486"/>
      <c r="AR785" s="1236"/>
      <c r="AS785" s="1448"/>
      <c r="AT785" s="1400"/>
      <c r="AU785" s="1236"/>
      <c r="AV785" s="1236">
        <f>IFERROR(Model!AV785/Model!AU785-1,"NA")</f>
        <v>-0.26477408474457176</v>
      </c>
      <c r="AW785" s="1236">
        <f>IFERROR(Model!AW785/Model!AV785-1,"NA")</f>
        <v>-0.14240657555194491</v>
      </c>
      <c r="AX785" s="1236">
        <f>IFERROR(Model!AX785/Model!AW785-1,"NA")</f>
        <v>-0.18622534269475088</v>
      </c>
      <c r="AY785" s="1236">
        <f>IFERROR(Model!AY785/Model!AX785-1,"NA")</f>
        <v>-0.10147904683648312</v>
      </c>
      <c r="AZ785" s="1236">
        <f>IFERROR(Model!AZ785/Model!AY785-1,"NA")</f>
        <v>7.8494131992074445E-2</v>
      </c>
      <c r="BA785" s="1236">
        <f>IFERROR(Model!BA785/Model!AZ785-1,"NA")</f>
        <v>0.16632420573770901</v>
      </c>
      <c r="BB785" s="1486">
        <f>IFERROR(Model!BB785/Model!BA785-1,"NA")</f>
        <v>0.1524557029340905</v>
      </c>
      <c r="BC785" s="1486">
        <f>IFERROR(Model!BC785/Model!BB785-1,"NA")</f>
        <v>0.12797730555898212</v>
      </c>
      <c r="BD785" s="1486">
        <f>IFERROR(Model!BD785/Model!BC785-1,"NA")</f>
        <v>0.11874292454941893</v>
      </c>
      <c r="BE785" s="1486">
        <f>IFERROR(Model!BE785/Model!BD785-1,"NA")</f>
        <v>0.13765451682497143</v>
      </c>
      <c r="BM785" s="238"/>
      <c r="BN785" s="238"/>
      <c r="BO785" s="238"/>
      <c r="BP785" s="238"/>
      <c r="BQ785" s="238"/>
    </row>
    <row r="786" spans="1:69" s="342" customFormat="1" x14ac:dyDescent="0.2">
      <c r="A786" s="411"/>
      <c r="B786" s="623"/>
      <c r="C786" s="315" t="s">
        <v>411</v>
      </c>
      <c r="D786" s="1304"/>
      <c r="E786" s="1304"/>
      <c r="F786" s="1304"/>
      <c r="G786" s="1304"/>
      <c r="H786" s="1304">
        <f>IFERROR(Model!H786/Model!D786-1,"NA")</f>
        <v>-0.56263048016701456</v>
      </c>
      <c r="I786" s="1304">
        <f>IFERROR(Model!I786/Model!E786-1,"NA")</f>
        <v>-0.26540880503144659</v>
      </c>
      <c r="J786" s="1304">
        <f>IFERROR(Model!J786/Model!F786-1,"NA")</f>
        <v>-0.63116679718089275</v>
      </c>
      <c r="K786" s="1304">
        <f>IFERROR(Model!K786/Model!G786-1,"NA")</f>
        <v>-4.7109375</v>
      </c>
      <c r="L786" s="1304">
        <f>IFERROR(Model!L786/Model!H786-1,"NA")</f>
        <v>0.10978520286396187</v>
      </c>
      <c r="M786" s="1304">
        <f>IFERROR(Model!M786/Model!I786-1,"NA")</f>
        <v>-0.21404109589041098</v>
      </c>
      <c r="N786" s="1304">
        <f>IFERROR(Model!N786/Model!J786-1,"NA")</f>
        <v>-0.26326963906581746</v>
      </c>
      <c r="O786" s="1304">
        <f>IFERROR(Model!O786/Model!K786-1,"NA")</f>
        <v>-0.50526315789473686</v>
      </c>
      <c r="P786" s="1304">
        <f>IFERROR(Model!P786/Model!L786-1,"NA")</f>
        <v>-0.9096774193548387</v>
      </c>
      <c r="Q786" s="1304">
        <f>IFERROR(Model!Q786/Model!M786-1,"NA")</f>
        <v>-0.40740740740740744</v>
      </c>
      <c r="R786" s="1304">
        <f>IFERROR(Model!R786/Model!N786-1,"NA")</f>
        <v>-1.4985590778097984</v>
      </c>
      <c r="S786" s="1304">
        <f>IFERROR(Model!S786/Model!O786-1,"NA")</f>
        <v>-4.2</v>
      </c>
      <c r="T786" s="1304">
        <f>IFERROR(Model!T786/Model!P786-1,"NA")</f>
        <v>-8.6428571428571423</v>
      </c>
      <c r="U786" s="1304">
        <f>IFERROR(Model!U786/Model!Q786-1,"NA")</f>
        <v>-0.23897058823529416</v>
      </c>
      <c r="V786" s="1304">
        <f>IFERROR(Model!V786/Model!R786-1,"NA")</f>
        <v>0.21965317919075145</v>
      </c>
      <c r="W786" s="1304">
        <f>IFERROR(Model!W786/Model!S786-1,"NA")</f>
        <v>-0.87234042553191493</v>
      </c>
      <c r="X786" s="1304">
        <f>IFERROR(Model!X786/Model!T786-1,"NA")</f>
        <v>-1.1464174454828659</v>
      </c>
      <c r="Y786" s="1304">
        <f>IFERROR(Model!Y786/Model!U786-1,"NA")</f>
        <v>-1.0338164251207729</v>
      </c>
      <c r="Z786" s="1304">
        <f>IFERROR(Model!Z786/Model!V786-1,"NA")</f>
        <v>5.2132701421800931E-2</v>
      </c>
      <c r="AA786" s="1304">
        <f>IFERROR(Model!AA786/Model!W786-1,"NA")</f>
        <v>1.0104166666666665</v>
      </c>
      <c r="AB786" s="1304">
        <f>IFERROR(Model!AB786/Model!X786-1,"NA")</f>
        <v>-0.78723404255319152</v>
      </c>
      <c r="AC786" s="1304">
        <f>IFERROR(Model!AC786/Model!Y786-1,"NA")</f>
        <v>24.247783315068514</v>
      </c>
      <c r="AD786" s="1304">
        <f>IFERROR(Model!AD786/Model!Z786-1,"NA")</f>
        <v>-0.16409398528832286</v>
      </c>
      <c r="AE786" s="1304">
        <f>IFERROR(Model!AE786/Model!AA786-1,"NA")</f>
        <v>4.6513228199332568E-2</v>
      </c>
      <c r="AF786" s="1304">
        <f>IFERROR(Model!AF786/Model!AB786-1,"NA")</f>
        <v>-19.340043764284474</v>
      </c>
      <c r="AG786" s="1304">
        <f>IFERROR(Model!AG786/Model!AC786-1,"NA")</f>
        <v>0.11943412867689984</v>
      </c>
      <c r="AH786" s="1304">
        <f>IFERROR(Model!AH786/Model!AD786-1,"NA")</f>
        <v>0.13461781952341423</v>
      </c>
      <c r="AI786" s="1304">
        <f>IFERROR(Model!AI786/Model!AE786-1,"NA")</f>
        <v>9.1674317136822392E-2</v>
      </c>
      <c r="AJ786" s="1304"/>
      <c r="AK786" s="1304"/>
      <c r="AL786" s="1304"/>
      <c r="AM786" s="1304"/>
      <c r="AN786" s="1304"/>
      <c r="AO786" s="1304"/>
      <c r="AP786" s="1304"/>
      <c r="AQ786" s="1304"/>
      <c r="AR786" s="1236"/>
      <c r="AS786" s="1448"/>
      <c r="AT786" s="1400"/>
      <c r="AU786" s="1236"/>
      <c r="AV786" s="1236">
        <f>IFERROR(Model!AV786/Model!AU786-1,"NA")</f>
        <v>-0.32839421088904208</v>
      </c>
      <c r="AW786" s="1236">
        <f>IFERROR(Model!AW786/Model!AV786-1,"NA")</f>
        <v>-0.22729604925602875</v>
      </c>
      <c r="AX786" s="1236">
        <f>IFERROR(Model!AX786/Model!AW786-1,"NA")</f>
        <v>-1.405710491367862</v>
      </c>
      <c r="AY786" s="1236">
        <f>IFERROR(Model!AY786/Model!AX786-1,"NA")</f>
        <v>-0.31096563011456624</v>
      </c>
      <c r="AZ786" s="1236">
        <f>IFERROR(Model!AZ786/Model!AY786-1,"NA")</f>
        <v>-0.10926365795724469</v>
      </c>
      <c r="BA786" s="1236">
        <f>IFERROR(Model!BA786/Model!AZ786-1,"NA")</f>
        <v>0.47808712403718157</v>
      </c>
      <c r="BB786" s="1304">
        <f>IFERROR(Model!BB786/Model!BA786-1,"NA")</f>
        <v>0.46547703892296766</v>
      </c>
      <c r="BC786" s="1304">
        <f>IFERROR(Model!BC786/Model!BB786-1,"NA")</f>
        <v>0.13179026466335175</v>
      </c>
      <c r="BD786" s="1304">
        <f>IFERROR(Model!BD786/Model!BC786-1,"NA")</f>
        <v>0.10733889441920819</v>
      </c>
      <c r="BE786" s="1304">
        <f>IFERROR(Model!BE786/Model!BD786-1,"NA")</f>
        <v>0.10939188068911987</v>
      </c>
    </row>
    <row r="787" spans="1:69" s="342" customFormat="1" x14ac:dyDescent="0.2">
      <c r="A787" s="411"/>
      <c r="B787" s="623"/>
      <c r="C787" s="315"/>
      <c r="D787" s="1304"/>
      <c r="E787" s="1304"/>
      <c r="F787" s="1304"/>
      <c r="G787" s="1304"/>
      <c r="H787" s="1304"/>
      <c r="I787" s="1304"/>
      <c r="J787" s="1304"/>
      <c r="K787" s="1304"/>
      <c r="L787" s="1304"/>
      <c r="M787" s="1304"/>
      <c r="N787" s="1304"/>
      <c r="O787" s="1304"/>
      <c r="P787" s="1304"/>
      <c r="Q787" s="1304"/>
      <c r="R787" s="1304"/>
      <c r="S787" s="1304"/>
      <c r="T787" s="1304"/>
      <c r="U787" s="1304"/>
      <c r="V787" s="1304"/>
      <c r="W787" s="1304"/>
      <c r="X787" s="1304"/>
      <c r="Y787" s="1304"/>
      <c r="Z787" s="1304"/>
      <c r="AA787" s="1304"/>
      <c r="AB787" s="1304"/>
      <c r="AC787" s="1311"/>
      <c r="AD787" s="1410"/>
      <c r="AE787" s="1410"/>
      <c r="AF787" s="1410"/>
      <c r="AG787" s="1410"/>
      <c r="AH787" s="1410"/>
      <c r="AI787" s="1267"/>
      <c r="AJ787" s="1267"/>
      <c r="AK787" s="1267"/>
      <c r="AL787" s="1267"/>
      <c r="AM787" s="1267"/>
      <c r="AN787" s="1267"/>
      <c r="AO787" s="1267"/>
      <c r="AP787" s="1267"/>
      <c r="AQ787" s="1267"/>
      <c r="AR787" s="1236"/>
      <c r="AS787" s="1448"/>
      <c r="AT787" s="1400"/>
      <c r="AU787" s="1263"/>
      <c r="AV787" s="1311"/>
      <c r="AW787" s="1410"/>
      <c r="AX787" s="1263"/>
      <c r="AY787" s="1410"/>
      <c r="AZ787" s="1410"/>
      <c r="BA787" s="1263"/>
      <c r="BB787" s="1267"/>
      <c r="BC787" s="1267"/>
      <c r="BD787" s="1267"/>
      <c r="BE787" s="1267"/>
    </row>
    <row r="788" spans="1:69" s="342" customFormat="1" x14ac:dyDescent="0.2">
      <c r="A788" s="411"/>
      <c r="B788" s="623"/>
      <c r="C788" s="315"/>
      <c r="D788" s="1304"/>
      <c r="E788" s="1304"/>
      <c r="F788" s="1304"/>
      <c r="G788" s="1304"/>
      <c r="H788" s="1304"/>
      <c r="I788" s="1304"/>
      <c r="J788" s="1304"/>
      <c r="K788" s="1304"/>
      <c r="L788" s="1304"/>
      <c r="M788" s="1304"/>
      <c r="N788" s="1304"/>
      <c r="O788" s="1304"/>
      <c r="P788" s="1304"/>
      <c r="Q788" s="1304"/>
      <c r="R788" s="1304"/>
      <c r="S788" s="1304"/>
      <c r="T788" s="1304"/>
      <c r="U788" s="1304"/>
      <c r="V788" s="1304"/>
      <c r="W788" s="1304"/>
      <c r="X788" s="1304"/>
      <c r="Y788" s="1304"/>
      <c r="Z788" s="1304"/>
      <c r="AA788" s="1304"/>
      <c r="AB788" s="1304"/>
      <c r="AC788" s="1311"/>
      <c r="AD788" s="1410"/>
      <c r="AE788" s="1410"/>
      <c r="AF788" s="1410"/>
      <c r="AG788" s="1410"/>
      <c r="AH788" s="1410"/>
      <c r="AI788" s="1267"/>
      <c r="AJ788" s="1267"/>
      <c r="AK788" s="1267"/>
      <c r="AL788" s="1267"/>
      <c r="AM788" s="1267"/>
      <c r="AN788" s="1267"/>
      <c r="AO788" s="1267"/>
      <c r="AP788" s="1267"/>
      <c r="AQ788" s="1267"/>
      <c r="AR788" s="1236"/>
      <c r="AS788" s="1448"/>
      <c r="AT788" s="1400"/>
      <c r="AU788" s="1263"/>
      <c r="AV788" s="1311"/>
      <c r="AW788" s="1410"/>
      <c r="AX788" s="1263"/>
      <c r="AY788" s="1410"/>
      <c r="AZ788" s="1410"/>
      <c r="BA788" s="1263"/>
      <c r="BB788" s="1267"/>
      <c r="BC788" s="1267"/>
      <c r="BD788" s="1267"/>
      <c r="BE788" s="1267"/>
    </row>
    <row r="789" spans="1:69" s="342" customFormat="1" x14ac:dyDescent="0.2">
      <c r="A789" s="411"/>
      <c r="B789" s="581" t="s">
        <v>406</v>
      </c>
      <c r="C789" s="582"/>
      <c r="D789" s="1304"/>
      <c r="E789" s="1304"/>
      <c r="F789" s="1304"/>
      <c r="G789" s="1304"/>
      <c r="H789" s="1304">
        <f>IFERROR(Model!H789/Model!D789-1,"NA")</f>
        <v>0.18212180746561879</v>
      </c>
      <c r="I789" s="1304">
        <f>IFERROR(Model!I789/Model!E789-1,"NA")</f>
        <v>0.44136460554370993</v>
      </c>
      <c r="J789" s="1304">
        <f>IFERROR(Model!J789/Model!F789-1,"NA")</f>
        <v>2.3855577047066312E-2</v>
      </c>
      <c r="K789" s="1304">
        <f>IFERROR(Model!K789/Model!G789-1,"NA")</f>
        <v>1.0948180815876518</v>
      </c>
      <c r="L789" s="1304">
        <f>IFERROR(Model!L789/Model!H789-1,"NA")</f>
        <v>3.1078610603290757E-2</v>
      </c>
      <c r="M789" s="1304">
        <f>IFERROR(Model!M789/Model!I789-1,"NA")</f>
        <v>-0.61735700197238663</v>
      </c>
      <c r="N789" s="1304">
        <f>IFERROR(Model!N789/Model!J789-1,"NA")</f>
        <v>0.15008396305625515</v>
      </c>
      <c r="O789" s="1304">
        <f>IFERROR(Model!O789/Model!K789-1,"NA")</f>
        <v>-0.58499999999999996</v>
      </c>
      <c r="P789" s="1304">
        <f>IFERROR(Model!P789/Model!L789-1,"NA")</f>
        <v>0.14974210186976133</v>
      </c>
      <c r="Q789" s="1304">
        <f>IFERROR(Model!Q789/Model!M789-1,"NA")</f>
        <v>1.881872852233677</v>
      </c>
      <c r="R789" s="1304">
        <f>IFERROR(Model!R789/Model!N789-1,"NA")</f>
        <v>0.11461945610512858</v>
      </c>
      <c r="S789" s="1304">
        <f>IFERROR(Model!S789/Model!O789-1,"NA")</f>
        <v>2.2447685478757133</v>
      </c>
      <c r="T789" s="1304">
        <f>IFERROR(Model!T789/Model!P789-1,"NA")</f>
        <v>-0.28417215757745684</v>
      </c>
      <c r="U789" s="1304">
        <f>IFERROR(Model!U789/Model!Q789-1,"NA")</f>
        <v>-0.12282009241317637</v>
      </c>
      <c r="V789" s="1304">
        <f>IFERROR(Model!V789/Model!R789-1,"NA")</f>
        <v>-6.1077452104142838E-2</v>
      </c>
      <c r="W789" s="1304">
        <f>IFERROR(Model!W789/Model!S789-1,"NA")</f>
        <v>1.8760992769200735E-2</v>
      </c>
      <c r="X789" s="1304">
        <f>IFERROR(Model!X789/Model!T789-1,"NA")</f>
        <v>0.1954563258911084</v>
      </c>
      <c r="Y789" s="1304">
        <f>IFERROR(Model!Y789/Model!U789-1,"NA")</f>
        <v>-1.4443500424808797E-2</v>
      </c>
      <c r="Z789" s="1304">
        <f>IFERROR(Model!Z789/Model!V789-1,"NA")</f>
        <v>6.8364143704220393E-2</v>
      </c>
      <c r="AA789" s="1304">
        <f>IFERROR(Model!AA789/Model!W789-1,"NA")</f>
        <v>2.6855937080376702E-3</v>
      </c>
      <c r="AB789" s="1304">
        <f>IFERROR(Model!AB789/Model!X789-1,"NA")</f>
        <v>8.1913499344692386E-3</v>
      </c>
      <c r="AC789" s="1304">
        <f>IFERROR(Model!AC789/Model!Y789-1,"NA")</f>
        <v>4.0785777214036756E-2</v>
      </c>
      <c r="AD789" s="1304">
        <f>IFERROR(Model!AD789/Model!Z789-1,"NA")</f>
        <v>-2.8435427526246615E-3</v>
      </c>
      <c r="AE789" s="1304">
        <f>IFERROR(Model!AE789/Model!AA789-1,"NA")</f>
        <v>0.12278106325527061</v>
      </c>
      <c r="AF789" s="1304">
        <f>IFERROR(Model!AF789/Model!AB789-1,"NA")</f>
        <v>7.1094060425881622E-2</v>
      </c>
      <c r="AG789" s="1304">
        <f>IFERROR(Model!AG789/Model!AC789-1,"NA")</f>
        <v>0.12087229612209427</v>
      </c>
      <c r="AH789" s="1304">
        <f>IFERROR(Model!AH789/Model!AD789-1,"NA")</f>
        <v>9.0363182620643689E-2</v>
      </c>
      <c r="AI789" s="1304">
        <f>IFERROR(Model!AI789/Model!AE789-1,"NA")</f>
        <v>7.7767918089413302E-2</v>
      </c>
      <c r="AJ789" s="1304"/>
      <c r="AK789" s="1304"/>
      <c r="AL789" s="1304"/>
      <c r="AM789" s="1304"/>
      <c r="AN789" s="1304"/>
      <c r="AO789" s="1304"/>
      <c r="AP789" s="1304"/>
      <c r="AQ789" s="1304"/>
      <c r="AR789" s="1236"/>
      <c r="AS789" s="1308"/>
      <c r="AT789" s="1308"/>
      <c r="AU789" s="1304"/>
      <c r="AV789" s="1304">
        <f>IFERROR(Model!AV789/Model!AU789-1,"NA")</f>
        <v>0.30973507415388513</v>
      </c>
      <c r="AW789" s="1304">
        <f>IFERROR(Model!AW789/Model!AV789-1,"NA")</f>
        <v>-0.24568110331478343</v>
      </c>
      <c r="AX789" s="1304">
        <f>IFERROR(Model!AX789/Model!AW789-1,"NA")</f>
        <v>0.6080318193482166</v>
      </c>
      <c r="AY789" s="1304">
        <f>IFERROR(Model!AY789/Model!AX789-1,"NA")</f>
        <v>-0.12479055294023778</v>
      </c>
      <c r="AZ789" s="1304">
        <f>IFERROR(Model!AZ789/Model!AY789-1,"NA")</f>
        <v>6.0123985778101963E-2</v>
      </c>
      <c r="BA789" s="1304">
        <f>IFERROR(Model!BA789/Model!AZ789-1,"NA")</f>
        <v>3.9167329516881955E-2</v>
      </c>
      <c r="BB789" s="1304">
        <f>IFERROR(Model!BB789/Model!BA789-1,"NA")</f>
        <v>9.0018471298235037E-2</v>
      </c>
      <c r="BC789" s="1304">
        <f>IFERROR(Model!BC789/Model!BB789-1,"NA")</f>
        <v>7.6235811641826468E-2</v>
      </c>
      <c r="BD789" s="1304">
        <f>IFERROR(Model!BD789/Model!BC789-1,"NA")</f>
        <v>5.5166892311237614E-2</v>
      </c>
      <c r="BE789" s="1304">
        <f>IFERROR(Model!BE789/Model!BD789-1,"NA")</f>
        <v>2.4937019815502559E-2</v>
      </c>
    </row>
    <row r="790" spans="1:69" s="342" customFormat="1" x14ac:dyDescent="0.2">
      <c r="A790" s="411"/>
      <c r="B790" s="581"/>
      <c r="C790" s="581" t="s">
        <v>407</v>
      </c>
      <c r="D790" s="1304"/>
      <c r="E790" s="1304"/>
      <c r="F790" s="1304"/>
      <c r="G790" s="1304"/>
      <c r="H790" s="1304">
        <f>IFERROR(Model!H790/Model!D790-1,"NA")</f>
        <v>0.21554993678887491</v>
      </c>
      <c r="I790" s="1304">
        <f>IFERROR(Model!I790/Model!E790-1,"NA")</f>
        <v>0.91659350307287091</v>
      </c>
      <c r="J790" s="1304">
        <f>IFERROR(Model!J790/Model!F790-1,"NA")</f>
        <v>0.14083457526080467</v>
      </c>
      <c r="K790" s="1304">
        <f>IFERROR(Model!K790/Model!G790-1,"NA")</f>
        <v>5.25</v>
      </c>
      <c r="L790" s="1304">
        <f>IFERROR(Model!L790/Model!H790-1,"NA")</f>
        <v>6.3962558502340006E-2</v>
      </c>
      <c r="M790" s="1304">
        <f>IFERROR(Model!M790/Model!I790-1,"NA")</f>
        <v>-5.863490609253319E-2</v>
      </c>
      <c r="N790" s="1304">
        <f>IFERROR(Model!N790/Model!J790-1,"NA")</f>
        <v>0.52514696276943185</v>
      </c>
      <c r="O790" s="1304">
        <f>IFERROR(Model!O790/Model!K790-1,"NA")</f>
        <v>-0.12872727272727269</v>
      </c>
      <c r="P790" s="1304">
        <f>IFERROR(Model!P790/Model!L790-1,"NA")</f>
        <v>0.10899315738025406</v>
      </c>
      <c r="Q790" s="1304">
        <f>IFERROR(Model!Q790/Model!M790-1,"NA")</f>
        <v>-3.89294403892948E-3</v>
      </c>
      <c r="R790" s="1304">
        <f>IFERROR(Model!R790/Model!N790-1,"NA")</f>
        <v>-0.17430406852248392</v>
      </c>
      <c r="S790" s="1304">
        <f>IFERROR(Model!S790/Model!O790-1,"NA")</f>
        <v>0.333889816360601</v>
      </c>
      <c r="T790" s="1304">
        <f>IFERROR(Model!T790/Model!P790-1,"NA")</f>
        <v>-0.29572498898193034</v>
      </c>
      <c r="U790" s="1304">
        <f>IFERROR(Model!U790/Model!Q790-1,"NA")</f>
        <v>-0.10210063507572054</v>
      </c>
      <c r="V790" s="1304">
        <f>IFERROR(Model!V790/Model!R790-1,"NA")</f>
        <v>-4.2012448132780045E-2</v>
      </c>
      <c r="W790" s="1304">
        <f>IFERROR(Model!W790/Model!S790-1,"NA")</f>
        <v>1.5018773466833446E-2</v>
      </c>
      <c r="X790" s="1304">
        <f>IFERROR(Model!X790/Model!T790-1,"NA")</f>
        <v>0.24280350438047549</v>
      </c>
      <c r="Y790" s="1304">
        <f>IFERROR(Model!Y790/Model!U790-1,"NA")</f>
        <v>4.2981501632208818E-2</v>
      </c>
      <c r="Z790" s="1304">
        <f>IFERROR(Model!Z790/Model!V790-1,"NA")</f>
        <v>7.6881429344883623E-2</v>
      </c>
      <c r="AA790" s="1304">
        <f>IFERROR(Model!AA790/Model!W790-1,"NA")</f>
        <v>-0.13810110974106038</v>
      </c>
      <c r="AB790" s="1304">
        <f>IFERROR(Model!AB790/Model!X790-1,"NA")</f>
        <v>-0.24219536757301108</v>
      </c>
      <c r="AC790" s="1381">
        <f>IFERROR(Model!AC790/Model!Y790-1,"NA")</f>
        <v>-0.18127023889474836</v>
      </c>
      <c r="AD790" s="1381">
        <f>IFERROR(Model!AD790/Model!Z790-1,"NA")</f>
        <v>-0.21684865934648445</v>
      </c>
      <c r="AE790" s="1381">
        <f>IFERROR(Model!AE790/Model!AA790-1,"NA")</f>
        <v>7.0485005362662001E-2</v>
      </c>
      <c r="AF790" s="1381">
        <f>IFERROR(Model!AF790/Model!AB790-1,"NA")</f>
        <v>9.4935689013434299E-2</v>
      </c>
      <c r="AG790" s="1381">
        <f>IFERROR(Model!AG790/Model!AC790-1,"NA")</f>
        <v>7.7761823194321344E-2</v>
      </c>
      <c r="AH790" s="1381">
        <f>IFERROR(Model!AH790/Model!AD790-1,"NA")</f>
        <v>6.8983512373180123E-2</v>
      </c>
      <c r="AI790" s="1381">
        <f>IFERROR(Model!AI790/Model!AE790-1,"NA")</f>
        <v>5.6635213813150287E-2</v>
      </c>
      <c r="AJ790" s="1381"/>
      <c r="AK790" s="1381"/>
      <c r="AL790" s="1381"/>
      <c r="AM790" s="1381"/>
      <c r="AN790" s="1381"/>
      <c r="AO790" s="1381"/>
      <c r="AP790" s="1381"/>
      <c r="AQ790" s="1381"/>
      <c r="AR790" s="1236"/>
      <c r="AS790" s="1308"/>
      <c r="AT790" s="1308"/>
      <c r="AU790" s="1304"/>
      <c r="AV790" s="1304">
        <f>IFERROR(Model!AV790/Model!AU790-1,"NA")</f>
        <v>0.63717020779827216</v>
      </c>
      <c r="AW790" s="1304">
        <f>IFERROR(Model!AW790/Model!AV790-1,"NA")</f>
        <v>8.8705077010838629E-2</v>
      </c>
      <c r="AX790" s="1304">
        <f>IFERROR(Model!AX790/Model!AW790-1,"NA")</f>
        <v>2.7246528687450811E-2</v>
      </c>
      <c r="AY790" s="1304">
        <f>IFERROR(Model!AY790/Model!AX790-1,"NA")</f>
        <v>-0.11948482529966842</v>
      </c>
      <c r="AZ790" s="1304">
        <f>IFERROR(Model!AZ790/Model!AY790-1,"NA")</f>
        <v>5.5756698044894915E-2</v>
      </c>
      <c r="BA790" s="1304">
        <f>IFERROR(Model!BA790/Model!AZ790-1,"NA")</f>
        <v>-0.1592961582859258</v>
      </c>
      <c r="BB790" s="1381">
        <f>IFERROR(Model!BB790/Model!BA790-1,"NA")</f>
        <v>7.4589229057478779E-2</v>
      </c>
      <c r="BC790" s="1381">
        <f>IFERROR(Model!BC790/Model!BB790-1,"NA")</f>
        <v>7.6235811641827356E-2</v>
      </c>
      <c r="BD790" s="1381">
        <f>IFERROR(Model!BD790/Model!BC790-1,"NA")</f>
        <v>5.5166892311237614E-2</v>
      </c>
      <c r="BE790" s="1381">
        <f>IFERROR(Model!BE790/Model!BD790-1,"NA")</f>
        <v>2.4937019815502559E-2</v>
      </c>
      <c r="BM790" s="238"/>
      <c r="BN790" s="238"/>
      <c r="BO790" s="238"/>
      <c r="BP790" s="238"/>
      <c r="BQ790" s="238"/>
    </row>
    <row r="791" spans="1:69" s="192" customFormat="1" x14ac:dyDescent="0.2">
      <c r="A791" s="831"/>
      <c r="B791" s="307"/>
      <c r="C791" s="74" t="s">
        <v>402</v>
      </c>
      <c r="D791" s="1320"/>
      <c r="E791" s="1320"/>
      <c r="F791" s="1320"/>
      <c r="G791" s="1320"/>
      <c r="H791" s="1320"/>
      <c r="I791" s="1320"/>
      <c r="J791" s="1320"/>
      <c r="K791" s="1320"/>
      <c r="L791" s="1320"/>
      <c r="M791" s="1320"/>
      <c r="N791" s="1320"/>
      <c r="O791" s="1320"/>
      <c r="P791" s="1320"/>
      <c r="Q791" s="1320"/>
      <c r="R791" s="1320"/>
      <c r="S791" s="1320"/>
      <c r="T791" s="1320"/>
      <c r="U791" s="1320"/>
      <c r="V791" s="1320"/>
      <c r="W791" s="1320"/>
      <c r="X791" s="1320"/>
      <c r="Y791" s="1320"/>
      <c r="Z791" s="1320"/>
      <c r="AA791" s="1320"/>
      <c r="AB791" s="1320"/>
      <c r="AC791" s="1320"/>
      <c r="AD791" s="1320"/>
      <c r="AE791" s="1320"/>
      <c r="AF791" s="1320"/>
      <c r="AG791" s="1320"/>
      <c r="AH791" s="1320"/>
      <c r="AI791" s="1320"/>
      <c r="AJ791" s="1320"/>
      <c r="AK791" s="1320"/>
      <c r="AL791" s="1320"/>
      <c r="AM791" s="1320"/>
      <c r="AN791" s="1320"/>
      <c r="AO791" s="1320"/>
      <c r="AP791" s="1320"/>
      <c r="AQ791" s="1320"/>
      <c r="AR791" s="1236"/>
      <c r="AS791" s="1308"/>
      <c r="AT791" s="1308"/>
      <c r="AU791" s="1320"/>
      <c r="AV791" s="1320"/>
      <c r="AW791" s="1320"/>
      <c r="AX791" s="1320"/>
      <c r="AY791" s="1320"/>
      <c r="AZ791" s="1320"/>
      <c r="BA791" s="1320"/>
      <c r="BB791" s="1320"/>
      <c r="BC791" s="1320"/>
      <c r="BD791" s="1320"/>
      <c r="BE791" s="1320"/>
    </row>
    <row r="792" spans="1:69" s="192" customFormat="1" x14ac:dyDescent="0.2">
      <c r="A792" s="831"/>
      <c r="B792" s="73"/>
      <c r="C792" s="74"/>
      <c r="D792" s="1247"/>
      <c r="E792" s="1247"/>
      <c r="F792" s="1247"/>
      <c r="G792" s="1247"/>
      <c r="H792" s="1247"/>
      <c r="I792" s="1247"/>
      <c r="J792" s="1247"/>
      <c r="K792" s="1247"/>
      <c r="L792" s="1247"/>
      <c r="M792" s="1247"/>
      <c r="N792" s="1247"/>
      <c r="O792" s="1247"/>
      <c r="P792" s="1247"/>
      <c r="Q792" s="1247"/>
      <c r="R792" s="1247"/>
      <c r="S792" s="1247"/>
      <c r="T792" s="1247"/>
      <c r="U792" s="1247"/>
      <c r="V792" s="1247"/>
      <c r="W792" s="1247"/>
      <c r="X792" s="1247"/>
      <c r="Y792" s="1247"/>
      <c r="Z792" s="1247"/>
      <c r="AA792" s="1247"/>
      <c r="AB792" s="1247"/>
      <c r="AC792" s="1247"/>
      <c r="AD792" s="1247"/>
      <c r="AE792" s="1247"/>
      <c r="AF792" s="1247"/>
      <c r="AG792" s="1247"/>
      <c r="AH792" s="1247"/>
      <c r="AI792" s="1247"/>
      <c r="AJ792" s="1247"/>
      <c r="AK792" s="1247"/>
      <c r="AL792" s="1247"/>
      <c r="AM792" s="1247"/>
      <c r="AN792" s="1247"/>
      <c r="AO792" s="1247"/>
      <c r="AP792" s="1247"/>
      <c r="AQ792" s="1247"/>
      <c r="AR792" s="1236"/>
      <c r="AS792" s="1318"/>
      <c r="AT792" s="1308"/>
      <c r="AU792" s="1263"/>
      <c r="AV792" s="1311"/>
      <c r="AW792" s="1410"/>
      <c r="AX792" s="1263"/>
      <c r="AY792" s="1410"/>
      <c r="AZ792" s="1410"/>
      <c r="BA792" s="1263"/>
      <c r="BB792" s="1247"/>
      <c r="BC792" s="1247"/>
      <c r="BD792" s="1247"/>
      <c r="BE792" s="1247"/>
    </row>
    <row r="793" spans="1:69" s="342" customFormat="1" x14ac:dyDescent="0.2">
      <c r="A793" s="411"/>
      <c r="B793" s="342" t="s">
        <v>399</v>
      </c>
      <c r="C793" s="1217"/>
      <c r="D793" s="1284"/>
      <c r="E793" s="1284"/>
      <c r="F793" s="1284"/>
      <c r="G793" s="1284"/>
      <c r="H793" s="1284">
        <f>IFERROR(Model!H793/Model!D793-1,"NA")</f>
        <v>0.16704675028506277</v>
      </c>
      <c r="I793" s="1284">
        <f>IFERROR(Model!I793/Model!E793-1,"NA")</f>
        <v>0.26573653471771586</v>
      </c>
      <c r="J793" s="1284">
        <f>IFERROR(Model!J793/Model!F793-1,"NA")</f>
        <v>-2.3557837511325896E-2</v>
      </c>
      <c r="K793" s="1284">
        <f>IFERROR(Model!K793/Model!G793-1,"NA")</f>
        <v>0.52132998745294845</v>
      </c>
      <c r="L793" s="1284">
        <f>IFERROR(Model!L793/Model!H793-1,"NA")</f>
        <v>1.5632633121641426E-2</v>
      </c>
      <c r="M793" s="1284">
        <f>IFERROR(Model!M793/Model!I793-1,"NA")</f>
        <v>-0.93001794411689309</v>
      </c>
      <c r="N793" s="1284">
        <f>IFERROR(Model!N793/Model!J793-1,"NA")</f>
        <v>-2.752861119703065E-2</v>
      </c>
      <c r="O793" s="1284">
        <f>IFERROR(Model!O793/Model!K793-1,"NA")</f>
        <v>-0.84371134020618554</v>
      </c>
      <c r="P793" s="1284">
        <f>IFERROR(Model!P793/Model!L793-1,"NA")</f>
        <v>0.16979316979316983</v>
      </c>
      <c r="Q793" s="1284">
        <f>IFERROR(Model!Q793/Model!M793-1,"NA")</f>
        <v>16.076923076923077</v>
      </c>
      <c r="R793" s="1284">
        <f>IFERROR(Model!R793/Model!N793-1,"NA")</f>
        <v>0.32919847328244267</v>
      </c>
      <c r="S793" s="1284">
        <f>IFERROR(Model!S793/Model!O793-1,"NA")</f>
        <v>8.2849604221635875</v>
      </c>
      <c r="T793" s="1284">
        <f>IFERROR(Model!T793/Model!P793-1,"NA")</f>
        <v>-0.27878289473684215</v>
      </c>
      <c r="U793" s="1284">
        <f>IFERROR(Model!U793/Model!Q793-1,"NA")</f>
        <v>-0.13191763191763195</v>
      </c>
      <c r="V793" s="1284">
        <f>IFERROR(Model!V793/Model!R793-1,"NA")</f>
        <v>-6.9873175400813614E-2</v>
      </c>
      <c r="W793" s="1284">
        <f>IFERROR(Model!W793/Model!S793-1,"NA")</f>
        <v>2.0460358056265893E-2</v>
      </c>
      <c r="X793" s="1284">
        <f>IFERROR(Model!X793/Model!T793-1,"NA")</f>
        <v>0.17388825541619157</v>
      </c>
      <c r="Y793" s="1284">
        <f>IFERROR(Model!Y793/Model!U793-1,"NA")</f>
        <v>-4.0523844823325939E-2</v>
      </c>
      <c r="Z793" s="1284">
        <f>IFERROR(Model!Z793/Model!V793-1,"NA")</f>
        <v>6.4316953949060895E-2</v>
      </c>
      <c r="AA793" s="1284">
        <f>IFERROR(Model!AA793/Model!W793-1,"NA")</f>
        <v>6.6276803118908489E-2</v>
      </c>
      <c r="AB793" s="1284">
        <f>IFERROR(Model!AB793/Model!X793-1,"NA")</f>
        <v>0.12894609033511406</v>
      </c>
      <c r="AC793" s="1284">
        <f>IFERROR(Model!AC793/Model!Y793-1,"NA")</f>
        <v>0.15041271073980012</v>
      </c>
      <c r="AD793" s="1284">
        <f>IFERROR(Model!AD793/Model!Z793-1,"NA")</f>
        <v>0.10004651692955746</v>
      </c>
      <c r="AE793" s="1284">
        <f>IFERROR(Model!AE793/Model!AA793-1,"NA")</f>
        <v>0.14187479241010692</v>
      </c>
      <c r="AF793" s="1284">
        <f>IFERROR(Model!AF793/Model!AB793-1,"NA")</f>
        <v>6.3375916518747522E-2</v>
      </c>
      <c r="AG793" s="1284">
        <f>IFERROR(Model!AG793/Model!AC793-1,"NA")</f>
        <v>0.13601921904266301</v>
      </c>
      <c r="AH793" s="1284">
        <f>IFERROR(Model!AH793/Model!AD793-1,"NA")</f>
        <v>9.7681056329507854E-2</v>
      </c>
      <c r="AI793" s="1284">
        <f>IFERROR(Model!AI793/Model!AE793-1,"NA")</f>
        <v>8.500125982155593E-2</v>
      </c>
      <c r="AJ793" s="1284"/>
      <c r="AK793" s="1284"/>
      <c r="AL793" s="1284"/>
      <c r="AM793" s="1284"/>
      <c r="AN793" s="1284"/>
      <c r="AO793" s="1284"/>
      <c r="AP793" s="1284"/>
      <c r="AQ793" s="1284"/>
      <c r="AR793" s="1236"/>
      <c r="AS793" s="1263"/>
      <c r="AT793" s="407"/>
      <c r="AU793" s="1284"/>
      <c r="AV793" s="1284">
        <f>IFERROR(Model!AV793/Model!AU793-1,"NA")</f>
        <v>0.18773379730317519</v>
      </c>
      <c r="AW793" s="1284">
        <f>IFERROR(Model!AW793/Model!AV793-1,"NA")</f>
        <v>-0.41741741741741745</v>
      </c>
      <c r="AX793" s="1284">
        <f>IFERROR(Model!AX793/Model!AW793-1,"NA")</f>
        <v>1.1654513452351019</v>
      </c>
      <c r="AY793" s="1284">
        <f>IFERROR(Model!AY793/Model!AX793-1,"NA")</f>
        <v>-0.12720622387366465</v>
      </c>
      <c r="AZ793" s="1284">
        <f>IFERROR(Model!AZ793/Model!AY793-1,"NA")</f>
        <v>6.2129980709106691E-2</v>
      </c>
      <c r="BA793" s="1284">
        <f>IFERROR(Model!BA793/Model!AZ793-1,"NA")</f>
        <v>0.1297791430123707</v>
      </c>
      <c r="BB793" s="1284">
        <f>IFERROR(Model!BB793/Model!BA793-1,"NA")</f>
        <v>9.5260486543580436E-2</v>
      </c>
      <c r="BC793" s="1284">
        <f>IFERROR(Model!BC793/Model!BB793-1,"NA")</f>
        <v>7.6235811641826023E-2</v>
      </c>
      <c r="BD793" s="1284">
        <f>IFERROR(Model!BD793/Model!BC793-1,"NA")</f>
        <v>5.5166892311237836E-2</v>
      </c>
      <c r="BE793" s="1284">
        <f>IFERROR(Model!BE793/Model!BD793-1,"NA")</f>
        <v>2.4937019815502559E-2</v>
      </c>
    </row>
    <row r="794" spans="1:69" s="342" customFormat="1" x14ac:dyDescent="0.2">
      <c r="A794" s="411"/>
      <c r="B794" s="35"/>
      <c r="C794" s="1217" t="s">
        <v>397</v>
      </c>
      <c r="D794" s="1284"/>
      <c r="E794" s="1284"/>
      <c r="F794" s="1284"/>
      <c r="G794" s="1284"/>
      <c r="H794" s="1284">
        <f>IFERROR(Model!H794/Model!D794-1,"NA")</f>
        <v>0</v>
      </c>
      <c r="I794" s="1284">
        <f>IFERROR(Model!I794/Model!E794-1,"NA")</f>
        <v>0</v>
      </c>
      <c r="J794" s="1284">
        <f>IFERROR(Model!J794/Model!F794-1,"NA")</f>
        <v>26.5</v>
      </c>
      <c r="K794" s="1284">
        <f>IFERROR(Model!K794/Model!G794-1,"NA")</f>
        <v>6.8888888888888893</v>
      </c>
      <c r="L794" s="1284">
        <f>IFERROR(Model!L794/Model!H794-1,"NA")</f>
        <v>30</v>
      </c>
      <c r="M794" s="1284">
        <f>IFERROR(Model!M794/Model!I794-1,"NA")</f>
        <v>10.111111111111111</v>
      </c>
      <c r="N794" s="1284">
        <f>IFERROR(Model!N794/Model!J794-1,"NA")</f>
        <v>0.16363636363636358</v>
      </c>
      <c r="O794" s="1284">
        <f>IFERROR(Model!O794/Model!K794-1,"NA")</f>
        <v>1.23943661971831</v>
      </c>
      <c r="P794" s="1284">
        <f>IFERROR(Model!P794/Model!L794-1,"NA")</f>
        <v>3.2258064516129004E-2</v>
      </c>
      <c r="Q794" s="1284">
        <f>IFERROR(Model!Q794/Model!M794-1,"NA")</f>
        <v>1.02</v>
      </c>
      <c r="R794" s="1284">
        <f>IFERROR(Model!R794/Model!N794-1,"NA")</f>
        <v>0.359375</v>
      </c>
      <c r="S794" s="1284">
        <f>IFERROR(Model!S794/Model!O794-1,"NA")</f>
        <v>0.66666666666666674</v>
      </c>
      <c r="T794" s="1284">
        <f>IFERROR(Model!T794/Model!P794-1,"NA")</f>
        <v>0.640625</v>
      </c>
      <c r="U794" s="1284">
        <f>IFERROR(Model!U794/Model!Q794-1,"NA")</f>
        <v>0.59405940594059414</v>
      </c>
      <c r="V794" s="1284">
        <f>IFERROR(Model!V794/Model!R794-1,"NA")</f>
        <v>0.2931034482758621</v>
      </c>
      <c r="W794" s="1284">
        <f>IFERROR(Model!W794/Model!S794-1,"NA")</f>
        <v>0.20754716981132071</v>
      </c>
      <c r="X794" s="1284">
        <f>IFERROR(Model!X794/Model!T794-1,"NA")</f>
        <v>0.43333333333333335</v>
      </c>
      <c r="Y794" s="1284">
        <f>IFERROR(Model!Y794/Model!U794-1,"NA")</f>
        <v>-6.2111801242236142E-3</v>
      </c>
      <c r="Z794" s="1284">
        <f>IFERROR(Model!Z794/Model!V794-1,"NA")</f>
        <v>0.2088888888888889</v>
      </c>
      <c r="AA794" s="1284">
        <f>IFERROR(Model!AA794/Model!W794-1,"NA")</f>
        <v>0</v>
      </c>
      <c r="AB794" s="1284">
        <f>IFERROR(Model!AB794/Model!X794-1,"NA")</f>
        <v>0</v>
      </c>
      <c r="AC794" s="1284">
        <f>IFERROR(Model!AC794/Model!Y794-1,"NA")</f>
        <v>-6.2499999999999778E-3</v>
      </c>
      <c r="AD794" s="1284">
        <f>IFERROR(Model!AD794/Model!Z794-1,"NA")</f>
        <v>-7.3529411764705621E-3</v>
      </c>
      <c r="AE794" s="1284">
        <f>IFERROR(Model!AE794/Model!AA794-1,"NA")</f>
        <v>-2.1874999999999978E-2</v>
      </c>
      <c r="AF794" s="1284">
        <f>IFERROR(Model!AF794/Model!AB794-1,"NA")</f>
        <v>1.3289036544850585E-2</v>
      </c>
      <c r="AG794" s="1284">
        <f>IFERROR(Model!AG794/Model!AC794-1,"NA")</f>
        <v>9.4339622641509413E-2</v>
      </c>
      <c r="AH794" s="1284">
        <f>IFERROR(Model!AH794/Model!AD794-1,"NA")</f>
        <v>0.12962962962962954</v>
      </c>
      <c r="AI794" s="1284">
        <f>IFERROR(Model!AI794/Model!AE794-1,"NA")</f>
        <v>0.11182108626198084</v>
      </c>
      <c r="AJ794" s="1284"/>
      <c r="AK794" s="1284"/>
      <c r="AL794" s="1284"/>
      <c r="AM794" s="1284"/>
      <c r="AN794" s="1284"/>
      <c r="AO794" s="1284"/>
      <c r="AP794" s="1284"/>
      <c r="AQ794" s="1284"/>
      <c r="AR794" s="1236"/>
      <c r="AS794" s="407"/>
      <c r="AT794" s="407"/>
      <c r="AU794" s="1236"/>
      <c r="AV794" s="1236">
        <f>IFERROR(Model!AV794/Model!AU794-1,"NA")</f>
        <v>6.4615384615384617</v>
      </c>
      <c r="AW794" s="1236">
        <f>IFERROR(Model!AW794/Model!AV794-1,"NA")</f>
        <v>1.634020618556701</v>
      </c>
      <c r="AX794" s="1236">
        <f>IFERROR(Model!AX794/Model!AW794-1,"NA")</f>
        <v>0.50489236790606662</v>
      </c>
      <c r="AY794" s="1236">
        <f>IFERROR(Model!AY794/Model!AX794-1,"NA")</f>
        <v>0.40052015604681412</v>
      </c>
      <c r="AZ794" s="1236">
        <f>IFERROR(Model!AZ794/Model!AY794-1,"NA")</f>
        <v>0.12627669452181989</v>
      </c>
      <c r="BA794" s="1236">
        <f>IFERROR(Model!BA794/Model!AZ794-1,"NA")</f>
        <v>-9.0684253915911395E-3</v>
      </c>
      <c r="BB794" s="1284">
        <f>IFERROR(Model!BB794/Model!BA794-1,"NA")</f>
        <v>8.652246256239593E-2</v>
      </c>
      <c r="BC794" s="1284">
        <f>IFERROR(Model!BC794/Model!BB794-1,"NA")</f>
        <v>0</v>
      </c>
      <c r="BD794" s="1284">
        <f>IFERROR(Model!BD794/Model!BC794-1,"NA")</f>
        <v>0</v>
      </c>
      <c r="BE794" s="1284">
        <f>IFERROR(Model!BE794/Model!BD794-1,"NA")</f>
        <v>0</v>
      </c>
    </row>
    <row r="795" spans="1:69" s="342" customFormat="1" x14ac:dyDescent="0.2">
      <c r="A795" s="411"/>
      <c r="B795" s="35"/>
      <c r="C795" s="1217" t="s">
        <v>396</v>
      </c>
      <c r="D795" s="1284"/>
      <c r="E795" s="1284"/>
      <c r="F795" s="1284"/>
      <c r="G795" s="1284"/>
      <c r="H795" s="1284">
        <f>IFERROR(Model!H795/Model!D795-1,"NA")</f>
        <v>-0.2857142857142857</v>
      </c>
      <c r="I795" s="1284">
        <f>IFERROR(Model!I795/Model!E795-1,"NA")</f>
        <v>-9.9999999999999978E-2</v>
      </c>
      <c r="J795" s="1284">
        <f>IFERROR(Model!J795/Model!F795-1,"NA")</f>
        <v>1.04</v>
      </c>
      <c r="K795" s="1284">
        <f>IFERROR(Model!K795/Model!G795-1,"NA")</f>
        <v>0.78571428571428581</v>
      </c>
      <c r="L795" s="1284">
        <f>IFERROR(Model!L795/Model!H795-1,"NA")</f>
        <v>-0.5</v>
      </c>
      <c r="M795" s="1284">
        <f>IFERROR(Model!M795/Model!I795-1,"NA")</f>
        <v>0.38888888888888884</v>
      </c>
      <c r="N795" s="1284">
        <f>IFERROR(Model!N795/Model!J795-1,"NA")</f>
        <v>0.15686274509803932</v>
      </c>
      <c r="O795" s="1284">
        <f>IFERROR(Model!O795/Model!K795-1,"NA")</f>
        <v>-0.24</v>
      </c>
      <c r="P795" s="1284">
        <f>IFERROR(Model!P795/Model!L795-1,"NA")</f>
        <v>-6.6666666666666652E-2</v>
      </c>
      <c r="Q795" s="1284">
        <f>IFERROR(Model!Q795/Model!M795-1,"NA")</f>
        <v>-0.64</v>
      </c>
      <c r="R795" s="1284">
        <f>IFERROR(Model!R795/Model!N795-1,"NA")</f>
        <v>-0.9152542372881356</v>
      </c>
      <c r="S795" s="1284">
        <f>IFERROR(Model!S795/Model!O795-1,"NA")</f>
        <v>-0.34210526315789469</v>
      </c>
      <c r="T795" s="1284">
        <f>IFERROR(Model!T795/Model!P795-1,"NA")</f>
        <v>-0.88095238095238093</v>
      </c>
      <c r="U795" s="1284">
        <f>IFERROR(Model!U795/Model!Q795-1,"NA")</f>
        <v>0.44444444444444442</v>
      </c>
      <c r="V795" s="1284">
        <f>IFERROR(Model!V795/Model!R795-1,"NA")</f>
        <v>2.4</v>
      </c>
      <c r="W795" s="1284">
        <f>IFERROR(Model!W795/Model!S795-1,"NA")</f>
        <v>-0.4</v>
      </c>
      <c r="X795" s="1284">
        <f>IFERROR(Model!X795/Model!T795-1,"NA")</f>
        <v>1</v>
      </c>
      <c r="Y795" s="1284">
        <f>IFERROR(Model!Y795/Model!U795-1,"NA")</f>
        <v>0.23076923076923084</v>
      </c>
      <c r="Z795" s="1284">
        <f>IFERROR(Model!Z795/Model!V795-1,"NA")</f>
        <v>-1.0588235294117647</v>
      </c>
      <c r="AA795" s="1284">
        <f>IFERROR(Model!AA795/Model!W795-1,"NA")</f>
        <v>0.26666666666666661</v>
      </c>
      <c r="AB795" s="1284">
        <f>IFERROR(Model!AB795/Model!X795-1,"NA")</f>
        <v>1.2000000000000002</v>
      </c>
      <c r="AC795" s="1284">
        <f>IFERROR(Model!AC795/Model!Y795-1,"NA")</f>
        <v>-0.390782625132989</v>
      </c>
      <c r="AD795" s="1284">
        <f>IFERROR(Model!AD795/Model!Z795-1,"NA")</f>
        <v>-16.850270019171404</v>
      </c>
      <c r="AE795" s="1284">
        <f>IFERROR(Model!AE795/Model!AA795-1,"NA")</f>
        <v>4.1410728137489805E-3</v>
      </c>
      <c r="AF795" s="1284">
        <f>IFERROR(Model!AF795/Model!AB795-1,"NA")</f>
        <v>-4.8001990979798848E-2</v>
      </c>
      <c r="AG795" s="1284">
        <f>IFERROR(Model!AG795/Model!AC795-1,"NA")</f>
        <v>7.0083727310165989E-2</v>
      </c>
      <c r="AH795" s="1284">
        <f>IFERROR(Model!AH795/Model!AD795-1,"NA")</f>
        <v>0.27676834830990416</v>
      </c>
      <c r="AI795" s="1284">
        <f>IFERROR(Model!AI795/Model!AE795-1,"NA")</f>
        <v>4.0475206348222548E-2</v>
      </c>
      <c r="AJ795" s="1284"/>
      <c r="AK795" s="1284"/>
      <c r="AL795" s="1284"/>
      <c r="AM795" s="1284"/>
      <c r="AN795" s="1284"/>
      <c r="AO795" s="1284"/>
      <c r="AP795" s="1284"/>
      <c r="AQ795" s="1284"/>
      <c r="AR795" s="1236"/>
      <c r="AS795" s="407"/>
      <c r="AT795" s="407"/>
      <c r="AU795" s="1236"/>
      <c r="AV795" s="1236">
        <f>IFERROR(Model!AV795/Model!AU795-1,"NA")</f>
        <v>3.6529680365296802E-2</v>
      </c>
      <c r="AW795" s="1236">
        <f>IFERROR(Model!AW795/Model!AV795-1,"NA")</f>
        <v>-0.1541850220264317</v>
      </c>
      <c r="AX795" s="1236">
        <f>IFERROR(Model!AX795/Model!AW795-1,"NA")</f>
        <v>-0.53125</v>
      </c>
      <c r="AY795" s="1236">
        <f>IFERROR(Model!AY795/Model!AX795-1,"NA")</f>
        <v>-0.30000000000000004</v>
      </c>
      <c r="AZ795" s="1236">
        <f>IFERROR(Model!AZ795/Model!AY795-1,"NA")</f>
        <v>-4.7619047619047672E-2</v>
      </c>
      <c r="BA795" s="1236">
        <f>IFERROR(Model!BA795/Model!AZ795-1,"NA")</f>
        <v>0.27373177330628318</v>
      </c>
      <c r="BB795" s="1284">
        <f>IFERROR(Model!BB795/Model!BA795-1,"NA")</f>
        <v>7.15653283765465E-2</v>
      </c>
      <c r="BC795" s="1284">
        <f>IFERROR(Model!BC795/Model!BB795-1,"NA")</f>
        <v>7.6235811641826023E-2</v>
      </c>
      <c r="BD795" s="1284">
        <f>IFERROR(Model!BD795/Model!BC795-1,"NA")</f>
        <v>5.5166892311237836E-2</v>
      </c>
      <c r="BE795" s="1284">
        <f>IFERROR(Model!BE795/Model!BD795-1,"NA")</f>
        <v>2.4937019815502559E-2</v>
      </c>
    </row>
    <row r="796" spans="1:69" s="342" customFormat="1" x14ac:dyDescent="0.2">
      <c r="A796" s="411"/>
      <c r="B796" s="43"/>
      <c r="C796" s="25" t="s">
        <v>395</v>
      </c>
      <c r="D796" s="1270"/>
      <c r="E796" s="1270"/>
      <c r="F796" s="1270"/>
      <c r="G796" s="1270"/>
      <c r="H796" s="1270">
        <f>IFERROR(Model!H796/Model!D796-1,"NA")</f>
        <v>0.44897959183673475</v>
      </c>
      <c r="I796" s="1270">
        <f>IFERROR(Model!I796/Model!E796-1,"NA")</f>
        <v>0.27692307692307683</v>
      </c>
      <c r="J796" s="1270">
        <f>IFERROR(Model!J796/Model!F796-1,"NA")</f>
        <v>5.2</v>
      </c>
      <c r="K796" s="1270">
        <f>IFERROR(Model!K796/Model!G796-1,"NA")</f>
        <v>0.80769230769230771</v>
      </c>
      <c r="L796" s="1270">
        <f>IFERROR(Model!L796/Model!H796-1,"NA")</f>
        <v>-0.12676056338028174</v>
      </c>
      <c r="M796" s="1270">
        <f>IFERROR(Model!M796/Model!I796-1,"NA")</f>
        <v>-0.98795180722891562</v>
      </c>
      <c r="N796" s="1270">
        <f>IFERROR(Model!N796/Model!J796-1,"NA")</f>
        <v>-0.29032258064516125</v>
      </c>
      <c r="O796" s="1270">
        <f>IFERROR(Model!O796/Model!K796-1,"NA")</f>
        <v>-0.93617021276595747</v>
      </c>
      <c r="P796" s="1270">
        <f>IFERROR(Model!P796/Model!L796-1,"NA")</f>
        <v>0</v>
      </c>
      <c r="Q796" s="1270">
        <f>IFERROR(Model!Q796/Model!M796-1,"NA")</f>
        <v>63</v>
      </c>
      <c r="R796" s="1270">
        <f>IFERROR(Model!R796/Model!N796-1,"NA")</f>
        <v>0.27272727272727271</v>
      </c>
      <c r="S796" s="1270">
        <f>IFERROR(Model!S796/Model!O796-1,"NA")</f>
        <v>13</v>
      </c>
      <c r="T796" s="1270">
        <f>IFERROR(Model!T796/Model!P796-1,"NA")</f>
        <v>-0.35483870967741937</v>
      </c>
      <c r="U796" s="1270">
        <f>IFERROR(Model!U796/Model!Q796-1,"NA")</f>
        <v>-0.171875</v>
      </c>
      <c r="V796" s="1270">
        <f>IFERROR(Model!V796/Model!R796-1,"NA")</f>
        <v>-5.3571428571428603E-2</v>
      </c>
      <c r="W796" s="1270">
        <f>IFERROR(Model!W796/Model!S796-1,"NA")</f>
        <v>0.16666666666666674</v>
      </c>
      <c r="X796" s="1270">
        <f>IFERROR(Model!X796/Model!T796-1,"NA")</f>
        <v>0.375</v>
      </c>
      <c r="Y796" s="1270">
        <f>IFERROR(Model!Y796/Model!U796-1,"NA")</f>
        <v>-9.4339622641509413E-2</v>
      </c>
      <c r="Z796" s="1270">
        <f>IFERROR(Model!Z796/Model!V796-1,"NA")</f>
        <v>0</v>
      </c>
      <c r="AA796" s="1270">
        <f>IFERROR(Model!AA796/Model!W796-1,"NA")</f>
        <v>-0.75510204081632648</v>
      </c>
      <c r="AB796" s="1270">
        <f>IFERROR(Model!AB796/Model!X796-1,"NA")</f>
        <v>-0.6</v>
      </c>
      <c r="AC796" s="1270">
        <f>IFERROR(Model!AC796/Model!Y796-1,"NA")</f>
        <v>-0.23847828141623617</v>
      </c>
      <c r="AD796" s="1270">
        <f>IFERROR(Model!AD796/Model!Z796-1,"NA")</f>
        <v>-0.37893923743632685</v>
      </c>
      <c r="AE796" s="1270">
        <f>IFERROR(Model!AE796/Model!AA796-1,"NA")</f>
        <v>1.1547483490174608</v>
      </c>
      <c r="AF796" s="1270">
        <f>IFERROR(Model!AF796/Model!AB796-1,"NA")</f>
        <v>0.46151060704852975</v>
      </c>
      <c r="AG796" s="1270">
        <f>IFERROR(Model!AG796/Model!AC796-1,"NA")</f>
        <v>-3.4681654372776038E-2</v>
      </c>
      <c r="AH796" s="1270">
        <f>IFERROR(Model!AH796/Model!AD796-1,"NA")</f>
        <v>1.1230084712199995E-2</v>
      </c>
      <c r="AI796" s="1270">
        <f>IFERROR(Model!AI796/Model!AE796-1,"NA")</f>
        <v>0.1979506325768734</v>
      </c>
      <c r="AJ796" s="1263"/>
      <c r="AK796" s="1263"/>
      <c r="AL796" s="1263"/>
      <c r="AM796" s="1263"/>
      <c r="AN796" s="1263"/>
      <c r="AO796" s="1263"/>
      <c r="AP796" s="1263"/>
      <c r="AQ796" s="1263"/>
      <c r="AR796" s="1236"/>
      <c r="AS796" s="1307"/>
      <c r="AT796" s="1307"/>
      <c r="AU796" s="1246"/>
      <c r="AV796" s="1246">
        <f>IFERROR(Model!AV796/Model!AU796-1,"NA")</f>
        <v>0.75333333333333341</v>
      </c>
      <c r="AW796" s="1246">
        <f>IFERROR(Model!AW796/Model!AV796-1,"NA")</f>
        <v>-0.58174904942965777</v>
      </c>
      <c r="AX796" s="1246">
        <f>IFERROR(Model!AX796/Model!AW796-1,"NA")</f>
        <v>1.0363636363636362</v>
      </c>
      <c r="AY796" s="1246">
        <f>IFERROR(Model!AY796/Model!AX796-1,"NA")</f>
        <v>-0.1294642857142857</v>
      </c>
      <c r="AZ796" s="1246">
        <f>IFERROR(Model!AZ796/Model!AY796-1,"NA")</f>
        <v>-0.13846153846153841</v>
      </c>
      <c r="BA796" s="1246">
        <f>IFERROR(Model!BA796/Model!AZ796-1,"NA")</f>
        <v>-0.30162950538032818</v>
      </c>
      <c r="BB796" s="1270">
        <f>IFERROR(Model!BB796/Model!BA796-1,"NA")</f>
        <v>0.12250942771406859</v>
      </c>
      <c r="BC796" s="1270">
        <f>IFERROR(Model!BC796/Model!BB796-1,"NA")</f>
        <v>7.6235811641826023E-2</v>
      </c>
      <c r="BD796" s="1270">
        <f>IFERROR(Model!BD796/Model!BC796-1,"NA")</f>
        <v>5.5166892311237836E-2</v>
      </c>
      <c r="BE796" s="1270">
        <f>IFERROR(Model!BE796/Model!BD796-1,"NA")</f>
        <v>2.4937019815502559E-2</v>
      </c>
    </row>
    <row r="797" spans="1:69" s="342" customFormat="1" x14ac:dyDescent="0.2">
      <c r="A797" s="411"/>
      <c r="B797" s="119" t="s">
        <v>627</v>
      </c>
      <c r="C797" s="59"/>
      <c r="D797" s="1284"/>
      <c r="E797" s="1284"/>
      <c r="F797" s="1284"/>
      <c r="G797" s="1284"/>
      <c r="H797" s="1284">
        <f>IFERROR(Model!H797/Model!D797-1,"NA")</f>
        <v>0.18023430459597467</v>
      </c>
      <c r="I797" s="1284">
        <f>IFERROR(Model!I797/Model!E797-1,"NA")</f>
        <v>0.27122641509433953</v>
      </c>
      <c r="J797" s="1284">
        <f>IFERROR(Model!J797/Model!F797-1,"NA")</f>
        <v>-8.0073349633251856E-2</v>
      </c>
      <c r="K797" s="1284">
        <f>IFERROR(Model!K797/Model!G797-1,"NA")</f>
        <v>0.47419986936642711</v>
      </c>
      <c r="L797" s="1284">
        <f>IFERROR(Model!L797/Model!H797-1,"NA")</f>
        <v>-5.0903537795876641E-4</v>
      </c>
      <c r="M797" s="1284">
        <f>IFERROR(Model!M797/Model!I797-1,"NA")</f>
        <v>-0.96766498807315138</v>
      </c>
      <c r="N797" s="1284">
        <f>IFERROR(Model!N797/Model!J797-1,"NA")</f>
        <v>-3.2225913621262481E-2</v>
      </c>
      <c r="O797" s="1284">
        <f>IFERROR(Model!O797/Model!K797-1,"NA")</f>
        <v>-0.92069118298626496</v>
      </c>
      <c r="P797" s="1284">
        <f>IFERROR(Model!P797/Model!L797-1,"NA")</f>
        <v>0.17952635599694422</v>
      </c>
      <c r="Q797" s="1284">
        <f>IFERROR(Model!Q797/Model!M797-1,"NA")</f>
        <v>34.885245901639344</v>
      </c>
      <c r="R797" s="1284">
        <f>IFERROR(Model!R797/Model!N797-1,"NA")</f>
        <v>0.35393065568142812</v>
      </c>
      <c r="S797" s="1284">
        <f>IFERROR(Model!S797/Model!O797-1,"NA")</f>
        <v>16.804469273743017</v>
      </c>
      <c r="T797" s="1284">
        <f>IFERROR(Model!T797/Model!P797-1,"NA")</f>
        <v>-0.29771157167530227</v>
      </c>
      <c r="U797" s="1284">
        <f>IFERROR(Model!U797/Model!Q797-1,"NA")</f>
        <v>-0.16719963453631792</v>
      </c>
      <c r="V797" s="1284">
        <f>IFERROR(Model!V797/Model!R797-1,"NA")</f>
        <v>-8.9249492900608574E-2</v>
      </c>
      <c r="W797" s="1284">
        <f>IFERROR(Model!W797/Model!S797-1,"NA")</f>
        <v>6.2754941951679299E-3</v>
      </c>
      <c r="X797" s="1284">
        <f>IFERROR(Model!X797/Model!T797-1,"NA")</f>
        <v>0.15339686443283118</v>
      </c>
      <c r="Y797" s="1284">
        <f>IFERROR(Model!Y797/Model!U797-1,"NA")</f>
        <v>-4.4706527701590781E-2</v>
      </c>
      <c r="Z797" s="1284">
        <f>IFERROR(Model!Z797/Model!V797-1,"NA")</f>
        <v>6.1525612472160374E-2</v>
      </c>
      <c r="AA797" s="1284">
        <f>IFERROR(Model!AA797/Model!W797-1,"NA")</f>
        <v>8.4502650452136008E-2</v>
      </c>
      <c r="AB797" s="1284">
        <f>IFERROR(Model!AB797/Model!X797-1,"NA")</f>
        <v>0.14712153518123672</v>
      </c>
      <c r="AC797" s="1284">
        <f>IFERROR(Model!AC797/Model!Y797-1,"NA")</f>
        <v>0.1751376851320352</v>
      </c>
      <c r="AD797" s="1284">
        <f>IFERROR(Model!AD797/Model!Z797-1,"NA")</f>
        <v>0.10992025966497065</v>
      </c>
      <c r="AE797" s="1284">
        <f>IFERROR(Model!AE797/Model!AA797-1,"NA")</f>
        <v>0.15419865427447643</v>
      </c>
      <c r="AF797" s="1284">
        <f>IFERROR(Model!AF797/Model!AB797-1,"NA")</f>
        <v>6.5412975451241806E-2</v>
      </c>
      <c r="AG797" s="1284">
        <f>IFERROR(Model!AG797/Model!AC797-1,"NA")</f>
        <v>0.14109596820183357</v>
      </c>
      <c r="AH797" s="1284">
        <f>IFERROR(Model!AH797/Model!AD797-1,"NA")</f>
        <v>9.5644477647629511E-2</v>
      </c>
      <c r="AI797" s="1284">
        <f>IFERROR(Model!AI797/Model!AE797-1,"NA")</f>
        <v>8.239417280390926E-2</v>
      </c>
      <c r="AJ797" s="1284"/>
      <c r="AK797" s="1284"/>
      <c r="AL797" s="1284"/>
      <c r="AM797" s="1284"/>
      <c r="AN797" s="1284"/>
      <c r="AO797" s="1284"/>
      <c r="AP797" s="1284"/>
      <c r="AQ797" s="1284"/>
      <c r="AR797" s="1236"/>
      <c r="AS797" s="1318"/>
      <c r="AT797" s="1329"/>
      <c r="AU797" s="1284"/>
      <c r="AV797" s="1284">
        <f>IFERROR(Model!AV797/Model!AU797-1,"NA")</f>
        <v>0.16837837837837832</v>
      </c>
      <c r="AW797" s="1284">
        <f>IFERROR(Model!AW797/Model!AV797-1,"NA")</f>
        <v>-0.44937928907394553</v>
      </c>
      <c r="AX797" s="1284">
        <f>IFERROR(Model!AX797/Model!AW797-1,"NA")</f>
        <v>1.2603276851981513</v>
      </c>
      <c r="AY797" s="1284">
        <f>IFERROR(Model!AY797/Model!AX797-1,"NA")</f>
        <v>-0.15135369555789602</v>
      </c>
      <c r="AZ797" s="1284">
        <f>IFERROR(Model!AZ797/Model!AY797-1,"NA")</f>
        <v>6.0446780551905333E-2</v>
      </c>
      <c r="BA797" s="1284">
        <f>IFERROR(Model!BA797/Model!AZ797-1,"NA")</f>
        <v>0.14576851349194841</v>
      </c>
      <c r="BB797" s="1284">
        <f>IFERROR(Model!BB797/Model!BA797-1,"NA")</f>
        <v>9.5808268076720937E-2</v>
      </c>
      <c r="BC797" s="1284">
        <f>IFERROR(Model!BC797/Model!BB797-1,"NA")</f>
        <v>8.1694957640354948E-2</v>
      </c>
      <c r="BD797" s="1284">
        <f>IFERROR(Model!BD797/Model!BC797-1,"NA")</f>
        <v>5.8818964852238809E-2</v>
      </c>
      <c r="BE797" s="1284">
        <f>IFERROR(Model!BE797/Model!BD797-1,"NA")</f>
        <v>2.6496154792606585E-2</v>
      </c>
    </row>
    <row r="798" spans="1:69" s="342" customFormat="1" x14ac:dyDescent="0.2">
      <c r="A798" s="411"/>
      <c r="B798" s="119"/>
      <c r="C798" s="59"/>
      <c r="D798" s="1284"/>
      <c r="E798" s="1284"/>
      <c r="F798" s="1284"/>
      <c r="G798" s="1284"/>
      <c r="H798" s="1284"/>
      <c r="I798" s="1284"/>
      <c r="J798" s="1284"/>
      <c r="K798" s="1284"/>
      <c r="L798" s="1284"/>
      <c r="M798" s="1284"/>
      <c r="N798" s="1284"/>
      <c r="O798" s="1284"/>
      <c r="P798" s="1284"/>
      <c r="Q798" s="1284"/>
      <c r="R798" s="1284"/>
      <c r="S798" s="1284"/>
      <c r="T798" s="1284"/>
      <c r="U798" s="1284"/>
      <c r="V798" s="1284"/>
      <c r="W798" s="1284"/>
      <c r="X798" s="1284"/>
      <c r="Y798" s="1284"/>
      <c r="Z798" s="1284"/>
      <c r="AA798" s="1284"/>
      <c r="AB798" s="1284"/>
      <c r="AC798" s="1284"/>
      <c r="AD798" s="1284"/>
      <c r="AE798" s="1284"/>
      <c r="AF798" s="1284"/>
      <c r="AG798" s="1284"/>
      <c r="AH798" s="1284"/>
      <c r="AI798" s="1284"/>
      <c r="AJ798" s="1284"/>
      <c r="AK798" s="1284"/>
      <c r="AL798" s="1284"/>
      <c r="AM798" s="1284"/>
      <c r="AN798" s="1284"/>
      <c r="AO798" s="1284"/>
      <c r="AP798" s="1284"/>
      <c r="AQ798" s="1284"/>
      <c r="AR798" s="1236"/>
      <c r="AS798" s="1318"/>
      <c r="AT798" s="1329"/>
      <c r="AU798" s="1284"/>
      <c r="AV798" s="1284"/>
      <c r="AW798" s="1284"/>
      <c r="AX798" s="1284"/>
      <c r="AY798" s="1284"/>
      <c r="AZ798" s="1284"/>
      <c r="BA798" s="1284"/>
      <c r="BB798" s="1284"/>
      <c r="BC798" s="1284"/>
      <c r="BD798" s="1284"/>
      <c r="BE798" s="1284"/>
    </row>
    <row r="799" spans="1:69" s="342" customFormat="1" x14ac:dyDescent="0.2">
      <c r="A799" s="411"/>
      <c r="B799" s="322" t="s">
        <v>526</v>
      </c>
      <c r="C799" s="327"/>
      <c r="D799" s="1284"/>
      <c r="E799" s="1284"/>
      <c r="F799" s="1284"/>
      <c r="G799" s="1284"/>
      <c r="H799" s="1284">
        <f>IFERROR(Model!H799/Model!D799-1,"NA")</f>
        <v>-3.75</v>
      </c>
      <c r="I799" s="1284">
        <f>IFERROR(Model!I799/Model!E799-1,"NA")</f>
        <v>3.2857142857142856</v>
      </c>
      <c r="J799" s="1284">
        <f>IFERROR(Model!J799/Model!F799-1,"NA")</f>
        <v>10.5</v>
      </c>
      <c r="K799" s="1284">
        <f>IFERROR(Model!K799/Model!G799-1,"NA")</f>
        <v>-3.1294117647058823</v>
      </c>
      <c r="L799" s="1284">
        <f>IFERROR(Model!L799/Model!H799-1,"NA")</f>
        <v>-2.1212121212121211</v>
      </c>
      <c r="M799" s="1284">
        <f>IFERROR(Model!M799/Model!I799-1,"NA")</f>
        <v>-1.7333333333333334</v>
      </c>
      <c r="N799" s="1284">
        <f>IFERROR(Model!N799/Model!J799-1,"NA")</f>
        <v>-1.1739130434782608</v>
      </c>
      <c r="O799" s="1284">
        <f>IFERROR(Model!O799/Model!K799-1,"NA")</f>
        <v>-1.0055248618784531</v>
      </c>
      <c r="P799" s="1284">
        <f>IFERROR(Model!P799/Model!L799-1,"NA")</f>
        <v>-1.1351351351351351</v>
      </c>
      <c r="Q799" s="1284">
        <f>IFERROR(Model!Q799/Model!M799-1,"NA")</f>
        <v>-1.2727272727272727</v>
      </c>
      <c r="R799" s="1284">
        <f>IFERROR(Model!R799/Model!N799-1,"NA")</f>
        <v>-0.375</v>
      </c>
      <c r="S799" s="1284">
        <f>IFERROR(Model!S799/Model!O799-1,"NA")</f>
        <v>44</v>
      </c>
      <c r="T799" s="1284">
        <f>IFERROR(Model!T799/Model!P799-1,"NA")</f>
        <v>-0.6</v>
      </c>
      <c r="U799" s="1284">
        <f>IFERROR(Model!U799/Model!Q799-1,"NA")</f>
        <v>-4.8333333333333339</v>
      </c>
      <c r="V799" s="1284">
        <f>IFERROR(Model!V799/Model!R799-1,"NA")</f>
        <v>2</v>
      </c>
      <c r="W799" s="1284">
        <f>IFERROR(Model!W799/Model!S799-1,"NA")</f>
        <v>-0.93333333333333335</v>
      </c>
      <c r="X799" s="1284">
        <f>IFERROR(Model!X799/Model!T799-1,"NA")</f>
        <v>8</v>
      </c>
      <c r="Y799" s="1284">
        <f>IFERROR(Model!Y799/Model!U799-1,"NA")</f>
        <v>-1.9130434782608696</v>
      </c>
      <c r="Z799" s="1284">
        <f>IFERROR(Model!Z799/Model!V799-1,"NA")</f>
        <v>-0.83333333333333337</v>
      </c>
      <c r="AA799" s="1284">
        <f>IFERROR(Model!AA799/Model!W799-1,"NA")</f>
        <v>35.333333333333336</v>
      </c>
      <c r="AB799" s="1284">
        <f>IFERROR(Model!AB799/Model!X799-1,"NA")</f>
        <v>-0.61111111111111116</v>
      </c>
      <c r="AC799" s="1284">
        <f>IFERROR(Model!AC799/Model!Y799-1,"NA")</f>
        <v>-1</v>
      </c>
      <c r="AD799" s="1284">
        <f>IFERROR(Model!AD799/Model!Z799-1,"NA")</f>
        <v>-1</v>
      </c>
      <c r="AE799" s="1284">
        <f>IFERROR(Model!AE799/Model!AA799-1,"NA")</f>
        <v>-1</v>
      </c>
      <c r="AF799" s="1284">
        <f>IFERROR(Model!AF799/Model!AB799-1,"NA")</f>
        <v>-1</v>
      </c>
      <c r="AG799" s="1284" t="str">
        <f>IFERROR(Model!AG799/Model!AC799-1,"NA")</f>
        <v>NA</v>
      </c>
      <c r="AH799" s="1284" t="str">
        <f>IFERROR(Model!AH799/Model!AD799-1,"NA")</f>
        <v>NA</v>
      </c>
      <c r="AI799" s="1284" t="str">
        <f>IFERROR(Model!AI799/Model!AE799-1,"NA")</f>
        <v>NA</v>
      </c>
      <c r="AJ799" s="1284"/>
      <c r="AK799" s="1284"/>
      <c r="AL799" s="1284"/>
      <c r="AM799" s="1284"/>
      <c r="AN799" s="1284"/>
      <c r="AO799" s="1284"/>
      <c r="AP799" s="1284"/>
      <c r="AQ799" s="1284"/>
      <c r="AR799" s="1236"/>
      <c r="AS799" s="1248"/>
      <c r="AT799" s="1284"/>
      <c r="AU799" s="1236"/>
      <c r="AV799" s="1236">
        <f>IFERROR(Model!AV799/Model!AU799-1,"NA")</f>
        <v>-5.6551724137931032</v>
      </c>
      <c r="AW799" s="1236">
        <f>IFERROR(Model!AW799/Model!AV799-1,"NA")</f>
        <v>-1.0074074074074073</v>
      </c>
      <c r="AX799" s="1236">
        <f>IFERROR(Model!AX799/Model!AW799-1,"NA")</f>
        <v>26</v>
      </c>
      <c r="AY799" s="1236">
        <f>IFERROR(Model!AY799/Model!AX799-1,"NA")</f>
        <v>7.4074074074074181E-2</v>
      </c>
      <c r="AZ799" s="1236">
        <f>IFERROR(Model!AZ799/Model!AY799-1,"NA")</f>
        <v>0.9137931034482758</v>
      </c>
      <c r="BA799" s="1236">
        <f>IFERROR(Model!BA799/Model!AZ799-1,"NA")</f>
        <v>-0.93693693693693691</v>
      </c>
      <c r="BB799" s="1284">
        <f>IFERROR(Model!BB799/Model!BA799-1,"NA")</f>
        <v>-1</v>
      </c>
      <c r="BC799" s="1284" t="str">
        <f>IFERROR(Model!BC799/Model!BB799-1,"NA")</f>
        <v>NA</v>
      </c>
      <c r="BD799" s="1284" t="str">
        <f>IFERROR(Model!BD799/Model!BC799-1,"NA")</f>
        <v>NA</v>
      </c>
      <c r="BE799" s="1284" t="str">
        <f>IFERROR(Model!BE799/Model!BD799-1,"NA")</f>
        <v>NA</v>
      </c>
    </row>
    <row r="800" spans="1:69" s="342" customFormat="1" x14ac:dyDescent="0.2">
      <c r="A800" s="411"/>
      <c r="B800" s="322"/>
      <c r="C800" s="327"/>
      <c r="D800" s="1284"/>
      <c r="E800" s="1284"/>
      <c r="F800" s="1284"/>
      <c r="G800" s="1284"/>
      <c r="H800" s="1284"/>
      <c r="I800" s="1284"/>
      <c r="J800" s="1284"/>
      <c r="K800" s="1284"/>
      <c r="L800" s="1284"/>
      <c r="M800" s="1284"/>
      <c r="N800" s="1284"/>
      <c r="O800" s="1284"/>
      <c r="P800" s="1284"/>
      <c r="Q800" s="1284"/>
      <c r="R800" s="1284"/>
      <c r="S800" s="1284"/>
      <c r="T800" s="1284"/>
      <c r="U800" s="1284"/>
      <c r="V800" s="1284"/>
      <c r="W800" s="1284"/>
      <c r="X800" s="1284"/>
      <c r="Y800" s="1284"/>
      <c r="Z800" s="1284"/>
      <c r="AA800" s="1284"/>
      <c r="AB800" s="1284"/>
      <c r="AC800" s="1284"/>
      <c r="AD800" s="1284"/>
      <c r="AE800" s="1284"/>
      <c r="AF800" s="1284"/>
      <c r="AG800" s="1284"/>
      <c r="AH800" s="1284"/>
      <c r="AI800" s="1284"/>
      <c r="AJ800" s="1284"/>
      <c r="AK800" s="1284"/>
      <c r="AL800" s="1284"/>
      <c r="AM800" s="1284"/>
      <c r="AN800" s="1284"/>
      <c r="AO800" s="1284"/>
      <c r="AP800" s="1284"/>
      <c r="AQ800" s="1284"/>
      <c r="AR800" s="1236"/>
      <c r="AS800" s="1248"/>
      <c r="AT800" s="1284"/>
      <c r="AU800" s="1236"/>
      <c r="AV800" s="1236"/>
      <c r="AW800" s="1236"/>
      <c r="AX800" s="1236"/>
      <c r="AY800" s="1236"/>
      <c r="AZ800" s="1236"/>
      <c r="BA800" s="1236"/>
      <c r="BB800" s="1284"/>
      <c r="BC800" s="1284"/>
      <c r="BD800" s="1284"/>
      <c r="BE800" s="1284"/>
    </row>
    <row r="801" spans="1:57" s="342" customFormat="1" x14ac:dyDescent="0.2">
      <c r="A801" s="411"/>
      <c r="B801" s="35" t="s">
        <v>538</v>
      </c>
      <c r="C801" s="1217"/>
      <c r="D801" s="1284"/>
      <c r="E801" s="1284"/>
      <c r="F801" s="1284"/>
      <c r="G801" s="1284"/>
      <c r="H801" s="1284">
        <f>IFERROR(Model!H801/Model!D801-1,"NA")</f>
        <v>-0.75249999999999995</v>
      </c>
      <c r="I801" s="1284">
        <f>IFERROR(Model!I801/Model!E801-1,"NA")</f>
        <v>1.092857142857143</v>
      </c>
      <c r="J801" s="1284">
        <f>IFERROR(Model!J801/Model!F801-1,"NA")</f>
        <v>-0.57113402061855667</v>
      </c>
      <c r="K801" s="1284">
        <f>IFERROR(Model!K801/Model!G801-1,"NA")</f>
        <v>-0.66777408637873759</v>
      </c>
      <c r="L801" s="1284">
        <f>IFERROR(Model!L801/Model!H801-1,"NA")</f>
        <v>-1.0202020202020201</v>
      </c>
      <c r="M801" s="1284">
        <f>IFERROR(Model!M801/Model!I801-1,"NA")</f>
        <v>-1.0682593856655289</v>
      </c>
      <c r="N801" s="1284">
        <f>IFERROR(Model!N801/Model!J801-1,"NA")</f>
        <v>9.6153846153846256E-2</v>
      </c>
      <c r="O801" s="1284">
        <f>IFERROR(Model!O801/Model!K801-1,"NA")</f>
        <v>-1.04</v>
      </c>
      <c r="P801" s="1284">
        <f>IFERROR(Model!P801/Model!L801-1,"NA")</f>
        <v>-12.75</v>
      </c>
      <c r="Q801" s="1284">
        <f>IFERROR(Model!Q801/Model!M801-1,"NA")</f>
        <v>-10.8</v>
      </c>
      <c r="R801" s="1284">
        <f>IFERROR(Model!R801/Model!N801-1,"NA")</f>
        <v>-1.557017543859649</v>
      </c>
      <c r="S801" s="1284">
        <f>IFERROR(Model!S801/Model!O801-1,"NA")</f>
        <v>-29.5</v>
      </c>
      <c r="T801" s="1284">
        <f>IFERROR(Model!T801/Model!P801-1,"NA")</f>
        <v>-1</v>
      </c>
      <c r="U801" s="1284">
        <f>IFERROR(Model!U801/Model!Q801-1,"NA")</f>
        <v>-1</v>
      </c>
      <c r="V801" s="1284">
        <f>IFERROR(Model!V801/Model!R801-1,"NA")</f>
        <v>-1</v>
      </c>
      <c r="W801" s="1284">
        <f>IFERROR(Model!W801/Model!S801-1,"NA")</f>
        <v>-1</v>
      </c>
      <c r="X801" s="1284" t="str">
        <f>IFERROR(Model!X801/Model!T801-1,"NA")</f>
        <v>NA</v>
      </c>
      <c r="Y801" s="1284" t="str">
        <f>IFERROR(Model!Y801/Model!U801-1,"NA")</f>
        <v>NA</v>
      </c>
      <c r="Z801" s="1284" t="str">
        <f>IFERROR(Model!Z801/Model!V801-1,"NA")</f>
        <v>NA</v>
      </c>
      <c r="AA801" s="1284" t="str">
        <f>IFERROR(Model!AA801/Model!W801-1,"NA")</f>
        <v>NA</v>
      </c>
      <c r="AB801" s="1284" t="str">
        <f>IFERROR(Model!AB801/Model!X801-1,"NA")</f>
        <v>NA</v>
      </c>
      <c r="AC801" s="1284" t="str">
        <f>IFERROR(Model!AC801/Model!Y801-1,"NA")</f>
        <v>NA</v>
      </c>
      <c r="AD801" s="1284" t="str">
        <f>IFERROR(Model!AD801/Model!Z801-1,"NA")</f>
        <v>NA</v>
      </c>
      <c r="AE801" s="1284" t="str">
        <f>IFERROR(Model!AE801/Model!AA801-1,"NA")</f>
        <v>NA</v>
      </c>
      <c r="AF801" s="1284" t="str">
        <f>IFERROR(Model!AF801/Model!AB801-1,"NA")</f>
        <v>NA</v>
      </c>
      <c r="AG801" s="1284" t="str">
        <f>IFERROR(Model!AG801/Model!AC801-1,"NA")</f>
        <v>NA</v>
      </c>
      <c r="AH801" s="1284" t="str">
        <f>IFERROR(Model!AH801/Model!AD801-1,"NA")</f>
        <v>NA</v>
      </c>
      <c r="AI801" s="1284" t="str">
        <f>IFERROR(Model!AI801/Model!AE801-1,"NA")</f>
        <v>NA</v>
      </c>
      <c r="AJ801" s="1284"/>
      <c r="AK801" s="1284"/>
      <c r="AL801" s="1284"/>
      <c r="AM801" s="1284"/>
      <c r="AN801" s="1284"/>
      <c r="AO801" s="1284"/>
      <c r="AP801" s="1284"/>
      <c r="AQ801" s="1284"/>
      <c r="AR801" s="1236"/>
      <c r="AS801" s="407"/>
      <c r="AT801" s="407"/>
      <c r="AU801" s="1284"/>
      <c r="AV801" s="1284">
        <f>IFERROR(Model!AV801/Model!AU801-1,"NA")</f>
        <v>-0.85269709543568462</v>
      </c>
      <c r="AW801" s="1284">
        <f>IFERROR(Model!AW801/Model!AV801-1,"NA")</f>
        <v>0.12676056338028174</v>
      </c>
      <c r="AX801" s="1284">
        <f>IFERROR(Model!AX801/Model!AW801-1,"NA")</f>
        <v>-1.675</v>
      </c>
      <c r="AY801" s="1284">
        <f>IFERROR(Model!AY801/Model!AX801-1,"NA")</f>
        <v>-1</v>
      </c>
      <c r="AZ801" s="1284" t="str">
        <f>IFERROR(Model!AZ801/Model!AY801-1,"NA")</f>
        <v>NA</v>
      </c>
      <c r="BA801" s="1284" t="str">
        <f>IFERROR(Model!BA801/Model!AZ801-1,"NA")</f>
        <v>NA</v>
      </c>
      <c r="BB801" s="1284" t="str">
        <f>IFERROR(Model!BB801/Model!BA801-1,"NA")</f>
        <v>NA</v>
      </c>
      <c r="BC801" s="1284" t="str">
        <f>IFERROR(Model!BC801/Model!BB801-1,"NA")</f>
        <v>NA</v>
      </c>
      <c r="BD801" s="1284" t="str">
        <f>IFERROR(Model!BD801/Model!BC801-1,"NA")</f>
        <v>NA</v>
      </c>
      <c r="BE801" s="1284" t="str">
        <f>IFERROR(Model!BE801/Model!BD801-1,"NA")</f>
        <v>NA</v>
      </c>
    </row>
    <row r="802" spans="1:57" s="342" customFormat="1" x14ac:dyDescent="0.2">
      <c r="A802" s="411"/>
      <c r="B802" s="90" t="s">
        <v>403</v>
      </c>
      <c r="C802" s="1217"/>
      <c r="D802" s="1284"/>
      <c r="E802" s="1284"/>
      <c r="F802" s="1284"/>
      <c r="G802" s="1284"/>
      <c r="H802" s="1284">
        <f>IFERROR(Model!H802/Model!D802-1,"NA")</f>
        <v>-1</v>
      </c>
      <c r="I802" s="1284">
        <f>IFERROR(Model!I802/Model!E802-1,"NA")</f>
        <v>-1</v>
      </c>
      <c r="J802" s="1284">
        <f>IFERROR(Model!J802/Model!F802-1,"NA")</f>
        <v>-1.0760259179265659</v>
      </c>
      <c r="K802" s="1284" t="str">
        <f>IFERROR(Model!K802/Model!G802-1,"NA")</f>
        <v>NA</v>
      </c>
      <c r="L802" s="1284" t="str">
        <f>IFERROR(Model!L802/Model!H802-1,"NA")</f>
        <v>NA</v>
      </c>
      <c r="M802" s="1284" t="str">
        <f>IFERROR(Model!M802/Model!I802-1,"NA")</f>
        <v>NA</v>
      </c>
      <c r="N802" s="1284">
        <f>IFERROR(Model!N802/Model!J802-1,"NA")</f>
        <v>-1</v>
      </c>
      <c r="O802" s="1284" t="str">
        <f>IFERROR(Model!O802/Model!K802-1,"NA")</f>
        <v>NA</v>
      </c>
      <c r="P802" s="1284">
        <f>IFERROR(Model!P802/Model!L802-1,"NA")</f>
        <v>-1</v>
      </c>
      <c r="Q802" s="1284" t="str">
        <f>IFERROR(Model!Q802/Model!M802-1,"NA")</f>
        <v>NA</v>
      </c>
      <c r="R802" s="1284" t="str">
        <f>IFERROR(Model!R802/Model!N802-1,"NA")</f>
        <v>NA</v>
      </c>
      <c r="S802" s="1284" t="str">
        <f>IFERROR(Model!S802/Model!O802-1,"NA")</f>
        <v>NA</v>
      </c>
      <c r="T802" s="1284" t="str">
        <f>IFERROR(Model!T802/Model!P802-1,"NA")</f>
        <v>NA</v>
      </c>
      <c r="U802" s="1284" t="str">
        <f>IFERROR(Model!U802/Model!Q802-1,"NA")</f>
        <v>NA</v>
      </c>
      <c r="V802" s="1284" t="str">
        <f>IFERROR(Model!V802/Model!R802-1,"NA")</f>
        <v>NA</v>
      </c>
      <c r="W802" s="1284" t="str">
        <f>IFERROR(Model!W802/Model!S802-1,"NA")</f>
        <v>NA</v>
      </c>
      <c r="X802" s="1284" t="str">
        <f>IFERROR(Model!X802/Model!T802-1,"NA")</f>
        <v>NA</v>
      </c>
      <c r="Y802" s="1284" t="str">
        <f>IFERROR(Model!Y802/Model!U802-1,"NA")</f>
        <v>NA</v>
      </c>
      <c r="Z802" s="1284" t="str">
        <f>IFERROR(Model!Z802/Model!V802-1,"NA")</f>
        <v>NA</v>
      </c>
      <c r="AA802" s="1284" t="str">
        <f>IFERROR(Model!AA802/Model!W802-1,"NA")</f>
        <v>NA</v>
      </c>
      <c r="AB802" s="1284" t="str">
        <f>IFERROR(Model!AB802/Model!X802-1,"NA")</f>
        <v>NA</v>
      </c>
      <c r="AC802" s="1284" t="str">
        <f>IFERROR(Model!AC802/Model!Y802-1,"NA")</f>
        <v>NA</v>
      </c>
      <c r="AD802" s="1284" t="str">
        <f>IFERROR(Model!AD802/Model!Z802-1,"NA")</f>
        <v>NA</v>
      </c>
      <c r="AE802" s="1284">
        <f>IFERROR(Model!AE802/Model!AA802-1,"NA")</f>
        <v>-1</v>
      </c>
      <c r="AF802" s="1284" t="str">
        <f>IFERROR(Model!AF802/Model!AB802-1,"NA")</f>
        <v>NA</v>
      </c>
      <c r="AG802" s="1284" t="str">
        <f>IFERROR(Model!AG802/Model!AC802-1,"NA")</f>
        <v>NA</v>
      </c>
      <c r="AH802" s="1284" t="str">
        <f>IFERROR(Model!AH802/Model!AD802-1,"NA")</f>
        <v>NA</v>
      </c>
      <c r="AI802" s="1284" t="str">
        <f>IFERROR(Model!AI802/Model!AE802-1,"NA")</f>
        <v>NA</v>
      </c>
      <c r="AJ802" s="1284"/>
      <c r="AK802" s="1284"/>
      <c r="AL802" s="1284"/>
      <c r="AM802" s="1284"/>
      <c r="AN802" s="1284"/>
      <c r="AO802" s="1284"/>
      <c r="AP802" s="1284"/>
      <c r="AQ802" s="1284"/>
      <c r="AR802" s="1236"/>
      <c r="AS802" s="1238"/>
      <c r="AT802" s="407"/>
      <c r="AU802" s="1236"/>
      <c r="AV802" s="1236">
        <f>IFERROR(Model!AV802/Model!AU802-1,"NA")</f>
        <v>-1.077159140727751</v>
      </c>
      <c r="AW802" s="1236">
        <f>IFERROR(Model!AW802/Model!AV802-1,"NA")</f>
        <v>-2.1931818181818183</v>
      </c>
      <c r="AX802" s="1236">
        <f>IFERROR(Model!AX802/Model!AW802-1,"NA")</f>
        <v>-1</v>
      </c>
      <c r="AY802" s="1236" t="str">
        <f>IFERROR(Model!AY802/Model!AX802-1,"NA")</f>
        <v>NA</v>
      </c>
      <c r="AZ802" s="1236" t="str">
        <f>IFERROR(Model!AZ802/Model!AY802-1,"NA")</f>
        <v>NA</v>
      </c>
      <c r="BA802" s="1236">
        <f>IFERROR(Model!BA802/Model!AZ802-1,"NA")</f>
        <v>-1</v>
      </c>
      <c r="BB802" s="1284" t="str">
        <f>IFERROR(Model!BB802/Model!BA802-1,"NA")</f>
        <v>NA</v>
      </c>
      <c r="BC802" s="1284" t="str">
        <f>IFERROR(Model!BC802/Model!BB802-1,"NA")</f>
        <v>NA</v>
      </c>
      <c r="BD802" s="1284" t="str">
        <f>IFERROR(Model!BD802/Model!BC802-1,"NA")</f>
        <v>NA</v>
      </c>
      <c r="BE802" s="1284" t="str">
        <f>IFERROR(Model!BE802/Model!BD802-1,"NA")</f>
        <v>NA</v>
      </c>
    </row>
    <row r="803" spans="1:57" s="342" customFormat="1" x14ac:dyDescent="0.2">
      <c r="A803" s="411"/>
      <c r="B803" s="10"/>
      <c r="C803" s="1217"/>
      <c r="D803" s="1284"/>
      <c r="E803" s="1284"/>
      <c r="F803" s="1284"/>
      <c r="G803" s="1284"/>
      <c r="H803" s="1284"/>
      <c r="I803" s="1284"/>
      <c r="J803" s="1284"/>
      <c r="K803" s="1284"/>
      <c r="L803" s="1284"/>
      <c r="M803" s="1284"/>
      <c r="N803" s="1284"/>
      <c r="O803" s="1284"/>
      <c r="P803" s="1284"/>
      <c r="Q803" s="1284"/>
      <c r="R803" s="1284"/>
      <c r="S803" s="1284"/>
      <c r="T803" s="1284"/>
      <c r="U803" s="1284"/>
      <c r="V803" s="1284"/>
      <c r="W803" s="1284"/>
      <c r="X803" s="1284"/>
      <c r="Y803" s="1284"/>
      <c r="Z803" s="1284"/>
      <c r="AA803" s="1284"/>
      <c r="AB803" s="1284"/>
      <c r="AC803" s="1284"/>
      <c r="AD803" s="1284"/>
      <c r="AE803" s="1284"/>
      <c r="AF803" s="1284"/>
      <c r="AG803" s="1284"/>
      <c r="AH803" s="1284"/>
      <c r="AI803" s="1284"/>
      <c r="AJ803" s="1284"/>
      <c r="AK803" s="1284"/>
      <c r="AL803" s="1284"/>
      <c r="AM803" s="1284"/>
      <c r="AN803" s="1284"/>
      <c r="AO803" s="1284"/>
      <c r="AP803" s="1284"/>
      <c r="AQ803" s="1284"/>
      <c r="AR803" s="1236"/>
      <c r="AS803" s="1382"/>
      <c r="AT803" s="407"/>
      <c r="AU803" s="1263"/>
      <c r="AV803" s="1311"/>
      <c r="AW803" s="1410"/>
      <c r="AX803" s="1263"/>
      <c r="AY803" s="1410"/>
      <c r="AZ803" s="1410"/>
      <c r="BA803" s="1263"/>
      <c r="BB803" s="1284"/>
      <c r="BC803" s="1284"/>
      <c r="BD803" s="1284"/>
      <c r="BE803" s="1284"/>
    </row>
    <row r="804" spans="1:57" s="342" customFormat="1" x14ac:dyDescent="0.2">
      <c r="A804" s="411"/>
      <c r="B804" s="35" t="s">
        <v>837</v>
      </c>
      <c r="C804" s="1217"/>
      <c r="D804" s="1284"/>
      <c r="E804" s="1284"/>
      <c r="F804" s="1284"/>
      <c r="G804" s="1284"/>
      <c r="H804" s="1284">
        <f>IFERROR(Model!H804/Model!D804-1,"NA")</f>
        <v>0.29799929799929803</v>
      </c>
      <c r="I804" s="1284">
        <f>IFERROR(Model!I804/Model!E804-1,"NA")</f>
        <v>0.44174586413234773</v>
      </c>
      <c r="J804" s="1284">
        <f>IFERROR(Model!J804/Model!F804-1,"NA")</f>
        <v>5.395833333333333</v>
      </c>
      <c r="K804" s="1284">
        <f>IFERROR(Model!K804/Model!G804-1,"NA")</f>
        <v>1.0419213973799129</v>
      </c>
      <c r="L804" s="1284">
        <f>IFERROR(Model!L804/Model!H804-1,"NA")</f>
        <v>1.6224986479177916E-2</v>
      </c>
      <c r="M804" s="1284">
        <f>IFERROR(Model!M804/Model!I804-1,"NA")</f>
        <v>-0.98046875</v>
      </c>
      <c r="N804" s="1284">
        <f>IFERROR(Model!N804/Model!J804-1,"NA")</f>
        <v>-0.13061889250814329</v>
      </c>
      <c r="O804" s="1284">
        <f>IFERROR(Model!O804/Model!K804-1,"NA")</f>
        <v>-0.92215568862275443</v>
      </c>
      <c r="P804" s="1284">
        <f>IFERROR(Model!P804/Model!L804-1,"NA")</f>
        <v>0.21873336881319849</v>
      </c>
      <c r="Q804" s="1284">
        <f>IFERROR(Model!Q804/Model!M804-1,"NA")</f>
        <v>56.25</v>
      </c>
      <c r="R804" s="1284">
        <f>IFERROR(Model!R804/Model!N804-1,"NA")</f>
        <v>0.52154364930685659</v>
      </c>
      <c r="S804" s="1284">
        <f>IFERROR(Model!S804/Model!O804-1,"NA")</f>
        <v>15.637362637362639</v>
      </c>
      <c r="T804" s="1284">
        <f>IFERROR(Model!T804/Model!P804-1,"NA")</f>
        <v>-0.29017467248908302</v>
      </c>
      <c r="U804" s="1284">
        <f>IFERROR(Model!U804/Model!Q804-1,"NA")</f>
        <v>-0.20895196506550218</v>
      </c>
      <c r="V804" s="1284">
        <f>IFERROR(Model!V804/Model!R804-1,"NA")</f>
        <v>-0.12287613888204874</v>
      </c>
      <c r="W804" s="1284">
        <f>IFERROR(Model!W804/Model!S804-1,"NA")</f>
        <v>5.8124174372523152E-2</v>
      </c>
      <c r="X804" s="1284">
        <f>IFERROR(Model!X804/Model!T804-1,"NA")</f>
        <v>0.14856967087050132</v>
      </c>
      <c r="Y804" s="1284">
        <f>IFERROR(Model!Y804/Model!U804-1,"NA")</f>
        <v>-3.2845707976814742E-2</v>
      </c>
      <c r="Z804" s="1284">
        <f>IFERROR(Model!Z804/Model!V804-1,"NA")</f>
        <v>6.9062324536777187E-2</v>
      </c>
      <c r="AA804" s="1284">
        <f>IFERROR(Model!AA804/Model!W804-1,"NA")</f>
        <v>-7.0003121098626719</v>
      </c>
      <c r="AB804" s="1284">
        <f>IFERROR(Model!AB804/Model!X804-1,"NA")</f>
        <v>0.15077664702731663</v>
      </c>
      <c r="AC804" s="1284">
        <f>IFERROR(Model!AC804/Model!Y804-1,"NA")</f>
        <v>0.16809490790949733</v>
      </c>
      <c r="AD804" s="1284">
        <f>IFERROR(Model!AD804/Model!Z804-1,"NA")</f>
        <v>0.11137761294709381</v>
      </c>
      <c r="AE804" s="1284">
        <f>IFERROR(Model!AE804/Model!AA804-1,"NA")</f>
        <v>-1.2088063937355853</v>
      </c>
      <c r="AF804" s="1284">
        <f>IFERROR(Model!AF804/Model!AB804-1,"NA")</f>
        <v>6.7148579553675702E-2</v>
      </c>
      <c r="AG804" s="1284">
        <f>IFERROR(Model!AG804/Model!AC804-1,"NA")</f>
        <v>0.14109596820183357</v>
      </c>
      <c r="AH804" s="1284">
        <f>IFERROR(Model!AH804/Model!AD804-1,"NA")</f>
        <v>9.5644477647629511E-2</v>
      </c>
      <c r="AI804" s="1284">
        <f>IFERROR(Model!AI804/Model!AE804-1,"NA")</f>
        <v>8.239417280390926E-2</v>
      </c>
      <c r="AJ804" s="1284"/>
      <c r="AK804" s="1284"/>
      <c r="AL804" s="1284"/>
      <c r="AM804" s="1284"/>
      <c r="AN804" s="1284"/>
      <c r="AO804" s="1284"/>
      <c r="AP804" s="1284"/>
      <c r="AQ804" s="1284"/>
      <c r="AR804" s="1236"/>
      <c r="AS804" s="407"/>
      <c r="AT804" s="407"/>
      <c r="AU804" s="1284"/>
      <c r="AV804" s="1284">
        <f>IFERROR(Model!AV804/Model!AU804-1,"NA")</f>
        <v>8.1923044539866874E-2</v>
      </c>
      <c r="AW804" s="1284">
        <f>IFERROR(Model!AW804/Model!AV804-1,"NA")</f>
        <v>-0.44677042801556421</v>
      </c>
      <c r="AX804" s="1284">
        <f>IFERROR(Model!AX804/Model!AW804-1,"NA")</f>
        <v>1.2856941904627934</v>
      </c>
      <c r="AY804" s="1284">
        <f>IFERROR(Model!AY804/Model!AX804-1,"NA")</f>
        <v>-0.16056372699858457</v>
      </c>
      <c r="AZ804" s="1284">
        <f>IFERROR(Model!AZ804/Model!AY804-1,"NA")</f>
        <v>1.7132697947214077</v>
      </c>
      <c r="BA804" s="1284">
        <f>IFERROR(Model!BA804/Model!AZ804-1,"NA")</f>
        <v>-0.55047600780934247</v>
      </c>
      <c r="BB804" s="1284">
        <f>IFERROR(Model!BB804/Model!BA804-1,"NA")</f>
        <v>9.6269343938335306E-2</v>
      </c>
      <c r="BC804" s="1284">
        <f>IFERROR(Model!BC804/Model!BB804-1,"NA")</f>
        <v>8.1694957640354948E-2</v>
      </c>
      <c r="BD804" s="1284">
        <f>IFERROR(Model!BD804/Model!BC804-1,"NA")</f>
        <v>5.8818964852238809E-2</v>
      </c>
      <c r="BE804" s="1284">
        <f>IFERROR(Model!BE804/Model!BD804-1,"NA")</f>
        <v>2.6496154792606585E-2</v>
      </c>
    </row>
    <row r="805" spans="1:57" s="342" customFormat="1" ht="12" thickBot="1" x14ac:dyDescent="0.25">
      <c r="A805" s="411"/>
      <c r="B805" s="10"/>
      <c r="C805" s="1217"/>
      <c r="D805" s="1284"/>
      <c r="E805" s="1284"/>
      <c r="F805" s="1284"/>
      <c r="G805" s="1284"/>
      <c r="H805" s="1284"/>
      <c r="I805" s="1284"/>
      <c r="J805" s="1284"/>
      <c r="K805" s="1284"/>
      <c r="L805" s="1284"/>
      <c r="M805" s="1284"/>
      <c r="N805" s="1284"/>
      <c r="O805" s="1284"/>
      <c r="P805" s="1284"/>
      <c r="Q805" s="1284"/>
      <c r="R805" s="1284"/>
      <c r="S805" s="1284"/>
      <c r="T805" s="1284"/>
      <c r="U805" s="1284"/>
      <c r="V805" s="1284"/>
      <c r="W805" s="1284"/>
      <c r="X805" s="1263"/>
      <c r="Y805" s="1263"/>
      <c r="Z805" s="1263"/>
      <c r="AA805" s="1263"/>
      <c r="AB805" s="1494"/>
      <c r="AC805" s="1311"/>
      <c r="AD805" s="1410"/>
      <c r="AE805" s="1410"/>
      <c r="AF805" s="1410"/>
      <c r="AG805" s="1410"/>
      <c r="AH805" s="1410"/>
      <c r="AI805" s="1311"/>
      <c r="AJ805" s="1311"/>
      <c r="AK805" s="1311"/>
      <c r="AL805" s="1311"/>
      <c r="AM805" s="1311"/>
      <c r="AN805" s="1311"/>
      <c r="AO805" s="1311"/>
      <c r="AP805" s="1311"/>
      <c r="AQ805" s="1311"/>
      <c r="AR805" s="1236"/>
      <c r="AS805" s="1382"/>
      <c r="AT805" s="407"/>
      <c r="AU805" s="1263"/>
      <c r="AV805" s="1311"/>
      <c r="AW805" s="1410"/>
      <c r="AX805" s="1263"/>
      <c r="AY805" s="1410"/>
      <c r="AZ805" s="1410"/>
      <c r="BA805" s="1263"/>
      <c r="BB805" s="1311"/>
      <c r="BC805" s="1311"/>
      <c r="BD805" s="1311"/>
      <c r="BE805" s="1311"/>
    </row>
    <row r="806" spans="1:57" x14ac:dyDescent="0.2">
      <c r="A806" s="830"/>
      <c r="B806" s="929" t="s">
        <v>398</v>
      </c>
      <c r="C806" s="930"/>
      <c r="D806" s="1383"/>
      <c r="E806" s="1383"/>
      <c r="F806" s="1383"/>
      <c r="G806" s="1383"/>
      <c r="H806" s="1383">
        <f>IFERROR(Model!H806/Model!D806-1,"NA")</f>
        <v>0.1686063804127631</v>
      </c>
      <c r="I806" s="1383">
        <f>IFERROR(Model!I806/Model!E806-1,"NA")</f>
        <v>0.25828878578773273</v>
      </c>
      <c r="J806" s="1383">
        <f>IFERROR(Model!J806/Model!F806-1,"NA")</f>
        <v>-8.7938556114519728E-2</v>
      </c>
      <c r="K806" s="1383">
        <f>IFERROR(Model!K806/Model!G806-1,"NA")</f>
        <v>0.46545667409506142</v>
      </c>
      <c r="L806" s="1383">
        <f>IFERROR(Model!L806/Model!H806-1,"NA")</f>
        <v>1.4787619918354977E-4</v>
      </c>
      <c r="M806" s="1383">
        <f>IFERROR(Model!M806/Model!I806-1,"NA")</f>
        <v>-0.96757983991797858</v>
      </c>
      <c r="N806" s="1383">
        <f>IFERROR(Model!N806/Model!J806-1,"NA")</f>
        <v>-3.031268643237528E-2</v>
      </c>
      <c r="O806" s="1383">
        <f>IFERROR(Model!O806/Model!K806-1,"NA")</f>
        <v>-0.9206127112016208</v>
      </c>
      <c r="P806" s="1383">
        <f>IFERROR(Model!P806/Model!L806-1,"NA")</f>
        <v>0.18107887505715747</v>
      </c>
      <c r="Q806" s="1383">
        <f>IFERROR(Model!Q806/Model!M806-1,"NA")</f>
        <v>35.039463487332341</v>
      </c>
      <c r="R806" s="1383">
        <f>IFERROR(Model!R806/Model!N806-1,"NA")</f>
        <v>0.37109761094198679</v>
      </c>
      <c r="S806" s="1383">
        <f>IFERROR(Model!S806/Model!O806-1,"NA")</f>
        <v>17.176145063295902</v>
      </c>
      <c r="T806" s="1383">
        <f>IFERROR(Model!T806/Model!P806-1,"NA")</f>
        <v>-0.27480308063922643</v>
      </c>
      <c r="U806" s="1383">
        <f>IFERROR(Model!U806/Model!Q806-1,"NA")</f>
        <v>-0.13606957972303213</v>
      </c>
      <c r="V806" s="1383">
        <f>IFERROR(Model!V806/Model!R806-1,"NA")</f>
        <v>-5.2250253549695813E-2</v>
      </c>
      <c r="W806" s="1383">
        <f>IFERROR(Model!W806/Model!S806-1,"NA")</f>
        <v>6.206048960897248E-2</v>
      </c>
      <c r="X806" s="1383">
        <f>IFERROR(Model!X806/Model!T806-1,"NA")</f>
        <v>0.22720425597462857</v>
      </c>
      <c r="Y806" s="1383">
        <f>IFERROR(Model!Y806/Model!U806-1,"NA")</f>
        <v>1.6952309149445677E-2</v>
      </c>
      <c r="Z806" s="1383">
        <f>IFERROR(Model!Z806/Model!V806-1,"NA")</f>
        <v>0.13917120539546968</v>
      </c>
      <c r="AA806" s="1383">
        <f>IFERROR(Model!AA806/Model!W806-1,"NA")</f>
        <v>0.17097324010909021</v>
      </c>
      <c r="AB806" s="1383">
        <f>IFERROR(Model!AB806/Model!X806-1,"NA")</f>
        <v>0.23797821549406972</v>
      </c>
      <c r="AC806" s="1383">
        <f>IFERROR(Model!AC806/Model!Y806-1,"NA")</f>
        <v>0.26864850617686842</v>
      </c>
      <c r="AD806" s="1383">
        <f>IFERROR(Model!AD806/Model!Z806-1,"NA")</f>
        <v>0.1960127699166081</v>
      </c>
      <c r="AE806" s="1383">
        <f>IFERROR(Model!AE806/Model!AA806-1,"NA")</f>
        <v>0.24001595605120052</v>
      </c>
      <c r="AF806" s="1383">
        <f>IFERROR(Model!AF806/Model!AB806-1,"NA")</f>
        <v>0.15289696868931513</v>
      </c>
      <c r="AG806" s="1383">
        <f>IFERROR(Model!AG806/Model!AC806-1,"NA")</f>
        <v>0.25059731926338702</v>
      </c>
      <c r="AH806" s="1383">
        <f>IFERROR(Model!AH806/Model!AD806-1,"NA")</f>
        <v>0.20625608463703649</v>
      </c>
      <c r="AI806" s="1384">
        <f>IFERROR(Model!AI806/Model!AE806-1,"NA")</f>
        <v>0.18667149724693965</v>
      </c>
      <c r="AJ806" s="1744"/>
      <c r="AK806" s="1744"/>
      <c r="AL806" s="1744"/>
      <c r="AM806" s="1744"/>
      <c r="AN806" s="1744"/>
      <c r="AO806" s="1744"/>
      <c r="AP806" s="1744"/>
      <c r="AQ806" s="1744"/>
      <c r="AR806" s="1236"/>
      <c r="AS806" s="1385"/>
      <c r="AT806" s="1386"/>
      <c r="AU806" s="1383"/>
      <c r="AV806" s="1383">
        <f>IFERROR(Model!AV806/Model!AU806-1,"NA")</f>
        <v>0.15829538916741992</v>
      </c>
      <c r="AW806" s="1383">
        <f>IFERROR(Model!AW806/Model!AV806-1,"NA")</f>
        <v>-0.44851809434990908</v>
      </c>
      <c r="AX806" s="1383">
        <f>IFERROR(Model!AX806/Model!AW806-1,"NA")</f>
        <v>1.2823090948206421</v>
      </c>
      <c r="AY806" s="1383">
        <f>IFERROR(Model!AY806/Model!AX806-1,"NA")</f>
        <v>-0.11624134954185461</v>
      </c>
      <c r="AZ806" s="1383">
        <f>IFERROR(Model!AZ806/Model!AY806-1,"NA")</f>
        <v>0.13489839424518202</v>
      </c>
      <c r="BA806" s="1383">
        <f>IFERROR(Model!BA806/Model!AZ806-1,"NA")</f>
        <v>0.23481267706070219</v>
      </c>
      <c r="BB806" s="1383">
        <f>IFERROR(Model!BB806/Model!BA806-1,"NA")</f>
        <v>0.19849090444492123</v>
      </c>
      <c r="BC806" s="1383">
        <f>IFERROR(Model!BC806/Model!BB806-1,"NA")</f>
        <v>0.16782124489492789</v>
      </c>
      <c r="BD806" s="1383">
        <f>IFERROR(Model!BD806/Model!BC806-1,"NA")</f>
        <v>0.12264329803198915</v>
      </c>
      <c r="BE806" s="1384">
        <f>IFERROR(Model!BE806/Model!BD806-1,"NA")</f>
        <v>8.2257068346411888E-2</v>
      </c>
    </row>
    <row r="807" spans="1:57" ht="12" thickBot="1" x14ac:dyDescent="0.25">
      <c r="A807" s="830"/>
      <c r="B807" s="933" t="s">
        <v>401</v>
      </c>
      <c r="C807" s="934"/>
      <c r="D807" s="1387"/>
      <c r="E807" s="1387"/>
      <c r="F807" s="1387"/>
      <c r="G807" s="1387"/>
      <c r="H807" s="1387">
        <f>IFERROR(Model!H807/Model!D807-1,"NA")</f>
        <v>0.2852111275756597</v>
      </c>
      <c r="I807" s="1387">
        <f>IFERROR(Model!I807/Model!E807-1,"NA")</f>
        <v>0.42707281036081035</v>
      </c>
      <c r="J807" s="1387">
        <f>IFERROR(Model!J807/Model!F807-1,"NA")</f>
        <v>5.3411501150937193</v>
      </c>
      <c r="K807" s="1387">
        <f>IFERROR(Model!K807/Model!G807-1,"NA")</f>
        <v>1.0298111551549245</v>
      </c>
      <c r="L807" s="1387">
        <f>IFERROR(Model!L807/Model!H807-1,"NA")</f>
        <v>1.6892896427570303E-2</v>
      </c>
      <c r="M807" s="1387">
        <f>IFERROR(Model!M807/Model!I807-1,"NA")</f>
        <v>-0.98041731813693223</v>
      </c>
      <c r="N807" s="1387">
        <f>IFERROR(Model!N807/Model!J807-1,"NA")</f>
        <v>-0.12890018191672603</v>
      </c>
      <c r="O807" s="1387">
        <f>IFERROR(Model!O807/Model!K807-1,"NA")</f>
        <v>-0.92207866588722287</v>
      </c>
      <c r="P807" s="1387">
        <f>IFERROR(Model!P807/Model!L807-1,"NA")</f>
        <v>0.22033749302354821</v>
      </c>
      <c r="Q807" s="1387">
        <f>IFERROR(Model!Q807/Model!M807-1,"NA")</f>
        <v>56.496033057851243</v>
      </c>
      <c r="R807" s="1387">
        <f>IFERROR(Model!R807/Model!N807-1,"NA")</f>
        <v>0.54083582770981287</v>
      </c>
      <c r="S807" s="1387">
        <f>IFERROR(Model!S807/Model!O807-1,"NA")</f>
        <v>15.984674584674586</v>
      </c>
      <c r="T807" s="1387">
        <f>IFERROR(Model!T807/Model!P807-1,"NA")</f>
        <v>-0.26702032949178489</v>
      </c>
      <c r="U807" s="1387">
        <f>IFERROR(Model!U807/Model!Q807-1,"NA")</f>
        <v>-0.17938261122192867</v>
      </c>
      <c r="V807" s="1387">
        <f>IFERROR(Model!V807/Model!R807-1,"NA")</f>
        <v>-8.7242982024132054E-2</v>
      </c>
      <c r="W807" s="1387">
        <f>IFERROR(Model!W807/Model!S807-1,"NA")</f>
        <v>0.11678351026524303</v>
      </c>
      <c r="X807" s="1387">
        <f>IFERROR(Model!X807/Model!T807-1,"NA")</f>
        <v>0.2220681639088522</v>
      </c>
      <c r="Y807" s="1387">
        <f>IFERROR(Model!Y807/Model!U807-1,"NA")</f>
        <v>2.9578678278186388E-2</v>
      </c>
      <c r="Z807" s="1387">
        <f>IFERROR(Model!Z807/Model!V807-1,"NA")</f>
        <v>0.14725919240821206</v>
      </c>
      <c r="AA807" s="1387">
        <f>IFERROR(Model!AA807/Model!W807-1,"NA")</f>
        <v>-7.4787346624025623</v>
      </c>
      <c r="AB807" s="1387">
        <f>IFERROR(Model!AB807/Model!X807-1,"NA")</f>
        <v>0.24192282702987034</v>
      </c>
      <c r="AC807" s="1387">
        <f>IFERROR(Model!AC807/Model!Y807-1,"NA")</f>
        <v>0.26104530451313734</v>
      </c>
      <c r="AD807" s="1387">
        <f>IFERROR(Model!AD807/Model!Z807-1,"NA")</f>
        <v>0.19758316483509097</v>
      </c>
      <c r="AE807" s="1387">
        <f>IFERROR(Model!AE807/Model!AA807-1,"NA")</f>
        <v>-1.2243316252351664</v>
      </c>
      <c r="AF807" s="1387">
        <f>IFERROR(Model!AF807/Model!AB807-1,"NA")</f>
        <v>0.1547750880239267</v>
      </c>
      <c r="AG807" s="1387">
        <f>IFERROR(Model!AG807/Model!AC807-1,"NA")</f>
        <v>0.25059731926338702</v>
      </c>
      <c r="AH807" s="1387">
        <f>IFERROR(Model!AH807/Model!AD807-1,"NA")</f>
        <v>0.20625608463703649</v>
      </c>
      <c r="AI807" s="1388">
        <f>IFERROR(Model!AI807/Model!AE807-1,"NA")</f>
        <v>0.18667149724693965</v>
      </c>
      <c r="AJ807" s="1744"/>
      <c r="AK807" s="1744"/>
      <c r="AL807" s="1744"/>
      <c r="AM807" s="1744"/>
      <c r="AN807" s="1744"/>
      <c r="AO807" s="1744"/>
      <c r="AP807" s="1744"/>
      <c r="AQ807" s="1744"/>
      <c r="AR807" s="1236"/>
      <c r="AS807" s="1389"/>
      <c r="AT807" s="1390"/>
      <c r="AU807" s="1387"/>
      <c r="AV807" s="1387">
        <f>IFERROR(Model!AV807/Model!AU807-1,"NA")</f>
        <v>7.2586156262010038E-2</v>
      </c>
      <c r="AW807" s="1387">
        <f>IFERROR(Model!AW807/Model!AV807-1,"NA")</f>
        <v>-0.44590515291944099</v>
      </c>
      <c r="AX807" s="1387">
        <f>IFERROR(Model!AX807/Model!AW807-1,"NA")</f>
        <v>1.3079222862390503</v>
      </c>
      <c r="AY807" s="1387">
        <f>IFERROR(Model!AY807/Model!AX807-1,"NA")</f>
        <v>-0.12583244174846109</v>
      </c>
      <c r="AZ807" s="1387">
        <f>IFERROR(Model!AZ807/Model!AY807-1,"NA")</f>
        <v>1.9037624420724617</v>
      </c>
      <c r="BA807" s="1387">
        <f>IFERROR(Model!BA807/Model!AZ807-1,"NA")</f>
        <v>-0.51554095119244114</v>
      </c>
      <c r="BB807" s="1387">
        <f>IFERROR(Model!BB807/Model!BA807-1,"NA")</f>
        <v>0.19899518538758465</v>
      </c>
      <c r="BC807" s="1387">
        <f>IFERROR(Model!BC807/Model!BB807-1,"NA")</f>
        <v>0.16782124489492789</v>
      </c>
      <c r="BD807" s="1387">
        <f>IFERROR(Model!BD807/Model!BC807-1,"NA")</f>
        <v>0.12264329803198915</v>
      </c>
      <c r="BE807" s="1388">
        <f>IFERROR(Model!BE807/Model!BD807-1,"NA")</f>
        <v>8.2257068346411888E-2</v>
      </c>
    </row>
    <row r="808" spans="1:57" x14ac:dyDescent="0.2">
      <c r="B808" s="316"/>
      <c r="C808" s="427"/>
      <c r="D808" s="1250"/>
      <c r="E808" s="1250"/>
      <c r="F808" s="1250"/>
      <c r="G808" s="1250"/>
      <c r="H808" s="1250"/>
      <c r="I808" s="1250"/>
      <c r="J808" s="1250"/>
      <c r="K808" s="1250"/>
      <c r="L808" s="1250"/>
      <c r="M808" s="1250"/>
      <c r="N808" s="1250"/>
      <c r="O808" s="1250"/>
      <c r="P808" s="1250"/>
      <c r="Q808" s="1250"/>
      <c r="R808" s="1250"/>
      <c r="S808" s="1250"/>
      <c r="T808" s="1250"/>
      <c r="U808" s="1250"/>
      <c r="V808" s="1250"/>
      <c r="W808" s="1250"/>
      <c r="X808" s="1236"/>
      <c r="Y808" s="1236"/>
      <c r="Z808" s="1236"/>
      <c r="AA808" s="1236"/>
      <c r="AB808" s="1236"/>
      <c r="AC808" s="1236"/>
      <c r="AD808" s="1236"/>
      <c r="AE808" s="1236"/>
      <c r="AF808" s="1236"/>
      <c r="AG808" s="1236"/>
      <c r="AH808" s="1236"/>
      <c r="AI808" s="1236"/>
      <c r="AJ808" s="1236"/>
      <c r="AK808" s="1236"/>
      <c r="AL808" s="1236"/>
      <c r="AM808" s="1236"/>
      <c r="AN808" s="1236"/>
      <c r="AO808" s="1236"/>
      <c r="AP808" s="1236"/>
      <c r="AQ808" s="1236"/>
      <c r="AR808" s="1236"/>
      <c r="AS808" s="1239"/>
      <c r="AT808" s="1239"/>
      <c r="AU808" s="1236"/>
      <c r="AV808" s="1236"/>
      <c r="AW808" s="1236"/>
      <c r="AX808" s="1236"/>
      <c r="AY808" s="1236"/>
      <c r="AZ808" s="1236"/>
      <c r="BA808" s="1236"/>
      <c r="BB808" s="1236"/>
      <c r="BC808" s="1236"/>
      <c r="BD808" s="1236"/>
      <c r="BE808" s="1236"/>
    </row>
    <row r="809" spans="1:57" x14ac:dyDescent="0.2">
      <c r="B809" s="322" t="s">
        <v>413</v>
      </c>
      <c r="C809" s="427"/>
      <c r="D809" s="1287"/>
      <c r="E809" s="1287"/>
      <c r="F809" s="1287"/>
      <c r="G809" s="1287"/>
      <c r="H809" s="1287">
        <f>IFERROR(Model!H809/Model!D809-1,"NA")</f>
        <v>-0.56263048016701456</v>
      </c>
      <c r="I809" s="1287">
        <f>IFERROR(Model!I809/Model!E809-1,"NA")</f>
        <v>-0.26540880503144648</v>
      </c>
      <c r="J809" s="1287">
        <f>IFERROR(Model!J809/Model!F809-1,"NA")</f>
        <v>-0.63116679718089275</v>
      </c>
      <c r="K809" s="1287">
        <f>IFERROR(Model!K809/Model!G809-1,"NA")</f>
        <v>-4.7109375</v>
      </c>
      <c r="L809" s="1287">
        <f>IFERROR(Model!L809/Model!H809-1,"NA")</f>
        <v>0.10978520286396165</v>
      </c>
      <c r="M809" s="1287">
        <f>IFERROR(Model!M809/Model!I809-1,"NA")</f>
        <v>-0.21404109589041098</v>
      </c>
      <c r="N809" s="1287">
        <f>IFERROR(Model!N809/Model!J809-1,"NA")</f>
        <v>-0.26326963906581746</v>
      </c>
      <c r="O809" s="1287">
        <f>IFERROR(Model!O809/Model!K809-1,"NA")</f>
        <v>-0.50526315789473686</v>
      </c>
      <c r="P809" s="1287">
        <f>IFERROR(Model!P809/Model!L809-1,"NA")</f>
        <v>-0.9096774193548387</v>
      </c>
      <c r="Q809" s="1287">
        <f>IFERROR(Model!Q809/Model!M809-1,"NA")</f>
        <v>-0.40740740740740744</v>
      </c>
      <c r="R809" s="1287">
        <f>IFERROR(Model!R809/Model!N809-1,"NA")</f>
        <v>-1.4985590778097984</v>
      </c>
      <c r="S809" s="1287">
        <f>IFERROR(Model!S809/Model!O809-1,"NA")</f>
        <v>-4.2</v>
      </c>
      <c r="T809" s="1287">
        <f>IFERROR(Model!T809/Model!P809-1,"NA")</f>
        <v>-8.6428571428571423</v>
      </c>
      <c r="U809" s="1287">
        <f>IFERROR(Model!U809/Model!Q809-1,"NA")</f>
        <v>-0.23897058823529416</v>
      </c>
      <c r="V809" s="1287">
        <f>IFERROR(Model!V809/Model!R809-1,"NA")</f>
        <v>0.21965317919075145</v>
      </c>
      <c r="W809" s="1287">
        <f>IFERROR(Model!W809/Model!S809-1,"NA")</f>
        <v>-0.87234042553191493</v>
      </c>
      <c r="X809" s="1287">
        <f>IFERROR(Model!X809/Model!T809-1,"NA")</f>
        <v>-1.1464174454828659</v>
      </c>
      <c r="Y809" s="1287">
        <f>IFERROR(Model!Y809/Model!U809-1,"NA")</f>
        <v>-1.0338164251207729</v>
      </c>
      <c r="Z809" s="1287">
        <f>IFERROR(Model!Z809/Model!V809-1,"NA")</f>
        <v>5.2132701421800931E-2</v>
      </c>
      <c r="AA809" s="1287">
        <f>IFERROR(Model!AA809/Model!W809-1,"NA")</f>
        <v>1.0104166666666665</v>
      </c>
      <c r="AB809" s="1287">
        <f>IFERROR(Model!AB809/Model!X809-1,"NA")</f>
        <v>-0.74140752864157111</v>
      </c>
      <c r="AC809" s="1287">
        <f>IFERROR(Model!AC809/Model!Y809-1,"NA")</f>
        <v>29.685767413698656</v>
      </c>
      <c r="AD809" s="1287">
        <f>IFERROR(Model!AD809/Model!Z809-1,"NA")</f>
        <v>1.5947310188038299E-2</v>
      </c>
      <c r="AE809" s="1287">
        <f>IFERROR(Model!AE809/Model!AA809-1,"NA")</f>
        <v>0.27191607734995826</v>
      </c>
      <c r="AF809" s="1287">
        <f>IFERROR(Model!AF809/Model!AB809-1,"NA")</f>
        <v>-19.340043764284474</v>
      </c>
      <c r="AG809" s="1287">
        <f>IFERROR(Model!AG809/Model!AC809-1,"NA")</f>
        <v>0.11943412867689984</v>
      </c>
      <c r="AH809" s="1287">
        <f>IFERROR(Model!AH809/Model!AD809-1,"NA")</f>
        <v>0.13461781952341423</v>
      </c>
      <c r="AI809" s="1287">
        <f>IFERROR(Model!AI809/Model!AE809-1,"NA")</f>
        <v>9.1674317136822392E-2</v>
      </c>
      <c r="AJ809" s="1287"/>
      <c r="AK809" s="1287"/>
      <c r="AL809" s="1287"/>
      <c r="AM809" s="1287"/>
      <c r="AN809" s="1287"/>
      <c r="AO809" s="1287"/>
      <c r="AP809" s="1287"/>
      <c r="AQ809" s="1287"/>
      <c r="AR809" s="1236"/>
      <c r="AS809" s="1248"/>
      <c r="AT809" s="1239"/>
      <c r="AU809" s="1236"/>
      <c r="AV809" s="1236">
        <f>IFERROR(Model!AV809/Model!AU809-1,"NA")</f>
        <v>-0.32839421088904197</v>
      </c>
      <c r="AW809" s="1236">
        <f>IFERROR(Model!AW809/Model!AV809-1,"NA")</f>
        <v>-0.22729604925602875</v>
      </c>
      <c r="AX809" s="1236">
        <f>IFERROR(Model!AX809/Model!AW809-1,"NA")</f>
        <v>-1.4057104913678617</v>
      </c>
      <c r="AY809" s="1236">
        <f>IFERROR(Model!AY809/Model!AX809-1,"NA")</f>
        <v>-0.31096563011456635</v>
      </c>
      <c r="AZ809" s="1236">
        <f>IFERROR(Model!AZ809/Model!AY809-1,"NA")</f>
        <v>-0.10926365795724458</v>
      </c>
      <c r="BA809" s="1236">
        <f>IFERROR(Model!BA809/Model!AZ809-1,"NA")</f>
        <v>0.79644435075288222</v>
      </c>
      <c r="BB809" s="1236">
        <f>IFERROR(Model!BB809/Model!BA809-1,"NA")</f>
        <v>0.46547703892296743</v>
      </c>
      <c r="BC809" s="1236">
        <f>IFERROR(Model!BC809/Model!BB809-1,"NA")</f>
        <v>0.13179026466335197</v>
      </c>
      <c r="BD809" s="1236">
        <f>IFERROR(Model!BD809/Model!BC809-1,"NA")</f>
        <v>0.10733889441920819</v>
      </c>
      <c r="BE809" s="1236">
        <f>IFERROR(Model!BE809/Model!BD809-1,"NA")</f>
        <v>0.10939188068911965</v>
      </c>
    </row>
    <row r="810" spans="1:57" s="72" customFormat="1" x14ac:dyDescent="0.2">
      <c r="A810" s="831"/>
      <c r="B810" s="38"/>
      <c r="C810" s="46" t="s">
        <v>410</v>
      </c>
      <c r="D810" s="1487"/>
      <c r="E810" s="1487"/>
      <c r="F810" s="1487"/>
      <c r="G810" s="1487"/>
      <c r="H810" s="1487"/>
      <c r="I810" s="1487"/>
      <c r="J810" s="1487"/>
      <c r="K810" s="1487"/>
      <c r="L810" s="1487"/>
      <c r="M810" s="1487"/>
      <c r="N810" s="1487"/>
      <c r="O810" s="1487"/>
      <c r="P810" s="1487"/>
      <c r="Q810" s="1487"/>
      <c r="R810" s="1487"/>
      <c r="S810" s="1487"/>
      <c r="T810" s="1487"/>
      <c r="U810" s="1487"/>
      <c r="V810" s="1487"/>
      <c r="W810" s="1487"/>
      <c r="X810" s="1487"/>
      <c r="Y810" s="1487"/>
      <c r="Z810" s="1487"/>
      <c r="AA810" s="1487"/>
      <c r="AB810" s="1487"/>
      <c r="AC810" s="1487"/>
      <c r="AD810" s="1487"/>
      <c r="AE810" s="1487"/>
      <c r="AF810" s="1487"/>
      <c r="AG810" s="1487"/>
      <c r="AH810" s="1487"/>
      <c r="AI810" s="1487"/>
      <c r="AJ810" s="1487"/>
      <c r="AK810" s="1487"/>
      <c r="AL810" s="1487"/>
      <c r="AM810" s="1487"/>
      <c r="AN810" s="1487"/>
      <c r="AO810" s="1487"/>
      <c r="AP810" s="1487"/>
      <c r="AQ810" s="1487"/>
      <c r="AR810" s="1236"/>
      <c r="AS810" s="1250"/>
      <c r="AT810" s="1248"/>
      <c r="AU810" s="1487"/>
      <c r="AV810" s="1487"/>
      <c r="AW810" s="1487"/>
      <c r="AX810" s="1487"/>
      <c r="AY810" s="1487"/>
      <c r="AZ810" s="1487"/>
      <c r="BA810" s="1487"/>
      <c r="BB810" s="1487"/>
      <c r="BC810" s="1487"/>
      <c r="BD810" s="1487"/>
      <c r="BE810" s="1487"/>
    </row>
    <row r="811" spans="1:57" x14ac:dyDescent="0.2">
      <c r="B811" s="322" t="s">
        <v>412</v>
      </c>
      <c r="C811" s="427"/>
      <c r="D811" s="1287"/>
      <c r="E811" s="1287"/>
      <c r="F811" s="1287"/>
      <c r="G811" s="1287"/>
      <c r="H811" s="1287">
        <f>IFERROR(Model!H811/Model!D811-1,"NA")</f>
        <v>0.35116210324058672</v>
      </c>
      <c r="I811" s="1287">
        <f>IFERROR(Model!I811/Model!E811-1,"NA")</f>
        <v>0.3843549209586945</v>
      </c>
      <c r="J811" s="1287">
        <f>IFERROR(Model!J811/Model!F811-1,"NA")</f>
        <v>0.10725035320133514</v>
      </c>
      <c r="K811" s="1287">
        <f>IFERROR(Model!K811/Model!G811-1,"NA")</f>
        <v>0.20694461652831131</v>
      </c>
      <c r="L811" s="1287">
        <f>IFERROR(Model!L811/Model!H811-1,"NA")</f>
        <v>-8.7238319226614625E-3</v>
      </c>
      <c r="M811" s="1287">
        <f>IFERROR(Model!M811/Model!I811-1,"NA")</f>
        <v>-1.0519685271409207</v>
      </c>
      <c r="N811" s="1287">
        <f>IFERROR(Model!N811/Model!J811-1,"NA")</f>
        <v>-6.0654252269911613E-3</v>
      </c>
      <c r="O811" s="1287">
        <f>IFERROR(Model!O811/Model!K811-1,"NA")</f>
        <v>-0.98652636981906838</v>
      </c>
      <c r="P811" s="1287">
        <f>IFERROR(Model!P811/Model!L811-1,"NA")</f>
        <v>0.27034967928822673</v>
      </c>
      <c r="Q811" s="1287">
        <f>IFERROR(Model!Q811/Model!M811-1,"NA")</f>
        <v>-24.823079104054433</v>
      </c>
      <c r="R811" s="1287">
        <f>IFERROR(Model!R811/Model!N811-1,"NA")</f>
        <v>0.50940482613630023</v>
      </c>
      <c r="S811" s="1287">
        <f>IFERROR(Model!S811/Model!O811-1,"NA")</f>
        <v>139.03047619047621</v>
      </c>
      <c r="T811" s="1287">
        <f>IFERROR(Model!T811/Model!P811-1,"NA")</f>
        <v>-0.24823549851238946</v>
      </c>
      <c r="U811" s="1287">
        <f>IFERROR(Model!U811/Model!Q811-1,"NA")</f>
        <v>-0.16417928210987343</v>
      </c>
      <c r="V811" s="1287">
        <f>IFERROR(Model!V811/Model!R811-1,"NA")</f>
        <v>-8.0686314388196512E-2</v>
      </c>
      <c r="W811" s="1287">
        <f>IFERROR(Model!W811/Model!S811-1,"NA")</f>
        <v>-0.1105609663202568</v>
      </c>
      <c r="X811" s="1287">
        <f>IFERROR(Model!X811/Model!T811-1,"NA")</f>
        <v>7.5050915026071197E-2</v>
      </c>
      <c r="Y811" s="1287">
        <f>IFERROR(Model!Y811/Model!U811-1,"NA")</f>
        <v>-6.8063050876417952E-3</v>
      </c>
      <c r="Z811" s="1287">
        <f>IFERROR(Model!Z811/Model!V811-1,"NA")</f>
        <v>6.1180161699046831E-2</v>
      </c>
      <c r="AA811" s="1287">
        <f>IFERROR(Model!AA811/Model!W811-1,"NA")</f>
        <v>0.10217471095613861</v>
      </c>
      <c r="AB811" s="1287">
        <f>IFERROR(Model!AB811/Model!X811-1,"NA")</f>
        <v>0.15441561756842104</v>
      </c>
      <c r="AC811" s="1287">
        <f>IFERROR(Model!AC811/Model!Y811-1,"NA")</f>
        <v>0.21363845652311997</v>
      </c>
      <c r="AD811" s="1287">
        <f>IFERROR(Model!AD811/Model!Z811-1,"NA")</f>
        <v>0.10649360598455204</v>
      </c>
      <c r="AE811" s="1287">
        <f>IFERROR(Model!AE811/Model!AA811-1,"NA")</f>
        <v>0.15829685203629351</v>
      </c>
      <c r="AF811" s="1287">
        <f>IFERROR(Model!AF811/Model!AB811-1,"NA")</f>
        <v>0.10109722587462855</v>
      </c>
      <c r="AG811" s="1287">
        <f>IFERROR(Model!AG811/Model!AC811-1,"NA")</f>
        <v>0.14038141602335585</v>
      </c>
      <c r="AH811" s="1287">
        <f>IFERROR(Model!AH811/Model!AD811-1,"NA")</f>
        <v>9.6949317701112259E-2</v>
      </c>
      <c r="AI811" s="1287">
        <f>IFERROR(Model!AI811/Model!AE811-1,"NA")</f>
        <v>8.2748941651314301E-2</v>
      </c>
      <c r="AJ811" s="1287"/>
      <c r="AK811" s="1287"/>
      <c r="AL811" s="1287"/>
      <c r="AM811" s="1287"/>
      <c r="AN811" s="1287"/>
      <c r="AO811" s="1287"/>
      <c r="AP811" s="1287"/>
      <c r="AQ811" s="1287"/>
      <c r="AR811" s="1236"/>
      <c r="AS811" s="1248"/>
      <c r="AT811" s="1239"/>
      <c r="AU811" s="1287"/>
      <c r="AV811" s="1287">
        <f>IFERROR(Model!AV811/Model!AU811-1,"NA")</f>
        <v>0.27008150905716466</v>
      </c>
      <c r="AW811" s="1287">
        <f>IFERROR(Model!AW811/Model!AV811-1,"NA")</f>
        <v>-0.47342155074067582</v>
      </c>
      <c r="AX811" s="1287">
        <f>IFERROR(Model!AX811/Model!AW811-1,"NA")</f>
        <v>1.6838496616413234</v>
      </c>
      <c r="AY811" s="1287">
        <f>IFERROR(Model!AY811/Model!AX811-1,"NA")</f>
        <v>-0.15518664421353068</v>
      </c>
      <c r="AZ811" s="1287">
        <f>IFERROR(Model!AZ811/Model!AY811-1,"NA")</f>
        <v>5.7122816560678302E-2</v>
      </c>
      <c r="BA811" s="1287">
        <f>IFERROR(Model!BA811/Model!AZ811-1,"NA")</f>
        <v>0.15650682899033885</v>
      </c>
      <c r="BB811" s="1287">
        <f>IFERROR(Model!BB811/Model!BA811-1,"NA")</f>
        <v>0.10528480830209852</v>
      </c>
      <c r="BC811" s="1287">
        <f>IFERROR(Model!BC811/Model!BB811-1,"NA")</f>
        <v>8.339766066315657E-2</v>
      </c>
      <c r="BD811" s="1287">
        <f>IFERROR(Model!BD811/Model!BC811-1,"NA")</f>
        <v>6.0541785573420936E-2</v>
      </c>
      <c r="BE811" s="1287">
        <f>IFERROR(Model!BE811/Model!BD811-1,"NA")</f>
        <v>2.956945392736765E-2</v>
      </c>
    </row>
    <row r="812" spans="1:57" x14ac:dyDescent="0.2">
      <c r="B812" s="322" t="s">
        <v>414</v>
      </c>
      <c r="C812" s="427"/>
      <c r="D812" s="1287"/>
      <c r="E812" s="1287"/>
      <c r="F812" s="1287"/>
      <c r="G812" s="1287"/>
      <c r="H812" s="1287">
        <f>IFERROR(Model!H812/Model!D812-1,"NA")</f>
        <v>-0.56693953947571396</v>
      </c>
      <c r="I812" s="1287">
        <f>IFERROR(Model!I812/Model!E812-1,"NA")</f>
        <v>-0.27288494654294526</v>
      </c>
      <c r="J812" s="1287">
        <f>IFERROR(Model!J812/Model!F812-1,"NA")</f>
        <v>-0.63432025435724815</v>
      </c>
      <c r="K812" s="1287">
        <f>IFERROR(Model!K812/Model!G812-1,"NA")</f>
        <v>-4.6889286449752881</v>
      </c>
      <c r="L812" s="1287">
        <f>IFERROR(Model!L812/Model!H812-1,"NA")</f>
        <v>0.110514604903307</v>
      </c>
      <c r="M812" s="1287">
        <f>IFERROR(Model!M812/Model!I812-1,"NA")</f>
        <v>-0.21197142135687685</v>
      </c>
      <c r="N812" s="1287">
        <f>IFERROR(Model!N812/Model!J812-1,"NA")</f>
        <v>-0.26181317047747965</v>
      </c>
      <c r="O812" s="1287">
        <f>IFERROR(Model!O812/Model!K812-1,"NA")</f>
        <v>-0.50477364254964585</v>
      </c>
      <c r="P812" s="1287">
        <f>IFERROR(Model!P812/Model!L812-1,"NA")</f>
        <v>-0.90955853474721093</v>
      </c>
      <c r="Q812" s="1287">
        <f>IFERROR(Model!Q812/Model!M812-1,"NA")</f>
        <v>-0.40486072849709209</v>
      </c>
      <c r="R812" s="1287">
        <f>IFERROR(Model!R812/Model!N812-1,"NA")</f>
        <v>-1.5048804808651108</v>
      </c>
      <c r="S812" s="1287">
        <f>IFERROR(Model!S812/Model!O812-1,"NA")</f>
        <v>-4.2668013468013468</v>
      </c>
      <c r="T812" s="1287">
        <f>IFERROR(Model!T812/Model!P812-1,"NA")</f>
        <v>-8.8921654288626755</v>
      </c>
      <c r="U812" s="1287">
        <f>IFERROR(Model!U812/Model!Q812-1,"NA")</f>
        <v>-0.21052332970225129</v>
      </c>
      <c r="V812" s="1287">
        <f>IFERROR(Model!V812/Model!R812-1,"NA")</f>
        <v>0.26920158959537566</v>
      </c>
      <c r="W812" s="1287">
        <f>IFERROR(Model!W812/Model!S812-1,"NA")</f>
        <v>-0.86526334890895074</v>
      </c>
      <c r="X812" s="1287">
        <f>IFERROR(Model!X812/Model!T812-1,"NA")</f>
        <v>-1.155786891560403</v>
      </c>
      <c r="Y812" s="1287">
        <f>IFERROR(Model!Y812/Model!U812-1,"NA")</f>
        <v>-1.035999085737505</v>
      </c>
      <c r="Z812" s="1287">
        <f>IFERROR(Model!Z812/Model!V812-1,"NA")</f>
        <v>0.12909124719409304</v>
      </c>
      <c r="AA812" s="1287">
        <f>IFERROR(Model!AA812/Model!W812-1,"NA")</f>
        <v>1.1707131072058936</v>
      </c>
      <c r="AB812" s="1287">
        <f>IFERROR(Model!AB812/Model!X812-1,"NA")</f>
        <v>-0.72092595560771988</v>
      </c>
      <c r="AC812" s="1287">
        <f>IFERROR(Model!AC812/Model!Y812-1,"NA")</f>
        <v>32.127567503637351</v>
      </c>
      <c r="AD812" s="1287">
        <f>IFERROR(Model!AD812/Model!Z812-1,"NA")</f>
        <v>9.4750677777605929E-2</v>
      </c>
      <c r="AE812" s="1287">
        <f>IFERROR(Model!AE812/Model!AA812-1,"NA")</f>
        <v>0.36648593795443207</v>
      </c>
      <c r="AF812" s="1287">
        <f>IFERROR(Model!AF812/Model!AB812-1,"NA")</f>
        <v>-20.845995260680585</v>
      </c>
      <c r="AG812" s="1287">
        <f>IFERROR(Model!AG812/Model!AC812-1,"NA")</f>
        <v>0.22685677579018093</v>
      </c>
      <c r="AH812" s="1287">
        <f>IFERROR(Model!AH812/Model!AD812-1,"NA")</f>
        <v>0.24916400936572214</v>
      </c>
      <c r="AI812" s="1287">
        <f>IFERROR(Model!AI812/Model!AE812-1,"NA")</f>
        <v>0.19684568613940057</v>
      </c>
      <c r="AJ812" s="1287"/>
      <c r="AK812" s="1287"/>
      <c r="AL812" s="1287"/>
      <c r="AM812" s="1287"/>
      <c r="AN812" s="1287"/>
      <c r="AO812" s="1287"/>
      <c r="AP812" s="1287"/>
      <c r="AQ812" s="1287"/>
      <c r="AR812" s="1236"/>
      <c r="AS812" s="1248"/>
      <c r="AT812" s="1239"/>
      <c r="AU812" s="1287"/>
      <c r="AV812" s="1287">
        <f>IFERROR(Model!AV812/Model!AU812-1,"NA")</f>
        <v>-0.33419010205832367</v>
      </c>
      <c r="AW812" s="1287">
        <f>IFERROR(Model!AW812/Model!AV812-1,"NA")</f>
        <v>-0.22608750669230337</v>
      </c>
      <c r="AX812" s="1287">
        <f>IFERROR(Model!AX812/Model!AW812-1,"NA")</f>
        <v>-1.4096559761563283</v>
      </c>
      <c r="AY812" s="1287">
        <f>IFERROR(Model!AY812/Model!AX812-1,"NA")</f>
        <v>-0.28245715363181401</v>
      </c>
      <c r="AZ812" s="1287">
        <f>IFERROR(Model!AZ812/Model!AY812-1,"NA")</f>
        <v>-4.6727037302113472E-2</v>
      </c>
      <c r="BA812" s="1287">
        <f>IFERROR(Model!BA812/Model!AZ812-1,"NA")</f>
        <v>0.93605622062621796</v>
      </c>
      <c r="BB812" s="1287">
        <f>IFERROR(Model!BB812/Model!BA812-1,"NA")</f>
        <v>0.60279946135530005</v>
      </c>
      <c r="BC812" s="1287">
        <f>IFERROR(Model!BC812/Model!BB812-1,"NA")</f>
        <v>0.22190522060154372</v>
      </c>
      <c r="BD812" s="1287">
        <f>IFERROR(Model!BD812/Model!BC812-1,"NA")</f>
        <v>0.17408795057175919</v>
      </c>
      <c r="BE812" s="1287">
        <f>IFERROR(Model!BE812/Model!BD812-1,"NA")</f>
        <v>0.16965582270933877</v>
      </c>
    </row>
    <row r="813" spans="1:57" x14ac:dyDescent="0.2">
      <c r="B813" s="322" t="s">
        <v>415</v>
      </c>
      <c r="C813" s="427"/>
      <c r="D813" s="1287"/>
      <c r="E813" s="1287"/>
      <c r="F813" s="1287"/>
      <c r="G813" s="1287"/>
      <c r="H813" s="1287">
        <f>IFERROR(Model!H813/Model!D813-1,"NA")</f>
        <v>0.3378501613367384</v>
      </c>
      <c r="I813" s="1287">
        <f>IFERROR(Model!I813/Model!E813-1,"NA")</f>
        <v>0.37026595098176762</v>
      </c>
      <c r="J813" s="1287">
        <f>IFERROR(Model!J813/Model!F813-1,"NA")</f>
        <v>9.77835629404884E-2</v>
      </c>
      <c r="K813" s="1287">
        <f>IFERROR(Model!K813/Model!G813-1,"NA")</f>
        <v>0.19978646064774797</v>
      </c>
      <c r="L813" s="1287">
        <f>IFERROR(Model!L813/Model!H813-1,"NA")</f>
        <v>-8.0723194888281391E-3</v>
      </c>
      <c r="M813" s="1287">
        <f>IFERROR(Model!M813/Model!I813-1,"NA")</f>
        <v>-1.0521053764553141</v>
      </c>
      <c r="N813" s="1287">
        <f>IFERROR(Model!N813/Model!J813-1,"NA")</f>
        <v>-4.1004804333707456E-3</v>
      </c>
      <c r="O813" s="1287">
        <f>IFERROR(Model!O813/Model!K813-1,"NA")</f>
        <v>-0.98651303839078908</v>
      </c>
      <c r="P813" s="1287">
        <f>IFERROR(Model!P813/Model!L813-1,"NA")</f>
        <v>0.27202174204477592</v>
      </c>
      <c r="Q813" s="1287">
        <f>IFERROR(Model!Q813/Model!M813-1,"NA")</f>
        <v>-24.925459278716485</v>
      </c>
      <c r="R813" s="1287">
        <f>IFERROR(Model!R813/Model!N813-1,"NA")</f>
        <v>0.52854309220009066</v>
      </c>
      <c r="S813" s="1287">
        <f>IFERROR(Model!S813/Model!O813-1,"NA")</f>
        <v>141.95367131633796</v>
      </c>
      <c r="T813" s="1287">
        <f>IFERROR(Model!T813/Model!P813-1,"NA")</f>
        <v>-0.22371310906529107</v>
      </c>
      <c r="U813" s="1287">
        <f>IFERROR(Model!U813/Model!Q813-1,"NA")</f>
        <v>-0.13293632660574994</v>
      </c>
      <c r="V813" s="1287">
        <f>IFERROR(Model!V813/Model!R813-1,"NA")</f>
        <v>-4.3339195910216954E-2</v>
      </c>
      <c r="W813" s="1287">
        <f>IFERROR(Model!W813/Model!S813-1,"NA")</f>
        <v>-6.1253045476603707E-2</v>
      </c>
      <c r="X813" s="1287">
        <f>IFERROR(Model!X813/Model!T813-1,"NA")</f>
        <v>0.14384484559715394</v>
      </c>
      <c r="Y813" s="1287">
        <f>IFERROR(Model!Y813/Model!U813-1,"NA")</f>
        <v>5.729877860851218E-2</v>
      </c>
      <c r="Z813" s="1287">
        <f>IFERROR(Model!Z813/Model!V813-1,"NA")</f>
        <v>0.13880048652727761</v>
      </c>
      <c r="AA813" s="1287">
        <f>IFERROR(Model!AA813/Model!W813-1,"NA")</f>
        <v>0.19005434603275817</v>
      </c>
      <c r="AB813" s="1287">
        <f>IFERROR(Model!AB813/Model!X813-1,"NA")</f>
        <v>0.24585001880384416</v>
      </c>
      <c r="AC813" s="1287">
        <f>IFERROR(Model!AC813/Model!Y813-1,"NA")</f>
        <v>0.31021295154351414</v>
      </c>
      <c r="AD813" s="1287">
        <f>IFERROR(Model!AD813/Model!Z813-1,"NA")</f>
        <v>0.19232032307263403</v>
      </c>
      <c r="AE813" s="1287">
        <f>IFERROR(Model!AE813/Model!AA813-1,"NA")</f>
        <v>0.24441886416141734</v>
      </c>
      <c r="AF813" s="1287">
        <f>IFERROR(Model!AF813/Model!AB813-1,"NA")</f>
        <v>0.19151135117855467</v>
      </c>
      <c r="AG813" s="1287">
        <f>IFERROR(Model!AG813/Model!AC813-1,"NA")</f>
        <v>0.24981419754200718</v>
      </c>
      <c r="AH813" s="1287">
        <f>IFERROR(Model!AH813/Model!AD813-1,"NA")</f>
        <v>0.20769265579319396</v>
      </c>
      <c r="AI813" s="1287">
        <f>IFERROR(Model!AI813/Model!AE813-1,"NA")</f>
        <v>0.18706044435133529</v>
      </c>
      <c r="AJ813" s="1287"/>
      <c r="AK813" s="1287"/>
      <c r="AL813" s="1287"/>
      <c r="AM813" s="1287"/>
      <c r="AN813" s="1287"/>
      <c r="AO813" s="1287"/>
      <c r="AP813" s="1287"/>
      <c r="AQ813" s="1287"/>
      <c r="AR813" s="1236"/>
      <c r="AS813" s="1248"/>
      <c r="AT813" s="1239"/>
      <c r="AU813" s="1287"/>
      <c r="AV813" s="1287">
        <f>IFERROR(Model!AV813/Model!AU813-1,"NA")</f>
        <v>0.2591208319427567</v>
      </c>
      <c r="AW813" s="1287">
        <f>IFERROR(Model!AW813/Model!AV813-1,"NA")</f>
        <v>-0.47259795915885772</v>
      </c>
      <c r="AX813" s="1287">
        <f>IFERROR(Model!AX813/Model!AW813-1,"NA")</f>
        <v>1.709949770560951</v>
      </c>
      <c r="AY813" s="1287">
        <f>IFERROR(Model!AY813/Model!AX813-1,"NA")</f>
        <v>-0.12023288466484783</v>
      </c>
      <c r="AZ813" s="1287">
        <f>IFERROR(Model!AZ813/Model!AY813-1,"NA")</f>
        <v>0.13134106212314101</v>
      </c>
      <c r="BA813" s="1287">
        <f>IFERROR(Model!BA813/Model!AZ813-1,"NA")</f>
        <v>0.24638552790408763</v>
      </c>
      <c r="BB813" s="1287">
        <f>IFERROR(Model!BB813/Model!BA813-1,"NA")</f>
        <v>0.20885544320283334</v>
      </c>
      <c r="BC813" s="1287">
        <f>IFERROR(Model!BC813/Model!BB813-1,"NA")</f>
        <v>0.16965951986304995</v>
      </c>
      <c r="BD813" s="1287">
        <f>IFERROR(Model!BD813/Model!BC813-1,"NA")</f>
        <v>0.12446996831326418</v>
      </c>
      <c r="BE813" s="1287">
        <f>IFERROR(Model!BE813/Model!BD813-1,"NA")</f>
        <v>8.5497314007546565E-2</v>
      </c>
    </row>
    <row r="814" spans="1:57" x14ac:dyDescent="0.2">
      <c r="B814" s="316"/>
      <c r="C814" s="427"/>
      <c r="D814" s="1250"/>
      <c r="E814" s="1250"/>
      <c r="F814" s="1250"/>
      <c r="G814" s="1250"/>
      <c r="H814" s="1250"/>
      <c r="I814" s="1250"/>
      <c r="J814" s="1250"/>
      <c r="K814" s="1250"/>
      <c r="L814" s="1250"/>
      <c r="M814" s="1250"/>
      <c r="N814" s="1250"/>
      <c r="O814" s="1250"/>
      <c r="P814" s="1250"/>
      <c r="Q814" s="1250"/>
      <c r="R814" s="1250"/>
      <c r="S814" s="1250"/>
      <c r="T814" s="1250"/>
      <c r="U814" s="1250"/>
      <c r="V814" s="1250"/>
      <c r="W814" s="1250"/>
      <c r="X814" s="1250"/>
      <c r="Y814" s="1250"/>
      <c r="Z814" s="1250"/>
      <c r="AA814" s="1250"/>
      <c r="AB814" s="1250"/>
      <c r="AC814" s="1250"/>
      <c r="AD814" s="1250"/>
      <c r="AE814" s="1250"/>
      <c r="AF814" s="1250"/>
      <c r="AG814" s="1250"/>
      <c r="AH814" s="1250"/>
      <c r="AI814" s="1250"/>
      <c r="AJ814" s="1250"/>
      <c r="AK814" s="1250"/>
      <c r="AL814" s="1250"/>
      <c r="AM814" s="1250"/>
      <c r="AN814" s="1250"/>
      <c r="AO814" s="1250"/>
      <c r="AP814" s="1250"/>
      <c r="AQ814" s="1250"/>
      <c r="AR814" s="1236"/>
      <c r="AS814" s="1239"/>
      <c r="AT814" s="1239"/>
      <c r="AU814" s="1236"/>
      <c r="AV814" s="1236"/>
      <c r="AW814" s="1236"/>
      <c r="AX814" s="1236"/>
      <c r="AY814" s="1236"/>
      <c r="AZ814" s="1236"/>
      <c r="BA814" s="1236"/>
      <c r="BB814" s="1236"/>
      <c r="BC814" s="1236"/>
      <c r="BD814" s="1236"/>
      <c r="BE814" s="1236"/>
    </row>
    <row r="815" spans="1:57" x14ac:dyDescent="0.2">
      <c r="B815" s="316"/>
      <c r="C815" s="427"/>
      <c r="D815" s="1250"/>
      <c r="E815" s="1250"/>
      <c r="F815" s="1250"/>
      <c r="G815" s="1250"/>
      <c r="H815" s="1250"/>
      <c r="I815" s="1250"/>
      <c r="J815" s="1250"/>
      <c r="K815" s="1250"/>
      <c r="L815" s="1250"/>
      <c r="M815" s="1250"/>
      <c r="N815" s="1250"/>
      <c r="O815" s="1250"/>
      <c r="P815" s="1250"/>
      <c r="Q815" s="1250"/>
      <c r="R815" s="1250"/>
      <c r="S815" s="1250"/>
      <c r="T815" s="1250"/>
      <c r="U815" s="1250"/>
      <c r="V815" s="1250"/>
      <c r="W815" s="1250"/>
      <c r="X815" s="1250"/>
      <c r="Y815" s="1250"/>
      <c r="Z815" s="1250"/>
      <c r="AA815" s="1250"/>
      <c r="AB815" s="1250"/>
      <c r="AC815" s="1250"/>
      <c r="AD815" s="1250"/>
      <c r="AE815" s="1250"/>
      <c r="AF815" s="1250"/>
      <c r="AG815" s="1250"/>
      <c r="AH815" s="1250"/>
      <c r="AI815" s="1250"/>
      <c r="AJ815" s="1250"/>
      <c r="AK815" s="1250"/>
      <c r="AL815" s="1250"/>
      <c r="AM815" s="1250"/>
      <c r="AN815" s="1250"/>
      <c r="AO815" s="1250"/>
      <c r="AP815" s="1250"/>
      <c r="AQ815" s="1250"/>
      <c r="AR815" s="1236"/>
      <c r="AS815" s="1239"/>
      <c r="AT815" s="1239"/>
      <c r="AU815" s="1236"/>
      <c r="AV815" s="1236"/>
      <c r="AW815" s="1236"/>
      <c r="AX815" s="1236"/>
      <c r="AY815" s="1236"/>
      <c r="AZ815" s="1236"/>
      <c r="BA815" s="1236"/>
      <c r="BB815" s="1236"/>
      <c r="BC815" s="1236"/>
      <c r="BD815" s="1236"/>
      <c r="BE815" s="1236"/>
    </row>
    <row r="816" spans="1:57" x14ac:dyDescent="0.2">
      <c r="B816" s="124" t="s">
        <v>664</v>
      </c>
      <c r="C816" s="427"/>
      <c r="D816" s="1323"/>
      <c r="E816" s="1323"/>
      <c r="F816" s="1323"/>
      <c r="G816" s="1323"/>
      <c r="H816" s="1323">
        <f>IFERROR(Model!H816/Model!D816-1,"NA")</f>
        <v>8.1722834477985451E-2</v>
      </c>
      <c r="I816" s="1323">
        <f>IFERROR(Model!I816/Model!E816-1,"NA")</f>
        <v>8.877491672394644E-2</v>
      </c>
      <c r="J816" s="1323">
        <f>IFERROR(Model!J816/Model!F816-1,"NA")</f>
        <v>-2.6162948488302695E-2</v>
      </c>
      <c r="K816" s="1323">
        <f>IFERROR(Model!K816/Model!G816-1,"NA")</f>
        <v>-9.3670324797694438E-3</v>
      </c>
      <c r="L816" s="1323">
        <f>IFERROR(Model!L816/Model!H816-1,"NA")</f>
        <v>-5.5123535781080868E-3</v>
      </c>
      <c r="M816" s="1323">
        <f>IFERROR(Model!M816/Model!I816-1,"NA")</f>
        <v>-5.6672494172494203E-2</v>
      </c>
      <c r="N816" s="1323">
        <f>IFERROR(Model!N816/Model!J816-1,"NA")</f>
        <v>9.7430466529178972E-2</v>
      </c>
      <c r="O816" s="1323">
        <f>IFERROR(Model!O816/Model!K816-1,"NA")</f>
        <v>1.4547082191014304E-3</v>
      </c>
      <c r="P816" s="1323">
        <f>IFERROR(Model!P816/Model!L816-1,"NA")</f>
        <v>-2.3260417697713587E-2</v>
      </c>
      <c r="Q816" s="1323">
        <f>IFERROR(Model!Q816/Model!M816-1,"NA")</f>
        <v>2.3166023166023564E-3</v>
      </c>
      <c r="R816" s="1323">
        <f>IFERROR(Model!R816/Model!N816-1,"NA")</f>
        <v>-5.0637411752755379E-2</v>
      </c>
      <c r="S816" s="1323">
        <f>IFERROR(Model!S816/Model!O816-1,"NA")</f>
        <v>3.1119056930554834E-2</v>
      </c>
      <c r="T816" s="1323">
        <f>IFERROR(Model!T816/Model!P816-1,"NA")</f>
        <v>-0.11050871503850834</v>
      </c>
      <c r="U816" s="1323">
        <f>IFERROR(Model!U816/Model!Q816-1,"NA")</f>
        <v>-9.8715973292244463E-2</v>
      </c>
      <c r="V816" s="1323">
        <f>IFERROR(Model!V816/Model!R816-1,"NA")</f>
        <v>-4.9860903060132689E-2</v>
      </c>
      <c r="W816" s="1323">
        <f>IFERROR(Model!W816/Model!S816-1,"NA")</f>
        <v>-7.8240138708279172E-2</v>
      </c>
      <c r="X816" s="1323">
        <f>IFERROR(Model!X816/Model!T816-1,"NA")</f>
        <v>4.6197664483053291E-2</v>
      </c>
      <c r="Y816" s="1323">
        <f>IFERROR(Model!Y816/Model!U816-1,"NA")</f>
        <v>3.4590836562571337E-2</v>
      </c>
      <c r="Z816" s="1323">
        <f>IFERROR(Model!Z816/Model!V816-1,"NA")</f>
        <v>3.7105855855855907E-2</v>
      </c>
      <c r="AA816" s="1323">
        <f>IFERROR(Model!AA816/Model!W816-1,"NA")</f>
        <v>2.8920761815189211E-2</v>
      </c>
      <c r="AB816" s="1323">
        <f>IFERROR(Model!AB816/Model!X816-1,"NA")</f>
        <v>2.7550909288903469E-2</v>
      </c>
      <c r="AC816" s="1323">
        <f>IFERROR(Model!AC816/Model!Y816-1,"NA")</f>
        <v>5.0664475996592628E-2</v>
      </c>
      <c r="AD816" s="1323">
        <f>IFERROR(Model!AD816/Model!Z816-1,"NA")</f>
        <v>3.9206943859490195E-2</v>
      </c>
      <c r="AE816" s="1323">
        <f>IFERROR(Model!AE816/Model!AA816-1,"NA")</f>
        <v>6.4601682445942332E-2</v>
      </c>
      <c r="AF816" s="1323">
        <f>IFERROR(Model!AF816/Model!AB816-1,"NA")</f>
        <v>6.3695010166508581E-2</v>
      </c>
      <c r="AG816" s="1323">
        <f>IFERROR(Model!AG816/Model!AC816-1,"NA")</f>
        <v>6.0847340278552098E-2</v>
      </c>
      <c r="AH816" s="1323">
        <f>IFERROR(Model!AH816/Model!AD816-1,"NA")</f>
        <v>5.6298994515702194E-2</v>
      </c>
      <c r="AI816" s="1323">
        <f>IFERROR(Model!AI816/Model!AE816-1,"NA")</f>
        <v>5.3949895466188114E-2</v>
      </c>
      <c r="AJ816" s="1323"/>
      <c r="AK816" s="1323"/>
      <c r="AL816" s="1323"/>
      <c r="AM816" s="1323"/>
      <c r="AN816" s="1323"/>
      <c r="AO816" s="1323"/>
      <c r="AP816" s="1323"/>
      <c r="AQ816" s="1323"/>
      <c r="AR816" s="1236"/>
      <c r="AS816" s="1331"/>
      <c r="AT816" s="1239"/>
      <c r="AU816" s="1323"/>
      <c r="AV816" s="1323">
        <f>IFERROR(Model!AV816/Model!AU816-1,"NA")</f>
        <v>3.4559943905826618E-2</v>
      </c>
      <c r="AW816" s="1323">
        <f>IFERROR(Model!AW816/Model!AV816-1,"NA")</f>
        <v>6.4516969918149147E-3</v>
      </c>
      <c r="AX816" s="1323">
        <f>IFERROR(Model!AX816/Model!AW816-1,"NA")</f>
        <v>-1.1201906266592454E-2</v>
      </c>
      <c r="AY816" s="1323">
        <f>IFERROR(Model!AY816/Model!AX816-1,"NA")</f>
        <v>-8.4854755481048816E-2</v>
      </c>
      <c r="AZ816" s="1323">
        <f>IFERROR(Model!AZ816/Model!AY816-1,"NA")</f>
        <v>3.6765652951699535E-2</v>
      </c>
      <c r="BA816" s="1323">
        <f>IFERROR(Model!BA816/Model!AZ816-1,"NA")</f>
        <v>4.5259153417810616E-2</v>
      </c>
      <c r="BB816" s="1323">
        <f>IFERROR(Model!BB816/Model!BA816-1,"NA")</f>
        <v>5.8709914384143413E-2</v>
      </c>
      <c r="BC816" s="1323">
        <f>IFERROR(Model!BC816/Model!BB816-1,"NA")</f>
        <v>5.3780738840197184E-2</v>
      </c>
      <c r="BD816" s="1323">
        <f>IFERROR(Model!BD816/Model!BC816-1,"NA")</f>
        <v>5.1417957859198449E-2</v>
      </c>
      <c r="BE816" s="1323">
        <f>IFERROR(Model!BE816/Model!BD816-1,"NA")</f>
        <v>4.85856263874056E-2</v>
      </c>
    </row>
    <row r="817" spans="1:64" x14ac:dyDescent="0.2">
      <c r="B817" s="124"/>
      <c r="C817" s="427"/>
      <c r="D817" s="1323"/>
      <c r="E817" s="1323"/>
      <c r="F817" s="1323"/>
      <c r="G817" s="1323"/>
      <c r="H817" s="1323"/>
      <c r="I817" s="1323"/>
      <c r="J817" s="1323"/>
      <c r="K817" s="1323"/>
      <c r="L817" s="1323"/>
      <c r="M817" s="1323"/>
      <c r="N817" s="1323"/>
      <c r="O817" s="1323"/>
      <c r="P817" s="1323"/>
      <c r="Q817" s="1323"/>
      <c r="R817" s="1323"/>
      <c r="S817" s="1323"/>
      <c r="T817" s="1323"/>
      <c r="U817" s="1323"/>
      <c r="V817" s="1323"/>
      <c r="W817" s="1323"/>
      <c r="X817" s="1323"/>
      <c r="Y817" s="1323"/>
      <c r="Z817" s="1323"/>
      <c r="AA817" s="1323"/>
      <c r="AB817" s="1323"/>
      <c r="AC817" s="1323"/>
      <c r="AD817" s="1323"/>
      <c r="AE817" s="1323"/>
      <c r="AF817" s="1323"/>
      <c r="AG817" s="1323"/>
      <c r="AH817" s="1323"/>
      <c r="AI817" s="1323"/>
      <c r="AJ817" s="1323"/>
      <c r="AK817" s="1323"/>
      <c r="AL817" s="1323"/>
      <c r="AM817" s="1323"/>
      <c r="AN817" s="1323"/>
      <c r="AO817" s="1323"/>
      <c r="AP817" s="1323"/>
      <c r="AQ817" s="1323"/>
      <c r="AR817" s="1236"/>
      <c r="AS817" s="1331"/>
      <c r="AT817" s="1239"/>
      <c r="AU817" s="1323"/>
      <c r="AV817" s="1323"/>
      <c r="AW817" s="1323"/>
      <c r="AX817" s="1323"/>
      <c r="AY817" s="1323"/>
      <c r="AZ817" s="1323"/>
      <c r="BA817" s="1323"/>
      <c r="BB817" s="1323"/>
      <c r="BC817" s="1323"/>
      <c r="BD817" s="1323"/>
      <c r="BE817" s="1323"/>
    </row>
    <row r="818" spans="1:64" x14ac:dyDescent="0.2">
      <c r="B818" s="123" t="s">
        <v>237</v>
      </c>
      <c r="C818" s="427"/>
      <c r="D818" s="1250"/>
      <c r="E818" s="1250"/>
      <c r="F818" s="1250"/>
      <c r="G818" s="1250"/>
      <c r="H818" s="1250"/>
      <c r="I818" s="1250"/>
      <c r="J818" s="1250"/>
      <c r="K818" s="1250"/>
      <c r="L818" s="1250"/>
      <c r="M818" s="1250"/>
      <c r="N818" s="1250"/>
      <c r="O818" s="1250"/>
      <c r="P818" s="1250"/>
      <c r="Q818" s="1250"/>
      <c r="R818" s="1250"/>
      <c r="S818" s="1250"/>
      <c r="T818" s="1250"/>
      <c r="U818" s="1250"/>
      <c r="V818" s="1250"/>
      <c r="W818" s="1250"/>
      <c r="X818" s="1250"/>
      <c r="Y818" s="1250"/>
      <c r="Z818" s="1250"/>
      <c r="AA818" s="1250"/>
      <c r="AB818" s="1250"/>
      <c r="AC818" s="1250"/>
      <c r="AD818" s="1250"/>
      <c r="AE818" s="1250"/>
      <c r="AF818" s="1250"/>
      <c r="AG818" s="1250"/>
      <c r="AH818" s="1250"/>
      <c r="AI818" s="1250"/>
      <c r="AJ818" s="1250"/>
      <c r="AK818" s="1250"/>
      <c r="AL818" s="1250"/>
      <c r="AM818" s="1250"/>
      <c r="AN818" s="1250"/>
      <c r="AO818" s="1250"/>
      <c r="AP818" s="1250"/>
      <c r="AQ818" s="1250"/>
      <c r="AR818" s="1236"/>
      <c r="AS818" s="1239"/>
      <c r="AT818" s="1239"/>
      <c r="AU818" s="1236"/>
      <c r="AV818" s="1236"/>
      <c r="AW818" s="1236"/>
      <c r="AX818" s="1236"/>
      <c r="AY818" s="1236"/>
      <c r="AZ818" s="1236"/>
      <c r="BA818" s="1236"/>
      <c r="BB818" s="1236"/>
      <c r="BC818" s="1236"/>
      <c r="BD818" s="1236"/>
      <c r="BE818" s="1236"/>
    </row>
    <row r="819" spans="1:64" x14ac:dyDescent="0.2">
      <c r="B819" s="123"/>
      <c r="C819" s="124" t="s">
        <v>838</v>
      </c>
      <c r="D819" s="1488"/>
      <c r="E819" s="1488"/>
      <c r="F819" s="1488"/>
      <c r="G819" s="1488"/>
      <c r="H819" s="1488"/>
      <c r="I819" s="1488"/>
      <c r="J819" s="1488"/>
      <c r="K819" s="1488"/>
      <c r="L819" s="1488"/>
      <c r="M819" s="1488"/>
      <c r="N819" s="1488"/>
      <c r="O819" s="1488"/>
      <c r="P819" s="1488"/>
      <c r="Q819" s="1488"/>
      <c r="R819" s="1488"/>
      <c r="S819" s="1488"/>
      <c r="T819" s="1488"/>
      <c r="U819" s="1488"/>
      <c r="V819" s="1488"/>
      <c r="W819" s="1488"/>
      <c r="X819" s="1488"/>
      <c r="Y819" s="1488"/>
      <c r="Z819" s="1488"/>
      <c r="AA819" s="1488"/>
      <c r="AB819" s="1488"/>
      <c r="AC819" s="1488"/>
      <c r="AD819" s="1488"/>
      <c r="AE819" s="1488"/>
      <c r="AF819" s="1488"/>
      <c r="AG819" s="1488"/>
      <c r="AH819" s="1488"/>
      <c r="AI819" s="1488"/>
      <c r="AJ819" s="1488"/>
      <c r="AK819" s="1488"/>
      <c r="AL819" s="1488"/>
      <c r="AM819" s="1488"/>
      <c r="AN819" s="1488"/>
      <c r="AO819" s="1488"/>
      <c r="AP819" s="1488"/>
      <c r="AQ819" s="1488"/>
      <c r="AR819" s="1236"/>
      <c r="AS819" s="1239"/>
      <c r="AT819" s="1331"/>
      <c r="AU819" s="1488"/>
      <c r="AV819" s="1488"/>
      <c r="AW819" s="1488"/>
      <c r="AX819" s="1488"/>
      <c r="AY819" s="1488"/>
      <c r="AZ819" s="1488"/>
      <c r="BA819" s="1488"/>
      <c r="BB819" s="1488"/>
      <c r="BC819" s="1488"/>
      <c r="BD819" s="1488"/>
      <c r="BE819" s="1488"/>
    </row>
    <row r="820" spans="1:64" x14ac:dyDescent="0.2">
      <c r="B820" s="15"/>
      <c r="C820" s="124" t="s">
        <v>409</v>
      </c>
      <c r="D820" s="1323"/>
      <c r="E820" s="1323"/>
      <c r="F820" s="1323"/>
      <c r="G820" s="1323"/>
      <c r="H820" s="1323"/>
      <c r="I820" s="1323"/>
      <c r="J820" s="1323"/>
      <c r="K820" s="1323"/>
      <c r="L820" s="1323"/>
      <c r="M820" s="1323"/>
      <c r="N820" s="1323"/>
      <c r="O820" s="1323"/>
      <c r="P820" s="1323"/>
      <c r="Q820" s="1323"/>
      <c r="R820" s="1323"/>
      <c r="S820" s="1323"/>
      <c r="T820" s="1323"/>
      <c r="U820" s="1323"/>
      <c r="V820" s="1323"/>
      <c r="W820" s="1323"/>
      <c r="X820" s="1323"/>
      <c r="Y820" s="1323"/>
      <c r="Z820" s="1323"/>
      <c r="AA820" s="1323"/>
      <c r="AB820" s="1323"/>
      <c r="AC820" s="1323"/>
      <c r="AD820" s="1323"/>
      <c r="AE820" s="1323"/>
      <c r="AF820" s="1323"/>
      <c r="AG820" s="1323"/>
      <c r="AH820" s="1323"/>
      <c r="AI820" s="1323"/>
      <c r="AJ820" s="1323"/>
      <c r="AK820" s="1323"/>
      <c r="AL820" s="1323"/>
      <c r="AM820" s="1323"/>
      <c r="AN820" s="1323"/>
      <c r="AO820" s="1323"/>
      <c r="AP820" s="1323"/>
      <c r="AQ820" s="1323"/>
      <c r="AR820" s="1236"/>
      <c r="AS820" s="1250"/>
      <c r="AT820" s="1331"/>
      <c r="AU820" s="1323"/>
      <c r="AV820" s="1323"/>
      <c r="AW820" s="1323"/>
      <c r="AX820" s="1323"/>
      <c r="AY820" s="1323"/>
      <c r="AZ820" s="1323"/>
      <c r="BA820" s="1323"/>
      <c r="BB820" s="1323"/>
      <c r="BC820" s="1323"/>
      <c r="BD820" s="1323"/>
      <c r="BE820" s="1323"/>
    </row>
    <row r="821" spans="1:64" x14ac:dyDescent="0.2">
      <c r="B821" s="15"/>
      <c r="C821" s="124" t="s">
        <v>252</v>
      </c>
      <c r="D821" s="1488"/>
      <c r="E821" s="1488"/>
      <c r="F821" s="1488"/>
      <c r="G821" s="1488"/>
      <c r="H821" s="1488"/>
      <c r="I821" s="1488"/>
      <c r="J821" s="1488"/>
      <c r="K821" s="1488"/>
      <c r="L821" s="1488"/>
      <c r="M821" s="1488"/>
      <c r="N821" s="1488"/>
      <c r="O821" s="1488"/>
      <c r="P821" s="1488"/>
      <c r="Q821" s="1488"/>
      <c r="R821" s="1488"/>
      <c r="S821" s="1488"/>
      <c r="T821" s="1488"/>
      <c r="U821" s="1488"/>
      <c r="V821" s="1488"/>
      <c r="W821" s="1488"/>
      <c r="X821" s="1488"/>
      <c r="Y821" s="1488"/>
      <c r="Z821" s="1488"/>
      <c r="AA821" s="1488"/>
      <c r="AB821" s="1488"/>
      <c r="AC821" s="1488"/>
      <c r="AD821" s="1488"/>
      <c r="AE821" s="1488"/>
      <c r="AF821" s="1488"/>
      <c r="AG821" s="1488"/>
      <c r="AH821" s="1488"/>
      <c r="AI821" s="1488"/>
      <c r="AJ821" s="1488"/>
      <c r="AK821" s="1488"/>
      <c r="AL821" s="1488"/>
      <c r="AM821" s="1488"/>
      <c r="AN821" s="1488"/>
      <c r="AO821" s="1488"/>
      <c r="AP821" s="1488"/>
      <c r="AQ821" s="1488"/>
      <c r="AR821" s="1236"/>
      <c r="AS821" s="1250"/>
      <c r="AT821" s="1331"/>
      <c r="AU821" s="1488"/>
      <c r="AV821" s="1488"/>
      <c r="AW821" s="1488"/>
      <c r="AX821" s="1488"/>
      <c r="AY821" s="1488"/>
      <c r="AZ821" s="1488"/>
      <c r="BA821" s="1488"/>
      <c r="BB821" s="1488"/>
      <c r="BC821" s="1488"/>
      <c r="BD821" s="1488"/>
      <c r="BE821" s="1488"/>
    </row>
    <row r="822" spans="1:64" x14ac:dyDescent="0.2">
      <c r="B822" s="316"/>
      <c r="C822" s="427"/>
      <c r="D822" s="1250"/>
      <c r="E822" s="1250"/>
      <c r="F822" s="1250"/>
      <c r="G822" s="1250"/>
      <c r="H822" s="1250"/>
      <c r="I822" s="1250"/>
      <c r="J822" s="1250"/>
      <c r="K822" s="1250"/>
      <c r="L822" s="1250"/>
      <c r="M822" s="1250"/>
      <c r="N822" s="1250"/>
      <c r="O822" s="1250"/>
      <c r="P822" s="1250"/>
      <c r="Q822" s="1250"/>
      <c r="R822" s="1250"/>
      <c r="S822" s="1250"/>
      <c r="T822" s="1250"/>
      <c r="U822" s="1250"/>
      <c r="V822" s="1250"/>
      <c r="W822" s="1250"/>
      <c r="X822" s="1236"/>
      <c r="Y822" s="1236"/>
      <c r="Z822" s="1236"/>
      <c r="AA822" s="1236"/>
      <c r="AB822" s="1236"/>
      <c r="AC822" s="1236"/>
      <c r="AD822" s="1236"/>
      <c r="AE822" s="1236"/>
      <c r="AF822" s="1236"/>
      <c r="AG822" s="1236"/>
      <c r="AH822" s="1236"/>
      <c r="AI822" s="1236"/>
      <c r="AJ822" s="1236"/>
      <c r="AK822" s="1236"/>
      <c r="AL822" s="1236"/>
      <c r="AM822" s="1236"/>
      <c r="AN822" s="1236"/>
      <c r="AO822" s="1236"/>
      <c r="AP822" s="1236"/>
      <c r="AQ822" s="1236"/>
      <c r="AR822" s="1236"/>
      <c r="AS822" s="1239"/>
      <c r="AT822" s="1239"/>
      <c r="AU822" s="1236"/>
      <c r="AV822" s="1236"/>
      <c r="AW822" s="1236"/>
      <c r="AX822" s="1236"/>
      <c r="AY822" s="1236"/>
      <c r="AZ822" s="1236"/>
      <c r="BA822" s="1236"/>
      <c r="BB822" s="1236"/>
      <c r="BC822" s="1236"/>
      <c r="BD822" s="1236"/>
      <c r="BE822" s="1236"/>
    </row>
    <row r="823" spans="1:64" x14ac:dyDescent="0.2">
      <c r="A823" s="411" t="s">
        <v>194</v>
      </c>
      <c r="B823" s="13" t="s">
        <v>347</v>
      </c>
      <c r="C823" s="13"/>
      <c r="D823" s="1369"/>
      <c r="E823" s="1369"/>
      <c r="F823" s="1369"/>
      <c r="G823" s="1369"/>
      <c r="H823" s="1369"/>
      <c r="I823" s="1369"/>
      <c r="J823" s="1369"/>
      <c r="K823" s="1369"/>
      <c r="L823" s="1369"/>
      <c r="M823" s="1369"/>
      <c r="N823" s="1369"/>
      <c r="O823" s="1369"/>
      <c r="P823" s="1369"/>
      <c r="Q823" s="1369"/>
      <c r="R823" s="1369"/>
      <c r="S823" s="1369"/>
      <c r="T823" s="1369"/>
      <c r="U823" s="1369"/>
      <c r="V823" s="1369"/>
      <c r="W823" s="1369"/>
      <c r="X823" s="1489"/>
      <c r="Y823" s="1489"/>
      <c r="Z823" s="1489"/>
      <c r="AA823" s="1489"/>
      <c r="AB823" s="1489"/>
      <c r="AC823" s="1489"/>
      <c r="AD823" s="1489"/>
      <c r="AE823" s="1489"/>
      <c r="AF823" s="1489"/>
      <c r="AG823" s="1489"/>
      <c r="AH823" s="1489"/>
      <c r="AI823" s="1489"/>
      <c r="AJ823" s="1489"/>
      <c r="AK823" s="1489"/>
      <c r="AL823" s="1489"/>
      <c r="AM823" s="1489"/>
      <c r="AN823" s="1489"/>
      <c r="AO823" s="1489"/>
      <c r="AP823" s="1489"/>
      <c r="AQ823" s="1489"/>
      <c r="AR823" s="1236"/>
      <c r="AS823" s="1370"/>
      <c r="AT823" s="1370"/>
      <c r="AU823" s="1369"/>
      <c r="AV823" s="1369"/>
      <c r="AW823" s="1369"/>
      <c r="AX823" s="1369"/>
      <c r="AY823" s="1369"/>
      <c r="AZ823" s="1369"/>
      <c r="BA823" s="1369"/>
      <c r="BB823" s="1369"/>
      <c r="BC823" s="1369"/>
      <c r="BD823" s="1369"/>
      <c r="BE823" s="1369"/>
      <c r="BF823" s="15"/>
      <c r="BG823" s="15"/>
      <c r="BH823" s="15"/>
      <c r="BI823" s="15"/>
      <c r="BJ823" s="15"/>
      <c r="BK823" s="15"/>
      <c r="BL823" s="15"/>
    </row>
    <row r="824" spans="1:64" x14ac:dyDescent="0.2">
      <c r="D824" s="407"/>
      <c r="E824" s="407"/>
      <c r="F824" s="407"/>
      <c r="G824" s="407"/>
      <c r="H824" s="407"/>
      <c r="I824" s="407"/>
      <c r="J824" s="407"/>
      <c r="K824" s="407"/>
      <c r="L824" s="407"/>
      <c r="M824" s="407"/>
      <c r="N824" s="407"/>
      <c r="O824" s="407"/>
      <c r="P824" s="407"/>
      <c r="Q824" s="407"/>
      <c r="R824" s="407"/>
      <c r="S824" s="407"/>
      <c r="T824" s="407"/>
      <c r="U824" s="407"/>
      <c r="V824" s="407"/>
      <c r="W824" s="407"/>
      <c r="X824" s="407"/>
      <c r="Y824" s="407"/>
      <c r="Z824" s="407"/>
      <c r="AA824" s="407"/>
      <c r="AB824" s="407"/>
      <c r="AC824" s="407"/>
      <c r="AD824" s="407"/>
      <c r="AE824" s="407"/>
      <c r="AF824" s="407"/>
      <c r="AG824" s="407"/>
      <c r="AH824" s="407"/>
      <c r="AI824" s="407"/>
      <c r="AJ824" s="407"/>
      <c r="AK824" s="407"/>
      <c r="AL824" s="407"/>
      <c r="AM824" s="407"/>
      <c r="AN824" s="407"/>
      <c r="AO824" s="407"/>
      <c r="AP824" s="407"/>
      <c r="AQ824" s="407"/>
      <c r="AR824" s="1236"/>
      <c r="AS824" s="1236"/>
      <c r="AT824" s="1236"/>
      <c r="AU824" s="1236"/>
      <c r="AV824" s="1236"/>
      <c r="AW824" s="1236"/>
      <c r="AX824" s="1236"/>
      <c r="AY824" s="1236"/>
      <c r="AZ824" s="1236"/>
      <c r="BA824" s="1236"/>
      <c r="BB824" s="1236"/>
      <c r="BC824" s="1236"/>
      <c r="BD824" s="1236"/>
      <c r="BE824" s="1236"/>
    </row>
    <row r="825" spans="1:64" x14ac:dyDescent="0.2">
      <c r="B825" s="16"/>
      <c r="C825" s="16"/>
      <c r="D825" s="1250"/>
      <c r="E825" s="1250"/>
      <c r="F825" s="1250"/>
      <c r="G825" s="1250"/>
      <c r="H825" s="1250"/>
      <c r="I825" s="1250"/>
      <c r="J825" s="1250"/>
      <c r="K825" s="1250"/>
      <c r="L825" s="1250"/>
      <c r="M825" s="1250"/>
      <c r="N825" s="1250"/>
      <c r="O825" s="1250"/>
      <c r="P825" s="1250"/>
      <c r="Q825" s="1250"/>
      <c r="R825" s="1250"/>
      <c r="S825" s="1250"/>
      <c r="T825" s="1250"/>
      <c r="U825" s="1250"/>
      <c r="V825" s="1250"/>
      <c r="W825" s="1250"/>
      <c r="X825" s="1236"/>
      <c r="Y825" s="1236"/>
      <c r="Z825" s="1236"/>
      <c r="AA825" s="1236"/>
      <c r="AB825" s="1236"/>
      <c r="AC825" s="1236"/>
      <c r="AD825" s="1236"/>
      <c r="AE825" s="1236"/>
      <c r="AF825" s="1236"/>
      <c r="AG825" s="1236"/>
      <c r="AH825" s="1236"/>
      <c r="AI825" s="1236"/>
      <c r="AJ825" s="1236"/>
      <c r="AK825" s="1236"/>
      <c r="AL825" s="1236"/>
      <c r="AM825" s="1236"/>
      <c r="AN825" s="1236"/>
      <c r="AO825" s="1236"/>
      <c r="AP825" s="1236"/>
      <c r="AQ825" s="1236"/>
      <c r="AR825" s="1236"/>
      <c r="AS825" s="1371"/>
      <c r="AT825" s="1371"/>
      <c r="AU825" s="1236"/>
      <c r="AV825" s="1236"/>
      <c r="AW825" s="1236"/>
      <c r="AX825" s="1236"/>
      <c r="AY825" s="1236"/>
      <c r="AZ825" s="1236"/>
      <c r="BA825" s="1236"/>
      <c r="BB825" s="1236"/>
      <c r="BC825" s="1236"/>
      <c r="BD825" s="1236"/>
      <c r="BE825" s="1236"/>
    </row>
    <row r="826" spans="1:64" s="369" customFormat="1" x14ac:dyDescent="0.2">
      <c r="A826" s="411"/>
      <c r="B826" s="212" t="s">
        <v>26</v>
      </c>
      <c r="D826" s="1263"/>
      <c r="E826" s="1311"/>
      <c r="F826" s="1311"/>
      <c r="G826" s="1311"/>
      <c r="H826" s="1311"/>
      <c r="I826" s="1311"/>
      <c r="J826" s="1410"/>
      <c r="K826" s="1410"/>
      <c r="L826" s="1410"/>
      <c r="M826" s="1410"/>
      <c r="N826" s="1410"/>
      <c r="O826" s="1410"/>
      <c r="P826" s="1410"/>
      <c r="Q826" s="1410"/>
      <c r="R826" s="1410"/>
      <c r="S826" s="1410"/>
      <c r="T826" s="1410"/>
      <c r="U826" s="1410"/>
      <c r="V826" s="1410"/>
      <c r="W826" s="1410"/>
      <c r="X826" s="1410"/>
      <c r="Y826" s="1410"/>
      <c r="Z826" s="1311"/>
      <c r="AA826" s="1311"/>
      <c r="AB826" s="1311"/>
      <c r="AC826" s="1263"/>
      <c r="AD826" s="1263"/>
      <c r="AE826" s="1263"/>
      <c r="AF826" s="1263"/>
      <c r="AG826" s="1263"/>
      <c r="AH826" s="1263"/>
      <c r="AI826" s="1410"/>
      <c r="AJ826" s="1410"/>
      <c r="AK826" s="1410"/>
      <c r="AL826" s="1410"/>
      <c r="AM826" s="1410"/>
      <c r="AN826" s="1410"/>
      <c r="AO826" s="1410"/>
      <c r="AP826" s="1410"/>
      <c r="AQ826" s="1410"/>
      <c r="AR826" s="1236"/>
      <c r="AS826" s="1490"/>
      <c r="AT826" s="1263"/>
      <c r="AU826" s="1410"/>
      <c r="AV826" s="1410"/>
      <c r="AW826" s="1410"/>
      <c r="AX826" s="1410"/>
      <c r="AY826" s="1410"/>
      <c r="AZ826" s="1410"/>
      <c r="BA826" s="1263"/>
      <c r="BB826" s="1263"/>
      <c r="BC826" s="1263"/>
      <c r="BD826" s="1263"/>
      <c r="BE826" s="1263"/>
    </row>
    <row r="827" spans="1:64" s="369" customFormat="1" x14ac:dyDescent="0.2">
      <c r="A827" s="411"/>
      <c r="B827" s="212"/>
      <c r="D827" s="1263"/>
      <c r="E827" s="1311"/>
      <c r="F827" s="1311"/>
      <c r="G827" s="1311"/>
      <c r="H827" s="1311"/>
      <c r="I827" s="1311"/>
      <c r="J827" s="1410"/>
      <c r="K827" s="1410"/>
      <c r="L827" s="1410"/>
      <c r="M827" s="1410"/>
      <c r="N827" s="1410"/>
      <c r="O827" s="1410"/>
      <c r="P827" s="1410"/>
      <c r="Q827" s="1410"/>
      <c r="R827" s="1410"/>
      <c r="S827" s="1410"/>
      <c r="T827" s="1410"/>
      <c r="U827" s="1410"/>
      <c r="V827" s="1410"/>
      <c r="W827" s="1410"/>
      <c r="X827" s="1410"/>
      <c r="Y827" s="1410"/>
      <c r="Z827" s="1311"/>
      <c r="AA827" s="1311"/>
      <c r="AB827" s="1311"/>
      <c r="AC827" s="1263"/>
      <c r="AD827" s="1263"/>
      <c r="AE827" s="1263"/>
      <c r="AF827" s="1263"/>
      <c r="AG827" s="1263"/>
      <c r="AH827" s="1263"/>
      <c r="AI827" s="1410"/>
      <c r="AJ827" s="1410"/>
      <c r="AK827" s="1410"/>
      <c r="AL827" s="1410"/>
      <c r="AM827" s="1410"/>
      <c r="AN827" s="1410"/>
      <c r="AO827" s="1410"/>
      <c r="AP827" s="1410"/>
      <c r="AQ827" s="1410"/>
      <c r="AR827" s="1236"/>
      <c r="AS827" s="1490"/>
      <c r="AT827" s="1263"/>
      <c r="AU827" s="1410"/>
      <c r="AV827" s="1410"/>
      <c r="AW827" s="1410"/>
      <c r="AX827" s="1410"/>
      <c r="AY827" s="1410"/>
      <c r="AZ827" s="1410"/>
      <c r="BA827" s="1263"/>
      <c r="BB827" s="1263"/>
      <c r="BC827" s="1263"/>
      <c r="BD827" s="1263"/>
      <c r="BE827" s="1263"/>
    </row>
    <row r="828" spans="1:64" s="369" customFormat="1" x14ac:dyDescent="0.2">
      <c r="A828" s="411"/>
      <c r="B828" s="634" t="s">
        <v>348</v>
      </c>
      <c r="C828" s="345"/>
      <c r="D828" s="1240"/>
      <c r="E828" s="1240"/>
      <c r="F828" s="1240"/>
      <c r="G828" s="1240"/>
      <c r="H828" s="1240">
        <f>IFERROR(Model!H828/Model!D828-1,"NA")</f>
        <v>0.17524995283908695</v>
      </c>
      <c r="I828" s="1240">
        <f>IFERROR(Model!I828/Model!E828-1,"NA")</f>
        <v>-8.1999587349308789E-2</v>
      </c>
      <c r="J828" s="1240">
        <f>IFERROR(Model!J828/Model!F828-1,"NA")</f>
        <v>-2.9347375894917427E-2</v>
      </c>
      <c r="K828" s="1240">
        <f>IFERROR(Model!K828/Model!G828-1,"NA")</f>
        <v>-0.1801772144953776</v>
      </c>
      <c r="L828" s="1240">
        <f>IFERROR(Model!L828/Model!H828-1,"NA")</f>
        <v>7.1589085072231162E-2</v>
      </c>
      <c r="M828" s="1240">
        <f>IFERROR(Model!M828/Model!I828-1,"NA")</f>
        <v>0.13238079948627379</v>
      </c>
      <c r="N828" s="1240">
        <f>IFERROR(Model!N828/Model!J828-1,"NA")</f>
        <v>9.6494971045413047E-2</v>
      </c>
      <c r="O828" s="1240">
        <f>IFERROR(Model!O828/Model!K828-1,"NA")</f>
        <v>7.4385143048351976E-2</v>
      </c>
      <c r="P828" s="1240">
        <f>IFERROR(Model!P828/Model!L828-1,"NA")</f>
        <v>-0.3445176752546435</v>
      </c>
      <c r="Q828" s="1240">
        <f>IFERROR(Model!Q828/Model!M828-1,"NA")</f>
        <v>-0.33614041057048882</v>
      </c>
      <c r="R828" s="1240">
        <f>IFERROR(Model!R828/Model!N828-1,"NA")</f>
        <v>-0.39609739826551038</v>
      </c>
      <c r="S828" s="1240">
        <f>IFERROR(Model!S828/Model!O828-1,"NA")</f>
        <v>-0.34907188239691045</v>
      </c>
      <c r="T828" s="1240">
        <f>IFERROR(Model!T828/Model!P828-1,"NA")</f>
        <v>1.6453382084095081E-2</v>
      </c>
      <c r="U828" s="1240">
        <f>IFERROR(Model!U828/Model!Q828-1,"NA")</f>
        <v>-5.4371503011147682E-2</v>
      </c>
      <c r="V828" s="1240">
        <f>IFERROR(Model!V828/Model!R828-1,"NA")</f>
        <v>7.7925066740311077E-2</v>
      </c>
      <c r="W828" s="1240">
        <f>IFERROR(Model!W828/Model!S828-1,"NA")</f>
        <v>0.10253588516746404</v>
      </c>
      <c r="X828" s="1240">
        <f>IFERROR(Model!X828/Model!T828-1,"NA")</f>
        <v>1.4388489208632116E-3</v>
      </c>
      <c r="Y828" s="1240">
        <f>IFERROR(Model!Y828/Model!U828-1,"NA")</f>
        <v>-5.4200542005420016E-2</v>
      </c>
      <c r="Z828" s="1240">
        <f>IFERROR(Model!Z828/Model!V828-1,"NA")</f>
        <v>-3.4800802766984051E-2</v>
      </c>
      <c r="AA828" s="1240">
        <f>IFERROR(Model!AA828/Model!W828-1,"NA")</f>
        <v>3.1766697044655734E-2</v>
      </c>
      <c r="AB828" s="1240">
        <f>IFERROR(Model!AB828/Model!X828-1,"NA")</f>
        <v>-1.894755747126442E-2</v>
      </c>
      <c r="AC828" s="1263">
        <f>IFERROR(Model!AC828/Model!Y828-1,"NA")</f>
        <v>4.3457497612225504E-2</v>
      </c>
      <c r="AD828" s="1263">
        <f>IFERROR(Model!AD828/Model!Z828-1,"NA")</f>
        <v>-3.3356927977349127E-2</v>
      </c>
      <c r="AE828" s="1263">
        <f>IFERROR(Model!AE828/Model!AA828-1,"NA")</f>
        <v>-8.09674027339643E-2</v>
      </c>
      <c r="AF828" s="1263">
        <f>IFERROR(Model!AF828/Model!AB828-1,"NA")</f>
        <v>4.9999999999998934E-3</v>
      </c>
      <c r="AG828" s="1263">
        <f>IFERROR(Model!AG828/Model!AC828-1,"NA")</f>
        <v>1.0024999999999951E-2</v>
      </c>
      <c r="AH828" s="1263">
        <f>IFERROR(Model!AH828/Model!AD828-1,"NA")</f>
        <v>1.5075124999999856E-2</v>
      </c>
      <c r="AI828" s="1263">
        <f>IFERROR(Model!AI828/Model!AE828-1,"NA")</f>
        <v>2.015050062499979E-2</v>
      </c>
      <c r="AJ828" s="1263"/>
      <c r="AK828" s="1263"/>
      <c r="AL828" s="1263"/>
      <c r="AM828" s="1263"/>
      <c r="AN828" s="1263"/>
      <c r="AO828" s="1263"/>
      <c r="AP828" s="1263"/>
      <c r="AQ828" s="1263"/>
      <c r="AR828" s="1236"/>
      <c r="AS828" s="1491"/>
      <c r="AT828" s="1409"/>
      <c r="AU828" s="1263"/>
      <c r="AV828" s="1263">
        <f>IFERROR(Model!AV828/Model!AU828-1,"NA")</f>
        <v>-0.1801772144953776</v>
      </c>
      <c r="AW828" s="1263">
        <f>IFERROR(Model!AW828/Model!AV828-1,"NA")</f>
        <v>7.4385143048351976E-2</v>
      </c>
      <c r="AX828" s="1263">
        <f>IFERROR(Model!AX828/Model!AW828-1,"NA")</f>
        <v>-0.34907188239691045</v>
      </c>
      <c r="AY828" s="1263">
        <f>IFERROR(Model!AY828/Model!AX828-1,"NA")</f>
        <v>0.10253588516746404</v>
      </c>
      <c r="AZ828" s="1263">
        <f>IFERROR(Model!AZ828/Model!AY828-1,"NA")</f>
        <v>3.1766697044655734E-2</v>
      </c>
      <c r="BA828" s="1263">
        <f>IFERROR(Model!BA828/Model!AZ828-1,"NA")</f>
        <v>-8.09674027339643E-2</v>
      </c>
      <c r="BB828" s="1263">
        <f>IFERROR(Model!BB828/Model!BA828-1,"NA")</f>
        <v>2.015050062499979E-2</v>
      </c>
      <c r="BC828" s="1263">
        <f>IFERROR(Model!BC828/Model!BB828-1,"NA")</f>
        <v>1.0000000000000009E-2</v>
      </c>
      <c r="BD828" s="1263">
        <f>IFERROR(Model!BD828/Model!BC828-1,"NA")</f>
        <v>1.9999999999999796E-2</v>
      </c>
      <c r="BE828" s="1263">
        <f>IFERROR(Model!BE828/Model!BD828-1,"NA")</f>
        <v>1.9999999999999796E-2</v>
      </c>
    </row>
    <row r="829" spans="1:64" s="369" customFormat="1" x14ac:dyDescent="0.2">
      <c r="A829" s="411"/>
      <c r="B829" s="634" t="s">
        <v>49</v>
      </c>
      <c r="C829" s="636"/>
      <c r="D829" s="1240"/>
      <c r="E829" s="1240"/>
      <c r="F829" s="1240"/>
      <c r="G829" s="1240"/>
      <c r="H829" s="1240">
        <f>IFERROR(Model!H829/Model!D829-1,"NA")</f>
        <v>-0.22137657720346404</v>
      </c>
      <c r="I829" s="1240">
        <f>IFERROR(Model!I829/Model!E829-1,"NA")</f>
        <v>1.9180414565248327E-2</v>
      </c>
      <c r="J829" s="1240">
        <f>IFERROR(Model!J829/Model!F829-1,"NA")</f>
        <v>1.5473921942268376E-2</v>
      </c>
      <c r="K829" s="1240">
        <f>IFERROR(Model!K829/Model!G829-1,"NA")</f>
        <v>0.65473789335578747</v>
      </c>
      <c r="L829" s="1240">
        <f>IFERROR(Model!L829/Model!H829-1,"NA")</f>
        <v>0.19404860815349068</v>
      </c>
      <c r="M829" s="1240">
        <f>IFERROR(Model!M829/Model!I829-1,"NA")</f>
        <v>-2.6647176449743126E-2</v>
      </c>
      <c r="N829" s="1240">
        <f>IFERROR(Model!N829/Model!J829-1,"NA")</f>
        <v>-0.17138405759329078</v>
      </c>
      <c r="O829" s="1240">
        <f>IFERROR(Model!O829/Model!K829-1,"NA")</f>
        <v>-0.24209934617319018</v>
      </c>
      <c r="P829" s="1240">
        <f>IFERROR(Model!P829/Model!L829-1,"NA")</f>
        <v>-0.21707402642965734</v>
      </c>
      <c r="Q829" s="1240">
        <f>IFERROR(Model!Q829/Model!M829-1,"NA")</f>
        <v>-0.1503864982414167</v>
      </c>
      <c r="R829" s="1240">
        <f>IFERROR(Model!R829/Model!N829-1,"NA")</f>
        <v>-3.587804400704564E-2</v>
      </c>
      <c r="S829" s="1240">
        <f>IFERROR(Model!S829/Model!O829-1,"NA")</f>
        <v>-0.12406998259023028</v>
      </c>
      <c r="T829" s="1240">
        <f>IFERROR(Model!T829/Model!P829-1,"NA")</f>
        <v>1.6079643902730423E-2</v>
      </c>
      <c r="U829" s="1240">
        <f>IFERROR(Model!U829/Model!Q829-1,"NA")</f>
        <v>-2.0599150629376006E-2</v>
      </c>
      <c r="V829" s="1240">
        <f>IFERROR(Model!V829/Model!R829-1,"NA")</f>
        <v>-3.8887881973393212E-2</v>
      </c>
      <c r="W829" s="1240">
        <f>IFERROR(Model!W829/Model!S829-1,"NA")</f>
        <v>0.22508623225219915</v>
      </c>
      <c r="X829" s="1240">
        <f>IFERROR(Model!X829/Model!T829-1,"NA")</f>
        <v>0.15967776315886195</v>
      </c>
      <c r="Y829" s="1240">
        <f>IFERROR(Model!Y829/Model!U829-1,"NA")</f>
        <v>0.29024243513317138</v>
      </c>
      <c r="Z829" s="1240">
        <f>IFERROR(Model!Z829/Model!V829-1,"NA")</f>
        <v>0.23333911639800564</v>
      </c>
      <c r="AA829" s="1240">
        <f>IFERROR(Model!AA829/Model!W829-1,"NA")</f>
        <v>0.1403409214920226</v>
      </c>
      <c r="AB829" s="1240">
        <f>IFERROR(Model!AB829/Model!X829-1,"NA")</f>
        <v>0.14629245815190184</v>
      </c>
      <c r="AC829" s="1263">
        <f>IFERROR(Model!AC829/Model!Y829-1,"NA")</f>
        <v>9.514236233060025E-2</v>
      </c>
      <c r="AD829" s="1263">
        <f>IFERROR(Model!AD829/Model!Z829-1,"NA")</f>
        <v>0.10610684688541627</v>
      </c>
      <c r="AE829" s="1263">
        <f>IFERROR(Model!AE829/Model!AA829-1,"NA")</f>
        <v>0.15383977389451386</v>
      </c>
      <c r="AF829" s="1263">
        <f>IFERROR(Model!AF829/Model!AB829-1,"NA")</f>
        <v>4.9999999999998934E-3</v>
      </c>
      <c r="AG829" s="1263">
        <f>IFERROR(Model!AG829/Model!AC829-1,"NA")</f>
        <v>1.0024999999999951E-2</v>
      </c>
      <c r="AH829" s="1263">
        <f>IFERROR(Model!AH829/Model!AD829-1,"NA")</f>
        <v>1.5075125000000078E-2</v>
      </c>
      <c r="AI829" s="1263">
        <f>IFERROR(Model!AI829/Model!AE829-1,"NA")</f>
        <v>2.015050062499979E-2</v>
      </c>
      <c r="AJ829" s="1263"/>
      <c r="AK829" s="1263"/>
      <c r="AL829" s="1263"/>
      <c r="AM829" s="1263"/>
      <c r="AN829" s="1263"/>
      <c r="AO829" s="1263"/>
      <c r="AP829" s="1263"/>
      <c r="AQ829" s="1263"/>
      <c r="AR829" s="1236"/>
      <c r="AS829" s="1491"/>
      <c r="AT829" s="1263"/>
      <c r="AU829" s="1263"/>
      <c r="AV829" s="1263">
        <f>IFERROR(Model!AV829/Model!AU829-1,"NA")</f>
        <v>0.65473789335578747</v>
      </c>
      <c r="AW829" s="1263">
        <f>IFERROR(Model!AW829/Model!AV829-1,"NA")</f>
        <v>-0.24209934617319018</v>
      </c>
      <c r="AX829" s="1263">
        <f>IFERROR(Model!AX829/Model!AW829-1,"NA")</f>
        <v>-0.12406998259023028</v>
      </c>
      <c r="AY829" s="1263">
        <f>IFERROR(Model!AY829/Model!AX829-1,"NA")</f>
        <v>0.22508623225219915</v>
      </c>
      <c r="AZ829" s="1263">
        <f>IFERROR(Model!AZ829/Model!AY829-1,"NA")</f>
        <v>0.1403409214920226</v>
      </c>
      <c r="BA829" s="1263">
        <f>IFERROR(Model!BA829/Model!AZ829-1,"NA")</f>
        <v>0.15383977389451386</v>
      </c>
      <c r="BB829" s="1263">
        <f>IFERROR(Model!BB829/Model!BA829-1,"NA")</f>
        <v>2.015050062499979E-2</v>
      </c>
      <c r="BC829" s="1263">
        <f>IFERROR(Model!BC829/Model!BB829-1,"NA")</f>
        <v>9.9999999999997868E-3</v>
      </c>
      <c r="BD829" s="1263">
        <f>IFERROR(Model!BD829/Model!BC829-1,"NA")</f>
        <v>2.0000000000000018E-2</v>
      </c>
      <c r="BE829" s="1263">
        <f>IFERROR(Model!BE829/Model!BD829-1,"NA")</f>
        <v>1.9999999999999796E-2</v>
      </c>
    </row>
    <row r="830" spans="1:64" s="369" customFormat="1" x14ac:dyDescent="0.2">
      <c r="A830" s="411"/>
      <c r="B830" s="634" t="s">
        <v>28</v>
      </c>
      <c r="C830" s="345"/>
      <c r="D830" s="1267"/>
      <c r="E830" s="1267"/>
      <c r="F830" s="1267"/>
      <c r="G830" s="1267"/>
      <c r="H830" s="1267"/>
      <c r="I830" s="1267"/>
      <c r="J830" s="1267"/>
      <c r="K830" s="1267"/>
      <c r="L830" s="1267"/>
      <c r="M830" s="1267"/>
      <c r="N830" s="1267"/>
      <c r="O830" s="1267"/>
      <c r="P830" s="1267"/>
      <c r="Q830" s="1267"/>
      <c r="R830" s="1267"/>
      <c r="S830" s="1267"/>
      <c r="T830" s="1267"/>
      <c r="U830" s="1267"/>
      <c r="V830" s="1267"/>
      <c r="W830" s="1267"/>
      <c r="X830" s="1267"/>
      <c r="Y830" s="1267"/>
      <c r="Z830" s="1267"/>
      <c r="AA830" s="1267"/>
      <c r="AB830" s="1267"/>
      <c r="AC830" s="1263"/>
      <c r="AD830" s="1263"/>
      <c r="AE830" s="1263"/>
      <c r="AF830" s="1263"/>
      <c r="AG830" s="1263"/>
      <c r="AH830" s="1263"/>
      <c r="AI830" s="1263"/>
      <c r="AJ830" s="1263"/>
      <c r="AK830" s="1263"/>
      <c r="AL830" s="1263"/>
      <c r="AM830" s="1263"/>
      <c r="AN830" s="1263"/>
      <c r="AO830" s="1263"/>
      <c r="AP830" s="1263"/>
      <c r="AQ830" s="1263"/>
      <c r="AR830" s="1236"/>
      <c r="AS830" s="1491"/>
      <c r="AT830" s="1409"/>
      <c r="AU830" s="1410"/>
      <c r="AV830" s="1410"/>
      <c r="AW830" s="1410"/>
      <c r="AX830" s="1410"/>
      <c r="AY830" s="1410"/>
      <c r="AZ830" s="1410"/>
      <c r="BA830" s="1263"/>
      <c r="BB830" s="1263"/>
      <c r="BC830" s="1263"/>
      <c r="BD830" s="1263"/>
      <c r="BE830" s="1263"/>
    </row>
    <row r="831" spans="1:64" s="369" customFormat="1" x14ac:dyDescent="0.2">
      <c r="A831" s="411"/>
      <c r="B831" s="634"/>
      <c r="C831" s="342" t="s">
        <v>353</v>
      </c>
      <c r="D831" s="1240"/>
      <c r="E831" s="1240"/>
      <c r="F831" s="1240"/>
      <c r="G831" s="1240"/>
      <c r="H831" s="1240">
        <f>IFERROR(Model!H831/Model!D831-1,"NA")</f>
        <v>2.6483563546972899E-2</v>
      </c>
      <c r="I831" s="1240">
        <f>IFERROR(Model!I831/Model!E831-1,"NA")</f>
        <v>-1.3032246237825729E-2</v>
      </c>
      <c r="J831" s="1240">
        <f>IFERROR(Model!J831/Model!F831-1,"NA")</f>
        <v>2.8770151582780068E-2</v>
      </c>
      <c r="K831" s="1240">
        <f>IFERROR(Model!K831/Model!G831-1,"NA")</f>
        <v>-1.262425710466053E-2</v>
      </c>
      <c r="L831" s="1240">
        <f>IFERROR(Model!L831/Model!H831-1,"NA")</f>
        <v>2.5430541751610303E-2</v>
      </c>
      <c r="M831" s="1240">
        <f>IFERROR(Model!M831/Model!I831-1,"NA")</f>
        <v>4.3183209625160757E-2</v>
      </c>
      <c r="N831" s="1240">
        <f>IFERROR(Model!N831/Model!J831-1,"NA")</f>
        <v>5.5657853831516446E-2</v>
      </c>
      <c r="O831" s="1240">
        <f>IFERROR(Model!O831/Model!K831-1,"NA")</f>
        <v>3.7338168315006692E-2</v>
      </c>
      <c r="P831" s="1240">
        <f>IFERROR(Model!P831/Model!L831-1,"NA")</f>
        <v>4.1713529606350885E-3</v>
      </c>
      <c r="Q831" s="1240">
        <f>IFERROR(Model!Q831/Model!M831-1,"NA")</f>
        <v>-4.4115756051079646E-3</v>
      </c>
      <c r="R831" s="1240">
        <f>IFERROR(Model!R831/Model!N831-1,"NA")</f>
        <v>-1.65043736590198E-3</v>
      </c>
      <c r="S831" s="1240">
        <f>IFERROR(Model!S831/Model!O831-1,"NA")</f>
        <v>-8.9880525455379168E-3</v>
      </c>
      <c r="T831" s="1240">
        <f>IFERROR(Model!T831/Model!P831-1,"NA")</f>
        <v>4.2169448644588714E-2</v>
      </c>
      <c r="U831" s="1240">
        <f>IFERROR(Model!U831/Model!Q831-1,"NA")</f>
        <v>6.1052143531320935E-2</v>
      </c>
      <c r="V831" s="1240">
        <f>IFERROR(Model!V831/Model!R831-1,"NA")</f>
        <v>2.5455512011384185E-2</v>
      </c>
      <c r="W831" s="1240">
        <f>IFERROR(Model!W831/Model!S831-1,"NA")</f>
        <v>2.9243007106996011E-3</v>
      </c>
      <c r="X831" s="1240">
        <f>IFERROR(Model!X831/Model!T831-1,"NA")</f>
        <v>-5.8385646822311177E-2</v>
      </c>
      <c r="Y831" s="1240">
        <f>IFERROR(Model!Y831/Model!U831-1,"NA")</f>
        <v>-5.8850151378008086E-2</v>
      </c>
      <c r="Z831" s="1240">
        <f>IFERROR(Model!Z831/Model!V831-1,"NA")</f>
        <v>-4.1741477847461073E-2</v>
      </c>
      <c r="AA831" s="1240">
        <f>IFERROR(Model!AA831/Model!W831-1,"NA")</f>
        <v>-2.8172814063327833E-2</v>
      </c>
      <c r="AB831" s="1240">
        <f>IFERROR(Model!AB831/Model!X831-1,"NA")</f>
        <v>5.3308089200412301E-3</v>
      </c>
      <c r="AC831" s="1263">
        <f>IFERROR(Model!AC831/Model!Y831-1,"NA")</f>
        <v>-6.8184456199114063E-3</v>
      </c>
      <c r="AD831" s="1263">
        <f>IFERROR(Model!AD831/Model!Z831-1,"NA")</f>
        <v>-1.2099740389975855E-2</v>
      </c>
      <c r="AE831" s="1263">
        <f>IFERROR(Model!AE831/Model!AA831-1,"NA")</f>
        <v>1.7025119577214198E-3</v>
      </c>
      <c r="AF831" s="1263">
        <f>IFERROR(Model!AF831/Model!AB831-1,"NA")</f>
        <v>4.9999999999998934E-3</v>
      </c>
      <c r="AG831" s="1263">
        <f>IFERROR(Model!AG831/Model!AC831-1,"NA")</f>
        <v>1.0024999999999951E-2</v>
      </c>
      <c r="AH831" s="1263">
        <f>IFERROR(Model!AH831/Model!AD831-1,"NA")</f>
        <v>1.5075124999999856E-2</v>
      </c>
      <c r="AI831" s="1263">
        <f>IFERROR(Model!AI831/Model!AE831-1,"NA")</f>
        <v>2.0150500624999568E-2</v>
      </c>
      <c r="AJ831" s="1263"/>
      <c r="AK831" s="1263"/>
      <c r="AL831" s="1263"/>
      <c r="AM831" s="1263"/>
      <c r="AN831" s="1263"/>
      <c r="AO831" s="1263"/>
      <c r="AP831" s="1263"/>
      <c r="AQ831" s="1263"/>
      <c r="AR831" s="1236"/>
      <c r="AS831" s="1491"/>
      <c r="AT831" s="1263"/>
      <c r="AU831" s="1263"/>
      <c r="AV831" s="1263">
        <f>IFERROR(Model!AV831/Model!AU831-1,"NA")</f>
        <v>-1.262425710466053E-2</v>
      </c>
      <c r="AW831" s="1263">
        <f>IFERROR(Model!AW831/Model!AV831-1,"NA")</f>
        <v>3.7338168315006692E-2</v>
      </c>
      <c r="AX831" s="1263">
        <f>IFERROR(Model!AX831/Model!AW831-1,"NA")</f>
        <v>-8.9880525455379168E-3</v>
      </c>
      <c r="AY831" s="1263">
        <f>IFERROR(Model!AY831/Model!AX831-1,"NA")</f>
        <v>2.9243007106996011E-3</v>
      </c>
      <c r="AZ831" s="1263">
        <f>IFERROR(Model!AZ831/Model!AY831-1,"NA")</f>
        <v>-2.8172814063327833E-2</v>
      </c>
      <c r="BA831" s="1263">
        <f>IFERROR(Model!BA831/Model!AZ831-1,"NA")</f>
        <v>1.7025119577214198E-3</v>
      </c>
      <c r="BB831" s="1263">
        <f>IFERROR(Model!BB831/Model!BA831-1,"NA")</f>
        <v>2.0150500624999568E-2</v>
      </c>
      <c r="BC831" s="1263">
        <f>IFERROR(Model!BC831/Model!BB831-1,"NA")</f>
        <v>1.0000000000000009E-2</v>
      </c>
      <c r="BD831" s="1263">
        <f>IFERROR(Model!BD831/Model!BC831-1,"NA")</f>
        <v>2.0000000000000018E-2</v>
      </c>
      <c r="BE831" s="1263">
        <f>IFERROR(Model!BE831/Model!BD831-1,"NA")</f>
        <v>2.0000000000000018E-2</v>
      </c>
    </row>
    <row r="832" spans="1:64" s="369" customFormat="1" x14ac:dyDescent="0.2">
      <c r="A832" s="411"/>
      <c r="B832" s="634"/>
      <c r="C832" s="342" t="s">
        <v>39</v>
      </c>
      <c r="D832" s="1408"/>
      <c r="E832" s="1408"/>
      <c r="F832" s="1408"/>
      <c r="G832" s="1408"/>
      <c r="H832" s="1408">
        <f>IFERROR(Model!H832/Model!D832-1,"NA")</f>
        <v>-6.9128974916057295E-3</v>
      </c>
      <c r="I832" s="1408">
        <f>IFERROR(Model!I832/Model!E832-1,"NA")</f>
        <v>-0.1539342673363292</v>
      </c>
      <c r="J832" s="1408">
        <f>IFERROR(Model!J832/Model!F832-1,"NA")</f>
        <v>-1.2336653568491229E-2</v>
      </c>
      <c r="K832" s="1408">
        <f>IFERROR(Model!K832/Model!G832-1,"NA")</f>
        <v>4.6298124383020722E-2</v>
      </c>
      <c r="L832" s="1408">
        <f>IFERROR(Model!L832/Model!H832-1,"NA")</f>
        <v>5.4097056483691341E-2</v>
      </c>
      <c r="M832" s="1408">
        <f>IFERROR(Model!M832/Model!I832-1,"NA")</f>
        <v>1.3255571755884192</v>
      </c>
      <c r="N832" s="1408">
        <f>IFERROR(Model!N832/Model!J832-1,"NA")</f>
        <v>1.2240932642487046</v>
      </c>
      <c r="O832" s="1408">
        <f>IFERROR(Model!O832/Model!K832-1,"NA")</f>
        <v>1.2569110293423909</v>
      </c>
      <c r="P832" s="1408">
        <f>IFERROR(Model!P832/Model!L832-1,"NA")</f>
        <v>1.1937735849056605</v>
      </c>
      <c r="Q832" s="1408">
        <f>IFERROR(Model!Q832/Model!M832-1,"NA")</f>
        <v>0.35091804746977151</v>
      </c>
      <c r="R832" s="1408">
        <f>IFERROR(Model!R832/Model!N832-1,"NA")</f>
        <v>0.41193110907729436</v>
      </c>
      <c r="S832" s="1408">
        <f>IFERROR(Model!S832/Model!O832-1,"NA")</f>
        <v>0.51394172484427902</v>
      </c>
      <c r="T832" s="1408">
        <f>IFERROR(Model!T832/Model!P832-1,"NA")</f>
        <v>0.58639373871161959</v>
      </c>
      <c r="U832" s="1408">
        <f>IFERROR(Model!U832/Model!Q832-1,"NA")</f>
        <v>0.19018099847510439</v>
      </c>
      <c r="V832" s="1408">
        <f>IFERROR(Model!V832/Model!R832-1,"NA")</f>
        <v>0.13694755450795526</v>
      </c>
      <c r="W832" s="1408">
        <f>IFERROR(Model!W832/Model!S832-1,"NA")</f>
        <v>0.26099682452022632</v>
      </c>
      <c r="X832" s="1408">
        <f>IFERROR(Model!X832/Model!T832-1,"NA")</f>
        <v>0.29628625643805906</v>
      </c>
      <c r="Y832" s="1408">
        <f>IFERROR(Model!Y832/Model!U832-1,"NA")</f>
        <v>0.39751552795031064</v>
      </c>
      <c r="Z832" s="1408">
        <f>IFERROR(Model!Z832/Model!V832-1,"NA")</f>
        <v>0.33531149580180375</v>
      </c>
      <c r="AA832" s="1408">
        <f>IFERROR(Model!AA832/Model!W832-1,"NA")</f>
        <v>0.16758271837431837</v>
      </c>
      <c r="AB832" s="1408">
        <f>IFERROR(Model!AB832/Model!X832-1,"NA")</f>
        <v>9.7699707235466393E-2</v>
      </c>
      <c r="AC832" s="1270">
        <f>IFERROR(Model!AC832/Model!Y832-1,"NA")</f>
        <v>4.6178375685102191E-2</v>
      </c>
      <c r="AD832" s="1270">
        <f>IFERROR(Model!AD832/Model!Z832-1,"NA")</f>
        <v>1.8728045490713496E-2</v>
      </c>
      <c r="AE832" s="1270">
        <f>IFERROR(Model!AE832/Model!AA832-1,"NA")</f>
        <v>-1.5528882220555151E-2</v>
      </c>
      <c r="AF832" s="1270">
        <f>IFERROR(Model!AF832/Model!AB832-1,"NA")</f>
        <v>4.9999999999998934E-3</v>
      </c>
      <c r="AG832" s="1270">
        <f>IFERROR(Model!AG832/Model!AC832-1,"NA")</f>
        <v>1.0024999999999951E-2</v>
      </c>
      <c r="AH832" s="1270">
        <f>IFERROR(Model!AH832/Model!AD832-1,"NA")</f>
        <v>1.5075124999999856E-2</v>
      </c>
      <c r="AI832" s="1270">
        <f>IFERROR(Model!AI832/Model!AE832-1,"NA")</f>
        <v>2.015050062499979E-2</v>
      </c>
      <c r="AJ832" s="1263"/>
      <c r="AK832" s="1263"/>
      <c r="AL832" s="1263"/>
      <c r="AM832" s="1263"/>
      <c r="AN832" s="1263"/>
      <c r="AO832" s="1263"/>
      <c r="AP832" s="1263"/>
      <c r="AQ832" s="1263"/>
      <c r="AR832" s="1236"/>
      <c r="AS832" s="1491"/>
      <c r="AT832" s="1263"/>
      <c r="AU832" s="1270"/>
      <c r="AV832" s="1270">
        <f>IFERROR(Model!AV832/Model!AU832-1,"NA")</f>
        <v>4.6298124383020722E-2</v>
      </c>
      <c r="AW832" s="1270">
        <f>IFERROR(Model!AW832/Model!AV832-1,"NA")</f>
        <v>1.2569110293423909</v>
      </c>
      <c r="AX832" s="1270">
        <f>IFERROR(Model!AX832/Model!AW832-1,"NA")</f>
        <v>0.51394172484427902</v>
      </c>
      <c r="AY832" s="1270">
        <f>IFERROR(Model!AY832/Model!AX832-1,"NA")</f>
        <v>0.26099682452022632</v>
      </c>
      <c r="AZ832" s="1270">
        <f>IFERROR(Model!AZ832/Model!AY832-1,"NA")</f>
        <v>0.16758271837431837</v>
      </c>
      <c r="BA832" s="1270">
        <f>IFERROR(Model!BA832/Model!AZ832-1,"NA")</f>
        <v>-1.5528882220555151E-2</v>
      </c>
      <c r="BB832" s="1270">
        <f>IFERROR(Model!BB832/Model!BA832-1,"NA")</f>
        <v>2.015050062499979E-2</v>
      </c>
      <c r="BC832" s="1270">
        <f>IFERROR(Model!BC832/Model!BB832-1,"NA")</f>
        <v>9.9999999999997868E-3</v>
      </c>
      <c r="BD832" s="1270">
        <f>IFERROR(Model!BD832/Model!BC832-1,"NA")</f>
        <v>2.0000000000000018E-2</v>
      </c>
      <c r="BE832" s="1270">
        <f>IFERROR(Model!BE832/Model!BD832-1,"NA")</f>
        <v>2.0000000000000018E-2</v>
      </c>
    </row>
    <row r="833" spans="1:69" s="369" customFormat="1" x14ac:dyDescent="0.2">
      <c r="A833" s="411"/>
      <c r="B833" s="634" t="s">
        <v>40</v>
      </c>
      <c r="C833" s="636"/>
      <c r="D833" s="1267"/>
      <c r="E833" s="1267"/>
      <c r="F833" s="1267"/>
      <c r="G833" s="1267"/>
      <c r="H833" s="1267">
        <f>IFERROR(Model!H833/Model!D833-1,"NA")</f>
        <v>2.5346172344554496E-2</v>
      </c>
      <c r="I833" s="1267">
        <f>IFERROR(Model!I833/Model!E833-1,"NA")</f>
        <v>-1.825931761275601E-2</v>
      </c>
      <c r="J833" s="1267">
        <f>IFERROR(Model!J833/Model!F833-1,"NA")</f>
        <v>2.7247744302375088E-2</v>
      </c>
      <c r="K833" s="1267">
        <f>IFERROR(Model!K833/Model!G833-1,"NA")</f>
        <v>-1.0713165090322274E-2</v>
      </c>
      <c r="L833" s="1267">
        <f>IFERROR(Model!L833/Model!H833-1,"NA")</f>
        <v>2.6376127980476172E-2</v>
      </c>
      <c r="M833" s="1267">
        <f>IFERROR(Model!M833/Model!I833-1,"NA")</f>
        <v>8.4181261237264327E-2</v>
      </c>
      <c r="N833" s="1267">
        <f>IFERROR(Model!N833/Model!J833-1,"NA")</f>
        <v>9.7263816819042948E-2</v>
      </c>
      <c r="O833" s="1267">
        <f>IFERROR(Model!O833/Model!K833-1,"NA")</f>
        <v>7.9173409282154106E-2</v>
      </c>
      <c r="P833" s="1267">
        <f>IFERROR(Model!P833/Model!L833-1,"NA")</f>
        <v>4.4471077021412508E-2</v>
      </c>
      <c r="Q833" s="1267">
        <f>IFERROR(Model!Q833/Model!M833-1,"NA")</f>
        <v>1.9955592817460621E-2</v>
      </c>
      <c r="R833" s="1267">
        <f>IFERROR(Model!R833/Model!N833-1,"NA")</f>
        <v>2.8200223992409512E-2</v>
      </c>
      <c r="S833" s="1267">
        <f>IFERROR(Model!S833/Model!O833-1,"NA")</f>
        <v>2.852661474374929E-2</v>
      </c>
      <c r="T833" s="1267">
        <f>IFERROR(Model!T833/Model!P833-1,"NA")</f>
        <v>8.089285987485284E-2</v>
      </c>
      <c r="U833" s="1267">
        <f>IFERROR(Model!U833/Model!Q833-1,"NA")</f>
        <v>7.2780703418332537E-2</v>
      </c>
      <c r="V833" s="1267">
        <f>IFERROR(Model!V833/Model!R833-1,"NA")</f>
        <v>3.6505771830895428E-2</v>
      </c>
      <c r="W833" s="1267">
        <f>IFERROR(Model!W833/Model!S833-1,"NA")</f>
        <v>3.0175970608388836E-2</v>
      </c>
      <c r="X833" s="1267">
        <f>IFERROR(Model!X833/Model!T833-1,"NA")</f>
        <v>-2.1347366752346719E-2</v>
      </c>
      <c r="Y833" s="1267">
        <f>IFERROR(Model!Y833/Model!U833-1,"NA")</f>
        <v>-1.2863008815778065E-2</v>
      </c>
      <c r="Z833" s="1267">
        <f>IFERROR(Model!Z833/Model!V833-1,"NA")</f>
        <v>-7.4942243759512639E-4</v>
      </c>
      <c r="AA833" s="1267">
        <f>IFERROR(Model!AA833/Model!W833-1,"NA")</f>
        <v>-2.8700495890224831E-3</v>
      </c>
      <c r="AB833" s="1267">
        <f>IFERROR(Model!AB833/Model!X833-1,"NA")</f>
        <v>1.8107610113649919E-2</v>
      </c>
      <c r="AC833" s="1263">
        <f>IFERROR(Model!AC833/Model!Y833-1,"NA")</f>
        <v>7.4208865258307277E-4</v>
      </c>
      <c r="AD833" s="1263">
        <f>IFERROR(Model!AD833/Model!Z833-1,"NA")</f>
        <v>-7.6210830227194659E-3</v>
      </c>
      <c r="AE833" s="1263">
        <f>IFERROR(Model!AE833/Model!AA833-1,"NA")</f>
        <v>-9.0550398819155831E-4</v>
      </c>
      <c r="AF833" s="1263">
        <f>IFERROR(Model!AF833/Model!AB833-1,"NA")</f>
        <v>4.9999999999998934E-3</v>
      </c>
      <c r="AG833" s="1263">
        <f>IFERROR(Model!AG833/Model!AC833-1,"NA")</f>
        <v>1.0024999999999951E-2</v>
      </c>
      <c r="AH833" s="1263">
        <f>IFERROR(Model!AH833/Model!AD833-1,"NA")</f>
        <v>1.5075124999999856E-2</v>
      </c>
      <c r="AI833" s="1263">
        <f>IFERROR(Model!AI833/Model!AE833-1,"NA")</f>
        <v>2.015050062499979E-2</v>
      </c>
      <c r="AJ833" s="1263"/>
      <c r="AK833" s="1263"/>
      <c r="AL833" s="1263"/>
      <c r="AM833" s="1263"/>
      <c r="AN833" s="1263"/>
      <c r="AO833" s="1263"/>
      <c r="AP833" s="1263"/>
      <c r="AQ833" s="1263"/>
      <c r="AR833" s="1236"/>
      <c r="AS833" s="1491"/>
      <c r="AT833" s="1263"/>
      <c r="AU833" s="1267"/>
      <c r="AV833" s="1267">
        <f>IFERROR(Model!AV833/Model!AU833-1,"NA")</f>
        <v>-1.0713165090322274E-2</v>
      </c>
      <c r="AW833" s="1267">
        <f>IFERROR(Model!AW833/Model!AV833-1,"NA")</f>
        <v>7.9173409282154106E-2</v>
      </c>
      <c r="AX833" s="1267">
        <f>IFERROR(Model!AX833/Model!AW833-1,"NA")</f>
        <v>2.852661474374929E-2</v>
      </c>
      <c r="AY833" s="1267">
        <f>IFERROR(Model!AY833/Model!AX833-1,"NA")</f>
        <v>3.0175970608388836E-2</v>
      </c>
      <c r="AZ833" s="1267">
        <f>IFERROR(Model!AZ833/Model!AY833-1,"NA")</f>
        <v>-2.8700495890224831E-3</v>
      </c>
      <c r="BA833" s="1267">
        <f>IFERROR(Model!BA833/Model!AZ833-1,"NA")</f>
        <v>-9.0550398819155831E-4</v>
      </c>
      <c r="BB833" s="1263">
        <f>IFERROR(Model!BB833/Model!BA833-1,"NA")</f>
        <v>2.015050062499979E-2</v>
      </c>
      <c r="BC833" s="1263">
        <f>IFERROR(Model!BC833/Model!BB833-1,"NA")</f>
        <v>9.9999999999997868E-3</v>
      </c>
      <c r="BD833" s="1263">
        <f>IFERROR(Model!BD833/Model!BC833-1,"NA")</f>
        <v>2.0000000000000018E-2</v>
      </c>
      <c r="BE833" s="1263">
        <f>IFERROR(Model!BE833/Model!BD833-1,"NA")</f>
        <v>1.9999999999999796E-2</v>
      </c>
      <c r="BM833" s="238"/>
      <c r="BN833" s="238"/>
      <c r="BO833" s="238"/>
      <c r="BP833" s="238"/>
      <c r="BQ833" s="238"/>
    </row>
    <row r="834" spans="1:69" s="369" customFormat="1" x14ac:dyDescent="0.2">
      <c r="A834" s="411"/>
      <c r="B834" s="634" t="s">
        <v>29</v>
      </c>
      <c r="C834" s="636"/>
      <c r="D834" s="1267"/>
      <c r="E834" s="1267"/>
      <c r="F834" s="1267"/>
      <c r="G834" s="1267"/>
      <c r="H834" s="1267"/>
      <c r="I834" s="1267"/>
      <c r="J834" s="1267"/>
      <c r="K834" s="1267"/>
      <c r="L834" s="1267"/>
      <c r="M834" s="1267"/>
      <c r="N834" s="1267"/>
      <c r="O834" s="1267"/>
      <c r="P834" s="1267"/>
      <c r="Q834" s="1267"/>
      <c r="R834" s="1267"/>
      <c r="S834" s="1267"/>
      <c r="T834" s="1267"/>
      <c r="U834" s="1267"/>
      <c r="V834" s="1267"/>
      <c r="W834" s="1267"/>
      <c r="X834" s="1267"/>
      <c r="Y834" s="1267"/>
      <c r="Z834" s="1267"/>
      <c r="AA834" s="1267"/>
      <c r="AB834" s="1267"/>
      <c r="AC834" s="1263"/>
      <c r="AD834" s="1263"/>
      <c r="AE834" s="1263"/>
      <c r="AF834" s="1263"/>
      <c r="AG834" s="1263"/>
      <c r="AH834" s="1263"/>
      <c r="AI834" s="1263"/>
      <c r="AJ834" s="1263"/>
      <c r="AK834" s="1263"/>
      <c r="AL834" s="1263"/>
      <c r="AM834" s="1263"/>
      <c r="AN834" s="1263"/>
      <c r="AO834" s="1263"/>
      <c r="AP834" s="1263"/>
      <c r="AQ834" s="1263"/>
      <c r="AR834" s="1236"/>
      <c r="AS834" s="1491"/>
      <c r="AT834" s="1263"/>
      <c r="AU834" s="1410"/>
      <c r="AV834" s="1410"/>
      <c r="AW834" s="1410"/>
      <c r="AX834" s="1410"/>
      <c r="AY834" s="1410"/>
      <c r="AZ834" s="1410"/>
      <c r="BA834" s="1263"/>
      <c r="BB834" s="1263"/>
      <c r="BC834" s="1263"/>
      <c r="BD834" s="1263"/>
      <c r="BE834" s="1263"/>
    </row>
    <row r="835" spans="1:69" s="369" customFormat="1" x14ac:dyDescent="0.2">
      <c r="A835" s="411"/>
      <c r="B835" s="321"/>
      <c r="C835" s="639" t="s">
        <v>56</v>
      </c>
      <c r="D835" s="1240"/>
      <c r="E835" s="1240"/>
      <c r="F835" s="1240"/>
      <c r="G835" s="1240"/>
      <c r="H835" s="1240">
        <f>IFERROR(Model!H835/Model!D835-1,"NA")</f>
        <v>-5.1761451429207073E-2</v>
      </c>
      <c r="I835" s="1240">
        <f>IFERROR(Model!I835/Model!E835-1,"NA")</f>
        <v>-6.7683451821603402E-2</v>
      </c>
      <c r="J835" s="1240">
        <f>IFERROR(Model!J835/Model!F835-1,"NA")</f>
        <v>-5.0816360798877969E-2</v>
      </c>
      <c r="K835" s="1240">
        <f>IFERROR(Model!K835/Model!G835-1,"NA")</f>
        <v>-3.8293982268612248E-2</v>
      </c>
      <c r="L835" s="1240">
        <f>IFERROR(Model!L835/Model!H835-1,"NA")</f>
        <v>-2.9466141350775854E-2</v>
      </c>
      <c r="M835" s="1240">
        <f>IFERROR(Model!M835/Model!I835-1,"NA")</f>
        <v>2.9472606571046001E-3</v>
      </c>
      <c r="N835" s="1240">
        <f>IFERROR(Model!N835/Model!J835-1,"NA")</f>
        <v>-3.1866156419668612E-2</v>
      </c>
      <c r="O835" s="1240">
        <f>IFERROR(Model!O835/Model!K835-1,"NA")</f>
        <v>-6.3157678974513964E-2</v>
      </c>
      <c r="P835" s="1240">
        <f>IFERROR(Model!P835/Model!L835-1,"NA")</f>
        <v>-0.11340024698494444</v>
      </c>
      <c r="Q835" s="1240">
        <f>IFERROR(Model!Q835/Model!M835-1,"NA")</f>
        <v>-0.11111169573258484</v>
      </c>
      <c r="R835" s="1240">
        <f>IFERROR(Model!R835/Model!N835-1,"NA")</f>
        <v>-0.11613371311871878</v>
      </c>
      <c r="S835" s="1240">
        <f>IFERROR(Model!S835/Model!O835-1,"NA")</f>
        <v>-0.10991322136619597</v>
      </c>
      <c r="T835" s="1240">
        <f>IFERROR(Model!T835/Model!P835-1,"NA")</f>
        <v>-5.8903894425823333E-2</v>
      </c>
      <c r="U835" s="1240">
        <f>IFERROR(Model!U835/Model!Q835-1,"NA")</f>
        <v>-3.4912009660291621E-2</v>
      </c>
      <c r="V835" s="1240">
        <f>IFERROR(Model!V835/Model!R835-1,"NA")</f>
        <v>-1.6721289545850171E-3</v>
      </c>
      <c r="W835" s="1240">
        <f>IFERROR(Model!W835/Model!S835-1,"NA")</f>
        <v>-1.201398661561992E-3</v>
      </c>
      <c r="X835" s="1240">
        <f>IFERROR(Model!X835/Model!T835-1,"NA")</f>
        <v>9.4503314386484849E-3</v>
      </c>
      <c r="Y835" s="1240">
        <f>IFERROR(Model!Y835/Model!U835-1,"NA")</f>
        <v>-2.5177716034616715E-3</v>
      </c>
      <c r="Z835" s="1240">
        <f>IFERROR(Model!Z835/Model!V835-1,"NA")</f>
        <v>-8.5147332902927308E-3</v>
      </c>
      <c r="AA835" s="1240">
        <f>IFERROR(Model!AA835/Model!W835-1,"NA")</f>
        <v>2.643487570101799E-2</v>
      </c>
      <c r="AB835" s="1240">
        <f>IFERROR(Model!AB835/Model!X835-1,"NA")</f>
        <v>1.4125457018430376E-2</v>
      </c>
      <c r="AC835" s="1263">
        <f>IFERROR(Model!AC835/Model!Y835-1,"NA")</f>
        <v>1.186739264775305E-3</v>
      </c>
      <c r="AD835" s="1263">
        <f>IFERROR(Model!AD835/Model!Z835-1,"NA")</f>
        <v>8.7187323389930071E-3</v>
      </c>
      <c r="AE835" s="1263">
        <f>IFERROR(Model!AE835/Model!AA835-1,"NA")</f>
        <v>8.4726334907747614E-5</v>
      </c>
      <c r="AF835" s="1263">
        <f>IFERROR(Model!AF835/Model!AB835-1,"NA")</f>
        <v>2.193373241377583E-2</v>
      </c>
      <c r="AG835" s="1263">
        <f>IFERROR(Model!AG835/Model!AC835-1,"NA")</f>
        <v>2.3496717589721383E-2</v>
      </c>
      <c r="AH835" s="1263">
        <f>IFERROR(Model!AH835/Model!AD835-1,"NA")</f>
        <v>2.5772791410968887E-2</v>
      </c>
      <c r="AI835" s="1263">
        <f>IFERROR(Model!AI835/Model!AE835-1,"NA")</f>
        <v>2.826042863518996E-2</v>
      </c>
      <c r="AJ835" s="1263"/>
      <c r="AK835" s="1263"/>
      <c r="AL835" s="1263"/>
      <c r="AM835" s="1263"/>
      <c r="AN835" s="1263"/>
      <c r="AO835" s="1263"/>
      <c r="AP835" s="1263"/>
      <c r="AQ835" s="1263"/>
      <c r="AR835" s="1236"/>
      <c r="AS835" s="1284"/>
      <c r="AT835" s="1492"/>
      <c r="AU835" s="1263"/>
      <c r="AV835" s="1263">
        <f>IFERROR(Model!AV835/Model!AU835-1,"NA")</f>
        <v>-3.8293982268612248E-2</v>
      </c>
      <c r="AW835" s="1263">
        <f>IFERROR(Model!AW835/Model!AV835-1,"NA")</f>
        <v>-6.3157678974513964E-2</v>
      </c>
      <c r="AX835" s="1263">
        <f>IFERROR(Model!AX835/Model!AW835-1,"NA")</f>
        <v>-0.10991322136619597</v>
      </c>
      <c r="AY835" s="1263">
        <f>IFERROR(Model!AY835/Model!AX835-1,"NA")</f>
        <v>-1.201398661561992E-3</v>
      </c>
      <c r="AZ835" s="1263">
        <f>IFERROR(Model!AZ835/Model!AY835-1,"NA")</f>
        <v>2.643487570101799E-2</v>
      </c>
      <c r="BA835" s="1263">
        <f>IFERROR(Model!BA835/Model!AZ835-1,"NA")</f>
        <v>8.4726334907747614E-5</v>
      </c>
      <c r="BB835" s="1263">
        <f>IFERROR(Model!BB835/Model!BA835-1,"NA")</f>
        <v>2.826042863518996E-2</v>
      </c>
      <c r="BC835" s="1263">
        <f>IFERROR(Model!BC835/Model!BB835-1,"NA")</f>
        <v>3.4253792728423216E-2</v>
      </c>
      <c r="BD835" s="1263">
        <f>IFERROR(Model!BD835/Model!BC835-1,"NA")</f>
        <v>3.7215661229199393E-2</v>
      </c>
      <c r="BE835" s="1263">
        <f>IFERROR(Model!BE835/Model!BD835-1,"NA")</f>
        <v>3.9124011644727785E-2</v>
      </c>
      <c r="BM835" s="238"/>
      <c r="BN835" s="238"/>
      <c r="BO835" s="238"/>
      <c r="BP835" s="238"/>
      <c r="BQ835" s="238"/>
    </row>
    <row r="836" spans="1:69" s="369" customFormat="1" x14ac:dyDescent="0.2">
      <c r="A836" s="411"/>
      <c r="B836" s="321"/>
      <c r="C836" s="639" t="s">
        <v>62</v>
      </c>
      <c r="D836" s="1408"/>
      <c r="E836" s="1408"/>
      <c r="F836" s="1408"/>
      <c r="G836" s="1408"/>
      <c r="H836" s="1408">
        <f>IFERROR(Model!H836/Model!D836-1,"NA")</f>
        <v>8.422363533230115E-2</v>
      </c>
      <c r="I836" s="1408">
        <f>IFERROR(Model!I836/Model!E836-1,"NA")</f>
        <v>6.5552326751402656E-2</v>
      </c>
      <c r="J836" s="1408">
        <f>IFERROR(Model!J836/Model!F836-1,"NA")</f>
        <v>7.775344735751899E-2</v>
      </c>
      <c r="K836" s="1408">
        <f>IFERROR(Model!K836/Model!G836-1,"NA")</f>
        <v>0.10234747426190771</v>
      </c>
      <c r="L836" s="1408">
        <f>IFERROR(Model!L836/Model!H836-1,"NA")</f>
        <v>0.11569552236457548</v>
      </c>
      <c r="M836" s="1408">
        <f>IFERROR(Model!M836/Model!I836-1,"NA")</f>
        <v>8.5538914804812238E-2</v>
      </c>
      <c r="N836" s="1408">
        <f>IFERROR(Model!N836/Model!J836-1,"NA")</f>
        <v>3.1204926014599454E-2</v>
      </c>
      <c r="O836" s="1408">
        <f>IFERROR(Model!O836/Model!K836-1,"NA")</f>
        <v>1.3856435265772404E-2</v>
      </c>
      <c r="P836" s="1408">
        <f>IFERROR(Model!P836/Model!L836-1,"NA")</f>
        <v>-2.8205661581459651E-5</v>
      </c>
      <c r="Q836" s="1408">
        <f>IFERROR(Model!Q836/Model!M836-1,"NA")</f>
        <v>2.383164399720239E-2</v>
      </c>
      <c r="R836" s="1408">
        <f>IFERROR(Model!R836/Model!N836-1,"NA")</f>
        <v>4.2018417670739661E-2</v>
      </c>
      <c r="S836" s="1408">
        <f>IFERROR(Model!S836/Model!O836-1,"NA")</f>
        <v>4.720923897459417E-2</v>
      </c>
      <c r="T836" s="1408">
        <f>IFERROR(Model!T836/Model!P836-1,"NA")</f>
        <v>6.2216392887741723E-2</v>
      </c>
      <c r="U836" s="1408">
        <f>IFERROR(Model!U836/Model!Q836-1,"NA")</f>
        <v>4.4837547580206527E-2</v>
      </c>
      <c r="V836" s="1408">
        <f>IFERROR(Model!V836/Model!R836-1,"NA")</f>
        <v>5.6353527163210959E-2</v>
      </c>
      <c r="W836" s="1408">
        <f>IFERROR(Model!W836/Model!S836-1,"NA")</f>
        <v>2.4448681044485499E-2</v>
      </c>
      <c r="X836" s="1408">
        <f>IFERROR(Model!X836/Model!T836-1,"NA")</f>
        <v>2.2471611748968501E-2</v>
      </c>
      <c r="Y836" s="1408">
        <f>IFERROR(Model!Y836/Model!U836-1,"NA")</f>
        <v>3.9036147713485514E-2</v>
      </c>
      <c r="Z836" s="1408">
        <f>IFERROR(Model!Z836/Model!V836-1,"NA")</f>
        <v>5.6582049454465766E-2</v>
      </c>
      <c r="AA836" s="1408">
        <f>IFERROR(Model!AA836/Model!W836-1,"NA")</f>
        <v>0.11383667550934495</v>
      </c>
      <c r="AB836" s="1408">
        <f>IFERROR(Model!AB836/Model!X836-1,"NA")</f>
        <v>0.12925311405373985</v>
      </c>
      <c r="AC836" s="1270">
        <f>IFERROR(Model!AC836/Model!Y836-1,"NA")</f>
        <v>0.11089614756099841</v>
      </c>
      <c r="AD836" s="1270">
        <f>IFERROR(Model!AD836/Model!Z836-1,"NA")</f>
        <v>9.9429713040319667E-2</v>
      </c>
      <c r="AE836" s="1270">
        <f>IFERROR(Model!AE836/Model!AA836-1,"NA")</f>
        <v>9.6603804240231517E-2</v>
      </c>
      <c r="AF836" s="1270">
        <f>IFERROR(Model!AF836/Model!AB836-1,"NA")</f>
        <v>7.1987830270745512E-2</v>
      </c>
      <c r="AG836" s="1270">
        <f>IFERROR(Model!AG836/Model!AC836-1,"NA")</f>
        <v>7.1846089999999752E-2</v>
      </c>
      <c r="AH836" s="1270">
        <f>IFERROR(Model!AH836/Model!AD836-1,"NA")</f>
        <v>8.2406149999999734E-2</v>
      </c>
      <c r="AI836" s="1270">
        <f>IFERROR(Model!AI836/Model!AE836-1,"NA")</f>
        <v>9.3070249999999799E-2</v>
      </c>
      <c r="AJ836" s="1263"/>
      <c r="AK836" s="1263"/>
      <c r="AL836" s="1263"/>
      <c r="AM836" s="1263"/>
      <c r="AN836" s="1263"/>
      <c r="AO836" s="1263"/>
      <c r="AP836" s="1263"/>
      <c r="AQ836" s="1263"/>
      <c r="AR836" s="1236"/>
      <c r="AS836" s="1284"/>
      <c r="AT836" s="1492"/>
      <c r="AU836" s="1270"/>
      <c r="AV836" s="1270">
        <f>IFERROR(Model!AV836/Model!AU836-1,"NA")</f>
        <v>0.10234747426190771</v>
      </c>
      <c r="AW836" s="1270">
        <f>IFERROR(Model!AW836/Model!AV836-1,"NA")</f>
        <v>1.3856435265772404E-2</v>
      </c>
      <c r="AX836" s="1270">
        <f>IFERROR(Model!AX836/Model!AW836-1,"NA")</f>
        <v>4.720923897459417E-2</v>
      </c>
      <c r="AY836" s="1270">
        <f>IFERROR(Model!AY836/Model!AX836-1,"NA")</f>
        <v>2.4448681044485499E-2</v>
      </c>
      <c r="AZ836" s="1270">
        <f>IFERROR(Model!AZ836/Model!AY836-1,"NA")</f>
        <v>0.11383667550934495</v>
      </c>
      <c r="BA836" s="1270">
        <f>IFERROR(Model!BA836/Model!AZ836-1,"NA")</f>
        <v>9.6603804240231517E-2</v>
      </c>
      <c r="BB836" s="1270">
        <f>IFERROR(Model!BB836/Model!BA836-1,"NA")</f>
        <v>9.3070249999999799E-2</v>
      </c>
      <c r="BC836" s="1270">
        <f>IFERROR(Model!BC836/Model!BB836-1,"NA")</f>
        <v>7.0000000000000062E-2</v>
      </c>
      <c r="BD836" s="1270">
        <f>IFERROR(Model!BD836/Model!BC836-1,"NA")</f>
        <v>7.0000000000000284E-2</v>
      </c>
      <c r="BE836" s="1270">
        <f>IFERROR(Model!BE836/Model!BD836-1,"NA")</f>
        <v>6.0000000000000053E-2</v>
      </c>
      <c r="BM836" s="238"/>
      <c r="BN836" s="238"/>
      <c r="BO836" s="238"/>
      <c r="BP836" s="238"/>
      <c r="BQ836" s="238"/>
    </row>
    <row r="837" spans="1:69" s="369" customFormat="1" x14ac:dyDescent="0.2">
      <c r="A837" s="411"/>
      <c r="B837" s="642" t="s">
        <v>29</v>
      </c>
      <c r="C837" s="643"/>
      <c r="D837" s="1267"/>
      <c r="E837" s="1267"/>
      <c r="F837" s="1267"/>
      <c r="G837" s="1267"/>
      <c r="H837" s="1267">
        <f>IFERROR(Model!H837/Model!D837-1,"NA")</f>
        <v>-2.5585551107832893E-3</v>
      </c>
      <c r="I837" s="1267">
        <f>IFERROR(Model!I837/Model!E837-1,"NA")</f>
        <v>-1.7141295452602234E-2</v>
      </c>
      <c r="J837" s="1267">
        <f>IFERROR(Model!J837/Model!F837-1,"NA")</f>
        <v>-1.3243765785824202E-3</v>
      </c>
      <c r="K837" s="1267">
        <f>IFERROR(Model!K837/Model!G837-1,"NA")</f>
        <v>1.5268573102412919E-2</v>
      </c>
      <c r="L837" s="1267">
        <f>IFERROR(Model!L837/Model!H837-1,"NA")</f>
        <v>2.7626848029902673E-2</v>
      </c>
      <c r="M837" s="1267">
        <f>IFERROR(Model!M837/Model!I837-1,"NA")</f>
        <v>3.6913914136275316E-2</v>
      </c>
      <c r="N837" s="1267">
        <f>IFERROR(Model!N837/Model!J837-1,"NA")</f>
        <v>-5.6649598282110247E-3</v>
      </c>
      <c r="O837" s="1267">
        <f>IFERROR(Model!O837/Model!K837-1,"NA")</f>
        <v>-3.131161040584729E-2</v>
      </c>
      <c r="P837" s="1267">
        <f>IFERROR(Model!P837/Model!L837-1,"NA")</f>
        <v>-6.4988911823022799E-2</v>
      </c>
      <c r="Q837" s="1267">
        <f>IFERROR(Model!Q837/Model!M837-1,"NA")</f>
        <v>-5.3012416404995322E-2</v>
      </c>
      <c r="R837" s="1267">
        <f>IFERROR(Model!R837/Model!N837-1,"NA")</f>
        <v>-4.7997479451719616E-2</v>
      </c>
      <c r="S837" s="1267">
        <f>IFERROR(Model!S837/Model!O837-1,"NA")</f>
        <v>-4.1912089787243922E-2</v>
      </c>
      <c r="T837" s="1267">
        <f>IFERROR(Model!T837/Model!P837-1,"NA")</f>
        <v>-3.5906700544557912E-3</v>
      </c>
      <c r="U837" s="1267">
        <f>IFERROR(Model!U837/Model!Q837-1,"NA")</f>
        <v>2.2100304057153242E-3</v>
      </c>
      <c r="V837" s="1267">
        <f>IFERROR(Model!V837/Model!R837-1,"NA")</f>
        <v>2.5690664541709873E-2</v>
      </c>
      <c r="W837" s="1267">
        <f>IFERROR(Model!W837/Model!S837-1,"NA")</f>
        <v>1.0932341564432235E-2</v>
      </c>
      <c r="X837" s="1267">
        <f>IFERROR(Model!X837/Model!T837-1,"NA")</f>
        <v>1.5789626775949195E-2</v>
      </c>
      <c r="Y837" s="1267">
        <f>IFERROR(Model!Y837/Model!U837-1,"NA")</f>
        <v>1.764756951295543E-2</v>
      </c>
      <c r="Z837" s="1267">
        <f>IFERROR(Model!Z837/Model!V837-1,"NA")</f>
        <v>2.3100237299020332E-2</v>
      </c>
      <c r="AA837" s="1267">
        <f>IFERROR(Model!AA837/Model!W837-1,"NA")</f>
        <v>6.8332988985679854E-2</v>
      </c>
      <c r="AB837" s="1267">
        <f>IFERROR(Model!AB837/Model!X837-1,"NA")</f>
        <v>7.05430364543147E-2</v>
      </c>
      <c r="AC837" s="1267">
        <f>IFERROR(Model!AC837/Model!Y837-1,"NA")</f>
        <v>5.5545645615368455E-2</v>
      </c>
      <c r="AD837" s="1267">
        <f>IFERROR(Model!AD837/Model!Z837-1,"NA")</f>
        <v>5.4215250549998872E-2</v>
      </c>
      <c r="AE837" s="1267">
        <f>IFERROR(Model!AE837/Model!AA837-1,"NA")</f>
        <v>4.8324152142169341E-2</v>
      </c>
      <c r="AF837" s="1267">
        <f>IFERROR(Model!AF837/Model!AB837-1,"NA")</f>
        <v>4.7807614043195334E-2</v>
      </c>
      <c r="AG837" s="1267">
        <f>IFERROR(Model!AG837/Model!AC837-1,"NA")</f>
        <v>4.8709113670230009E-2</v>
      </c>
      <c r="AH837" s="1267">
        <f>IFERROR(Model!AH837/Model!AD837-1,"NA")</f>
        <v>5.5395774657415853E-2</v>
      </c>
      <c r="AI837" s="1267">
        <f>IFERROR(Model!AI837/Model!AE837-1,"NA")</f>
        <v>6.2143591755973837E-2</v>
      </c>
      <c r="AJ837" s="1267"/>
      <c r="AK837" s="1267"/>
      <c r="AL837" s="1267"/>
      <c r="AM837" s="1267"/>
      <c r="AN837" s="1267"/>
      <c r="AO837" s="1267"/>
      <c r="AP837" s="1267"/>
      <c r="AQ837" s="1267"/>
      <c r="AR837" s="1236"/>
      <c r="AS837" s="1493"/>
      <c r="AT837" s="1263"/>
      <c r="AU837" s="1267"/>
      <c r="AV837" s="1267">
        <f>IFERROR(Model!AV837/Model!AU837-1,"NA")</f>
        <v>1.5268573102412919E-2</v>
      </c>
      <c r="AW837" s="1267">
        <f>IFERROR(Model!AW837/Model!AV837-1,"NA")</f>
        <v>-3.131161040584729E-2</v>
      </c>
      <c r="AX837" s="1267">
        <f>IFERROR(Model!AX837/Model!AW837-1,"NA")</f>
        <v>-4.1912089787243922E-2</v>
      </c>
      <c r="AY837" s="1267">
        <f>IFERROR(Model!AY837/Model!AX837-1,"NA")</f>
        <v>1.0932341564432235E-2</v>
      </c>
      <c r="AZ837" s="1267">
        <f>IFERROR(Model!AZ837/Model!AY837-1,"NA")</f>
        <v>6.8332988985679854E-2</v>
      </c>
      <c r="BA837" s="1267">
        <f>IFERROR(Model!BA837/Model!AZ837-1,"NA")</f>
        <v>4.8324152142169341E-2</v>
      </c>
      <c r="BB837" s="1267">
        <f>IFERROR(Model!BB837/Model!BA837-1,"NA")</f>
        <v>6.2143591755973837E-2</v>
      </c>
      <c r="BC837" s="1267">
        <f>IFERROR(Model!BC837/Model!BB837-1,"NA")</f>
        <v>5.3486389773909959E-2</v>
      </c>
      <c r="BD837" s="1267">
        <f>IFERROR(Model!BD837/Model!BC837-1,"NA")</f>
        <v>5.5131173901125541E-2</v>
      </c>
      <c r="BE837" s="1267">
        <f>IFERROR(Model!BE837/Model!BD837-1,"NA")</f>
        <v>5.0692781483472338E-2</v>
      </c>
    </row>
    <row r="838" spans="1:69" s="369" customFormat="1" x14ac:dyDescent="0.2">
      <c r="A838" s="411"/>
      <c r="B838" s="321"/>
      <c r="C838" s="644" t="s">
        <v>354</v>
      </c>
      <c r="D838" s="1303"/>
      <c r="E838" s="1303"/>
      <c r="F838" s="1303"/>
      <c r="G838" s="1303"/>
      <c r="H838" s="1303">
        <f>IFERROR(Model!H838/Model!D838-1,"NA")</f>
        <v>-5.229016515200291E-2</v>
      </c>
      <c r="I838" s="1303">
        <f>IFERROR(Model!I838/Model!E838-1,"NA")</f>
        <v>-3.0817031333508771E-2</v>
      </c>
      <c r="J838" s="1303">
        <f>IFERROR(Model!J838/Model!F838-1,"NA")</f>
        <v>-5.8980855171340663E-2</v>
      </c>
      <c r="K838" s="1303">
        <f>IFERROR(Model!K838/Model!G838-1,"NA")</f>
        <v>-6.5343883874794173E-2</v>
      </c>
      <c r="L838" s="1303">
        <f>IFERROR(Model!L838/Model!H838-1,"NA")</f>
        <v>-5.2201932682378827E-2</v>
      </c>
      <c r="M838" s="1303">
        <f>IFERROR(Model!M838/Model!I838-1,"NA")</f>
        <v>-3.464692014260129E-2</v>
      </c>
      <c r="N838" s="1303">
        <f>IFERROR(Model!N838/Model!J838-1,"NA")</f>
        <v>-2.2823499419508009E-2</v>
      </c>
      <c r="O838" s="1303">
        <f>IFERROR(Model!O838/Model!K838-1,"NA")</f>
        <v>4.1712152092507893E-3</v>
      </c>
      <c r="P838" s="1303">
        <f>IFERROR(Model!P838/Model!L838-1,"NA")</f>
        <v>1.2489930337453492E-2</v>
      </c>
      <c r="Q838" s="1303">
        <f>IFERROR(Model!Q838/Model!M838-1,"NA")</f>
        <v>-3.4099822338528041E-2</v>
      </c>
      <c r="R838" s="1303">
        <f>IFERROR(Model!R838/Model!N838-1,"NA")</f>
        <v>-6.9609654287386413E-2</v>
      </c>
      <c r="S838" s="1303">
        <f>IFERROR(Model!S838/Model!O838-1,"NA")</f>
        <v>-0.12785657928089711</v>
      </c>
      <c r="T838" s="1303">
        <f>IFERROR(Model!T838/Model!P838-1,"NA")</f>
        <v>-7.8441956282103598E-2</v>
      </c>
      <c r="U838" s="1303">
        <f>IFERROR(Model!U838/Model!Q838-1,"NA")</f>
        <v>-4.3784148434575121E-2</v>
      </c>
      <c r="V838" s="1303">
        <f>IFERROR(Model!V838/Model!R838-1,"NA")</f>
        <v>-1.9306445776170467E-3</v>
      </c>
      <c r="W838" s="1303">
        <f>IFERROR(Model!W838/Model!S838-1,"NA")</f>
        <v>4.3088750299341116E-2</v>
      </c>
      <c r="X838" s="1303">
        <f>IFERROR(Model!X838/Model!T838-1,"NA")</f>
        <v>-2.1545945349745743E-3</v>
      </c>
      <c r="Y838" s="1303">
        <f>IFERROR(Model!Y838/Model!U838-1,"NA")</f>
        <v>1.0308147408399249E-2</v>
      </c>
      <c r="Z838" s="1303">
        <f>IFERROR(Model!Z838/Model!V838-1,"NA")</f>
        <v>4.329478495930017E-2</v>
      </c>
      <c r="AA838" s="1303">
        <f>IFERROR(Model!AA838/Model!W838-1,"NA")</f>
        <v>2.7351483934265453E-2</v>
      </c>
      <c r="AB838" s="1303">
        <f>IFERROR(Model!AB838/Model!X838-1,"NA")</f>
        <v>9.2519820094526528E-2</v>
      </c>
      <c r="AC838" s="1263">
        <f>IFERROR(Model!AC838/Model!Y838-1,"NA")</f>
        <v>7.2794281481059375E-2</v>
      </c>
      <c r="AD838" s="1263">
        <f>IFERROR(Model!AD838/Model!Z838-1,"NA")</f>
        <v>4.2958503033763806E-2</v>
      </c>
      <c r="AE838" s="1263">
        <f>IFERROR(Model!AE838/Model!AA838-1,"NA")</f>
        <v>9.5360066210895544E-2</v>
      </c>
      <c r="AF838" s="1263">
        <f>IFERROR(Model!AF838/Model!AB838-1,"NA")</f>
        <v>5.1492367198171518E-3</v>
      </c>
      <c r="AG838" s="1263">
        <f>IFERROR(Model!AG838/Model!AC838-1,"NA")</f>
        <v>1.0544420527443643E-2</v>
      </c>
      <c r="AH838" s="1263">
        <f>IFERROR(Model!AH838/Model!AD838-1,"NA")</f>
        <v>1.5618133169880144E-2</v>
      </c>
      <c r="AI838" s="1263">
        <f>IFERROR(Model!AI838/Model!AE838-1,"NA")</f>
        <v>2.0734648053654103E-2</v>
      </c>
      <c r="AJ838" s="1263"/>
      <c r="AK838" s="1263"/>
      <c r="AL838" s="1263"/>
      <c r="AM838" s="1263"/>
      <c r="AN838" s="1263"/>
      <c r="AO838" s="1263"/>
      <c r="AP838" s="1263"/>
      <c r="AQ838" s="1263"/>
      <c r="AR838" s="1236"/>
      <c r="AS838" s="1284"/>
      <c r="AT838" s="1491"/>
      <c r="AU838" s="1263"/>
      <c r="AV838" s="1263">
        <f>IFERROR(Model!AV838/Model!AU838-1,"NA")</f>
        <v>-6.5343883874794173E-2</v>
      </c>
      <c r="AW838" s="1263">
        <f>IFERROR(Model!AW838/Model!AV838-1,"NA")</f>
        <v>4.1712152092507893E-3</v>
      </c>
      <c r="AX838" s="1263">
        <f>IFERROR(Model!AX838/Model!AW838-1,"NA")</f>
        <v>-0.12785657928089711</v>
      </c>
      <c r="AY838" s="1263">
        <f>IFERROR(Model!AY838/Model!AX838-1,"NA")</f>
        <v>4.3088750299341116E-2</v>
      </c>
      <c r="AZ838" s="1263">
        <f>IFERROR(Model!AZ838/Model!AY838-1,"NA")</f>
        <v>2.7351483934265453E-2</v>
      </c>
      <c r="BA838" s="1263">
        <f>IFERROR(Model!BA838/Model!AZ838-1,"NA")</f>
        <v>9.5360066210895544E-2</v>
      </c>
      <c r="BB838" s="1263">
        <f>IFERROR(Model!BB838/Model!BA838-1,"NA")</f>
        <v>2.0734648053654103E-2</v>
      </c>
      <c r="BC838" s="1263">
        <f>IFERROR(Model!BC838/Model!BB838-1,"NA")</f>
        <v>9.3590223365729308E-3</v>
      </c>
      <c r="BD838" s="1263">
        <f>IFERROR(Model!BD838/Model!BC838-1,"NA")</f>
        <v>1.9438401095069668E-2</v>
      </c>
      <c r="BE838" s="1263">
        <f>IFERROR(Model!BE838/Model!BD838-1,"NA")</f>
        <v>1.9713055684952296E-2</v>
      </c>
    </row>
    <row r="839" spans="1:69" s="369" customFormat="1" x14ac:dyDescent="0.2">
      <c r="A839" s="411"/>
      <c r="B839" s="645" t="s">
        <v>355</v>
      </c>
      <c r="C839" s="643"/>
      <c r="D839" s="1324"/>
      <c r="E839" s="1324"/>
      <c r="F839" s="1324"/>
      <c r="G839" s="1324"/>
      <c r="H839" s="1324">
        <f>IFERROR(Model!H839/Model!D839-1,"NA")</f>
        <v>-3.5333253702149126E-2</v>
      </c>
      <c r="I839" s="1324">
        <f>IFERROR(Model!I839/Model!E839-1,"NA")</f>
        <v>-2.0137230148855156E-2</v>
      </c>
      <c r="J839" s="1324">
        <f>IFERROR(Model!J839/Model!F839-1,"NA")</f>
        <v>-1.5534841681993594E-2</v>
      </c>
      <c r="K839" s="1324">
        <f>IFERROR(Model!K839/Model!G839-1,"NA")</f>
        <v>1.6417437252311817E-2</v>
      </c>
      <c r="L839" s="1324">
        <f>IFERROR(Model!L839/Model!H839-1,"NA")</f>
        <v>1.4463898096399586E-2</v>
      </c>
      <c r="M839" s="1324">
        <f>IFERROR(Model!M839/Model!I839-1,"NA")</f>
        <v>1.6459510750557849E-2</v>
      </c>
      <c r="N839" s="1324">
        <f>IFERROR(Model!N839/Model!J839-1,"NA")</f>
        <v>-7.9435082511631894E-3</v>
      </c>
      <c r="O839" s="1324">
        <f>IFERROR(Model!O839/Model!K839-1,"NA")</f>
        <v>-1.891159551135535E-2</v>
      </c>
      <c r="P839" s="1324">
        <f>IFERROR(Model!P839/Model!L839-1,"NA")</f>
        <v>-4.0592059458081087E-2</v>
      </c>
      <c r="Q839" s="1324">
        <f>IFERROR(Model!Q839/Model!M839-1,"NA")</f>
        <v>-4.7528024123343227E-2</v>
      </c>
      <c r="R839" s="1324">
        <f>IFERROR(Model!R839/Model!N839-1,"NA")</f>
        <v>-4.6654500409356259E-2</v>
      </c>
      <c r="S839" s="1324">
        <f>IFERROR(Model!S839/Model!O839-1,"NA")</f>
        <v>-6.843264508767577E-2</v>
      </c>
      <c r="T839" s="1324">
        <f>IFERROR(Model!T839/Model!P839-1,"NA")</f>
        <v>-1.0774922383527508E-2</v>
      </c>
      <c r="U839" s="1324">
        <f>IFERROR(Model!U839/Model!Q839-1,"NA")</f>
        <v>-1.5587098071269123E-3</v>
      </c>
      <c r="V839" s="1324">
        <f>IFERROR(Model!V839/Model!R839-1,"NA")</f>
        <v>1.4404964574632251E-2</v>
      </c>
      <c r="W839" s="1324">
        <f>IFERROR(Model!W839/Model!S839-1,"NA")</f>
        <v>4.1428555176768134E-2</v>
      </c>
      <c r="X839" s="1324">
        <f>IFERROR(Model!X839/Model!T839-1,"NA")</f>
        <v>1.3798304329502464E-2</v>
      </c>
      <c r="Y839" s="1324">
        <f>IFERROR(Model!Y839/Model!U839-1,"NA")</f>
        <v>2.8763388825331138E-2</v>
      </c>
      <c r="Z839" s="1324">
        <f>IFERROR(Model!Z839/Model!V839-1,"NA")</f>
        <v>4.0215995117379277E-2</v>
      </c>
      <c r="AA839" s="1324">
        <f>IFERROR(Model!AA839/Model!W839-1,"NA")</f>
        <v>4.588685950653959E-2</v>
      </c>
      <c r="AB839" s="1324">
        <f>IFERROR(Model!AB839/Model!X839-1,"NA")</f>
        <v>7.2545473062187282E-2</v>
      </c>
      <c r="AC839" s="1324">
        <f>IFERROR(Model!AC839/Model!Y839-1,"NA")</f>
        <v>5.3346293384689103E-2</v>
      </c>
      <c r="AD839" s="1324">
        <f>IFERROR(Model!AD839/Model!Z839-1,"NA")</f>
        <v>4.1819158559673886E-2</v>
      </c>
      <c r="AE839" s="1324">
        <f>IFERROR(Model!AE839/Model!AA839-1,"NA")</f>
        <v>6.036306646940659E-2</v>
      </c>
      <c r="AF839" s="1324">
        <f>IFERROR(Model!AF839/Model!AB839-1,"NA")</f>
        <v>2.1043502435286854E-2</v>
      </c>
      <c r="AG839" s="1324">
        <f>IFERROR(Model!AG839/Model!AC839-1,"NA")</f>
        <v>2.4747964079316898E-2</v>
      </c>
      <c r="AH839" s="1324">
        <f>IFERROR(Model!AH839/Model!AD839-1,"NA")</f>
        <v>3.0531396186273874E-2</v>
      </c>
      <c r="AI839" s="1324">
        <f>IFERROR(Model!AI839/Model!AE839-1,"NA")</f>
        <v>3.6402481716700352E-2</v>
      </c>
      <c r="AJ839" s="1324"/>
      <c r="AK839" s="1324"/>
      <c r="AL839" s="1324"/>
      <c r="AM839" s="1324"/>
      <c r="AN839" s="1324"/>
      <c r="AO839" s="1324"/>
      <c r="AP839" s="1324"/>
      <c r="AQ839" s="1324"/>
      <c r="AR839" s="1236"/>
      <c r="AS839" s="1493"/>
      <c r="AT839" s="1263"/>
      <c r="AU839" s="1324"/>
      <c r="AV839" s="1324">
        <f>IFERROR(Model!AV839/Model!AU839-1,"NA")</f>
        <v>1.6417437252311817E-2</v>
      </c>
      <c r="AW839" s="1324">
        <f>IFERROR(Model!AW839/Model!AV839-1,"NA")</f>
        <v>-1.891159551135535E-2</v>
      </c>
      <c r="AX839" s="1324">
        <f>IFERROR(Model!AX839/Model!AW839-1,"NA")</f>
        <v>-6.843264508767577E-2</v>
      </c>
      <c r="AY839" s="1324">
        <f>IFERROR(Model!AY839/Model!AX839-1,"NA")</f>
        <v>4.1428555176768134E-2</v>
      </c>
      <c r="AZ839" s="1324">
        <f>IFERROR(Model!AZ839/Model!AY839-1,"NA")</f>
        <v>4.588685950653959E-2</v>
      </c>
      <c r="BA839" s="1324">
        <f>IFERROR(Model!BA839/Model!AZ839-1,"NA")</f>
        <v>6.036306646940659E-2</v>
      </c>
      <c r="BB839" s="1324">
        <f>IFERROR(Model!BB839/Model!BA839-1,"NA")</f>
        <v>3.6402481716700352E-2</v>
      </c>
      <c r="BC839" s="1324">
        <f>IFERROR(Model!BC839/Model!BB839-1,"NA")</f>
        <v>2.6855249536858583E-2</v>
      </c>
      <c r="BD839" s="1324">
        <f>IFERROR(Model!BD839/Model!BC839-1,"NA")</f>
        <v>3.3963507354545452E-2</v>
      </c>
      <c r="BE839" s="1324">
        <f>IFERROR(Model!BE839/Model!BD839-1,"NA")</f>
        <v>3.2515303954525621E-2</v>
      </c>
    </row>
    <row r="840" spans="1:69" s="369" customFormat="1" x14ac:dyDescent="0.2">
      <c r="A840" s="411"/>
      <c r="B840" s="644"/>
      <c r="C840" s="643"/>
      <c r="D840" s="1304"/>
      <c r="E840" s="1304"/>
      <c r="F840" s="1304"/>
      <c r="G840" s="1304"/>
      <c r="H840" s="1304"/>
      <c r="I840" s="1304"/>
      <c r="J840" s="1304"/>
      <c r="K840" s="1304"/>
      <c r="L840" s="1304"/>
      <c r="M840" s="1304"/>
      <c r="N840" s="1304"/>
      <c r="O840" s="1304"/>
      <c r="P840" s="1304"/>
      <c r="Q840" s="1304"/>
      <c r="R840" s="1304"/>
      <c r="S840" s="1304"/>
      <c r="T840" s="1304"/>
      <c r="U840" s="1304"/>
      <c r="V840" s="1304"/>
      <c r="W840" s="1304"/>
      <c r="X840" s="1304"/>
      <c r="Y840" s="1304"/>
      <c r="Z840" s="1304"/>
      <c r="AA840" s="1304"/>
      <c r="AB840" s="1304"/>
      <c r="AC840" s="1311"/>
      <c r="AD840" s="1311"/>
      <c r="AE840" s="1311"/>
      <c r="AF840" s="1311"/>
      <c r="AG840" s="1311"/>
      <c r="AH840" s="1311"/>
      <c r="AI840" s="1410"/>
      <c r="AJ840" s="1410"/>
      <c r="AK840" s="1410"/>
      <c r="AL840" s="1410"/>
      <c r="AM840" s="1410"/>
      <c r="AN840" s="1410"/>
      <c r="AO840" s="1410"/>
      <c r="AP840" s="1410"/>
      <c r="AQ840" s="1410"/>
      <c r="AR840" s="1236"/>
      <c r="AS840" s="1491"/>
      <c r="AT840" s="1263"/>
      <c r="AU840" s="1410"/>
      <c r="AV840" s="1410"/>
      <c r="AW840" s="1410"/>
      <c r="AX840" s="1410"/>
      <c r="AY840" s="1410"/>
      <c r="AZ840" s="1410"/>
      <c r="BA840" s="1263"/>
      <c r="BB840" s="1410"/>
      <c r="BC840" s="1410"/>
      <c r="BD840" s="1410"/>
      <c r="BE840" s="1410"/>
    </row>
    <row r="841" spans="1:69" s="369" customFormat="1" x14ac:dyDescent="0.2">
      <c r="A841" s="411"/>
      <c r="B841" s="634" t="s">
        <v>11</v>
      </c>
      <c r="C841" s="643"/>
      <c r="D841" s="1240"/>
      <c r="E841" s="1240"/>
      <c r="F841" s="1240"/>
      <c r="G841" s="1240"/>
      <c r="H841" s="1240">
        <f>IFERROR(Model!H841/Model!D841-1,"NA")</f>
        <v>-0.18239145416953828</v>
      </c>
      <c r="I841" s="1240">
        <f>IFERROR(Model!I841/Model!E841-1,"NA")</f>
        <v>-0.21842743833979206</v>
      </c>
      <c r="J841" s="1240">
        <f>IFERROR(Model!J841/Model!F841-1,"NA")</f>
        <v>-0.20493131656119767</v>
      </c>
      <c r="K841" s="1240">
        <f>IFERROR(Model!K841/Model!G841-1,"NA")</f>
        <v>-0.22812806914162242</v>
      </c>
      <c r="L841" s="1240">
        <f>IFERROR(Model!L841/Model!H841-1,"NA")</f>
        <v>-0.20246976018881446</v>
      </c>
      <c r="M841" s="1240">
        <f>IFERROR(Model!M841/Model!I841-1,"NA")</f>
        <v>-0.17099165894346613</v>
      </c>
      <c r="N841" s="1240">
        <f>IFERROR(Model!N841/Model!J841-1,"NA")</f>
        <v>-0.17908274690609072</v>
      </c>
      <c r="O841" s="1240">
        <f>IFERROR(Model!O841/Model!K841-1,"NA")</f>
        <v>-0.18597312703583058</v>
      </c>
      <c r="P841" s="1240">
        <f>IFERROR(Model!P841/Model!L841-1,"NA")</f>
        <v>-0.22855783966601495</v>
      </c>
      <c r="Q841" s="1240">
        <f>IFERROR(Model!Q841/Model!M841-1,"NA")</f>
        <v>-0.21324762437115707</v>
      </c>
      <c r="R841" s="1240">
        <f>IFERROR(Model!R841/Model!N841-1,"NA")</f>
        <v>-0.19444280224652677</v>
      </c>
      <c r="S841" s="1240">
        <f>IFERROR(Model!S841/Model!O841-1,"NA")</f>
        <v>-0.21057896711266721</v>
      </c>
      <c r="T841" s="1240">
        <f>IFERROR(Model!T841/Model!P841-1,"NA")</f>
        <v>-0.12919578024386902</v>
      </c>
      <c r="U841" s="1240">
        <f>IFERROR(Model!U841/Model!Q841-1,"NA")</f>
        <v>-0.12582593250444052</v>
      </c>
      <c r="V841" s="1240">
        <f>IFERROR(Model!V841/Model!R841-1,"NA")</f>
        <v>-8.7112872449728429E-2</v>
      </c>
      <c r="W841" s="1240">
        <f>IFERROR(Model!W841/Model!S841-1,"NA")</f>
        <v>-4.4828132425154488E-2</v>
      </c>
      <c r="X841" s="1240">
        <f>IFERROR(Model!X841/Model!T841-1,"NA")</f>
        <v>-5.3650094398993042E-2</v>
      </c>
      <c r="Y841" s="1240">
        <f>IFERROR(Model!Y841/Model!U841-1,"NA")</f>
        <v>-2.2675552665799792E-2</v>
      </c>
      <c r="Z841" s="1240">
        <f>IFERROR(Model!Z841/Model!V841-1,"NA")</f>
        <v>-5.868638958115624E-3</v>
      </c>
      <c r="AA841" s="1240">
        <f>IFERROR(Model!AA841/Model!W841-1,"NA")</f>
        <v>2.4461028192371392E-2</v>
      </c>
      <c r="AB841" s="1240">
        <f>IFERROR(Model!AB841/Model!X841-1,"NA")</f>
        <v>2.6932668329177067E-2</v>
      </c>
      <c r="AC841" s="1263">
        <f>IFERROR(Model!AC841/Model!Y841-1,"NA")</f>
        <v>4.2056921680289294E-2</v>
      </c>
      <c r="AD841" s="1263">
        <f>IFERROR(Model!AD841/Model!Z841-1,"NA")</f>
        <v>2.8328126999148662E-2</v>
      </c>
      <c r="AE841" s="1263">
        <f>IFERROR(Model!AE841/Model!AA841-1,"NA")</f>
        <v>4.5591474829133283E-2</v>
      </c>
      <c r="AF841" s="1263">
        <f>IFERROR(Model!AF841/Model!AB841-1,"NA")</f>
        <v>6.0521540323521528E-2</v>
      </c>
      <c r="AG841" s="1263">
        <f>IFERROR(Model!AG841/Model!AC841-1,"NA")</f>
        <v>6.1352448190166387E-2</v>
      </c>
      <c r="AH841" s="1263">
        <f>IFERROR(Model!AH841/Model!AD841-1,"NA")</f>
        <v>6.2421621780508918E-2</v>
      </c>
      <c r="AI841" s="1263">
        <f>IFERROR(Model!AI841/Model!AE841-1,"NA")</f>
        <v>6.2878987000937858E-2</v>
      </c>
      <c r="AJ841" s="1263"/>
      <c r="AK841" s="1263"/>
      <c r="AL841" s="1263"/>
      <c r="AM841" s="1263"/>
      <c r="AN841" s="1263"/>
      <c r="AO841" s="1263"/>
      <c r="AP841" s="1263"/>
      <c r="AQ841" s="1263"/>
      <c r="AR841" s="1236"/>
      <c r="AS841" s="1491"/>
      <c r="AT841" s="1263"/>
      <c r="AU841" s="1263"/>
      <c r="AV841" s="1263">
        <f>IFERROR(Model!AV841/Model!AU841-1,"NA")</f>
        <v>-0.22812806914162242</v>
      </c>
      <c r="AW841" s="1263">
        <f>IFERROR(Model!AW841/Model!AV841-1,"NA")</f>
        <v>-0.18597312703583058</v>
      </c>
      <c r="AX841" s="1263">
        <f>IFERROR(Model!AX841/Model!AW841-1,"NA")</f>
        <v>-0.21057896711266721</v>
      </c>
      <c r="AY841" s="1263">
        <f>IFERROR(Model!AY841/Model!AX841-1,"NA")</f>
        <v>-4.4828132425154488E-2</v>
      </c>
      <c r="AZ841" s="1263">
        <f>IFERROR(Model!AZ841/Model!AY841-1,"NA")</f>
        <v>2.4461028192371392E-2</v>
      </c>
      <c r="BA841" s="1263">
        <f>IFERROR(Model!BA841/Model!AZ841-1,"NA")</f>
        <v>4.5591474829133283E-2</v>
      </c>
      <c r="BB841" s="1263">
        <f>IFERROR(Model!BB841/Model!BA841-1,"NA")</f>
        <v>6.2878987000937858E-2</v>
      </c>
      <c r="BC841" s="1263">
        <f>IFERROR(Model!BC841/Model!BB841-1,"NA")</f>
        <v>6.6955717640405421E-2</v>
      </c>
      <c r="BD841" s="1263">
        <f>IFERROR(Model!BD841/Model!BC841-1,"NA")</f>
        <v>6.948992270357679E-2</v>
      </c>
      <c r="BE841" s="1263">
        <f>IFERROR(Model!BE841/Model!BD841-1,"NA")</f>
        <v>7.2082545520561592E-2</v>
      </c>
      <c r="BM841" s="238"/>
      <c r="BN841" s="238"/>
      <c r="BO841" s="238"/>
      <c r="BP841" s="238"/>
      <c r="BQ841" s="238"/>
    </row>
    <row r="842" spans="1:69" s="369" customFormat="1" x14ac:dyDescent="0.2">
      <c r="A842" s="411"/>
      <c r="B842" s="646" t="s">
        <v>61</v>
      </c>
      <c r="C842" s="643"/>
      <c r="D842" s="1240"/>
      <c r="E842" s="1240"/>
      <c r="F842" s="1240"/>
      <c r="G842" s="1240"/>
      <c r="H842" s="1240">
        <f>IFERROR(Model!H842/Model!D842-1,"NA")</f>
        <v>-1.3018209996125574E-2</v>
      </c>
      <c r="I842" s="1240">
        <f>IFERROR(Model!I842/Model!E842-1,"NA")</f>
        <v>-2.3034964486127962E-2</v>
      </c>
      <c r="J842" s="1240">
        <f>IFERROR(Model!J842/Model!F842-1,"NA")</f>
        <v>-3.1526143160331865E-2</v>
      </c>
      <c r="K842" s="1240">
        <f>IFERROR(Model!K842/Model!G842-1,"NA")</f>
        <v>-2.5863747906360812E-2</v>
      </c>
      <c r="L842" s="1240">
        <f>IFERROR(Model!L842/Model!H842-1,"NA")</f>
        <v>-1.8293161655020818E-2</v>
      </c>
      <c r="M842" s="1240">
        <f>IFERROR(Model!M842/Model!I842-1,"NA")</f>
        <v>7.6719151670952002E-3</v>
      </c>
      <c r="N842" s="1240">
        <f>IFERROR(Model!N842/Model!J842-1,"NA")</f>
        <v>-2.3826599729062092E-2</v>
      </c>
      <c r="O842" s="1240">
        <f>IFERROR(Model!O842/Model!K842-1,"NA")</f>
        <v>-5.6659602543084442E-2</v>
      </c>
      <c r="P842" s="1240">
        <f>IFERROR(Model!P842/Model!L842-1,"NA")</f>
        <v>-7.4296225207933442E-2</v>
      </c>
      <c r="Q842" s="1240">
        <f>IFERROR(Model!Q842/Model!M842-1,"NA")</f>
        <v>-8.2712161677362728E-2</v>
      </c>
      <c r="R842" s="1240">
        <f>IFERROR(Model!R842/Model!N842-1,"NA")</f>
        <v>-8.3918367346938805E-2</v>
      </c>
      <c r="S842" s="1240">
        <f>IFERROR(Model!S842/Model!O842-1,"NA")</f>
        <v>-5.2687351644625346E-2</v>
      </c>
      <c r="T842" s="1240">
        <f>IFERROR(Model!T842/Model!P842-1,"NA")</f>
        <v>-2.4838012958963263E-2</v>
      </c>
      <c r="U842" s="1240">
        <f>IFERROR(Model!U842/Model!Q842-1,"NA")</f>
        <v>-2.2423083608552052E-2</v>
      </c>
      <c r="V842" s="1240">
        <f>IFERROR(Model!V842/Model!R842-1,"NA")</f>
        <v>4.2327570842985995E-3</v>
      </c>
      <c r="W842" s="1240">
        <f>IFERROR(Model!W842/Model!S842-1,"NA")</f>
        <v>-3.0873864602443013E-2</v>
      </c>
      <c r="X842" s="1240">
        <f>IFERROR(Model!X842/Model!T842-1,"NA")</f>
        <v>-1.3732004429678812E-2</v>
      </c>
      <c r="Y842" s="1240">
        <f>IFERROR(Model!Y842/Model!U842-1,"NA")</f>
        <v>-6.5344950213370723E-3</v>
      </c>
      <c r="Z842" s="1240">
        <f>IFERROR(Model!Z842/Model!V842-1,"NA")</f>
        <v>-8.6073028972003529E-3</v>
      </c>
      <c r="AA842" s="1240">
        <f>IFERROR(Model!AA842/Model!W842-1,"NA")</f>
        <v>2.7563599427489649E-2</v>
      </c>
      <c r="AB842" s="1240">
        <f>IFERROR(Model!AB842/Model!X842-1,"NA")</f>
        <v>1.7695935324500311E-2</v>
      </c>
      <c r="AC842" s="1263">
        <f>IFERROR(Model!AC842/Model!Y842-1,"NA")</f>
        <v>1.3870866705445462E-2</v>
      </c>
      <c r="AD842" s="1263">
        <f>IFERROR(Model!AD842/Model!Z842-1,"NA")</f>
        <v>1.4052360707093259E-2</v>
      </c>
      <c r="AE842" s="1263">
        <f>IFERROR(Model!AE842/Model!AA842-1,"NA")</f>
        <v>1.8107476635514042E-2</v>
      </c>
      <c r="AF842" s="1263">
        <f>IFERROR(Model!AF842/Model!AB842-1,"NA")</f>
        <v>0</v>
      </c>
      <c r="AG842" s="1263">
        <f>IFERROR(Model!AG842/Model!AC842-1,"NA")</f>
        <v>0</v>
      </c>
      <c r="AH842" s="1263">
        <f>IFERROR(Model!AH842/Model!AD842-1,"NA")</f>
        <v>0</v>
      </c>
      <c r="AI842" s="1263">
        <f>IFERROR(Model!AI842/Model!AE842-1,"NA")</f>
        <v>0</v>
      </c>
      <c r="AJ842" s="1263"/>
      <c r="AK842" s="1263"/>
      <c r="AL842" s="1263"/>
      <c r="AM842" s="1263"/>
      <c r="AN842" s="1263"/>
      <c r="AO842" s="1263"/>
      <c r="AP842" s="1263"/>
      <c r="AQ842" s="1263"/>
      <c r="AR842" s="1236"/>
      <c r="AS842" s="1491"/>
      <c r="AT842" s="1263"/>
      <c r="AU842" s="1263"/>
      <c r="AV842" s="1263">
        <f>IFERROR(Model!AV842/Model!AU842-1,"NA")</f>
        <v>-2.5863747906360812E-2</v>
      </c>
      <c r="AW842" s="1263">
        <f>IFERROR(Model!AW842/Model!AV842-1,"NA")</f>
        <v>-5.6659602543084442E-2</v>
      </c>
      <c r="AX842" s="1263">
        <f>IFERROR(Model!AX842/Model!AW842-1,"NA")</f>
        <v>-5.2687351644625346E-2</v>
      </c>
      <c r="AY842" s="1263">
        <f>IFERROR(Model!AY842/Model!AX842-1,"NA")</f>
        <v>-3.0873864602443013E-2</v>
      </c>
      <c r="AZ842" s="1263">
        <f>IFERROR(Model!AZ842/Model!AY842-1,"NA")</f>
        <v>2.7563599427489649E-2</v>
      </c>
      <c r="BA842" s="1263">
        <f>IFERROR(Model!BA842/Model!AZ842-1,"NA")</f>
        <v>1.8107476635514042E-2</v>
      </c>
      <c r="BB842" s="1263">
        <f>IFERROR(Model!BB842/Model!BA842-1,"NA")</f>
        <v>0</v>
      </c>
      <c r="BC842" s="1263">
        <f>IFERROR(Model!BC842/Model!BB842-1,"NA")</f>
        <v>0</v>
      </c>
      <c r="BD842" s="1263">
        <f>IFERROR(Model!BD842/Model!BC842-1,"NA")</f>
        <v>0</v>
      </c>
      <c r="BE842" s="1263">
        <f>IFERROR(Model!BE842/Model!BD842-1,"NA")</f>
        <v>0</v>
      </c>
      <c r="BM842" s="238"/>
      <c r="BN842" s="238"/>
      <c r="BO842" s="238"/>
      <c r="BP842" s="238"/>
      <c r="BQ842" s="238"/>
    </row>
    <row r="843" spans="1:69" s="369" customFormat="1" x14ac:dyDescent="0.2">
      <c r="A843" s="411"/>
      <c r="B843" s="646" t="s">
        <v>93</v>
      </c>
      <c r="C843" s="647"/>
      <c r="D843" s="1240"/>
      <c r="E843" s="1240"/>
      <c r="F843" s="1240"/>
      <c r="G843" s="1240"/>
      <c r="H843" s="1240">
        <f>IFERROR(Model!H843/Model!D843-1,"NA")</f>
        <v>-0.14907219709964137</v>
      </c>
      <c r="I843" s="1240">
        <f>IFERROR(Model!I843/Model!E843-1,"NA")</f>
        <v>-0.19087069525666012</v>
      </c>
      <c r="J843" s="1240">
        <f>IFERROR(Model!J843/Model!F843-1,"NA")</f>
        <v>-0.18027838336407853</v>
      </c>
      <c r="K843" s="1240">
        <f>IFERROR(Model!K843/Model!G843-1,"NA")</f>
        <v>-0.11251535896085663</v>
      </c>
      <c r="L843" s="1240">
        <f>IFERROR(Model!L843/Model!H843-1,"NA")</f>
        <v>-0.10371999266996523</v>
      </c>
      <c r="M843" s="1240">
        <f>IFERROR(Model!M843/Model!I843-1,"NA")</f>
        <v>-5.6012848825537032E-2</v>
      </c>
      <c r="N843" s="1240">
        <f>IFERROR(Model!N843/Model!J843-1,"NA")</f>
        <v>-7.4263502454991803E-2</v>
      </c>
      <c r="O843" s="1240">
        <f>IFERROR(Model!O843/Model!K843-1,"NA")</f>
        <v>-9.6914556962025333E-2</v>
      </c>
      <c r="P843" s="1240">
        <f>IFERROR(Model!P843/Model!L843-1,"NA")</f>
        <v>-0.13228378654671846</v>
      </c>
      <c r="Q843" s="1240">
        <f>IFERROR(Model!Q843/Model!M843-1,"NA")</f>
        <v>-0.13419821352615913</v>
      </c>
      <c r="R843" s="1240">
        <f>IFERROR(Model!R843/Model!N843-1,"NA")</f>
        <v>-0.14254143646408834</v>
      </c>
      <c r="S843" s="1240">
        <f>IFERROR(Model!S843/Model!O843-1,"NA")</f>
        <v>-0.1850635129215944</v>
      </c>
      <c r="T843" s="1240">
        <f>IFERROR(Model!T843/Model!P843-1,"NA")</f>
        <v>-0.17695570216776624</v>
      </c>
      <c r="U843" s="1240">
        <f>IFERROR(Model!U843/Model!Q843-1,"NA")</f>
        <v>0.35617784328174906</v>
      </c>
      <c r="V843" s="1240">
        <f>IFERROR(Model!V843/Model!R843-1,"NA")</f>
        <v>0.38092783505154637</v>
      </c>
      <c r="W843" s="1240">
        <f>IFERROR(Model!W843/Model!S843-1,"NA")</f>
        <v>0.37436173071754908</v>
      </c>
      <c r="X843" s="1240">
        <f>IFERROR(Model!X843/Model!T843-1,"NA")</f>
        <v>0.43515602633839112</v>
      </c>
      <c r="Y843" s="1240">
        <f>IFERROR(Model!Y843/Model!U843-1,"NA")</f>
        <v>-0.11483426915413875</v>
      </c>
      <c r="Z843" s="1240">
        <f>IFERROR(Model!Z843/Model!V843-1,"NA")</f>
        <v>-0.11683463979096675</v>
      </c>
      <c r="AA843" s="1240">
        <f>IFERROR(Model!AA843/Model!W843-1,"NA")</f>
        <v>-0.1028549080954243</v>
      </c>
      <c r="AB843" s="1240">
        <f>IFERROR(Model!AB843/Model!X843-1,"NA")</f>
        <v>-0.11230799920207457</v>
      </c>
      <c r="AC843" s="1263">
        <f>IFERROR(Model!AC843/Model!Y843-1,"NA")</f>
        <v>-8.9420912625332472E-2</v>
      </c>
      <c r="AD843" s="1263">
        <f>IFERROR(Model!AD843/Model!Z843-1,"NA")</f>
        <v>-5.9594251901944228E-2</v>
      </c>
      <c r="AE843" s="1263">
        <f>IFERROR(Model!AE843/Model!AA843-1,"NA")</f>
        <v>-3.0078465562336509E-2</v>
      </c>
      <c r="AF843" s="1263">
        <f>IFERROR(Model!AF843/Model!AB843-1,"NA")</f>
        <v>0</v>
      </c>
      <c r="AG843" s="1263">
        <f>IFERROR(Model!AG843/Model!AC843-1,"NA")</f>
        <v>0</v>
      </c>
      <c r="AH843" s="1263">
        <f>IFERROR(Model!AH843/Model!AD843-1,"NA")</f>
        <v>0</v>
      </c>
      <c r="AI843" s="1263">
        <f>IFERROR(Model!AI843/Model!AE843-1,"NA")</f>
        <v>0</v>
      </c>
      <c r="AJ843" s="1263"/>
      <c r="AK843" s="1263"/>
      <c r="AL843" s="1263"/>
      <c r="AM843" s="1263"/>
      <c r="AN843" s="1263"/>
      <c r="AO843" s="1263"/>
      <c r="AP843" s="1263"/>
      <c r="AQ843" s="1263"/>
      <c r="AR843" s="1236"/>
      <c r="AS843" s="1491"/>
      <c r="AT843" s="1494"/>
      <c r="AU843" s="1263"/>
      <c r="AV843" s="1263">
        <f>IFERROR(Model!AV843/Model!AU843-1,"NA")</f>
        <v>-0.11251535896085663</v>
      </c>
      <c r="AW843" s="1263">
        <f>IFERROR(Model!AW843/Model!AV843-1,"NA")</f>
        <v>-9.6914556962025333E-2</v>
      </c>
      <c r="AX843" s="1263">
        <f>IFERROR(Model!AX843/Model!AW843-1,"NA")</f>
        <v>-0.1850635129215944</v>
      </c>
      <c r="AY843" s="1263">
        <f>IFERROR(Model!AY843/Model!AX843-1,"NA")</f>
        <v>0.37436173071754908</v>
      </c>
      <c r="AZ843" s="1263">
        <f>IFERROR(Model!AZ843/Model!AY843-1,"NA")</f>
        <v>-0.1028549080954243</v>
      </c>
      <c r="BA843" s="1263">
        <f>IFERROR(Model!BA843/Model!AZ843-1,"NA")</f>
        <v>-3.0078465562336509E-2</v>
      </c>
      <c r="BB843" s="1263">
        <f>IFERROR(Model!BB843/Model!BA843-1,"NA")</f>
        <v>0</v>
      </c>
      <c r="BC843" s="1263">
        <f>IFERROR(Model!BC843/Model!BB843-1,"NA")</f>
        <v>0</v>
      </c>
      <c r="BD843" s="1263">
        <f>IFERROR(Model!BD843/Model!BC843-1,"NA")</f>
        <v>0</v>
      </c>
      <c r="BE843" s="1263">
        <f>IFERROR(Model!BE843/Model!BD843-1,"NA")</f>
        <v>0</v>
      </c>
      <c r="BM843" s="391"/>
      <c r="BN843" s="391"/>
      <c r="BO843" s="391"/>
      <c r="BP843" s="391"/>
      <c r="BQ843" s="391"/>
    </row>
    <row r="844" spans="1:69" s="369" customFormat="1" x14ac:dyDescent="0.2">
      <c r="A844" s="411"/>
      <c r="B844" s="646" t="s">
        <v>99</v>
      </c>
      <c r="C844" s="647"/>
      <c r="D844" s="1240"/>
      <c r="E844" s="1240"/>
      <c r="F844" s="1240"/>
      <c r="G844" s="1240"/>
      <c r="H844" s="1240">
        <f>IFERROR(Model!H844/Model!D844-1,"NA")</f>
        <v>-0.1813452248234857</v>
      </c>
      <c r="I844" s="1240">
        <f>IFERROR(Model!I844/Model!E844-1,"NA")</f>
        <v>0.19225318847425599</v>
      </c>
      <c r="J844" s="1240">
        <f>IFERROR(Model!J844/Model!F844-1,"NA")</f>
        <v>0.34375</v>
      </c>
      <c r="K844" s="1240">
        <f>IFERROR(Model!K844/Model!G844-1,"NA")</f>
        <v>0.39958805355303806</v>
      </c>
      <c r="L844" s="1240">
        <f>IFERROR(Model!L844/Model!H844-1,"NA")</f>
        <v>0.17385383567862012</v>
      </c>
      <c r="M844" s="1240">
        <f>IFERROR(Model!M844/Model!I844-1,"NA")</f>
        <v>-9.5879556259904963E-2</v>
      </c>
      <c r="N844" s="1240">
        <f>IFERROR(Model!N844/Model!J844-1,"NA")</f>
        <v>-0.1887596899224806</v>
      </c>
      <c r="O844" s="1240">
        <f>IFERROR(Model!O844/Model!K844-1,"NA")</f>
        <v>-0.32119205298013243</v>
      </c>
      <c r="P844" s="1240">
        <f>IFERROR(Model!P844/Model!L844-1,"NA")</f>
        <v>-0.34841453982985304</v>
      </c>
      <c r="Q844" s="1240">
        <f>IFERROR(Model!Q844/Model!M844-1,"NA")</f>
        <v>-0.15687992988606481</v>
      </c>
      <c r="R844" s="1240">
        <f>IFERROR(Model!R844/Model!N844-1,"NA")</f>
        <v>-0.15623506927854758</v>
      </c>
      <c r="S844" s="1240">
        <f>IFERROR(Model!S844/Model!O844-1,"NA")</f>
        <v>-3.468834688346889E-2</v>
      </c>
      <c r="T844" s="1240">
        <f>IFERROR(Model!T844/Model!P844-1,"NA")</f>
        <v>-9.5548961424332335E-2</v>
      </c>
      <c r="U844" s="1240">
        <f>IFERROR(Model!U844/Model!Q844-1,"NA")</f>
        <v>-0.31185031185031187</v>
      </c>
      <c r="V844" s="1240">
        <f>IFERROR(Model!V844/Model!R844-1,"NA")</f>
        <v>-0.2808607021517554</v>
      </c>
      <c r="W844" s="1240">
        <f>IFERROR(Model!W844/Model!S844-1,"NA")</f>
        <v>-0.12184166198764734</v>
      </c>
      <c r="X844" s="1240">
        <f>IFERROR(Model!X844/Model!T844-1,"NA")</f>
        <v>-0.62795275590551181</v>
      </c>
      <c r="Y844" s="1240">
        <f>IFERROR(Model!Y844/Model!U844-1,"NA")</f>
        <v>-0.57703927492447127</v>
      </c>
      <c r="Z844" s="1240">
        <f>IFERROR(Model!Z844/Model!V844-1,"NA")</f>
        <v>-0.5645669291338582</v>
      </c>
      <c r="AA844" s="1240">
        <f>IFERROR(Model!AA844/Model!W844-1,"NA")</f>
        <v>-0.64322250639386191</v>
      </c>
      <c r="AB844" s="1240">
        <f>IFERROR(Model!AB844/Model!X844-1,"NA")</f>
        <v>3.5273368606701938E-2</v>
      </c>
      <c r="AC844" s="1263">
        <f>IFERROR(Model!AC844/Model!Y844-1,"NA")</f>
        <v>4.8214285714285765E-2</v>
      </c>
      <c r="AD844" s="1263">
        <f>IFERROR(Model!AD844/Model!Z844-1,"NA")</f>
        <v>6.1482820976491936E-2</v>
      </c>
      <c r="AE844" s="1263">
        <f>IFERROR(Model!AE844/Model!AA844-1,"NA")</f>
        <v>5.1971326164874654E-2</v>
      </c>
      <c r="AF844" s="1263">
        <f>IFERROR(Model!AF844/Model!AB844-1,"NA")</f>
        <v>0</v>
      </c>
      <c r="AG844" s="1263">
        <f>IFERROR(Model!AG844/Model!AC844-1,"NA")</f>
        <v>0</v>
      </c>
      <c r="AH844" s="1263">
        <f>IFERROR(Model!AH844/Model!AD844-1,"NA")</f>
        <v>0</v>
      </c>
      <c r="AI844" s="1263">
        <f>IFERROR(Model!AI844/Model!AE844-1,"NA")</f>
        <v>0</v>
      </c>
      <c r="AJ844" s="1263"/>
      <c r="AK844" s="1263"/>
      <c r="AL844" s="1263"/>
      <c r="AM844" s="1263"/>
      <c r="AN844" s="1263"/>
      <c r="AO844" s="1263"/>
      <c r="AP844" s="1263"/>
      <c r="AQ844" s="1263"/>
      <c r="AR844" s="1236"/>
      <c r="AS844" s="1491"/>
      <c r="AT844" s="1494"/>
      <c r="AU844" s="1263"/>
      <c r="AV844" s="1263">
        <f>IFERROR(Model!AV844/Model!AU844-1,"NA")</f>
        <v>0.39958805355303806</v>
      </c>
      <c r="AW844" s="1263">
        <f>IFERROR(Model!AW844/Model!AV844-1,"NA")</f>
        <v>-0.32119205298013243</v>
      </c>
      <c r="AX844" s="1263">
        <f>IFERROR(Model!AX844/Model!AW844-1,"NA")</f>
        <v>-3.468834688346889E-2</v>
      </c>
      <c r="AY844" s="1263">
        <f>IFERROR(Model!AY844/Model!AX844-1,"NA")</f>
        <v>-0.12184166198764734</v>
      </c>
      <c r="AZ844" s="1263">
        <f>IFERROR(Model!AZ844/Model!AY844-1,"NA")</f>
        <v>-0.64322250639386191</v>
      </c>
      <c r="BA844" s="1263">
        <f>IFERROR(Model!BA844/Model!AZ844-1,"NA")</f>
        <v>5.1971326164874654E-2</v>
      </c>
      <c r="BB844" s="1263">
        <f>IFERROR(Model!BB844/Model!BA844-1,"NA")</f>
        <v>0</v>
      </c>
      <c r="BC844" s="1263">
        <f>IFERROR(Model!BC844/Model!BB844-1,"NA")</f>
        <v>0</v>
      </c>
      <c r="BD844" s="1263">
        <f>IFERROR(Model!BD844/Model!BC844-1,"NA")</f>
        <v>0</v>
      </c>
      <c r="BE844" s="1263">
        <f>IFERROR(Model!BE844/Model!BD844-1,"NA")</f>
        <v>0</v>
      </c>
      <c r="BM844" s="391"/>
      <c r="BN844" s="391"/>
      <c r="BO844" s="391"/>
      <c r="BP844" s="391"/>
      <c r="BQ844" s="391"/>
    </row>
    <row r="845" spans="1:69" s="369" customFormat="1" x14ac:dyDescent="0.2">
      <c r="A845" s="411"/>
      <c r="B845" s="634" t="s">
        <v>130</v>
      </c>
      <c r="C845" s="345"/>
      <c r="D845" s="1301"/>
      <c r="E845" s="1301"/>
      <c r="F845" s="1301"/>
      <c r="G845" s="1301"/>
      <c r="H845" s="1301">
        <f>IFERROR(Model!H845/Model!D845-1,"NA")</f>
        <v>-2.0980915882785611E-2</v>
      </c>
      <c r="I845" s="1301">
        <f>IFERROR(Model!I845/Model!E845-1,"NA")</f>
        <v>-1.1352215469501492E-2</v>
      </c>
      <c r="J845" s="1301">
        <f>IFERROR(Model!J845/Model!F845-1,"NA")</f>
        <v>-5.6413433629868059E-2</v>
      </c>
      <c r="K845" s="1301">
        <f>IFERROR(Model!K845/Model!G845-1,"NA")</f>
        <v>-0.11443601072959975</v>
      </c>
      <c r="L845" s="1301">
        <f>IFERROR(Model!L845/Model!H845-1,"NA")</f>
        <v>-0.10552502207636449</v>
      </c>
      <c r="M845" s="1301">
        <f>IFERROR(Model!M845/Model!I845-1,"NA")</f>
        <v>-4.114757453776352E-2</v>
      </c>
      <c r="N845" s="1301">
        <f>IFERROR(Model!N845/Model!J845-1,"NA")</f>
        <v>-3.5848868080733065E-2</v>
      </c>
      <c r="O845" s="1301">
        <f>IFERROR(Model!O845/Model!K845-1,"NA")</f>
        <v>-4.4130977912401281E-2</v>
      </c>
      <c r="P845" s="1301">
        <f>IFERROR(Model!P845/Model!L845-1,"NA")</f>
        <v>5.3995712170216592E-2</v>
      </c>
      <c r="Q845" s="1301">
        <f>IFERROR(Model!Q845/Model!M845-1,"NA")</f>
        <v>1.8820398608215605E-2</v>
      </c>
      <c r="R845" s="1301">
        <f>IFERROR(Model!R845/Model!N845-1,"NA")</f>
        <v>4.7759691471800814E-2</v>
      </c>
      <c r="S845" s="1301">
        <f>IFERROR(Model!S845/Model!O845-1,"NA")</f>
        <v>3.117988573543351E-2</v>
      </c>
      <c r="T845" s="1301">
        <f>IFERROR(Model!T845/Model!P845-1,"NA")</f>
        <v>-9.2218758300596892E-2</v>
      </c>
      <c r="U845" s="1301">
        <f>IFERROR(Model!U845/Model!Q845-1,"NA")</f>
        <v>-7.0531623645100017E-2</v>
      </c>
      <c r="V845" s="1301">
        <f>IFERROR(Model!V845/Model!R845-1,"NA")</f>
        <v>-0.1151930481472323</v>
      </c>
      <c r="W845" s="1301">
        <f>IFERROR(Model!W845/Model!S845-1,"NA")</f>
        <v>-4.2880748899007837E-2</v>
      </c>
      <c r="X845" s="1301">
        <f>IFERROR(Model!X845/Model!T845-1,"NA")</f>
        <v>-2.5225419461149312E-2</v>
      </c>
      <c r="Y845" s="1301">
        <f>IFERROR(Model!Y845/Model!U845-1,"NA")</f>
        <v>-1.0805124544464029E-2</v>
      </c>
      <c r="Z845" s="1301">
        <f>IFERROR(Model!Z845/Model!V845-1,"NA")</f>
        <v>4.0498243372724341E-2</v>
      </c>
      <c r="AA845" s="1301">
        <f>IFERROR(Model!AA845/Model!W845-1,"NA")</f>
        <v>-0.18280107493281672</v>
      </c>
      <c r="AB845" s="1301">
        <f>IFERROR(Model!AB845/Model!X845-1,"NA")</f>
        <v>-0.163603042822273</v>
      </c>
      <c r="AC845" s="1301">
        <f>IFERROR(Model!AC845/Model!Y845-1,"NA")</f>
        <v>-0.19063989551578142</v>
      </c>
      <c r="AD845" s="1301">
        <f>IFERROR(Model!AD845/Model!Z845-1,"NA")</f>
        <v>-0.17878439713118921</v>
      </c>
      <c r="AE845" s="1301">
        <f>IFERROR(Model!AE845/Model!AA845-1,"NA")</f>
        <v>2.8970704367848654E-2</v>
      </c>
      <c r="AF845" s="1301">
        <f>IFERROR(Model!AF845/Model!AB845-1,"NA")</f>
        <v>2.2530290437169143E-2</v>
      </c>
      <c r="AG845" s="1301">
        <f>IFERROR(Model!AG845/Model!AC845-1,"NA")</f>
        <v>2.3734098459447406E-2</v>
      </c>
      <c r="AH845" s="1301">
        <f>IFERROR(Model!AH845/Model!AD845-1,"NA")</f>
        <v>2.9432734192058607E-2</v>
      </c>
      <c r="AI845" s="1301">
        <f>IFERROR(Model!AI845/Model!AE845-1,"NA")</f>
        <v>3.5174080512952566E-2</v>
      </c>
      <c r="AJ845" s="1301"/>
      <c r="AK845" s="1301"/>
      <c r="AL845" s="1301"/>
      <c r="AM845" s="1301"/>
      <c r="AN845" s="1301"/>
      <c r="AO845" s="1301"/>
      <c r="AP845" s="1301"/>
      <c r="AQ845" s="1301"/>
      <c r="AR845" s="1236"/>
      <c r="AS845" s="1491"/>
      <c r="AT845" s="1409"/>
      <c r="AU845" s="1270"/>
      <c r="AV845" s="1270">
        <f>IFERROR(Model!AV845/Model!AU845-1,"NA")</f>
        <v>-0.11443601072959975</v>
      </c>
      <c r="AW845" s="1270">
        <f>IFERROR(Model!AW845/Model!AV845-1,"NA")</f>
        <v>-4.4130977912401281E-2</v>
      </c>
      <c r="AX845" s="1270">
        <f>IFERROR(Model!AX845/Model!AW845-1,"NA")</f>
        <v>3.117988573543351E-2</v>
      </c>
      <c r="AY845" s="1270">
        <f>IFERROR(Model!AY845/Model!AX845-1,"NA")</f>
        <v>-4.2880748899007837E-2</v>
      </c>
      <c r="AZ845" s="1270">
        <f>IFERROR(Model!AZ845/Model!AY845-1,"NA")</f>
        <v>-0.18280107493281672</v>
      </c>
      <c r="BA845" s="1270">
        <f>IFERROR(Model!BA845/Model!AZ845-1,"NA")</f>
        <v>2.8970704367848654E-2</v>
      </c>
      <c r="BB845" s="1301">
        <f>IFERROR(Model!BB845/Model!BA845-1,"NA")</f>
        <v>3.5174080512952566E-2</v>
      </c>
      <c r="BC845" s="1301">
        <f>IFERROR(Model!BC845/Model!BB845-1,"NA")</f>
        <v>2.5733911556140576E-2</v>
      </c>
      <c r="BD845" s="1301">
        <f>IFERROR(Model!BD845/Model!BC845-1,"NA")</f>
        <v>3.2764605235039657E-2</v>
      </c>
      <c r="BE845" s="1301">
        <f>IFERROR(Model!BE845/Model!BD845-1,"NA")</f>
        <v>3.1345513911419154E-2</v>
      </c>
      <c r="BM845" s="238"/>
      <c r="BN845" s="238"/>
      <c r="BO845" s="238"/>
      <c r="BP845" s="238"/>
      <c r="BQ845" s="238"/>
    </row>
    <row r="846" spans="1:69" s="369" customFormat="1" ht="12" thickBot="1" x14ac:dyDescent="0.25">
      <c r="A846" s="411"/>
      <c r="B846" s="642" t="s">
        <v>30</v>
      </c>
      <c r="C846" s="648"/>
      <c r="D846" s="1495"/>
      <c r="E846" s="1495"/>
      <c r="F846" s="1495"/>
      <c r="G846" s="1495"/>
      <c r="H846" s="1495">
        <f>IFERROR(Model!H846/Model!D846-1,"NA")</f>
        <v>-3.2274872911193908E-2</v>
      </c>
      <c r="I846" s="1495">
        <f>IFERROR(Model!I846/Model!E846-1,"NA")</f>
        <v>-1.6952575791577718E-2</v>
      </c>
      <c r="J846" s="1495">
        <f>IFERROR(Model!J846/Model!F846-1,"NA")</f>
        <v>-1.6502583335016419E-2</v>
      </c>
      <c r="K846" s="1495">
        <f>IFERROR(Model!K846/Model!G846-1,"NA")</f>
        <v>8.4250196317385839E-3</v>
      </c>
      <c r="L846" s="1495">
        <f>IFERROR(Model!L846/Model!H846-1,"NA")</f>
        <v>6.9220944132644124E-3</v>
      </c>
      <c r="M846" s="1495">
        <f>IFERROR(Model!M846/Model!I846-1,"NA")</f>
        <v>1.3666187626318882E-2</v>
      </c>
      <c r="N846" s="1495">
        <f>IFERROR(Model!N846/Model!J846-1,"NA")</f>
        <v>-8.7717543087380001E-3</v>
      </c>
      <c r="O846" s="1495">
        <f>IFERROR(Model!O846/Model!K846-1,"NA")</f>
        <v>-2.0134731534253381E-2</v>
      </c>
      <c r="P846" s="1495">
        <f>IFERROR(Model!P846/Model!L846-1,"NA")</f>
        <v>-3.3039131329874016E-2</v>
      </c>
      <c r="Q846" s="1495">
        <f>IFERROR(Model!Q846/Model!M846-1,"NA")</f>
        <v>-4.1898134933582742E-2</v>
      </c>
      <c r="R846" s="1495">
        <f>IFERROR(Model!R846/Model!N846-1,"NA")</f>
        <v>-3.938847439980242E-2</v>
      </c>
      <c r="S846" s="1495">
        <f>IFERROR(Model!S846/Model!O846-1,"NA")</f>
        <v>-6.0238923319695492E-2</v>
      </c>
      <c r="T846" s="1495">
        <f>IFERROR(Model!T846/Model!P846-1,"NA")</f>
        <v>-1.6832614459758477E-2</v>
      </c>
      <c r="U846" s="1495">
        <f>IFERROR(Model!U846/Model!Q846-1,"NA")</f>
        <v>-5.7937978648386901E-3</v>
      </c>
      <c r="V846" s="1495">
        <f>IFERROR(Model!V846/Model!R846-1,"NA")</f>
        <v>5.3977203603714496E-3</v>
      </c>
      <c r="W846" s="1495">
        <f>IFERROR(Model!W846/Model!S846-1,"NA")</f>
        <v>3.5158646264751292E-2</v>
      </c>
      <c r="X846" s="1495">
        <f>IFERROR(Model!X846/Model!T846-1,"NA")</f>
        <v>1.1389436896955818E-2</v>
      </c>
      <c r="Y846" s="1495">
        <f>IFERROR(Model!Y846/Model!U846-1,"NA")</f>
        <v>2.490253033504497E-2</v>
      </c>
      <c r="Z846" s="1495">
        <f>IFERROR(Model!Z846/Model!V846-1,"NA")</f>
        <v>3.9060192495862456E-2</v>
      </c>
      <c r="AA846" s="1495">
        <f>IFERROR(Model!AA846/Model!W846-1,"NA")</f>
        <v>2.8448554386892866E-2</v>
      </c>
      <c r="AB846" s="1495">
        <f>IFERROR(Model!AB846/Model!X846-1,"NA")</f>
        <v>5.5243568550611855E-2</v>
      </c>
      <c r="AC846" s="1496">
        <f>IFERROR(Model!AC846/Model!Y846-1,"NA")</f>
        <v>3.5338796488738833E-2</v>
      </c>
      <c r="AD846" s="1496">
        <f>IFERROR(Model!AD846/Model!Z846-1,"NA")</f>
        <v>2.6113581554818133E-2</v>
      </c>
      <c r="AE846" s="1496">
        <f>IFERROR(Model!AE846/Model!AA846-1,"NA")</f>
        <v>5.7942385445413969E-2</v>
      </c>
      <c r="AF846" s="1496">
        <f>IFERROR(Model!AF846/Model!AB846-1,"NA")</f>
        <v>2.0568445707709326E-2</v>
      </c>
      <c r="AG846" s="1496">
        <f>IFERROR(Model!AG846/Model!AC846-1,"NA")</f>
        <v>2.4099171885437531E-2</v>
      </c>
      <c r="AH846" s="1496">
        <f>IFERROR(Model!AH846/Model!AD846-1,"NA")</f>
        <v>2.9825324180765334E-2</v>
      </c>
      <c r="AI846" s="1496">
        <f>IFERROR(Model!AI846/Model!AE846-1,"NA")</f>
        <v>3.5642188729954505E-2</v>
      </c>
      <c r="AJ846" s="1511"/>
      <c r="AK846" s="1511"/>
      <c r="AL846" s="1511"/>
      <c r="AM846" s="1511"/>
      <c r="AN846" s="1511"/>
      <c r="AO846" s="1511"/>
      <c r="AP846" s="1511"/>
      <c r="AQ846" s="1511"/>
      <c r="AR846" s="1236"/>
      <c r="AS846" s="1493"/>
      <c r="AT846" s="1409"/>
      <c r="AU846" s="1497"/>
      <c r="AV846" s="1497">
        <f>IFERROR(Model!AV846/Model!AU846-1,"NA")</f>
        <v>8.4250196317385839E-3</v>
      </c>
      <c r="AW846" s="1497">
        <f>IFERROR(Model!AW846/Model!AV846-1,"NA")</f>
        <v>-2.0134731534253381E-2</v>
      </c>
      <c r="AX846" s="1497">
        <f>IFERROR(Model!AX846/Model!AW846-1,"NA")</f>
        <v>-6.0238923319695492E-2</v>
      </c>
      <c r="AY846" s="1497">
        <f>IFERROR(Model!AY846/Model!AX846-1,"NA")</f>
        <v>3.5158646264751292E-2</v>
      </c>
      <c r="AZ846" s="1497">
        <f>IFERROR(Model!AZ846/Model!AY846-1,"NA")</f>
        <v>2.8448554386892866E-2</v>
      </c>
      <c r="BA846" s="1497">
        <f>IFERROR(Model!BA846/Model!AZ846-1,"NA")</f>
        <v>5.7942385445413969E-2</v>
      </c>
      <c r="BB846" s="1496">
        <f>IFERROR(Model!BB846/Model!BA846-1,"NA")</f>
        <v>3.5642188729954505E-2</v>
      </c>
      <c r="BC846" s="1496">
        <f>IFERROR(Model!BC846/Model!BB846-1,"NA")</f>
        <v>2.6152383756319564E-2</v>
      </c>
      <c r="BD846" s="1496">
        <f>IFERROR(Model!BD846/Model!BC846-1,"NA")</f>
        <v>3.3192264433851371E-2</v>
      </c>
      <c r="BE846" s="1496">
        <f>IFERROR(Model!BE846/Model!BD846-1,"NA")</f>
        <v>3.1740615776852277E-2</v>
      </c>
    </row>
    <row r="847" spans="1:69" s="369" customFormat="1" ht="12" thickTop="1" x14ac:dyDescent="0.2">
      <c r="A847" s="411"/>
      <c r="C847" s="648"/>
      <c r="D847" s="1267"/>
      <c r="E847" s="1267"/>
      <c r="F847" s="1267"/>
      <c r="G847" s="1267"/>
      <c r="H847" s="1267"/>
      <c r="I847" s="1267"/>
      <c r="J847" s="1267"/>
      <c r="K847" s="1267"/>
      <c r="L847" s="1267"/>
      <c r="M847" s="1267"/>
      <c r="N847" s="1267"/>
      <c r="O847" s="1267"/>
      <c r="P847" s="1267"/>
      <c r="Q847" s="1267"/>
      <c r="R847" s="1267"/>
      <c r="S847" s="1267"/>
      <c r="T847" s="1267"/>
      <c r="U847" s="1267"/>
      <c r="V847" s="1267"/>
      <c r="W847" s="1267"/>
      <c r="X847" s="1267"/>
      <c r="Y847" s="1267"/>
      <c r="Z847" s="1267"/>
      <c r="AA847" s="1267"/>
      <c r="AB847" s="1267"/>
      <c r="AC847" s="1311"/>
      <c r="AD847" s="1311"/>
      <c r="AE847" s="1311"/>
      <c r="AF847" s="1311"/>
      <c r="AG847" s="1311"/>
      <c r="AH847" s="1311"/>
      <c r="AI847" s="1410"/>
      <c r="AJ847" s="1410"/>
      <c r="AK847" s="1410"/>
      <c r="AL847" s="1410"/>
      <c r="AM847" s="1410"/>
      <c r="AN847" s="1410"/>
      <c r="AO847" s="1410"/>
      <c r="AP847" s="1410"/>
      <c r="AQ847" s="1410"/>
      <c r="AR847" s="1236"/>
      <c r="AS847" s="1263"/>
      <c r="AT847" s="1409"/>
      <c r="AU847" s="1410"/>
      <c r="AV847" s="1410"/>
      <c r="AW847" s="1410"/>
      <c r="AX847" s="1410"/>
      <c r="AY847" s="1410"/>
      <c r="AZ847" s="1410"/>
      <c r="BA847" s="1263"/>
      <c r="BB847" s="1263"/>
      <c r="BC847" s="1263"/>
      <c r="BD847" s="1263"/>
      <c r="BE847" s="1263"/>
    </row>
    <row r="848" spans="1:69" s="369" customFormat="1" x14ac:dyDescent="0.2">
      <c r="A848" s="411"/>
      <c r="B848" s="212" t="s">
        <v>31</v>
      </c>
      <c r="C848" s="648"/>
      <c r="D848" s="1267"/>
      <c r="E848" s="1267"/>
      <c r="F848" s="1267"/>
      <c r="G848" s="1267"/>
      <c r="H848" s="1267"/>
      <c r="I848" s="1267"/>
      <c r="J848" s="1267"/>
      <c r="K848" s="1267"/>
      <c r="L848" s="1267"/>
      <c r="M848" s="1267"/>
      <c r="N848" s="1267"/>
      <c r="O848" s="1267"/>
      <c r="P848" s="1267"/>
      <c r="Q848" s="1267"/>
      <c r="R848" s="1267"/>
      <c r="S848" s="1267"/>
      <c r="T848" s="1267"/>
      <c r="U848" s="1267"/>
      <c r="V848" s="1267"/>
      <c r="W848" s="1267"/>
      <c r="X848" s="1267"/>
      <c r="Y848" s="1267"/>
      <c r="Z848" s="1267"/>
      <c r="AA848" s="1267"/>
      <c r="AB848" s="1267"/>
      <c r="AC848" s="1311"/>
      <c r="AD848" s="1311"/>
      <c r="AE848" s="1311"/>
      <c r="AF848" s="1311"/>
      <c r="AG848" s="1311"/>
      <c r="AH848" s="1311"/>
      <c r="AI848" s="1410"/>
      <c r="AJ848" s="1410"/>
      <c r="AK848" s="1410"/>
      <c r="AL848" s="1410"/>
      <c r="AM848" s="1410"/>
      <c r="AN848" s="1410"/>
      <c r="AO848" s="1410"/>
      <c r="AP848" s="1410"/>
      <c r="AQ848" s="1410"/>
      <c r="AR848" s="1236"/>
      <c r="AS848" s="1490"/>
      <c r="AT848" s="1409"/>
      <c r="AU848" s="1410"/>
      <c r="AV848" s="1410"/>
      <c r="AW848" s="1410"/>
      <c r="AX848" s="1410"/>
      <c r="AY848" s="1410"/>
      <c r="AZ848" s="1410"/>
      <c r="BA848" s="1263"/>
      <c r="BB848" s="1263"/>
      <c r="BC848" s="1263"/>
      <c r="BD848" s="1263"/>
      <c r="BE848" s="1263"/>
    </row>
    <row r="849" spans="1:69" s="369" customFormat="1" x14ac:dyDescent="0.2">
      <c r="A849" s="411"/>
      <c r="B849" s="212"/>
      <c r="C849" s="648"/>
      <c r="D849" s="1267"/>
      <c r="E849" s="1267"/>
      <c r="F849" s="1267"/>
      <c r="G849" s="1267"/>
      <c r="H849" s="1267"/>
      <c r="I849" s="1267"/>
      <c r="J849" s="1267"/>
      <c r="K849" s="1267"/>
      <c r="L849" s="1267"/>
      <c r="M849" s="1267"/>
      <c r="N849" s="1267"/>
      <c r="O849" s="1267"/>
      <c r="P849" s="1267"/>
      <c r="Q849" s="1267"/>
      <c r="R849" s="1267"/>
      <c r="S849" s="1267"/>
      <c r="T849" s="1267"/>
      <c r="U849" s="1267"/>
      <c r="V849" s="1267"/>
      <c r="W849" s="1267"/>
      <c r="X849" s="1267"/>
      <c r="Y849" s="1267"/>
      <c r="Z849" s="1267"/>
      <c r="AA849" s="1267"/>
      <c r="AB849" s="1267"/>
      <c r="AC849" s="1311"/>
      <c r="AD849" s="1311"/>
      <c r="AE849" s="1311"/>
      <c r="AF849" s="1311"/>
      <c r="AG849" s="1311"/>
      <c r="AH849" s="1311"/>
      <c r="AI849" s="1410"/>
      <c r="AJ849" s="1410"/>
      <c r="AK849" s="1410"/>
      <c r="AL849" s="1410"/>
      <c r="AM849" s="1410"/>
      <c r="AN849" s="1410"/>
      <c r="AO849" s="1410"/>
      <c r="AP849" s="1410"/>
      <c r="AQ849" s="1410"/>
      <c r="AR849" s="1236"/>
      <c r="AS849" s="1490"/>
      <c r="AT849" s="1409"/>
      <c r="AU849" s="1410"/>
      <c r="AV849" s="1410"/>
      <c r="AW849" s="1410"/>
      <c r="AX849" s="1410"/>
      <c r="AY849" s="1410"/>
      <c r="AZ849" s="1410"/>
      <c r="BA849" s="1410"/>
      <c r="BB849" s="1263"/>
      <c r="BC849" s="1263"/>
      <c r="BD849" s="1263"/>
      <c r="BE849" s="1263"/>
    </row>
    <row r="850" spans="1:69" s="369" customFormat="1" x14ac:dyDescent="0.2">
      <c r="A850" s="411"/>
      <c r="B850" s="59" t="s">
        <v>54</v>
      </c>
      <c r="C850" s="648"/>
      <c r="D850" s="1267"/>
      <c r="E850" s="1267"/>
      <c r="F850" s="1267"/>
      <c r="G850" s="1267"/>
      <c r="H850" s="1267"/>
      <c r="I850" s="1267"/>
      <c r="J850" s="1267"/>
      <c r="K850" s="1267"/>
      <c r="L850" s="1267"/>
      <c r="M850" s="1267"/>
      <c r="N850" s="1267"/>
      <c r="O850" s="1267"/>
      <c r="P850" s="1267"/>
      <c r="Q850" s="1267"/>
      <c r="R850" s="1267"/>
      <c r="S850" s="1267"/>
      <c r="T850" s="1267"/>
      <c r="U850" s="1267"/>
      <c r="V850" s="1267"/>
      <c r="W850" s="1267"/>
      <c r="X850" s="1267"/>
      <c r="Y850" s="1267"/>
      <c r="Z850" s="1267"/>
      <c r="AA850" s="1267"/>
      <c r="AB850" s="1267"/>
      <c r="AC850" s="1311"/>
      <c r="AD850" s="1311"/>
      <c r="AE850" s="1311"/>
      <c r="AF850" s="1311"/>
      <c r="AG850" s="1311"/>
      <c r="AH850" s="1311"/>
      <c r="AI850" s="1410"/>
      <c r="AJ850" s="1410"/>
      <c r="AK850" s="1410"/>
      <c r="AL850" s="1410"/>
      <c r="AM850" s="1410"/>
      <c r="AN850" s="1410"/>
      <c r="AO850" s="1410"/>
      <c r="AP850" s="1410"/>
      <c r="AQ850" s="1410"/>
      <c r="AR850" s="1236"/>
      <c r="AS850" s="1329"/>
      <c r="AT850" s="1409"/>
      <c r="AU850" s="1410"/>
      <c r="AV850" s="1410"/>
      <c r="AW850" s="1410"/>
      <c r="AX850" s="1410"/>
      <c r="AY850" s="1410"/>
      <c r="AZ850" s="1410"/>
      <c r="BA850" s="1263"/>
      <c r="BB850" s="1263"/>
      <c r="BC850" s="1263"/>
      <c r="BD850" s="1263"/>
      <c r="BE850" s="1263"/>
    </row>
    <row r="851" spans="1:69" s="369" customFormat="1" x14ac:dyDescent="0.2">
      <c r="A851" s="411"/>
      <c r="B851" s="321"/>
      <c r="C851" s="634" t="s">
        <v>349</v>
      </c>
      <c r="D851" s="1240"/>
      <c r="E851" s="1240"/>
      <c r="F851" s="1240"/>
      <c r="G851" s="1240"/>
      <c r="H851" s="1240">
        <f>IFERROR(Model!H851/Model!D851-1,"NA")</f>
        <v>1.7840644290912033E-2</v>
      </c>
      <c r="I851" s="1240">
        <f>IFERROR(Model!I851/Model!E851-1,"NA")</f>
        <v>3.1722682091685828E-2</v>
      </c>
      <c r="J851" s="1240">
        <f>IFERROR(Model!J851/Model!F851-1,"NA")</f>
        <v>-2.7675565938453994E-2</v>
      </c>
      <c r="K851" s="1240">
        <f>IFERROR(Model!K851/Model!G851-1,"NA")</f>
        <v>-9.7025228101838001E-3</v>
      </c>
      <c r="L851" s="1240">
        <f>IFERROR(Model!L851/Model!H851-1,"NA")</f>
        <v>8.9527420533870972E-2</v>
      </c>
      <c r="M851" s="1240">
        <f>IFERROR(Model!M851/Model!I851-1,"NA")</f>
        <v>5.245648093699895E-2</v>
      </c>
      <c r="N851" s="1240">
        <f>IFERROR(Model!N851/Model!J851-1,"NA")</f>
        <v>-1.5582661027227385E-2</v>
      </c>
      <c r="O851" s="1240">
        <f>IFERROR(Model!O851/Model!K851-1,"NA")</f>
        <v>4.3536164611874817E-3</v>
      </c>
      <c r="P851" s="1240">
        <f>IFERROR(Model!P851/Model!L851-1,"NA")</f>
        <v>6.9010263064763766E-3</v>
      </c>
      <c r="Q851" s="1240">
        <f>IFERROR(Model!Q851/Model!M851-1,"NA")</f>
        <v>3.3370837255937591E-2</v>
      </c>
      <c r="R851" s="1240">
        <f>IFERROR(Model!R851/Model!N851-1,"NA")</f>
        <v>0.10278923605966805</v>
      </c>
      <c r="S851" s="1240">
        <f>IFERROR(Model!S851/Model!O851-1,"NA")</f>
        <v>7.9801175576544203E-2</v>
      </c>
      <c r="T851" s="1240">
        <f>IFERROR(Model!T851/Model!P851-1,"NA")</f>
        <v>1.1605939898072792E-2</v>
      </c>
      <c r="U851" s="1240">
        <f>IFERROR(Model!U851/Model!Q851-1,"NA")</f>
        <v>3.8011154481420339E-2</v>
      </c>
      <c r="V851" s="1240">
        <f>IFERROR(Model!V851/Model!R851-1,"NA")</f>
        <v>3.3515997878734716E-3</v>
      </c>
      <c r="W851" s="1240">
        <f>IFERROR(Model!W851/Model!S851-1,"NA")</f>
        <v>-1.8319700680076711E-2</v>
      </c>
      <c r="X851" s="1240">
        <f>IFERROR(Model!X851/Model!T851-1,"NA")</f>
        <v>-6.3096711616830614E-2</v>
      </c>
      <c r="Y851" s="1240">
        <f>IFERROR(Model!Y851/Model!U851-1,"NA")</f>
        <v>-9.91259053123551E-2</v>
      </c>
      <c r="Z851" s="1240">
        <f>IFERROR(Model!Z851/Model!V851-1,"NA")</f>
        <v>-0.1034468178070318</v>
      </c>
      <c r="AA851" s="1240">
        <f>IFERROR(Model!AA851/Model!W851-1,"NA")</f>
        <v>-7.1822557755051308E-2</v>
      </c>
      <c r="AB851" s="1240">
        <f>IFERROR(Model!AB851/Model!X851-1,"NA")</f>
        <v>-3.1706789455792861E-2</v>
      </c>
      <c r="AC851" s="1263">
        <f>IFERROR(Model!AC851/Model!Y851-1,"NA")</f>
        <v>-1.7221927399745041E-2</v>
      </c>
      <c r="AD851" s="1263">
        <f>IFERROR(Model!AD851/Model!Z851-1,"NA")</f>
        <v>-3.4445109259550466E-2</v>
      </c>
      <c r="AE851" s="1263">
        <f>IFERROR(Model!AE851/Model!AA851-1,"NA")</f>
        <v>-4.1539137232030399E-2</v>
      </c>
      <c r="AF851" s="1263">
        <f>IFERROR(Model!AF851/Model!AB851-1,"NA")</f>
        <v>-3.9403990000000166E-2</v>
      </c>
      <c r="AG851" s="1263">
        <f>IFERROR(Model!AG851/Model!AC851-1,"NA")</f>
        <v>-3.9403990000000055E-2</v>
      </c>
      <c r="AH851" s="1263">
        <f>IFERROR(Model!AH851/Model!AD851-1,"NA")</f>
        <v>-3.9403990000000166E-2</v>
      </c>
      <c r="AI851" s="1263">
        <f>IFERROR(Model!AI851/Model!AE851-1,"NA")</f>
        <v>-4.1344588000000071E-2</v>
      </c>
      <c r="AJ851" s="1263"/>
      <c r="AK851" s="1263"/>
      <c r="AL851" s="1263"/>
      <c r="AM851" s="1263"/>
      <c r="AN851" s="1263"/>
      <c r="AO851" s="1263"/>
      <c r="AP851" s="1263"/>
      <c r="AQ851" s="1263"/>
      <c r="AR851" s="1236"/>
      <c r="AS851" s="1284"/>
      <c r="AT851" s="1491"/>
      <c r="AU851" s="1263"/>
      <c r="AV851" s="1263">
        <f>IFERROR(Model!AV851/Model!AU851-1,"NA")</f>
        <v>-9.7025228101838001E-3</v>
      </c>
      <c r="AW851" s="1263">
        <f>IFERROR(Model!AW851/Model!AV851-1,"NA")</f>
        <v>4.3536164611874817E-3</v>
      </c>
      <c r="AX851" s="1263">
        <f>IFERROR(Model!AX851/Model!AW851-1,"NA")</f>
        <v>7.9801175576544203E-2</v>
      </c>
      <c r="AY851" s="1263">
        <f>IFERROR(Model!AY851/Model!AX851-1,"NA")</f>
        <v>-1.8319700680076711E-2</v>
      </c>
      <c r="AZ851" s="1263">
        <f>IFERROR(Model!AZ851/Model!AY851-1,"NA")</f>
        <v>-7.1822557755051308E-2</v>
      </c>
      <c r="BA851" s="1263">
        <f>IFERROR(Model!BA851/Model!AZ851-1,"NA")</f>
        <v>-4.1539137232030399E-2</v>
      </c>
      <c r="BB851" s="1263">
        <f>IFERROR(Model!BB851/Model!BA851-1,"NA")</f>
        <v>-4.1344588000000071E-2</v>
      </c>
      <c r="BC851" s="1263">
        <f>IFERROR(Model!BC851/Model!BB851-1,"NA")</f>
        <v>1.6976187297235157E-4</v>
      </c>
      <c r="BD851" s="1263">
        <f>IFERROR(Model!BD851/Model!BC851-1,"NA")</f>
        <v>1.6976187297235157E-4</v>
      </c>
      <c r="BE851" s="1263">
        <f>IFERROR(Model!BE851/Model!BD851-1,"NA")</f>
        <v>1.6976187297235157E-4</v>
      </c>
    </row>
    <row r="852" spans="1:69" s="369" customFormat="1" x14ac:dyDescent="0.2">
      <c r="A852" s="411"/>
      <c r="B852" s="321"/>
      <c r="C852" s="634" t="s">
        <v>350</v>
      </c>
      <c r="D852" s="1240"/>
      <c r="E852" s="1240"/>
      <c r="F852" s="1240"/>
      <c r="G852" s="1240"/>
      <c r="H852" s="1240">
        <f>IFERROR(Model!H852/Model!D852-1,"NA")</f>
        <v>0.13953590211817457</v>
      </c>
      <c r="I852" s="1240">
        <f>IFERROR(Model!I852/Model!E852-1,"NA")</f>
        <v>0.15828683417773526</v>
      </c>
      <c r="J852" s="1240">
        <f>IFERROR(Model!J852/Model!F852-1,"NA")</f>
        <v>0.11164817551153305</v>
      </c>
      <c r="K852" s="1240">
        <f>IFERROR(Model!K852/Model!G852-1,"NA")</f>
        <v>0.14713623665810838</v>
      </c>
      <c r="L852" s="1240">
        <f>IFERROR(Model!L852/Model!H852-1,"NA")</f>
        <v>7.8118214901948813E-2</v>
      </c>
      <c r="M852" s="1240">
        <f>IFERROR(Model!M852/Model!I852-1,"NA")</f>
        <v>6.7783085260836318E-2</v>
      </c>
      <c r="N852" s="1240">
        <f>IFERROR(Model!N852/Model!J852-1,"NA")</f>
        <v>7.2401078393824037E-2</v>
      </c>
      <c r="O852" s="1240">
        <f>IFERROR(Model!O852/Model!K852-1,"NA")</f>
        <v>2.8645430103741987E-3</v>
      </c>
      <c r="P852" s="1240">
        <f>IFERROR(Model!P852/Model!L852-1,"NA")</f>
        <v>-1.8271318022876626E-2</v>
      </c>
      <c r="Q852" s="1240">
        <f>IFERROR(Model!Q852/Model!M852-1,"NA")</f>
        <v>-6.9500233535730982E-2</v>
      </c>
      <c r="R852" s="1240">
        <f>IFERROR(Model!R852/Model!N852-1,"NA")</f>
        <v>-6.4939566672735705E-2</v>
      </c>
      <c r="S852" s="1240">
        <f>IFERROR(Model!S852/Model!O852-1,"NA")</f>
        <v>-1.6646899058874731E-2</v>
      </c>
      <c r="T852" s="1240">
        <f>IFERROR(Model!T852/Model!P852-1,"NA")</f>
        <v>3.4659414791066823E-2</v>
      </c>
      <c r="U852" s="1240">
        <f>IFERROR(Model!U852/Model!Q852-1,"NA")</f>
        <v>9.906040967179397E-2</v>
      </c>
      <c r="V852" s="1240">
        <f>IFERROR(Model!V852/Model!R852-1,"NA")</f>
        <v>7.8773445369340722E-2</v>
      </c>
      <c r="W852" s="1240">
        <f>IFERROR(Model!W852/Model!S852-1,"NA")</f>
        <v>7.4002440817316995E-2</v>
      </c>
      <c r="X852" s="1240">
        <f>IFERROR(Model!X852/Model!T852-1,"NA")</f>
        <v>8.9844860318139874E-2</v>
      </c>
      <c r="Y852" s="1240">
        <f>IFERROR(Model!Y852/Model!U852-1,"NA")</f>
        <v>5.3357871909983201E-2</v>
      </c>
      <c r="Z852" s="1240">
        <f>IFERROR(Model!Z852/Model!V852-1,"NA")</f>
        <v>9.5323054280894493E-2</v>
      </c>
      <c r="AA852" s="1240">
        <f>IFERROR(Model!AA852/Model!W852-1,"NA")</f>
        <v>5.8613425833632382E-2</v>
      </c>
      <c r="AB852" s="1240">
        <f>IFERROR(Model!AB852/Model!X852-1,"NA")</f>
        <v>5.5703669358474039E-2</v>
      </c>
      <c r="AC852" s="1263">
        <f>IFERROR(Model!AC852/Model!Y852-1,"NA")</f>
        <v>6.3558762979306849E-2</v>
      </c>
      <c r="AD852" s="1263">
        <f>IFERROR(Model!AD852/Model!Z852-1,"NA")</f>
        <v>5.9914015895752071E-2</v>
      </c>
      <c r="AE852" s="1263">
        <f>IFERROR(Model!AE852/Model!AA852-1,"NA")</f>
        <v>6.0241890544328047E-2</v>
      </c>
      <c r="AF852" s="1263">
        <f>IFERROR(Model!AF852/Model!AB852-1,"NA")</f>
        <v>4.0604010000000024E-2</v>
      </c>
      <c r="AG852" s="1263">
        <f>IFERROR(Model!AG852/Model!AC852-1,"NA")</f>
        <v>4.0604010000000024E-2</v>
      </c>
      <c r="AH852" s="1263">
        <f>IFERROR(Model!AH852/Model!AD852-1,"NA")</f>
        <v>4.0604010000000246E-2</v>
      </c>
      <c r="AI852" s="1263">
        <f>IFERROR(Model!AI852/Model!AE852-1,"NA")</f>
        <v>3.8543408000000223E-2</v>
      </c>
      <c r="AJ852" s="1263"/>
      <c r="AK852" s="1263"/>
      <c r="AL852" s="1263"/>
      <c r="AM852" s="1263"/>
      <c r="AN852" s="1263"/>
      <c r="AO852" s="1263"/>
      <c r="AP852" s="1263"/>
      <c r="AQ852" s="1263"/>
      <c r="AR852" s="1236"/>
      <c r="AS852" s="1284"/>
      <c r="AT852" s="1491"/>
      <c r="AU852" s="1263"/>
      <c r="AV852" s="1263">
        <f>IFERROR(Model!AV852/Model!AU852-1,"NA")</f>
        <v>0.14713623665810838</v>
      </c>
      <c r="AW852" s="1263">
        <f>IFERROR(Model!AW852/Model!AV852-1,"NA")</f>
        <v>2.8645430103741987E-3</v>
      </c>
      <c r="AX852" s="1263">
        <f>IFERROR(Model!AX852/Model!AW852-1,"NA")</f>
        <v>-1.6646899058874731E-2</v>
      </c>
      <c r="AY852" s="1263">
        <f>IFERROR(Model!AY852/Model!AX852-1,"NA")</f>
        <v>7.4002440817316995E-2</v>
      </c>
      <c r="AZ852" s="1263">
        <f>IFERROR(Model!AZ852/Model!AY852-1,"NA")</f>
        <v>5.8613425833632382E-2</v>
      </c>
      <c r="BA852" s="1263">
        <f>IFERROR(Model!BA852/Model!AZ852-1,"NA")</f>
        <v>6.0241890544328047E-2</v>
      </c>
      <c r="BB852" s="1263">
        <f>IFERROR(Model!BB852/Model!BA852-1,"NA")</f>
        <v>3.8543408000000223E-2</v>
      </c>
      <c r="BC852" s="1263">
        <f>IFERROR(Model!BC852/Model!BB852-1,"NA")</f>
        <v>4.0000000000000036E-2</v>
      </c>
      <c r="BD852" s="1263">
        <f>IFERROR(Model!BD852/Model!BC852-1,"NA")</f>
        <v>4.0000000000000036E-2</v>
      </c>
      <c r="BE852" s="1263">
        <f>IFERROR(Model!BE852/Model!BD852-1,"NA")</f>
        <v>4.0000000000000036E-2</v>
      </c>
    </row>
    <row r="853" spans="1:69" s="369" customFormat="1" x14ac:dyDescent="0.2">
      <c r="A853" s="411"/>
      <c r="B853" s="321"/>
      <c r="C853" s="634" t="s">
        <v>351</v>
      </c>
      <c r="D853" s="1253"/>
      <c r="E853" s="1253"/>
      <c r="F853" s="1253"/>
      <c r="G853" s="1253"/>
      <c r="H853" s="1253">
        <f>IFERROR(Model!H853/Model!D853-1,"NA")</f>
        <v>7.9929478835412127E-2</v>
      </c>
      <c r="I853" s="1253">
        <f>IFERROR(Model!I853/Model!E853-1,"NA")</f>
        <v>6.7754623817892767E-2</v>
      </c>
      <c r="J853" s="1253">
        <f>IFERROR(Model!J853/Model!F853-1,"NA")</f>
        <v>3.5051417105593119E-2</v>
      </c>
      <c r="K853" s="1253">
        <f>IFERROR(Model!K853/Model!G853-1,"NA")</f>
        <v>6.7390501968503935E-2</v>
      </c>
      <c r="L853" s="1253">
        <f>IFERROR(Model!L853/Model!H853-1,"NA")</f>
        <v>5.6772756400476077E-2</v>
      </c>
      <c r="M853" s="1253">
        <f>IFERROR(Model!M853/Model!I853-1,"NA")</f>
        <v>0.15986079977426981</v>
      </c>
      <c r="N853" s="1253">
        <f>IFERROR(Model!N853/Model!J853-1,"NA")</f>
        <v>7.875446780153883E-2</v>
      </c>
      <c r="O853" s="1253">
        <f>IFERROR(Model!O853/Model!K853-1,"NA")</f>
        <v>2.1885715932340233E-2</v>
      </c>
      <c r="P853" s="1253">
        <f>IFERROR(Model!P853/Model!L853-1,"NA")</f>
        <v>3.4506157688809269E-2</v>
      </c>
      <c r="Q853" s="1253">
        <f>IFERROR(Model!Q853/Model!M853-1,"NA")</f>
        <v>-1.8407644172939941E-2</v>
      </c>
      <c r="R853" s="1253">
        <f>IFERROR(Model!R853/Model!N853-1,"NA")</f>
        <v>2.7517268489919644E-2</v>
      </c>
      <c r="S853" s="1253">
        <f>IFERROR(Model!S853/Model!O853-1,"NA")</f>
        <v>9.1928093056046212E-3</v>
      </c>
      <c r="T853" s="1253">
        <f>IFERROR(Model!T853/Model!P853-1,"NA")</f>
        <v>8.6695602417205198E-2</v>
      </c>
      <c r="U853" s="1253">
        <f>IFERROR(Model!U853/Model!Q853-1,"NA")</f>
        <v>5.4317146043591391E-2</v>
      </c>
      <c r="V853" s="1253">
        <f>IFERROR(Model!V853/Model!R853-1,"NA")</f>
        <v>3.7820407717112037E-2</v>
      </c>
      <c r="W853" s="1253">
        <f>IFERROR(Model!W853/Model!S853-1,"NA")</f>
        <v>8.4370677731673505E-2</v>
      </c>
      <c r="X853" s="1253">
        <f>IFERROR(Model!X853/Model!T853-1,"NA")</f>
        <v>1.5385603287741523E-2</v>
      </c>
      <c r="Y853" s="1253">
        <f>IFERROR(Model!Y853/Model!U853-1,"NA")</f>
        <v>8.4519549716614017E-2</v>
      </c>
      <c r="Z853" s="1253">
        <f>IFERROR(Model!Z853/Model!V853-1,"NA")</f>
        <v>0.1082468797724998</v>
      </c>
      <c r="AA853" s="1253">
        <f>IFERROR(Model!AA853/Model!W853-1,"NA")</f>
        <v>0.12657184085755513</v>
      </c>
      <c r="AB853" s="1253">
        <f>IFERROR(Model!AB853/Model!X853-1,"NA")</f>
        <v>0.14436588543313555</v>
      </c>
      <c r="AC853" s="1263">
        <f>IFERROR(Model!AC853/Model!Y853-1,"NA")</f>
        <v>0.10037533415215671</v>
      </c>
      <c r="AD853" s="1263">
        <f>IFERROR(Model!AD853/Model!Z853-1,"NA")</f>
        <v>9.6433601416046733E-2</v>
      </c>
      <c r="AE853" s="1263">
        <f>IFERROR(Model!AE853/Model!AA853-1,"NA")</f>
        <v>6.6085814009606558E-2</v>
      </c>
      <c r="AF853" s="1263">
        <f>IFERROR(Model!AF853/Model!AB853-1,"NA")</f>
        <v>3.0300999999999689E-2</v>
      </c>
      <c r="AG853" s="1263">
        <f>IFERROR(Model!AG853/Model!AC853-1,"NA")</f>
        <v>2.0099999999999785E-2</v>
      </c>
      <c r="AH853" s="1263">
        <f>IFERROR(Model!AH853/Model!AD853-1,"NA")</f>
        <v>9.9999999999997868E-3</v>
      </c>
      <c r="AI853" s="1263">
        <f>IFERROR(Model!AI853/Model!AE853-1,"NA")</f>
        <v>-1.1102230246251565E-16</v>
      </c>
      <c r="AJ853" s="1263"/>
      <c r="AK853" s="1263"/>
      <c r="AL853" s="1263"/>
      <c r="AM853" s="1263"/>
      <c r="AN853" s="1263"/>
      <c r="AO853" s="1263"/>
      <c r="AP853" s="1263"/>
      <c r="AQ853" s="1263"/>
      <c r="AR853" s="1236"/>
      <c r="AS853" s="1284"/>
      <c r="AT853" s="1491"/>
      <c r="AU853" s="1263"/>
      <c r="AV853" s="1263">
        <f>IFERROR(Model!AV853/Model!AU853-1,"NA")</f>
        <v>6.7390501968503935E-2</v>
      </c>
      <c r="AW853" s="1263">
        <f>IFERROR(Model!AW853/Model!AV853-1,"NA")</f>
        <v>2.1885715932340233E-2</v>
      </c>
      <c r="AX853" s="1263">
        <f>IFERROR(Model!AX853/Model!AW853-1,"NA")</f>
        <v>9.1928093056046212E-3</v>
      </c>
      <c r="AY853" s="1263">
        <f>IFERROR(Model!AY853/Model!AX853-1,"NA")</f>
        <v>8.4370677731673505E-2</v>
      </c>
      <c r="AZ853" s="1263">
        <f>IFERROR(Model!AZ853/Model!AY853-1,"NA")</f>
        <v>0.12657184085755513</v>
      </c>
      <c r="BA853" s="1263">
        <f>IFERROR(Model!BA853/Model!AZ853-1,"NA")</f>
        <v>6.6085814009606558E-2</v>
      </c>
      <c r="BB853" s="1263">
        <f>IFERROR(Model!BB853/Model!BA853-1,"NA")</f>
        <v>-1.1102230246251565E-16</v>
      </c>
      <c r="BC853" s="1263">
        <f>IFERROR(Model!BC853/Model!BB853-1,"NA")</f>
        <v>0</v>
      </c>
      <c r="BD853" s="1263">
        <f>IFERROR(Model!BD853/Model!BC853-1,"NA")</f>
        <v>0</v>
      </c>
      <c r="BE853" s="1263">
        <f>IFERROR(Model!BE853/Model!BD853-1,"NA")</f>
        <v>0</v>
      </c>
    </row>
    <row r="854" spans="1:69" s="369" customFormat="1" x14ac:dyDescent="0.2">
      <c r="A854" s="411"/>
      <c r="B854" s="376"/>
      <c r="C854" s="650" t="s">
        <v>352</v>
      </c>
      <c r="D854" s="1408"/>
      <c r="E854" s="1408"/>
      <c r="F854" s="1408"/>
      <c r="G854" s="1408"/>
      <c r="H854" s="1408">
        <f>IFERROR(Model!H854/Model!D854-1,"NA")</f>
        <v>-2.2534715834544583E-2</v>
      </c>
      <c r="I854" s="1408">
        <f>IFERROR(Model!I854/Model!E854-1,"NA")</f>
        <v>-4.1429008097206399E-2</v>
      </c>
      <c r="J854" s="1408">
        <f>IFERROR(Model!J854/Model!F854-1,"NA")</f>
        <v>-2.8504012442415405E-2</v>
      </c>
      <c r="K854" s="1408">
        <f>IFERROR(Model!K854/Model!G854-1,"NA")</f>
        <v>-3.8081542435620674E-3</v>
      </c>
      <c r="L854" s="1408">
        <f>IFERROR(Model!L854/Model!H854-1,"NA")</f>
        <v>-5.5696652823508108E-3</v>
      </c>
      <c r="M854" s="1408">
        <f>IFERROR(Model!M854/Model!I854-1,"NA")</f>
        <v>-1.6173203336348418E-2</v>
      </c>
      <c r="N854" s="1408">
        <f>IFERROR(Model!N854/Model!J854-1,"NA")</f>
        <v>-7.1538865791326511E-2</v>
      </c>
      <c r="O854" s="1408">
        <f>IFERROR(Model!O854/Model!K854-1,"NA")</f>
        <v>-0.1477121306836876</v>
      </c>
      <c r="P854" s="1408">
        <f>IFERROR(Model!P854/Model!L854-1,"NA")</f>
        <v>-0.13480332515977944</v>
      </c>
      <c r="Q854" s="1408">
        <f>IFERROR(Model!Q854/Model!M854-1,"NA")</f>
        <v>-8.6004330086474678E-2</v>
      </c>
      <c r="R854" s="1408">
        <f>IFERROR(Model!R854/Model!N854-1,"NA")</f>
        <v>-7.6504654923729154E-2</v>
      </c>
      <c r="S854" s="1408">
        <f>IFERROR(Model!S854/Model!O854-1,"NA")</f>
        <v>5.6843542732785135E-3</v>
      </c>
      <c r="T854" s="1408">
        <f>IFERROR(Model!T854/Model!P854-1,"NA")</f>
        <v>4.230979103516086E-2</v>
      </c>
      <c r="U854" s="1408">
        <f>IFERROR(Model!U854/Model!Q854-1,"NA")</f>
        <v>-1.3684151971964154E-2</v>
      </c>
      <c r="V854" s="1408">
        <f>IFERROR(Model!V854/Model!R854-1,"NA")</f>
        <v>2.7758517463254861E-2</v>
      </c>
      <c r="W854" s="1408">
        <f>IFERROR(Model!W854/Model!S854-1,"NA")</f>
        <v>-6.494300992977875E-3</v>
      </c>
      <c r="X854" s="1408">
        <f>IFERROR(Model!X854/Model!T854-1,"NA")</f>
        <v>-6.1922860490216669E-3</v>
      </c>
      <c r="Y854" s="1408">
        <f>IFERROR(Model!Y854/Model!U854-1,"NA")</f>
        <v>2.9465813170906019E-2</v>
      </c>
      <c r="Z854" s="1408">
        <f>IFERROR(Model!Z854/Model!V854-1,"NA")</f>
        <v>6.4033635503324415E-3</v>
      </c>
      <c r="AA854" s="1408">
        <f>IFERROR(Model!AA854/Model!W854-1,"NA")</f>
        <v>3.0834057761035538E-2</v>
      </c>
      <c r="AB854" s="1408">
        <f>IFERROR(Model!AB854/Model!X854-1,"NA")</f>
        <v>6.1772630123062555E-2</v>
      </c>
      <c r="AC854" s="1270">
        <f>IFERROR(Model!AC854/Model!Y854-1,"NA")</f>
        <v>5.4853486668051454E-2</v>
      </c>
      <c r="AD854" s="1270">
        <f>IFERROR(Model!AD854/Model!Z854-1,"NA")</f>
        <v>6.7837106368569877E-2</v>
      </c>
      <c r="AE854" s="1270">
        <f>IFERROR(Model!AE854/Model!AA854-1,"NA")</f>
        <v>0.10427267729550316</v>
      </c>
      <c r="AF854" s="1270">
        <f>IFERROR(Model!AF854/Model!AB854-1,"NA")</f>
        <v>4.0604010000000246E-2</v>
      </c>
      <c r="AG854" s="1270">
        <f>IFERROR(Model!AG854/Model!AC854-1,"NA")</f>
        <v>4.0604010000000246E-2</v>
      </c>
      <c r="AH854" s="1270">
        <f>IFERROR(Model!AH854/Model!AD854-1,"NA")</f>
        <v>4.0604010000000468E-2</v>
      </c>
      <c r="AI854" s="1270">
        <f>IFERROR(Model!AI854/Model!AE854-1,"NA")</f>
        <v>3.8543408000000445E-2</v>
      </c>
      <c r="AJ854" s="1263"/>
      <c r="AK854" s="1263"/>
      <c r="AL854" s="1263"/>
      <c r="AM854" s="1263"/>
      <c r="AN854" s="1263"/>
      <c r="AO854" s="1263"/>
      <c r="AP854" s="1263"/>
      <c r="AQ854" s="1263"/>
      <c r="AR854" s="1236"/>
      <c r="AS854" s="1270"/>
      <c r="AT854" s="1498"/>
      <c r="AU854" s="1270"/>
      <c r="AV854" s="1270">
        <f>IFERROR(Model!AV854/Model!AU854-1,"NA")</f>
        <v>-3.8081542435620674E-3</v>
      </c>
      <c r="AW854" s="1270">
        <f>IFERROR(Model!AW854/Model!AV854-1,"NA")</f>
        <v>-0.1477121306836876</v>
      </c>
      <c r="AX854" s="1270">
        <f>IFERROR(Model!AX854/Model!AW854-1,"NA")</f>
        <v>5.6843542732785135E-3</v>
      </c>
      <c r="AY854" s="1270">
        <f>IFERROR(Model!AY854/Model!AX854-1,"NA")</f>
        <v>-6.494300992977875E-3</v>
      </c>
      <c r="AZ854" s="1270">
        <f>IFERROR(Model!AZ854/Model!AY854-1,"NA")</f>
        <v>3.0834057761035538E-2</v>
      </c>
      <c r="BA854" s="1270">
        <f>IFERROR(Model!BA854/Model!AZ854-1,"NA")</f>
        <v>0.10427267729550316</v>
      </c>
      <c r="BB854" s="1270">
        <f>IFERROR(Model!BB854/Model!BA854-1,"NA")</f>
        <v>3.8543408000000445E-2</v>
      </c>
      <c r="BC854" s="1270">
        <f>IFERROR(Model!BC854/Model!BB854-1,"NA")</f>
        <v>4.0000000000000036E-2</v>
      </c>
      <c r="BD854" s="1270">
        <f>IFERROR(Model!BD854/Model!BC854-1,"NA")</f>
        <v>4.0000000000000036E-2</v>
      </c>
      <c r="BE854" s="1270">
        <f>IFERROR(Model!BE854/Model!BD854-1,"NA")</f>
        <v>4.0000000000000036E-2</v>
      </c>
    </row>
    <row r="855" spans="1:69" x14ac:dyDescent="0.2">
      <c r="B855" s="1217" t="s">
        <v>54</v>
      </c>
      <c r="D855" s="1447"/>
      <c r="E855" s="1447"/>
      <c r="F855" s="1447"/>
      <c r="G855" s="1447"/>
      <c r="H855" s="1447">
        <f>IFERROR(Model!H855/Model!D855-1,"NA")</f>
        <v>3.0628733394259644E-2</v>
      </c>
      <c r="I855" s="1447">
        <f>IFERROR(Model!I855/Model!E855-1,"NA")</f>
        <v>2.6379513249364495E-2</v>
      </c>
      <c r="J855" s="1447">
        <f>IFERROR(Model!J855/Model!F855-1,"NA")</f>
        <v>1.144981601534556E-2</v>
      </c>
      <c r="K855" s="1447">
        <f>IFERROR(Model!K855/Model!G855-1,"NA")</f>
        <v>4.0527209422283272E-2</v>
      </c>
      <c r="L855" s="1447">
        <f>IFERROR(Model!L855/Model!H855-1,"NA")</f>
        <v>3.4806513865417443E-2</v>
      </c>
      <c r="M855" s="1447">
        <f>IFERROR(Model!M855/Model!I855-1,"NA")</f>
        <v>2.9089103361263025E-2</v>
      </c>
      <c r="N855" s="1447">
        <f>IFERROR(Model!N855/Model!J855-1,"NA")</f>
        <v>-1.3401921587507637E-2</v>
      </c>
      <c r="O855" s="1447">
        <f>IFERROR(Model!O855/Model!K855-1,"NA")</f>
        <v>-7.1199961167976333E-2</v>
      </c>
      <c r="P855" s="1447">
        <f>IFERROR(Model!P855/Model!L855-1,"NA")</f>
        <v>-6.8941892631716239E-2</v>
      </c>
      <c r="Q855" s="1447">
        <f>IFERROR(Model!Q855/Model!M855-1,"NA")</f>
        <v>-5.9735431929379468E-2</v>
      </c>
      <c r="R855" s="1447">
        <f>IFERROR(Model!R855/Model!N855-1,"NA")</f>
        <v>-4.0748736282096854E-2</v>
      </c>
      <c r="S855" s="1447">
        <f>IFERROR(Model!S855/Model!O855-1,"NA")</f>
        <v>9.5126160305649687E-3</v>
      </c>
      <c r="T855" s="1447">
        <f>IFERROR(Model!T855/Model!P855-1,"NA")</f>
        <v>3.8841901323519057E-2</v>
      </c>
      <c r="U855" s="1447">
        <f>IFERROR(Model!U855/Model!Q855-1,"NA")</f>
        <v>3.2834565111333536E-2</v>
      </c>
      <c r="V855" s="1447">
        <f>IFERROR(Model!V855/Model!R855-1,"NA")</f>
        <v>3.9822260166791468E-2</v>
      </c>
      <c r="W855" s="1447">
        <f>IFERROR(Model!W855/Model!S855-1,"NA")</f>
        <v>2.370228894124482E-2</v>
      </c>
      <c r="X855" s="1447">
        <f>IFERROR(Model!X855/Model!T855-1,"NA")</f>
        <v>1.6476726182897083E-2</v>
      </c>
      <c r="Y855" s="1447">
        <f>IFERROR(Model!Y855/Model!U855-1,"NA")</f>
        <v>2.2275369674532808E-2</v>
      </c>
      <c r="Z855" s="1447">
        <f>IFERROR(Model!Z855/Model!V855-1,"NA")</f>
        <v>2.5297473443289586E-2</v>
      </c>
      <c r="AA855" s="1447">
        <f>IFERROR(Model!AA855/Model!W855-1,"NA")</f>
        <v>3.2726278935147901E-2</v>
      </c>
      <c r="AB855" s="1447">
        <f>IFERROR(Model!AB855/Model!X855-1,"NA")</f>
        <v>5.3925830798218888E-2</v>
      </c>
      <c r="AC855" s="1447">
        <f>IFERROR(Model!AC855/Model!Y855-1,"NA")</f>
        <v>5.2132375412388798E-2</v>
      </c>
      <c r="AD855" s="1447">
        <f>IFERROR(Model!AD855/Model!Z855-1,"NA")</f>
        <v>5.4242905258921281E-2</v>
      </c>
      <c r="AE855" s="1447">
        <f>IFERROR(Model!AE855/Model!AA855-1,"NA")</f>
        <v>6.690278640727132E-2</v>
      </c>
      <c r="AF855" s="1447">
        <f>IFERROR(Model!AF855/Model!AB855-1,"NA")</f>
        <v>2.9657605575223789E-2</v>
      </c>
      <c r="AG855" s="1447">
        <f>IFERROR(Model!AG855/Model!AC855-1,"NA")</f>
        <v>2.8905097987461437E-2</v>
      </c>
      <c r="AH855" s="1447">
        <f>IFERROR(Model!AH855/Model!AD855-1,"NA")</f>
        <v>2.8154681056087982E-2</v>
      </c>
      <c r="AI855" s="1447">
        <f>IFERROR(Model!AI855/Model!AE855-1,"NA")</f>
        <v>2.554768246923933E-2</v>
      </c>
      <c r="AJ855" s="1447"/>
      <c r="AK855" s="1447"/>
      <c r="AL855" s="1447"/>
      <c r="AM855" s="1447"/>
      <c r="AN855" s="1447"/>
      <c r="AO855" s="1447"/>
      <c r="AP855" s="1447"/>
      <c r="AQ855" s="1447"/>
      <c r="AR855" s="1236"/>
      <c r="AS855" s="407"/>
      <c r="AT855" s="407"/>
      <c r="AU855" s="1447"/>
      <c r="AV855" s="1447">
        <f>IFERROR(Model!AV855/Model!AU855-1,"NA")</f>
        <v>4.0527209422283272E-2</v>
      </c>
      <c r="AW855" s="1447">
        <f>IFERROR(Model!AW855/Model!AV855-1,"NA")</f>
        <v>-7.1199961167976333E-2</v>
      </c>
      <c r="AX855" s="1447">
        <f>IFERROR(Model!AX855/Model!AW855-1,"NA")</f>
        <v>9.5126160305649687E-3</v>
      </c>
      <c r="AY855" s="1447">
        <f>IFERROR(Model!AY855/Model!AX855-1,"NA")</f>
        <v>2.370228894124482E-2</v>
      </c>
      <c r="AZ855" s="1447">
        <f>IFERROR(Model!AZ855/Model!AY855-1,"NA")</f>
        <v>3.2726278935147901E-2</v>
      </c>
      <c r="BA855" s="1447">
        <f>IFERROR(Model!BA855/Model!AZ855-1,"NA")</f>
        <v>6.690278640727132E-2</v>
      </c>
      <c r="BB855" s="1447">
        <f>IFERROR(Model!BB855/Model!BA855-1,"NA")</f>
        <v>2.554768246923933E-2</v>
      </c>
      <c r="BC855" s="1447">
        <f>IFERROR(Model!BC855/Model!BB855-1,"NA")</f>
        <v>3.2027968873532542E-2</v>
      </c>
      <c r="BD855" s="1447">
        <f>IFERROR(Model!BD855/Model!BC855-1,"NA")</f>
        <v>3.227464567587357E-2</v>
      </c>
      <c r="BE855" s="1447">
        <f>IFERROR(Model!BE855/Model!BD855-1,"NA")</f>
        <v>3.2515478520033891E-2</v>
      </c>
    </row>
    <row r="856" spans="1:69" s="369" customFormat="1" x14ac:dyDescent="0.2">
      <c r="A856" s="411"/>
      <c r="B856" s="321" t="s">
        <v>32</v>
      </c>
      <c r="C856" s="321"/>
      <c r="D856" s="1240"/>
      <c r="E856" s="1240"/>
      <c r="F856" s="1240"/>
      <c r="G856" s="1240"/>
      <c r="H856" s="1240">
        <f>IFERROR(Model!H856/Model!D856-1,"NA")</f>
        <v>-0.13439787092481703</v>
      </c>
      <c r="I856" s="1240">
        <f>IFERROR(Model!I856/Model!E856-1,"NA")</f>
        <v>7.6663600122661713E-4</v>
      </c>
      <c r="J856" s="1240">
        <f>IFERROR(Model!J856/Model!F856-1,"NA")</f>
        <v>0.19811243999674555</v>
      </c>
      <c r="K856" s="1240">
        <f>IFERROR(Model!K856/Model!G856-1,"NA")</f>
        <v>0.13295019893516824</v>
      </c>
      <c r="L856" s="1240">
        <f>IFERROR(Model!L856/Model!H856-1,"NA")</f>
        <v>0.22365332280781924</v>
      </c>
      <c r="M856" s="1240">
        <f>IFERROR(Model!M856/Model!I856-1,"NA")</f>
        <v>1.3465434179391611E-2</v>
      </c>
      <c r="N856" s="1240">
        <f>IFERROR(Model!N856/Model!J856-1,"NA")</f>
        <v>0.10074018742360447</v>
      </c>
      <c r="O856" s="1240">
        <f>IFERROR(Model!O856/Model!K856-1,"NA")</f>
        <v>-1.0331840390879532E-2</v>
      </c>
      <c r="P856" s="1240">
        <f>IFERROR(Model!P856/Model!L856-1,"NA")</f>
        <v>-0.33101879360983311</v>
      </c>
      <c r="Q856" s="1240">
        <f>IFERROR(Model!Q856/Model!M856-1,"NA")</f>
        <v>-0.56483689992273323</v>
      </c>
      <c r="R856" s="1240">
        <f>IFERROR(Model!R856/Model!N856-1,"NA")</f>
        <v>-0.63424226533822758</v>
      </c>
      <c r="S856" s="1240">
        <f>IFERROR(Model!S856/Model!O856-1,"NA")</f>
        <v>-0.63865603839890284</v>
      </c>
      <c r="T856" s="1240">
        <f>IFERROR(Model!T856/Model!P856-1,"NA")</f>
        <v>-0.46978809795711207</v>
      </c>
      <c r="U856" s="1240">
        <f>IFERROR(Model!U856/Model!Q856-1,"NA")</f>
        <v>-0.28945844752383521</v>
      </c>
      <c r="V856" s="1240">
        <f>IFERROR(Model!V856/Model!R856-1,"NA")</f>
        <v>0.24507695551338826</v>
      </c>
      <c r="W856" s="1240">
        <f>IFERROR(Model!W856/Model!S856-1,"NA")</f>
        <v>0.45647326723279091</v>
      </c>
      <c r="X856" s="1240">
        <f>IFERROR(Model!X856/Model!T856-1,"NA")</f>
        <v>0.25051452639640082</v>
      </c>
      <c r="Y856" s="1240">
        <f>IFERROR(Model!Y856/Model!U856-1,"NA")</f>
        <v>0.98386571056062588</v>
      </c>
      <c r="Z856" s="1240">
        <f>IFERROR(Model!Z856/Model!V856-1,"NA")</f>
        <v>0.29200392860771496</v>
      </c>
      <c r="AA856" s="1240">
        <f>IFERROR(Model!AA856/Model!W856-1,"NA")</f>
        <v>0.44790071984625901</v>
      </c>
      <c r="AB856" s="1240">
        <f>IFERROR(Model!AB856/Model!X856-1,"NA")</f>
        <v>0.38148275730087655</v>
      </c>
      <c r="AC856" s="1263">
        <f>IFERROR(Model!AC856/Model!Y856-1,"NA")</f>
        <v>1.8013089076918787E-2</v>
      </c>
      <c r="AD856" s="1263">
        <f>IFERROR(Model!AD856/Model!Z856-1,"NA")</f>
        <v>3.7517261265038737E-3</v>
      </c>
      <c r="AE856" s="1263">
        <f>IFERROR(Model!AE856/Model!AA856-1,"NA")</f>
        <v>-0.11273084815081447</v>
      </c>
      <c r="AF856" s="1263">
        <f>IFERROR(Model!AF856/Model!AB856-1,"NA")</f>
        <v>0.12550880999999992</v>
      </c>
      <c r="AG856" s="1263">
        <f>IFERROR(Model!AG856/Model!AC856-1,"NA")</f>
        <v>0.12550881000000014</v>
      </c>
      <c r="AH856" s="1263">
        <f>IFERROR(Model!AH856/Model!AD856-1,"NA")</f>
        <v>0.12550881000000014</v>
      </c>
      <c r="AI856" s="1263">
        <f>IFERROR(Model!AI856/Model!AE856-1,"NA")</f>
        <v>0.12550881000000014</v>
      </c>
      <c r="AJ856" s="1263"/>
      <c r="AK856" s="1263"/>
      <c r="AL856" s="1263"/>
      <c r="AM856" s="1263"/>
      <c r="AN856" s="1263"/>
      <c r="AO856" s="1263"/>
      <c r="AP856" s="1263"/>
      <c r="AQ856" s="1263"/>
      <c r="AR856" s="1236"/>
      <c r="AS856" s="1284"/>
      <c r="AT856" s="1284"/>
      <c r="AU856" s="1263"/>
      <c r="AV856" s="1263">
        <f>IFERROR(Model!AV856/Model!AU856-1,"NA")</f>
        <v>0.13295019893516824</v>
      </c>
      <c r="AW856" s="1263">
        <f>IFERROR(Model!AW856/Model!AV856-1,"NA")</f>
        <v>-1.0331840390879532E-2</v>
      </c>
      <c r="AX856" s="1263">
        <f>IFERROR(Model!AX856/Model!AW856-1,"NA")</f>
        <v>-0.63865603839890284</v>
      </c>
      <c r="AY856" s="1263">
        <f>IFERROR(Model!AY856/Model!AX856-1,"NA")</f>
        <v>0.45647326723279091</v>
      </c>
      <c r="AZ856" s="1263">
        <f>IFERROR(Model!AZ856/Model!AY856-1,"NA")</f>
        <v>0.44790071984625901</v>
      </c>
      <c r="BA856" s="1263">
        <f>IFERROR(Model!BA856/Model!AZ856-1,"NA")</f>
        <v>-0.11273084815081447</v>
      </c>
      <c r="BB856" s="1263">
        <f>IFERROR(Model!BB856/Model!BA856-1,"NA")</f>
        <v>0.12550881000000014</v>
      </c>
      <c r="BC856" s="1263">
        <f>IFERROR(Model!BC856/Model!BB856-1,"NA")</f>
        <v>5.0000000000000044E-2</v>
      </c>
      <c r="BD856" s="1263">
        <f>IFERROR(Model!BD856/Model!BC856-1,"NA")</f>
        <v>5.0000000000000044E-2</v>
      </c>
      <c r="BE856" s="1263">
        <f>IFERROR(Model!BE856/Model!BD856-1,"NA")</f>
        <v>5.0000000000000266E-2</v>
      </c>
      <c r="BM856" s="238"/>
      <c r="BN856" s="238"/>
      <c r="BO856" s="238"/>
      <c r="BP856" s="238"/>
      <c r="BQ856" s="238"/>
    </row>
    <row r="857" spans="1:69" x14ac:dyDescent="0.2">
      <c r="B857" s="1217" t="s">
        <v>33</v>
      </c>
      <c r="C857" s="15"/>
      <c r="D857" s="1240"/>
      <c r="E857" s="1240"/>
      <c r="F857" s="1240"/>
      <c r="G857" s="1240"/>
      <c r="H857" s="1240">
        <f>IFERROR(Model!H857/Model!D857-1,"NA")</f>
        <v>-0.24673153764799294</v>
      </c>
      <c r="I857" s="1240">
        <f>IFERROR(Model!I857/Model!E857-1,"NA")</f>
        <v>-0.23366997995380356</v>
      </c>
      <c r="J857" s="1240">
        <f>IFERROR(Model!J857/Model!F857-1,"NA")</f>
        <v>-0.18490631276162173</v>
      </c>
      <c r="K857" s="1240">
        <f>IFERROR(Model!K857/Model!G857-1,"NA")</f>
        <v>-7.6617264462568335E-2</v>
      </c>
      <c r="L857" s="1240">
        <f>IFERROR(Model!L857/Model!H857-1,"NA")</f>
        <v>-4.9414064167015215E-2</v>
      </c>
      <c r="M857" s="1240">
        <f>IFERROR(Model!M857/Model!I857-1,"NA")</f>
        <v>2.7267502115777109E-2</v>
      </c>
      <c r="N857" s="1240">
        <f>IFERROR(Model!N857/Model!J857-1,"NA")</f>
        <v>1.0149237566168701E-2</v>
      </c>
      <c r="O857" s="1240">
        <f>IFERROR(Model!O857/Model!K857-1,"NA")</f>
        <v>8.8822156696033439E-3</v>
      </c>
      <c r="P857" s="1240">
        <f>IFERROR(Model!P857/Model!L857-1,"NA")</f>
        <v>-5.4882894045711006E-2</v>
      </c>
      <c r="Q857" s="1240">
        <f>IFERROR(Model!Q857/Model!M857-1,"NA")</f>
        <v>-6.6696331018926469E-2</v>
      </c>
      <c r="R857" s="1240">
        <f>IFERROR(Model!R857/Model!N857-1,"NA")</f>
        <v>-4.605480651530991E-2</v>
      </c>
      <c r="S857" s="1240">
        <f>IFERROR(Model!S857/Model!O857-1,"NA")</f>
        <v>-9.7745203514434276E-2</v>
      </c>
      <c r="T857" s="1240">
        <f>IFERROR(Model!T857/Model!P857-1,"NA")</f>
        <v>-1.2763511651988857E-2</v>
      </c>
      <c r="U857" s="1240">
        <f>IFERROR(Model!U857/Model!Q857-1,"NA")</f>
        <v>-2.0755741225896296E-2</v>
      </c>
      <c r="V857" s="1240">
        <f>IFERROR(Model!V857/Model!R857-1,"NA")</f>
        <v>-2.0989729924648648E-2</v>
      </c>
      <c r="W857" s="1240">
        <f>IFERROR(Model!W857/Model!S857-1,"NA")</f>
        <v>2.4359706868712028E-2</v>
      </c>
      <c r="X857" s="1240">
        <f>IFERROR(Model!X857/Model!T857-1,"NA")</f>
        <v>3.3439988452377278E-3</v>
      </c>
      <c r="Y857" s="1240">
        <f>IFERROR(Model!Y857/Model!U857-1,"NA")</f>
        <v>8.5472021904284379E-2</v>
      </c>
      <c r="Z857" s="1240">
        <f>IFERROR(Model!Z857/Model!V857-1,"NA")</f>
        <v>0.11299635017292431</v>
      </c>
      <c r="AA857" s="1240">
        <f>IFERROR(Model!AA857/Model!W857-1,"NA")</f>
        <v>0.14808078456479357</v>
      </c>
      <c r="AB857" s="1240">
        <f>IFERROR(Model!AB857/Model!X857-1,"NA")</f>
        <v>0.1410252721430969</v>
      </c>
      <c r="AC857" s="1263">
        <f>IFERROR(Model!AC857/Model!Y857-1,"NA")</f>
        <v>7.7794821009063986E-2</v>
      </c>
      <c r="AD857" s="1263">
        <f>IFERROR(Model!AD857/Model!Z857-1,"NA")</f>
        <v>6.3942508155222288E-2</v>
      </c>
      <c r="AE857" s="1263">
        <f>IFERROR(Model!AE857/Model!AA857-1,"NA")</f>
        <v>6.6717822744382538E-2</v>
      </c>
      <c r="AF857" s="1263">
        <f>IFERROR(Model!AF857/Model!AB857-1,"NA")</f>
        <v>8.2432160000000421E-2</v>
      </c>
      <c r="AG857" s="1263">
        <f>IFERROR(Model!AG857/Model!AC857-1,"NA")</f>
        <v>8.2432160000000199E-2</v>
      </c>
      <c r="AH857" s="1263">
        <f>IFERROR(Model!AH857/Model!AD857-1,"NA")</f>
        <v>8.2432159999999977E-2</v>
      </c>
      <c r="AI857" s="1263">
        <f>IFERROR(Model!AI857/Model!AE857-1,"NA")</f>
        <v>8.2432159999999977E-2</v>
      </c>
      <c r="AJ857" s="1263"/>
      <c r="AK857" s="1263"/>
      <c r="AL857" s="1263"/>
      <c r="AM857" s="1263"/>
      <c r="AN857" s="1263"/>
      <c r="AO857" s="1263"/>
      <c r="AP857" s="1263"/>
      <c r="AQ857" s="1263"/>
      <c r="AR857" s="1236"/>
      <c r="AS857" s="407"/>
      <c r="AT857" s="1250"/>
      <c r="AU857" s="1263"/>
      <c r="AV857" s="1263">
        <f>IFERROR(Model!AV857/Model!AU857-1,"NA")</f>
        <v>-7.6617264462568335E-2</v>
      </c>
      <c r="AW857" s="1263">
        <f>IFERROR(Model!AW857/Model!AV857-1,"NA")</f>
        <v>8.8822156696033439E-3</v>
      </c>
      <c r="AX857" s="1263">
        <f>IFERROR(Model!AX857/Model!AW857-1,"NA")</f>
        <v>-9.7745203514434276E-2</v>
      </c>
      <c r="AY857" s="1263">
        <f>IFERROR(Model!AY857/Model!AX857-1,"NA")</f>
        <v>2.4359706868712028E-2</v>
      </c>
      <c r="AZ857" s="1263">
        <f>IFERROR(Model!AZ857/Model!AY857-1,"NA")</f>
        <v>0.14808078456479357</v>
      </c>
      <c r="BA857" s="1263">
        <f>IFERROR(Model!BA857/Model!AZ857-1,"NA")</f>
        <v>6.6717822744382538E-2</v>
      </c>
      <c r="BB857" s="1263">
        <f>IFERROR(Model!BB857/Model!BA857-1,"NA")</f>
        <v>8.2432159999999977E-2</v>
      </c>
      <c r="BC857" s="1263">
        <f>IFERROR(Model!BC857/Model!BB857-1,"NA")</f>
        <v>4.9999999999999822E-2</v>
      </c>
      <c r="BD857" s="1263">
        <f>IFERROR(Model!BD857/Model!BC857-1,"NA")</f>
        <v>5.0000000000000044E-2</v>
      </c>
      <c r="BE857" s="1263">
        <f>IFERROR(Model!BE857/Model!BD857-1,"NA")</f>
        <v>5.0000000000000266E-2</v>
      </c>
      <c r="BM857" s="238"/>
      <c r="BN857" s="238"/>
      <c r="BO857" s="238"/>
      <c r="BP857" s="238"/>
      <c r="BQ857" s="238"/>
    </row>
    <row r="858" spans="1:69" x14ac:dyDescent="0.2">
      <c r="B858" s="43" t="s">
        <v>565</v>
      </c>
      <c r="C858" s="25"/>
      <c r="D858" s="1401"/>
      <c r="E858" s="1267"/>
      <c r="F858" s="1267"/>
      <c r="G858" s="1267"/>
      <c r="H858" s="1267">
        <f>IFERROR(Model!H858/Model!D858-1,"NA")</f>
        <v>-3.6532936610395916E-2</v>
      </c>
      <c r="I858" s="1267">
        <f>IFERROR(Model!I858/Model!E858-1,"NA")</f>
        <v>-2.6402598066792571E-3</v>
      </c>
      <c r="J858" s="1267">
        <f>IFERROR(Model!J858/Model!F858-1,"NA")</f>
        <v>-3.380523254594936E-2</v>
      </c>
      <c r="K858" s="1267">
        <f>IFERROR(Model!K858/Model!G858-1,"NA")</f>
        <v>-5.690048780703838E-2</v>
      </c>
      <c r="L858" s="1267">
        <f>IFERROR(Model!L858/Model!H858-1,"NA")</f>
        <v>-7.1440117404343084E-2</v>
      </c>
      <c r="M858" s="1267">
        <f>IFERROR(Model!M858/Model!I858-1,"NA")</f>
        <v>-5.055199099208818E-2</v>
      </c>
      <c r="N858" s="1267">
        <f>IFERROR(Model!N858/Model!J858-1,"NA")</f>
        <v>-5.0328222822607738E-2</v>
      </c>
      <c r="O858" s="1267">
        <f>IFERROR(Model!O858/Model!K858-1,"NA")</f>
        <v>5.5931216484001567E-2</v>
      </c>
      <c r="P858" s="1267">
        <f>IFERROR(Model!P858/Model!L858-1,"NA")</f>
        <v>6.7852242768237758E-2</v>
      </c>
      <c r="Q858" s="1267">
        <f>IFERROR(Model!Q858/Model!M858-1,"NA")</f>
        <v>4.1368399970295178E-2</v>
      </c>
      <c r="R858" s="1267">
        <f>IFERROR(Model!R858/Model!N858-1,"NA")</f>
        <v>1.6235435523270114E-2</v>
      </c>
      <c r="S858" s="1267">
        <f>IFERROR(Model!S858/Model!O858-1,"NA")</f>
        <v>-0.15978414098875349</v>
      </c>
      <c r="T858" s="1267">
        <f>IFERROR(Model!T858/Model!P858-1,"NA")</f>
        <v>-0.12294403308422919</v>
      </c>
      <c r="U858" s="1267">
        <f>IFERROR(Model!U858/Model!Q858-1,"NA")</f>
        <v>-8.7981571281625759E-2</v>
      </c>
      <c r="V858" s="1267">
        <f>IFERROR(Model!V858/Model!R858-1,"NA")</f>
        <v>-8.574004784947209E-2</v>
      </c>
      <c r="W858" s="1267">
        <f>IFERROR(Model!W858/Model!S858-1,"NA")</f>
        <v>5.761663186698307E-2</v>
      </c>
      <c r="X858" s="1267">
        <f>IFERROR(Model!X858/Model!T858-1,"NA")</f>
        <v>-2.5728379723493067E-3</v>
      </c>
      <c r="Y858" s="1267">
        <f>IFERROR(Model!Y858/Model!U858-1,"NA")</f>
        <v>-2.2573582723994345E-2</v>
      </c>
      <c r="Z858" s="1267">
        <f>IFERROR(Model!Z858/Model!V858-1,"NA")</f>
        <v>4.686212638066678E-2</v>
      </c>
      <c r="AA858" s="1267">
        <f>IFERROR(Model!AA858/Model!W858-1,"NA")</f>
        <v>4.0285350394975161E-4</v>
      </c>
      <c r="AB858" s="1267">
        <f>IFERROR(Model!AB858/Model!X858-1,"NA")</f>
        <v>8.864369168904096E-2</v>
      </c>
      <c r="AC858" s="1401">
        <f>IFERROR(Model!AC858/Model!Y858-1,"NA")</f>
        <v>6.0005168954999411E-2</v>
      </c>
      <c r="AD858" s="1401">
        <f>IFERROR(Model!AD858/Model!Z858-1,"NA")</f>
        <v>1.9932473883922608E-2</v>
      </c>
      <c r="AE858" s="1401">
        <f>IFERROR(Model!AE858/Model!AA858-1,"NA")</f>
        <v>8.5481585422284345E-2</v>
      </c>
      <c r="AF858" s="1401">
        <f>IFERROR(Model!AF858/Model!AB858-1,"NA")</f>
        <v>-2.8092437898485034E-2</v>
      </c>
      <c r="AG858" s="1401">
        <f>IFERROR(Model!AG858/Model!AC858-1,"NA")</f>
        <v>-6.4967459816547279E-3</v>
      </c>
      <c r="AH858" s="1401">
        <f>IFERROR(Model!AH858/Model!AD858-1,"NA")</f>
        <v>1.7656109072846649E-2</v>
      </c>
      <c r="AI858" s="1401">
        <f>IFERROR(Model!AI858/Model!AE858-1,"NA")</f>
        <v>4.6878438650834742E-2</v>
      </c>
      <c r="AJ858" s="1267"/>
      <c r="AK858" s="1267"/>
      <c r="AL858" s="1267"/>
      <c r="AM858" s="1267"/>
      <c r="AN858" s="1267"/>
      <c r="AO858" s="1267"/>
      <c r="AP858" s="1267"/>
      <c r="AQ858" s="1267"/>
      <c r="AR858" s="1236"/>
      <c r="AS858" s="1307"/>
      <c r="AT858" s="1307"/>
      <c r="AU858" s="1270"/>
      <c r="AV858" s="1270">
        <f>IFERROR(Model!AV858/Model!AU858-1,"NA")</f>
        <v>-5.690048780703838E-2</v>
      </c>
      <c r="AW858" s="1270">
        <f>IFERROR(Model!AW858/Model!AV858-1,"NA")</f>
        <v>5.5931216484001567E-2</v>
      </c>
      <c r="AX858" s="1270">
        <f>IFERROR(Model!AX858/Model!AW858-1,"NA")</f>
        <v>-0.15978414098875349</v>
      </c>
      <c r="AY858" s="1270">
        <f>IFERROR(Model!AY858/Model!AX858-1,"NA")</f>
        <v>5.761663186698307E-2</v>
      </c>
      <c r="AZ858" s="1270">
        <f>IFERROR(Model!AZ858/Model!AY858-1,"NA")</f>
        <v>4.0285350394975161E-4</v>
      </c>
      <c r="BA858" s="1270">
        <f>IFERROR(Model!BA858/Model!AZ858-1,"NA")</f>
        <v>8.5481585422284345E-2</v>
      </c>
      <c r="BB858" s="1401">
        <f>IFERROR(Model!BB858/Model!BA858-1,"NA")</f>
        <v>4.6878438650834742E-2</v>
      </c>
      <c r="BC858" s="1401">
        <f>IFERROR(Model!BC858/Model!BB858-1,"NA")</f>
        <v>2.2390155893867725E-3</v>
      </c>
      <c r="BD858" s="1401">
        <f>IFERROR(Model!BD858/Model!BC858-1,"NA")</f>
        <v>2.602120228456517E-2</v>
      </c>
      <c r="BE858" s="1401">
        <f>IFERROR(Model!BE858/Model!BD858-1,"NA")</f>
        <v>1.8349047159438747E-2</v>
      </c>
      <c r="BM858" s="238"/>
      <c r="BN858" s="238"/>
      <c r="BO858" s="238"/>
      <c r="BP858" s="238"/>
      <c r="BQ858" s="238"/>
    </row>
    <row r="859" spans="1:69" s="369" customFormat="1" x14ac:dyDescent="0.2">
      <c r="A859" s="411"/>
      <c r="B859" s="325" t="s">
        <v>358</v>
      </c>
      <c r="C859" s="634"/>
      <c r="D859" s="1499"/>
      <c r="E859" s="1500"/>
      <c r="F859" s="1500"/>
      <c r="G859" s="1500"/>
      <c r="H859" s="1500">
        <f>IFERROR(Model!H859/Model!D859-1,"NA")</f>
        <v>-4.2201965127506069E-2</v>
      </c>
      <c r="I859" s="1500">
        <f>IFERROR(Model!I859/Model!E859-1,"NA")</f>
        <v>-2.5684555521399366E-2</v>
      </c>
      <c r="J859" s="1500">
        <f>IFERROR(Model!J859/Model!F859-1,"NA")</f>
        <v>-2.630310431261651E-2</v>
      </c>
      <c r="K859" s="1500">
        <f>IFERROR(Model!K859/Model!G859-1,"NA")</f>
        <v>3.5013022334839938E-4</v>
      </c>
      <c r="L859" s="1500">
        <f>IFERROR(Model!L859/Model!H859-1,"NA")</f>
        <v>-1.1272566628814928E-3</v>
      </c>
      <c r="M859" s="1500">
        <f>IFERROR(Model!M859/Model!I859-1,"NA")</f>
        <v>6.1998787779584674E-3</v>
      </c>
      <c r="N859" s="1500">
        <f>IFERROR(Model!N859/Model!J859-1,"NA")</f>
        <v>-1.6392302560391148E-2</v>
      </c>
      <c r="O859" s="1500">
        <f>IFERROR(Model!O859/Model!K859-1,"NA")</f>
        <v>-2.6139481044934132E-2</v>
      </c>
      <c r="P859" s="1500">
        <f>IFERROR(Model!P859/Model!L859-1,"NA")</f>
        <v>-4.079325898459718E-2</v>
      </c>
      <c r="Q859" s="1500">
        <f>IFERROR(Model!Q859/Model!M859-1,"NA")</f>
        <v>-5.1909801628653773E-2</v>
      </c>
      <c r="R859" s="1500">
        <f>IFERROR(Model!R859/Model!N859-1,"NA")</f>
        <v>-4.9575243954611214E-2</v>
      </c>
      <c r="S859" s="1500">
        <f>IFERROR(Model!S859/Model!O859-1,"NA")</f>
        <v>-7.5049448476986913E-2</v>
      </c>
      <c r="T859" s="1500">
        <f>IFERROR(Model!T859/Model!P859-1,"NA")</f>
        <v>-2.6966575853861086E-2</v>
      </c>
      <c r="U859" s="1500">
        <f>IFERROR(Model!U859/Model!Q859-1,"NA")</f>
        <v>-1.4171191977843334E-2</v>
      </c>
      <c r="V859" s="1500">
        <f>IFERROR(Model!V859/Model!R859-1,"NA")</f>
        <v>-4.9930053794589035E-4</v>
      </c>
      <c r="W859" s="1500">
        <f>IFERROR(Model!W859/Model!S859-1,"NA")</f>
        <v>3.8336522738936951E-2</v>
      </c>
      <c r="X859" s="1500">
        <f>IFERROR(Model!X859/Model!T859-1,"NA")</f>
        <v>1.2896528826375153E-2</v>
      </c>
      <c r="Y859" s="1500">
        <f>IFERROR(Model!Y859/Model!U859-1,"NA")</f>
        <v>2.9768879079300037E-2</v>
      </c>
      <c r="Z859" s="1500">
        <f>IFERROR(Model!Z859/Model!V859-1,"NA")</f>
        <v>4.7358850328649726E-2</v>
      </c>
      <c r="AA859" s="1500">
        <f>IFERROR(Model!AA859/Model!W859-1,"NA")</f>
        <v>4.7804696749671471E-2</v>
      </c>
      <c r="AB859" s="1500">
        <f>IFERROR(Model!AB859/Model!X859-1,"NA")</f>
        <v>7.9596504073515373E-2</v>
      </c>
      <c r="AC859" s="1409">
        <f>IFERROR(Model!AC859/Model!Y859-1,"NA")</f>
        <v>5.6896917168295591E-2</v>
      </c>
      <c r="AD859" s="1409">
        <f>IFERROR(Model!AD859/Model!Z859-1,"NA")</f>
        <v>4.5646984055610407E-2</v>
      </c>
      <c r="AE859" s="1409">
        <f>IFERROR(Model!AE859/Model!AA859-1,"NA")</f>
        <v>6.6536581009721374E-2</v>
      </c>
      <c r="AF859" s="1409">
        <f>IFERROR(Model!AF859/Model!AB859-1,"NA")</f>
        <v>2.4060042440549489E-2</v>
      </c>
      <c r="AG859" s="1409">
        <f>IFERROR(Model!AG859/Model!AC859-1,"NA")</f>
        <v>2.9543715690572681E-2</v>
      </c>
      <c r="AH859" s="1409">
        <f>IFERROR(Model!AH859/Model!AD859-1,"NA")</f>
        <v>3.5415213924852029E-2</v>
      </c>
      <c r="AI859" s="1409">
        <f>IFERROR(Model!AI859/Model!AE859-1,"NA")</f>
        <v>4.1298414330684263E-2</v>
      </c>
      <c r="AJ859" s="1409"/>
      <c r="AK859" s="1409"/>
      <c r="AL859" s="1409"/>
      <c r="AM859" s="1409"/>
      <c r="AN859" s="1409"/>
      <c r="AO859" s="1409"/>
      <c r="AP859" s="1409"/>
      <c r="AQ859" s="1409"/>
      <c r="AR859" s="1236"/>
      <c r="AS859" s="1239"/>
      <c r="AT859" s="1491"/>
      <c r="AU859" s="1409"/>
      <c r="AV859" s="1409">
        <f>IFERROR(Model!AV859/Model!AU859-1,"NA")</f>
        <v>3.5013022334839938E-4</v>
      </c>
      <c r="AW859" s="1409">
        <f>IFERROR(Model!AW859/Model!AV859-1,"NA")</f>
        <v>-2.6139481044934132E-2</v>
      </c>
      <c r="AX859" s="1409">
        <f>IFERROR(Model!AX859/Model!AW859-1,"NA")</f>
        <v>-7.5049448476986913E-2</v>
      </c>
      <c r="AY859" s="1409">
        <f>IFERROR(Model!AY859/Model!AX859-1,"NA")</f>
        <v>3.8336522738936951E-2</v>
      </c>
      <c r="AZ859" s="1409">
        <f>IFERROR(Model!AZ859/Model!AY859-1,"NA")</f>
        <v>4.7804696749671471E-2</v>
      </c>
      <c r="BA859" s="1409">
        <f>IFERROR(Model!BA859/Model!AZ859-1,"NA")</f>
        <v>6.6536581009721374E-2</v>
      </c>
      <c r="BB859" s="1409">
        <f>IFERROR(Model!BB859/Model!BA859-1,"NA")</f>
        <v>4.1298414330684263E-2</v>
      </c>
      <c r="BC859" s="1409">
        <f>IFERROR(Model!BC859/Model!BB859-1,"NA")</f>
        <v>2.7734232143653781E-2</v>
      </c>
      <c r="BD859" s="1409">
        <f>IFERROR(Model!BD859/Model!BC859-1,"NA")</f>
        <v>3.3911547576481738E-2</v>
      </c>
      <c r="BE859" s="1409">
        <f>IFERROR(Model!BE859/Model!BD859-1,"NA")</f>
        <v>3.2260260118519124E-2</v>
      </c>
    </row>
    <row r="860" spans="1:69" x14ac:dyDescent="0.2">
      <c r="D860" s="1338"/>
      <c r="E860" s="1338"/>
      <c r="F860" s="1338"/>
      <c r="G860" s="1338"/>
      <c r="H860" s="1338"/>
      <c r="I860" s="1338"/>
      <c r="J860" s="1338"/>
      <c r="K860" s="1338"/>
      <c r="L860" s="1338"/>
      <c r="M860" s="1338"/>
      <c r="N860" s="1338"/>
      <c r="O860" s="1338"/>
      <c r="P860" s="1338"/>
      <c r="Q860" s="1338"/>
      <c r="R860" s="1338"/>
      <c r="S860" s="1338"/>
      <c r="T860" s="1338"/>
      <c r="U860" s="1338"/>
      <c r="V860" s="1338"/>
      <c r="W860" s="1338"/>
      <c r="X860" s="1338"/>
      <c r="Y860" s="1338"/>
      <c r="Z860" s="1338"/>
      <c r="AA860" s="1338"/>
      <c r="AB860" s="1338"/>
      <c r="AC860" s="1318"/>
      <c r="AD860" s="1318"/>
      <c r="AE860" s="1318"/>
      <c r="AF860" s="1318"/>
      <c r="AG860" s="1318"/>
      <c r="AH860" s="1318"/>
      <c r="AI860" s="1318"/>
      <c r="AJ860" s="1318"/>
      <c r="AK860" s="1318"/>
      <c r="AL860" s="1318"/>
      <c r="AM860" s="1318"/>
      <c r="AN860" s="1318"/>
      <c r="AO860" s="1318"/>
      <c r="AP860" s="1318"/>
      <c r="AQ860" s="1318"/>
      <c r="AR860" s="1236"/>
      <c r="AS860" s="1382"/>
      <c r="AT860" s="407"/>
      <c r="AU860" s="1236"/>
      <c r="AV860" s="1236"/>
      <c r="AW860" s="1236"/>
      <c r="AX860" s="1236"/>
      <c r="AY860" s="1236"/>
      <c r="AZ860" s="1236"/>
      <c r="BA860" s="1236"/>
      <c r="BB860" s="1318"/>
      <c r="BC860" s="1318"/>
      <c r="BD860" s="1318"/>
      <c r="BE860" s="1318"/>
    </row>
    <row r="861" spans="1:69" s="369" customFormat="1" x14ac:dyDescent="0.2">
      <c r="A861" s="411"/>
      <c r="B861" s="642" t="s">
        <v>112</v>
      </c>
      <c r="C861" s="648"/>
      <c r="D861" s="1267"/>
      <c r="E861" s="1267"/>
      <c r="F861" s="1267"/>
      <c r="G861" s="1267"/>
      <c r="H861" s="1267"/>
      <c r="I861" s="1267"/>
      <c r="J861" s="1267"/>
      <c r="K861" s="1267"/>
      <c r="L861" s="1267"/>
      <c r="M861" s="1267"/>
      <c r="N861" s="1267"/>
      <c r="O861" s="1267"/>
      <c r="P861" s="1267"/>
      <c r="Q861" s="1267"/>
      <c r="R861" s="1267"/>
      <c r="S861" s="1267"/>
      <c r="T861" s="1267"/>
      <c r="U861" s="1267"/>
      <c r="V861" s="1267"/>
      <c r="W861" s="1267"/>
      <c r="X861" s="1267"/>
      <c r="Y861" s="1267"/>
      <c r="Z861" s="1267"/>
      <c r="AA861" s="1267"/>
      <c r="AB861" s="1267"/>
      <c r="AC861" s="1311"/>
      <c r="AD861" s="1311"/>
      <c r="AE861" s="1311"/>
      <c r="AF861" s="1311"/>
      <c r="AG861" s="1311"/>
      <c r="AH861" s="1311"/>
      <c r="AI861" s="1410"/>
      <c r="AJ861" s="1410"/>
      <c r="AK861" s="1410"/>
      <c r="AL861" s="1410"/>
      <c r="AM861" s="1410"/>
      <c r="AN861" s="1410"/>
      <c r="AO861" s="1410"/>
      <c r="AP861" s="1410"/>
      <c r="AQ861" s="1410"/>
      <c r="AR861" s="1236"/>
      <c r="AS861" s="1493"/>
      <c r="AT861" s="1409"/>
      <c r="AU861" s="1410"/>
      <c r="AV861" s="1410"/>
      <c r="AW861" s="1410"/>
      <c r="AX861" s="1410"/>
      <c r="AY861" s="1410"/>
      <c r="AZ861" s="1410"/>
      <c r="BA861" s="1263"/>
      <c r="BB861" s="1410"/>
      <c r="BC861" s="1410"/>
      <c r="BD861" s="1410"/>
      <c r="BE861" s="1410"/>
    </row>
    <row r="862" spans="1:69" s="369" customFormat="1" x14ac:dyDescent="0.2">
      <c r="A862" s="411"/>
      <c r="B862" s="634" t="s">
        <v>113</v>
      </c>
      <c r="C862" s="550"/>
      <c r="D862" s="1240"/>
      <c r="E862" s="1240"/>
      <c r="F862" s="1240"/>
      <c r="G862" s="1240"/>
      <c r="H862" s="1240">
        <f>IFERROR(Model!H862/Model!D862-1,"NA")</f>
        <v>9.0544871794871788</v>
      </c>
      <c r="I862" s="1240">
        <f>IFERROR(Model!I862/Model!E862-1,"NA")</f>
        <v>12.759615384615385</v>
      </c>
      <c r="J862" s="1240">
        <f>IFERROR(Model!J862/Model!F862-1,"NA")</f>
        <v>15.804487179487179</v>
      </c>
      <c r="K862" s="1240">
        <f>IFERROR(Model!K862/Model!G862-1,"NA")</f>
        <v>1.629976580796253</v>
      </c>
      <c r="L862" s="1240">
        <f>IFERROR(Model!L862/Model!H862-1,"NA")</f>
        <v>1.3009244501115718</v>
      </c>
      <c r="M862" s="1240">
        <f>IFERROR(Model!M862/Model!I862-1,"NA")</f>
        <v>1.0889820638248313</v>
      </c>
      <c r="N862" s="1240">
        <f>IFERROR(Model!N862/Model!J862-1,"NA")</f>
        <v>0.71047110432958238</v>
      </c>
      <c r="O862" s="1240">
        <f>IFERROR(Model!O862/Model!K862-1,"NA")</f>
        <v>0.55357672899970312</v>
      </c>
      <c r="P862" s="1240">
        <f>IFERROR(Model!P862/Model!L862-1,"NA")</f>
        <v>0.658077029648102</v>
      </c>
      <c r="Q862" s="1240">
        <f>IFERROR(Model!Q862/Model!M862-1,"NA")</f>
        <v>0.55753791257805529</v>
      </c>
      <c r="R862" s="1240">
        <f>IFERROR(Model!R862/Model!N862-1,"NA")</f>
        <v>0.69692239072256923</v>
      </c>
      <c r="S862" s="1240">
        <f>IFERROR(Model!S862/Model!O862-1,"NA")</f>
        <v>0.59705769965609479</v>
      </c>
      <c r="T862" s="1240">
        <f>IFERROR(Model!T862/Model!P862-1,"NA")</f>
        <v>0.48337232620320858</v>
      </c>
      <c r="U862" s="1240">
        <f>IFERROR(Model!U862/Model!Q862-1,"NA")</f>
        <v>0.37836483390607101</v>
      </c>
      <c r="V862" s="1240">
        <f>IFERROR(Model!V862/Model!R862-1,"NA")</f>
        <v>0.26514653699566293</v>
      </c>
      <c r="W862" s="1240">
        <f>IFERROR(Model!W862/Model!S862-1,"NA")</f>
        <v>0.15163297045101087</v>
      </c>
      <c r="X862" s="1240">
        <f>IFERROR(Model!X862/Model!T862-1,"NA")</f>
        <v>8.4492761786740367E-2</v>
      </c>
      <c r="Y862" s="1240">
        <f>IFERROR(Model!Y862/Model!U862-1,"NA")</f>
        <v>0</v>
      </c>
      <c r="Z862" s="1240">
        <f>IFERROR(Model!Z862/Model!V862-1,"NA")</f>
        <v>0</v>
      </c>
      <c r="AA862" s="1240">
        <f>IFERROR(Model!AA862/Model!W862-1,"NA")</f>
        <v>0</v>
      </c>
      <c r="AB862" s="1240">
        <f>IFERROR(Model!AB862/Model!X862-1,"NA")</f>
        <v>-5.0381758686958156E-3</v>
      </c>
      <c r="AC862" s="1501">
        <f>IFERROR(Model!AC862/Model!Y862-1,"NA")</f>
        <v>-5.0381758686958156E-3</v>
      </c>
      <c r="AD862" s="1501">
        <f>IFERROR(Model!AD862/Model!Z862-1,"NA")</f>
        <v>-5.0381758686958156E-3</v>
      </c>
      <c r="AE862" s="1501">
        <f>IFERROR(Model!AE862/Model!AA862-1,"NA")</f>
        <v>-5.0381758686958156E-3</v>
      </c>
      <c r="AF862" s="1501">
        <f>IFERROR(Model!AF862/Model!AB862-1,"NA")</f>
        <v>0.10440593025683853</v>
      </c>
      <c r="AG862" s="1501">
        <f>IFERROR(Model!AG862/Model!AC862-1,"NA")</f>
        <v>0.10440593025683853</v>
      </c>
      <c r="AH862" s="1501">
        <f>IFERROR(Model!AH862/Model!AD862-1,"NA")</f>
        <v>0.10440593025683853</v>
      </c>
      <c r="AI862" s="1501">
        <f>IFERROR(Model!AI862/Model!AE862-1,"NA")</f>
        <v>0.10440593025683853</v>
      </c>
      <c r="AJ862" s="1501"/>
      <c r="AK862" s="1501"/>
      <c r="AL862" s="1501"/>
      <c r="AM862" s="1501"/>
      <c r="AN862" s="1501"/>
      <c r="AO862" s="1501"/>
      <c r="AP862" s="1501"/>
      <c r="AQ862" s="1501"/>
      <c r="AR862" s="1236"/>
      <c r="AS862" s="1491"/>
      <c r="AT862" s="1409"/>
      <c r="AU862" s="1263"/>
      <c r="AV862" s="1263">
        <f>IFERROR(Model!AV862/Model!AU862-1,"NA")</f>
        <v>1.629976580796253</v>
      </c>
      <c r="AW862" s="1263">
        <f>IFERROR(Model!AW862/Model!AV862-1,"NA")</f>
        <v>0.55357672899970312</v>
      </c>
      <c r="AX862" s="1263">
        <f>IFERROR(Model!AX862/Model!AW862-1,"NA")</f>
        <v>0.59705769965609479</v>
      </c>
      <c r="AY862" s="1263">
        <f>IFERROR(Model!AY862/Model!AX862-1,"NA")</f>
        <v>0.15163297045101087</v>
      </c>
      <c r="AZ862" s="1263">
        <f>IFERROR(Model!AZ862/Model!AY862-1,"NA")</f>
        <v>0</v>
      </c>
      <c r="BA862" s="1263">
        <f>IFERROR(Model!BA862/Model!AZ862-1,"NA")</f>
        <v>-5.0381758686958156E-3</v>
      </c>
      <c r="BB862" s="1501">
        <f>IFERROR(Model!BB862/Model!BA862-1,"NA")</f>
        <v>0.10440593025683853</v>
      </c>
      <c r="BC862" s="1501">
        <f>IFERROR(Model!BC862/Model!BB862-1,"NA")</f>
        <v>0</v>
      </c>
      <c r="BD862" s="1501">
        <f>IFERROR(Model!BD862/Model!BC862-1,"NA")</f>
        <v>0</v>
      </c>
      <c r="BE862" s="1501">
        <f>IFERROR(Model!BE862/Model!BD862-1,"NA")</f>
        <v>0</v>
      </c>
      <c r="BM862" s="238"/>
      <c r="BN862" s="238"/>
      <c r="BO862" s="238"/>
      <c r="BP862" s="238"/>
      <c r="BQ862" s="238"/>
    </row>
    <row r="863" spans="1:69" s="369" customFormat="1" x14ac:dyDescent="0.2">
      <c r="A863" s="411"/>
      <c r="B863" s="634" t="s">
        <v>114</v>
      </c>
      <c r="C863" s="550"/>
      <c r="D863" s="1240"/>
      <c r="E863" s="1240"/>
      <c r="F863" s="1240"/>
      <c r="G863" s="1240"/>
      <c r="H863" s="1240">
        <f>IFERROR(Model!H863/Model!D863-1,"NA")</f>
        <v>6.8965517241379226E-2</v>
      </c>
      <c r="I863" s="1240">
        <f>IFERROR(Model!I863/Model!E863-1,"NA")</f>
        <v>6.8965517241379226E-2</v>
      </c>
      <c r="J863" s="1240">
        <f>IFERROR(Model!J863/Model!F863-1,"NA")</f>
        <v>6.8965517241379226E-2</v>
      </c>
      <c r="K863" s="1240">
        <f>IFERROR(Model!K863/Model!G863-1,"NA")</f>
        <v>3.3333333333333437E-2</v>
      </c>
      <c r="L863" s="1240">
        <f>IFERROR(Model!L863/Model!H863-1,"NA")</f>
        <v>0</v>
      </c>
      <c r="M863" s="1240">
        <f>IFERROR(Model!M863/Model!I863-1,"NA")</f>
        <v>0</v>
      </c>
      <c r="N863" s="1240">
        <f>IFERROR(Model!N863/Model!J863-1,"NA")</f>
        <v>0</v>
      </c>
      <c r="O863" s="1240">
        <f>IFERROR(Model!O863/Model!K863-1,"NA")</f>
        <v>0</v>
      </c>
      <c r="P863" s="1240">
        <f>IFERROR(Model!P863/Model!L863-1,"NA")</f>
        <v>0</v>
      </c>
      <c r="Q863" s="1240">
        <f>IFERROR(Model!Q863/Model!M863-1,"NA")</f>
        <v>0</v>
      </c>
      <c r="R863" s="1240">
        <f>IFERROR(Model!R863/Model!N863-1,"NA")</f>
        <v>0</v>
      </c>
      <c r="S863" s="1240">
        <f>IFERROR(Model!S863/Model!O863-1,"NA")</f>
        <v>0</v>
      </c>
      <c r="T863" s="1240">
        <f>IFERROR(Model!T863/Model!P863-1,"NA")</f>
        <v>0</v>
      </c>
      <c r="U863" s="1240">
        <f>IFERROR(Model!U863/Model!Q863-1,"NA")</f>
        <v>0</v>
      </c>
      <c r="V863" s="1240">
        <f>IFERROR(Model!V863/Model!R863-1,"NA")</f>
        <v>0</v>
      </c>
      <c r="W863" s="1240">
        <f>IFERROR(Model!W863/Model!S863-1,"NA")</f>
        <v>0</v>
      </c>
      <c r="X863" s="1240">
        <f>IFERROR(Model!X863/Model!T863-1,"NA")</f>
        <v>0</v>
      </c>
      <c r="Y863" s="1240">
        <f>IFERROR(Model!Y863/Model!U863-1,"NA")</f>
        <v>0</v>
      </c>
      <c r="Z863" s="1240">
        <f>IFERROR(Model!Z863/Model!V863-1,"NA")</f>
        <v>0</v>
      </c>
      <c r="AA863" s="1240">
        <f>IFERROR(Model!AA863/Model!W863-1,"NA")</f>
        <v>0</v>
      </c>
      <c r="AB863" s="1240">
        <f>IFERROR(Model!AB863/Model!X863-1,"NA")</f>
        <v>0</v>
      </c>
      <c r="AC863" s="1263">
        <f>IFERROR(Model!AC863/Model!Y863-1,"NA")</f>
        <v>0</v>
      </c>
      <c r="AD863" s="1263">
        <f>IFERROR(Model!AD863/Model!Z863-1,"NA")</f>
        <v>0</v>
      </c>
      <c r="AE863" s="1263">
        <f>IFERROR(Model!AE863/Model!AA863-1,"NA")</f>
        <v>0</v>
      </c>
      <c r="AF863" s="1263">
        <f>IFERROR(Model!AF863/Model!AB863-1,"NA")</f>
        <v>0</v>
      </c>
      <c r="AG863" s="1263">
        <f>IFERROR(Model!AG863/Model!AC863-1,"NA")</f>
        <v>0</v>
      </c>
      <c r="AH863" s="1263">
        <f>IFERROR(Model!AH863/Model!AD863-1,"NA")</f>
        <v>0</v>
      </c>
      <c r="AI863" s="1263">
        <f>IFERROR(Model!AI863/Model!AE863-1,"NA")</f>
        <v>0</v>
      </c>
      <c r="AJ863" s="1263"/>
      <c r="AK863" s="1263"/>
      <c r="AL863" s="1263"/>
      <c r="AM863" s="1263"/>
      <c r="AN863" s="1263"/>
      <c r="AO863" s="1263"/>
      <c r="AP863" s="1263"/>
      <c r="AQ863" s="1263"/>
      <c r="AR863" s="1236"/>
      <c r="AS863" s="1491"/>
      <c r="AT863" s="1409"/>
      <c r="AU863" s="1263"/>
      <c r="AV863" s="1263">
        <f>IFERROR(Model!AV863/Model!AU863-1,"NA")</f>
        <v>3.3333333333333437E-2</v>
      </c>
      <c r="AW863" s="1263">
        <f>IFERROR(Model!AW863/Model!AV863-1,"NA")</f>
        <v>0</v>
      </c>
      <c r="AX863" s="1263">
        <f>IFERROR(Model!AX863/Model!AW863-1,"NA")</f>
        <v>0</v>
      </c>
      <c r="AY863" s="1263">
        <f>IFERROR(Model!AY863/Model!AX863-1,"NA")</f>
        <v>0</v>
      </c>
      <c r="AZ863" s="1263">
        <f>IFERROR(Model!AZ863/Model!AY863-1,"NA")</f>
        <v>0</v>
      </c>
      <c r="BA863" s="1263">
        <f>IFERROR(Model!BA863/Model!AZ863-1,"NA")</f>
        <v>0</v>
      </c>
      <c r="BB863" s="1263">
        <f>IFERROR(Model!BB863/Model!BA863-1,"NA")</f>
        <v>0</v>
      </c>
      <c r="BC863" s="1263">
        <f>IFERROR(Model!BC863/Model!BB863-1,"NA")</f>
        <v>0</v>
      </c>
      <c r="BD863" s="1263">
        <f>IFERROR(Model!BD863/Model!BC863-1,"NA")</f>
        <v>0</v>
      </c>
      <c r="BE863" s="1263">
        <f>IFERROR(Model!BE863/Model!BD863-1,"NA")</f>
        <v>0</v>
      </c>
      <c r="BM863" s="238"/>
      <c r="BN863" s="238"/>
      <c r="BO863" s="238"/>
      <c r="BP863" s="238"/>
      <c r="BQ863" s="238"/>
    </row>
    <row r="864" spans="1:69" s="369" customFormat="1" x14ac:dyDescent="0.2">
      <c r="A864" s="411"/>
      <c r="B864" s="634" t="s">
        <v>34</v>
      </c>
      <c r="C864" s="345"/>
      <c r="D864" s="1240"/>
      <c r="E864" s="1240"/>
      <c r="F864" s="1240"/>
      <c r="G864" s="1240"/>
      <c r="H864" s="1240">
        <f>IFERROR(Model!H864/Model!D864-1,"NA")</f>
        <v>8.2618847306379362E-3</v>
      </c>
      <c r="I864" s="1240">
        <f>IFERROR(Model!I864/Model!E864-1,"NA")</f>
        <v>8.6257337536097545E-3</v>
      </c>
      <c r="J864" s="1240">
        <f>IFERROR(Model!J864/Model!F864-1,"NA")</f>
        <v>7.7869740026175194E-3</v>
      </c>
      <c r="K864" s="1240">
        <f>IFERROR(Model!K864/Model!G864-1,"NA")</f>
        <v>7.538231617336022E-3</v>
      </c>
      <c r="L864" s="1240">
        <f>IFERROR(Model!L864/Model!H864-1,"NA")</f>
        <v>7.912920373894794E-3</v>
      </c>
      <c r="M864" s="1240">
        <f>IFERROR(Model!M864/Model!I864-1,"NA")</f>
        <v>7.4198136157790362E-3</v>
      </c>
      <c r="N864" s="1240">
        <f>IFERROR(Model!N864/Model!J864-1,"NA")</f>
        <v>7.5586284219377742E-3</v>
      </c>
      <c r="O864" s="1240">
        <f>IFERROR(Model!O864/Model!K864-1,"NA")</f>
        <v>7.332568358008551E-3</v>
      </c>
      <c r="P864" s="1240">
        <f>IFERROR(Model!P864/Model!L864-1,"NA")</f>
        <v>5.7578717268964574E-3</v>
      </c>
      <c r="Q864" s="1240">
        <f>IFERROR(Model!Q864/Model!M864-1,"NA")</f>
        <v>5.1082484280526863E-3</v>
      </c>
      <c r="R864" s="1240">
        <f>IFERROR(Model!R864/Model!N864-1,"NA")</f>
        <v>3.9132410352469282E-3</v>
      </c>
      <c r="S864" s="1240">
        <f>IFERROR(Model!S864/Model!O864-1,"NA")</f>
        <v>2.861667546467439E-3</v>
      </c>
      <c r="T864" s="1240">
        <f>IFERROR(Model!T864/Model!P864-1,"NA")</f>
        <v>-4.9387740002219127E-3</v>
      </c>
      <c r="U864" s="1240">
        <f>IFERROR(Model!U864/Model!Q864-1,"NA")</f>
        <v>-4.5186150306323336E-3</v>
      </c>
      <c r="V864" s="1240">
        <f>IFERROR(Model!V864/Model!R864-1,"NA")</f>
        <v>-3.5654575516576026E-3</v>
      </c>
      <c r="W864" s="1240">
        <f>IFERROR(Model!W864/Model!S864-1,"NA")</f>
        <v>-2.2717198581559961E-3</v>
      </c>
      <c r="X864" s="1240">
        <f>IFERROR(Model!X864/Model!T864-1,"NA")</f>
        <v>2.1377451435999895E-4</v>
      </c>
      <c r="Y864" s="1240">
        <f>IFERROR(Model!Y864/Model!U864-1,"NA")</f>
        <v>6.3120764875157498E-4</v>
      </c>
      <c r="Z864" s="1240">
        <f>IFERROR(Model!Z864/Model!V864-1,"NA")</f>
        <v>1.9466975666282416E-4</v>
      </c>
      <c r="AA864" s="1240">
        <f>IFERROR(Model!AA864/Model!W864-1,"NA")</f>
        <v>-3.146924344236135E-4</v>
      </c>
      <c r="AB864" s="1240">
        <f>IFERROR(Model!AB864/Model!X864-1,"NA")</f>
        <v>-1.3009580626877071E-4</v>
      </c>
      <c r="AC864" s="1263">
        <f>IFERROR(Model!AC864/Model!Y864-1,"NA")</f>
        <v>-1.8460453811759425E-3</v>
      </c>
      <c r="AD864" s="1263">
        <f>IFERROR(Model!AD864/Model!Z864-1,"NA")</f>
        <v>-2.7526507006747636E-3</v>
      </c>
      <c r="AE864" s="1263">
        <f>IFERROR(Model!AE864/Model!AA864-1,"NA")</f>
        <v>-3.7867565365528044E-3</v>
      </c>
      <c r="AF864" s="1263">
        <f>IFERROR(Model!AF864/Model!AB864-1,"NA")</f>
        <v>0</v>
      </c>
      <c r="AG864" s="1263">
        <f>IFERROR(Model!AG864/Model!AC864-1,"NA")</f>
        <v>0</v>
      </c>
      <c r="AH864" s="1263">
        <f>IFERROR(Model!AH864/Model!AD864-1,"NA")</f>
        <v>0</v>
      </c>
      <c r="AI864" s="1263">
        <f>IFERROR(Model!AI864/Model!AE864-1,"NA")</f>
        <v>0</v>
      </c>
      <c r="AJ864" s="1263"/>
      <c r="AK864" s="1263"/>
      <c r="AL864" s="1263"/>
      <c r="AM864" s="1263"/>
      <c r="AN864" s="1263"/>
      <c r="AO864" s="1263"/>
      <c r="AP864" s="1263"/>
      <c r="AQ864" s="1263"/>
      <c r="AR864" s="1236"/>
      <c r="AS864" s="1491"/>
      <c r="AT864" s="1409"/>
      <c r="AU864" s="1263"/>
      <c r="AV864" s="1263">
        <f>IFERROR(Model!AV864/Model!AU864-1,"NA")</f>
        <v>7.538231617336022E-3</v>
      </c>
      <c r="AW864" s="1263">
        <f>IFERROR(Model!AW864/Model!AV864-1,"NA")</f>
        <v>7.332568358008551E-3</v>
      </c>
      <c r="AX864" s="1263">
        <f>IFERROR(Model!AX864/Model!AW864-1,"NA")</f>
        <v>2.861667546467439E-3</v>
      </c>
      <c r="AY864" s="1263">
        <f>IFERROR(Model!AY864/Model!AX864-1,"NA")</f>
        <v>-2.2717198581559961E-3</v>
      </c>
      <c r="AZ864" s="1263">
        <f>IFERROR(Model!AZ864/Model!AY864-1,"NA")</f>
        <v>-3.146924344236135E-4</v>
      </c>
      <c r="BA864" s="1263">
        <f>IFERROR(Model!BA864/Model!AZ864-1,"NA")</f>
        <v>-3.7867565365528044E-3</v>
      </c>
      <c r="BB864" s="1263">
        <f>IFERROR(Model!BB864/Model!BA864-1,"NA")</f>
        <v>0</v>
      </c>
      <c r="BC864" s="1263">
        <f>IFERROR(Model!BC864/Model!BB864-1,"NA")</f>
        <v>0</v>
      </c>
      <c r="BD864" s="1263">
        <f>IFERROR(Model!BD864/Model!BC864-1,"NA")</f>
        <v>0</v>
      </c>
      <c r="BE864" s="1263">
        <f>IFERROR(Model!BE864/Model!BD864-1,"NA")</f>
        <v>0</v>
      </c>
      <c r="BM864" s="238"/>
      <c r="BN864" s="238"/>
      <c r="BO864" s="238"/>
      <c r="BP864" s="238"/>
      <c r="BQ864" s="238"/>
    </row>
    <row r="865" spans="1:69" s="369" customFormat="1" x14ac:dyDescent="0.2">
      <c r="A865" s="411"/>
      <c r="B865" s="634" t="s">
        <v>35</v>
      </c>
      <c r="C865" s="345"/>
      <c r="D865" s="1240"/>
      <c r="E865" s="1240"/>
      <c r="F865" s="1240"/>
      <c r="G865" s="1240"/>
      <c r="H865" s="1240">
        <f>IFERROR(Model!H865/Model!D865-1,"NA")</f>
        <v>8.831182795698922E-2</v>
      </c>
      <c r="I865" s="1240">
        <f>IFERROR(Model!I865/Model!E865-1,"NA")</f>
        <v>9.8972620599739214E-2</v>
      </c>
      <c r="J865" s="1240">
        <f>IFERROR(Model!J865/Model!F865-1,"NA")</f>
        <v>0.12591477656095917</v>
      </c>
      <c r="K865" s="1240">
        <f>IFERROR(Model!K865/Model!G865-1,"NA")</f>
        <v>0.13689383136534783</v>
      </c>
      <c r="L865" s="1240">
        <f>IFERROR(Model!L865/Model!H865-1,"NA")</f>
        <v>0.13369824034461986</v>
      </c>
      <c r="M865" s="1240">
        <f>IFERROR(Model!M865/Model!I865-1,"NA")</f>
        <v>9.1596750313200026E-2</v>
      </c>
      <c r="N865" s="1240">
        <f>IFERROR(Model!N865/Model!J865-1,"NA")</f>
        <v>8.5115014059834904E-2</v>
      </c>
      <c r="O865" s="1240">
        <f>IFERROR(Model!O865/Model!K865-1,"NA")</f>
        <v>6.3444653991572064E-2</v>
      </c>
      <c r="P865" s="1240">
        <f>IFERROR(Model!P865/Model!L865-1,"NA")</f>
        <v>6.7262190073641648E-2</v>
      </c>
      <c r="Q865" s="1240">
        <f>IFERROR(Model!Q865/Model!M865-1,"NA")</f>
        <v>0.10380385167152117</v>
      </c>
      <c r="R865" s="1240">
        <f>IFERROR(Model!R865/Model!N865-1,"NA")</f>
        <v>0.11235630474863423</v>
      </c>
      <c r="S865" s="1240">
        <f>IFERROR(Model!S865/Model!O865-1,"NA")</f>
        <v>0.13567016257679132</v>
      </c>
      <c r="T865" s="1240">
        <f>IFERROR(Model!T865/Model!P865-1,"NA")</f>
        <v>0.11868891011979121</v>
      </c>
      <c r="U865" s="1240">
        <f>IFERROR(Model!U865/Model!Q865-1,"NA")</f>
        <v>0.10691274004757623</v>
      </c>
      <c r="V865" s="1240">
        <f>IFERROR(Model!V865/Model!R865-1,"NA")</f>
        <v>9.7440441182086834E-2</v>
      </c>
      <c r="W865" s="1240">
        <f>IFERROR(Model!W865/Model!S865-1,"NA")</f>
        <v>9.441053189979165E-2</v>
      </c>
      <c r="X865" s="1240">
        <f>IFERROR(Model!X865/Model!T865-1,"NA")</f>
        <v>9.2942962670987894E-2</v>
      </c>
      <c r="Y865" s="1240">
        <f>IFERROR(Model!Y865/Model!U865-1,"NA")</f>
        <v>8.2909334149309455E-2</v>
      </c>
      <c r="Z865" s="1240">
        <f>IFERROR(Model!Z865/Model!V865-1,"NA")</f>
        <v>8.0012249613719666E-2</v>
      </c>
      <c r="AA865" s="1240">
        <f>IFERROR(Model!AA865/Model!W865-1,"NA")</f>
        <v>-5.4971087611024205E-2</v>
      </c>
      <c r="AB865" s="1240">
        <f>IFERROR(Model!AB865/Model!X865-1,"NA")</f>
        <v>-5.2547568639760622E-2</v>
      </c>
      <c r="AC865" s="1263">
        <f>IFERROR(Model!AC865/Model!Y865-1,"NA")</f>
        <v>-5.9866861650720749E-2</v>
      </c>
      <c r="AD865" s="1263">
        <f>IFERROR(Model!AD865/Model!Z865-1,"NA")</f>
        <v>-9.0352059480115487E-2</v>
      </c>
      <c r="AE865" s="1263">
        <f>IFERROR(Model!AE865/Model!AA865-1,"NA")</f>
        <v>3.2976601911172132E-3</v>
      </c>
      <c r="AF865" s="1263">
        <f>IFERROR(Model!AF865/Model!AB865-1,"NA")</f>
        <v>-2.6999622712296834E-2</v>
      </c>
      <c r="AG865" s="1263">
        <f>IFERROR(Model!AG865/Model!AC865-1,"NA")</f>
        <v>-4.5283647683253214E-2</v>
      </c>
      <c r="AH865" s="1263">
        <f>IFERROR(Model!AH865/Model!AD865-1,"NA")</f>
        <v>-4.0214194073504239E-2</v>
      </c>
      <c r="AI865" s="1263">
        <f>IFERROR(Model!AI865/Model!AE865-1,"NA")</f>
        <v>-3.4373775743076984E-2</v>
      </c>
      <c r="AJ865" s="1263"/>
      <c r="AK865" s="1263"/>
      <c r="AL865" s="1263"/>
      <c r="AM865" s="1263"/>
      <c r="AN865" s="1263"/>
      <c r="AO865" s="1263"/>
      <c r="AP865" s="1263"/>
      <c r="AQ865" s="1263"/>
      <c r="AR865" s="1236"/>
      <c r="AS865" s="1491"/>
      <c r="AT865" s="1409"/>
      <c r="AU865" s="1263"/>
      <c r="AV865" s="1263">
        <f>IFERROR(Model!AV865/Model!AU865-1,"NA")</f>
        <v>0.13689383136534783</v>
      </c>
      <c r="AW865" s="1263">
        <f>IFERROR(Model!AW865/Model!AV865-1,"NA")</f>
        <v>6.3444653991572064E-2</v>
      </c>
      <c r="AX865" s="1263">
        <f>IFERROR(Model!AX865/Model!AW865-1,"NA")</f>
        <v>0.13567016257679132</v>
      </c>
      <c r="AY865" s="1263">
        <f>IFERROR(Model!AY865/Model!AX865-1,"NA")</f>
        <v>9.441053189979165E-2</v>
      </c>
      <c r="AZ865" s="1263">
        <f>IFERROR(Model!AZ865/Model!AY865-1,"NA")</f>
        <v>-5.4971087611024205E-2</v>
      </c>
      <c r="BA865" s="1263">
        <f>IFERROR(Model!BA865/Model!AZ865-1,"NA")</f>
        <v>3.2976601911172132E-3</v>
      </c>
      <c r="BB865" s="1263">
        <f>IFERROR(Model!BB865/Model!BA865-1,"NA")</f>
        <v>-3.4373775743076984E-2</v>
      </c>
      <c r="BC865" s="1263">
        <f>IFERROR(Model!BC865/Model!BB865-1,"NA")</f>
        <v>1.6944677693602417E-2</v>
      </c>
      <c r="BD865" s="1263">
        <f>IFERROR(Model!BD865/Model!BC865-1,"NA")</f>
        <v>3.8648759363047347E-2</v>
      </c>
      <c r="BE865" s="1263">
        <f>IFERROR(Model!BE865/Model!BD865-1,"NA")</f>
        <v>3.8754867152706263E-2</v>
      </c>
      <c r="BM865" s="238"/>
      <c r="BN865" s="238"/>
      <c r="BO865" s="238"/>
      <c r="BP865" s="238"/>
      <c r="BQ865" s="238"/>
    </row>
    <row r="866" spans="1:69" s="369" customFormat="1" x14ac:dyDescent="0.2">
      <c r="A866" s="411"/>
      <c r="B866" s="634" t="s">
        <v>19</v>
      </c>
      <c r="C866" s="550"/>
      <c r="D866" s="1240"/>
      <c r="E866" s="1240"/>
      <c r="F866" s="1240"/>
      <c r="G866" s="1240"/>
      <c r="H866" s="1240">
        <f>IFERROR(Model!H866/Model!D866-1,"NA")</f>
        <v>0.12231030577576441</v>
      </c>
      <c r="I866" s="1240">
        <f>IFERROR(Model!I866/Model!E866-1,"NA")</f>
        <v>0.2514551804423748</v>
      </c>
      <c r="J866" s="1240">
        <f>IFERROR(Model!J866/Model!F866-1,"NA")</f>
        <v>0.72972972972972983</v>
      </c>
      <c r="K866" s="1240">
        <f>IFERROR(Model!K866/Model!G866-1,"NA")</f>
        <v>0.95749704840613936</v>
      </c>
      <c r="L866" s="1240">
        <f>IFERROR(Model!L866/Model!H866-1,"NA")</f>
        <v>1.2573158425832491</v>
      </c>
      <c r="M866" s="1240">
        <f>IFERROR(Model!M866/Model!I866-1,"NA")</f>
        <v>1.344186046511628</v>
      </c>
      <c r="N866" s="1240">
        <f>IFERROR(Model!N866/Model!J866-1,"NA")</f>
        <v>0.78736413043478271</v>
      </c>
      <c r="O866" s="1240">
        <f>IFERROR(Model!O866/Model!K866-1,"NA")</f>
        <v>0.76658624849215928</v>
      </c>
      <c r="P866" s="1240">
        <f>IFERROR(Model!P866/Model!L866-1,"NA")</f>
        <v>0.46401430487259732</v>
      </c>
      <c r="Q866" s="1240">
        <f>IFERROR(Model!Q866/Model!M866-1,"NA")</f>
        <v>0.83650793650793642</v>
      </c>
      <c r="R866" s="1240">
        <f>IFERROR(Model!R866/Model!N866-1,"NA")</f>
        <v>1.4044089699733942</v>
      </c>
      <c r="S866" s="1240">
        <f>IFERROR(Model!S866/Model!O866-1,"NA")</f>
        <v>1.6210310686241036</v>
      </c>
      <c r="T866" s="1240">
        <f>IFERROR(Model!T866/Model!P866-1,"NA")</f>
        <v>1.511145038167939</v>
      </c>
      <c r="U866" s="1240">
        <f>IFERROR(Model!U866/Model!Q866-1,"NA")</f>
        <v>1.0609334485738979</v>
      </c>
      <c r="V866" s="1240">
        <f>IFERROR(Model!V866/Model!R866-1,"NA")</f>
        <v>0.90784065760354093</v>
      </c>
      <c r="W866" s="1240">
        <f>IFERROR(Model!W866/Model!S866-1,"NA")</f>
        <v>1.1234857366158657</v>
      </c>
      <c r="X866" s="1240">
        <f>IFERROR(Model!X866/Model!T866-1,"NA")</f>
        <v>1.1375243190661477</v>
      </c>
      <c r="Y866" s="1240">
        <f>IFERROR(Model!Y866/Model!U866-1,"NA")</f>
        <v>1.0278884462151394</v>
      </c>
      <c r="Z866" s="1240">
        <f>IFERROR(Model!Z866/Model!V866-1,"NA")</f>
        <v>1.0572541221310798</v>
      </c>
      <c r="AA866" s="1240">
        <f>IFERROR(Model!AA866/Model!W866-1,"NA")</f>
        <v>0.85921972764078025</v>
      </c>
      <c r="AB866" s="1240">
        <f>IFERROR(Model!AB866/Model!X866-1,"NA")</f>
        <v>0.8268957278571023</v>
      </c>
      <c r="AC866" s="1263">
        <f>IFERROR(Model!AC866/Model!Y866-1,"NA")</f>
        <v>0.66037638300072388</v>
      </c>
      <c r="AD866" s="1263">
        <f>IFERROR(Model!AD866/Model!Z866-1,"NA")</f>
        <v>0.29344717870232384</v>
      </c>
      <c r="AE866" s="1263">
        <f>IFERROR(Model!AE866/Model!AA866-1,"NA")</f>
        <v>5.9586261506483273E-2</v>
      </c>
      <c r="AF866" s="1263">
        <f>IFERROR(Model!AF866/Model!AB866-1,"NA")</f>
        <v>0</v>
      </c>
      <c r="AG866" s="1263">
        <f>IFERROR(Model!AG866/Model!AC866-1,"NA")</f>
        <v>0</v>
      </c>
      <c r="AH866" s="1263">
        <f>IFERROR(Model!AH866/Model!AD866-1,"NA")</f>
        <v>0</v>
      </c>
      <c r="AI866" s="1263">
        <f>IFERROR(Model!AI866/Model!AE866-1,"NA")</f>
        <v>0</v>
      </c>
      <c r="AJ866" s="1263"/>
      <c r="AK866" s="1263"/>
      <c r="AL866" s="1263"/>
      <c r="AM866" s="1263"/>
      <c r="AN866" s="1263"/>
      <c r="AO866" s="1263"/>
      <c r="AP866" s="1263"/>
      <c r="AQ866" s="1263"/>
      <c r="AR866" s="1236"/>
      <c r="AS866" s="1491"/>
      <c r="AT866" s="1409"/>
      <c r="AU866" s="1263"/>
      <c r="AV866" s="1263">
        <f>IFERROR(Model!AV866/Model!AU866-1,"NA")</f>
        <v>0.95749704840613936</v>
      </c>
      <c r="AW866" s="1263">
        <f>IFERROR(Model!AW866/Model!AV866-1,"NA")</f>
        <v>0.76658624849215928</v>
      </c>
      <c r="AX866" s="1263">
        <f>IFERROR(Model!AX866/Model!AW866-1,"NA")</f>
        <v>1.6210310686241036</v>
      </c>
      <c r="AY866" s="1263">
        <f>IFERROR(Model!AY866/Model!AX866-1,"NA")</f>
        <v>1.1234857366158657</v>
      </c>
      <c r="AZ866" s="1263">
        <f>IFERROR(Model!AZ866/Model!AY866-1,"NA")</f>
        <v>0.85921972764078025</v>
      </c>
      <c r="BA866" s="1263">
        <f>IFERROR(Model!BA866/Model!AZ866-1,"NA")</f>
        <v>5.9586261506483273E-2</v>
      </c>
      <c r="BB866" s="1263">
        <f>IFERROR(Model!BB866/Model!BA866-1,"NA")</f>
        <v>0</v>
      </c>
      <c r="BC866" s="1263">
        <f>IFERROR(Model!BC866/Model!BB866-1,"NA")</f>
        <v>0</v>
      </c>
      <c r="BD866" s="1263">
        <f>IFERROR(Model!BD866/Model!BC866-1,"NA")</f>
        <v>0</v>
      </c>
      <c r="BE866" s="1263">
        <f>IFERROR(Model!BE866/Model!BD866-1,"NA")</f>
        <v>0</v>
      </c>
      <c r="BM866" s="238"/>
      <c r="BN866" s="238"/>
      <c r="BO866" s="238"/>
      <c r="BP866" s="238"/>
      <c r="BQ866" s="238"/>
    </row>
    <row r="867" spans="1:69" s="369" customFormat="1" x14ac:dyDescent="0.2">
      <c r="A867" s="411"/>
      <c r="B867" s="634" t="s">
        <v>364</v>
      </c>
      <c r="C867" s="550"/>
      <c r="D867" s="1240"/>
      <c r="E867" s="1240"/>
      <c r="F867" s="1240"/>
      <c r="G867" s="1240"/>
      <c r="H867" s="1240">
        <f>IFERROR(Model!H867/Model!D867-1,"NA")</f>
        <v>1.9360621452046534E-2</v>
      </c>
      <c r="I867" s="1240">
        <f>IFERROR(Model!I867/Model!E867-1,"NA")</f>
        <v>0.12254211504873513</v>
      </c>
      <c r="J867" s="1240">
        <f>IFERROR(Model!J867/Model!F867-1,"NA")</f>
        <v>0.20763201850186297</v>
      </c>
      <c r="K867" s="1240">
        <f>IFERROR(Model!K867/Model!G867-1,"NA")</f>
        <v>0.13239820075757569</v>
      </c>
      <c r="L867" s="1240">
        <f>IFERROR(Model!L867/Model!H867-1,"NA")</f>
        <v>0.12234011372296139</v>
      </c>
      <c r="M867" s="1240">
        <f>IFERROR(Model!M867/Model!I867-1,"NA")</f>
        <v>-8.9188917887974339E-2</v>
      </c>
      <c r="N867" s="1240">
        <f>IFERROR(Model!N867/Model!J867-1,"NA")</f>
        <v>6.2666241089477603E-2</v>
      </c>
      <c r="O867" s="1240">
        <f>IFERROR(Model!O867/Model!K867-1,"NA")</f>
        <v>0.21340093032979679</v>
      </c>
      <c r="P867" s="1240">
        <f>IFERROR(Model!P867/Model!L867-1,"NA")</f>
        <v>0.28961663010550498</v>
      </c>
      <c r="Q867" s="1240">
        <f>IFERROR(Model!Q867/Model!M867-1,"NA")</f>
        <v>0.38336915192593812</v>
      </c>
      <c r="R867" s="1240">
        <f>IFERROR(Model!R867/Model!N867-1,"NA")</f>
        <v>0.36448738486183418</v>
      </c>
      <c r="S867" s="1240">
        <f>IFERROR(Model!S867/Model!O867-1,"NA")</f>
        <v>0.26395589248793927</v>
      </c>
      <c r="T867" s="1240">
        <f>IFERROR(Model!T867/Model!P867-1,"NA")</f>
        <v>7.836863634522695E-2</v>
      </c>
      <c r="U867" s="1240">
        <f>IFERROR(Model!U867/Model!Q867-1,"NA")</f>
        <v>4.0272466539196916E-2</v>
      </c>
      <c r="V867" s="1240">
        <f>IFERROR(Model!V867/Model!R867-1,"NA")</f>
        <v>-2.3480206919322955E-3</v>
      </c>
      <c r="W867" s="1240">
        <f>IFERROR(Model!W867/Model!S867-1,"NA")</f>
        <v>0.10349645583424216</v>
      </c>
      <c r="X867" s="1240">
        <f>IFERROR(Model!X867/Model!T867-1,"NA")</f>
        <v>0.16115826635619324</v>
      </c>
      <c r="Y867" s="1240">
        <f>IFERROR(Model!Y867/Model!U867-1,"NA")</f>
        <v>0.14489756844725243</v>
      </c>
      <c r="Z867" s="1240">
        <f>IFERROR(Model!Z867/Model!V867-1,"NA")</f>
        <v>9.9216710182767676E-2</v>
      </c>
      <c r="AA867" s="1240">
        <f>IFERROR(Model!AA867/Model!W867-1,"NA")</f>
        <v>7.0627837312003949E-2</v>
      </c>
      <c r="AB867" s="1240">
        <f>IFERROR(Model!AB867/Model!X867-1,"NA")</f>
        <v>0.1197399488954296</v>
      </c>
      <c r="AC867" s="1263">
        <f>IFERROR(Model!AC867/Model!Y867-1,"NA")</f>
        <v>0.15786481153215837</v>
      </c>
      <c r="AD867" s="1263">
        <f>IFERROR(Model!AD867/Model!Z867-1,"NA")</f>
        <v>0.15817470141514178</v>
      </c>
      <c r="AE867" s="1263">
        <f>IFERROR(Model!AE867/Model!AA867-1,"NA")</f>
        <v>-1.4134071766470635E-3</v>
      </c>
      <c r="AF867" s="1263">
        <f>IFERROR(Model!AF867/Model!AB867-1,"NA")</f>
        <v>0</v>
      </c>
      <c r="AG867" s="1263">
        <f>IFERROR(Model!AG867/Model!AC867-1,"NA")</f>
        <v>0</v>
      </c>
      <c r="AH867" s="1263">
        <f>IFERROR(Model!AH867/Model!AD867-1,"NA")</f>
        <v>0</v>
      </c>
      <c r="AI867" s="1263">
        <f>IFERROR(Model!AI867/Model!AE867-1,"NA")</f>
        <v>0</v>
      </c>
      <c r="AJ867" s="1263"/>
      <c r="AK867" s="1263"/>
      <c r="AL867" s="1263"/>
      <c r="AM867" s="1263"/>
      <c r="AN867" s="1263"/>
      <c r="AO867" s="1263"/>
      <c r="AP867" s="1263"/>
      <c r="AQ867" s="1263"/>
      <c r="AR867" s="1236"/>
      <c r="AS867" s="1491"/>
      <c r="AT867" s="1409"/>
      <c r="AU867" s="1263"/>
      <c r="AV867" s="1263">
        <f>IFERROR(Model!AV867/Model!AU867-1,"NA")</f>
        <v>0.13239820075757569</v>
      </c>
      <c r="AW867" s="1263">
        <f>IFERROR(Model!AW867/Model!AV867-1,"NA")</f>
        <v>0.21340093032979679</v>
      </c>
      <c r="AX867" s="1263">
        <f>IFERROR(Model!AX867/Model!AW867-1,"NA")</f>
        <v>0.26395589248793927</v>
      </c>
      <c r="AY867" s="1263">
        <f>IFERROR(Model!AY867/Model!AX867-1,"NA")</f>
        <v>0.10349645583424216</v>
      </c>
      <c r="AZ867" s="1263">
        <f>IFERROR(Model!AZ867/Model!AY867-1,"NA")</f>
        <v>7.0627837312003949E-2</v>
      </c>
      <c r="BA867" s="1263">
        <f>IFERROR(Model!BA867/Model!AZ867-1,"NA")</f>
        <v>-1.4134071766470635E-3</v>
      </c>
      <c r="BB867" s="1263">
        <f>IFERROR(Model!BB867/Model!BA867-1,"NA")</f>
        <v>0</v>
      </c>
      <c r="BC867" s="1263">
        <f>IFERROR(Model!BC867/Model!BB867-1,"NA")</f>
        <v>0</v>
      </c>
      <c r="BD867" s="1263">
        <f>IFERROR(Model!BD867/Model!BC867-1,"NA")</f>
        <v>0</v>
      </c>
      <c r="BE867" s="1263">
        <f>IFERROR(Model!BE867/Model!BD867-1,"NA")</f>
        <v>0</v>
      </c>
      <c r="BM867" s="238"/>
      <c r="BN867" s="238"/>
      <c r="BO867" s="238"/>
      <c r="BP867" s="238"/>
      <c r="BQ867" s="238"/>
    </row>
    <row r="868" spans="1:69" s="369" customFormat="1" x14ac:dyDescent="0.2">
      <c r="A868" s="411"/>
      <c r="B868" s="321"/>
      <c r="C868" s="642" t="s">
        <v>111</v>
      </c>
      <c r="D868" s="1502"/>
      <c r="E868" s="1502"/>
      <c r="F868" s="1502"/>
      <c r="G868" s="1502"/>
      <c r="H868" s="1502">
        <f>IFERROR(Model!H868/Model!D868-1,"NA")</f>
        <v>4.7776465523902134E-2</v>
      </c>
      <c r="I868" s="1502">
        <f>IFERROR(Model!I868/Model!E868-1,"NA")</f>
        <v>4.3730696613517583E-2</v>
      </c>
      <c r="J868" s="1502">
        <f>IFERROR(Model!J868/Model!F868-1,"NA")</f>
        <v>4.8917539618587247E-2</v>
      </c>
      <c r="K868" s="1502">
        <f>IFERROR(Model!K868/Model!G868-1,"NA")</f>
        <v>5.9622357712658891E-2</v>
      </c>
      <c r="L868" s="1502">
        <f>IFERROR(Model!L868/Model!H868-1,"NA")</f>
        <v>5.8165442047878546E-2</v>
      </c>
      <c r="M868" s="1502">
        <f>IFERROR(Model!M868/Model!I868-1,"NA")</f>
        <v>5.6338617257099877E-2</v>
      </c>
      <c r="N868" s="1502">
        <f>IFERROR(Model!N868/Model!J868-1,"NA")</f>
        <v>3.9455893800958819E-2</v>
      </c>
      <c r="O868" s="1502">
        <f>IFERROR(Model!O868/Model!K868-1,"NA")</f>
        <v>1.2486438804789834E-2</v>
      </c>
      <c r="P868" s="1502">
        <f>IFERROR(Model!P868/Model!L868-1,"NA")</f>
        <v>8.7307987137752452E-3</v>
      </c>
      <c r="Q868" s="1502">
        <f>IFERROR(Model!Q868/Model!M868-1,"NA")</f>
        <v>1.6946468165980333E-2</v>
      </c>
      <c r="R868" s="1502">
        <f>IFERROR(Model!R868/Model!N868-1,"NA")</f>
        <v>1.3155301537248754E-2</v>
      </c>
      <c r="S868" s="1502">
        <f>IFERROR(Model!S868/Model!O868-1,"NA")</f>
        <v>2.7148415007235194E-2</v>
      </c>
      <c r="T868" s="1502">
        <f>IFERROR(Model!T868/Model!P868-1,"NA")</f>
        <v>3.5119317845370368E-2</v>
      </c>
      <c r="U868" s="1502">
        <f>IFERROR(Model!U868/Model!Q868-1,"NA")</f>
        <v>3.4861197632767515E-2</v>
      </c>
      <c r="V868" s="1502">
        <f>IFERROR(Model!V868/Model!R868-1,"NA")</f>
        <v>3.2543889510285418E-2</v>
      </c>
      <c r="W868" s="1502">
        <f>IFERROR(Model!W868/Model!S868-1,"NA")</f>
        <v>3.5488132437031528E-3</v>
      </c>
      <c r="X868" s="1502">
        <f>IFERROR(Model!X868/Model!T868-1,"NA")</f>
        <v>-4.2427622765994766E-3</v>
      </c>
      <c r="Y868" s="1502">
        <f>IFERROR(Model!Y868/Model!U868-1,"NA")</f>
        <v>-8.7897100665459416E-3</v>
      </c>
      <c r="Z868" s="1502">
        <f>IFERROR(Model!Z868/Model!V868-1,"NA")</f>
        <v>-1.8561430280423119E-2</v>
      </c>
      <c r="AA868" s="1502">
        <f>IFERROR(Model!AA868/Model!W868-1,"NA")</f>
        <v>-0.11842597405120781</v>
      </c>
      <c r="AB868" s="1502">
        <f>IFERROR(Model!AB868/Model!X868-1,"NA")</f>
        <v>-0.12504847303941513</v>
      </c>
      <c r="AC868" s="1502">
        <f>IFERROR(Model!AC868/Model!Y868-1,"NA")</f>
        <v>-0.12716671224145915</v>
      </c>
      <c r="AD868" s="1502">
        <f>IFERROR(Model!AD868/Model!Z868-1,"NA")</f>
        <v>-0.12636128283177184</v>
      </c>
      <c r="AE868" s="1502">
        <f>IFERROR(Model!AE868/Model!AA868-1,"NA")</f>
        <v>-9.4195252995785683E-3</v>
      </c>
      <c r="AF868" s="1502">
        <f>IFERROR(Model!AF868/Model!AB868-1,"NA")</f>
        <v>-2.0957914394555521E-2</v>
      </c>
      <c r="AG868" s="1502">
        <f>IFERROR(Model!AG868/Model!AC868-1,"NA")</f>
        <v>-3.5216872246894737E-2</v>
      </c>
      <c r="AH868" s="1502">
        <f>IFERROR(Model!AH868/Model!AD868-1,"NA")</f>
        <v>-3.1180399484399546E-2</v>
      </c>
      <c r="AI868" s="1502">
        <f>IFERROR(Model!AI868/Model!AE868-1,"NA")</f>
        <v>-2.6554387332234031E-2</v>
      </c>
      <c r="AJ868" s="1447"/>
      <c r="AK868" s="1447"/>
      <c r="AL868" s="1447"/>
      <c r="AM868" s="1447"/>
      <c r="AN868" s="1447"/>
      <c r="AO868" s="1447"/>
      <c r="AP868" s="1447"/>
      <c r="AQ868" s="1447"/>
      <c r="AR868" s="1236"/>
      <c r="AS868" s="1284"/>
      <c r="AT868" s="1493"/>
      <c r="AU868" s="1502"/>
      <c r="AV868" s="1502">
        <f>IFERROR(Model!AV868/Model!AU868-1,"NA")</f>
        <v>5.9622357712658891E-2</v>
      </c>
      <c r="AW868" s="1502">
        <f>IFERROR(Model!AW868/Model!AV868-1,"NA")</f>
        <v>1.2486438804789834E-2</v>
      </c>
      <c r="AX868" s="1502">
        <f>IFERROR(Model!AX868/Model!AW868-1,"NA")</f>
        <v>2.7148415007235194E-2</v>
      </c>
      <c r="AY868" s="1502">
        <f>IFERROR(Model!AY868/Model!AX868-1,"NA")</f>
        <v>3.5488132437031528E-3</v>
      </c>
      <c r="AZ868" s="1502">
        <f>IFERROR(Model!AZ868/Model!AY868-1,"NA")</f>
        <v>-0.11842597405120781</v>
      </c>
      <c r="BA868" s="1502">
        <f>IFERROR(Model!BA868/Model!AZ868-1,"NA")</f>
        <v>-9.4195252995785683E-3</v>
      </c>
      <c r="BB868" s="1502">
        <f>IFERROR(Model!BB868/Model!BA868-1,"NA")</f>
        <v>-2.6554387332234031E-2</v>
      </c>
      <c r="BC868" s="1502">
        <f>IFERROR(Model!BC868/Model!BB868-1,"NA")</f>
        <v>1.2984933164779333E-2</v>
      </c>
      <c r="BD868" s="1502">
        <f>IFERROR(Model!BD868/Model!BC868-1,"NA")</f>
        <v>2.9732833952514692E-2</v>
      </c>
      <c r="BE868" s="1502">
        <f>IFERROR(Model!BE868/Model!BD868-1,"NA")</f>
        <v>3.0072611678170658E-2</v>
      </c>
    </row>
    <row r="869" spans="1:69" s="369" customFormat="1" x14ac:dyDescent="0.2">
      <c r="A869" s="411"/>
      <c r="B869" s="321"/>
      <c r="C869" s="550"/>
      <c r="D869" s="1267"/>
      <c r="E869" s="1267"/>
      <c r="F869" s="1267"/>
      <c r="G869" s="1267"/>
      <c r="H869" s="1267"/>
      <c r="I869" s="1267"/>
      <c r="J869" s="1267"/>
      <c r="K869" s="1267"/>
      <c r="L869" s="1267"/>
      <c r="M869" s="1267"/>
      <c r="N869" s="1267"/>
      <c r="O869" s="1267"/>
      <c r="P869" s="1267"/>
      <c r="Q869" s="1267"/>
      <c r="R869" s="1267"/>
      <c r="S869" s="1267"/>
      <c r="T869" s="1267"/>
      <c r="U869" s="1267"/>
      <c r="V869" s="1267"/>
      <c r="W869" s="1267"/>
      <c r="X869" s="1267"/>
      <c r="Y869" s="1267"/>
      <c r="Z869" s="1267"/>
      <c r="AA869" s="1267"/>
      <c r="AB869" s="1267"/>
      <c r="AC869" s="1311"/>
      <c r="AD869" s="1311"/>
      <c r="AE869" s="1311"/>
      <c r="AF869" s="1311"/>
      <c r="AG869" s="1311"/>
      <c r="AH869" s="1311"/>
      <c r="AI869" s="1410"/>
      <c r="AJ869" s="1410"/>
      <c r="AK869" s="1410"/>
      <c r="AL869" s="1410"/>
      <c r="AM869" s="1410"/>
      <c r="AN869" s="1410"/>
      <c r="AO869" s="1410"/>
      <c r="AP869" s="1410"/>
      <c r="AQ869" s="1410"/>
      <c r="AR869" s="1236"/>
      <c r="AS869" s="1284"/>
      <c r="AT869" s="1409"/>
      <c r="AU869" s="1410"/>
      <c r="AV869" s="1410"/>
      <c r="AW869" s="1410"/>
      <c r="AX869" s="1410"/>
      <c r="AY869" s="1410"/>
      <c r="AZ869" s="1410"/>
      <c r="BA869" s="1263"/>
      <c r="BB869" s="1410"/>
      <c r="BC869" s="1410"/>
      <c r="BD869" s="1410"/>
      <c r="BE869" s="1410"/>
    </row>
    <row r="870" spans="1:69" s="369" customFormat="1" x14ac:dyDescent="0.2">
      <c r="A870" s="411"/>
      <c r="B870" s="642" t="s">
        <v>67</v>
      </c>
      <c r="C870" s="319"/>
      <c r="D870" s="1503"/>
      <c r="E870" s="1503"/>
      <c r="F870" s="1503"/>
      <c r="G870" s="1503"/>
      <c r="H870" s="1503">
        <f>IFERROR(Model!H870/Model!D870-1,"NA")</f>
        <v>6.3258222687455179E-2</v>
      </c>
      <c r="I870" s="1503">
        <f>IFERROR(Model!I870/Model!E870-1,"NA")</f>
        <v>6.5342920956583228E-2</v>
      </c>
      <c r="J870" s="1503">
        <f>IFERROR(Model!J870/Model!F870-1,"NA")</f>
        <v>7.5280754255558691E-2</v>
      </c>
      <c r="K870" s="1503">
        <f>IFERROR(Model!K870/Model!G870-1,"NA")</f>
        <v>8.0941303645140517E-2</v>
      </c>
      <c r="L870" s="1503">
        <f>IFERROR(Model!L870/Model!H870-1,"NA")</f>
        <v>7.8365942629746277E-2</v>
      </c>
      <c r="M870" s="1503">
        <f>IFERROR(Model!M870/Model!I870-1,"NA")</f>
        <v>7.9006979776544917E-2</v>
      </c>
      <c r="N870" s="1503">
        <f>IFERROR(Model!N870/Model!J870-1,"NA")</f>
        <v>5.7002778068718563E-2</v>
      </c>
      <c r="O870" s="1503">
        <f>IFERROR(Model!O870/Model!K870-1,"NA")</f>
        <v>3.0359033687595627E-2</v>
      </c>
      <c r="P870" s="1503">
        <f>IFERROR(Model!P870/Model!L870-1,"NA")</f>
        <v>3.1251801879720986E-2</v>
      </c>
      <c r="Q870" s="1503">
        <f>IFERROR(Model!Q870/Model!M870-1,"NA")</f>
        <v>3.9921143420404093E-2</v>
      </c>
      <c r="R870" s="1503">
        <f>IFERROR(Model!R870/Model!N870-1,"NA")</f>
        <v>4.2089766335736689E-2</v>
      </c>
      <c r="S870" s="1503">
        <f>IFERROR(Model!S870/Model!O870-1,"NA")</f>
        <v>5.5532031305754348E-2</v>
      </c>
      <c r="T870" s="1503">
        <f>IFERROR(Model!T870/Model!P870-1,"NA")</f>
        <v>6.0115553070543282E-2</v>
      </c>
      <c r="U870" s="1503">
        <f>IFERROR(Model!U870/Model!Q870-1,"NA")</f>
        <v>5.6726212176449131E-2</v>
      </c>
      <c r="V870" s="1503">
        <f>IFERROR(Model!V870/Model!R870-1,"NA")</f>
        <v>4.8571868434398313E-2</v>
      </c>
      <c r="W870" s="1503">
        <f>IFERROR(Model!W870/Model!S870-1,"NA")</f>
        <v>1.470767205902912E-2</v>
      </c>
      <c r="X870" s="1503">
        <f>IFERROR(Model!X870/Model!T870-1,"NA")</f>
        <v>2.6810594140347366E-3</v>
      </c>
      <c r="Y870" s="1503">
        <f>IFERROR(Model!Y870/Model!U870-1,"NA")</f>
        <v>-8.059925481266772E-3</v>
      </c>
      <c r="Z870" s="1503">
        <f>IFERROR(Model!Z870/Model!V870-1,"NA")</f>
        <v>-1.7018244629169788E-2</v>
      </c>
      <c r="AA870" s="1503">
        <f>IFERROR(Model!AA870/Model!W870-1,"NA")</f>
        <v>-0.10829779673063256</v>
      </c>
      <c r="AB870" s="1503">
        <f>IFERROR(Model!AB870/Model!X870-1,"NA")</f>
        <v>-0.11492030929461894</v>
      </c>
      <c r="AC870" s="1503">
        <f>IFERROR(Model!AC870/Model!Y870-1,"NA")</f>
        <v>-0.1169443362169359</v>
      </c>
      <c r="AD870" s="1503">
        <f>IFERROR(Model!AD870/Model!Z870-1,"NA")</f>
        <v>-0.1160999256603471</v>
      </c>
      <c r="AE870" s="1503">
        <f>IFERROR(Model!AE870/Model!AA870-1,"NA")</f>
        <v>-8.9993094950912011E-3</v>
      </c>
      <c r="AF870" s="1503">
        <f>IFERROR(Model!AF870/Model!AB870-1,"NA")</f>
        <v>-9.0644453202316511E-3</v>
      </c>
      <c r="AG870" s="1503">
        <f>IFERROR(Model!AG870/Model!AC870-1,"NA")</f>
        <v>-2.2049188485540161E-2</v>
      </c>
      <c r="AH870" s="1503">
        <f>IFERROR(Model!AH870/Model!AD870-1,"NA")</f>
        <v>-1.827176116250262E-2</v>
      </c>
      <c r="AI870" s="1503">
        <f>IFERROR(Model!AI870/Model!AE870-1,"NA")</f>
        <v>-1.3943760597908694E-2</v>
      </c>
      <c r="AJ870" s="1447"/>
      <c r="AK870" s="1447"/>
      <c r="AL870" s="1447"/>
      <c r="AM870" s="1447"/>
      <c r="AN870" s="1447"/>
      <c r="AO870" s="1447"/>
      <c r="AP870" s="1447"/>
      <c r="AQ870" s="1447"/>
      <c r="AR870" s="1236"/>
      <c r="AS870" s="1493"/>
      <c r="AT870" s="1248"/>
      <c r="AU870" s="1503"/>
      <c r="AV870" s="1503">
        <f>IFERROR(Model!AV870/Model!AU870-1,"NA")</f>
        <v>8.0941303645140517E-2</v>
      </c>
      <c r="AW870" s="1503">
        <f>IFERROR(Model!AW870/Model!AV870-1,"NA")</f>
        <v>3.0359033687595627E-2</v>
      </c>
      <c r="AX870" s="1503">
        <f>IFERROR(Model!AX870/Model!AW870-1,"NA")</f>
        <v>5.5532031305754348E-2</v>
      </c>
      <c r="AY870" s="1503">
        <f>IFERROR(Model!AY870/Model!AX870-1,"NA")</f>
        <v>1.470767205902912E-2</v>
      </c>
      <c r="AZ870" s="1503">
        <f>IFERROR(Model!AZ870/Model!AY870-1,"NA")</f>
        <v>-0.10829779673063256</v>
      </c>
      <c r="BA870" s="1503">
        <f>IFERROR(Model!BA870/Model!AZ870-1,"NA")</f>
        <v>-8.9993094950912011E-3</v>
      </c>
      <c r="BB870" s="1503">
        <f>IFERROR(Model!BB870/Model!BA870-1,"NA")</f>
        <v>-1.3943760597908694E-2</v>
      </c>
      <c r="BC870" s="1503">
        <f>IFERROR(Model!BC870/Model!BB870-1,"NA")</f>
        <v>1.1584495719458188E-2</v>
      </c>
      <c r="BD870" s="1503">
        <f>IFERROR(Model!BD870/Model!BC870-1,"NA")</f>
        <v>2.6562842165552158E-2</v>
      </c>
      <c r="BE870" s="1503">
        <f>IFERROR(Model!BE870/Model!BD870-1,"NA")</f>
        <v>2.694935672374843E-2</v>
      </c>
    </row>
    <row r="871" spans="1:69" x14ac:dyDescent="0.2">
      <c r="B871" s="15"/>
      <c r="C871" s="93" t="s">
        <v>97</v>
      </c>
      <c r="D871" s="1301"/>
      <c r="E871" s="1301"/>
      <c r="F871" s="1301"/>
      <c r="G871" s="1301"/>
      <c r="H871" s="1301">
        <f>IFERROR(Model!H871/Model!D871-1,"NA")</f>
        <v>4.0462427745664664E-2</v>
      </c>
      <c r="I871" s="1301">
        <f>IFERROR(Model!I871/Model!E871-1,"NA")</f>
        <v>-1.4522821576763434E-2</v>
      </c>
      <c r="J871" s="1301">
        <f>IFERROR(Model!J871/Model!F871-1,"NA")</f>
        <v>-3.4676185619581856E-2</v>
      </c>
      <c r="K871" s="1301">
        <f>IFERROR(Model!K871/Model!G871-1,"NA")</f>
        <v>-7.9055441478439459E-2</v>
      </c>
      <c r="L871" s="1301">
        <f>IFERROR(Model!L871/Model!H871-1,"NA")</f>
        <v>-0.10101010101010099</v>
      </c>
      <c r="M871" s="1301">
        <f>IFERROR(Model!M871/Model!I871-1,"NA")</f>
        <v>-8.5789473684210527E-2</v>
      </c>
      <c r="N871" s="1301">
        <f>IFERROR(Model!N871/Model!J871-1,"NA")</f>
        <v>-0.14474379292128892</v>
      </c>
      <c r="O871" s="1301">
        <f>IFERROR(Model!O871/Model!K871-1,"NA")</f>
        <v>-0.15774804905239692</v>
      </c>
      <c r="P871" s="1301">
        <f>IFERROR(Model!P871/Model!L871-1,"NA")</f>
        <v>-0.21179775280898872</v>
      </c>
      <c r="Q871" s="1301">
        <f>IFERROR(Model!Q871/Model!M871-1,"NA")</f>
        <v>-0.20264824409902127</v>
      </c>
      <c r="R871" s="1301">
        <f>IFERROR(Model!R871/Model!N871-1,"NA")</f>
        <v>-0.20382952439777635</v>
      </c>
      <c r="S871" s="1301">
        <f>IFERROR(Model!S871/Model!O871-1,"NA")</f>
        <v>-0.18266048974189275</v>
      </c>
      <c r="T871" s="1301">
        <f>IFERROR(Model!T871/Model!P871-1,"NA")</f>
        <v>-0.1168923734853885</v>
      </c>
      <c r="U871" s="1301">
        <f>IFERROR(Model!U871/Model!Q871-1,"NA")</f>
        <v>-0.18194945848375454</v>
      </c>
      <c r="V871" s="1301">
        <f>IFERROR(Model!V871/Model!R871-1,"NA")</f>
        <v>-0.1349883630721489</v>
      </c>
      <c r="W871" s="1504">
        <f>IFERROR(Model!W871/Model!S871-1,"NA")</f>
        <v>-0.1716599190283401</v>
      </c>
      <c r="X871" s="1504">
        <f>IFERROR(Model!X871/Model!T871-1,"NA")</f>
        <v>-0.30185633575464088</v>
      </c>
      <c r="Y871" s="1504">
        <f>IFERROR(Model!Y871/Model!U871-1,"NA")</f>
        <v>-3.9717563989408622E-2</v>
      </c>
      <c r="Z871" s="1504">
        <f>IFERROR(Model!Z871/Model!V871-1,"NA")</f>
        <v>-0.11390134529147977</v>
      </c>
      <c r="AA871" s="1504">
        <f>IFERROR(Model!AA871/Model!W871-1,"NA")</f>
        <v>0.49169110459433041</v>
      </c>
      <c r="AB871" s="1504">
        <f>IFERROR(Model!AB871/Model!X871-1,"NA")</f>
        <v>9.9421965317919136E-2</v>
      </c>
      <c r="AC871" s="1505">
        <f>IFERROR(Model!AC871/Model!Y871-1,"NA")</f>
        <v>-0.12591911764705888</v>
      </c>
      <c r="AD871" s="1505">
        <f>IFERROR(Model!AD871/Model!Z871-1,"NA")</f>
        <v>-3.7449392712550655E-2</v>
      </c>
      <c r="AE871" s="1505">
        <f>IFERROR(Model!AE871/Model!AA871-1,"NA")</f>
        <v>-0.3768020969855832</v>
      </c>
      <c r="AF871" s="1505">
        <f>IFERROR(Model!AF871/Model!AB871-1,"NA")</f>
        <v>0</v>
      </c>
      <c r="AG871" s="1505">
        <f>IFERROR(Model!AG871/Model!AC871-1,"NA")</f>
        <v>0</v>
      </c>
      <c r="AH871" s="1505">
        <f>IFERROR(Model!AH871/Model!AD871-1,"NA")</f>
        <v>0</v>
      </c>
      <c r="AI871" s="1505">
        <f>IFERROR(Model!AI871/Model!AE871-1,"NA")</f>
        <v>0</v>
      </c>
      <c r="AJ871" s="1746"/>
      <c r="AK871" s="1746"/>
      <c r="AL871" s="1746"/>
      <c r="AM871" s="1746"/>
      <c r="AN871" s="1746"/>
      <c r="AO871" s="1746"/>
      <c r="AP871" s="1746"/>
      <c r="AQ871" s="1746"/>
      <c r="AR871" s="1236"/>
      <c r="AS871" s="1250"/>
      <c r="AT871" s="1506"/>
      <c r="AU871" s="1263"/>
      <c r="AV871" s="1263">
        <f>IFERROR(Model!AV871/Model!AU871-1,"NA")</f>
        <v>-7.9055441478439459E-2</v>
      </c>
      <c r="AW871" s="1263">
        <f>IFERROR(Model!AW871/Model!AV871-1,"NA")</f>
        <v>-0.15774804905239692</v>
      </c>
      <c r="AX871" s="1263">
        <f>IFERROR(Model!AX871/Model!AW871-1,"NA")</f>
        <v>-0.18266048974189275</v>
      </c>
      <c r="AY871" s="1263">
        <f>IFERROR(Model!AY871/Model!AX871-1,"NA")</f>
        <v>-0.1716599190283401</v>
      </c>
      <c r="AZ871" s="1263">
        <f>IFERROR(Model!AZ871/Model!AY871-1,"NA")</f>
        <v>0.49169110459433041</v>
      </c>
      <c r="BA871" s="1263">
        <f>IFERROR(Model!BA871/Model!AZ871-1,"NA")</f>
        <v>-0.3768020969855832</v>
      </c>
      <c r="BB871" s="1505">
        <f>IFERROR(Model!BB871/Model!BA871-1,"NA")</f>
        <v>0</v>
      </c>
      <c r="BC871" s="1505">
        <f>IFERROR(Model!BC871/Model!BB871-1,"NA")</f>
        <v>0</v>
      </c>
      <c r="BD871" s="1505">
        <f>IFERROR(Model!BD871/Model!BC871-1,"NA")</f>
        <v>0</v>
      </c>
      <c r="BE871" s="1505">
        <f>IFERROR(Model!BE871/Model!BD871-1,"NA")</f>
        <v>0</v>
      </c>
      <c r="BM871" s="1075"/>
      <c r="BN871" s="1075"/>
      <c r="BO871" s="1075"/>
      <c r="BP871" s="1075"/>
      <c r="BQ871" s="1075"/>
    </row>
    <row r="872" spans="1:69" s="369" customFormat="1" x14ac:dyDescent="0.2">
      <c r="A872" s="411"/>
      <c r="B872" s="642" t="s">
        <v>14</v>
      </c>
      <c r="C872" s="319"/>
      <c r="D872" s="1502"/>
      <c r="E872" s="1502"/>
      <c r="F872" s="1502"/>
      <c r="G872" s="1502"/>
      <c r="H872" s="1502">
        <f>IFERROR(Model!H872/Model!D872-1,"NA")</f>
        <v>6.3021705113596171E-2</v>
      </c>
      <c r="I872" s="1502">
        <f>IFERROR(Model!I872/Model!E872-1,"NA")</f>
        <v>6.4512824936117985E-2</v>
      </c>
      <c r="J872" s="1502">
        <f>IFERROR(Model!J872/Model!F872-1,"NA")</f>
        <v>7.4136384623957774E-2</v>
      </c>
      <c r="K872" s="1502">
        <f>IFERROR(Model!K872/Model!G872-1,"NA")</f>
        <v>7.9306637295780469E-2</v>
      </c>
      <c r="L872" s="1502">
        <f>IFERROR(Model!L872/Model!H872-1,"NA")</f>
        <v>7.6544324313234657E-2</v>
      </c>
      <c r="M872" s="1502">
        <f>IFERROR(Model!M872/Model!I872-1,"NA")</f>
        <v>7.7421315169776905E-2</v>
      </c>
      <c r="N872" s="1502">
        <f>IFERROR(Model!N872/Model!J872-1,"NA")</f>
        <v>5.5115814854342027E-2</v>
      </c>
      <c r="O872" s="1502">
        <f>IFERROR(Model!O872/Model!K872-1,"NA")</f>
        <v>2.871915485018417E-2</v>
      </c>
      <c r="P872" s="1502">
        <f>IFERROR(Model!P872/Model!L872-1,"NA")</f>
        <v>2.9190646796508846E-2</v>
      </c>
      <c r="Q872" s="1502">
        <f>IFERROR(Model!Q872/Model!M872-1,"NA")</f>
        <v>3.794071058927484E-2</v>
      </c>
      <c r="R872" s="1502">
        <f>IFERROR(Model!R872/Model!N872-1,"NA")</f>
        <v>4.0225336811100076E-2</v>
      </c>
      <c r="S872" s="1502">
        <f>IFERROR(Model!S872/Model!O872-1,"NA")</f>
        <v>5.3831909908548026E-2</v>
      </c>
      <c r="T872" s="1502">
        <f>IFERROR(Model!T872/Model!P872-1,"NA")</f>
        <v>5.8965943441207758E-2</v>
      </c>
      <c r="U872" s="1502">
        <f>IFERROR(Model!U872/Model!Q872-1,"NA")</f>
        <v>5.5229253934110822E-2</v>
      </c>
      <c r="V872" s="1502">
        <f>IFERROR(Model!V872/Model!R872-1,"NA")</f>
        <v>4.7506718826670014E-2</v>
      </c>
      <c r="W872" s="1503">
        <f>IFERROR(Model!W872/Model!S872-1,"NA")</f>
        <v>1.367597224463446E-2</v>
      </c>
      <c r="X872" s="1503">
        <f>IFERROR(Model!X872/Model!T872-1,"NA")</f>
        <v>1.0316443799422981E-3</v>
      </c>
      <c r="Y872" s="1503">
        <f>IFERROR(Model!Y872/Model!U872-1,"NA")</f>
        <v>-8.213851970423236E-3</v>
      </c>
      <c r="Z872" s="1503">
        <f>IFERROR(Model!Z872/Model!V872-1,"NA")</f>
        <v>-1.7482487429627436E-2</v>
      </c>
      <c r="AA872" s="1503">
        <f>IFERROR(Model!AA872/Model!W872-1,"NA")</f>
        <v>-0.10558363513352176</v>
      </c>
      <c r="AB872" s="1503">
        <f>IFERROR(Model!AB872/Model!X872-1,"NA")</f>
        <v>-0.11411066520522106</v>
      </c>
      <c r="AC872" s="1503">
        <f>IFERROR(Model!AC872/Model!Y872-1,"NA")</f>
        <v>-0.11698658747802271</v>
      </c>
      <c r="AD872" s="1503">
        <f>IFERROR(Model!AD872/Model!Z872-1,"NA")</f>
        <v>-0.11576003393272494</v>
      </c>
      <c r="AE872" s="1503">
        <f>IFERROR(Model!AE872/Model!AA872-1,"NA")</f>
        <v>-1.1774205195359655E-2</v>
      </c>
      <c r="AF872" s="1503">
        <f>IFERROR(Model!AF872/Model!AB872-1,"NA")</f>
        <v>-9.0219528005410776E-3</v>
      </c>
      <c r="AG872" s="1503">
        <f>IFERROR(Model!AG872/Model!AC872-1,"NA")</f>
        <v>-2.1946435907608586E-2</v>
      </c>
      <c r="AH872" s="1503">
        <f>IFERROR(Model!AH872/Model!AD872-1,"NA")</f>
        <v>-1.8185805841471669E-2</v>
      </c>
      <c r="AI872" s="1503">
        <f>IFERROR(Model!AI872/Model!AE872-1,"NA")</f>
        <v>-1.3877419697301052E-2</v>
      </c>
      <c r="AJ872" s="1447"/>
      <c r="AK872" s="1447"/>
      <c r="AL872" s="1447"/>
      <c r="AM872" s="1447"/>
      <c r="AN872" s="1447"/>
      <c r="AO872" s="1447"/>
      <c r="AP872" s="1447"/>
      <c r="AQ872" s="1447"/>
      <c r="AR872" s="1236"/>
      <c r="AS872" s="1493"/>
      <c r="AT872" s="1248"/>
      <c r="AU872" s="1502"/>
      <c r="AV872" s="1502">
        <f>IFERROR(Model!AV872/Model!AU872-1,"NA")</f>
        <v>7.9306637295780469E-2</v>
      </c>
      <c r="AW872" s="1502">
        <f>IFERROR(Model!AW872/Model!AV872-1,"NA")</f>
        <v>2.871915485018417E-2</v>
      </c>
      <c r="AX872" s="1502">
        <f>IFERROR(Model!AX872/Model!AW872-1,"NA")</f>
        <v>5.3831909908548026E-2</v>
      </c>
      <c r="AY872" s="1502">
        <f>IFERROR(Model!AY872/Model!AX872-1,"NA")</f>
        <v>1.367597224463446E-2</v>
      </c>
      <c r="AZ872" s="1502">
        <f>IFERROR(Model!AZ872/Model!AY872-1,"NA")</f>
        <v>-0.10558363513352176</v>
      </c>
      <c r="BA872" s="1502">
        <f>IFERROR(Model!BA872/Model!AZ872-1,"NA")</f>
        <v>-1.1774205195359433E-2</v>
      </c>
      <c r="BB872" s="1503">
        <f>IFERROR(Model!BB872/Model!BA872-1,"NA")</f>
        <v>-1.3877419697300608E-2</v>
      </c>
      <c r="BC872" s="1503">
        <f>IFERROR(Model!BC872/Model!BB872-1,"NA")</f>
        <v>1.1528603973648188E-2</v>
      </c>
      <c r="BD872" s="1503">
        <f>IFERROR(Model!BD872/Model!BC872-1,"NA")</f>
        <v>2.6436144995246158E-2</v>
      </c>
      <c r="BE872" s="1503">
        <f>IFERROR(Model!BE872/Model!BD872-1,"NA")</f>
        <v>2.6824126591333597E-2</v>
      </c>
    </row>
    <row r="873" spans="1:69" s="369" customFormat="1" ht="12" thickBot="1" x14ac:dyDescent="0.25">
      <c r="A873" s="411"/>
      <c r="B873" s="642" t="s">
        <v>13</v>
      </c>
      <c r="C873" s="656"/>
      <c r="D873" s="1507"/>
      <c r="E873" s="1507"/>
      <c r="F873" s="1507"/>
      <c r="G873" s="1507"/>
      <c r="H873" s="1507">
        <f>IFERROR(Model!H873/Model!D873-1,"NA")</f>
        <v>-3.2274872911193908E-2</v>
      </c>
      <c r="I873" s="1507">
        <f>IFERROR(Model!I873/Model!E873-1,"NA")</f>
        <v>-1.6952575791577718E-2</v>
      </c>
      <c r="J873" s="1507">
        <f>IFERROR(Model!J873/Model!F873-1,"NA")</f>
        <v>-1.6502583335016419E-2</v>
      </c>
      <c r="K873" s="1507">
        <f>IFERROR(Model!K873/Model!G873-1,"NA")</f>
        <v>8.4250196317385839E-3</v>
      </c>
      <c r="L873" s="1507">
        <f>IFERROR(Model!L873/Model!H873-1,"NA")</f>
        <v>6.9220944132644124E-3</v>
      </c>
      <c r="M873" s="1507">
        <f>IFERROR(Model!M873/Model!I873-1,"NA")</f>
        <v>1.3666187626318882E-2</v>
      </c>
      <c r="N873" s="1507">
        <f>IFERROR(Model!N873/Model!J873-1,"NA")</f>
        <v>-8.7717543087380001E-3</v>
      </c>
      <c r="O873" s="1507">
        <f>IFERROR(Model!O873/Model!K873-1,"NA")</f>
        <v>-2.0134731534253381E-2</v>
      </c>
      <c r="P873" s="1507">
        <f>IFERROR(Model!P873/Model!L873-1,"NA")</f>
        <v>-3.3039131329874016E-2</v>
      </c>
      <c r="Q873" s="1507">
        <f>IFERROR(Model!Q873/Model!M873-1,"NA")</f>
        <v>-4.1898134933582742E-2</v>
      </c>
      <c r="R873" s="1507">
        <f>IFERROR(Model!R873/Model!N873-1,"NA")</f>
        <v>-3.938847439980242E-2</v>
      </c>
      <c r="S873" s="1507">
        <f>IFERROR(Model!S873/Model!O873-1,"NA")</f>
        <v>-6.0238923319695492E-2</v>
      </c>
      <c r="T873" s="1507">
        <f>IFERROR(Model!T873/Model!P873-1,"NA")</f>
        <v>-1.6832614459758477E-2</v>
      </c>
      <c r="U873" s="1507">
        <f>IFERROR(Model!U873/Model!Q873-1,"NA")</f>
        <v>-5.7937978648386901E-3</v>
      </c>
      <c r="V873" s="1507">
        <f>IFERROR(Model!V873/Model!R873-1,"NA")</f>
        <v>5.3977203603714496E-3</v>
      </c>
      <c r="W873" s="1507">
        <f>IFERROR(Model!W873/Model!S873-1,"NA")</f>
        <v>3.5158646264751292E-2</v>
      </c>
      <c r="X873" s="1507">
        <f>IFERROR(Model!X873/Model!T873-1,"NA")</f>
        <v>1.1389436896955818E-2</v>
      </c>
      <c r="Y873" s="1507">
        <f>IFERROR(Model!Y873/Model!U873-1,"NA")</f>
        <v>2.490253033504497E-2</v>
      </c>
      <c r="Z873" s="1507">
        <f>IFERROR(Model!Z873/Model!V873-1,"NA")</f>
        <v>3.9060192495862456E-2</v>
      </c>
      <c r="AA873" s="1507">
        <f>IFERROR(Model!AA873/Model!W873-1,"NA")</f>
        <v>2.8448554386892866E-2</v>
      </c>
      <c r="AB873" s="1507">
        <f>IFERROR(Model!AB873/Model!X873-1,"NA")</f>
        <v>5.5243568550611855E-2</v>
      </c>
      <c r="AC873" s="1507">
        <f>IFERROR(Model!AC873/Model!Y873-1,"NA")</f>
        <v>3.5338796488738833E-2</v>
      </c>
      <c r="AD873" s="1507">
        <f>IFERROR(Model!AD873/Model!Z873-1,"NA")</f>
        <v>2.6113581554818133E-2</v>
      </c>
      <c r="AE873" s="1507">
        <f>IFERROR(Model!AE873/Model!AA873-1,"NA")</f>
        <v>5.7942385445413969E-2</v>
      </c>
      <c r="AF873" s="1507">
        <f>IFERROR(Model!AF873/Model!AB873-1,"NA")</f>
        <v>2.0568445707709326E-2</v>
      </c>
      <c r="AG873" s="1507">
        <f>IFERROR(Model!AG873/Model!AC873-1,"NA")</f>
        <v>2.4099171885437531E-2</v>
      </c>
      <c r="AH873" s="1507">
        <f>IFERROR(Model!AH873/Model!AD873-1,"NA")</f>
        <v>2.9825324180765334E-2</v>
      </c>
      <c r="AI873" s="1507">
        <f>IFERROR(Model!AI873/Model!AE873-1,"NA")</f>
        <v>3.5642188729954505E-2</v>
      </c>
      <c r="AJ873" s="1447"/>
      <c r="AK873" s="1447"/>
      <c r="AL873" s="1447"/>
      <c r="AM873" s="1447"/>
      <c r="AN873" s="1447"/>
      <c r="AO873" s="1447"/>
      <c r="AP873" s="1447"/>
      <c r="AQ873" s="1447"/>
      <c r="AR873" s="1236"/>
      <c r="AS873" s="1493"/>
      <c r="AT873" s="1311"/>
      <c r="AU873" s="1507"/>
      <c r="AV873" s="1507">
        <f>IFERROR(Model!AV873/Model!AU873-1,"NA")</f>
        <v>8.4250196317385839E-3</v>
      </c>
      <c r="AW873" s="1507">
        <f>IFERROR(Model!AW873/Model!AV873-1,"NA")</f>
        <v>-2.0134731534253381E-2</v>
      </c>
      <c r="AX873" s="1507">
        <f>IFERROR(Model!AX873/Model!AW873-1,"NA")</f>
        <v>-6.0238923319695492E-2</v>
      </c>
      <c r="AY873" s="1507">
        <f>IFERROR(Model!AY873/Model!AX873-1,"NA")</f>
        <v>3.5158646264751292E-2</v>
      </c>
      <c r="AZ873" s="1507">
        <f>IFERROR(Model!AZ873/Model!AY873-1,"NA")</f>
        <v>2.8448554386892866E-2</v>
      </c>
      <c r="BA873" s="1507">
        <f>IFERROR(Model!BA873/Model!AZ873-1,"NA")</f>
        <v>5.7942385445413969E-2</v>
      </c>
      <c r="BB873" s="1507">
        <f>IFERROR(Model!BB873/Model!BA873-1,"NA")</f>
        <v>3.5642188729954505E-2</v>
      </c>
      <c r="BC873" s="1507">
        <f>IFERROR(Model!BC873/Model!BB873-1,"NA")</f>
        <v>2.6152383756319564E-2</v>
      </c>
      <c r="BD873" s="1507">
        <f>IFERROR(Model!BD873/Model!BC873-1,"NA")</f>
        <v>3.3192264433851371E-2</v>
      </c>
      <c r="BE873" s="1507">
        <f>IFERROR(Model!BE873/Model!BD873-1,"NA")</f>
        <v>3.1740615776852277E-2</v>
      </c>
    </row>
    <row r="874" spans="1:69" ht="12" thickTop="1" x14ac:dyDescent="0.2">
      <c r="D874" s="407"/>
      <c r="E874" s="407"/>
      <c r="F874" s="407"/>
      <c r="G874" s="407"/>
      <c r="H874" s="407"/>
      <c r="I874" s="407"/>
      <c r="J874" s="407"/>
      <c r="K874" s="407"/>
      <c r="L874" s="407"/>
      <c r="M874" s="407"/>
      <c r="N874" s="407"/>
      <c r="O874" s="407"/>
      <c r="P874" s="407"/>
      <c r="Q874" s="407"/>
      <c r="R874" s="407"/>
      <c r="S874" s="407"/>
      <c r="T874" s="407"/>
      <c r="U874" s="407"/>
      <c r="V874" s="407"/>
      <c r="W874" s="407"/>
      <c r="X874" s="407"/>
      <c r="Y874" s="407"/>
      <c r="Z874" s="407"/>
      <c r="AA874" s="407"/>
      <c r="AB874" s="407"/>
      <c r="AC874" s="407"/>
      <c r="AD874" s="407"/>
      <c r="AE874" s="407"/>
      <c r="AF874" s="407"/>
      <c r="AG874" s="407"/>
      <c r="AH874" s="407"/>
      <c r="AI874" s="407"/>
      <c r="AJ874" s="407"/>
      <c r="AK874" s="407"/>
      <c r="AL874" s="407"/>
      <c r="AM874" s="407"/>
      <c r="AN874" s="407"/>
      <c r="AO874" s="407"/>
      <c r="AP874" s="407"/>
      <c r="AQ874" s="407"/>
      <c r="AR874" s="1236"/>
      <c r="AS874" s="1382"/>
      <c r="AT874" s="407"/>
      <c r="AU874" s="1236"/>
      <c r="AV874" s="1236"/>
      <c r="AW874" s="1236"/>
      <c r="AX874" s="1236"/>
      <c r="AY874" s="1236"/>
      <c r="AZ874" s="1236"/>
      <c r="BA874" s="1236"/>
      <c r="BB874" s="407"/>
      <c r="BC874" s="407"/>
      <c r="BD874" s="407"/>
      <c r="BE874" s="407"/>
    </row>
    <row r="875" spans="1:69" x14ac:dyDescent="0.2">
      <c r="B875" s="214" t="s">
        <v>564</v>
      </c>
      <c r="C875" s="62"/>
      <c r="D875" s="1331"/>
      <c r="E875" s="1331"/>
      <c r="F875" s="1331"/>
      <c r="G875" s="1331"/>
      <c r="H875" s="1331">
        <f>IFERROR(Model!H875/Model!D875-1,"NA")</f>
        <v>-5.4042507084660962E-2</v>
      </c>
      <c r="I875" s="1331">
        <f>IFERROR(Model!I875/Model!E875-1,"NA")</f>
        <v>-2.1910215912622988E-2</v>
      </c>
      <c r="J875" s="1331">
        <f>IFERROR(Model!J875/Model!F875-1,"NA")</f>
        <v>-2.3917049576566929E-2</v>
      </c>
      <c r="K875" s="1331">
        <f>IFERROR(Model!K875/Model!G875-1,"NA")</f>
        <v>1.7136132759933753E-2</v>
      </c>
      <c r="L875" s="1331">
        <f>IFERROR(Model!L875/Model!H875-1,"NA")</f>
        <v>6.5409507845601844E-3</v>
      </c>
      <c r="M875" s="1331">
        <f>IFERROR(Model!M875/Model!I875-1,"NA")</f>
        <v>4.2956318504936419E-3</v>
      </c>
      <c r="N875" s="1331">
        <f>IFERROR(Model!N875/Model!J875-1,"NA")</f>
        <v>-9.3186457354322849E-3</v>
      </c>
      <c r="O875" s="1331">
        <f>IFERROR(Model!O875/Model!K875-1,"NA")</f>
        <v>-1.1168754885098719E-2</v>
      </c>
      <c r="P875" s="1331">
        <f>IFERROR(Model!P875/Model!L875-1,"NA")</f>
        <v>-2.5599653613649687E-2</v>
      </c>
      <c r="Q875" s="1331">
        <f>IFERROR(Model!Q875/Model!M875-1,"NA")</f>
        <v>-4.4160622548050199E-2</v>
      </c>
      <c r="R875" s="1331">
        <f>IFERROR(Model!R875/Model!N875-1,"NA")</f>
        <v>-4.5841003610395892E-2</v>
      </c>
      <c r="S875" s="1331">
        <f>IFERROR(Model!S875/Model!O875-1,"NA")</f>
        <v>-8.4655326530263642E-2</v>
      </c>
      <c r="T875" s="1331">
        <f>IFERROR(Model!T875/Model!P875-1,"NA")</f>
        <v>-1.5011336835029088E-2</v>
      </c>
      <c r="U875" s="1331">
        <f>IFERROR(Model!U875/Model!Q875-1,"NA")</f>
        <v>-3.8512764450466808E-3</v>
      </c>
      <c r="V875" s="1331">
        <f>IFERROR(Model!V875/Model!R875-1,"NA")</f>
        <v>7.5842093867093396E-3</v>
      </c>
      <c r="W875" s="1331">
        <f>IFERROR(Model!W875/Model!S875-1,"NA")</f>
        <v>6.0954256835557885E-2</v>
      </c>
      <c r="X875" s="1331">
        <f>IFERROR(Model!X875/Model!T875-1,"NA")</f>
        <v>1.2610445018961025E-2</v>
      </c>
      <c r="Y875" s="1331">
        <f>IFERROR(Model!Y875/Model!U875-1,"NA")</f>
        <v>3.5566409759509421E-2</v>
      </c>
      <c r="Z875" s="1331">
        <f>IFERROR(Model!Z875/Model!V875-1,"NA")</f>
        <v>5.0746159346409581E-2</v>
      </c>
      <c r="AA875" s="1331">
        <f>IFERROR(Model!AA875/Model!W875-1,"NA")</f>
        <v>3.2192944657292166E-2</v>
      </c>
      <c r="AB875" s="1331">
        <f>IFERROR(Model!AB875/Model!X875-1,"NA")</f>
        <v>7.3743712374199966E-2</v>
      </c>
      <c r="AC875" s="1331">
        <f>IFERROR(Model!AC875/Model!Y875-1,"NA")</f>
        <v>5.2023553157665603E-2</v>
      </c>
      <c r="AD875" s="1331">
        <f>IFERROR(Model!AD875/Model!Z875-1,"NA")</f>
        <v>3.4393342688682216E-2</v>
      </c>
      <c r="AE875" s="1331">
        <f>IFERROR(Model!AE875/Model!AA875-1,"NA")</f>
        <v>6.7964915423233574E-2</v>
      </c>
      <c r="AF875" s="1331">
        <f>IFERROR(Model!AF875/Model!AB875-1,"NA")</f>
        <v>5.0758483030683976E-3</v>
      </c>
      <c r="AG875" s="1331">
        <f>IFERROR(Model!AG875/Model!AC875-1,"NA")</f>
        <v>1.0288940055802165E-2</v>
      </c>
      <c r="AH875" s="1331">
        <f>IFERROR(Model!AH875/Model!AD875-1,"NA")</f>
        <v>1.5351088599667717E-2</v>
      </c>
      <c r="AI875" s="1331">
        <f>IFERROR(Model!AI875/Model!AE875-1,"NA")</f>
        <v>2.0447445685449761E-2</v>
      </c>
      <c r="AJ875" s="1331"/>
      <c r="AK875" s="1331"/>
      <c r="AL875" s="1331"/>
      <c r="AM875" s="1331"/>
      <c r="AN875" s="1331"/>
      <c r="AO875" s="1331"/>
      <c r="AP875" s="1331"/>
      <c r="AQ875" s="1331"/>
      <c r="AR875" s="1236"/>
      <c r="AS875" s="1331"/>
      <c r="AT875" s="1331"/>
      <c r="AU875" s="1331"/>
      <c r="AV875" s="1331">
        <f>IFERROR(Model!AV875/Model!AU875-1,"NA")</f>
        <v>1.7136132759933753E-2</v>
      </c>
      <c r="AW875" s="1331">
        <f>IFERROR(Model!AW875/Model!AV875-1,"NA")</f>
        <v>-1.1168754885098719E-2</v>
      </c>
      <c r="AX875" s="1331">
        <f>IFERROR(Model!AX875/Model!AW875-1,"NA")</f>
        <v>-8.4655326530263642E-2</v>
      </c>
      <c r="AY875" s="1331">
        <f>IFERROR(Model!AY875/Model!AX875-1,"NA")</f>
        <v>6.0954256835557885E-2</v>
      </c>
      <c r="AZ875" s="1331">
        <f>IFERROR(Model!AZ875/Model!AY875-1,"NA")</f>
        <v>3.2192944657292166E-2</v>
      </c>
      <c r="BA875" s="1331">
        <f>IFERROR(Model!BA875/Model!AZ875-1,"NA")</f>
        <v>6.7964915423233574E-2</v>
      </c>
      <c r="BB875" s="1331">
        <f>IFERROR(Model!BB875/Model!BA875-1,"NA")</f>
        <v>2.0447445685449761E-2</v>
      </c>
      <c r="BC875" s="1331">
        <f>IFERROR(Model!BC875/Model!BB875-1,"NA")</f>
        <v>9.6740741959580046E-3</v>
      </c>
      <c r="BD875" s="1331">
        <f>IFERROR(Model!BD875/Model!BC875-1,"NA")</f>
        <v>1.9714525995755849E-2</v>
      </c>
      <c r="BE875" s="1331">
        <f>IFERROR(Model!BE875/Model!BD875-1,"NA")</f>
        <v>1.9854178915984289E-2</v>
      </c>
    </row>
    <row r="876" spans="1:69" x14ac:dyDescent="0.2">
      <c r="B876" s="214" t="s">
        <v>566</v>
      </c>
      <c r="C876" s="62"/>
      <c r="D876" s="1331"/>
      <c r="E876" s="1331"/>
      <c r="F876" s="1331"/>
      <c r="G876" s="1331"/>
      <c r="H876" s="1331">
        <f>IFERROR(Model!H876/Model!D876-1,"NA")</f>
        <v>9.709064569300363E-2</v>
      </c>
      <c r="I876" s="1331">
        <f>IFERROR(Model!I876/Model!E876-1,"NA")</f>
        <v>0.11527032371052481</v>
      </c>
      <c r="J876" s="1331">
        <f>IFERROR(Model!J876/Model!F876-1,"NA")</f>
        <v>6.1677664600928939E-2</v>
      </c>
      <c r="K876" s="1331">
        <f>IFERROR(Model!K876/Model!G876-1,"NA")</f>
        <v>9.3249914540785905E-2</v>
      </c>
      <c r="L876" s="1331">
        <f>IFERROR(Model!L876/Model!H876-1,"NA")</f>
        <v>8.1810100127889251E-2</v>
      </c>
      <c r="M876" s="1331">
        <f>IFERROR(Model!M876/Model!I876-1,"NA")</f>
        <v>6.2964126151134225E-2</v>
      </c>
      <c r="N876" s="1331">
        <f>IFERROR(Model!N876/Model!J876-1,"NA")</f>
        <v>4.350029627201546E-2</v>
      </c>
      <c r="O876" s="1331">
        <f>IFERROR(Model!O876/Model!K876-1,"NA")</f>
        <v>3.3279765756988322E-3</v>
      </c>
      <c r="P876" s="1331">
        <f>IFERROR(Model!P876/Model!L876-1,"NA")</f>
        <v>-1.0067734951859864E-2</v>
      </c>
      <c r="Q876" s="1331">
        <f>IFERROR(Model!Q876/Model!M876-1,"NA")</f>
        <v>-3.7475457959245895E-2</v>
      </c>
      <c r="R876" s="1331">
        <f>IFERROR(Model!R876/Model!N876-1,"NA")</f>
        <v>-1.2963728141076269E-2</v>
      </c>
      <c r="S876" s="1331">
        <f>IFERROR(Model!S876/Model!O876-1,"NA")</f>
        <v>1.3400622318425981E-2</v>
      </c>
      <c r="T876" s="1331">
        <f>IFERROR(Model!T876/Model!P876-1,"NA")</f>
        <v>2.7017580481127013E-2</v>
      </c>
      <c r="U876" s="1331">
        <f>IFERROR(Model!U876/Model!Q876-1,"NA")</f>
        <v>7.8656302604218187E-2</v>
      </c>
      <c r="V876" s="1331">
        <f>IFERROR(Model!V876/Model!R876-1,"NA")</f>
        <v>5.2660827160070811E-2</v>
      </c>
      <c r="W876" s="1331">
        <f>IFERROR(Model!W876/Model!S876-1,"NA")</f>
        <v>4.335574981584478E-2</v>
      </c>
      <c r="X876" s="1331">
        <f>IFERROR(Model!X876/Model!T876-1,"NA")</f>
        <v>3.9908111608472296E-2</v>
      </c>
      <c r="Y876" s="1331">
        <f>IFERROR(Model!Y876/Model!U876-1,"NA")</f>
        <v>4.3145588822539604E-3</v>
      </c>
      <c r="Z876" s="1331">
        <f>IFERROR(Model!Z876/Model!V876-1,"NA")</f>
        <v>2.9728390927294068E-2</v>
      </c>
      <c r="AA876" s="1331">
        <f>IFERROR(Model!AA876/Model!W876-1,"NA")</f>
        <v>1.7874197454703422E-2</v>
      </c>
      <c r="AB876" s="1331">
        <f>IFERROR(Model!AB876/Model!X876-1,"NA")</f>
        <v>2.9990363811567056E-2</v>
      </c>
      <c r="AC876" s="1331">
        <f>IFERROR(Model!AC876/Model!Y876-1,"NA")</f>
        <v>4.0253282573226468E-2</v>
      </c>
      <c r="AD876" s="1331">
        <f>IFERROR(Model!AD876/Model!Z876-1,"NA")</f>
        <v>3.2802411151462429E-2</v>
      </c>
      <c r="AE876" s="1331">
        <f>IFERROR(Model!AE876/Model!AA876-1,"NA")</f>
        <v>3.1253832809942983E-2</v>
      </c>
      <c r="AF876" s="1331">
        <f>IFERROR(Model!AF876/Model!AB876-1,"NA")</f>
        <v>1.8478074094756325E-2</v>
      </c>
      <c r="AG876" s="1331">
        <f>IFERROR(Model!AG876/Model!AC876-1,"NA")</f>
        <v>1.879679142088353E-2</v>
      </c>
      <c r="AH876" s="1331">
        <f>IFERROR(Model!AH876/Model!AD876-1,"NA")</f>
        <v>1.9112622351667552E-2</v>
      </c>
      <c r="AI876" s="1331">
        <f>IFERROR(Model!AI876/Model!AE876-1,"NA")</f>
        <v>1.7396707193970462E-2</v>
      </c>
      <c r="AJ876" s="1331"/>
      <c r="AK876" s="1331"/>
      <c r="AL876" s="1331"/>
      <c r="AM876" s="1331"/>
      <c r="AN876" s="1331"/>
      <c r="AO876" s="1331"/>
      <c r="AP876" s="1331"/>
      <c r="AQ876" s="1331"/>
      <c r="AR876" s="1236"/>
      <c r="AS876" s="1331"/>
      <c r="AT876" s="1331"/>
      <c r="AU876" s="1331"/>
      <c r="AV876" s="1331">
        <f>IFERROR(Model!AV876/Model!AU876-1,"NA")</f>
        <v>9.3249914540785905E-2</v>
      </c>
      <c r="AW876" s="1331">
        <f>IFERROR(Model!AW876/Model!AV876-1,"NA")</f>
        <v>3.3279765756988322E-3</v>
      </c>
      <c r="AX876" s="1331">
        <f>IFERROR(Model!AX876/Model!AW876-1,"NA")</f>
        <v>1.3400622318425981E-2</v>
      </c>
      <c r="AY876" s="1331">
        <f>IFERROR(Model!AY876/Model!AX876-1,"NA")</f>
        <v>4.335574981584478E-2</v>
      </c>
      <c r="AZ876" s="1331">
        <f>IFERROR(Model!AZ876/Model!AY876-1,"NA")</f>
        <v>1.7874197454703422E-2</v>
      </c>
      <c r="BA876" s="1331">
        <f>IFERROR(Model!BA876/Model!AZ876-1,"NA")</f>
        <v>3.1253832809942983E-2</v>
      </c>
      <c r="BB876" s="1331">
        <f>IFERROR(Model!BB876/Model!BA876-1,"NA")</f>
        <v>1.7396707193970462E-2</v>
      </c>
      <c r="BC876" s="1331">
        <f>IFERROR(Model!BC876/Model!BB876-1,"NA")</f>
        <v>3.0065495809407317E-2</v>
      </c>
      <c r="BD876" s="1331">
        <f>IFERROR(Model!BD876/Model!BC876-1,"NA")</f>
        <v>3.0353826304196918E-2</v>
      </c>
      <c r="BE876" s="1331">
        <f>IFERROR(Model!BE876/Model!BD876-1,"NA")</f>
        <v>3.0636409549792409E-2</v>
      </c>
    </row>
    <row r="877" spans="1:69" x14ac:dyDescent="0.2">
      <c r="B877" s="214" t="s">
        <v>567</v>
      </c>
      <c r="C877" s="62"/>
      <c r="D877" s="1331"/>
      <c r="E877" s="1331"/>
      <c r="F877" s="1331"/>
      <c r="G877" s="1331"/>
      <c r="H877" s="1331">
        <f>IFERROR(Model!H877/Model!D877-1,"NA")</f>
        <v>3.8432534044460009E-2</v>
      </c>
      <c r="I877" s="1331">
        <f>IFERROR(Model!I877/Model!E877-1,"NA")</f>
        <v>4.3677701325602891E-2</v>
      </c>
      <c r="J877" s="1331">
        <f>IFERROR(Model!J877/Model!F877-1,"NA")</f>
        <v>-7.4428764290372929E-3</v>
      </c>
      <c r="K877" s="1331">
        <f>IFERROR(Model!K877/Model!G877-1,"NA")</f>
        <v>1.6046763680071408E-2</v>
      </c>
      <c r="L877" s="1331">
        <f>IFERROR(Model!L877/Model!H877-1,"NA")</f>
        <v>7.8230164869572461E-2</v>
      </c>
      <c r="M877" s="1331">
        <f>IFERROR(Model!M877/Model!I877-1,"NA")</f>
        <v>8.8914193280619891E-2</v>
      </c>
      <c r="N877" s="1331">
        <f>IFERROR(Model!N877/Model!J877-1,"NA")</f>
        <v>1.6148669645085878E-2</v>
      </c>
      <c r="O877" s="1331">
        <f>IFERROR(Model!O877/Model!K877-1,"NA")</f>
        <v>1.0505295619423149E-2</v>
      </c>
      <c r="P877" s="1331">
        <f>IFERROR(Model!P877/Model!L877-1,"NA")</f>
        <v>1.6232704555992017E-2</v>
      </c>
      <c r="Q877" s="1331">
        <f>IFERROR(Model!Q877/Model!M877-1,"NA")</f>
        <v>1.4649830925900664E-2</v>
      </c>
      <c r="R877" s="1331">
        <f>IFERROR(Model!R877/Model!N877-1,"NA")</f>
        <v>7.5910784023742739E-2</v>
      </c>
      <c r="S877" s="1331">
        <f>IFERROR(Model!S877/Model!O877-1,"NA")</f>
        <v>5.4747027010801252E-2</v>
      </c>
      <c r="T877" s="1331">
        <f>IFERROR(Model!T877/Model!P877-1,"NA")</f>
        <v>3.7445790770383347E-2</v>
      </c>
      <c r="U877" s="1331">
        <f>IFERROR(Model!U877/Model!Q877-1,"NA")</f>
        <v>4.3714662736825893E-2</v>
      </c>
      <c r="V877" s="1331">
        <f>IFERROR(Model!V877/Model!R877-1,"NA")</f>
        <v>1.5106261037308943E-2</v>
      </c>
      <c r="W877" s="1331">
        <f>IFERROR(Model!W877/Model!S877-1,"NA")</f>
        <v>1.6544448976881343E-2</v>
      </c>
      <c r="X877" s="1331">
        <f>IFERROR(Model!X877/Model!T877-1,"NA")</f>
        <v>-3.4807284578136977E-2</v>
      </c>
      <c r="Y877" s="1331">
        <f>IFERROR(Model!Y877/Model!U877-1,"NA")</f>
        <v>-3.4237884080306702E-2</v>
      </c>
      <c r="Z877" s="1331">
        <f>IFERROR(Model!Z877/Model!V877-1,"NA")</f>
        <v>-2.9638980055541553E-2</v>
      </c>
      <c r="AA877" s="1331">
        <f>IFERROR(Model!AA877/Model!W877-1,"NA")</f>
        <v>2.799630448779844E-5</v>
      </c>
      <c r="AB877" s="1331">
        <f>IFERROR(Model!AB877/Model!X877-1,"NA")</f>
        <v>3.5060120192422994E-2</v>
      </c>
      <c r="AC877" s="1331">
        <f>IFERROR(Model!AC877/Model!Y877-1,"NA")</f>
        <v>2.9438506634049899E-2</v>
      </c>
      <c r="AD877" s="1331">
        <f>IFERROR(Model!AD877/Model!Z877-1,"NA")</f>
        <v>1.7670370107569555E-2</v>
      </c>
      <c r="AE877" s="1331">
        <f>IFERROR(Model!AE877/Model!AA877-1,"NA")</f>
        <v>2.3705573208285813E-3</v>
      </c>
      <c r="AF877" s="1331">
        <f>IFERROR(Model!AF877/Model!AB877-1,"NA")</f>
        <v>-1.018047114661591E-2</v>
      </c>
      <c r="AG877" s="1331">
        <f>IFERROR(Model!AG877/Model!AC877-1,"NA")</f>
        <v>-1.4166968874952501E-2</v>
      </c>
      <c r="AH877" s="1331">
        <f>IFERROR(Model!AH877/Model!AD877-1,"NA")</f>
        <v>-1.8208914864789372E-2</v>
      </c>
      <c r="AI877" s="1331">
        <f>IFERROR(Model!AI877/Model!AE877-1,"NA")</f>
        <v>-2.3404276493149023E-2</v>
      </c>
      <c r="AJ877" s="1331"/>
      <c r="AK877" s="1331"/>
      <c r="AL877" s="1331"/>
      <c r="AM877" s="1331"/>
      <c r="AN877" s="1331"/>
      <c r="AO877" s="1331"/>
      <c r="AP877" s="1331"/>
      <c r="AQ877" s="1331"/>
      <c r="AR877" s="1236"/>
      <c r="AS877" s="1331"/>
      <c r="AT877" s="1331"/>
      <c r="AU877" s="1331"/>
      <c r="AV877" s="1331">
        <f>IFERROR(Model!AV877/Model!AU877-1,"NA")</f>
        <v>1.6046763680071408E-2</v>
      </c>
      <c r="AW877" s="1331">
        <f>IFERROR(Model!AW877/Model!AV877-1,"NA")</f>
        <v>1.0505295619423149E-2</v>
      </c>
      <c r="AX877" s="1331">
        <f>IFERROR(Model!AX877/Model!AW877-1,"NA")</f>
        <v>5.4747027010801252E-2</v>
      </c>
      <c r="AY877" s="1331">
        <f>IFERROR(Model!AY877/Model!AX877-1,"NA")</f>
        <v>1.6544448976881343E-2</v>
      </c>
      <c r="AZ877" s="1331">
        <f>IFERROR(Model!AZ877/Model!AY877-1,"NA")</f>
        <v>2.799630448779844E-5</v>
      </c>
      <c r="BA877" s="1331">
        <f>IFERROR(Model!BA877/Model!AZ877-1,"NA")</f>
        <v>2.3705573208285813E-3</v>
      </c>
      <c r="BB877" s="1331">
        <f>IFERROR(Model!BB877/Model!BA877-1,"NA")</f>
        <v>-2.3404276493149023E-2</v>
      </c>
      <c r="BC877" s="1331">
        <f>IFERROR(Model!BC877/Model!BB877-1,"NA")</f>
        <v>9.4333168062066264E-5</v>
      </c>
      <c r="BD877" s="1331">
        <f>IFERROR(Model!BD877/Model!BC877-1,"NA")</f>
        <v>9.4340282819960208E-5</v>
      </c>
      <c r="BE877" s="1331">
        <f>IFERROR(Model!BE877/Model!BD877-1,"NA")</f>
        <v>9.4347397442851033E-5</v>
      </c>
      <c r="BM877" s="238"/>
      <c r="BN877" s="238"/>
      <c r="BO877" s="238"/>
      <c r="BP877" s="238"/>
      <c r="BQ877" s="238"/>
    </row>
    <row r="878" spans="1:69" x14ac:dyDescent="0.2">
      <c r="B878" s="214" t="s">
        <v>568</v>
      </c>
      <c r="C878" s="62"/>
      <c r="D878" s="1331"/>
      <c r="E878" s="1331"/>
      <c r="F878" s="1331"/>
      <c r="G878" s="1331"/>
      <c r="H878" s="1331">
        <f>IFERROR(Model!H878/Model!D878-1,"NA")</f>
        <v>2.8653584429666923E-2</v>
      </c>
      <c r="I878" s="1331">
        <f>IFERROR(Model!I878/Model!E878-1,"NA")</f>
        <v>2.2137206005129029E-2</v>
      </c>
      <c r="J878" s="1331">
        <f>IFERROR(Model!J878/Model!F878-1,"NA")</f>
        <v>1.6452640415814734E-2</v>
      </c>
      <c r="K878" s="1331">
        <f>IFERROR(Model!K878/Model!G878-1,"NA")</f>
        <v>4.70036514155181E-2</v>
      </c>
      <c r="L878" s="1331">
        <f>IFERROR(Model!L878/Model!H878-1,"NA")</f>
        <v>2.3711466346121535E-2</v>
      </c>
      <c r="M878" s="1331">
        <f>IFERROR(Model!M878/Model!I878-1,"NA")</f>
        <v>1.4108059635466352E-2</v>
      </c>
      <c r="N878" s="1331">
        <f>IFERROR(Model!N878/Model!J878-1,"NA")</f>
        <v>-2.1043022607912132E-2</v>
      </c>
      <c r="O878" s="1331">
        <f>IFERROR(Model!O878/Model!K878-1,"NA")</f>
        <v>-9.2176443408421904E-2</v>
      </c>
      <c r="P878" s="1331">
        <f>IFERROR(Model!P878/Model!L878-1,"NA")</f>
        <v>-9.1863592901198943E-2</v>
      </c>
      <c r="Q878" s="1331">
        <f>IFERROR(Model!Q878/Model!M878-1,"NA")</f>
        <v>-7.9736585199210119E-2</v>
      </c>
      <c r="R878" s="1331">
        <f>IFERROR(Model!R878/Model!N878-1,"NA")</f>
        <v>-7.2060216581627201E-2</v>
      </c>
      <c r="S878" s="1331">
        <f>IFERROR(Model!S878/Model!O878-1,"NA")</f>
        <v>-3.4141159684265565E-3</v>
      </c>
      <c r="T878" s="1331">
        <f>IFERROR(Model!T878/Model!P878-1,"NA")</f>
        <v>3.9262336099597173E-2</v>
      </c>
      <c r="U878" s="1331">
        <f>IFERROR(Model!U878/Model!Q878-1,"NA")</f>
        <v>2.960900634641872E-2</v>
      </c>
      <c r="V878" s="1331">
        <f>IFERROR(Model!V878/Model!R878-1,"NA")</f>
        <v>4.7513884256775274E-2</v>
      </c>
      <c r="W878" s="1331">
        <f>IFERROR(Model!W878/Model!S878-1,"NA")</f>
        <v>2.5867176617254461E-2</v>
      </c>
      <c r="X878" s="1331">
        <f>IFERROR(Model!X878/Model!T878-1,"NA")</f>
        <v>3.1893767230330106E-2</v>
      </c>
      <c r="Y878" s="1331">
        <f>IFERROR(Model!Y878/Model!U878-1,"NA")</f>
        <v>3.9259054848412189E-2</v>
      </c>
      <c r="Z878" s="1331">
        <f>IFERROR(Model!Z878/Model!V878-1,"NA")</f>
        <v>4.1864791797308065E-2</v>
      </c>
      <c r="AA878" s="1331">
        <f>IFERROR(Model!AA878/Model!W878-1,"NA")</f>
        <v>4.2525996654975806E-2</v>
      </c>
      <c r="AB878" s="1331">
        <f>IFERROR(Model!AB878/Model!X878-1,"NA")</f>
        <v>5.9230658227813926E-2</v>
      </c>
      <c r="AC878" s="1331">
        <f>IFERROR(Model!AC878/Model!Y878-1,"NA")</f>
        <v>5.8470145868136925E-2</v>
      </c>
      <c r="AD878" s="1331">
        <f>IFERROR(Model!AD878/Model!Z878-1,"NA")</f>
        <v>6.4515227731717584E-2</v>
      </c>
      <c r="AE878" s="1331">
        <f>IFERROR(Model!AE878/Model!AA878-1,"NA")</f>
        <v>8.5454778672625853E-2</v>
      </c>
      <c r="AF878" s="1331">
        <f>IFERROR(Model!AF878/Model!AB878-1,"NA")</f>
        <v>4.0604010000000024E-2</v>
      </c>
      <c r="AG878" s="1331">
        <f>IFERROR(Model!AG878/Model!AC878-1,"NA")</f>
        <v>4.0604010000000246E-2</v>
      </c>
      <c r="AH878" s="1331">
        <f>IFERROR(Model!AH878/Model!AD878-1,"NA")</f>
        <v>4.0604010000000468E-2</v>
      </c>
      <c r="AI878" s="1331">
        <f>IFERROR(Model!AI878/Model!AE878-1,"NA")</f>
        <v>3.8543408000000223E-2</v>
      </c>
      <c r="AJ878" s="1331"/>
      <c r="AK878" s="1331"/>
      <c r="AL878" s="1331"/>
      <c r="AM878" s="1331"/>
      <c r="AN878" s="1331"/>
      <c r="AO878" s="1331"/>
      <c r="AP878" s="1331"/>
      <c r="AQ878" s="1331"/>
      <c r="AR878" s="1236"/>
      <c r="AS878" s="1331"/>
      <c r="AT878" s="1331"/>
      <c r="AU878" s="1331"/>
      <c r="AV878" s="1331">
        <f>IFERROR(Model!AV878/Model!AU878-1,"NA")</f>
        <v>4.70036514155181E-2</v>
      </c>
      <c r="AW878" s="1331">
        <f>IFERROR(Model!AW878/Model!AV878-1,"NA")</f>
        <v>-9.2176443408421904E-2</v>
      </c>
      <c r="AX878" s="1331">
        <f>IFERROR(Model!AX878/Model!AW878-1,"NA")</f>
        <v>-3.4141159684265565E-3</v>
      </c>
      <c r="AY878" s="1331">
        <f>IFERROR(Model!AY878/Model!AX878-1,"NA")</f>
        <v>2.5867176617254461E-2</v>
      </c>
      <c r="AZ878" s="1331">
        <f>IFERROR(Model!AZ878/Model!AY878-1,"NA")</f>
        <v>4.2525996654975806E-2</v>
      </c>
      <c r="BA878" s="1331">
        <f>IFERROR(Model!BA878/Model!AZ878-1,"NA")</f>
        <v>8.5454778672625853E-2</v>
      </c>
      <c r="BB878" s="1331">
        <f>IFERROR(Model!BB878/Model!BA878-1,"NA")</f>
        <v>3.8543408000000223E-2</v>
      </c>
      <c r="BC878" s="1331">
        <f>IFERROR(Model!BC878/Model!BB878-1,"NA")</f>
        <v>4.0000000000000258E-2</v>
      </c>
      <c r="BD878" s="1331">
        <f>IFERROR(Model!BD878/Model!BC878-1,"NA")</f>
        <v>4.0000000000000036E-2</v>
      </c>
      <c r="BE878" s="1331">
        <f>IFERROR(Model!BE878/Model!BD878-1,"NA")</f>
        <v>4.0000000000000036E-2</v>
      </c>
      <c r="BM878" s="238"/>
      <c r="BN878" s="238"/>
      <c r="BO878" s="238"/>
      <c r="BP878" s="238"/>
      <c r="BQ878" s="238"/>
    </row>
    <row r="879" spans="1:69" x14ac:dyDescent="0.2">
      <c r="B879" s="214"/>
      <c r="C879" s="62"/>
      <c r="D879" s="1331"/>
      <c r="E879" s="1331"/>
      <c r="F879" s="1331"/>
      <c r="G879" s="1331"/>
      <c r="H879" s="1331"/>
      <c r="I879" s="1331"/>
      <c r="J879" s="1331"/>
      <c r="K879" s="1331"/>
      <c r="L879" s="1331"/>
      <c r="M879" s="1331"/>
      <c r="N879" s="1331"/>
      <c r="O879" s="1331"/>
      <c r="P879" s="1331"/>
      <c r="Q879" s="1331"/>
      <c r="R879" s="1331"/>
      <c r="S879" s="1331"/>
      <c r="T879" s="1331"/>
      <c r="U879" s="1331"/>
      <c r="V879" s="1331"/>
      <c r="W879" s="1331"/>
      <c r="X879" s="407"/>
      <c r="Y879" s="407"/>
      <c r="Z879" s="407"/>
      <c r="AA879" s="407"/>
      <c r="AB879" s="407"/>
      <c r="AC879" s="407"/>
      <c r="AD879" s="407"/>
      <c r="AE879" s="407"/>
      <c r="AF879" s="407"/>
      <c r="AG879" s="407"/>
      <c r="AH879" s="407"/>
      <c r="AI879" s="407"/>
      <c r="AJ879" s="407"/>
      <c r="AK879" s="407"/>
      <c r="AL879" s="407"/>
      <c r="AM879" s="407"/>
      <c r="AN879" s="407"/>
      <c r="AO879" s="407"/>
      <c r="AP879" s="407"/>
      <c r="AQ879" s="407"/>
      <c r="AR879" s="1236"/>
      <c r="AS879" s="1331"/>
      <c r="AT879" s="1331"/>
      <c r="AU879" s="1236"/>
      <c r="AV879" s="1236"/>
      <c r="AW879" s="1236"/>
      <c r="AX879" s="1236"/>
      <c r="AY879" s="1236"/>
      <c r="AZ879" s="1236"/>
      <c r="BA879" s="1236"/>
      <c r="BB879" s="1236"/>
      <c r="BC879" s="1236"/>
      <c r="BD879" s="1236"/>
      <c r="BE879" s="1236"/>
    </row>
    <row r="880" spans="1:69" x14ac:dyDescent="0.2">
      <c r="B880" s="213"/>
      <c r="D880" s="407"/>
      <c r="E880" s="407"/>
      <c r="F880" s="407"/>
      <c r="G880" s="407"/>
      <c r="H880" s="407"/>
      <c r="I880" s="407"/>
      <c r="J880" s="407"/>
      <c r="K880" s="407"/>
      <c r="L880" s="407"/>
      <c r="M880" s="407"/>
      <c r="N880" s="407"/>
      <c r="O880" s="407"/>
      <c r="P880" s="407"/>
      <c r="Q880" s="407"/>
      <c r="R880" s="407"/>
      <c r="S880" s="407"/>
      <c r="T880" s="407"/>
      <c r="U880" s="407"/>
      <c r="V880" s="407"/>
      <c r="W880" s="407"/>
      <c r="X880" s="407"/>
      <c r="Y880" s="407"/>
      <c r="Z880" s="407"/>
      <c r="AA880" s="407"/>
      <c r="AB880" s="407"/>
      <c r="AC880" s="407"/>
      <c r="AD880" s="407"/>
      <c r="AE880" s="407"/>
      <c r="AF880" s="407"/>
      <c r="AG880" s="407"/>
      <c r="AH880" s="407"/>
      <c r="AI880" s="407"/>
      <c r="AJ880" s="407"/>
      <c r="AK880" s="407"/>
      <c r="AL880" s="407"/>
      <c r="AM880" s="407"/>
      <c r="AN880" s="407"/>
      <c r="AO880" s="407"/>
      <c r="AP880" s="407"/>
      <c r="AQ880" s="407"/>
      <c r="AR880" s="1236"/>
      <c r="AS880" s="407"/>
      <c r="AT880" s="407"/>
      <c r="AU880" s="1236"/>
      <c r="AV880" s="1236"/>
      <c r="AW880" s="1236"/>
      <c r="AX880" s="1236"/>
      <c r="AY880" s="1236"/>
      <c r="AZ880" s="1236"/>
      <c r="BA880" s="1236"/>
      <c r="BB880" s="1236"/>
      <c r="BC880" s="1236"/>
      <c r="BD880" s="1236"/>
      <c r="BE880" s="1236"/>
    </row>
    <row r="881" spans="1:69" x14ac:dyDescent="0.2">
      <c r="A881" s="411" t="s">
        <v>194</v>
      </c>
      <c r="B881" s="13" t="s">
        <v>363</v>
      </c>
      <c r="C881" s="13"/>
      <c r="D881" s="1369"/>
      <c r="E881" s="1369"/>
      <c r="F881" s="1369"/>
      <c r="G881" s="1369"/>
      <c r="H881" s="1369"/>
      <c r="I881" s="1369"/>
      <c r="J881" s="1369"/>
      <c r="K881" s="1369"/>
      <c r="L881" s="1369"/>
      <c r="M881" s="1369"/>
      <c r="N881" s="1369"/>
      <c r="O881" s="1369"/>
      <c r="P881" s="1369"/>
      <c r="Q881" s="1369"/>
      <c r="R881" s="1369"/>
      <c r="S881" s="1369"/>
      <c r="T881" s="1369"/>
      <c r="U881" s="1369"/>
      <c r="V881" s="1369"/>
      <c r="W881" s="1369"/>
      <c r="X881" s="1369"/>
      <c r="Y881" s="1369"/>
      <c r="Z881" s="1369"/>
      <c r="AA881" s="1369"/>
      <c r="AB881" s="1369"/>
      <c r="AC881" s="1369"/>
      <c r="AD881" s="1369"/>
      <c r="AE881" s="1369"/>
      <c r="AF881" s="1369"/>
      <c r="AG881" s="1369"/>
      <c r="AH881" s="1369"/>
      <c r="AI881" s="1369"/>
      <c r="AJ881" s="1369"/>
      <c r="AK881" s="1369"/>
      <c r="AL881" s="1369"/>
      <c r="AM881" s="1369"/>
      <c r="AN881" s="1369"/>
      <c r="AO881" s="1369"/>
      <c r="AP881" s="1369"/>
      <c r="AQ881" s="1369"/>
      <c r="AR881" s="1236"/>
      <c r="AS881" s="1370"/>
      <c r="AT881" s="1370"/>
      <c r="AU881" s="1369"/>
      <c r="AV881" s="1369"/>
      <c r="AW881" s="1369"/>
      <c r="AX881" s="1369"/>
      <c r="AY881" s="1369"/>
      <c r="AZ881" s="1369"/>
      <c r="BA881" s="1369"/>
      <c r="BB881" s="1369"/>
      <c r="BC881" s="1369"/>
      <c r="BD881" s="1369"/>
      <c r="BE881" s="1369"/>
      <c r="BF881" s="15"/>
      <c r="BG881" s="15"/>
      <c r="BH881" s="15"/>
      <c r="BI881" s="15"/>
      <c r="BJ881" s="15"/>
      <c r="BK881" s="15"/>
      <c r="BL881" s="15"/>
    </row>
    <row r="882" spans="1:69" x14ac:dyDescent="0.2">
      <c r="B882" s="16"/>
      <c r="C882" s="16"/>
      <c r="D882" s="1250"/>
      <c r="E882" s="1250"/>
      <c r="F882" s="1250"/>
      <c r="G882" s="1250"/>
      <c r="H882" s="1250"/>
      <c r="I882" s="1250"/>
      <c r="J882" s="1250"/>
      <c r="K882" s="1250"/>
      <c r="L882" s="1250"/>
      <c r="M882" s="1250"/>
      <c r="N882" s="1250"/>
      <c r="O882" s="1250"/>
      <c r="P882" s="1250"/>
      <c r="Q882" s="1250"/>
      <c r="R882" s="1250"/>
      <c r="S882" s="1250"/>
      <c r="T882" s="1250"/>
      <c r="U882" s="1250"/>
      <c r="V882" s="1250"/>
      <c r="W882" s="1250"/>
      <c r="X882" s="1250"/>
      <c r="Y882" s="1250"/>
      <c r="Z882" s="1250"/>
      <c r="AA882" s="1250"/>
      <c r="AB882" s="1250"/>
      <c r="AC882" s="1250"/>
      <c r="AD882" s="1250"/>
      <c r="AE882" s="1250"/>
      <c r="AF882" s="1250"/>
      <c r="AG882" s="1250"/>
      <c r="AH882" s="1250"/>
      <c r="AI882" s="1250"/>
      <c r="AJ882" s="1250"/>
      <c r="AK882" s="1250"/>
      <c r="AL882" s="1250"/>
      <c r="AM882" s="1250"/>
      <c r="AN882" s="1250"/>
      <c r="AO882" s="1250"/>
      <c r="AP882" s="1250"/>
      <c r="AQ882" s="1250"/>
      <c r="AR882" s="1236"/>
      <c r="AS882" s="1371"/>
      <c r="AT882" s="1371"/>
      <c r="AU882" s="1236"/>
      <c r="AV882" s="1236"/>
      <c r="AW882" s="1236"/>
      <c r="AX882" s="1236"/>
      <c r="AY882" s="1236"/>
      <c r="AZ882" s="1236"/>
      <c r="BA882" s="1236"/>
      <c r="BB882" s="1236"/>
      <c r="BC882" s="1236"/>
      <c r="BD882" s="1236"/>
      <c r="BE882" s="1236"/>
    </row>
    <row r="883" spans="1:69" x14ac:dyDescent="0.2">
      <c r="B883" s="642" t="s">
        <v>26</v>
      </c>
      <c r="C883" s="369"/>
      <c r="D883" s="407"/>
      <c r="E883" s="407"/>
      <c r="F883" s="407"/>
      <c r="G883" s="407"/>
      <c r="H883" s="407"/>
      <c r="I883" s="407"/>
      <c r="J883" s="407"/>
      <c r="K883" s="407"/>
      <c r="L883" s="407"/>
      <c r="M883" s="407"/>
      <c r="N883" s="407"/>
      <c r="O883" s="407"/>
      <c r="P883" s="407"/>
      <c r="Q883" s="407"/>
      <c r="R883" s="407"/>
      <c r="S883" s="407"/>
      <c r="T883" s="407"/>
      <c r="U883" s="407"/>
      <c r="V883" s="407"/>
      <c r="W883" s="407"/>
      <c r="X883" s="407"/>
      <c r="Y883" s="407"/>
      <c r="Z883" s="407"/>
      <c r="AA883" s="407"/>
      <c r="AB883" s="407"/>
      <c r="AC883" s="407"/>
      <c r="AD883" s="407"/>
      <c r="AE883" s="407"/>
      <c r="AF883" s="407"/>
      <c r="AG883" s="407"/>
      <c r="AH883" s="407"/>
      <c r="AI883" s="407"/>
      <c r="AJ883" s="407"/>
      <c r="AK883" s="407"/>
      <c r="AL883" s="407"/>
      <c r="AM883" s="407"/>
      <c r="AN883" s="407"/>
      <c r="AO883" s="407"/>
      <c r="AP883" s="407"/>
      <c r="AQ883" s="407"/>
      <c r="AR883" s="1236"/>
      <c r="AS883" s="1493"/>
      <c r="AT883" s="1263"/>
      <c r="AU883" s="1236"/>
      <c r="AV883" s="1236"/>
      <c r="AW883" s="1236"/>
      <c r="AX883" s="1236"/>
      <c r="AY883" s="1236"/>
      <c r="AZ883" s="1236"/>
      <c r="BA883" s="1236"/>
      <c r="BB883" s="1236"/>
      <c r="BC883" s="1236"/>
      <c r="BD883" s="1236"/>
      <c r="BE883" s="1236"/>
    </row>
    <row r="884" spans="1:69" x14ac:dyDescent="0.2">
      <c r="B884" s="634" t="s">
        <v>514</v>
      </c>
      <c r="C884" s="636"/>
      <c r="D884" s="407"/>
      <c r="E884" s="407"/>
      <c r="F884" s="407"/>
      <c r="G884" s="407"/>
      <c r="H884" s="407"/>
      <c r="I884" s="407"/>
      <c r="J884" s="407"/>
      <c r="K884" s="407"/>
      <c r="L884" s="407"/>
      <c r="M884" s="407"/>
      <c r="N884" s="407"/>
      <c r="O884" s="407"/>
      <c r="P884" s="407"/>
      <c r="Q884" s="407"/>
      <c r="R884" s="407"/>
      <c r="S884" s="407"/>
      <c r="T884" s="407"/>
      <c r="U884" s="407"/>
      <c r="V884" s="407"/>
      <c r="W884" s="407"/>
      <c r="X884" s="407"/>
      <c r="Y884" s="407"/>
      <c r="Z884" s="407"/>
      <c r="AA884" s="407"/>
      <c r="AB884" s="407"/>
      <c r="AC884" s="407"/>
      <c r="AD884" s="407"/>
      <c r="AE884" s="407"/>
      <c r="AF884" s="407"/>
      <c r="AG884" s="407"/>
      <c r="AH884" s="407"/>
      <c r="AI884" s="407"/>
      <c r="AJ884" s="407"/>
      <c r="AK884" s="407"/>
      <c r="AL884" s="407"/>
      <c r="AM884" s="407"/>
      <c r="AN884" s="407"/>
      <c r="AO884" s="407"/>
      <c r="AP884" s="407"/>
      <c r="AQ884" s="407"/>
      <c r="AR884" s="1236"/>
      <c r="AS884" s="1491"/>
      <c r="AT884" s="1263"/>
      <c r="AU884" s="1236"/>
      <c r="AV884" s="1236"/>
      <c r="AW884" s="1236"/>
      <c r="AX884" s="1236"/>
      <c r="AY884" s="1236"/>
      <c r="AZ884" s="1236"/>
      <c r="BA884" s="1236"/>
      <c r="BB884" s="1236"/>
      <c r="BC884" s="1236"/>
      <c r="BD884" s="1236"/>
      <c r="BE884" s="1236"/>
    </row>
    <row r="885" spans="1:69" x14ac:dyDescent="0.2">
      <c r="B885" s="321"/>
      <c r="C885" s="639" t="s">
        <v>56</v>
      </c>
      <c r="D885" s="407"/>
      <c r="E885" s="407"/>
      <c r="F885" s="407"/>
      <c r="G885" s="407"/>
      <c r="H885" s="407" t="str">
        <f>IFERROR(Model!H885/Model!D885-1,"NA")</f>
        <v>NA</v>
      </c>
      <c r="I885" s="407">
        <f>IFERROR(Model!I885/Model!E885-1,"NA")</f>
        <v>-5.5943987090081748E-2</v>
      </c>
      <c r="J885" s="407">
        <f>IFERROR(Model!J885/Model!F885-1,"NA")</f>
        <v>-6.2695670868464948E-2</v>
      </c>
      <c r="K885" s="407">
        <f>IFERROR(Model!K885/Model!G885-1,"NA")</f>
        <v>-3.6867532326688601E-2</v>
      </c>
      <c r="L885" s="407">
        <f>IFERROR(Model!L885/Model!H885-1,"NA")</f>
        <v>-3.1192864394531505E-2</v>
      </c>
      <c r="M885" s="407">
        <f>IFERROR(Model!M885/Model!I885-1,"NA")</f>
        <v>-1.059385979388161E-2</v>
      </c>
      <c r="N885" s="407">
        <f>IFERROR(Model!N885/Model!J885-1,"NA")</f>
        <v>-9.0058207829938342E-3</v>
      </c>
      <c r="O885" s="407">
        <f>IFERROR(Model!O885/Model!K885-1,"NA")</f>
        <v>-4.2165423055336881E-2</v>
      </c>
      <c r="P885" s="407">
        <f>IFERROR(Model!P885/Model!L885-1,"NA")</f>
        <v>-7.6521663493752334E-2</v>
      </c>
      <c r="Q885" s="407">
        <f>IFERROR(Model!Q885/Model!M885-1,"NA")</f>
        <v>-0.11057605562204231</v>
      </c>
      <c r="R885" s="407">
        <f>IFERROR(Model!R885/Model!N885-1,"NA")</f>
        <v>-0.11726747469606946</v>
      </c>
      <c r="S885" s="407">
        <f>IFERROR(Model!S885/Model!O885-1,"NA")</f>
        <v>-0.10819984428334029</v>
      </c>
      <c r="T885" s="407">
        <f>IFERROR(Model!T885/Model!P885-1,"NA")</f>
        <v>-9.7161777622005174E-2</v>
      </c>
      <c r="U885" s="407">
        <f>IFERROR(Model!U885/Model!Q885-1,"NA")</f>
        <v>-5.5967268858354235E-2</v>
      </c>
      <c r="V885" s="407">
        <f>IFERROR(Model!V885/Model!R885-1,"NA")</f>
        <v>-1.2412897430304826E-2</v>
      </c>
      <c r="W885" s="407">
        <f>IFERROR(Model!W885/Model!S885-1,"NA")</f>
        <v>-1.7725882001623616E-2</v>
      </c>
      <c r="X885" s="407">
        <f>IFERROR(Model!X885/Model!T885-1,"NA")</f>
        <v>8.7788276831723966E-3</v>
      </c>
      <c r="Y885" s="407">
        <f>IFERROR(Model!Y885/Model!U885-1,"NA")</f>
        <v>8.6292768519200536E-3</v>
      </c>
      <c r="Z885" s="407">
        <f>IFERROR(Model!Z885/Model!V885-1,"NA")</f>
        <v>-9.2209159432450338E-3</v>
      </c>
      <c r="AA885" s="407">
        <f>IFERROR(Model!AA885/Model!W885-1,"NA")</f>
        <v>8.040464517794943E-3</v>
      </c>
      <c r="AB885" s="407">
        <f>IFERROR(Model!AB885/Model!X885-1,"NA")</f>
        <v>2.2314917937580558E-2</v>
      </c>
      <c r="AC885" s="407">
        <f>IFERROR(Model!AC885/Model!Y885-1,"NA")</f>
        <v>2.3178172792369001E-2</v>
      </c>
      <c r="AD885" s="407">
        <f>IFERROR(Model!AD885/Model!Z885-1,"NA")</f>
        <v>2.4111892253774192E-2</v>
      </c>
      <c r="AE885" s="407">
        <f>IFERROR(Model!AE885/Model!AA885-1,"NA")</f>
        <v>3.2569465825813104E-2</v>
      </c>
      <c r="AF885" s="407">
        <f>IFERROR(Model!AF885/Model!AB885-1,"NA")</f>
        <v>2.2167841938921962E-2</v>
      </c>
      <c r="AG885" s="407">
        <f>IFERROR(Model!AG885/Model!AC885-1,"NA")</f>
        <v>2.2698484477234215E-2</v>
      </c>
      <c r="AH885" s="407">
        <f>IFERROR(Model!AH885/Model!AD885-1,"NA")</f>
        <v>2.5054611980001251E-2</v>
      </c>
      <c r="AI885" s="407">
        <f>IFERROR(Model!AI885/Model!AE885-1,"NA")</f>
        <v>2.7639499140546198E-2</v>
      </c>
      <c r="AJ885" s="407"/>
      <c r="AK885" s="407"/>
      <c r="AL885" s="407"/>
      <c r="AM885" s="407"/>
      <c r="AN885" s="407"/>
      <c r="AO885" s="407"/>
      <c r="AP885" s="407"/>
      <c r="AQ885" s="407"/>
      <c r="AR885" s="1236"/>
      <c r="AS885" s="1284"/>
      <c r="AT885" s="1492"/>
      <c r="AU885" s="407"/>
      <c r="AV885" s="407">
        <f>IFERROR(Model!AV885/Model!AU885-1,"NA")</f>
        <v>-2.8986567381970252E-2</v>
      </c>
      <c r="AW885" s="407">
        <f>IFERROR(Model!AW885/Model!AV885-1,"NA")</f>
        <v>-2.6569776077305818E-2</v>
      </c>
      <c r="AX885" s="407">
        <f>IFERROR(Model!AX885/Model!AW885-1,"NA")</f>
        <v>-9.5663902167694159E-2</v>
      </c>
      <c r="AY885" s="407">
        <f>IFERROR(Model!AY885/Model!AX885-1,"NA")</f>
        <v>-4.9211517397469651E-2</v>
      </c>
      <c r="AZ885" s="407">
        <f>IFERROR(Model!AZ885/Model!AY885-1,"NA")</f>
        <v>-1.4486593247597934E-3</v>
      </c>
      <c r="BA885" s="407">
        <f>IFERROR(Model!BA885/Model!AZ885-1,"NA")</f>
        <v>1.7915891271998774E-2</v>
      </c>
      <c r="BB885" s="407">
        <f>IFERROR(Model!BB885/Model!BA885-1,"NA")</f>
        <v>1.1508187564159389E-2</v>
      </c>
      <c r="BC885" s="407">
        <f>IFERROR(Model!BC885/Model!BB885-1,"NA")</f>
        <v>4.4396184558031182E-2</v>
      </c>
      <c r="BD885" s="407">
        <f>IFERROR(Model!BD885/Model!BC885-1,"NA")</f>
        <v>3.5818243296054986E-2</v>
      </c>
      <c r="BE885" s="407">
        <f>IFERROR(Model!BE885/Model!BD885-1,"NA")</f>
        <v>3.8066250693949977E-2</v>
      </c>
    </row>
    <row r="886" spans="1:69" x14ac:dyDescent="0.2">
      <c r="B886" s="321"/>
      <c r="C886" s="639" t="s">
        <v>62</v>
      </c>
      <c r="D886" s="407"/>
      <c r="E886" s="407"/>
      <c r="F886" s="407"/>
      <c r="G886" s="407"/>
      <c r="H886" s="407" t="str">
        <f>IFERROR(Model!H886/Model!D886-1,"NA")</f>
        <v>NA</v>
      </c>
      <c r="I886" s="407">
        <f>IFERROR(Model!I886/Model!E886-1,"NA")</f>
        <v>7.8857471391183598E-2</v>
      </c>
      <c r="J886" s="407">
        <f>IFERROR(Model!J886/Model!F886-1,"NA")</f>
        <v>6.7806358112416865E-2</v>
      </c>
      <c r="K886" s="407">
        <f>IFERROR(Model!K886/Model!G886-1,"NA")</f>
        <v>9.8719217443134166E-2</v>
      </c>
      <c r="L886" s="407">
        <f>IFERROR(Model!L886/Model!H886-1,"NA")</f>
        <v>0.11225429426856093</v>
      </c>
      <c r="M886" s="407">
        <f>IFERROR(Model!M886/Model!I886-1,"NA")</f>
        <v>0.10359284220815534</v>
      </c>
      <c r="N886" s="407">
        <f>IFERROR(Model!N886/Model!J886-1,"NA")</f>
        <v>6.3933869925792308E-2</v>
      </c>
      <c r="O886" s="407">
        <f>IFERROR(Model!O886/Model!K886-1,"NA")</f>
        <v>2.8366989800612696E-2</v>
      </c>
      <c r="P886" s="407">
        <f>IFERROR(Model!P886/Model!L886-1,"NA")</f>
        <v>1.9439084530394446E-2</v>
      </c>
      <c r="Q886" s="407">
        <f>IFERROR(Model!Q886/Model!M886-1,"NA")</f>
        <v>1.3896106708553235E-2</v>
      </c>
      <c r="R886" s="407">
        <f>IFERROR(Model!R886/Model!N886-1,"NA")</f>
        <v>2.8555989347610611E-2</v>
      </c>
      <c r="S886" s="407">
        <f>IFERROR(Model!S886/Model!O886-1,"NA")</f>
        <v>5.0314620795311571E-2</v>
      </c>
      <c r="T886" s="407">
        <f>IFERROR(Model!T886/Model!P886-1,"NA")</f>
        <v>4.1246555403186225E-2</v>
      </c>
      <c r="U886" s="407">
        <f>IFERROR(Model!U886/Model!Q886-1,"NA")</f>
        <v>4.3346176469563513E-2</v>
      </c>
      <c r="V886" s="407">
        <f>IFERROR(Model!V886/Model!R886-1,"NA")</f>
        <v>5.7120557192848587E-2</v>
      </c>
      <c r="W886" s="407">
        <f>IFERROR(Model!W886/Model!S886-1,"NA")</f>
        <v>2.3467193391610186E-2</v>
      </c>
      <c r="X886" s="407">
        <f>IFERROR(Model!X886/Model!T886-1,"NA")</f>
        <v>2.8255891799221944E-2</v>
      </c>
      <c r="Y886" s="407">
        <f>IFERROR(Model!Y886/Model!U886-1,"NA")</f>
        <v>3.62234429819146E-2</v>
      </c>
      <c r="Z886" s="407">
        <f>IFERROR(Model!Z886/Model!V886-1,"NA")</f>
        <v>4.3954026722448525E-2</v>
      </c>
      <c r="AA886" s="407">
        <f>IFERROR(Model!AA886/Model!W886-1,"NA")</f>
        <v>8.3810428165567163E-2</v>
      </c>
      <c r="AB886" s="407">
        <f>IFERROR(Model!AB886/Model!X886-1,"NA")</f>
        <v>0.12384532997305708</v>
      </c>
      <c r="AC886" s="407">
        <f>IFERROR(Model!AC886/Model!Y886-1,"NA")</f>
        <v>0.10616082354854406</v>
      </c>
      <c r="AD886" s="407">
        <f>IFERROR(Model!AD886/Model!Z886-1,"NA")</f>
        <v>8.9230303231971453E-2</v>
      </c>
      <c r="AE886" s="407">
        <f>IFERROR(Model!AE886/Model!AA886-1,"NA")</f>
        <v>8.8028979735371937E-2</v>
      </c>
      <c r="AF886" s="407">
        <f>IFERROR(Model!AF886/Model!AB886-1,"NA")</f>
        <v>7.0052560008157183E-2</v>
      </c>
      <c r="AG886" s="407">
        <f>IFERROR(Model!AG886/Model!AC886-1,"NA")</f>
        <v>7.1846089999999529E-2</v>
      </c>
      <c r="AH886" s="407">
        <f>IFERROR(Model!AH886/Model!AD886-1,"NA")</f>
        <v>8.2406149999999734E-2</v>
      </c>
      <c r="AI886" s="407">
        <f>IFERROR(Model!AI886/Model!AE886-1,"NA")</f>
        <v>9.3070249999999799E-2</v>
      </c>
      <c r="AJ886" s="407"/>
      <c r="AK886" s="407"/>
      <c r="AL886" s="407"/>
      <c r="AM886" s="407"/>
      <c r="AN886" s="407"/>
      <c r="AO886" s="407"/>
      <c r="AP886" s="407"/>
      <c r="AQ886" s="407"/>
      <c r="AR886" s="1236"/>
      <c r="AS886" s="1284"/>
      <c r="AT886" s="1492"/>
      <c r="AU886" s="407"/>
      <c r="AV886" s="407">
        <f>IFERROR(Model!AV886/Model!AU886-1,"NA")</f>
        <v>4.0628727794637998E-2</v>
      </c>
      <c r="AW886" s="407">
        <f>IFERROR(Model!AW886/Model!AV886-1,"NA")</f>
        <v>8.2541793687281872E-2</v>
      </c>
      <c r="AX886" s="407">
        <f>IFERROR(Model!AX886/Model!AW886-1,"NA")</f>
        <v>1.9497288415904812E-2</v>
      </c>
      <c r="AY886" s="407">
        <f>IFERROR(Model!AY886/Model!AX886-1,"NA")</f>
        <v>4.602550466365618E-2</v>
      </c>
      <c r="AZ886" s="407">
        <f>IFERROR(Model!AZ886/Model!AY886-1,"NA")</f>
        <v>5.483303765237002E-2</v>
      </c>
      <c r="BA886" s="407">
        <f>IFERROR(Model!BA886/Model!AZ886-1,"NA")</f>
        <v>0.1100210305993552</v>
      </c>
      <c r="BB886" s="407">
        <f>IFERROR(Model!BB886/Model!BA886-1,"NA")</f>
        <v>9.1878883838396597E-2</v>
      </c>
      <c r="BC886" s="407">
        <f>IFERROR(Model!BC886/Model!BB886-1,"NA")</f>
        <v>5.8997928094229435E-2</v>
      </c>
      <c r="BD886" s="407">
        <f>IFERROR(Model!BD886/Model!BC886-1,"NA")</f>
        <v>7.0000000000000062E-2</v>
      </c>
      <c r="BE886" s="407">
        <f>IFERROR(Model!BE886/Model!BD886-1,"NA")</f>
        <v>6.0000000000000053E-2</v>
      </c>
    </row>
    <row r="887" spans="1:69" x14ac:dyDescent="0.2">
      <c r="B887" s="642" t="s">
        <v>29</v>
      </c>
      <c r="D887" s="1325"/>
      <c r="E887" s="1325"/>
      <c r="F887" s="1325"/>
      <c r="G887" s="1325"/>
      <c r="H887" s="1325">
        <f>IFERROR(Model!H887/Model!D887-1,"NA")</f>
        <v>-6.1019055317451665E-3</v>
      </c>
      <c r="I887" s="1325">
        <f>IFERROR(Model!I887/Model!E887-1,"NA")</f>
        <v>-5.9823346269783917E-3</v>
      </c>
      <c r="J887" s="1325">
        <f>IFERROR(Model!J887/Model!F887-1,"NA")</f>
        <v>-1.282425795952824E-2</v>
      </c>
      <c r="K887" s="1325">
        <f>IFERROR(Model!K887/Model!G887-1,"NA")</f>
        <v>1.5048393478157118E-2</v>
      </c>
      <c r="L887" s="1325">
        <f>IFERROR(Model!L887/Model!H887-1,"NA")</f>
        <v>2.4325765904740226E-2</v>
      </c>
      <c r="M887" s="1325">
        <f>IFERROR(Model!M887/Model!I887-1,"NA")</f>
        <v>3.5339446113610506E-2</v>
      </c>
      <c r="N887" s="1325">
        <f>IFERROR(Model!N887/Model!J887-1,"NA")</f>
        <v>2.1144806601244959E-2</v>
      </c>
      <c r="O887" s="1325">
        <f>IFERROR(Model!O887/Model!K887-1,"NA")</f>
        <v>-1.2932511913320122E-2</v>
      </c>
      <c r="P887" s="1325">
        <f>IFERROR(Model!P887/Model!L887-1,"NA")</f>
        <v>-3.6193688838419558E-2</v>
      </c>
      <c r="Q887" s="1325">
        <f>IFERROR(Model!Q887/Model!M887-1,"NA")</f>
        <v>-5.7204418776341193E-2</v>
      </c>
      <c r="R887" s="1325">
        <f>IFERROR(Model!R887/Model!N887-1,"NA")</f>
        <v>-5.4463497303907427E-2</v>
      </c>
      <c r="S887" s="1325">
        <f>IFERROR(Model!S887/Model!O887-1,"NA")</f>
        <v>-3.9752988157997882E-2</v>
      </c>
      <c r="T887" s="1325">
        <f>IFERROR(Model!T887/Model!P887-1,"NA")</f>
        <v>-3.5637497735739099E-2</v>
      </c>
      <c r="U887" s="1325">
        <f>IFERROR(Model!U887/Model!Q887-1,"NA")</f>
        <v>-1.0171827005578726E-2</v>
      </c>
      <c r="V887" s="1325">
        <f>IFERROR(Model!V887/Model!R887-1,"NA")</f>
        <v>2.0163509599570029E-2</v>
      </c>
      <c r="W887" s="1325">
        <f>IFERROR(Model!W887/Model!S887-1,"NA")</f>
        <v>1.7297466825185737E-3</v>
      </c>
      <c r="X887" s="1325">
        <f>IFERROR(Model!X887/Model!T887-1,"NA")</f>
        <v>1.8126878348360131E-2</v>
      </c>
      <c r="Y887" s="1325">
        <f>IFERROR(Model!Y887/Model!U887-1,"NA")</f>
        <v>2.2041479228161576E-2</v>
      </c>
      <c r="Z887" s="1325">
        <f>IFERROR(Model!Z887/Model!V887-1,"NA")</f>
        <v>1.6594025207189445E-2</v>
      </c>
      <c r="AA887" s="1325">
        <f>IFERROR(Model!AA887/Model!W887-1,"NA")</f>
        <v>4.460343626802632E-2</v>
      </c>
      <c r="AB887" s="1325">
        <f>IFERROR(Model!AB887/Model!X887-1,"NA")</f>
        <v>7.1529411009757071E-2</v>
      </c>
      <c r="AC887" s="407">
        <f>IFERROR(Model!AC887/Model!Y887-1,"NA")</f>
        <v>6.4071742064042869E-2</v>
      </c>
      <c r="AD887" s="407">
        <f>IFERROR(Model!AD887/Model!Z887-1,"NA")</f>
        <v>5.6575869420922187E-2</v>
      </c>
      <c r="AE887" s="407">
        <f>IFERROR(Model!AE887/Model!AA887-1,"NA")</f>
        <v>6.0336042685155133E-2</v>
      </c>
      <c r="AF887" s="407">
        <f>IFERROR(Model!AF887/Model!AB887-1,"NA")</f>
        <v>4.6512083654227432E-2</v>
      </c>
      <c r="AG887" s="407">
        <f>IFERROR(Model!AG887/Model!AC887-1,"NA")</f>
        <v>4.7876264895284848E-2</v>
      </c>
      <c r="AH887" s="407">
        <f>IFERROR(Model!AH887/Model!AD887-1,"NA")</f>
        <v>5.453016936251065E-2</v>
      </c>
      <c r="AI887" s="407">
        <f>IFERROR(Model!AI887/Model!AE887-1,"NA")</f>
        <v>6.1253880762641266E-2</v>
      </c>
      <c r="AJ887" s="407"/>
      <c r="AK887" s="407"/>
      <c r="AL887" s="407"/>
      <c r="AM887" s="407"/>
      <c r="AN887" s="407"/>
      <c r="AO887" s="407"/>
      <c r="AP887" s="407"/>
      <c r="AQ887" s="407"/>
      <c r="AR887" s="1236"/>
      <c r="AS887" s="1493"/>
      <c r="AT887" s="407"/>
      <c r="AU887" s="1301"/>
      <c r="AV887" s="1301">
        <f>IFERROR(Model!AV887/Model!AU887-1,"NA")</f>
        <v>-2.4739501597631497E-3</v>
      </c>
      <c r="AW887" s="1301">
        <f>IFERROR(Model!AW887/Model!AV887-1,"NA")</f>
        <v>1.6780343698810096E-2</v>
      </c>
      <c r="AX887" s="1301">
        <f>IFERROR(Model!AX887/Model!AW887-1,"NA")</f>
        <v>-4.6951093101790686E-2</v>
      </c>
      <c r="AY887" s="1301">
        <f>IFERROR(Model!AY887/Model!AX887-1,"NA")</f>
        <v>-6.1178234795180586E-3</v>
      </c>
      <c r="AZ887" s="1301">
        <f>IFERROR(Model!AZ887/Model!AY887-1,"NA")</f>
        <v>2.5354282922065874E-2</v>
      </c>
      <c r="BA887" s="1301">
        <f>IFERROR(Model!BA887/Model!AZ887-1,"NA")</f>
        <v>6.3040029879535719E-2</v>
      </c>
      <c r="BB887" s="407">
        <f>IFERROR(Model!BB887/Model!BA887-1,"NA")</f>
        <v>5.2623574325791234E-2</v>
      </c>
      <c r="BC887" s="407">
        <f>IFERROR(Model!BC887/Model!BB887-1,"NA")</f>
        <v>5.2144597188383823E-2</v>
      </c>
      <c r="BD887" s="407">
        <f>IFERROR(Model!BD887/Model!BC887-1,"NA")</f>
        <v>5.4074935084034603E-2</v>
      </c>
      <c r="BE887" s="407">
        <f>IFERROR(Model!BE887/Model!BD887-1,"NA")</f>
        <v>4.9958195143511741E-2</v>
      </c>
      <c r="BM887" s="238"/>
      <c r="BN887" s="238"/>
      <c r="BO887" s="238"/>
      <c r="BP887" s="238"/>
      <c r="BQ887" s="238"/>
    </row>
    <row r="888" spans="1:69" x14ac:dyDescent="0.2">
      <c r="B888" s="1217"/>
      <c r="C888" s="644" t="s">
        <v>354</v>
      </c>
      <c r="D888" s="1508"/>
      <c r="E888" s="1508"/>
      <c r="F888" s="1508"/>
      <c r="G888" s="1508"/>
      <c r="H888" s="1508">
        <f>IFERROR(Model!H888/Model!D888-1,"NA")</f>
        <v>-2.0390810964709294E-2</v>
      </c>
      <c r="I888" s="1508">
        <f>IFERROR(Model!I888/Model!E888-1,"NA")</f>
        <v>-1.148723752941827E-2</v>
      </c>
      <c r="J888" s="1508">
        <f>IFERROR(Model!J888/Model!F888-1,"NA")</f>
        <v>-2.6000742375993924E-2</v>
      </c>
      <c r="K888" s="1508">
        <f>IFERROR(Model!K888/Model!G888-1,"NA")</f>
        <v>-7.5205129491526801E-3</v>
      </c>
      <c r="L888" s="1508">
        <f>IFERROR(Model!L888/Model!H888-1,"NA")</f>
        <v>-5.3491319399822101E-3</v>
      </c>
      <c r="M888" s="1508">
        <f>IFERROR(Model!M888/Model!I888-1,"NA")</f>
        <v>-1.0238354360385671E-3</v>
      </c>
      <c r="N888" s="1508">
        <f>IFERROR(Model!N888/Model!J888-1,"NA")</f>
        <v>1.977591508361054E-2</v>
      </c>
      <c r="O888" s="1508">
        <f>IFERROR(Model!O888/Model!K888-1,"NA")</f>
        <v>6.095699508776864E-4</v>
      </c>
      <c r="P888" s="1508">
        <f>IFERROR(Model!P888/Model!L888-1,"NA")</f>
        <v>-1.5607933171330468E-2</v>
      </c>
      <c r="Q888" s="1508">
        <f>IFERROR(Model!Q888/Model!M888-1,"NA")</f>
        <v>-2.6017207893177297E-2</v>
      </c>
      <c r="R888" s="1508">
        <f>IFERROR(Model!R888/Model!N888-1,"NA")</f>
        <v>-3.7264429738769422E-2</v>
      </c>
      <c r="S888" s="1508">
        <f>IFERROR(Model!S888/Model!O888-1,"NA")</f>
        <v>-6.0997124384486567E-2</v>
      </c>
      <c r="T888" s="1508">
        <f>IFERROR(Model!T888/Model!P888-1,"NA")</f>
        <v>-4.0449249887172578E-2</v>
      </c>
      <c r="U888" s="1508">
        <f>IFERROR(Model!U888/Model!Q888-1,"NA")</f>
        <v>-2.1422762186856792E-2</v>
      </c>
      <c r="V888" s="1508">
        <f>IFERROR(Model!V888/Model!R888-1,"NA")</f>
        <v>-3.7989721630034001E-3</v>
      </c>
      <c r="W888" s="1508">
        <f>IFERROR(Model!W888/Model!S888-1,"NA")</f>
        <v>3.3707651815242379E-2</v>
      </c>
      <c r="X888" s="1508">
        <f>IFERROR(Model!X888/Model!T888-1,"NA")</f>
        <v>5.4031616560815232E-2</v>
      </c>
      <c r="Y888" s="1508">
        <f>IFERROR(Model!Y888/Model!U888-1,"NA")</f>
        <v>5.5083345816907991E-2</v>
      </c>
      <c r="Z888" s="1508">
        <f>IFERROR(Model!Z888/Model!V888-1,"NA")</f>
        <v>6.7135957671523583E-2</v>
      </c>
      <c r="AA888" s="1508">
        <f>IFERROR(Model!AA888/Model!W888-1,"NA")</f>
        <v>8.0158343011211386E-2</v>
      </c>
      <c r="AB888" s="1508">
        <f>IFERROR(Model!AB888/Model!X888-1,"NA")</f>
        <v>5.8470320113322982E-2</v>
      </c>
      <c r="AC888" s="1509">
        <f>IFERROR(Model!AC888/Model!Y888-1,"NA")</f>
        <v>3.1131023175166028E-2</v>
      </c>
      <c r="AD888" s="1509">
        <f>IFERROR(Model!AD888/Model!Z888-1,"NA")</f>
        <v>1.8841110287949547E-2</v>
      </c>
      <c r="AE888" s="1509">
        <f>IFERROR(Model!AE888/Model!AA888-1,"NA")</f>
        <v>1.7629635928178011E-3</v>
      </c>
      <c r="AF888" s="1509">
        <f>IFERROR(Model!AF888/Model!AB888-1,"NA")</f>
        <v>4.9999999999998934E-3</v>
      </c>
      <c r="AG888" s="1509">
        <f>IFERROR(Model!AG888/Model!AC888-1,"NA")</f>
        <v>1.0024999999999951E-2</v>
      </c>
      <c r="AH888" s="1509">
        <f>IFERROR(Model!AH888/Model!AD888-1,"NA")</f>
        <v>1.5075124999999856E-2</v>
      </c>
      <c r="AI888" s="1509">
        <f>IFERROR(Model!AI888/Model!AE888-1,"NA")</f>
        <v>2.015050062499979E-2</v>
      </c>
      <c r="AJ888" s="1449"/>
      <c r="AK888" s="1449"/>
      <c r="AL888" s="1449"/>
      <c r="AM888" s="1449"/>
      <c r="AN888" s="1449"/>
      <c r="AO888" s="1449"/>
      <c r="AP888" s="1449"/>
      <c r="AQ888" s="1449"/>
      <c r="AR888" s="1236"/>
      <c r="AS888" s="407"/>
      <c r="AT888" s="1491"/>
      <c r="AU888" s="1289"/>
      <c r="AV888" s="1289">
        <f>IFERROR(Model!AV888/Model!AU888-1,"NA")</f>
        <v>-1.6360092415268923E-2</v>
      </c>
      <c r="AW888" s="1289">
        <f>IFERROR(Model!AW888/Model!AV888-1,"NA")</f>
        <v>3.4333878221259884E-3</v>
      </c>
      <c r="AX888" s="1289">
        <f>IFERROR(Model!AX888/Model!AW888-1,"NA")</f>
        <v>-3.4963119036328094E-2</v>
      </c>
      <c r="AY888" s="1289">
        <f>IFERROR(Model!AY888/Model!AX888-1,"NA")</f>
        <v>-8.4749552487098923E-3</v>
      </c>
      <c r="AZ888" s="1289">
        <f>IFERROR(Model!AZ888/Model!AY888-1,"NA")</f>
        <v>6.4187540108192165E-2</v>
      </c>
      <c r="BA888" s="1289">
        <f>IFERROR(Model!BA888/Model!AZ888-1,"NA")</f>
        <v>2.7138036407175603E-2</v>
      </c>
      <c r="BB888" s="1509">
        <f>IFERROR(Model!BB888/Model!BA888-1,"NA")</f>
        <v>1.2562656406249761E-2</v>
      </c>
      <c r="BC888" s="1509">
        <f>IFERROR(Model!BC888/Model!BB888-1,"NA")</f>
        <v>1.0000000000000009E-2</v>
      </c>
      <c r="BD888" s="1509">
        <f>IFERROR(Model!BD888/Model!BC888-1,"NA")</f>
        <v>2.0000000000000018E-2</v>
      </c>
      <c r="BE888" s="1509">
        <f>IFERROR(Model!BE888/Model!BD888-1,"NA")</f>
        <v>2.0000000000000018E-2</v>
      </c>
    </row>
    <row r="889" spans="1:69" x14ac:dyDescent="0.2">
      <c r="B889" s="645" t="s">
        <v>355</v>
      </c>
      <c r="C889" s="643"/>
      <c r="D889" s="407"/>
      <c r="E889" s="407"/>
      <c r="F889" s="407"/>
      <c r="G889" s="407"/>
      <c r="H889" s="407">
        <f>IFERROR(Model!H889/Model!D889-1,"NA")</f>
        <v>-1.4886585343345859E-2</v>
      </c>
      <c r="I889" s="407">
        <f>IFERROR(Model!I889/Model!E889-1,"NA")</f>
        <v>-9.3718800784666767E-3</v>
      </c>
      <c r="J889" s="407">
        <f>IFERROR(Model!J889/Model!F889-1,"NA")</f>
        <v>-2.0865187272849695E-2</v>
      </c>
      <c r="K889" s="407">
        <f>IFERROR(Model!K889/Model!G889-1,"NA")</f>
        <v>1.2784162523318265E-3</v>
      </c>
      <c r="L889" s="407">
        <f>IFERROR(Model!L889/Model!H889-1,"NA")</f>
        <v>6.1838635730426805E-3</v>
      </c>
      <c r="M889" s="407">
        <f>IFERROR(Model!M889/Model!I889-1,"NA")</f>
        <v>1.2997217240145797E-2</v>
      </c>
      <c r="N889" s="407">
        <f>IFERROR(Model!N889/Model!J889-1,"NA")</f>
        <v>2.031382413964411E-2</v>
      </c>
      <c r="O889" s="407">
        <f>IFERROR(Model!O889/Model!K889-1,"NA")</f>
        <v>-4.742683068645448E-3</v>
      </c>
      <c r="P889" s="407">
        <f>IFERROR(Model!P889/Model!L889-1,"NA")</f>
        <v>-2.3752733711703278E-2</v>
      </c>
      <c r="Q889" s="407">
        <f>IFERROR(Model!Q889/Model!M889-1,"NA")</f>
        <v>-3.8307680912525011E-2</v>
      </c>
      <c r="R889" s="407">
        <f>IFERROR(Model!R889/Model!N889-1,"NA")</f>
        <v>-4.4028347026122017E-2</v>
      </c>
      <c r="S889" s="407">
        <f>IFERROR(Model!S889/Model!O889-1,"NA")</f>
        <v>-5.2669871628857168E-2</v>
      </c>
      <c r="T889" s="407">
        <f>IFERROR(Model!T889/Model!P889-1,"NA")</f>
        <v>-3.8569730440111361E-2</v>
      </c>
      <c r="U889" s="407">
        <f>IFERROR(Model!U889/Model!Q889-1,"NA")</f>
        <v>-1.7076038092984747E-2</v>
      </c>
      <c r="V889" s="407">
        <f>IFERROR(Model!V889/Model!R889-1,"NA")</f>
        <v>5.5219410868119212E-3</v>
      </c>
      <c r="W889" s="407">
        <f>IFERROR(Model!W889/Model!S889-1,"NA")</f>
        <v>2.1002077701457011E-2</v>
      </c>
      <c r="X889" s="407">
        <f>IFERROR(Model!X889/Model!T889-1,"NA")</f>
        <v>3.9964086142063149E-2</v>
      </c>
      <c r="Y889" s="407">
        <f>IFERROR(Model!Y889/Model!U889-1,"NA")</f>
        <v>4.2228173177822903E-2</v>
      </c>
      <c r="Z889" s="407">
        <f>IFERROR(Model!Z889/Model!V889-1,"NA")</f>
        <v>4.7189914841766045E-2</v>
      </c>
      <c r="AA889" s="407">
        <f>IFERROR(Model!AA889/Model!W889-1,"NA")</f>
        <v>6.6298198048976076E-2</v>
      </c>
      <c r="AB889" s="407">
        <f>IFERROR(Model!AB889/Model!X889-1,"NA")</f>
        <v>6.3479453588968449E-2</v>
      </c>
      <c r="AC889" s="407">
        <f>IFERROR(Model!AC889/Model!Y889-1,"NA")</f>
        <v>4.3698616707174898E-2</v>
      </c>
      <c r="AD889" s="407">
        <f>IFERROR(Model!AD889/Model!Z889-1,"NA")</f>
        <v>3.329779096207286E-2</v>
      </c>
      <c r="AE889" s="407">
        <f>IFERROR(Model!AE889/Model!AA889-1,"NA")</f>
        <v>2.4131576720571646E-2</v>
      </c>
      <c r="AF889" s="407">
        <f>IFERROR(Model!AF889/Model!AB889-1,"NA")</f>
        <v>2.1043502435286632E-2</v>
      </c>
      <c r="AG889" s="407">
        <f>IFERROR(Model!AG889/Model!AC889-1,"NA")</f>
        <v>2.4747964079316676E-2</v>
      </c>
      <c r="AH889" s="407">
        <f>IFERROR(Model!AH889/Model!AD889-1,"NA")</f>
        <v>3.0531396186273652E-2</v>
      </c>
      <c r="AI889" s="407">
        <f>IFERROR(Model!AI889/Model!AE889-1,"NA")</f>
        <v>3.6402481716700352E-2</v>
      </c>
      <c r="AJ889" s="407"/>
      <c r="AK889" s="407"/>
      <c r="AL889" s="407"/>
      <c r="AM889" s="407"/>
      <c r="AN889" s="407"/>
      <c r="AO889" s="407"/>
      <c r="AP889" s="407"/>
      <c r="AQ889" s="407"/>
      <c r="AR889" s="1236"/>
      <c r="AS889" s="1493"/>
      <c r="AT889" s="1263"/>
      <c r="AU889" s="407"/>
      <c r="AV889" s="407">
        <f>IFERROR(Model!AV889/Model!AU889-1,"NA")</f>
        <v>-1.0982437317199834E-2</v>
      </c>
      <c r="AW889" s="407">
        <f>IFERROR(Model!AW889/Model!AV889-1,"NA")</f>
        <v>8.6467008402861811E-3</v>
      </c>
      <c r="AX889" s="407">
        <f>IFERROR(Model!AX889/Model!AW889-1,"NA")</f>
        <v>-3.9683373821588486E-2</v>
      </c>
      <c r="AY889" s="407">
        <f>IFERROR(Model!AY889/Model!AX889-1,"NA")</f>
        <v>-7.553860625114206E-3</v>
      </c>
      <c r="AZ889" s="407">
        <f>IFERROR(Model!AZ889/Model!AY889-1,"NA")</f>
        <v>4.8990739655742299E-2</v>
      </c>
      <c r="BA889" s="407">
        <f>IFERROR(Model!BA889/Model!AZ889-1,"NA")</f>
        <v>4.0871155963311034E-2</v>
      </c>
      <c r="BB889" s="407">
        <f>IFERROR(Model!BB889/Model!BA889-1,"NA")</f>
        <v>2.8213010868165966E-2</v>
      </c>
      <c r="BC889" s="407">
        <f>IFERROR(Model!BC889/Model!BB889-1,"NA")</f>
        <v>2.6855249536858583E-2</v>
      </c>
      <c r="BD889" s="407">
        <f>IFERROR(Model!BD889/Model!BC889-1,"NA")</f>
        <v>3.3963507354545452E-2</v>
      </c>
      <c r="BE889" s="407">
        <f>IFERROR(Model!BE889/Model!BD889-1,"NA")</f>
        <v>3.2515303954525399E-2</v>
      </c>
      <c r="BM889" s="238"/>
      <c r="BN889" s="238"/>
      <c r="BO889" s="238"/>
      <c r="BP889" s="238"/>
      <c r="BQ889" s="238"/>
    </row>
    <row r="890" spans="1:69" x14ac:dyDescent="0.2">
      <c r="B890" s="644"/>
      <c r="C890" s="643"/>
      <c r="D890" s="407"/>
      <c r="E890" s="407"/>
      <c r="F890" s="407"/>
      <c r="G890" s="407"/>
      <c r="H890" s="407"/>
      <c r="I890" s="407"/>
      <c r="J890" s="407"/>
      <c r="K890" s="407"/>
      <c r="L890" s="407"/>
      <c r="M890" s="407"/>
      <c r="N890" s="407"/>
      <c r="O890" s="407"/>
      <c r="P890" s="407"/>
      <c r="Q890" s="407"/>
      <c r="R890" s="407"/>
      <c r="S890" s="407"/>
      <c r="T890" s="407"/>
      <c r="U890" s="407"/>
      <c r="V890" s="407"/>
      <c r="W890" s="407"/>
      <c r="X890" s="407"/>
      <c r="Y890" s="407"/>
      <c r="Z890" s="407"/>
      <c r="AA890" s="407"/>
      <c r="AB890" s="407"/>
      <c r="AC890" s="407"/>
      <c r="AD890" s="407"/>
      <c r="AE890" s="407"/>
      <c r="AF890" s="407"/>
      <c r="AG890" s="407"/>
      <c r="AH890" s="407"/>
      <c r="AI890" s="407"/>
      <c r="AJ890" s="407"/>
      <c r="AK890" s="407"/>
      <c r="AL890" s="407"/>
      <c r="AM890" s="407"/>
      <c r="AN890" s="407"/>
      <c r="AO890" s="407"/>
      <c r="AP890" s="407"/>
      <c r="AQ890" s="407"/>
      <c r="AR890" s="1236"/>
      <c r="AS890" s="1491"/>
      <c r="AT890" s="1263"/>
      <c r="AU890" s="1236"/>
      <c r="AV890" s="1236"/>
      <c r="AW890" s="1236"/>
      <c r="AX890" s="1236"/>
      <c r="AY890" s="1236"/>
      <c r="AZ890" s="1236"/>
      <c r="BA890" s="1236"/>
      <c r="BB890" s="407"/>
      <c r="BC890" s="407"/>
      <c r="BD890" s="407"/>
      <c r="BE890" s="407"/>
    </row>
    <row r="891" spans="1:69" x14ac:dyDescent="0.2">
      <c r="B891" s="634" t="s">
        <v>11</v>
      </c>
      <c r="D891" s="407"/>
      <c r="E891" s="407"/>
      <c r="F891" s="407"/>
      <c r="G891" s="407"/>
      <c r="H891" s="407" t="str">
        <f>IFERROR(Model!H891/Model!D891-1,"NA")</f>
        <v>NA</v>
      </c>
      <c r="I891" s="407">
        <f>IFERROR(Model!I891/Model!E891-1,"NA")</f>
        <v>-0.19996115201921205</v>
      </c>
      <c r="J891" s="407">
        <f>IFERROR(Model!J891/Model!F891-1,"NA")</f>
        <v>-0.21189306331384161</v>
      </c>
      <c r="K891" s="407">
        <f>IFERROR(Model!K891/Model!G891-1,"NA")</f>
        <v>-0.21642560977983683</v>
      </c>
      <c r="L891" s="407">
        <f>IFERROR(Model!L891/Model!H891-1,"NA")</f>
        <v>-0.21574966451140665</v>
      </c>
      <c r="M891" s="407">
        <f>IFERROR(Model!M891/Model!I891-1,"NA")</f>
        <v>-0.18747654887765686</v>
      </c>
      <c r="N891" s="407">
        <f>IFERROR(Model!N891/Model!J891-1,"NA")</f>
        <v>-0.17494370036742923</v>
      </c>
      <c r="O891" s="407">
        <f>IFERROR(Model!O891/Model!K891-1,"NA")</f>
        <v>-0.18244602886741357</v>
      </c>
      <c r="P891" s="407">
        <f>IFERROR(Model!P891/Model!L891-1,"NA")</f>
        <v>-0.20686526146586814</v>
      </c>
      <c r="Q891" s="407">
        <f>IFERROR(Model!Q891/Model!M891-1,"NA")</f>
        <v>-0.22111753999945671</v>
      </c>
      <c r="R891" s="407">
        <f>IFERROR(Model!R891/Model!N891-1,"NA")</f>
        <v>-0.20410860508547624</v>
      </c>
      <c r="S891" s="407">
        <f>IFERROR(Model!S891/Model!O891-1,"NA")</f>
        <v>-0.20228508918532928</v>
      </c>
      <c r="T891" s="407">
        <f>IFERROR(Model!T891/Model!P891-1,"NA")</f>
        <v>-0.17174424686192469</v>
      </c>
      <c r="U891" s="407">
        <f>IFERROR(Model!U891/Model!Q891-1,"NA")</f>
        <v>-0.12754158964879847</v>
      </c>
      <c r="V891" s="407">
        <f>IFERROR(Model!V891/Model!R891-1,"NA")</f>
        <v>-0.10678314862279337</v>
      </c>
      <c r="W891" s="407">
        <f>IFERROR(Model!W891/Model!S891-1,"NA")</f>
        <v>-6.6775864696023146E-2</v>
      </c>
      <c r="X891" s="407">
        <f>IFERROR(Model!X891/Model!T891-1,"NA")</f>
        <v>-4.9254084773857398E-2</v>
      </c>
      <c r="Y891" s="407">
        <f>IFERROR(Model!Y891/Model!U891-1,"NA")</f>
        <v>-3.841541413495364E-2</v>
      </c>
      <c r="Z891" s="407">
        <f>IFERROR(Model!Z891/Model!V891-1,"NA")</f>
        <v>-1.422624580689491E-2</v>
      </c>
      <c r="AA891" s="407">
        <f>IFERROR(Model!AA891/Model!W891-1,"NA")</f>
        <v>9.0615943507899033E-3</v>
      </c>
      <c r="AB891" s="407">
        <f>IFERROR(Model!AB891/Model!X891-1,"NA")</f>
        <v>2.569530925695318E-2</v>
      </c>
      <c r="AC891" s="407">
        <f>IFERROR(Model!AC891/Model!Y891-1,"NA")</f>
        <v>3.4493223163811315E-2</v>
      </c>
      <c r="AD891" s="407">
        <f>IFERROR(Model!AD891/Model!Z891-1,"NA")</f>
        <v>3.5096556175513438E-2</v>
      </c>
      <c r="AE891" s="407">
        <f>IFERROR(Model!AE891/Model!AA891-1,"NA")</f>
        <v>3.6955960114291919E-2</v>
      </c>
      <c r="AF891" s="407">
        <f>IFERROR(Model!AF891/Model!AB891-1,"NA")</f>
        <v>5.3056205458364314E-2</v>
      </c>
      <c r="AG891" s="407">
        <f>IFERROR(Model!AG891/Model!AC891-1,"NA")</f>
        <v>6.0939944862415052E-2</v>
      </c>
      <c r="AH891" s="407">
        <f>IFERROR(Model!AH891/Model!AD891-1,"NA")</f>
        <v>6.1890964312422359E-2</v>
      </c>
      <c r="AI891" s="407">
        <f>IFERROR(Model!AI891/Model!AE891-1,"NA")</f>
        <v>6.2652106200027813E-2</v>
      </c>
      <c r="AJ891" s="407"/>
      <c r="AK891" s="407"/>
      <c r="AL891" s="407"/>
      <c r="AM891" s="407"/>
      <c r="AN891" s="407"/>
      <c r="AO891" s="407"/>
      <c r="AP891" s="407"/>
      <c r="AQ891" s="407"/>
      <c r="AR891" s="1236"/>
      <c r="AS891" s="1491"/>
      <c r="AT891" s="407"/>
      <c r="AU891" s="1301"/>
      <c r="AV891" s="1301">
        <f>IFERROR(Model!AV891/Model!AU891-1,"NA")</f>
        <v>-0.17850509815574911</v>
      </c>
      <c r="AW891" s="1301">
        <f>IFERROR(Model!AW891/Model!AV891-1,"NA")</f>
        <v>-0.19120315158229095</v>
      </c>
      <c r="AX891" s="1301">
        <f>IFERROR(Model!AX891/Model!AW891-1,"NA")</f>
        <v>-0.20880794979664286</v>
      </c>
      <c r="AY891" s="1301">
        <f>IFERROR(Model!AY891/Model!AX891-1,"NA")</f>
        <v>-0.12031655743786329</v>
      </c>
      <c r="AZ891" s="1301">
        <f>IFERROR(Model!AZ891/Model!AY891-1,"NA")</f>
        <v>-2.3484878910799645E-2</v>
      </c>
      <c r="BA891" s="1301">
        <f>IFERROR(Model!BA891/Model!AZ891-1,"NA")</f>
        <v>3.3091323759398605E-2</v>
      </c>
      <c r="BB891" s="407">
        <f>IFERROR(Model!BB891/Model!BA891-1,"NA")</f>
        <v>5.9676965201170384E-2</v>
      </c>
      <c r="BC891" s="407">
        <f>IFERROR(Model!BC891/Model!BB891-1,"NA")</f>
        <v>6.6219671702530514E-2</v>
      </c>
      <c r="BD891" s="407">
        <f>IFERROR(Model!BD891/Model!BC891-1,"NA")</f>
        <v>6.8263865927641554E-2</v>
      </c>
      <c r="BE891" s="407">
        <f>IFERROR(Model!BE891/Model!BD891-1,"NA")</f>
        <v>7.08297620261642E-2</v>
      </c>
    </row>
    <row r="892" spans="1:69" x14ac:dyDescent="0.2">
      <c r="B892" s="646" t="s">
        <v>61</v>
      </c>
      <c r="C892" s="643"/>
      <c r="D892" s="407"/>
      <c r="E892" s="407"/>
      <c r="F892" s="407"/>
      <c r="G892" s="407"/>
      <c r="H892" s="407" t="str">
        <f>IFERROR(Model!H892/Model!D892-1,"NA")</f>
        <v>NA</v>
      </c>
      <c r="I892" s="407">
        <f>IFERROR(Model!I892/Model!E892-1,"NA")</f>
        <v>-1.7994658140486952E-2</v>
      </c>
      <c r="J892" s="407">
        <f>IFERROR(Model!J892/Model!F892-1,"NA")</f>
        <v>-2.7316237985913872E-2</v>
      </c>
      <c r="K892" s="407">
        <f>IFERROR(Model!K892/Model!G892-1,"NA")</f>
        <v>-2.8708226719392105E-2</v>
      </c>
      <c r="L892" s="407">
        <f>IFERROR(Model!L892/Model!H892-1,"NA")</f>
        <v>-2.2093182395839461E-2</v>
      </c>
      <c r="M892" s="407">
        <f>IFERROR(Model!M892/Model!I892-1,"NA")</f>
        <v>-5.4595989676394785E-3</v>
      </c>
      <c r="N892" s="407">
        <f>IFERROR(Model!N892/Model!J892-1,"NA")</f>
        <v>-8.1409769172300361E-3</v>
      </c>
      <c r="O892" s="407">
        <f>IFERROR(Model!O892/Model!K892-1,"NA")</f>
        <v>-4.02139421637695E-2</v>
      </c>
      <c r="P892" s="407">
        <f>IFERROR(Model!P892/Model!L892-1,"NA")</f>
        <v>-6.547773756922648E-2</v>
      </c>
      <c r="Q892" s="407">
        <f>IFERROR(Model!Q892/Model!M892-1,"NA")</f>
        <v>-7.8510829424094264E-2</v>
      </c>
      <c r="R892" s="407">
        <f>IFERROR(Model!R892/Model!N892-1,"NA")</f>
        <v>-8.3308125113436993E-2</v>
      </c>
      <c r="S892" s="407">
        <f>IFERROR(Model!S892/Model!O892-1,"NA")</f>
        <v>-6.8597687765116877E-2</v>
      </c>
      <c r="T892" s="407">
        <f>IFERROR(Model!T892/Model!P892-1,"NA")</f>
        <v>-3.8894356253476481E-2</v>
      </c>
      <c r="U892" s="407">
        <f>IFERROR(Model!U892/Model!Q892-1,"NA")</f>
        <v>-2.3634157965426117E-2</v>
      </c>
      <c r="V892" s="407">
        <f>IFERROR(Model!V892/Model!R892-1,"NA")</f>
        <v>-9.2617036254839524E-3</v>
      </c>
      <c r="W892" s="407">
        <f>IFERROR(Model!W892/Model!S892-1,"NA")</f>
        <v>-1.3283325519612421E-2</v>
      </c>
      <c r="X892" s="407">
        <f>IFERROR(Model!X892/Model!T892-1,"NA")</f>
        <v>-2.2259816579111358E-2</v>
      </c>
      <c r="Y892" s="407">
        <f>IFERROR(Model!Y892/Model!U892-1,"NA")</f>
        <v>-1.0139557586918424E-2</v>
      </c>
      <c r="Z892" s="407">
        <f>IFERROR(Model!Z892/Model!V892-1,"NA")</f>
        <v>-7.5718885311424344E-3</v>
      </c>
      <c r="AA892" s="407">
        <f>IFERROR(Model!AA892/Model!W892-1,"NA")</f>
        <v>9.1180596407076653E-3</v>
      </c>
      <c r="AB892" s="407">
        <f>IFERROR(Model!AB892/Model!X892-1,"NA")</f>
        <v>2.2561697477461173E-2</v>
      </c>
      <c r="AC892" s="407">
        <f>IFERROR(Model!AC892/Model!Y892-1,"NA")</f>
        <v>1.5779800062760474E-2</v>
      </c>
      <c r="AD892" s="407">
        <f>IFERROR(Model!AD892/Model!Z892-1,"NA")</f>
        <v>1.3961605584642323E-2</v>
      </c>
      <c r="AE892" s="407">
        <f>IFERROR(Model!AE892/Model!AA892-1,"NA")</f>
        <v>1.6075872738279484E-2</v>
      </c>
      <c r="AF892" s="407">
        <f>IFERROR(Model!AF892/Model!AB892-1,"NA")</f>
        <v>8.9725036179451045E-3</v>
      </c>
      <c r="AG892" s="407">
        <f>IFERROR(Model!AG892/Model!AC892-1,"NA")</f>
        <v>0</v>
      </c>
      <c r="AH892" s="407">
        <f>IFERROR(Model!AH892/Model!AD892-1,"NA")</f>
        <v>0</v>
      </c>
      <c r="AI892" s="407">
        <f>IFERROR(Model!AI892/Model!AE892-1,"NA")</f>
        <v>0</v>
      </c>
      <c r="AJ892" s="407"/>
      <c r="AK892" s="407"/>
      <c r="AL892" s="407"/>
      <c r="AM892" s="407"/>
      <c r="AN892" s="407"/>
      <c r="AO892" s="407"/>
      <c r="AP892" s="407"/>
      <c r="AQ892" s="407"/>
      <c r="AR892" s="1236"/>
      <c r="AS892" s="1491"/>
      <c r="AT892" s="1263"/>
      <c r="AU892" s="1301"/>
      <c r="AV892" s="1301">
        <f>IFERROR(Model!AV892/Model!AU892-1,"NA")</f>
        <v>-1.9869846187750784E-2</v>
      </c>
      <c r="AW892" s="1301">
        <f>IFERROR(Model!AW892/Model!AV892-1,"NA")</f>
        <v>-1.8981440149193007E-2</v>
      </c>
      <c r="AX892" s="1301">
        <f>IFERROR(Model!AX892/Model!AW892-1,"NA")</f>
        <v>-7.4007411864038253E-2</v>
      </c>
      <c r="AY892" s="1301">
        <f>IFERROR(Model!AY892/Model!AX892-1,"NA")</f>
        <v>-2.143017040397921E-2</v>
      </c>
      <c r="AZ892" s="1301">
        <f>IFERROR(Model!AZ892/Model!AY892-1,"NA")</f>
        <v>-7.7833820608387283E-3</v>
      </c>
      <c r="BA892" s="1301">
        <f>IFERROR(Model!BA892/Model!AZ892-1,"NA")</f>
        <v>1.7072196948822782E-2</v>
      </c>
      <c r="BB892" s="407">
        <f>IFERROR(Model!BB892/Model!BA892-1,"NA")</f>
        <v>2.228131962912494E-3</v>
      </c>
      <c r="BC892" s="407">
        <f>IFERROR(Model!BC892/Model!BB892-1,"NA")</f>
        <v>0</v>
      </c>
      <c r="BD892" s="407">
        <f>IFERROR(Model!BD892/Model!BC892-1,"NA")</f>
        <v>0</v>
      </c>
      <c r="BE892" s="407">
        <f>IFERROR(Model!BE892/Model!BD892-1,"NA")</f>
        <v>0</v>
      </c>
    </row>
    <row r="893" spans="1:69" x14ac:dyDescent="0.2">
      <c r="B893" s="646" t="s">
        <v>93</v>
      </c>
      <c r="C893" s="647"/>
      <c r="D893" s="407"/>
      <c r="E893" s="407"/>
      <c r="F893" s="407"/>
      <c r="G893" s="407"/>
      <c r="H893" s="407" t="str">
        <f>IFERROR(Model!H893/Model!D893-1,"NA")</f>
        <v>NA</v>
      </c>
      <c r="I893" s="407">
        <f>IFERROR(Model!I893/Model!E893-1,"NA")</f>
        <v>-0.1695441164770467</v>
      </c>
      <c r="J893" s="407">
        <f>IFERROR(Model!J893/Model!F893-1,"NA")</f>
        <v>-0.18565888274610121</v>
      </c>
      <c r="K893" s="407">
        <f>IFERROR(Model!K893/Model!G893-1,"NA")</f>
        <v>-0.14716981132075468</v>
      </c>
      <c r="L893" s="407">
        <f>IFERROR(Model!L893/Model!H893-1,"NA")</f>
        <v>-0.10821230051999287</v>
      </c>
      <c r="M893" s="407">
        <f>IFERROR(Model!M893/Model!I893-1,"NA")</f>
        <v>-8.0954205786549105E-2</v>
      </c>
      <c r="N893" s="407">
        <f>IFERROR(Model!N893/Model!J893-1,"NA")</f>
        <v>-6.5052183605228464E-2</v>
      </c>
      <c r="O893" s="407">
        <f>IFERROR(Model!O893/Model!K893-1,"NA")</f>
        <v>-8.5780370072405465E-2</v>
      </c>
      <c r="P893" s="407">
        <f>IFERROR(Model!P893/Model!L893-1,"NA")</f>
        <v>-0.11430582085050767</v>
      </c>
      <c r="Q893" s="407">
        <f>IFERROR(Model!Q893/Model!M893-1,"NA")</f>
        <v>-0.13322214114458464</v>
      </c>
      <c r="R893" s="407">
        <f>IFERROR(Model!R893/Model!N893-1,"NA")</f>
        <v>-0.13828980166901483</v>
      </c>
      <c r="S893" s="407">
        <f>IFERROR(Model!S893/Model!O893-1,"NA")</f>
        <v>-0.16389836101638988</v>
      </c>
      <c r="T893" s="407">
        <f>IFERROR(Model!T893/Model!P893-1,"NA")</f>
        <v>-0.18115777525539156</v>
      </c>
      <c r="U893" s="407">
        <f>IFERROR(Model!U893/Model!Q893-1,"NA")</f>
        <v>8.4064942874323423E-2</v>
      </c>
      <c r="V893" s="407">
        <f>IFERROR(Model!V893/Model!R893-1,"NA")</f>
        <v>0.36825556533769332</v>
      </c>
      <c r="W893" s="407">
        <f>IFERROR(Model!W893/Model!S893-1,"NA")</f>
        <v>0.37771345875542695</v>
      </c>
      <c r="X893" s="407">
        <f>IFERROR(Model!X893/Model!T893-1,"NA")</f>
        <v>0.40379817022456344</v>
      </c>
      <c r="Y893" s="407">
        <f>IFERROR(Model!Y893/Model!U893-1,"NA")</f>
        <v>9.8291546483248338E-2</v>
      </c>
      <c r="Z893" s="407">
        <f>IFERROR(Model!Z893/Model!V893-1,"NA")</f>
        <v>-0.11581946870116744</v>
      </c>
      <c r="AA893" s="407">
        <f>IFERROR(Model!AA893/Model!W893-1,"NA")</f>
        <v>-0.11000763941940417</v>
      </c>
      <c r="AB893" s="407">
        <f>IFERROR(Model!AB893/Model!X893-1,"NA")</f>
        <v>-0.10753431420953885</v>
      </c>
      <c r="AC893" s="407">
        <f>IFERROR(Model!AC893/Model!Y893-1,"NA")</f>
        <v>-0.10101010101010099</v>
      </c>
      <c r="AD893" s="407">
        <f>IFERROR(Model!AD893/Model!Z893-1,"NA")</f>
        <v>-7.4747894791558411E-2</v>
      </c>
      <c r="AE893" s="407">
        <f>IFERROR(Model!AE893/Model!AA893-1,"NA")</f>
        <v>-4.5064377682403456E-2</v>
      </c>
      <c r="AF893" s="407">
        <f>IFERROR(Model!AF893/Model!AB893-1,"NA")</f>
        <v>-1.526886479309586E-2</v>
      </c>
      <c r="AG893" s="407">
        <f>IFERROR(Model!AG893/Model!AC893-1,"NA")</f>
        <v>0</v>
      </c>
      <c r="AH893" s="407">
        <f>IFERROR(Model!AH893/Model!AD893-1,"NA")</f>
        <v>0</v>
      </c>
      <c r="AI893" s="407">
        <f>IFERROR(Model!AI893/Model!AE893-1,"NA")</f>
        <v>0</v>
      </c>
      <c r="AJ893" s="407"/>
      <c r="AK893" s="407"/>
      <c r="AL893" s="407"/>
      <c r="AM893" s="407"/>
      <c r="AN893" s="407"/>
      <c r="AO893" s="407"/>
      <c r="AP893" s="407"/>
      <c r="AQ893" s="407"/>
      <c r="AR893" s="1236"/>
      <c r="AS893" s="1491"/>
      <c r="AT893" s="1494"/>
      <c r="AU893" s="1301"/>
      <c r="AV893" s="1301">
        <f>IFERROR(Model!AV893/Model!AU893-1,"NA")</f>
        <v>-0.14565450643776823</v>
      </c>
      <c r="AW893" s="1301">
        <f>IFERROR(Model!AW893/Model!AV893-1,"NA")</f>
        <v>-8.5665982369279026E-2</v>
      </c>
      <c r="AX893" s="1301">
        <f>IFERROR(Model!AX893/Model!AW893-1,"NA")</f>
        <v>-0.1368535052036558</v>
      </c>
      <c r="AY893" s="1301">
        <f>IFERROR(Model!AY893/Model!AX893-1,"NA")</f>
        <v>0.15001377115402281</v>
      </c>
      <c r="AZ893" s="1301">
        <f>IFERROR(Model!AZ893/Model!AY893-1,"NA")</f>
        <v>3.6908911892280294E-2</v>
      </c>
      <c r="BA893" s="1301">
        <f>IFERROR(Model!BA893/Model!AZ893-1,"NA")</f>
        <v>-8.2841451521839526E-2</v>
      </c>
      <c r="BB893" s="407">
        <f>IFERROR(Model!BB893/Model!BA893-1,"NA")</f>
        <v>-3.8614360064916919E-3</v>
      </c>
      <c r="BC893" s="407">
        <f>IFERROR(Model!BC893/Model!BB893-1,"NA")</f>
        <v>0</v>
      </c>
      <c r="BD893" s="407">
        <f>IFERROR(Model!BD893/Model!BC893-1,"NA")</f>
        <v>0</v>
      </c>
      <c r="BE893" s="407">
        <f>IFERROR(Model!BE893/Model!BD893-1,"NA")</f>
        <v>0</v>
      </c>
    </row>
    <row r="894" spans="1:69" x14ac:dyDescent="0.2">
      <c r="B894" s="646" t="s">
        <v>99</v>
      </c>
      <c r="C894" s="647"/>
      <c r="D894" s="407"/>
      <c r="E894" s="407"/>
      <c r="F894" s="407"/>
      <c r="G894" s="407"/>
      <c r="H894" s="407" t="str">
        <f>IFERROR(Model!H894/Model!D894-1,"NA")</f>
        <v>NA</v>
      </c>
      <c r="I894" s="407">
        <f>IFERROR(Model!I894/Model!E894-1,"NA")</f>
        <v>-1.6846921797004977E-2</v>
      </c>
      <c r="J894" s="407">
        <f>IFERROR(Model!J894/Model!F894-1,"NA")</f>
        <v>0.26430517711171664</v>
      </c>
      <c r="K894" s="407">
        <f>IFERROR(Model!K894/Model!G894-1,"NA")</f>
        <v>0.37182806835836346</v>
      </c>
      <c r="L894" s="407">
        <f>IFERROR(Model!L894/Model!H894-1,"NA")</f>
        <v>0.27961399276236421</v>
      </c>
      <c r="M894" s="407">
        <f>IFERROR(Model!M894/Model!I894-1,"NA")</f>
        <v>2.982864396022844E-2</v>
      </c>
      <c r="N894" s="407">
        <f>IFERROR(Model!N894/Model!J894-1,"NA")</f>
        <v>-0.14282915360501569</v>
      </c>
      <c r="O894" s="407">
        <f>IFERROR(Model!O894/Model!K894-1,"NA")</f>
        <v>-0.25670064175160434</v>
      </c>
      <c r="P894" s="407">
        <f>IFERROR(Model!P894/Model!L894-1,"NA")</f>
        <v>-0.33446455505279038</v>
      </c>
      <c r="Q894" s="407">
        <f>IFERROR(Model!Q894/Model!M894-1,"NA")</f>
        <v>-0.25862777321281838</v>
      </c>
      <c r="R894" s="407">
        <f>IFERROR(Model!R894/Model!N894-1,"NA")</f>
        <v>-0.15657142857142858</v>
      </c>
      <c r="S894" s="407">
        <f>IFERROR(Model!S894/Model!O894-1,"NA")</f>
        <v>-9.9288979177247327E-2</v>
      </c>
      <c r="T894" s="407">
        <f>IFERROR(Model!T894/Model!P894-1,"NA")</f>
        <v>-6.3739376770538203E-2</v>
      </c>
      <c r="U894" s="407">
        <f>IFERROR(Model!U894/Model!Q894-1,"NA")</f>
        <v>-0.21086173455250767</v>
      </c>
      <c r="V894" s="407">
        <f>IFERROR(Model!V894/Model!R894-1,"NA")</f>
        <v>-0.29701897018970191</v>
      </c>
      <c r="W894" s="407">
        <f>IFERROR(Model!W894/Model!S894-1,"NA")</f>
        <v>-0.20101494220467997</v>
      </c>
      <c r="X894" s="407">
        <f>IFERROR(Model!X894/Model!T894-1,"NA")</f>
        <v>-0.35521936459909231</v>
      </c>
      <c r="Y894" s="407">
        <f>IFERROR(Model!Y894/Model!U894-1,"NA")</f>
        <v>-0.60428370786516861</v>
      </c>
      <c r="Z894" s="407">
        <f>IFERROR(Model!Z894/Model!V894-1,"NA")</f>
        <v>-0.57093292212798774</v>
      </c>
      <c r="AA894" s="407">
        <f>IFERROR(Model!AA894/Model!W894-1,"NA")</f>
        <v>-0.60797459421312627</v>
      </c>
      <c r="AB894" s="407">
        <f>IFERROR(Model!AB894/Model!X894-1,"NA")</f>
        <v>-0.46269357109338338</v>
      </c>
      <c r="AC894" s="407">
        <f>IFERROR(Model!AC894/Model!Y894-1,"NA")</f>
        <v>4.1703637976929997E-2</v>
      </c>
      <c r="AD894" s="407">
        <f>IFERROR(Model!AD894/Model!Z894-1,"NA")</f>
        <v>5.4806828391734008E-2</v>
      </c>
      <c r="AE894" s="407">
        <f>IFERROR(Model!AE894/Model!AA894-1,"NA")</f>
        <v>5.6705670567056776E-2</v>
      </c>
      <c r="AF894" s="407">
        <f>IFERROR(Model!AF894/Model!AB894-1,"NA")</f>
        <v>2.532751091703056E-2</v>
      </c>
      <c r="AG894" s="407">
        <f>IFERROR(Model!AG894/Model!AC894-1,"NA")</f>
        <v>0</v>
      </c>
      <c r="AH894" s="407">
        <f>IFERROR(Model!AH894/Model!AD894-1,"NA")</f>
        <v>0</v>
      </c>
      <c r="AI894" s="407">
        <f>IFERROR(Model!AI894/Model!AE894-1,"NA")</f>
        <v>0</v>
      </c>
      <c r="AJ894" s="407"/>
      <c r="AK894" s="407"/>
      <c r="AL894" s="407"/>
      <c r="AM894" s="407"/>
      <c r="AN894" s="407"/>
      <c r="AO894" s="407"/>
      <c r="AP894" s="407"/>
      <c r="AQ894" s="407"/>
      <c r="AR894" s="1236"/>
      <c r="AS894" s="1491"/>
      <c r="AT894" s="1494"/>
      <c r="AU894" s="1301"/>
      <c r="AV894" s="1301">
        <f>IFERROR(Model!AV894/Model!AU894-1,"NA")</f>
        <v>0.13760132210592579</v>
      </c>
      <c r="AW894" s="1301">
        <f>IFERROR(Model!AW894/Model!AV894-1,"NA")</f>
        <v>-4.0935975926118084E-2</v>
      </c>
      <c r="AX894" s="1301">
        <f>IFERROR(Model!AX894/Model!AW894-1,"NA")</f>
        <v>-0.22228834189883695</v>
      </c>
      <c r="AY894" s="1301">
        <f>IFERROR(Model!AY894/Model!AX894-1,"NA")</f>
        <v>-0.19442125765164164</v>
      </c>
      <c r="AZ894" s="1301">
        <f>IFERROR(Model!AZ894/Model!AY894-1,"NA")</f>
        <v>-0.52663845954580779</v>
      </c>
      <c r="BA894" s="1301">
        <f>IFERROR(Model!BA894/Model!AZ894-1,"NA")</f>
        <v>-0.14866836920831816</v>
      </c>
      <c r="BB894" s="407">
        <f>IFERROR(Model!BB894/Model!BA894-1,"NA")</f>
        <v>6.2138418684378749E-3</v>
      </c>
      <c r="BC894" s="407">
        <f>IFERROR(Model!BC894/Model!BB894-1,"NA")</f>
        <v>0</v>
      </c>
      <c r="BD894" s="407">
        <f>IFERROR(Model!BD894/Model!BC894-1,"NA")</f>
        <v>0</v>
      </c>
      <c r="BE894" s="407">
        <f>IFERROR(Model!BE894/Model!BD894-1,"NA")</f>
        <v>0</v>
      </c>
    </row>
    <row r="895" spans="1:69" x14ac:dyDescent="0.2">
      <c r="B895" s="634" t="s">
        <v>130</v>
      </c>
      <c r="C895" s="345"/>
      <c r="D895" s="1307"/>
      <c r="E895" s="1307"/>
      <c r="F895" s="1307"/>
      <c r="G895" s="1307"/>
      <c r="H895" s="1307" t="str">
        <f>IFERROR(Model!H895/Model!D895-1,"NA")</f>
        <v>NA</v>
      </c>
      <c r="I895" s="1307">
        <f>IFERROR(Model!I895/Model!E895-1,"NA")</f>
        <v>-2.4232803074261788E-2</v>
      </c>
      <c r="J895" s="1307">
        <f>IFERROR(Model!J895/Model!F895-1,"NA")</f>
        <v>-9.6413598300768455E-2</v>
      </c>
      <c r="K895" s="1307">
        <f>IFERROR(Model!K895/Model!G895-1,"NA")</f>
        <v>-0.10461460676342282</v>
      </c>
      <c r="L895" s="1307">
        <f>IFERROR(Model!L895/Model!H895-1,"NA")</f>
        <v>-6.0161761482336429E-2</v>
      </c>
      <c r="M895" s="1307">
        <f>IFERROR(Model!M895/Model!I895-1,"NA")</f>
        <v>-9.4296139380828814E-2</v>
      </c>
      <c r="N895" s="1307">
        <f>IFERROR(Model!N895/Model!J895-1,"NA")</f>
        <v>1.0495586635357101E-2</v>
      </c>
      <c r="O895" s="1307">
        <f>IFERROR(Model!O895/Model!K895-1,"NA")</f>
        <v>8.9547196401509765E-2</v>
      </c>
      <c r="P895" s="1307">
        <f>IFERROR(Model!P895/Model!L895-1,"NA")</f>
        <v>1.6414354766160377E-2</v>
      </c>
      <c r="Q895" s="1307">
        <f>IFERROR(Model!Q895/Model!M895-1,"NA")</f>
        <v>1.0604375048004488E-3</v>
      </c>
      <c r="R895" s="1307">
        <f>IFERROR(Model!R895/Model!N895-1,"NA")</f>
        <v>-1.8108299028085639E-2</v>
      </c>
      <c r="S895" s="1307">
        <f>IFERROR(Model!S895/Model!O895-1,"NA")</f>
        <v>-0.12929453559658388</v>
      </c>
      <c r="T895" s="1307">
        <f>IFERROR(Model!T895/Model!P895-1,"NA")</f>
        <v>-6.3779918422395943E-2</v>
      </c>
      <c r="U895" s="1307">
        <f>IFERROR(Model!U895/Model!Q895-1,"NA")</f>
        <v>-2.9393493137970683E-2</v>
      </c>
      <c r="V895" s="1307">
        <f>IFERROR(Model!V895/Model!R895-1,"NA")</f>
        <v>3.8129874769285976E-3</v>
      </c>
      <c r="W895" s="1307">
        <f>IFERROR(Model!W895/Model!S895-1,"NA")</f>
        <v>4.1106309157090681E-3</v>
      </c>
      <c r="X895" s="1307">
        <f>IFERROR(Model!X895/Model!T895-1,"NA")</f>
        <v>-5.2233523993407305E-2</v>
      </c>
      <c r="Y895" s="1307">
        <f>IFERROR(Model!Y895/Model!U895-1,"NA")</f>
        <v>-2.702730270120024E-2</v>
      </c>
      <c r="Z895" s="1307">
        <f>IFERROR(Model!Z895/Model!V895-1,"NA")</f>
        <v>-6.2071061925250803E-2</v>
      </c>
      <c r="AA895" s="1307">
        <f>IFERROR(Model!AA895/Model!W895-1,"NA")</f>
        <v>-7.7128663459516744E-2</v>
      </c>
      <c r="AB895" s="1307">
        <f>IFERROR(Model!AB895/Model!X895-1,"NA")</f>
        <v>-0.15150915414535804</v>
      </c>
      <c r="AC895" s="1307">
        <f>IFERROR(Model!AC895/Model!Y895-1,"NA")</f>
        <v>-0.15387016529648945</v>
      </c>
      <c r="AD895" s="1307">
        <f>IFERROR(Model!AD895/Model!Z895-1,"NA")</f>
        <v>-0.14555618522227465</v>
      </c>
      <c r="AE895" s="1307">
        <f>IFERROR(Model!AE895/Model!AA895-1,"NA")</f>
        <v>-0.10463021518671345</v>
      </c>
      <c r="AF895" s="1307">
        <f>IFERROR(Model!AF895/Model!AB895-1,"NA")</f>
        <v>2.0568445707709548E-2</v>
      </c>
      <c r="AG895" s="1307">
        <f>IFERROR(Model!AG895/Model!AC895-1,"NA")</f>
        <v>2.4099171885437531E-2</v>
      </c>
      <c r="AH895" s="1307">
        <f>IFERROR(Model!AH895/Model!AD895-1,"NA")</f>
        <v>2.9825324180765556E-2</v>
      </c>
      <c r="AI895" s="1307">
        <f>IFERROR(Model!AI895/Model!AE895-1,"NA")</f>
        <v>3.5642188729954505E-2</v>
      </c>
      <c r="AJ895" s="1318"/>
      <c r="AK895" s="1318"/>
      <c r="AL895" s="1318"/>
      <c r="AM895" s="1318"/>
      <c r="AN895" s="1318"/>
      <c r="AO895" s="1318"/>
      <c r="AP895" s="1318"/>
      <c r="AQ895" s="1318"/>
      <c r="AR895" s="1236"/>
      <c r="AS895" s="1491"/>
      <c r="AT895" s="1409"/>
      <c r="AU895" s="1307"/>
      <c r="AV895" s="1307">
        <f>IFERROR(Model!AV895/Model!AU895-1,"NA")</f>
        <v>-5.8341696335631021E-2</v>
      </c>
      <c r="AW895" s="1307">
        <f>IFERROR(Model!AW895/Model!AV895-1,"NA")</f>
        <v>-1.6077106611072423E-2</v>
      </c>
      <c r="AX895" s="1307">
        <f>IFERROR(Model!AX895/Model!AW895-1,"NA")</f>
        <v>-3.4692867930303461E-2</v>
      </c>
      <c r="AY895" s="1307">
        <f>IFERROR(Model!AY895/Model!AX895-1,"NA")</f>
        <v>-2.2098693816151038E-2</v>
      </c>
      <c r="AZ895" s="1307">
        <f>IFERROR(Model!AZ895/Model!AY895-1,"NA")</f>
        <v>-5.4698644064814395E-2</v>
      </c>
      <c r="BA895" s="1307">
        <f>IFERROR(Model!BA895/Model!AZ895-1,"NA")</f>
        <v>-0.1392536870412614</v>
      </c>
      <c r="BB895" s="1307">
        <f>IFERROR(Model!BB895/Model!BA895-1,"NA")</f>
        <v>2.7564216277170761E-2</v>
      </c>
      <c r="BC895" s="1307">
        <f>IFERROR(Model!BC895/Model!BB895-1,"NA")</f>
        <v>2.6152383756319786E-2</v>
      </c>
      <c r="BD895" s="1307">
        <f>IFERROR(Model!BD895/Model!BC895-1,"NA")</f>
        <v>3.3192264433851371E-2</v>
      </c>
      <c r="BE895" s="1307">
        <f>IFERROR(Model!BE895/Model!BD895-1,"NA")</f>
        <v>3.1740615776852499E-2</v>
      </c>
    </row>
    <row r="896" spans="1:69" s="160" customFormat="1" x14ac:dyDescent="0.2">
      <c r="A896" s="829"/>
      <c r="B896" s="642" t="s">
        <v>30</v>
      </c>
      <c r="C896" s="648"/>
      <c r="D896" s="1326"/>
      <c r="E896" s="1510"/>
      <c r="F896" s="1510"/>
      <c r="G896" s="1510"/>
      <c r="H896" s="1510">
        <f>IFERROR(Model!H896/Model!D896-1,"NA")</f>
        <v>-1.3076681661261635E-2</v>
      </c>
      <c r="I896" s="1510">
        <f>IFERROR(Model!I896/Model!E896-1,"NA")</f>
        <v>-8.9765669850216945E-3</v>
      </c>
      <c r="J896" s="1510">
        <f>IFERROR(Model!J896/Model!F896-1,"NA")</f>
        <v>-2.7390803393736229E-2</v>
      </c>
      <c r="K896" s="1510">
        <f>IFERROR(Model!K896/Model!G896-1,"NA")</f>
        <v>-9.131940799832039E-3</v>
      </c>
      <c r="L896" s="1510">
        <f>IFERROR(Model!L896/Model!H896-1,"NA")</f>
        <v>7.9499682001271665E-4</v>
      </c>
      <c r="M896" s="1510">
        <f>IFERROR(Model!M896/Model!I896-1,"NA")</f>
        <v>2.3171309705618537E-3</v>
      </c>
      <c r="N896" s="1510">
        <f>IFERROR(Model!N896/Model!J896-1,"NA")</f>
        <v>2.0623552851219751E-2</v>
      </c>
      <c r="O896" s="1510">
        <f>IFERROR(Model!O896/Model!K896-1,"NA")</f>
        <v>6.4618644067797604E-3</v>
      </c>
      <c r="P896" s="1510">
        <f>IFERROR(Model!P896/Model!L896-1,"NA")</f>
        <v>-1.8641105756500576E-2</v>
      </c>
      <c r="Q896" s="1510">
        <f>IFERROR(Model!Q896/Model!M896-1,"NA")</f>
        <v>-3.341564650869544E-2</v>
      </c>
      <c r="R896" s="1510">
        <f>IFERROR(Model!R896/Model!N896-1,"NA")</f>
        <v>-4.0624670254299833E-2</v>
      </c>
      <c r="S896" s="1510">
        <f>IFERROR(Model!S896/Model!O896-1,"NA")</f>
        <v>-6.0993579623197514E-2</v>
      </c>
      <c r="T896" s="1510">
        <f>IFERROR(Model!T896/Model!P896-1,"NA")</f>
        <v>-4.0742539528357935E-2</v>
      </c>
      <c r="U896" s="1510">
        <f>IFERROR(Model!U896/Model!Q896-1,"NA")</f>
        <v>-1.7611567103332115E-2</v>
      </c>
      <c r="V896" s="1510">
        <f>IFERROR(Model!V896/Model!R896-1,"NA")</f>
        <v>6.489221293444869E-3</v>
      </c>
      <c r="W896" s="1510">
        <f>IFERROR(Model!W896/Model!S896-1,"NA")</f>
        <v>1.9895757439892359E-2</v>
      </c>
      <c r="X896" s="1510">
        <f>IFERROR(Model!X896/Model!T896-1,"NA")</f>
        <v>2.9815481548154832E-2</v>
      </c>
      <c r="Y896" s="1510">
        <f>IFERROR(Model!Y896/Model!U896-1,"NA")</f>
        <v>3.4249986167210755E-2</v>
      </c>
      <c r="Z896" s="1510">
        <f>IFERROR(Model!Z896/Model!V896-1,"NA")</f>
        <v>3.3930717954322009E-2</v>
      </c>
      <c r="AA896" s="1510">
        <f>IFERROR(Model!AA896/Model!W896-1,"NA")</f>
        <v>4.9401033080558321E-2</v>
      </c>
      <c r="AB896" s="1510">
        <f>IFERROR(Model!AB896/Model!X896-1,"NA")</f>
        <v>4.0205397137550447E-2</v>
      </c>
      <c r="AC896" s="1379">
        <f>IFERROR(Model!AC896/Model!Y896-1,"NA")</f>
        <v>2.2875980431806608E-2</v>
      </c>
      <c r="AD896" s="1379">
        <f>IFERROR(Model!AD896/Model!Z896-1,"NA")</f>
        <v>1.4854213959551998E-2</v>
      </c>
      <c r="AE896" s="1379">
        <f>IFERROR(Model!AE896/Model!AA896-1,"NA")</f>
        <v>1.1513737526349654E-2</v>
      </c>
      <c r="AF896" s="1379">
        <f>IFERROR(Model!AF896/Model!AB896-1,"NA")</f>
        <v>2.0568445707709326E-2</v>
      </c>
      <c r="AG896" s="1379">
        <f>IFERROR(Model!AG896/Model!AC896-1,"NA")</f>
        <v>2.4099171885437531E-2</v>
      </c>
      <c r="AH896" s="1379">
        <f>IFERROR(Model!AH896/Model!AD896-1,"NA")</f>
        <v>2.9825324180765556E-2</v>
      </c>
      <c r="AI896" s="1379">
        <f>IFERROR(Model!AI896/Model!AE896-1,"NA")</f>
        <v>3.5642188729954727E-2</v>
      </c>
      <c r="AJ896" s="1379"/>
      <c r="AK896" s="1379"/>
      <c r="AL896" s="1379"/>
      <c r="AM896" s="1379"/>
      <c r="AN896" s="1379"/>
      <c r="AO896" s="1379"/>
      <c r="AP896" s="1379"/>
      <c r="AQ896" s="1379"/>
      <c r="AR896" s="1236"/>
      <c r="AS896" s="1493"/>
      <c r="AT896" s="1409"/>
      <c r="AU896" s="1511"/>
      <c r="AV896" s="1511">
        <f>IFERROR(Model!AV896/Model!AU896-1,"NA")</f>
        <v>-1.4641422533921311E-2</v>
      </c>
      <c r="AW896" s="1511">
        <f>IFERROR(Model!AW896/Model!AV896-1,"NA")</f>
        <v>7.4892441706060353E-3</v>
      </c>
      <c r="AX896" s="1511">
        <f>IFERROR(Model!AX896/Model!AW896-1,"NA")</f>
        <v>-3.8446330662167849E-2</v>
      </c>
      <c r="AY896" s="1511">
        <f>IFERROR(Model!AY896/Model!AX896-1,"NA")</f>
        <v>-8.3064903022410652E-3</v>
      </c>
      <c r="AZ896" s="1511">
        <f>IFERROR(Model!AZ896/Model!AY896-1,"NA")</f>
        <v>3.689062737563753E-2</v>
      </c>
      <c r="BA896" s="1511">
        <f>IFERROR(Model!BA896/Model!AZ896-1,"NA")</f>
        <v>2.2188834180178585E-2</v>
      </c>
      <c r="BB896" s="1379">
        <f>IFERROR(Model!BB896/Model!BA896-1,"NA")</f>
        <v>2.7564216277167652E-2</v>
      </c>
      <c r="BC896" s="1379">
        <f>IFERROR(Model!BC896/Model!BB896-1,"NA")</f>
        <v>2.6152383756319786E-2</v>
      </c>
      <c r="BD896" s="1379">
        <f>IFERROR(Model!BD896/Model!BC896-1,"NA")</f>
        <v>3.3192264433851371E-2</v>
      </c>
      <c r="BE896" s="1379">
        <f>IFERROR(Model!BE896/Model!BD896-1,"NA")</f>
        <v>3.1740615776852277E-2</v>
      </c>
      <c r="BM896" s="238"/>
      <c r="BN896" s="238"/>
      <c r="BO896" s="238"/>
      <c r="BP896" s="238"/>
      <c r="BQ896" s="238"/>
    </row>
    <row r="897" spans="1:69" x14ac:dyDescent="0.2">
      <c r="D897" s="407"/>
      <c r="E897" s="407"/>
      <c r="F897" s="407"/>
      <c r="G897" s="407"/>
      <c r="H897" s="407"/>
      <c r="I897" s="407"/>
      <c r="J897" s="407"/>
      <c r="K897" s="407"/>
      <c r="L897" s="407"/>
      <c r="M897" s="407"/>
      <c r="N897" s="407"/>
      <c r="O897" s="407"/>
      <c r="P897" s="407"/>
      <c r="Q897" s="407"/>
      <c r="R897" s="407"/>
      <c r="S897" s="407"/>
      <c r="T897" s="407"/>
      <c r="U897" s="407"/>
      <c r="V897" s="407"/>
      <c r="W897" s="1236"/>
      <c r="X897" s="1236"/>
      <c r="Y897" s="1236"/>
      <c r="Z897" s="1236"/>
      <c r="AA897" s="1236"/>
      <c r="AB897" s="1236"/>
      <c r="AC897" s="407"/>
      <c r="AD897" s="407"/>
      <c r="AE897" s="407"/>
      <c r="AF897" s="407"/>
      <c r="AG897" s="407"/>
      <c r="AH897" s="407"/>
      <c r="AI897" s="407"/>
      <c r="AJ897" s="407"/>
      <c r="AK897" s="407"/>
      <c r="AL897" s="407"/>
      <c r="AM897" s="407"/>
      <c r="AN897" s="407"/>
      <c r="AO897" s="407"/>
      <c r="AP897" s="407"/>
      <c r="AQ897" s="407"/>
      <c r="AR897" s="1236"/>
      <c r="AS897" s="1382"/>
      <c r="AT897" s="407"/>
      <c r="AU897" s="1236"/>
      <c r="AV897" s="1236"/>
      <c r="AW897" s="1236"/>
      <c r="AX897" s="1236"/>
      <c r="AY897" s="1236"/>
      <c r="AZ897" s="1236"/>
      <c r="BA897" s="1236"/>
      <c r="BB897" s="407"/>
      <c r="BC897" s="407"/>
      <c r="BD897" s="407"/>
      <c r="BE897" s="407"/>
    </row>
    <row r="898" spans="1:69" x14ac:dyDescent="0.2">
      <c r="B898" s="642" t="s">
        <v>31</v>
      </c>
      <c r="C898" s="648"/>
      <c r="D898" s="407"/>
      <c r="E898" s="407"/>
      <c r="F898" s="407"/>
      <c r="G898" s="407"/>
      <c r="H898" s="407"/>
      <c r="I898" s="407"/>
      <c r="J898" s="407"/>
      <c r="K898" s="407"/>
      <c r="L898" s="407"/>
      <c r="M898" s="407"/>
      <c r="N898" s="407"/>
      <c r="O898" s="407"/>
      <c r="P898" s="407"/>
      <c r="Q898" s="407"/>
      <c r="R898" s="407"/>
      <c r="S898" s="407"/>
      <c r="T898" s="407"/>
      <c r="U898" s="407"/>
      <c r="V898" s="407"/>
      <c r="W898" s="407"/>
      <c r="X898" s="407"/>
      <c r="Y898" s="407"/>
      <c r="Z898" s="407"/>
      <c r="AA898" s="407"/>
      <c r="AB898" s="407"/>
      <c r="AC898" s="407"/>
      <c r="AD898" s="407"/>
      <c r="AE898" s="407"/>
      <c r="AF898" s="407"/>
      <c r="AG898" s="407"/>
      <c r="AH898" s="407"/>
      <c r="AI898" s="407"/>
      <c r="AJ898" s="407"/>
      <c r="AK898" s="407"/>
      <c r="AL898" s="407"/>
      <c r="AM898" s="407"/>
      <c r="AN898" s="407"/>
      <c r="AO898" s="407"/>
      <c r="AP898" s="407"/>
      <c r="AQ898" s="407"/>
      <c r="AR898" s="1236"/>
      <c r="AS898" s="1493"/>
      <c r="AT898" s="1409"/>
      <c r="AU898" s="1236"/>
      <c r="AV898" s="1236"/>
      <c r="AW898" s="1236"/>
      <c r="AX898" s="1236"/>
      <c r="AY898" s="1236"/>
      <c r="AZ898" s="1236"/>
      <c r="BA898" s="1236"/>
      <c r="BB898" s="407"/>
      <c r="BC898" s="407"/>
      <c r="BD898" s="407"/>
      <c r="BE898" s="407"/>
    </row>
    <row r="899" spans="1:69" x14ac:dyDescent="0.2">
      <c r="B899" s="634" t="s">
        <v>361</v>
      </c>
      <c r="C899" s="648"/>
      <c r="D899" s="407"/>
      <c r="E899" s="407"/>
      <c r="F899" s="407"/>
      <c r="G899" s="407"/>
      <c r="H899" s="407"/>
      <c r="I899" s="407"/>
      <c r="J899" s="407"/>
      <c r="K899" s="407"/>
      <c r="L899" s="407"/>
      <c r="M899" s="407"/>
      <c r="N899" s="407"/>
      <c r="O899" s="407"/>
      <c r="P899" s="407"/>
      <c r="Q899" s="407"/>
      <c r="R899" s="407"/>
      <c r="S899" s="407"/>
      <c r="T899" s="407"/>
      <c r="U899" s="407"/>
      <c r="V899" s="407"/>
      <c r="W899" s="407"/>
      <c r="X899" s="407"/>
      <c r="Y899" s="407"/>
      <c r="Z899" s="407"/>
      <c r="AA899" s="407"/>
      <c r="AB899" s="407"/>
      <c r="AC899" s="407"/>
      <c r="AD899" s="407"/>
      <c r="AE899" s="407"/>
      <c r="AF899" s="407"/>
      <c r="AG899" s="407"/>
      <c r="AH899" s="407"/>
      <c r="AI899" s="407"/>
      <c r="AJ899" s="407"/>
      <c r="AK899" s="407"/>
      <c r="AL899" s="407"/>
      <c r="AM899" s="407"/>
      <c r="AN899" s="407"/>
      <c r="AO899" s="407"/>
      <c r="AP899" s="407"/>
      <c r="AQ899" s="407"/>
      <c r="AR899" s="1236"/>
      <c r="AS899" s="1491"/>
      <c r="AT899" s="1409"/>
      <c r="AU899" s="1236"/>
      <c r="AV899" s="1236"/>
      <c r="AW899" s="1236"/>
      <c r="AX899" s="1236"/>
      <c r="AY899" s="1236"/>
      <c r="AZ899" s="1236"/>
      <c r="BA899" s="1236"/>
      <c r="BB899" s="407"/>
      <c r="BC899" s="407"/>
      <c r="BD899" s="407"/>
      <c r="BE899" s="407"/>
    </row>
    <row r="900" spans="1:69" x14ac:dyDescent="0.2">
      <c r="B900" s="319"/>
      <c r="C900" s="634" t="s">
        <v>350</v>
      </c>
      <c r="D900" s="407"/>
      <c r="E900" s="407"/>
      <c r="F900" s="407"/>
      <c r="G900" s="407"/>
      <c r="H900" s="407" t="str">
        <f>IFERROR(Model!H900/Model!D900-1,"NA")</f>
        <v>NA</v>
      </c>
      <c r="I900" s="407">
        <f>IFERROR(Model!I900/Model!E900-1,"NA")</f>
        <v>0.1490197012031087</v>
      </c>
      <c r="J900" s="407">
        <f>IFERROR(Model!J900/Model!F900-1,"NA")</f>
        <v>0.13467787943457221</v>
      </c>
      <c r="K900" s="407">
        <f>IFERROR(Model!K900/Model!G900-1,"NA")</f>
        <v>0.12968868640850428</v>
      </c>
      <c r="L900" s="407">
        <f>IFERROR(Model!L900/Model!H900-1,"NA")</f>
        <v>0.11177764171540949</v>
      </c>
      <c r="M900" s="407">
        <f>IFERROR(Model!M900/Model!I900-1,"NA")</f>
        <v>7.2848779826259813E-2</v>
      </c>
      <c r="N900" s="407">
        <f>IFERROR(Model!N900/Model!J900-1,"NA")</f>
        <v>7.0073313482641897E-2</v>
      </c>
      <c r="O900" s="407">
        <f>IFERROR(Model!O900/Model!K900-1,"NA")</f>
        <v>3.6505923856374078E-2</v>
      </c>
      <c r="P900" s="407">
        <f>IFERROR(Model!P900/Model!L900-1,"NA")</f>
        <v>-7.6357370912304434E-3</v>
      </c>
      <c r="Q900" s="407">
        <f>IFERROR(Model!Q900/Model!M900-1,"NA")</f>
        <v>-4.4267395151549205E-2</v>
      </c>
      <c r="R900" s="407">
        <f>IFERROR(Model!R900/Model!N900-1,"NA")</f>
        <v>-6.723351530265087E-2</v>
      </c>
      <c r="S900" s="407">
        <f>IFERROR(Model!S900/Model!O900-1,"NA")</f>
        <v>-4.0819724421730763E-2</v>
      </c>
      <c r="T900" s="407">
        <f>IFERROR(Model!T900/Model!P900-1,"NA")</f>
        <v>8.5688640812560113E-3</v>
      </c>
      <c r="U900" s="407">
        <f>IFERROR(Model!U900/Model!Q900-1,"NA")</f>
        <v>6.6476844793063483E-2</v>
      </c>
      <c r="V900" s="407">
        <f>IFERROR(Model!V900/Model!R900-1,"NA")</f>
        <v>8.8952694382877784E-2</v>
      </c>
      <c r="W900" s="407">
        <f>IFERROR(Model!W900/Model!S900-1,"NA")</f>
        <v>7.6330507901646527E-2</v>
      </c>
      <c r="X900" s="407">
        <f>IFERROR(Model!X900/Model!T900-1,"NA")</f>
        <v>8.1990010668733238E-2</v>
      </c>
      <c r="Y900" s="407">
        <f>IFERROR(Model!Y900/Model!U900-1,"NA")</f>
        <v>7.1267642509447837E-2</v>
      </c>
      <c r="Z900" s="407">
        <f>IFERROR(Model!Z900/Model!V900-1,"NA")</f>
        <v>7.4071028280761952E-2</v>
      </c>
      <c r="AA900" s="407">
        <f>IFERROR(Model!AA900/Model!W900-1,"NA")</f>
        <v>7.6566972121969279E-2</v>
      </c>
      <c r="AB900" s="407">
        <f>IFERROR(Model!AB900/Model!X900-1,"NA")</f>
        <v>5.7135708959616949E-2</v>
      </c>
      <c r="AC900" s="1381">
        <f>IFERROR(Model!AC900/Model!Y900-1,"NA")</f>
        <v>4.9871690358929355E-2</v>
      </c>
      <c r="AD900" s="1381">
        <f>IFERROR(Model!AD900/Model!Z900-1,"NA")</f>
        <v>5.1940445864444573E-2</v>
      </c>
      <c r="AE900" s="1381">
        <f>IFERROR(Model!AE900/Model!AA900-1,"NA")</f>
        <v>5.0310157048042425E-2</v>
      </c>
      <c r="AF900" s="1381">
        <f>IFERROR(Model!AF900/Model!AB900-1,"NA")</f>
        <v>4.0604010000000024E-2</v>
      </c>
      <c r="AG900" s="1381">
        <f>IFERROR(Model!AG900/Model!AC900-1,"NA")</f>
        <v>4.0604010000000024E-2</v>
      </c>
      <c r="AH900" s="1381">
        <f>IFERROR(Model!AH900/Model!AD900-1,"NA")</f>
        <v>4.0604010000000246E-2</v>
      </c>
      <c r="AI900" s="1381">
        <f>IFERROR(Model!AI900/Model!AE900-1,"NA")</f>
        <v>3.8543408000000223E-2</v>
      </c>
      <c r="AJ900" s="1381"/>
      <c r="AK900" s="1381"/>
      <c r="AL900" s="1381"/>
      <c r="AM900" s="1381"/>
      <c r="AN900" s="1381"/>
      <c r="AO900" s="1381"/>
      <c r="AP900" s="1381"/>
      <c r="AQ900" s="1381"/>
      <c r="AR900" s="1236"/>
      <c r="AS900" s="1248"/>
      <c r="AT900" s="1491"/>
      <c r="AU900" s="1301"/>
      <c r="AV900" s="1301">
        <f>IFERROR(Model!AV900/Model!AU900-1,"NA")</f>
        <v>0.12100409598393935</v>
      </c>
      <c r="AW900" s="1301">
        <f>IFERROR(Model!AW900/Model!AV900-1,"NA")</f>
        <v>7.2038338177337513E-2</v>
      </c>
      <c r="AX900" s="1301">
        <f>IFERROR(Model!AX900/Model!AW900-1,"NA")</f>
        <v>-4.0119007614767721E-2</v>
      </c>
      <c r="AY900" s="1301">
        <f>IFERROR(Model!AY900/Model!AX900-1,"NA")</f>
        <v>5.9616117612540043E-2</v>
      </c>
      <c r="AZ900" s="1301">
        <f>IFERROR(Model!AZ900/Model!AY900-1,"NA")</f>
        <v>7.5933681545475418E-2</v>
      </c>
      <c r="BA900" s="1301">
        <f>IFERROR(Model!BA900/Model!AZ900-1,"NA")</f>
        <v>5.2283843095965121E-2</v>
      </c>
      <c r="BB900" s="1381">
        <f>IFERROR(Model!BB900/Model!BA900-1,"NA")</f>
        <v>4.0081145312201638E-2</v>
      </c>
      <c r="BC900" s="1381">
        <f>IFERROR(Model!BC900/Model!BB900-1,"NA")</f>
        <v>4.0000000000000036E-2</v>
      </c>
      <c r="BD900" s="1381">
        <f>IFERROR(Model!BD900/Model!BC900-1,"NA")</f>
        <v>4.0000000000000036E-2</v>
      </c>
      <c r="BE900" s="1381">
        <f>IFERROR(Model!BE900/Model!BD900-1,"NA")</f>
        <v>4.0000000000000036E-2</v>
      </c>
    </row>
    <row r="901" spans="1:69" x14ac:dyDescent="0.2">
      <c r="B901" s="319"/>
      <c r="C901" s="634" t="s">
        <v>352</v>
      </c>
      <c r="D901" s="407"/>
      <c r="E901" s="407"/>
      <c r="F901" s="407"/>
      <c r="G901" s="407"/>
      <c r="H901" s="407" t="str">
        <f>IFERROR(Model!H901/Model!D901-1,"NA")</f>
        <v>NA</v>
      </c>
      <c r="I901" s="407">
        <f>IFERROR(Model!I901/Model!E901-1,"NA")</f>
        <v>-3.2037716966002883E-2</v>
      </c>
      <c r="J901" s="407">
        <f>IFERROR(Model!J901/Model!F901-1,"NA")</f>
        <v>-3.492320209557076E-2</v>
      </c>
      <c r="K901" s="407">
        <f>IFERROR(Model!K901/Model!G901-1,"NA")</f>
        <v>-1.6393426154742485E-2</v>
      </c>
      <c r="L901" s="407">
        <f>IFERROR(Model!L901/Model!H901-1,"NA")</f>
        <v>-4.6846939563125467E-3</v>
      </c>
      <c r="M901" s="407">
        <f>IFERROR(Model!M901/Model!I901-1,"NA")</f>
        <v>-1.0851037767383165E-2</v>
      </c>
      <c r="N901" s="407">
        <f>IFERROR(Model!N901/Model!J901-1,"NA")</f>
        <v>-4.4226915733727612E-2</v>
      </c>
      <c r="O901" s="407">
        <f>IFERROR(Model!O901/Model!K901-1,"NA")</f>
        <v>-0.10937137756462045</v>
      </c>
      <c r="P901" s="407">
        <f>IFERROR(Model!P901/Model!L901-1,"NA")</f>
        <v>-0.14129433381276213</v>
      </c>
      <c r="Q901" s="407">
        <f>IFERROR(Model!Q901/Model!M901-1,"NA")</f>
        <v>-0.11062847307855783</v>
      </c>
      <c r="R901" s="407">
        <f>IFERROR(Model!R901/Model!N901-1,"NA")</f>
        <v>-8.1328405186601893E-2</v>
      </c>
      <c r="S901" s="407">
        <f>IFERROR(Model!S901/Model!O901-1,"NA")</f>
        <v>-3.7441617520076242E-2</v>
      </c>
      <c r="T901" s="407">
        <f>IFERROR(Model!T901/Model!P901-1,"NA")</f>
        <v>2.4030854668538604E-2</v>
      </c>
      <c r="U901" s="407">
        <f>IFERROR(Model!U901/Model!Q901-1,"NA")</f>
        <v>1.3802567936081367E-2</v>
      </c>
      <c r="V901" s="407">
        <f>IFERROR(Model!V901/Model!R901-1,"NA")</f>
        <v>6.8218463012033048E-3</v>
      </c>
      <c r="W901" s="407">
        <f>IFERROR(Model!W901/Model!S901-1,"NA")</f>
        <v>1.0749344770073943E-2</v>
      </c>
      <c r="X901" s="407">
        <f>IFERROR(Model!X901/Model!T901-1,"NA")</f>
        <v>-6.3403144993539051E-3</v>
      </c>
      <c r="Y901" s="407">
        <f>IFERROR(Model!Y901/Model!U901-1,"NA")</f>
        <v>1.1469502344182869E-2</v>
      </c>
      <c r="Z901" s="407">
        <f>IFERROR(Model!Z901/Model!V901-1,"NA")</f>
        <v>1.7817123278908831E-2</v>
      </c>
      <c r="AA901" s="407">
        <f>IFERROR(Model!AA901/Model!W901-1,"NA")</f>
        <v>1.8328121703442779E-2</v>
      </c>
      <c r="AB901" s="407">
        <f>IFERROR(Model!AB901/Model!X901-1,"NA")</f>
        <v>4.6610866480718549E-2</v>
      </c>
      <c r="AC901" s="1381">
        <f>IFERROR(Model!AC901/Model!Y901-1,"NA")</f>
        <v>2.7927749303223726E-2</v>
      </c>
      <c r="AD901" s="1381">
        <f>IFERROR(Model!AD901/Model!Z901-1,"NA")</f>
        <v>3.0893512552461422E-2</v>
      </c>
      <c r="AE901" s="1381">
        <f>IFERROR(Model!AE901/Model!AA901-1,"NA")</f>
        <v>5.4692707442246524E-2</v>
      </c>
      <c r="AF901" s="1381">
        <f>IFERROR(Model!AF901/Model!AB901-1,"NA")</f>
        <v>4.0604010000000024E-2</v>
      </c>
      <c r="AG901" s="1381">
        <f>IFERROR(Model!AG901/Model!AC901-1,"NA")</f>
        <v>4.0604010000000024E-2</v>
      </c>
      <c r="AH901" s="1381">
        <f>IFERROR(Model!AH901/Model!AD901-1,"NA")</f>
        <v>4.0604010000000024E-2</v>
      </c>
      <c r="AI901" s="1381">
        <f>IFERROR(Model!AI901/Model!AE901-1,"NA")</f>
        <v>3.8543408000000223E-2</v>
      </c>
      <c r="AJ901" s="1381"/>
      <c r="AK901" s="1381"/>
      <c r="AL901" s="1381"/>
      <c r="AM901" s="1381"/>
      <c r="AN901" s="1381"/>
      <c r="AO901" s="1381"/>
      <c r="AP901" s="1381"/>
      <c r="AQ901" s="1381"/>
      <c r="AR901" s="1236"/>
      <c r="AS901" s="1248"/>
      <c r="AT901" s="1491"/>
      <c r="AU901" s="1301"/>
      <c r="AV901" s="1301">
        <f>IFERROR(Model!AV901/Model!AU901-1,"NA")</f>
        <v>-2.7820308273931449E-2</v>
      </c>
      <c r="AW901" s="1301">
        <f>IFERROR(Model!AW901/Model!AV901-1,"NA")</f>
        <v>-4.2480440735344516E-2</v>
      </c>
      <c r="AX901" s="1301">
        <f>IFERROR(Model!AX901/Model!AW901-1,"NA")</f>
        <v>-9.4129643586942979E-2</v>
      </c>
      <c r="AY901" s="1301">
        <f>IFERROR(Model!AY901/Model!AX901-1,"NA")</f>
        <v>1.3793600538182682E-2</v>
      </c>
      <c r="AZ901" s="1301">
        <f>IFERROR(Model!AZ901/Model!AY901-1,"NA")</f>
        <v>1.0337495892884574E-2</v>
      </c>
      <c r="BA901" s="1301">
        <f>IFERROR(Model!BA901/Model!AZ901-1,"NA")</f>
        <v>3.9947884349821328E-2</v>
      </c>
      <c r="BB901" s="1381">
        <f>IFERROR(Model!BB901/Model!BA901-1,"NA")</f>
        <v>4.0081145312201416E-2</v>
      </c>
      <c r="BC901" s="1381">
        <f>IFERROR(Model!BC901/Model!BB901-1,"NA")</f>
        <v>4.0000000000000036E-2</v>
      </c>
      <c r="BD901" s="1381">
        <f>IFERROR(Model!BD901/Model!BC901-1,"NA")</f>
        <v>4.0000000000000036E-2</v>
      </c>
      <c r="BE901" s="1381">
        <f>IFERROR(Model!BE901/Model!BD901-1,"NA")</f>
        <v>4.0000000000000036E-2</v>
      </c>
    </row>
    <row r="902" spans="1:69" x14ac:dyDescent="0.2">
      <c r="B902" s="319" t="s">
        <v>362</v>
      </c>
      <c r="C902" s="321"/>
      <c r="D902" s="1327"/>
      <c r="E902" s="407"/>
      <c r="F902" s="407"/>
      <c r="G902" s="407"/>
      <c r="H902" s="407">
        <f>IFERROR(Model!H902/Model!D902-1,"NA")</f>
        <v>4.7766609685318429E-2</v>
      </c>
      <c r="I902" s="407">
        <f>IFERROR(Model!I902/Model!E902-1,"NA")</f>
        <v>2.537030238359117E-2</v>
      </c>
      <c r="J902" s="407">
        <f>IFERROR(Model!J902/Model!F902-1,"NA")</f>
        <v>1.9270682123542437E-2</v>
      </c>
      <c r="K902" s="407">
        <f>IFERROR(Model!K902/Model!G902-1,"NA")</f>
        <v>3.161490473781825E-2</v>
      </c>
      <c r="L902" s="407">
        <f>IFERROR(Model!L902/Model!H902-1,"NA")</f>
        <v>3.5295739693919748E-2</v>
      </c>
      <c r="M902" s="407">
        <f>IFERROR(Model!M902/Model!I902-1,"NA")</f>
        <v>1.8888039694129333E-2</v>
      </c>
      <c r="N902" s="407">
        <f>IFERROR(Model!N902/Model!J902-1,"NA")</f>
        <v>-3.5683720486575643E-3</v>
      </c>
      <c r="O902" s="407">
        <f>IFERROR(Model!O902/Model!K902-1,"NA")</f>
        <v>-5.6872688570481555E-2</v>
      </c>
      <c r="P902" s="407">
        <f>IFERROR(Model!P902/Model!L902-1,"NA")</f>
        <v>-9.2020947412125076E-2</v>
      </c>
      <c r="Q902" s="407">
        <f>IFERROR(Model!Q902/Model!M902-1,"NA")</f>
        <v>-8.5801232093817292E-2</v>
      </c>
      <c r="R902" s="407">
        <f>IFERROR(Model!R902/Model!N902-1,"NA")</f>
        <v>-7.5944065706507802E-2</v>
      </c>
      <c r="S902" s="407">
        <f>IFERROR(Model!S902/Model!O902-1,"NA")</f>
        <v>-3.8777707150744467E-2</v>
      </c>
      <c r="T902" s="407">
        <f>IFERROR(Model!T902/Model!P902-1,"NA")</f>
        <v>1.7801024534915166E-2</v>
      </c>
      <c r="U902" s="407">
        <f>IFERROR(Model!U902/Model!Q902-1,"NA")</f>
        <v>3.4404567828765442E-2</v>
      </c>
      <c r="V902" s="407">
        <f>IFERROR(Model!V902/Model!R902-1,"NA")</f>
        <v>3.8492113451196852E-2</v>
      </c>
      <c r="W902" s="407">
        <f>IFERROR(Model!W902/Model!S902-1,"NA")</f>
        <v>3.6632530246464512E-2</v>
      </c>
      <c r="X902" s="407">
        <f>IFERROR(Model!X902/Model!T902-1,"NA")</f>
        <v>2.8926262014051574E-2</v>
      </c>
      <c r="Y902" s="407">
        <f>IFERROR(Model!Y902/Model!U902-1,"NA")</f>
        <v>3.5582959298634531E-2</v>
      </c>
      <c r="Z902" s="407">
        <f>IFERROR(Model!Z902/Model!V902-1,"NA")</f>
        <v>4.0563064155230588E-2</v>
      </c>
      <c r="AA902" s="407">
        <f>IFERROR(Model!AA902/Model!W902-1,"NA")</f>
        <v>4.2193714177986674E-2</v>
      </c>
      <c r="AB902" s="407">
        <f>IFERROR(Model!AB902/Model!X902-1,"NA")</f>
        <v>5.1029704452132174E-2</v>
      </c>
      <c r="AC902" s="407">
        <f>IFERROR(Model!AC902/Model!Y902-1,"NA")</f>
        <v>3.7081509254260014E-2</v>
      </c>
      <c r="AD902" s="407">
        <f>IFERROR(Model!AD902/Model!Z902-1,"NA")</f>
        <v>3.9677761829564728E-2</v>
      </c>
      <c r="AE902" s="407">
        <f>IFERROR(Model!AE902/Model!AA902-1,"NA")</f>
        <v>5.2837557796256984E-2</v>
      </c>
      <c r="AF902" s="407">
        <f>IFERROR(Model!AF902/Model!AB902-1,"NA")</f>
        <v>4.0604010000000024E-2</v>
      </c>
      <c r="AG902" s="407">
        <f>IFERROR(Model!AG902/Model!AC902-1,"NA")</f>
        <v>4.0604010000000024E-2</v>
      </c>
      <c r="AH902" s="407">
        <f>IFERROR(Model!AH902/Model!AD902-1,"NA")</f>
        <v>4.0604010000000246E-2</v>
      </c>
      <c r="AI902" s="407">
        <f>IFERROR(Model!AI902/Model!AE902-1,"NA")</f>
        <v>3.8543408000000223E-2</v>
      </c>
      <c r="AJ902" s="407"/>
      <c r="AK902" s="407"/>
      <c r="AL902" s="407"/>
      <c r="AM902" s="407"/>
      <c r="AN902" s="407"/>
      <c r="AO902" s="407"/>
      <c r="AP902" s="407"/>
      <c r="AQ902" s="407"/>
      <c r="AR902" s="1236"/>
      <c r="AS902" s="1248"/>
      <c r="AT902" s="1284"/>
      <c r="AU902" s="1236"/>
      <c r="AV902" s="1236">
        <f>IFERROR(Model!AV902/Model!AU902-1,"NA")</f>
        <v>2.0067957969878591E-2</v>
      </c>
      <c r="AW902" s="1236">
        <f>IFERROR(Model!AW902/Model!AV902-1,"NA")</f>
        <v>-1.9846611998403096E-3</v>
      </c>
      <c r="AX902" s="1236">
        <f>IFERROR(Model!AX902/Model!AW902-1,"NA")</f>
        <v>-7.361398577580458E-2</v>
      </c>
      <c r="AY902" s="1236">
        <f>IFERROR(Model!AY902/Model!AX902-1,"NA")</f>
        <v>3.1828366021442456E-2</v>
      </c>
      <c r="AZ902" s="1236">
        <f>IFERROR(Model!AZ902/Model!AY902-1,"NA")</f>
        <v>3.6850029783700666E-2</v>
      </c>
      <c r="BA902" s="1236">
        <f>IFERROR(Model!BA902/Model!AZ902-1,"NA")</f>
        <v>4.5121749643562303E-2</v>
      </c>
      <c r="BB902" s="407">
        <f>IFERROR(Model!BB902/Model!BA902-1,"NA")</f>
        <v>4.0081145312201416E-2</v>
      </c>
      <c r="BC902" s="407">
        <f>IFERROR(Model!BC902/Model!BB902-1,"NA")</f>
        <v>4.0000000000000036E-2</v>
      </c>
      <c r="BD902" s="407">
        <f>IFERROR(Model!BD902/Model!BC902-1,"NA")</f>
        <v>4.0000000000000036E-2</v>
      </c>
      <c r="BE902" s="407">
        <f>IFERROR(Model!BE902/Model!BD902-1,"NA")</f>
        <v>4.0000000000000036E-2</v>
      </c>
    </row>
    <row r="903" spans="1:69" x14ac:dyDescent="0.2">
      <c r="B903" s="325"/>
      <c r="C903" s="321" t="s">
        <v>32</v>
      </c>
      <c r="D903" s="1327"/>
      <c r="E903" s="1303"/>
      <c r="F903" s="1303"/>
      <c r="G903" s="1303"/>
      <c r="H903" s="1303">
        <f>IFERROR(Model!H903/Model!D903-1,"NA")</f>
        <v>-6.0985617414589854E-2</v>
      </c>
      <c r="I903" s="1303">
        <f>IFERROR(Model!I903/Model!E903-1,"NA")</f>
        <v>-1.6069563354254024E-3</v>
      </c>
      <c r="J903" s="1303">
        <f>IFERROR(Model!J903/Model!F903-1,"NA")</f>
        <v>5.7819257910311839E-2</v>
      </c>
      <c r="K903" s="1303">
        <f>IFERROR(Model!K903/Model!G903-1,"NA")</f>
        <v>9.7905095790185692E-2</v>
      </c>
      <c r="L903" s="1303">
        <f>IFERROR(Model!L903/Model!H903-1,"NA")</f>
        <v>5.6096775677291655E-2</v>
      </c>
      <c r="M903" s="1303">
        <f>IFERROR(Model!M903/Model!I903-1,"NA")</f>
        <v>2.9749716094533918E-2</v>
      </c>
      <c r="N903" s="1303">
        <f>IFERROR(Model!N903/Model!J903-1,"NA")</f>
        <v>7.5902732945986706E-2</v>
      </c>
      <c r="O903" s="1303">
        <f>IFERROR(Model!O903/Model!K903-1,"NA")</f>
        <v>2.4183051906356834E-2</v>
      </c>
      <c r="P903" s="1303">
        <f>IFERROR(Model!P903/Model!L903-1,"NA")</f>
        <v>0.12486607492835544</v>
      </c>
      <c r="Q903" s="1303">
        <f>IFERROR(Model!Q903/Model!M903-1,"NA")</f>
        <v>-7.6502257728378043E-3</v>
      </c>
      <c r="R903" s="1303">
        <f>IFERROR(Model!R903/Model!N903-1,"NA")</f>
        <v>5.6227148720328302E-2</v>
      </c>
      <c r="S903" s="1303">
        <f>IFERROR(Model!S903/Model!O903-1,"NA")</f>
        <v>-0.23767929307905411</v>
      </c>
      <c r="T903" s="1303">
        <f>IFERROR(Model!T903/Model!P903-1,"NA")</f>
        <v>-0.38456534869674297</v>
      </c>
      <c r="U903" s="1303">
        <f>IFERROR(Model!U903/Model!Q903-1,"NA")</f>
        <v>-0.43053404387507765</v>
      </c>
      <c r="V903" s="1303">
        <f>IFERROR(Model!V903/Model!R903-1,"NA")</f>
        <v>-0.3841585808318374</v>
      </c>
      <c r="W903" s="1303">
        <f>IFERROR(Model!W903/Model!S903-1,"NA")</f>
        <v>5.5079518554329354E-2</v>
      </c>
      <c r="X903" s="1303">
        <f>IFERROR(Model!X903/Model!T903-1,"NA")</f>
        <v>0.20304242790276317</v>
      </c>
      <c r="Y903" s="1303">
        <f>IFERROR(Model!Y903/Model!U903-1,"NA")</f>
        <v>0.40686560742493616</v>
      </c>
      <c r="Z903" s="1303">
        <f>IFERROR(Model!Z903/Model!V903-1,"NA")</f>
        <v>0.20706238315458037</v>
      </c>
      <c r="AA903" s="1303">
        <f>IFERROR(Model!AA903/Model!W903-1,"NA")</f>
        <v>0.10959077263390737</v>
      </c>
      <c r="AB903" s="1303">
        <f>IFERROR(Model!AB903/Model!X903-1,"NA")</f>
        <v>0.17854266679217257</v>
      </c>
      <c r="AC903" s="1381">
        <f>IFERROR(Model!AC903/Model!Y903-1,"NA")</f>
        <v>0.2676888461706497</v>
      </c>
      <c r="AD903" s="1381">
        <f>IFERROR(Model!AD903/Model!Z903-1,"NA")</f>
        <v>0.21813403030395673</v>
      </c>
      <c r="AE903" s="1381">
        <f>IFERROR(Model!AE903/Model!AA903-1,"NA")</f>
        <v>0.1689198612859435</v>
      </c>
      <c r="AF903" s="1381">
        <f>IFERROR(Model!AF903/Model!AB903-1,"NA")</f>
        <v>0.12550881000000014</v>
      </c>
      <c r="AG903" s="1381">
        <f>IFERROR(Model!AG903/Model!AC903-1,"NA")</f>
        <v>0.12550881000000014</v>
      </c>
      <c r="AH903" s="1381">
        <f>IFERROR(Model!AH903/Model!AD903-1,"NA")</f>
        <v>0.12550881000000014</v>
      </c>
      <c r="AI903" s="1381">
        <f>IFERROR(Model!AI903/Model!AE903-1,"NA")</f>
        <v>0.12550881000000014</v>
      </c>
      <c r="AJ903" s="1381"/>
      <c r="AK903" s="1381"/>
      <c r="AL903" s="1381"/>
      <c r="AM903" s="1381"/>
      <c r="AN903" s="1381"/>
      <c r="AO903" s="1381"/>
      <c r="AP903" s="1381"/>
      <c r="AQ903" s="1381"/>
      <c r="AR903" s="1236"/>
      <c r="AS903" s="1239"/>
      <c r="AT903" s="1284"/>
      <c r="AU903" s="1301"/>
      <c r="AV903" s="1301">
        <f>IFERROR(Model!AV903/Model!AU903-1,"NA")</f>
        <v>2.1210108185786725E-2</v>
      </c>
      <c r="AW903" s="1301">
        <f>IFERROR(Model!AW903/Model!AV903-1,"NA")</f>
        <v>4.6530769383948511E-2</v>
      </c>
      <c r="AX903" s="1301">
        <f>IFERROR(Model!AX903/Model!AW903-1,"NA")</f>
        <v>-1.6008828957967292E-2</v>
      </c>
      <c r="AY903" s="1301">
        <f>IFERROR(Model!AY903/Model!AX903-1,"NA")</f>
        <v>-0.31074069060648835</v>
      </c>
      <c r="AZ903" s="1301">
        <f>IFERROR(Model!AZ903/Model!AY903-1,"NA")</f>
        <v>0.21775412805142258</v>
      </c>
      <c r="BA903" s="1301">
        <f>IFERROR(Model!BA903/Model!AZ903-1,"NA")</f>
        <v>0.20678726540329251</v>
      </c>
      <c r="BB903" s="1381">
        <f>IFERROR(Model!BB903/Model!BA903-1,"NA")</f>
        <v>0.12550881000000014</v>
      </c>
      <c r="BC903" s="1381">
        <f>IFERROR(Model!BC903/Model!BB903-1,"NA")</f>
        <v>5.0000000000000044E-2</v>
      </c>
      <c r="BD903" s="1381">
        <f>IFERROR(Model!BD903/Model!BC903-1,"NA")</f>
        <v>5.0000000000000044E-2</v>
      </c>
      <c r="BE903" s="1381">
        <f>IFERROR(Model!BE903/Model!BD903-1,"NA")</f>
        <v>5.0000000000000044E-2</v>
      </c>
    </row>
    <row r="904" spans="1:69" x14ac:dyDescent="0.2">
      <c r="C904" s="1217" t="s">
        <v>33</v>
      </c>
      <c r="D904" s="1325"/>
      <c r="E904" s="1325"/>
      <c r="F904" s="1325"/>
      <c r="G904" s="1325"/>
      <c r="H904" s="1325">
        <f>IFERROR(Model!H904/Model!D904-1,"NA")</f>
        <v>-0.30661537126493299</v>
      </c>
      <c r="I904" s="1325">
        <f>IFERROR(Model!I904/Model!E904-1,"NA")</f>
        <v>-0.25470666652137119</v>
      </c>
      <c r="J904" s="1325">
        <f>IFERROR(Model!J904/Model!F904-1,"NA")</f>
        <v>-0.23270518465550272</v>
      </c>
      <c r="K904" s="1325">
        <f>IFERROR(Model!K904/Model!G904-1,"NA")</f>
        <v>-0.15338008033222139</v>
      </c>
      <c r="L904" s="1325">
        <f>IFERROR(Model!L904/Model!H904-1,"NA")</f>
        <v>-8.0017984694468747E-2</v>
      </c>
      <c r="M904" s="1325">
        <f>IFERROR(Model!M904/Model!I904-1,"NA")</f>
        <v>-5.4196315430353748E-3</v>
      </c>
      <c r="N904" s="1325">
        <f>IFERROR(Model!N904/Model!J904-1,"NA")</f>
        <v>3.3235749956948446E-2</v>
      </c>
      <c r="O904" s="1325">
        <f>IFERROR(Model!O904/Model!K904-1,"NA")</f>
        <v>1.3579527179157225E-2</v>
      </c>
      <c r="P904" s="1325">
        <f>IFERROR(Model!P904/Model!L904-1,"NA")</f>
        <v>4.3330175940670124E-4</v>
      </c>
      <c r="Q904" s="1325">
        <f>IFERROR(Model!Q904/Model!M904-1,"NA")</f>
        <v>-7.9179489189877938E-2</v>
      </c>
      <c r="R904" s="1325">
        <f>IFERROR(Model!R904/Model!N904-1,"NA")</f>
        <v>-8.0215686274509812E-2</v>
      </c>
      <c r="S904" s="1325">
        <f>IFERROR(Model!S904/Model!O904-1,"NA")</f>
        <v>-7.8000575174287712E-2</v>
      </c>
      <c r="T904" s="1325">
        <f>IFERROR(Model!T904/Model!P904-1,"NA")</f>
        <v>-9.709309938457511E-2</v>
      </c>
      <c r="U904" s="1325">
        <f>IFERROR(Model!U904/Model!Q904-1,"NA")</f>
        <v>-3.0280453408546681E-2</v>
      </c>
      <c r="V904" s="1325">
        <f>IFERROR(Model!V904/Model!R904-1,"NA")</f>
        <v>-3.039395425184932E-2</v>
      </c>
      <c r="W904" s="1325">
        <f>IFERROR(Model!W904/Model!S904-1,"NA")</f>
        <v>-1.2422894695800379E-2</v>
      </c>
      <c r="X904" s="1325">
        <f>IFERROR(Model!X904/Model!T904-1,"NA")</f>
        <v>2.4614715282542221E-2</v>
      </c>
      <c r="Y904" s="1325">
        <f>IFERROR(Model!Y904/Model!U904-1,"NA")</f>
        <v>5.4461639776094861E-2</v>
      </c>
      <c r="Z904" s="1325">
        <f>IFERROR(Model!Z904/Model!V904-1,"NA")</f>
        <v>0.11614715307283441</v>
      </c>
      <c r="AA904" s="1325">
        <f>IFERROR(Model!AA904/Model!W904-1,"NA")</f>
        <v>0.13048024091005628</v>
      </c>
      <c r="AB904" s="1325">
        <f>IFERROR(Model!AB904/Model!X904-1,"NA")</f>
        <v>0.11203836773800191</v>
      </c>
      <c r="AC904" s="1381">
        <f>IFERROR(Model!AC904/Model!Y904-1,"NA")</f>
        <v>8.4408256307769269E-2</v>
      </c>
      <c r="AD904" s="1381">
        <f>IFERROR(Model!AD904/Model!Z904-1,"NA")</f>
        <v>4.6614815033684032E-2</v>
      </c>
      <c r="AE904" s="1381">
        <f>IFERROR(Model!AE904/Model!AA904-1,"NA")</f>
        <v>4.4231575525775835E-2</v>
      </c>
      <c r="AF904" s="1381">
        <f>IFERROR(Model!AF904/Model!AB904-1,"NA")</f>
        <v>8.2432160000000199E-2</v>
      </c>
      <c r="AG904" s="1381">
        <f>IFERROR(Model!AG904/Model!AC904-1,"NA")</f>
        <v>8.2432160000000199E-2</v>
      </c>
      <c r="AH904" s="1381">
        <f>IFERROR(Model!AH904/Model!AD904-1,"NA")</f>
        <v>8.2432159999999977E-2</v>
      </c>
      <c r="AI904" s="1381">
        <f>IFERROR(Model!AI904/Model!AE904-1,"NA")</f>
        <v>8.2432159999999977E-2</v>
      </c>
      <c r="AJ904" s="1381"/>
      <c r="AK904" s="1381"/>
      <c r="AL904" s="1381"/>
      <c r="AM904" s="1381"/>
      <c r="AN904" s="1381"/>
      <c r="AO904" s="1381"/>
      <c r="AP904" s="1381"/>
      <c r="AQ904" s="1381"/>
      <c r="AR904" s="1236"/>
      <c r="AS904" s="1382"/>
      <c r="AT904" s="407"/>
      <c r="AU904" s="1301"/>
      <c r="AV904" s="1301">
        <f>IFERROR(Model!AV904/Model!AU904-1,"NA")</f>
        <v>-0.24235502849976043</v>
      </c>
      <c r="AW904" s="1301">
        <f>IFERROR(Model!AW904/Model!AV904-1,"NA")</f>
        <v>-1.1147231299849625E-2</v>
      </c>
      <c r="AX904" s="1301">
        <f>IFERROR(Model!AX904/Model!AW904-1,"NA")</f>
        <v>-5.9596249545298186E-2</v>
      </c>
      <c r="AY904" s="1301">
        <f>IFERROR(Model!AY904/Model!AX904-1,"NA")</f>
        <v>-4.3394228049285943E-2</v>
      </c>
      <c r="AZ904" s="1301">
        <f>IFERROR(Model!AZ904/Model!AY904-1,"NA")</f>
        <v>8.1737322112084954E-2</v>
      </c>
      <c r="BA904" s="1301">
        <f>IFERROR(Model!BA904/Model!AZ904-1,"NA")</f>
        <v>7.049914356988296E-2</v>
      </c>
      <c r="BB904" s="1381">
        <f>IFERROR(Model!BB904/Model!BA904-1,"NA")</f>
        <v>8.2432160000000199E-2</v>
      </c>
      <c r="BC904" s="1381">
        <f>IFERROR(Model!BC904/Model!BB904-1,"NA")</f>
        <v>5.0000000000000044E-2</v>
      </c>
      <c r="BD904" s="1381">
        <f>IFERROR(Model!BD904/Model!BC904-1,"NA")</f>
        <v>5.0000000000000044E-2</v>
      </c>
      <c r="BE904" s="1381">
        <f>IFERROR(Model!BE904/Model!BD904-1,"NA")</f>
        <v>5.0000000000000044E-2</v>
      </c>
    </row>
    <row r="905" spans="1:69" x14ac:dyDescent="0.2">
      <c r="A905" s="830"/>
      <c r="B905" s="159"/>
      <c r="C905" s="28" t="s">
        <v>569</v>
      </c>
      <c r="D905" s="1328"/>
      <c r="E905" s="1328"/>
      <c r="F905" s="1328"/>
      <c r="G905" s="1328"/>
      <c r="H905" s="1328">
        <f>IFERROR(Model!H905/Model!D905-1,"NA")</f>
        <v>5.2710864477796049E-2</v>
      </c>
      <c r="I905" s="1328">
        <f>IFERROR(Model!I905/Model!E905-1,"NA")</f>
        <v>7.2644119894738735E-2</v>
      </c>
      <c r="J905" s="1328">
        <f>IFERROR(Model!J905/Model!F905-1,"NA")</f>
        <v>-4.116890530326478E-2</v>
      </c>
      <c r="K905" s="1328">
        <f>IFERROR(Model!K905/Model!G905-1,"NA")</f>
        <v>-2.7492093403491014E-2</v>
      </c>
      <c r="L905" s="1328">
        <f>IFERROR(Model!L905/Model!H905-1,"NA")</f>
        <v>-0.11814702652334519</v>
      </c>
      <c r="M905" s="1328">
        <f>IFERROR(Model!M905/Model!I905-1,"NA")</f>
        <v>-0.14375961656940828</v>
      </c>
      <c r="N905" s="1328">
        <f>IFERROR(Model!N905/Model!J905-1,"NA")</f>
        <v>-7.0898038231180238E-2</v>
      </c>
      <c r="O905" s="1328">
        <f>IFERROR(Model!O905/Model!K905-1,"NA")</f>
        <v>-1.4112375399158994E-2</v>
      </c>
      <c r="P905" s="1328">
        <f>IFERROR(Model!P905/Model!L905-1,"NA")</f>
        <v>-4.4215209745346984E-2</v>
      </c>
      <c r="Q905" s="1328">
        <f>IFERROR(Model!Q905/Model!M905-1,"NA")</f>
        <v>-3.5681406002372573E-2</v>
      </c>
      <c r="R905" s="1328">
        <f>IFERROR(Model!R905/Model!N905-1,"NA")</f>
        <v>-4.8162308949805333E-2</v>
      </c>
      <c r="S905" s="1328">
        <f>IFERROR(Model!S905/Model!O905-1,"NA")</f>
        <v>-0.17050810287425777</v>
      </c>
      <c r="T905" s="1328">
        <f>IFERROR(Model!T905/Model!P905-1,"NA")</f>
        <v>-0.12302410654179408</v>
      </c>
      <c r="U905" s="1328">
        <f>IFERROR(Model!U905/Model!Q905-1,"NA")</f>
        <v>-9.457238572814286E-2</v>
      </c>
      <c r="V905" s="1328">
        <f>IFERROR(Model!V905/Model!R905-1,"NA")</f>
        <v>-1.1750535820377994E-2</v>
      </c>
      <c r="W905" s="1328">
        <f>IFERROR(Model!W905/Model!S905-1,"NA")</f>
        <v>1.0205126083178584E-2</v>
      </c>
      <c r="X905" s="1328">
        <f>IFERROR(Model!X905/Model!T905-1,"NA")</f>
        <v>9.7578709935933539E-2</v>
      </c>
      <c r="Y905" s="1328">
        <f>IFERROR(Model!Y905/Model!U905-1,"NA")</f>
        <v>9.0728328487389209E-2</v>
      </c>
      <c r="Z905" s="1328">
        <f>IFERROR(Model!Z905/Model!V905-1,"NA")</f>
        <v>4.3440971410046547E-2</v>
      </c>
      <c r="AA905" s="1328">
        <f>IFERROR(Model!AA905/Model!W905-1,"NA")</f>
        <v>0.13560999165709142</v>
      </c>
      <c r="AB905" s="1328">
        <f>IFERROR(Model!AB905/Model!X905-1,"NA")</f>
        <v>6.8562040966173354E-2</v>
      </c>
      <c r="AC905" s="1425">
        <f>IFERROR(Model!AC905/Model!Y905-1,"NA")</f>
        <v>1.9425244825014287E-2</v>
      </c>
      <c r="AD905" s="1425">
        <f>IFERROR(Model!AD905/Model!Z905-1,"NA")</f>
        <v>4.5085676025374388E-2</v>
      </c>
      <c r="AE905" s="1425">
        <f>IFERROR(Model!AE905/Model!AA905-1,"NA")</f>
        <v>1.901559232836969E-2</v>
      </c>
      <c r="AF905" s="1425">
        <f>IFERROR(Model!AF905/Model!AB905-1,"NA")</f>
        <v>4.0604010000000024E-2</v>
      </c>
      <c r="AG905" s="1425">
        <f>IFERROR(Model!AG905/Model!AC905-1,"NA")</f>
        <v>4.0604010000000024E-2</v>
      </c>
      <c r="AH905" s="1425">
        <f>IFERROR(Model!AH905/Model!AD905-1,"NA")</f>
        <v>4.0604010000000024E-2</v>
      </c>
      <c r="AI905" s="1425">
        <f>IFERROR(Model!AI905/Model!AE905-1,"NA")</f>
        <v>4.0604010000000024E-2</v>
      </c>
      <c r="AJ905" s="1585"/>
      <c r="AK905" s="1585"/>
      <c r="AL905" s="1585"/>
      <c r="AM905" s="1585"/>
      <c r="AN905" s="1585"/>
      <c r="AO905" s="1585"/>
      <c r="AP905" s="1585"/>
      <c r="AQ905" s="1585"/>
      <c r="AR905" s="1236"/>
      <c r="AS905" s="1474"/>
      <c r="AT905" s="1246"/>
      <c r="AU905" s="1328"/>
      <c r="AV905" s="1328">
        <f>IFERROR(Model!AV905/Model!AU905-1,"NA")</f>
        <v>4.1928090886629965E-2</v>
      </c>
      <c r="AW905" s="1328">
        <f>IFERROR(Model!AW905/Model!AV905-1,"NA")</f>
        <v>-8.9015810688203745E-2</v>
      </c>
      <c r="AX905" s="1328">
        <f>IFERROR(Model!AX905/Model!AW905-1,"NA")</f>
        <v>-7.5624379865157576E-2</v>
      </c>
      <c r="AY905" s="1328">
        <f>IFERROR(Model!AY905/Model!AX905-1,"NA")</f>
        <v>-5.6953267405877805E-2</v>
      </c>
      <c r="AZ905" s="1328">
        <f>IFERROR(Model!AZ905/Model!AY905-1,"NA")</f>
        <v>9.1164784357165241E-2</v>
      </c>
      <c r="BA905" s="1328">
        <f>IFERROR(Model!BA905/Model!AZ905-1,"NA")</f>
        <v>3.7468462088710908E-2</v>
      </c>
      <c r="BB905" s="1425">
        <f>IFERROR(Model!BB905/Model!BA905-1,"NA")</f>
        <v>4.0604009999998913E-2</v>
      </c>
      <c r="BC905" s="1425">
        <f>IFERROR(Model!BC905/Model!BB905-1,"NA")</f>
        <v>2.0000000000000018E-2</v>
      </c>
      <c r="BD905" s="1425">
        <f>IFERROR(Model!BD905/Model!BC905-1,"NA")</f>
        <v>2.0000000000000018E-2</v>
      </c>
      <c r="BE905" s="1425">
        <f>IFERROR(Model!BE905/Model!BD905-1,"NA")</f>
        <v>2.0000000000000018E-2</v>
      </c>
    </row>
    <row r="906" spans="1:69" x14ac:dyDescent="0.2">
      <c r="B906" s="65" t="s">
        <v>356</v>
      </c>
      <c r="D906" s="1325"/>
      <c r="E906" s="1325"/>
      <c r="F906" s="1325"/>
      <c r="G906" s="1325"/>
      <c r="H906" s="1325">
        <f>IFERROR(Model!H906/Model!D906-1,"NA")</f>
        <v>-3.7849674322330329E-2</v>
      </c>
      <c r="I906" s="1325">
        <f>IFERROR(Model!I906/Model!E906-1,"NA")</f>
        <v>-2.1530569794694143E-2</v>
      </c>
      <c r="J906" s="1325">
        <f>IFERROR(Model!J906/Model!F906-1,"NA")</f>
        <v>-3.6632132021545916E-2</v>
      </c>
      <c r="K906" s="1325">
        <f>IFERROR(Model!K906/Model!G906-1,"NA")</f>
        <v>-7.4953414142977515E-3</v>
      </c>
      <c r="L906" s="1325">
        <f>IFERROR(Model!L906/Model!H906-1,"NA")</f>
        <v>-1.5061476911353067E-2</v>
      </c>
      <c r="M906" s="1325">
        <f>IFERROR(Model!M906/Model!I906-1,"NA")</f>
        <v>-2.1131550146780032E-2</v>
      </c>
      <c r="N906" s="1325">
        <f>IFERROR(Model!N906/Model!J906-1,"NA")</f>
        <v>-5.2565597516160967E-3</v>
      </c>
      <c r="O906" s="1325">
        <f>IFERROR(Model!O906/Model!K906-1,"NA")</f>
        <v>-3.0865241634320806E-2</v>
      </c>
      <c r="P906" s="1325">
        <f>IFERROR(Model!P906/Model!L906-1,"NA")</f>
        <v>-5.0421630951096752E-2</v>
      </c>
      <c r="Q906" s="1325">
        <f>IFERROR(Model!Q906/Model!M906-1,"NA")</f>
        <v>-6.809144467251016E-2</v>
      </c>
      <c r="R906" s="1325">
        <f>IFERROR(Model!R906/Model!N906-1,"NA")</f>
        <v>-5.8897004671736086E-2</v>
      </c>
      <c r="S906" s="1325">
        <f>IFERROR(Model!S906/Model!O906-1,"NA")</f>
        <v>-9.0263254546172011E-2</v>
      </c>
      <c r="T906" s="1325">
        <f>IFERROR(Model!T906/Model!P906-1,"NA")</f>
        <v>-6.8724053183579881E-2</v>
      </c>
      <c r="U906" s="1325">
        <f>IFERROR(Model!U906/Model!Q906-1,"NA")</f>
        <v>-4.4197456168976856E-2</v>
      </c>
      <c r="V906" s="1325">
        <f>IFERROR(Model!V906/Model!R906-1,"NA")</f>
        <v>-2.5819541503931842E-2</v>
      </c>
      <c r="W906" s="1325">
        <f>IFERROR(Model!W906/Model!S906-1,"NA")</f>
        <v>2.5347371090250537E-2</v>
      </c>
      <c r="X906" s="1325">
        <f>IFERROR(Model!X906/Model!T906-1,"NA")</f>
        <v>5.2745503659914483E-2</v>
      </c>
      <c r="Y906" s="1325">
        <f>IFERROR(Model!Y906/Model!U906-1,"NA")</f>
        <v>6.93526614192852E-2</v>
      </c>
      <c r="Z906" s="1325">
        <f>IFERROR(Model!Z906/Model!V906-1,"NA")</f>
        <v>6.3343124256829864E-2</v>
      </c>
      <c r="AA906" s="1325">
        <f>IFERROR(Model!AA906/Model!W906-1,"NA")</f>
        <v>7.8213544844417227E-2</v>
      </c>
      <c r="AB906" s="1325">
        <f>IFERROR(Model!AB906/Model!X906-1,"NA")</f>
        <v>7.3143639817258688E-2</v>
      </c>
      <c r="AC906" s="407">
        <f>IFERROR(Model!AC906/Model!Y906-1,"NA")</f>
        <v>5.7007620838059214E-2</v>
      </c>
      <c r="AD906" s="407">
        <f>IFERROR(Model!AD906/Model!Z906-1,"NA")</f>
        <v>5.5213155961111982E-2</v>
      </c>
      <c r="AE906" s="407">
        <f>IFERROR(Model!AE906/Model!AA906-1,"NA")</f>
        <v>5.3994328434412875E-2</v>
      </c>
      <c r="AF906" s="407">
        <f>IFERROR(Model!AF906/Model!AB906-1,"NA")</f>
        <v>5.4091014776725066E-2</v>
      </c>
      <c r="AG906" s="407">
        <f>IFERROR(Model!AG906/Model!AC906-1,"NA")</f>
        <v>5.4251855788391312E-2</v>
      </c>
      <c r="AH906" s="407">
        <f>IFERROR(Model!AH906/Model!AD906-1,"NA")</f>
        <v>5.4414423859656225E-2</v>
      </c>
      <c r="AI906" s="407">
        <f>IFERROR(Model!AI906/Model!AE906-1,"NA")</f>
        <v>5.3415419949669696E-2</v>
      </c>
      <c r="AJ906" s="407"/>
      <c r="AK906" s="407"/>
      <c r="AL906" s="407"/>
      <c r="AM906" s="407"/>
      <c r="AN906" s="407"/>
      <c r="AO906" s="407"/>
      <c r="AP906" s="407"/>
      <c r="AQ906" s="407"/>
      <c r="AR906" s="1236"/>
      <c r="AS906" s="1329"/>
      <c r="AT906" s="407"/>
      <c r="AU906" s="1511"/>
      <c r="AV906" s="1511">
        <f>IFERROR(Model!AV906/Model!AU906-1,"NA")</f>
        <v>-2.6003243304655199E-2</v>
      </c>
      <c r="AW906" s="1511">
        <f>IFERROR(Model!AW906/Model!AV906-1,"NA")</f>
        <v>-1.8117066378501523E-2</v>
      </c>
      <c r="AX906" s="1511">
        <f>IFERROR(Model!AX906/Model!AW906-1,"NA")</f>
        <v>-6.6810917270211712E-2</v>
      </c>
      <c r="AY906" s="1511">
        <f>IFERROR(Model!AY906/Model!AX906-1,"NA")</f>
        <v>-2.9135718351853579E-2</v>
      </c>
      <c r="AZ906" s="1511">
        <f>IFERROR(Model!AZ906/Model!AY906-1,"NA")</f>
        <v>6.6006061764352308E-2</v>
      </c>
      <c r="BA906" s="1511">
        <f>IFERROR(Model!BA906/Model!AZ906-1,"NA")</f>
        <v>5.9687041776527394E-2</v>
      </c>
      <c r="BB906" s="407">
        <f>IFERROR(Model!BB906/Model!BA906-1,"NA")</f>
        <v>5.4040083637240777E-2</v>
      </c>
      <c r="BC906" s="407">
        <f>IFERROR(Model!BC906/Model!BB906-1,"NA")</f>
        <v>3.8685040961481842E-2</v>
      </c>
      <c r="BD906" s="407">
        <f>IFERROR(Model!BD906/Model!BC906-1,"NA")</f>
        <v>3.8780809206020672E-2</v>
      </c>
      <c r="BE906" s="407">
        <f>IFERROR(Model!BE906/Model!BD906-1,"NA")</f>
        <v>3.8875743890089742E-2</v>
      </c>
      <c r="BM906" s="238"/>
      <c r="BN906" s="238"/>
      <c r="BO906" s="238"/>
      <c r="BP906" s="238"/>
      <c r="BQ906" s="238"/>
    </row>
    <row r="907" spans="1:69" x14ac:dyDescent="0.2">
      <c r="D907" s="407"/>
      <c r="E907" s="407"/>
      <c r="F907" s="407"/>
      <c r="G907" s="407"/>
      <c r="H907" s="407"/>
      <c r="I907" s="407"/>
      <c r="J907" s="407"/>
      <c r="K907" s="407"/>
      <c r="L907" s="407"/>
      <c r="M907" s="407"/>
      <c r="N907" s="407"/>
      <c r="O907" s="407"/>
      <c r="P907" s="407"/>
      <c r="Q907" s="407"/>
      <c r="R907" s="407"/>
      <c r="S907" s="407"/>
      <c r="T907" s="407"/>
      <c r="U907" s="407"/>
      <c r="V907" s="407"/>
      <c r="W907" s="407"/>
      <c r="X907" s="407"/>
      <c r="Y907" s="407"/>
      <c r="Z907" s="407"/>
      <c r="AA907" s="407"/>
      <c r="AB907" s="407"/>
      <c r="AC907" s="407"/>
      <c r="AD907" s="407"/>
      <c r="AE907" s="407"/>
      <c r="AF907" s="407"/>
      <c r="AG907" s="407"/>
      <c r="AH907" s="407"/>
      <c r="AI907" s="407"/>
      <c r="AJ907" s="407"/>
      <c r="AK907" s="407"/>
      <c r="AL907" s="407"/>
      <c r="AM907" s="407"/>
      <c r="AN907" s="407"/>
      <c r="AO907" s="407"/>
      <c r="AP907" s="407"/>
      <c r="AQ907" s="407"/>
      <c r="AR907" s="1236"/>
      <c r="AS907" s="1382"/>
      <c r="AT907" s="407"/>
      <c r="AU907" s="1236"/>
      <c r="AV907" s="1236"/>
      <c r="AW907" s="1236"/>
      <c r="AX907" s="1236"/>
      <c r="AY907" s="1236"/>
      <c r="AZ907" s="1236"/>
      <c r="BA907" s="1236"/>
      <c r="BB907" s="407"/>
      <c r="BC907" s="407"/>
      <c r="BD907" s="407"/>
      <c r="BE907" s="407"/>
    </row>
    <row r="908" spans="1:69" x14ac:dyDescent="0.2">
      <c r="B908" s="65" t="s">
        <v>357</v>
      </c>
      <c r="D908" s="407"/>
      <c r="E908" s="407"/>
      <c r="F908" s="407"/>
      <c r="G908" s="407"/>
      <c r="H908" s="407"/>
      <c r="I908" s="407"/>
      <c r="J908" s="407"/>
      <c r="K908" s="407"/>
      <c r="L908" s="407"/>
      <c r="M908" s="407"/>
      <c r="N908" s="407"/>
      <c r="O908" s="407"/>
      <c r="P908" s="407"/>
      <c r="Q908" s="407"/>
      <c r="R908" s="407"/>
      <c r="S908" s="407"/>
      <c r="T908" s="407"/>
      <c r="U908" s="407"/>
      <c r="V908" s="407"/>
      <c r="W908" s="407"/>
      <c r="X908" s="407"/>
      <c r="Y908" s="407"/>
      <c r="Z908" s="407"/>
      <c r="AA908" s="407"/>
      <c r="AB908" s="407"/>
      <c r="AC908" s="407"/>
      <c r="AD908" s="407"/>
      <c r="AE908" s="407"/>
      <c r="AF908" s="407"/>
      <c r="AG908" s="407"/>
      <c r="AH908" s="407"/>
      <c r="AI908" s="407"/>
      <c r="AJ908" s="407"/>
      <c r="AK908" s="407"/>
      <c r="AL908" s="407"/>
      <c r="AM908" s="407"/>
      <c r="AN908" s="407"/>
      <c r="AO908" s="407"/>
      <c r="AP908" s="407"/>
      <c r="AQ908" s="407"/>
      <c r="AR908" s="1236"/>
      <c r="AS908" s="1329"/>
      <c r="AT908" s="407"/>
      <c r="AU908" s="1236"/>
      <c r="AV908" s="1236"/>
      <c r="AW908" s="1236"/>
      <c r="AX908" s="1236"/>
      <c r="AY908" s="1236"/>
      <c r="AZ908" s="1236"/>
      <c r="BA908" s="1236"/>
      <c r="BB908" s="407"/>
      <c r="BC908" s="407"/>
      <c r="BD908" s="407"/>
      <c r="BE908" s="407"/>
    </row>
    <row r="909" spans="1:69" x14ac:dyDescent="0.2">
      <c r="B909" s="644" t="s">
        <v>360</v>
      </c>
      <c r="C909" s="636"/>
      <c r="D909" s="407"/>
      <c r="E909" s="407"/>
      <c r="F909" s="407"/>
      <c r="G909" s="407"/>
      <c r="H909" s="407"/>
      <c r="I909" s="407"/>
      <c r="J909" s="407"/>
      <c r="K909" s="407"/>
      <c r="L909" s="407"/>
      <c r="M909" s="407"/>
      <c r="N909" s="407"/>
      <c r="O909" s="407"/>
      <c r="P909" s="407"/>
      <c r="Q909" s="407"/>
      <c r="R909" s="407"/>
      <c r="S909" s="407"/>
      <c r="T909" s="407"/>
      <c r="U909" s="407"/>
      <c r="V909" s="407"/>
      <c r="W909" s="407"/>
      <c r="X909" s="407"/>
      <c r="Y909" s="407"/>
      <c r="Z909" s="407"/>
      <c r="AA909" s="407"/>
      <c r="AB909" s="407"/>
      <c r="AC909" s="407"/>
      <c r="AD909" s="407"/>
      <c r="AE909" s="407"/>
      <c r="AF909" s="407"/>
      <c r="AG909" s="407"/>
      <c r="AH909" s="407"/>
      <c r="AI909" s="407"/>
      <c r="AJ909" s="407"/>
      <c r="AK909" s="407"/>
      <c r="AL909" s="407"/>
      <c r="AM909" s="407"/>
      <c r="AN909" s="407"/>
      <c r="AO909" s="407"/>
      <c r="AP909" s="407"/>
      <c r="AQ909" s="407"/>
      <c r="AR909" s="1236"/>
      <c r="AS909" s="1491"/>
      <c r="AT909" s="1263"/>
      <c r="AU909" s="1236"/>
      <c r="AV909" s="1236"/>
      <c r="AW909" s="1236"/>
      <c r="AX909" s="1236"/>
      <c r="AY909" s="1236"/>
      <c r="AZ909" s="1236"/>
      <c r="BA909" s="1236"/>
      <c r="BB909" s="407"/>
      <c r="BC909" s="407"/>
      <c r="BD909" s="407"/>
      <c r="BE909" s="407"/>
    </row>
    <row r="910" spans="1:69" x14ac:dyDescent="0.2">
      <c r="B910" s="319"/>
      <c r="C910" s="634" t="s">
        <v>349</v>
      </c>
      <c r="D910" s="407"/>
      <c r="E910" s="407"/>
      <c r="F910" s="407"/>
      <c r="G910" s="407"/>
      <c r="H910" s="407" t="str">
        <f>IFERROR(Model!H910/Model!D910-1,"NA")</f>
        <v>NA</v>
      </c>
      <c r="I910" s="407">
        <f>IFERROR(Model!I910/Model!E910-1,"NA")</f>
        <v>2.4724991653924278E-2</v>
      </c>
      <c r="J910" s="407">
        <f>IFERROR(Model!J910/Model!F910-1,"NA")</f>
        <v>4.2861917775893765E-4</v>
      </c>
      <c r="K910" s="407">
        <f>IFERROR(Model!K910/Model!G910-1,"NA")</f>
        <v>-1.8836434808335634E-2</v>
      </c>
      <c r="L910" s="407">
        <f>IFERROR(Model!L910/Model!H910-1,"NA")</f>
        <v>3.8903141526063889E-2</v>
      </c>
      <c r="M910" s="407">
        <f>IFERROR(Model!M910/Model!I910-1,"NA")</f>
        <v>7.1017745386682041E-2</v>
      </c>
      <c r="N910" s="407">
        <f>IFERROR(Model!N910/Model!J910-1,"NA")</f>
        <v>1.7616955041782401E-2</v>
      </c>
      <c r="O910" s="407">
        <f>IFERROR(Model!O910/Model!K910-1,"NA")</f>
        <v>-5.6867384177645697E-3</v>
      </c>
      <c r="P910" s="407">
        <f>IFERROR(Model!P910/Model!L910-1,"NA")</f>
        <v>5.6622139067004085E-3</v>
      </c>
      <c r="Q910" s="407">
        <f>IFERROR(Model!Q910/Model!M910-1,"NA")</f>
        <v>1.9888465366055152E-2</v>
      </c>
      <c r="R910" s="407">
        <f>IFERROR(Model!R910/Model!N910-1,"NA")</f>
        <v>6.7756937148507612E-2</v>
      </c>
      <c r="S910" s="407">
        <f>IFERROR(Model!S910/Model!O910-1,"NA")</f>
        <v>9.1263253253292209E-2</v>
      </c>
      <c r="T910" s="407">
        <f>IFERROR(Model!T910/Model!P910-1,"NA")</f>
        <v>4.4726316820198342E-2</v>
      </c>
      <c r="U910" s="407">
        <f>IFERROR(Model!U910/Model!Q910-1,"NA")</f>
        <v>2.4732952599776814E-2</v>
      </c>
      <c r="V910" s="407">
        <f>IFERROR(Model!V910/Model!R910-1,"NA")</f>
        <v>2.0279411658310265E-2</v>
      </c>
      <c r="W910" s="407">
        <f>IFERROR(Model!W910/Model!S910-1,"NA")</f>
        <v>-7.400044179368237E-3</v>
      </c>
      <c r="X910" s="407">
        <f>IFERROR(Model!X910/Model!T910-1,"NA")</f>
        <v>-4.0619750398338872E-2</v>
      </c>
      <c r="Y910" s="407">
        <f>IFERROR(Model!Y910/Model!U910-1,"NA")</f>
        <v>-8.1240253253706429E-2</v>
      </c>
      <c r="Z910" s="407">
        <f>IFERROR(Model!Z910/Model!V910-1,"NA")</f>
        <v>-0.1012997971947639</v>
      </c>
      <c r="AA910" s="407">
        <f>IFERROR(Model!AA910/Model!W910-1,"NA")</f>
        <v>-8.7929877206143647E-2</v>
      </c>
      <c r="AB910" s="407">
        <f>IFERROR(Model!AB910/Model!X910-1,"NA")</f>
        <v>-5.2311993206429874E-2</v>
      </c>
      <c r="AC910" s="1381">
        <f>IFERROR(Model!AC910/Model!Y910-1,"NA")</f>
        <v>-2.3462565851483652E-2</v>
      </c>
      <c r="AD910" s="1381">
        <f>IFERROR(Model!AD910/Model!Z910-1,"NA")</f>
        <v>-2.4775888556177517E-2</v>
      </c>
      <c r="AE910" s="1381">
        <f>IFERROR(Model!AE910/Model!AA910-1,"NA")</f>
        <v>-3.6910462857142834E-2</v>
      </c>
      <c r="AF910" s="1381">
        <f>IFERROR(Model!AF910/Model!AB910-1,"NA")</f>
        <v>-3.9403990000000055E-2</v>
      </c>
      <c r="AG910" s="1381">
        <f>IFERROR(Model!AG910/Model!AC910-1,"NA")</f>
        <v>-3.9403990000000055E-2</v>
      </c>
      <c r="AH910" s="1381">
        <f>IFERROR(Model!AH910/Model!AD910-1,"NA")</f>
        <v>-3.9403990000000055E-2</v>
      </c>
      <c r="AI910" s="1381">
        <f>IFERROR(Model!AI910/Model!AE910-1,"NA")</f>
        <v>-4.1344588000000071E-2</v>
      </c>
      <c r="AJ910" s="1381"/>
      <c r="AK910" s="1381"/>
      <c r="AL910" s="1381"/>
      <c r="AM910" s="1381"/>
      <c r="AN910" s="1381"/>
      <c r="AO910" s="1381"/>
      <c r="AP910" s="1381"/>
      <c r="AQ910" s="1381"/>
      <c r="AR910" s="1236"/>
      <c r="AS910" s="1248"/>
      <c r="AT910" s="1491"/>
      <c r="AU910" s="1301"/>
      <c r="AV910" s="1301">
        <f>IFERROR(Model!AV910/Model!AU910-1,"NA")</f>
        <v>1.7375080860195791E-3</v>
      </c>
      <c r="AW910" s="1301">
        <f>IFERROR(Model!AW910/Model!AV910-1,"NA")</f>
        <v>3.0078022715773312E-2</v>
      </c>
      <c r="AX910" s="1301">
        <f>IFERROR(Model!AX910/Model!AW910-1,"NA")</f>
        <v>4.5685594502361981E-2</v>
      </c>
      <c r="AY910" s="1301">
        <f>IFERROR(Model!AY910/Model!AX910-1,"NA")</f>
        <v>2.0217159453455036E-2</v>
      </c>
      <c r="AZ910" s="1301">
        <f>IFERROR(Model!AZ910/Model!AY910-1,"NA")</f>
        <v>-7.7883908232341148E-2</v>
      </c>
      <c r="BA910" s="1301">
        <f>IFERROR(Model!BA910/Model!AZ910-1,"NA")</f>
        <v>-3.4564042809569817E-2</v>
      </c>
      <c r="BB910" s="1381">
        <f>IFERROR(Model!BB910/Model!BA910-1,"NA")</f>
        <v>-3.9881850312826872E-2</v>
      </c>
      <c r="BC910" s="1381">
        <f>IFERROR(Model!BC910/Model!BB910-1,"NA")</f>
        <v>1.6976187297235157E-4</v>
      </c>
      <c r="BD910" s="1381">
        <f>IFERROR(Model!BD910/Model!BC910-1,"NA")</f>
        <v>1.6976187297235157E-4</v>
      </c>
      <c r="BE910" s="1381">
        <f>IFERROR(Model!BE910/Model!BD910-1,"NA")</f>
        <v>1.6976187297235157E-4</v>
      </c>
    </row>
    <row r="911" spans="1:69" x14ac:dyDescent="0.2">
      <c r="B911" s="319"/>
      <c r="C911" s="634" t="s">
        <v>351</v>
      </c>
      <c r="D911" s="407"/>
      <c r="E911" s="407"/>
      <c r="F911" s="407"/>
      <c r="G911" s="407"/>
      <c r="H911" s="407" t="str">
        <f>IFERROR(Model!H911/Model!D911-1,"NA")</f>
        <v>NA</v>
      </c>
      <c r="I911" s="407">
        <f>IFERROR(Model!I911/Model!E911-1,"NA")</f>
        <v>0.22124810161535313</v>
      </c>
      <c r="J911" s="407">
        <f>IFERROR(Model!J911/Model!F911-1,"NA")</f>
        <v>-0.25097910922091793</v>
      </c>
      <c r="K911" s="407">
        <f>IFERROR(Model!K911/Model!G911-1,"NA")</f>
        <v>0.11748285642480116</v>
      </c>
      <c r="L911" s="407">
        <f>IFERROR(Model!L911/Model!H911-1,"NA")</f>
        <v>0.11106647733642383</v>
      </c>
      <c r="M911" s="407">
        <f>IFERROR(Model!M911/Model!I911-1,"NA")</f>
        <v>0.22723418687468122</v>
      </c>
      <c r="N911" s="407">
        <f>IFERROR(Model!N911/Model!J911-1,"NA")</f>
        <v>0.81245164349714516</v>
      </c>
      <c r="O911" s="407">
        <f>IFERROR(Model!O911/Model!K911-1,"NA")</f>
        <v>0.42622147613272232</v>
      </c>
      <c r="P911" s="407">
        <f>IFERROR(Model!P911/Model!L911-1,"NA")</f>
        <v>0.19898598370511089</v>
      </c>
      <c r="Q911" s="407">
        <f>IFERROR(Model!Q911/Model!M911-1,"NA")</f>
        <v>0.1468687147835972</v>
      </c>
      <c r="R911" s="407">
        <f>IFERROR(Model!R911/Model!N911-1,"NA")</f>
        <v>-3.7882386962182268E-2</v>
      </c>
      <c r="S911" s="407">
        <f>IFERROR(Model!S911/Model!O911-1,"NA")</f>
        <v>-0.15392023247693876</v>
      </c>
      <c r="T911" s="407">
        <f>IFERROR(Model!T911/Model!P911-1,"NA")</f>
        <v>-8.5800040673496447E-2</v>
      </c>
      <c r="U911" s="407">
        <f>IFERROR(Model!U911/Model!Q911-1,"NA")</f>
        <v>2.5422027068635389E-2</v>
      </c>
      <c r="V911" s="407">
        <f>IFERROR(Model!V911/Model!R911-1,"NA")</f>
        <v>0.16523182836328387</v>
      </c>
      <c r="W911" s="407">
        <f>IFERROR(Model!W911/Model!S911-1,"NA")</f>
        <v>2.5819549372650297E-2</v>
      </c>
      <c r="X911" s="407">
        <f>IFERROR(Model!X911/Model!T911-1,"NA")</f>
        <v>0.22029854867908183</v>
      </c>
      <c r="Y911" s="407">
        <f>IFERROR(Model!Y911/Model!U911-1,"NA")</f>
        <v>0.13172667693673512</v>
      </c>
      <c r="Z911" s="407">
        <f>IFERROR(Model!Z911/Model!V911-1,"NA")</f>
        <v>8.2400845073882012E-2</v>
      </c>
      <c r="AA911" s="407">
        <f>IFERROR(Model!AA911/Model!W911-1,"NA")</f>
        <v>0.26113137028433586</v>
      </c>
      <c r="AB911" s="407">
        <f>IFERROR(Model!AB911/Model!X911-1,"NA")</f>
        <v>0.13573417649906094</v>
      </c>
      <c r="AC911" s="1381">
        <f>IFERROR(Model!AC911/Model!Y911-1,"NA")</f>
        <v>5.2526070505721556E-2</v>
      </c>
      <c r="AD911" s="1381">
        <f>IFERROR(Model!AD911/Model!Z911-1,"NA")</f>
        <v>4.5758342742690417E-2</v>
      </c>
      <c r="AE911" s="1381">
        <f>IFERROR(Model!AE911/Model!AA911-1,"NA")</f>
        <v>-4.2227932598607909E-2</v>
      </c>
      <c r="AF911" s="1381">
        <f>IFERROR(Model!AF911/Model!AB911-1,"NA")</f>
        <v>3.0300999999999911E-2</v>
      </c>
      <c r="AG911" s="1381">
        <f>IFERROR(Model!AG911/Model!AC911-1,"NA")</f>
        <v>2.0099999999999785E-2</v>
      </c>
      <c r="AH911" s="1381">
        <f>IFERROR(Model!AH911/Model!AD911-1,"NA")</f>
        <v>1.0000000000000009E-2</v>
      </c>
      <c r="AI911" s="1381">
        <f>IFERROR(Model!AI911/Model!AE911-1,"NA")</f>
        <v>0</v>
      </c>
      <c r="AJ911" s="1381"/>
      <c r="AK911" s="1381"/>
      <c r="AL911" s="1381"/>
      <c r="AM911" s="1381"/>
      <c r="AN911" s="1381"/>
      <c r="AO911" s="1381"/>
      <c r="AP911" s="1381"/>
      <c r="AQ911" s="1381"/>
      <c r="AR911" s="1236"/>
      <c r="AS911" s="1248"/>
      <c r="AT911" s="1491"/>
      <c r="AU911" s="407"/>
      <c r="AV911" s="407">
        <f>IFERROR(Model!AV911/Model!AU911-1,"NA")</f>
        <v>2.6385217792888049E-2</v>
      </c>
      <c r="AW911" s="407">
        <f>IFERROR(Model!AW911/Model!AV911-1,"NA")</f>
        <v>0.3690037695207331</v>
      </c>
      <c r="AX911" s="407">
        <f>IFERROR(Model!AX911/Model!AW911-1,"NA")</f>
        <v>1.7421206844706605E-2</v>
      </c>
      <c r="AY911" s="407">
        <f>IFERROR(Model!AY911/Model!AX911-1,"NA")</f>
        <v>3.1841902231906527E-2</v>
      </c>
      <c r="AZ911" s="407">
        <f>IFERROR(Model!AZ911/Model!AY911-1,"NA")</f>
        <v>0.17079100749375531</v>
      </c>
      <c r="BA911" s="407">
        <f>IFERROR(Model!BA911/Model!AZ911-1,"NA")</f>
        <v>4.3462878098597058E-2</v>
      </c>
      <c r="BB911" s="1381">
        <f>IFERROR(Model!BB911/Model!BA911-1,"NA")</f>
        <v>1.497462935311078E-2</v>
      </c>
      <c r="BC911" s="1381">
        <f>IFERROR(Model!BC911/Model!BB911-1,"NA")</f>
        <v>0</v>
      </c>
      <c r="BD911" s="1381">
        <f>IFERROR(Model!BD911/Model!BC911-1,"NA")</f>
        <v>0</v>
      </c>
      <c r="BE911" s="1381">
        <f>IFERROR(Model!BE911/Model!BD911-1,"NA")</f>
        <v>0</v>
      </c>
    </row>
    <row r="912" spans="1:69" x14ac:dyDescent="0.2">
      <c r="B912" s="319" t="s">
        <v>359</v>
      </c>
      <c r="C912" s="634"/>
      <c r="D912" s="1307"/>
      <c r="E912" s="1307"/>
      <c r="F912" s="1307"/>
      <c r="G912" s="1307"/>
      <c r="H912" s="1307" t="str">
        <f>IFERROR(Model!H912/Model!D912-1,"NA")</f>
        <v>NA</v>
      </c>
      <c r="I912" s="1307">
        <f>IFERROR(Model!I912/Model!E912-1,"NA")</f>
        <v>-7.1845625741875474E-2</v>
      </c>
      <c r="J912" s="1307">
        <f>IFERROR(Model!J912/Model!F912-1,"NA")</f>
        <v>-4.6547170008831573E-3</v>
      </c>
      <c r="K912" s="1307">
        <f>IFERROR(Model!K912/Model!G912-1,"NA")</f>
        <v>-0.16260740459944401</v>
      </c>
      <c r="L912" s="1307">
        <f>IFERROR(Model!L912/Model!H912-1,"NA")</f>
        <v>-2.593720042382186E-2</v>
      </c>
      <c r="M912" s="1307">
        <f>IFERROR(Model!M912/Model!I912-1,"NA")</f>
        <v>-1.6725714186958451E-2</v>
      </c>
      <c r="N912" s="1307">
        <f>IFERROR(Model!N912/Model!J912-1,"NA")</f>
        <v>-1.8460546104040354E-2</v>
      </c>
      <c r="O912" s="1307">
        <f>IFERROR(Model!O912/Model!K912-1,"NA")</f>
        <v>0.1496916083520381</v>
      </c>
      <c r="P912" s="1307">
        <f>IFERROR(Model!P912/Model!L912-1,"NA")</f>
        <v>9.6531576330183944E-2</v>
      </c>
      <c r="Q912" s="1307">
        <f>IFERROR(Model!Q912/Model!M912-1,"NA")</f>
        <v>6.4044066986318704E-2</v>
      </c>
      <c r="R912" s="1307">
        <f>IFERROR(Model!R912/Model!N912-1,"NA")</f>
        <v>-8.8702851163071972E-2</v>
      </c>
      <c r="S912" s="1307">
        <f>IFERROR(Model!S912/Model!O912-1,"NA")</f>
        <v>-3.2903932853401874E-2</v>
      </c>
      <c r="T912" s="1307">
        <f>IFERROR(Model!T912/Model!P912-1,"NA")</f>
        <v>2.0942375400738733E-3</v>
      </c>
      <c r="U912" s="1307">
        <f>IFERROR(Model!U912/Model!Q912-1,"NA")</f>
        <v>3.6601199226944603E-2</v>
      </c>
      <c r="V912" s="1307">
        <f>IFERROR(Model!V912/Model!R912-1,"NA")</f>
        <v>0.14613078324939699</v>
      </c>
      <c r="W912" s="1307">
        <f>IFERROR(Model!W912/Model!S912-1,"NA")</f>
        <v>-1.7581716643256473E-2</v>
      </c>
      <c r="X912" s="1307">
        <f>IFERROR(Model!X912/Model!T912-1,"NA")</f>
        <v>-0.12612703211471887</v>
      </c>
      <c r="Y912" s="1307">
        <f>IFERROR(Model!Y912/Model!U912-1,"NA")</f>
        <v>-0.12449406260556994</v>
      </c>
      <c r="Z912" s="1307">
        <f>IFERROR(Model!Z912/Model!V912-1,"NA")</f>
        <v>-3.5296008425631187E-2</v>
      </c>
      <c r="AA912" s="1307">
        <f>IFERROR(Model!AA912/Model!W912-1,"NA")</f>
        <v>-1.0015333821444816E-3</v>
      </c>
      <c r="AB912" s="1307">
        <f>IFERROR(Model!AB912/Model!X912-1,"NA")</f>
        <v>2.3285587390179607E-2</v>
      </c>
      <c r="AC912" s="1307">
        <f>IFERROR(Model!AC912/Model!Y912-1,"NA")</f>
        <v>-4.0726128482115764E-2</v>
      </c>
      <c r="AD912" s="1307">
        <f>IFERROR(Model!AD912/Model!Z912-1,"NA")</f>
        <v>-0.12880935030475937</v>
      </c>
      <c r="AE912" s="1307">
        <f>IFERROR(Model!AE912/Model!AA912-1,"NA")</f>
        <v>-0.18225042615463916</v>
      </c>
      <c r="AF912" s="1307">
        <f>IFERROR(Model!AF912/Model!AB912-1,"NA")</f>
        <v>-0.2047889311173684</v>
      </c>
      <c r="AG912" s="1307">
        <f>IFERROR(Model!AG912/Model!AC912-1,"NA")</f>
        <v>-0.16318056435885964</v>
      </c>
      <c r="AH912" s="1307">
        <f>IFERROR(Model!AH912/Model!AD912-1,"NA")</f>
        <v>-7.9060702519810011E-2</v>
      </c>
      <c r="AI912" s="1307">
        <f>IFERROR(Model!AI912/Model!AE912-1,"NA")</f>
        <v>2.1260645199559391E-2</v>
      </c>
      <c r="AJ912" s="1318"/>
      <c r="AK912" s="1318"/>
      <c r="AL912" s="1318"/>
      <c r="AM912" s="1318"/>
      <c r="AN912" s="1318"/>
      <c r="AO912" s="1318"/>
      <c r="AP912" s="1318"/>
      <c r="AQ912" s="1318"/>
      <c r="AR912" s="1236"/>
      <c r="AS912" s="1248"/>
      <c r="AT912" s="1491"/>
      <c r="AU912" s="1307"/>
      <c r="AV912" s="1307">
        <f>IFERROR(Model!AV912/Model!AU912-1,"NA")</f>
        <v>-4.9478875013999613E-3</v>
      </c>
      <c r="AW912" s="1307">
        <f>IFERROR(Model!AW912/Model!AV912-1,"NA")</f>
        <v>3.6496587842501649E-2</v>
      </c>
      <c r="AX912" s="1307">
        <f>IFERROR(Model!AX912/Model!AW912-1,"NA")</f>
        <v>4.2154360121584578E-3</v>
      </c>
      <c r="AY912" s="1307">
        <f>IFERROR(Model!AY912/Model!AX912-1,"NA")</f>
        <v>6.0386134699408345E-2</v>
      </c>
      <c r="AZ912" s="1307">
        <f>IFERROR(Model!AZ912/Model!AY912-1,"NA")</f>
        <v>-3.0929411980277433E-2</v>
      </c>
      <c r="BA912" s="1307">
        <f>IFERROR(Model!BA912/Model!AZ912-1,"NA")</f>
        <v>-0.14326095058993871</v>
      </c>
      <c r="BB912" s="1307">
        <f>IFERROR(Model!BB912/Model!BA912-1,"NA")</f>
        <v>-0.11532159289008304</v>
      </c>
      <c r="BC912" s="1307">
        <f>IFERROR(Model!BC912/Model!BB912-1,"NA")</f>
        <v>-3.56279841230428E-2</v>
      </c>
      <c r="BD912" s="1307">
        <f>IFERROR(Model!BD912/Model!BC912-1,"NA")</f>
        <v>4.6296223144672632E-2</v>
      </c>
      <c r="BE912" s="1307">
        <f>IFERROR(Model!BE912/Model!BD912-1,"NA")</f>
        <v>2.8255302071380495E-3</v>
      </c>
    </row>
    <row r="913" spans="1:57" x14ac:dyDescent="0.2">
      <c r="B913" s="325" t="s">
        <v>358</v>
      </c>
      <c r="C913" s="634"/>
      <c r="D913" s="407"/>
      <c r="E913" s="1329"/>
      <c r="F913" s="1329"/>
      <c r="G913" s="1329"/>
      <c r="H913" s="1329" t="str">
        <f>IFERROR(Model!H913/Model!D913-1,"NA")</f>
        <v>NA</v>
      </c>
      <c r="I913" s="1329">
        <f>IFERROR(Model!I913/Model!E913-1,"NA")</f>
        <v>-1.672571939563805E-2</v>
      </c>
      <c r="J913" s="1329">
        <f>IFERROR(Model!J913/Model!F913-1,"NA")</f>
        <v>-3.7892767786618875E-2</v>
      </c>
      <c r="K913" s="1329">
        <f>IFERROR(Model!K913/Model!G913-1,"NA")</f>
        <v>-1.8617529676149935E-2</v>
      </c>
      <c r="L913" s="1329">
        <f>IFERROR(Model!L913/Model!H913-1,"NA")</f>
        <v>-7.9826727741714176E-3</v>
      </c>
      <c r="M913" s="1329">
        <f>IFERROR(Model!M913/Model!I913-1,"NA")</f>
        <v>-6.2877290908487371E-3</v>
      </c>
      <c r="N913" s="1329">
        <f>IFERROR(Model!N913/Model!J913-1,"NA")</f>
        <v>1.5133316014667164E-2</v>
      </c>
      <c r="O913" s="1329">
        <f>IFERROR(Model!O913/Model!K913-1,"NA")</f>
        <v>2.1779654625453393E-3</v>
      </c>
      <c r="P913" s="1329">
        <f>IFERROR(Model!P913/Model!L913-1,"NA")</f>
        <v>-2.4528119995786857E-2</v>
      </c>
      <c r="Q913" s="1329">
        <f>IFERROR(Model!Q913/Model!M913-1,"NA")</f>
        <v>-4.1785179513533111E-2</v>
      </c>
      <c r="R913" s="1329">
        <f>IFERROR(Model!R913/Model!N913-1,"NA")</f>
        <v>-5.0724327537524094E-2</v>
      </c>
      <c r="S913" s="1329">
        <f>IFERROR(Model!S913/Model!O913-1,"NA")</f>
        <v>-7.4599788987593785E-2</v>
      </c>
      <c r="T913" s="1329">
        <f>IFERROR(Model!T913/Model!P913-1,"NA")</f>
        <v>-5.3419251171502924E-2</v>
      </c>
      <c r="U913" s="1329">
        <f>IFERROR(Model!U913/Model!Q913-1,"NA")</f>
        <v>-2.7673881559956426E-2</v>
      </c>
      <c r="V913" s="1329">
        <f>IFERROR(Model!V913/Model!R913-1,"NA")</f>
        <v>2.6645058390561971E-4</v>
      </c>
      <c r="W913" s="1329">
        <f>IFERROR(Model!W913/Model!S913-1,"NA")</f>
        <v>1.8376299197245594E-2</v>
      </c>
      <c r="X913" s="1329">
        <f>IFERROR(Model!X913/Model!T913-1,"NA")</f>
        <v>3.3097491192573658E-2</v>
      </c>
      <c r="Y913" s="1329">
        <f>IFERROR(Model!Y913/Model!U913-1,"NA")</f>
        <v>3.9798681687303272E-2</v>
      </c>
      <c r="Z913" s="1329">
        <f>IFERROR(Model!Z913/Model!V913-1,"NA")</f>
        <v>4.0749506446480455E-2</v>
      </c>
      <c r="AA913" s="1329">
        <f>IFERROR(Model!AA913/Model!W913-1,"NA")</f>
        <v>6.531286321821117E-2</v>
      </c>
      <c r="AB913" s="1329">
        <f>IFERROR(Model!AB913/Model!X913-1,"NA")</f>
        <v>6.1511013518150026E-2</v>
      </c>
      <c r="AC913" s="1329">
        <f>IFERROR(Model!AC913/Model!Y913-1,"NA")</f>
        <v>4.2304594984269084E-2</v>
      </c>
      <c r="AD913" s="1329">
        <f>IFERROR(Model!AD913/Model!Z913-1,"NA")</f>
        <v>3.2999466115037679E-2</v>
      </c>
      <c r="AE913" s="1329">
        <f>IFERROR(Model!AE913/Model!AA913-1,"NA")</f>
        <v>2.1490961511705597E-2</v>
      </c>
      <c r="AF913" s="1329">
        <f>IFERROR(Model!AF913/Model!AB913-1,"NA")</f>
        <v>2.4254521682723684E-2</v>
      </c>
      <c r="AG913" s="1329">
        <f>IFERROR(Model!AG913/Model!AC913-1,"NA")</f>
        <v>2.8815526656839507E-2</v>
      </c>
      <c r="AH913" s="1329">
        <f>IFERROR(Model!AH913/Model!AD913-1,"NA")</f>
        <v>3.5727299497096077E-2</v>
      </c>
      <c r="AI913" s="1329">
        <f>IFERROR(Model!AI913/Model!AE913-1,"NA")</f>
        <v>4.1645622402388005E-2</v>
      </c>
      <c r="AJ913" s="1329"/>
      <c r="AK913" s="1329"/>
      <c r="AL913" s="1329"/>
      <c r="AM913" s="1329"/>
      <c r="AN913" s="1329"/>
      <c r="AO913" s="1329"/>
      <c r="AP913" s="1329"/>
      <c r="AQ913" s="1329"/>
      <c r="AR913" s="1236"/>
      <c r="AS913" s="1239"/>
      <c r="AT913" s="1491"/>
      <c r="AU913" s="1329"/>
      <c r="AV913" s="1329">
        <f>IFERROR(Model!AV913/Model!AU913-1,"NA")</f>
        <v>-2.06600543020099E-2</v>
      </c>
      <c r="AW913" s="1329">
        <f>IFERROR(Model!AW913/Model!AV913-1,"NA")</f>
        <v>2.1279633499942108E-3</v>
      </c>
      <c r="AX913" s="1329">
        <f>IFERROR(Model!AX913/Model!AW913-1,"NA")</f>
        <v>-4.8326509914641602E-2</v>
      </c>
      <c r="AY913" s="1329">
        <f>IFERROR(Model!AY913/Model!AX913-1,"NA")</f>
        <v>-1.3927024347004435E-2</v>
      </c>
      <c r="AZ913" s="1329">
        <f>IFERROR(Model!AZ913/Model!AY913-1,"NA")</f>
        <v>4.8694927585406944E-2</v>
      </c>
      <c r="BA913" s="1329">
        <f>IFERROR(Model!BA913/Model!AZ913-1,"NA")</f>
        <v>3.2953172638985562E-2</v>
      </c>
      <c r="BB913" s="1329">
        <f>IFERROR(Model!BB913/Model!BA913-1,"NA")</f>
        <v>3.2296288207008139E-2</v>
      </c>
      <c r="BC913" s="1329">
        <f>IFERROR(Model!BC913/Model!BB913-1,"NA")</f>
        <v>2.9224469060008085E-2</v>
      </c>
      <c r="BD913" s="1329">
        <f>IFERROR(Model!BD913/Model!BC913-1,"NA")</f>
        <v>3.4732759778233646E-2</v>
      </c>
      <c r="BE913" s="1329">
        <f>IFERROR(Model!BE913/Model!BD913-1,"NA")</f>
        <v>3.2287607211368918E-2</v>
      </c>
    </row>
    <row r="914" spans="1:57" x14ac:dyDescent="0.2">
      <c r="D914" s="407"/>
      <c r="E914" s="407"/>
      <c r="F914" s="407"/>
      <c r="G914" s="407"/>
      <c r="H914" s="407"/>
      <c r="I914" s="407"/>
      <c r="J914" s="407"/>
      <c r="K914" s="407"/>
      <c r="L914" s="407"/>
      <c r="M914" s="407"/>
      <c r="N914" s="407"/>
      <c r="O914" s="407"/>
      <c r="P914" s="407"/>
      <c r="Q914" s="407"/>
      <c r="R914" s="407"/>
      <c r="S914" s="407"/>
      <c r="T914" s="407"/>
      <c r="U914" s="407"/>
      <c r="V914" s="407"/>
      <c r="W914" s="407"/>
      <c r="X914" s="407"/>
      <c r="Y914" s="407"/>
      <c r="Z914" s="407"/>
      <c r="AA914" s="407"/>
      <c r="AB914" s="407"/>
      <c r="AC914" s="407"/>
      <c r="AD914" s="407"/>
      <c r="AE914" s="407"/>
      <c r="AF914" s="407"/>
      <c r="AG914" s="407"/>
      <c r="AH914" s="407"/>
      <c r="AI914" s="407"/>
      <c r="AJ914" s="407"/>
      <c r="AK914" s="407"/>
      <c r="AL914" s="407"/>
      <c r="AM914" s="407"/>
      <c r="AN914" s="407"/>
      <c r="AO914" s="407"/>
      <c r="AP914" s="407"/>
      <c r="AQ914" s="407"/>
      <c r="AR914" s="1236"/>
      <c r="AS914" s="1236"/>
      <c r="AT914" s="1236"/>
      <c r="AU914" s="1236"/>
      <c r="AV914" s="1236"/>
      <c r="AW914" s="1236"/>
      <c r="AX914" s="1236"/>
      <c r="AY914" s="1236"/>
      <c r="AZ914" s="1236"/>
      <c r="BA914" s="1236"/>
      <c r="BB914" s="1236"/>
      <c r="BC914" s="1236"/>
      <c r="BD914" s="1236"/>
      <c r="BE914" s="1236"/>
    </row>
    <row r="915" spans="1:57" x14ac:dyDescent="0.2">
      <c r="B915" s="642" t="s">
        <v>112</v>
      </c>
      <c r="C915" s="648"/>
      <c r="D915" s="407"/>
      <c r="E915" s="407"/>
      <c r="F915" s="407"/>
      <c r="G915" s="407"/>
      <c r="H915" s="407"/>
      <c r="I915" s="407"/>
      <c r="J915" s="407"/>
      <c r="K915" s="407"/>
      <c r="L915" s="407"/>
      <c r="M915" s="407"/>
      <c r="N915" s="407"/>
      <c r="O915" s="407"/>
      <c r="P915" s="407"/>
      <c r="Q915" s="407"/>
      <c r="R915" s="407"/>
      <c r="S915" s="407"/>
      <c r="T915" s="407"/>
      <c r="U915" s="407"/>
      <c r="V915" s="407"/>
      <c r="W915" s="407"/>
      <c r="X915" s="407"/>
      <c r="Y915" s="407"/>
      <c r="Z915" s="407"/>
      <c r="AA915" s="407"/>
      <c r="AB915" s="407"/>
      <c r="AC915" s="407"/>
      <c r="AD915" s="407"/>
      <c r="AE915" s="407"/>
      <c r="AF915" s="407"/>
      <c r="AG915" s="407"/>
      <c r="AH915" s="407"/>
      <c r="AI915" s="407"/>
      <c r="AJ915" s="407"/>
      <c r="AK915" s="407"/>
      <c r="AL915" s="407"/>
      <c r="AM915" s="407"/>
      <c r="AN915" s="407"/>
      <c r="AO915" s="407"/>
      <c r="AP915" s="407"/>
      <c r="AQ915" s="407"/>
      <c r="AR915" s="1236"/>
      <c r="AS915" s="1493"/>
      <c r="AT915" s="1409"/>
      <c r="AU915" s="1236"/>
      <c r="AV915" s="1236"/>
      <c r="AW915" s="1236"/>
      <c r="AX915" s="1236"/>
      <c r="AY915" s="1236"/>
      <c r="AZ915" s="1236"/>
      <c r="BA915" s="1236"/>
      <c r="BB915" s="407"/>
      <c r="BC915" s="407"/>
      <c r="BD915" s="407"/>
      <c r="BE915" s="407"/>
    </row>
    <row r="916" spans="1:57" x14ac:dyDescent="0.2">
      <c r="B916" s="634" t="s">
        <v>113</v>
      </c>
      <c r="C916" s="550"/>
      <c r="D916" s="407"/>
      <c r="E916" s="407"/>
      <c r="F916" s="407"/>
      <c r="G916" s="407"/>
      <c r="H916" s="407" t="str">
        <f>IFERROR(Model!H916/Model!D916-1,"NA")</f>
        <v>NA</v>
      </c>
      <c r="I916" s="407">
        <f>IFERROR(Model!I916/Model!E916-1,"NA")</f>
        <v>10.907051282051283</v>
      </c>
      <c r="J916" s="407">
        <f>IFERROR(Model!J916/Model!F916-1,"NA")</f>
        <v>14.282051282051283</v>
      </c>
      <c r="K916" s="407">
        <f>IFERROR(Model!K916/Model!G916-1,"NA")</f>
        <v>3.1687543493389008</v>
      </c>
      <c r="L916" s="407">
        <f>IFERROR(Model!L916/Model!H916-1,"NA")</f>
        <v>1.4488506755571153</v>
      </c>
      <c r="M916" s="407">
        <f>IFERROR(Model!M916/Model!I916-1,"NA")</f>
        <v>1.178465679676985</v>
      </c>
      <c r="N916" s="407">
        <f>IFERROR(Model!N916/Model!J916-1,"NA")</f>
        <v>0.88087248322147649</v>
      </c>
      <c r="O916" s="407">
        <f>IFERROR(Model!O916/Model!K916-1,"NA")</f>
        <v>0.62223520574242541</v>
      </c>
      <c r="P916" s="407">
        <f>IFERROR(Model!P916/Model!L916-1,"NA")</f>
        <v>0.60762396102034977</v>
      </c>
      <c r="Q916" s="407">
        <f>IFERROR(Model!Q916/Model!M916-1,"NA")</f>
        <v>0.60237242061040397</v>
      </c>
      <c r="R916" s="407">
        <f>IFERROR(Model!R916/Model!N916-1,"NA")</f>
        <v>0.62723015165031226</v>
      </c>
      <c r="S916" s="407">
        <f>IFERROR(Model!S916/Model!O916-1,"NA")</f>
        <v>0.64313644782877133</v>
      </c>
      <c r="T916" s="407">
        <f>IFERROR(Model!T916/Model!P916-1,"NA")</f>
        <v>0.53641469067569969</v>
      </c>
      <c r="U916" s="407">
        <f>IFERROR(Model!U916/Model!Q916-1,"NA")</f>
        <v>0.42681986428130791</v>
      </c>
      <c r="V916" s="407">
        <f>IFERROR(Model!V916/Model!R916-1,"NA")</f>
        <v>0.31933118618515732</v>
      </c>
      <c r="W916" s="407">
        <f>IFERROR(Model!W916/Model!S916-1,"NA")</f>
        <v>0.20572394789579151</v>
      </c>
      <c r="X916" s="407">
        <f>IFERROR(Model!X916/Model!T916-1,"NA")</f>
        <v>0.11705491572626259</v>
      </c>
      <c r="Y916" s="407">
        <f>IFERROR(Model!Y916/Model!U916-1,"NA")</f>
        <v>4.0533967464735365E-2</v>
      </c>
      <c r="Z916" s="407">
        <f>IFERROR(Model!Z916/Model!V916-1,"NA")</f>
        <v>0</v>
      </c>
      <c r="AA916" s="407">
        <f>IFERROR(Model!AA916/Model!W916-1,"NA")</f>
        <v>0</v>
      </c>
      <c r="AB916" s="407">
        <f>IFERROR(Model!AB916/Model!X916-1,"NA")</f>
        <v>-2.5190879343478523E-3</v>
      </c>
      <c r="AC916" s="407">
        <f>IFERROR(Model!AC916/Model!Y916-1,"NA")</f>
        <v>-5.0381758686958156E-3</v>
      </c>
      <c r="AD916" s="407">
        <f>IFERROR(Model!AD916/Model!Z916-1,"NA")</f>
        <v>-5.0381758686958156E-3</v>
      </c>
      <c r="AE916" s="407">
        <f>IFERROR(Model!AE916/Model!AA916-1,"NA")</f>
        <v>-5.0381758686958156E-3</v>
      </c>
      <c r="AF916" s="407">
        <f>IFERROR(Model!AF916/Model!AB916-1,"NA")</f>
        <v>4.9545679398057763E-2</v>
      </c>
      <c r="AG916" s="407">
        <f>IFERROR(Model!AG916/Model!AC916-1,"NA")</f>
        <v>0.10440593025683853</v>
      </c>
      <c r="AH916" s="407">
        <f>IFERROR(Model!AH916/Model!AD916-1,"NA")</f>
        <v>0.10440593025683853</v>
      </c>
      <c r="AI916" s="407">
        <f>IFERROR(Model!AI916/Model!AE916-1,"NA")</f>
        <v>0.10440593025683853</v>
      </c>
      <c r="AJ916" s="407"/>
      <c r="AK916" s="407"/>
      <c r="AL916" s="407"/>
      <c r="AM916" s="407"/>
      <c r="AN916" s="407"/>
      <c r="AO916" s="407"/>
      <c r="AP916" s="407"/>
      <c r="AQ916" s="407"/>
      <c r="AR916" s="1236"/>
      <c r="AS916" s="1491"/>
      <c r="AT916" s="1409"/>
      <c r="AU916" s="1301"/>
      <c r="AV916" s="1301">
        <f>IFERROR(Model!AV916/Model!AU916-1,"NA")</f>
        <v>5.3038573508005822</v>
      </c>
      <c r="AW916" s="1301">
        <f>IFERROR(Model!AW916/Model!AV916-1,"NA")</f>
        <v>0.94868094440916706</v>
      </c>
      <c r="AX916" s="1301">
        <f>IFERROR(Model!AX916/Model!AW916-1,"NA")</f>
        <v>0.6217969606303877</v>
      </c>
      <c r="AY916" s="1301">
        <f>IFERROR(Model!AY916/Model!AX916-1,"NA")</f>
        <v>0.35613823588507132</v>
      </c>
      <c r="AZ916" s="1301">
        <f>IFERROR(Model!AZ916/Model!AY916-1,"NA")</f>
        <v>3.7275488420017711E-2</v>
      </c>
      <c r="BA916" s="1301">
        <f>IFERROR(Model!BA916/Model!AZ916-1,"NA")</f>
        <v>-4.4084038851087692E-3</v>
      </c>
      <c r="BB916" s="407">
        <f>IFERROR(Model!BB916/Model!BA916-1,"NA")</f>
        <v>9.0664840718641004E-2</v>
      </c>
      <c r="BC916" s="407">
        <f>IFERROR(Model!BC916/Model!BB916-1,"NA")</f>
        <v>1.1958289486271978E-2</v>
      </c>
      <c r="BD916" s="407">
        <f>IFERROR(Model!BD916/Model!BC916-1,"NA")</f>
        <v>0</v>
      </c>
      <c r="BE916" s="407">
        <f>IFERROR(Model!BE916/Model!BD916-1,"NA")</f>
        <v>0</v>
      </c>
    </row>
    <row r="917" spans="1:57" x14ac:dyDescent="0.2">
      <c r="B917" s="634" t="s">
        <v>114</v>
      </c>
      <c r="C917" s="550"/>
      <c r="D917" s="407"/>
      <c r="E917" s="407"/>
      <c r="F917" s="407"/>
      <c r="G917" s="407"/>
      <c r="H917" s="407" t="str">
        <f>IFERROR(Model!H917/Model!D917-1,"NA")</f>
        <v>NA</v>
      </c>
      <c r="I917" s="407">
        <f>IFERROR(Model!I917/Model!E917-1,"NA")</f>
        <v>6.8965517241379226E-2</v>
      </c>
      <c r="J917" s="407">
        <f>IFERROR(Model!J917/Model!F917-1,"NA")</f>
        <v>6.8965517241379226E-2</v>
      </c>
      <c r="K917" s="407">
        <f>IFERROR(Model!K917/Model!G917-1,"NA")</f>
        <v>5.0847457627118731E-2</v>
      </c>
      <c r="L917" s="407">
        <f>IFERROR(Model!L917/Model!H917-1,"NA")</f>
        <v>1.6393442622950838E-2</v>
      </c>
      <c r="M917" s="407">
        <f>IFERROR(Model!M917/Model!I917-1,"NA")</f>
        <v>0</v>
      </c>
      <c r="N917" s="407">
        <f>IFERROR(Model!N917/Model!J917-1,"NA")</f>
        <v>0</v>
      </c>
      <c r="O917" s="407">
        <f>IFERROR(Model!O917/Model!K917-1,"NA")</f>
        <v>0</v>
      </c>
      <c r="P917" s="407">
        <f>IFERROR(Model!P917/Model!L917-1,"NA")</f>
        <v>0</v>
      </c>
      <c r="Q917" s="407">
        <f>IFERROR(Model!Q917/Model!M917-1,"NA")</f>
        <v>0</v>
      </c>
      <c r="R917" s="407">
        <f>IFERROR(Model!R917/Model!N917-1,"NA")</f>
        <v>0</v>
      </c>
      <c r="S917" s="407">
        <f>IFERROR(Model!S917/Model!O917-1,"NA")</f>
        <v>0</v>
      </c>
      <c r="T917" s="407">
        <f>IFERROR(Model!T917/Model!P917-1,"NA")</f>
        <v>0</v>
      </c>
      <c r="U917" s="407">
        <f>IFERROR(Model!U917/Model!Q917-1,"NA")</f>
        <v>0</v>
      </c>
      <c r="V917" s="407">
        <f>IFERROR(Model!V917/Model!R917-1,"NA")</f>
        <v>0</v>
      </c>
      <c r="W917" s="407">
        <f>IFERROR(Model!W917/Model!S917-1,"NA")</f>
        <v>0</v>
      </c>
      <c r="X917" s="407">
        <f>IFERROR(Model!X917/Model!T917-1,"NA")</f>
        <v>0</v>
      </c>
      <c r="Y917" s="407">
        <f>IFERROR(Model!Y917/Model!U917-1,"NA")</f>
        <v>0</v>
      </c>
      <c r="Z917" s="407">
        <f>IFERROR(Model!Z917/Model!V917-1,"NA")</f>
        <v>0</v>
      </c>
      <c r="AA917" s="407">
        <f>IFERROR(Model!AA917/Model!W917-1,"NA")</f>
        <v>0</v>
      </c>
      <c r="AB917" s="407">
        <f>IFERROR(Model!AB917/Model!X917-1,"NA")</f>
        <v>0</v>
      </c>
      <c r="AC917" s="407">
        <f>IFERROR(Model!AC917/Model!Y917-1,"NA")</f>
        <v>0</v>
      </c>
      <c r="AD917" s="407">
        <f>IFERROR(Model!AD917/Model!Z917-1,"NA")</f>
        <v>0</v>
      </c>
      <c r="AE917" s="407">
        <f>IFERROR(Model!AE917/Model!AA917-1,"NA")</f>
        <v>0</v>
      </c>
      <c r="AF917" s="407">
        <f>IFERROR(Model!AF917/Model!AB917-1,"NA")</f>
        <v>0</v>
      </c>
      <c r="AG917" s="407">
        <f>IFERROR(Model!AG917/Model!AC917-1,"NA")</f>
        <v>0</v>
      </c>
      <c r="AH917" s="407">
        <f>IFERROR(Model!AH917/Model!AD917-1,"NA")</f>
        <v>0</v>
      </c>
      <c r="AI917" s="407">
        <f>IFERROR(Model!AI917/Model!AE917-1,"NA")</f>
        <v>0</v>
      </c>
      <c r="AJ917" s="407"/>
      <c r="AK917" s="407"/>
      <c r="AL917" s="407"/>
      <c r="AM917" s="407"/>
      <c r="AN917" s="407"/>
      <c r="AO917" s="407"/>
      <c r="AP917" s="407"/>
      <c r="AQ917" s="407"/>
      <c r="AR917" s="1236"/>
      <c r="AS917" s="1491"/>
      <c r="AT917" s="1409"/>
      <c r="AU917" s="1301"/>
      <c r="AV917" s="1301">
        <f>IFERROR(Model!AV917/Model!AU917-1,"NA")</f>
        <v>5.8571428571428497E-2</v>
      </c>
      <c r="AW917" s="1301">
        <f>IFERROR(Model!AW917/Model!AV917-1,"NA")</f>
        <v>4.0485829959513442E-3</v>
      </c>
      <c r="AX917" s="1301">
        <f>IFERROR(Model!AX917/Model!AW917-1,"NA")</f>
        <v>0</v>
      </c>
      <c r="AY917" s="1301">
        <f>IFERROR(Model!AY917/Model!AX917-1,"NA")</f>
        <v>0</v>
      </c>
      <c r="AZ917" s="1301">
        <f>IFERROR(Model!AZ917/Model!AY917-1,"NA")</f>
        <v>0</v>
      </c>
      <c r="BA917" s="1301">
        <f>IFERROR(Model!BA917/Model!AZ917-1,"NA")</f>
        <v>0</v>
      </c>
      <c r="BB917" s="407">
        <f>IFERROR(Model!BB917/Model!BA917-1,"NA")</f>
        <v>0</v>
      </c>
      <c r="BC917" s="407">
        <f>IFERROR(Model!BC917/Model!BB917-1,"NA")</f>
        <v>0</v>
      </c>
      <c r="BD917" s="407">
        <f>IFERROR(Model!BD917/Model!BC917-1,"NA")</f>
        <v>0</v>
      </c>
      <c r="BE917" s="407">
        <f>IFERROR(Model!BE917/Model!BD917-1,"NA")</f>
        <v>0</v>
      </c>
    </row>
    <row r="918" spans="1:57" x14ac:dyDescent="0.2">
      <c r="B918" s="634" t="s">
        <v>34</v>
      </c>
      <c r="C918" s="345"/>
      <c r="D918" s="407"/>
      <c r="E918" s="407"/>
      <c r="F918" s="407"/>
      <c r="G918" s="407"/>
      <c r="H918" s="407" t="str">
        <f>IFERROR(Model!H918/Model!D918-1,"NA")</f>
        <v>NA</v>
      </c>
      <c r="I918" s="407">
        <f>IFERROR(Model!I918/Model!E918-1,"NA")</f>
        <v>8.4439595936698364E-3</v>
      </c>
      <c r="J918" s="407">
        <f>IFERROR(Model!J918/Model!F918-1,"NA")</f>
        <v>8.2058775010016571E-3</v>
      </c>
      <c r="K918" s="407">
        <f>IFERROR(Model!K918/Model!G918-1,"NA")</f>
        <v>7.662492826702616E-3</v>
      </c>
      <c r="L918" s="407">
        <f>IFERROR(Model!L918/Model!H918-1,"NA")</f>
        <v>7.7258134164428505E-3</v>
      </c>
      <c r="M918" s="407">
        <f>IFERROR(Model!M918/Model!I918-1,"NA")</f>
        <v>7.6661187522537588E-3</v>
      </c>
      <c r="N918" s="407">
        <f>IFERROR(Model!N918/Model!J918-1,"NA")</f>
        <v>7.4892709881910768E-3</v>
      </c>
      <c r="O918" s="407">
        <f>IFERROR(Model!O918/Model!K918-1,"NA")</f>
        <v>7.4455123866250528E-3</v>
      </c>
      <c r="P918" s="407">
        <f>IFERROR(Model!P918/Model!L918-1,"NA")</f>
        <v>6.5440758647030695E-3</v>
      </c>
      <c r="Q918" s="407">
        <f>IFERROR(Model!Q918/Model!M918-1,"NA")</f>
        <v>5.4328125145230999E-3</v>
      </c>
      <c r="R918" s="407">
        <f>IFERROR(Model!R918/Model!N918-1,"NA")</f>
        <v>4.5102734005233458E-3</v>
      </c>
      <c r="S918" s="407">
        <f>IFERROR(Model!S918/Model!O918-1,"NA")</f>
        <v>3.3871132157652362E-3</v>
      </c>
      <c r="T918" s="407">
        <f>IFERROR(Model!T918/Model!P918-1,"NA")</f>
        <v>-1.0411701827369724E-3</v>
      </c>
      <c r="U918" s="407">
        <f>IFERROR(Model!U918/Model!Q918-1,"NA")</f>
        <v>-4.7286022658463711E-3</v>
      </c>
      <c r="V918" s="407">
        <f>IFERROR(Model!V918/Model!R918-1,"NA")</f>
        <v>-4.041943828529182E-3</v>
      </c>
      <c r="W918" s="407">
        <f>IFERROR(Model!W918/Model!S918-1,"NA")</f>
        <v>-2.9185080512955652E-3</v>
      </c>
      <c r="X918" s="407">
        <f>IFERROR(Model!X918/Model!T918-1,"NA")</f>
        <v>-1.0329908559464362E-3</v>
      </c>
      <c r="Y918" s="407">
        <f>IFERROR(Model!Y918/Model!U918-1,"NA")</f>
        <v>4.2262678803650644E-4</v>
      </c>
      <c r="Z918" s="407">
        <f>IFERROR(Model!Z918/Model!V918-1,"NA")</f>
        <v>4.1279191113385849E-4</v>
      </c>
      <c r="AA918" s="407">
        <f>IFERROR(Model!AA918/Model!W918-1,"NA")</f>
        <v>-6.0208320789900682E-5</v>
      </c>
      <c r="AB918" s="407">
        <f>IFERROR(Model!AB918/Model!X918-1,"NA")</f>
        <v>-2.2257772831602018E-4</v>
      </c>
      <c r="AC918" s="407">
        <f>IFERROR(Model!AC918/Model!Y918-1,"NA")</f>
        <v>-9.8880744251683694E-4</v>
      </c>
      <c r="AD918" s="407">
        <f>IFERROR(Model!AD918/Model!Z918-1,"NA")</f>
        <v>-2.2995539977931356E-3</v>
      </c>
      <c r="AE918" s="407">
        <f>IFERROR(Model!AE918/Model!AA918-1,"NA")</f>
        <v>-3.2699718393359722E-3</v>
      </c>
      <c r="AF918" s="407">
        <f>IFERROR(Model!AF918/Model!AB918-1,"NA")</f>
        <v>-1.8969699499552517E-3</v>
      </c>
      <c r="AG918" s="407">
        <f>IFERROR(Model!AG918/Model!AC918-1,"NA")</f>
        <v>0</v>
      </c>
      <c r="AH918" s="407">
        <f>IFERROR(Model!AH918/Model!AD918-1,"NA")</f>
        <v>0</v>
      </c>
      <c r="AI918" s="407">
        <f>IFERROR(Model!AI918/Model!AE918-1,"NA")</f>
        <v>0</v>
      </c>
      <c r="AJ918" s="407"/>
      <c r="AK918" s="407"/>
      <c r="AL918" s="407"/>
      <c r="AM918" s="407"/>
      <c r="AN918" s="407"/>
      <c r="AO918" s="407"/>
      <c r="AP918" s="407"/>
      <c r="AQ918" s="407"/>
      <c r="AR918" s="1236"/>
      <c r="AS918" s="1491"/>
      <c r="AT918" s="1409"/>
      <c r="AU918" s="1301"/>
      <c r="AV918" s="1301">
        <f>IFERROR(Model!AV918/Model!AU918-1,"NA")</f>
        <v>7.1177424321453575E-3</v>
      </c>
      <c r="AW918" s="1301">
        <f>IFERROR(Model!AW918/Model!AV918-1,"NA")</f>
        <v>7.5814479161548931E-3</v>
      </c>
      <c r="AX918" s="1301">
        <f>IFERROR(Model!AX918/Model!AW918-1,"NA")</f>
        <v>4.9663375901940476E-3</v>
      </c>
      <c r="AY918" s="1301">
        <f>IFERROR(Model!AY918/Model!AX918-1,"NA")</f>
        <v>-3.1832230855888266E-3</v>
      </c>
      <c r="AZ918" s="1301">
        <f>IFERROR(Model!AZ918/Model!AY918-1,"NA")</f>
        <v>-6.4910979228449683E-5</v>
      </c>
      <c r="BA918" s="1301">
        <f>IFERROR(Model!BA918/Model!AZ918-1,"NA")</f>
        <v>-1.6959094154850307E-3</v>
      </c>
      <c r="BB918" s="407">
        <f>IFERROR(Model!BB918/Model!BA918-1,"NA")</f>
        <v>-4.7491816660683028E-4</v>
      </c>
      <c r="BC918" s="407">
        <f>IFERROR(Model!BC918/Model!BB918-1,"NA")</f>
        <v>0</v>
      </c>
      <c r="BD918" s="407">
        <f>IFERROR(Model!BD918/Model!BC918-1,"NA")</f>
        <v>0</v>
      </c>
      <c r="BE918" s="407">
        <f>IFERROR(Model!BE918/Model!BD918-1,"NA")</f>
        <v>0</v>
      </c>
    </row>
    <row r="919" spans="1:57" x14ac:dyDescent="0.2">
      <c r="B919" s="634" t="s">
        <v>35</v>
      </c>
      <c r="C919" s="345"/>
      <c r="D919" s="407"/>
      <c r="E919" s="407"/>
      <c r="F919" s="407"/>
      <c r="G919" s="407"/>
      <c r="H919" s="407" t="str">
        <f>IFERROR(Model!H919/Model!D919-1,"NA")</f>
        <v>NA</v>
      </c>
      <c r="I919" s="407">
        <f>IFERROR(Model!I919/Model!E919-1,"NA")</f>
        <v>9.372336201191267E-2</v>
      </c>
      <c r="J919" s="407">
        <f>IFERROR(Model!J919/Model!F919-1,"NA")</f>
        <v>0.11247593777639042</v>
      </c>
      <c r="K919" s="407">
        <f>IFERROR(Model!K919/Model!G919-1,"NA")</f>
        <v>0.13143664994943549</v>
      </c>
      <c r="L919" s="407">
        <f>IFERROR(Model!L919/Model!H919-1,"NA")</f>
        <v>0.13526599224923253</v>
      </c>
      <c r="M919" s="407">
        <f>IFERROR(Model!M919/Model!I919-1,"NA")</f>
        <v>0.11222449740290541</v>
      </c>
      <c r="N919" s="407">
        <f>IFERROR(Model!N919/Model!J919-1,"NA")</f>
        <v>8.8308882331208594E-2</v>
      </c>
      <c r="O919" s="407">
        <f>IFERROR(Model!O919/Model!K919-1,"NA")</f>
        <v>7.4163421285444509E-2</v>
      </c>
      <c r="P919" s="407">
        <f>IFERROR(Model!P919/Model!L919-1,"NA")</f>
        <v>6.5386627417252541E-2</v>
      </c>
      <c r="Q919" s="407">
        <f>IFERROR(Model!Q919/Model!M919-1,"NA")</f>
        <v>8.5554491643454078E-2</v>
      </c>
      <c r="R919" s="407">
        <f>IFERROR(Model!R919/Model!N919-1,"NA")</f>
        <v>0.10812936161435593</v>
      </c>
      <c r="S919" s="407">
        <f>IFERROR(Model!S919/Model!O919-1,"NA")</f>
        <v>0.12402090435535706</v>
      </c>
      <c r="T919" s="407">
        <f>IFERROR(Model!T919/Model!P919-1,"NA")</f>
        <v>0.12701662401431446</v>
      </c>
      <c r="U919" s="407">
        <f>IFERROR(Model!U919/Model!Q919-1,"NA")</f>
        <v>0.11269480428358936</v>
      </c>
      <c r="V919" s="407">
        <f>IFERROR(Model!V919/Model!R919-1,"NA")</f>
        <v>0.10210373242850213</v>
      </c>
      <c r="W919" s="407">
        <f>IFERROR(Model!W919/Model!S919-1,"NA")</f>
        <v>9.5908778450079613E-2</v>
      </c>
      <c r="X919" s="407">
        <f>IFERROR(Model!X919/Model!T919-1,"NA")</f>
        <v>9.3668194019325135E-2</v>
      </c>
      <c r="Y919" s="407">
        <f>IFERROR(Model!Y919/Model!U919-1,"NA")</f>
        <v>8.7862354742815896E-2</v>
      </c>
      <c r="Z919" s="407">
        <f>IFERROR(Model!Z919/Model!V919-1,"NA")</f>
        <v>8.1444731795710767E-2</v>
      </c>
      <c r="AA919" s="407">
        <f>IFERROR(Model!AA919/Model!W919-1,"NA")</f>
        <v>1.1869518016232705E-2</v>
      </c>
      <c r="AB919" s="407">
        <f>IFERROR(Model!AB919/Model!X919-1,"NA")</f>
        <v>-5.3746016312861244E-2</v>
      </c>
      <c r="AC919" s="407">
        <f>IFERROR(Model!AC919/Model!Y919-1,"NA")</f>
        <v>-5.6236876914180667E-2</v>
      </c>
      <c r="AD919" s="407">
        <f>IFERROR(Model!AD919/Model!Z919-1,"NA")</f>
        <v>-7.5258042082207988E-2</v>
      </c>
      <c r="AE919" s="407">
        <f>IFERROR(Model!AE919/Model!AA919-1,"NA")</f>
        <v>-4.6198426649314395E-2</v>
      </c>
      <c r="AF919" s="407">
        <f>IFERROR(Model!AF919/Model!AB919-1,"NA")</f>
        <v>-1.2036793815215607E-2</v>
      </c>
      <c r="AG919" s="407">
        <f>IFERROR(Model!AG919/Model!AC919-1,"NA")</f>
        <v>-3.6180284233004567E-2</v>
      </c>
      <c r="AH919" s="407">
        <f>IFERROR(Model!AH919/Model!AD919-1,"NA")</f>
        <v>-4.2765989060151277E-2</v>
      </c>
      <c r="AI919" s="407">
        <f>IFERROR(Model!AI919/Model!AE919-1,"NA")</f>
        <v>-3.7317679750263455E-2</v>
      </c>
      <c r="AJ919" s="407"/>
      <c r="AK919" s="407"/>
      <c r="AL919" s="407"/>
      <c r="AM919" s="407"/>
      <c r="AN919" s="407"/>
      <c r="AO919" s="407"/>
      <c r="AP919" s="407"/>
      <c r="AQ919" s="407"/>
      <c r="AR919" s="1236"/>
      <c r="AS919" s="1491"/>
      <c r="AT919" s="1409"/>
      <c r="AU919" s="1301"/>
      <c r="AV919" s="1301">
        <f>IFERROR(Model!AV919/Model!AU919-1,"NA")</f>
        <v>9.3737660833157932E-2</v>
      </c>
      <c r="AW919" s="1301">
        <f>IFERROR(Model!AW919/Model!AV919-1,"NA")</f>
        <v>0.10163028309290989</v>
      </c>
      <c r="AX919" s="1301">
        <f>IFERROR(Model!AX919/Model!AW919-1,"NA")</f>
        <v>9.6127381611044838E-2</v>
      </c>
      <c r="AY919" s="1301">
        <f>IFERROR(Model!AY919/Model!AX919-1,"NA")</f>
        <v>0.10900669617501135</v>
      </c>
      <c r="AZ919" s="1301">
        <f>IFERROR(Model!AZ919/Model!AY919-1,"NA")</f>
        <v>6.7998902668866101E-2</v>
      </c>
      <c r="BA919" s="1301">
        <f>IFERROR(Model!BA919/Model!AZ919-1,"NA")</f>
        <v>-5.8039194514528103E-2</v>
      </c>
      <c r="BB919" s="407">
        <f>IFERROR(Model!BB919/Model!BA919-1,"NA")</f>
        <v>-3.2128116533981066E-2</v>
      </c>
      <c r="BC919" s="407">
        <f>IFERROR(Model!BC919/Model!BB919-1,"NA")</f>
        <v>-1.0278871451104843E-2</v>
      </c>
      <c r="BD919" s="407">
        <f>IFERROR(Model!BD919/Model!BC919-1,"NA")</f>
        <v>2.7887888274474193E-2</v>
      </c>
      <c r="BE919" s="407">
        <f>IFERROR(Model!BE919/Model!BD919-1,"NA")</f>
        <v>3.8702819055077109E-2</v>
      </c>
    </row>
    <row r="920" spans="1:57" x14ac:dyDescent="0.2">
      <c r="B920" s="634" t="s">
        <v>19</v>
      </c>
      <c r="C920" s="550"/>
      <c r="D920" s="407"/>
      <c r="E920" s="407"/>
      <c r="F920" s="407"/>
      <c r="G920" s="407"/>
      <c r="H920" s="407" t="str">
        <f>IFERROR(Model!H920/Model!D920-1,"NA")</f>
        <v>NA</v>
      </c>
      <c r="I920" s="407">
        <f>IFERROR(Model!I920/Model!E920-1,"NA")</f>
        <v>0.18599311136624563</v>
      </c>
      <c r="J920" s="407">
        <f>IFERROR(Model!J920/Model!F920-1,"NA")</f>
        <v>0.48947368421052628</v>
      </c>
      <c r="K920" s="407">
        <f>IFERROR(Model!K920/Model!G920-1,"NA")</f>
        <v>0.84334511189634864</v>
      </c>
      <c r="L920" s="407">
        <f>IFERROR(Model!L920/Model!H920-1,"NA")</f>
        <v>1.119151251360174</v>
      </c>
      <c r="M920" s="407">
        <f>IFERROR(Model!M920/Model!I920-1,"NA")</f>
        <v>1.302516940948693</v>
      </c>
      <c r="N920" s="407">
        <f>IFERROR(Model!N920/Model!J920-1,"NA")</f>
        <v>1.0223792697290932</v>
      </c>
      <c r="O920" s="407">
        <f>IFERROR(Model!O920/Model!K920-1,"NA")</f>
        <v>0.77635782747603832</v>
      </c>
      <c r="P920" s="407">
        <f>IFERROR(Model!P920/Model!L920-1,"NA")</f>
        <v>0.59281129653401798</v>
      </c>
      <c r="Q920" s="407">
        <f>IFERROR(Model!Q920/Model!M920-1,"NA")</f>
        <v>0.66134118141685927</v>
      </c>
      <c r="R920" s="407">
        <f>IFERROR(Model!R920/Model!N920-1,"NA")</f>
        <v>1.1265773636187149</v>
      </c>
      <c r="S920" s="407">
        <f>IFERROR(Model!S920/Model!O920-1,"NA")</f>
        <v>1.5185251798561152</v>
      </c>
      <c r="T920" s="407">
        <f>IFERROR(Model!T920/Model!P920-1,"NA")</f>
        <v>1.5630238555770473</v>
      </c>
      <c r="U920" s="407">
        <f>IFERROR(Model!U920/Model!Q920-1,"NA")</f>
        <v>1.2475009490067062</v>
      </c>
      <c r="V920" s="407">
        <f>IFERROR(Model!V920/Model!R920-1,"NA")</f>
        <v>0.97252145335037432</v>
      </c>
      <c r="W920" s="407">
        <f>IFERROR(Model!W920/Model!S920-1,"NA")</f>
        <v>1.0260658430336358</v>
      </c>
      <c r="X920" s="407">
        <f>IFERROR(Model!X920/Model!T920-1,"NA")</f>
        <v>1.1307464939311993</v>
      </c>
      <c r="Y920" s="407">
        <f>IFERROR(Model!Y920/Model!U920-1,"NA")</f>
        <v>1.0786510528093682</v>
      </c>
      <c r="Z920" s="407">
        <f>IFERROR(Model!Z920/Model!V920-1,"NA")</f>
        <v>1.0442912019253021</v>
      </c>
      <c r="AA920" s="407">
        <f>IFERROR(Model!AA920/Model!W920-1,"NA")</f>
        <v>0.94346339572098259</v>
      </c>
      <c r="AB920" s="407">
        <f>IFERROR(Model!AB920/Model!X920-1,"NA")</f>
        <v>0.84244856999498241</v>
      </c>
      <c r="AC920" s="407">
        <f>IFERROR(Model!AC920/Model!Y920-1,"NA")</f>
        <v>0.73966035589501899</v>
      </c>
      <c r="AD920" s="407">
        <f>IFERROR(Model!AD920/Model!Z920-1,"NA")</f>
        <v>0.4541214824205928</v>
      </c>
      <c r="AE920" s="407">
        <f>IFERROR(Model!AE920/Model!AA920-1,"NA")</f>
        <v>0.16489535347673101</v>
      </c>
      <c r="AF920" s="407">
        <f>IFERROR(Model!AF920/Model!AB920-1,"NA")</f>
        <v>2.8931180315263427E-2</v>
      </c>
      <c r="AG920" s="407">
        <f>IFERROR(Model!AG920/Model!AC920-1,"NA")</f>
        <v>0</v>
      </c>
      <c r="AH920" s="407">
        <f>IFERROR(Model!AH920/Model!AD920-1,"NA")</f>
        <v>0</v>
      </c>
      <c r="AI920" s="407">
        <f>IFERROR(Model!AI920/Model!AE920-1,"NA")</f>
        <v>0</v>
      </c>
      <c r="AJ920" s="407"/>
      <c r="AK920" s="407"/>
      <c r="AL920" s="407"/>
      <c r="AM920" s="407"/>
      <c r="AN920" s="407"/>
      <c r="AO920" s="407"/>
      <c r="AP920" s="407"/>
      <c r="AQ920" s="407"/>
      <c r="AR920" s="1236"/>
      <c r="AS920" s="1491"/>
      <c r="AT920" s="1409"/>
      <c r="AU920" s="1301"/>
      <c r="AV920" s="1301">
        <f>IFERROR(Model!AV920/Model!AU920-1,"NA")</f>
        <v>0.39529126213592236</v>
      </c>
      <c r="AW920" s="1301">
        <f>IFERROR(Model!AW920/Model!AV920-1,"NA")</f>
        <v>1.0209790209790208</v>
      </c>
      <c r="AX920" s="1301">
        <f>IFERROR(Model!AX920/Model!AW920-1,"NA")</f>
        <v>1.017455972731498</v>
      </c>
      <c r="AY920" s="1301">
        <f>IFERROR(Model!AY920/Model!AX920-1,"NA")</f>
        <v>1.1411273807085807</v>
      </c>
      <c r="AZ920" s="1301">
        <f>IFERROR(Model!AZ920/Model!AY920-1,"NA")</f>
        <v>1.0338231250224172</v>
      </c>
      <c r="BA920" s="1301">
        <f>IFERROR(Model!BA920/Model!AZ920-1,"NA")</f>
        <v>0.49969137798261132</v>
      </c>
      <c r="BB920" s="407">
        <f>IFERROR(Model!BB920/Model!BA920-1,"NA")</f>
        <v>7.0791881276606183E-3</v>
      </c>
      <c r="BC920" s="407">
        <f>IFERROR(Model!BC920/Model!BB920-1,"NA")</f>
        <v>0</v>
      </c>
      <c r="BD920" s="407">
        <f>IFERROR(Model!BD920/Model!BC920-1,"NA")</f>
        <v>0</v>
      </c>
      <c r="BE920" s="407">
        <f>IFERROR(Model!BE920/Model!BD920-1,"NA")</f>
        <v>0</v>
      </c>
    </row>
    <row r="921" spans="1:57" x14ac:dyDescent="0.2">
      <c r="B921" s="634" t="s">
        <v>364</v>
      </c>
      <c r="C921" s="550"/>
      <c r="D921" s="1307"/>
      <c r="E921" s="1307"/>
      <c r="F921" s="1307"/>
      <c r="G921" s="1307"/>
      <c r="H921" s="1307" t="str">
        <f>IFERROR(Model!H921/Model!D921-1,"NA")</f>
        <v>NA</v>
      </c>
      <c r="I921" s="1307">
        <f>IFERROR(Model!I921/Model!E921-1,"NA")</f>
        <v>7.2468391137919141E-2</v>
      </c>
      <c r="J921" s="1307">
        <f>IFERROR(Model!J921/Model!F921-1,"NA")</f>
        <v>0.16229926459552746</v>
      </c>
      <c r="K921" s="1307">
        <f>IFERROR(Model!K921/Model!G921-1,"NA")</f>
        <v>0.16847390795391526</v>
      </c>
      <c r="L921" s="1307">
        <f>IFERROR(Model!L921/Model!H921-1,"NA")</f>
        <v>0.12734501546164045</v>
      </c>
      <c r="M921" s="1307">
        <f>IFERROR(Model!M921/Model!I921-1,"NA")</f>
        <v>8.3822296730931001E-3</v>
      </c>
      <c r="N921" s="1307">
        <f>IFERROR(Model!N921/Model!J921-1,"NA")</f>
        <v>-1.5469242291203944E-2</v>
      </c>
      <c r="O921" s="1307">
        <f>IFERROR(Model!O921/Model!K921-1,"NA")</f>
        <v>0.13869921699928822</v>
      </c>
      <c r="P921" s="1307">
        <f>IFERROR(Model!P921/Model!L921-1,"NA")</f>
        <v>0.25152172209305368</v>
      </c>
      <c r="Q921" s="1307">
        <f>IFERROR(Model!Q921/Model!M921-1,"NA")</f>
        <v>0.33523717587751056</v>
      </c>
      <c r="R921" s="1307">
        <f>IFERROR(Model!R921/Model!N921-1,"NA")</f>
        <v>0.37347532985336929</v>
      </c>
      <c r="S921" s="1307">
        <f>IFERROR(Model!S921/Model!O921-1,"NA")</f>
        <v>0.31045100944619364</v>
      </c>
      <c r="T921" s="1307">
        <f>IFERROR(Model!T921/Model!P921-1,"NA")</f>
        <v>0.16830525810424368</v>
      </c>
      <c r="U921" s="1307">
        <f>IFERROR(Model!U921/Model!Q921-1,"NA")</f>
        <v>5.9162566522743321E-2</v>
      </c>
      <c r="V921" s="1307">
        <f>IFERROR(Model!V921/Model!R921-1,"NA")</f>
        <v>1.8085980023299753E-2</v>
      </c>
      <c r="W921" s="1307">
        <f>IFERROR(Model!W921/Model!S921-1,"NA")</f>
        <v>5.2525573753113841E-2</v>
      </c>
      <c r="X921" s="1307">
        <f>IFERROR(Model!X921/Model!T921-1,"NA")</f>
        <v>0.1309272824727532</v>
      </c>
      <c r="Y921" s="1307">
        <f>IFERROR(Model!Y921/Model!U921-1,"NA")</f>
        <v>0.15310669118901798</v>
      </c>
      <c r="Z921" s="1307">
        <f>IFERROR(Model!Z921/Model!V921-1,"NA")</f>
        <v>0.12159525774742996</v>
      </c>
      <c r="AA921" s="1307">
        <f>IFERROR(Model!AA921/Model!W921-1,"NA")</f>
        <v>8.3677443179910771E-2</v>
      </c>
      <c r="AB921" s="1307">
        <f>IFERROR(Model!AB921/Model!X921-1,"NA")</f>
        <v>9.461594363171022E-2</v>
      </c>
      <c r="AC921" s="1307">
        <f>IFERROR(Model!AC921/Model!Y921-1,"NA")</f>
        <v>0.13848329387003422</v>
      </c>
      <c r="AD921" s="1307">
        <f>IFERROR(Model!AD921/Model!Z921-1,"NA")</f>
        <v>0.15801973574176276</v>
      </c>
      <c r="AE921" s="1307">
        <f>IFERROR(Model!AE921/Model!AA921-1,"NA")</f>
        <v>7.2476339472420603E-2</v>
      </c>
      <c r="AF921" s="1307">
        <f>IFERROR(Model!AF921/Model!AB921-1,"NA")</f>
        <v>-7.0720337148377777E-4</v>
      </c>
      <c r="AG921" s="1307">
        <f>IFERROR(Model!AG921/Model!AC921-1,"NA")</f>
        <v>0</v>
      </c>
      <c r="AH921" s="1307">
        <f>IFERROR(Model!AH921/Model!AD921-1,"NA")</f>
        <v>0</v>
      </c>
      <c r="AI921" s="1307">
        <f>IFERROR(Model!AI921/Model!AE921-1,"NA")</f>
        <v>0</v>
      </c>
      <c r="AJ921" s="1318"/>
      <c r="AK921" s="1318"/>
      <c r="AL921" s="1318"/>
      <c r="AM921" s="1318"/>
      <c r="AN921" s="1318"/>
      <c r="AO921" s="1318"/>
      <c r="AP921" s="1318"/>
      <c r="AQ921" s="1318"/>
      <c r="AR921" s="1236"/>
      <c r="AS921" s="1491"/>
      <c r="AT921" s="1512"/>
      <c r="AU921" s="1289"/>
      <c r="AV921" s="1289">
        <f>IFERROR(Model!AV921/Model!AU921-1,"NA")</f>
        <v>0.10405092708032027</v>
      </c>
      <c r="AW921" s="1289">
        <f>IFERROR(Model!AW921/Model!AV921-1,"NA")</f>
        <v>6.2984870351173283E-2</v>
      </c>
      <c r="AX921" s="1289">
        <f>IFERROR(Model!AX921/Model!AW921-1,"NA")</f>
        <v>0.31727931568581202</v>
      </c>
      <c r="AY921" s="1289">
        <f>IFERROR(Model!AY921/Model!AX921-1,"NA")</f>
        <v>7.223802887779196E-2</v>
      </c>
      <c r="AZ921" s="1289">
        <f>IFERROR(Model!AZ921/Model!AY921-1,"NA")</f>
        <v>0.12125834299819949</v>
      </c>
      <c r="BA921" s="1289">
        <f>IFERROR(Model!BA921/Model!AZ921-1,"NA")</f>
        <v>0.11485814789324778</v>
      </c>
      <c r="BB921" s="1307">
        <f>IFERROR(Model!BB921/Model!BA921-1,"NA")</f>
        <v>-1.7689466825032696E-4</v>
      </c>
      <c r="BC921" s="1307">
        <f>IFERROR(Model!BC921/Model!BB921-1,"NA")</f>
        <v>0</v>
      </c>
      <c r="BD921" s="1307">
        <f>IFERROR(Model!BD921/Model!BC921-1,"NA")</f>
        <v>0</v>
      </c>
      <c r="BE921" s="1307">
        <f>IFERROR(Model!BE921/Model!BD921-1,"NA")</f>
        <v>0</v>
      </c>
    </row>
    <row r="922" spans="1:57" x14ac:dyDescent="0.2">
      <c r="B922" s="321"/>
      <c r="C922" s="642" t="s">
        <v>111</v>
      </c>
      <c r="D922" s="407"/>
      <c r="E922" s="1329"/>
      <c r="F922" s="1329"/>
      <c r="G922" s="1329"/>
      <c r="H922" s="1329" t="str">
        <f>IFERROR(Model!H922/Model!D922-1,"NA")</f>
        <v>NA</v>
      </c>
      <c r="I922" s="1329">
        <f>IFERROR(Model!I922/Model!E922-1,"NA")</f>
        <v>4.5742147200210637E-2</v>
      </c>
      <c r="J922" s="1329">
        <f>IFERROR(Model!J922/Model!F922-1,"NA")</f>
        <v>4.6344421344421294E-2</v>
      </c>
      <c r="K922" s="1329">
        <f>IFERROR(Model!K922/Model!G922-1,"NA")</f>
        <v>5.4270020547669162E-2</v>
      </c>
      <c r="L922" s="1329">
        <f>IFERROR(Model!L922/Model!H922-1,"NA")</f>
        <v>5.8886731735858122E-2</v>
      </c>
      <c r="M922" s="1329">
        <f>IFERROR(Model!M922/Model!I922-1,"NA")</f>
        <v>5.7248633657547288E-2</v>
      </c>
      <c r="N922" s="1329">
        <f>IFERROR(Model!N922/Model!J922-1,"NA")</f>
        <v>4.7810249192814069E-2</v>
      </c>
      <c r="O922" s="1329">
        <f>IFERROR(Model!O922/Model!K922-1,"NA")</f>
        <v>2.590252477643884E-2</v>
      </c>
      <c r="P922" s="1329">
        <f>IFERROR(Model!P922/Model!L922-1,"NA")</f>
        <v>1.0591432417770053E-2</v>
      </c>
      <c r="Q922" s="1329">
        <f>IFERROR(Model!Q922/Model!M922-1,"NA")</f>
        <v>1.2850357119812639E-2</v>
      </c>
      <c r="R922" s="1329">
        <f>IFERROR(Model!R922/Model!N922-1,"NA")</f>
        <v>1.5046616363133536E-2</v>
      </c>
      <c r="S922" s="1329">
        <f>IFERROR(Model!S922/Model!O922-1,"NA")</f>
        <v>2.0095510794011062E-2</v>
      </c>
      <c r="T922" s="1329">
        <f>IFERROR(Model!T922/Model!P922-1,"NA")</f>
        <v>3.1162937502640542E-2</v>
      </c>
      <c r="U922" s="1329">
        <f>IFERROR(Model!U922/Model!Q922-1,"NA")</f>
        <v>3.4989365977007081E-2</v>
      </c>
      <c r="V922" s="1329">
        <f>IFERROR(Model!V922/Model!R922-1,"NA")</f>
        <v>3.3702098262718305E-2</v>
      </c>
      <c r="W922" s="1329">
        <f>IFERROR(Model!W922/Model!S922-1,"NA")</f>
        <v>1.8063680560120199E-2</v>
      </c>
      <c r="X922" s="1329">
        <f>IFERROR(Model!X922/Model!T922-1,"NA")</f>
        <v>-3.9044800293075443E-4</v>
      </c>
      <c r="Y922" s="1329">
        <f>IFERROR(Model!Y922/Model!U922-1,"NA")</f>
        <v>-6.5316616319921472E-3</v>
      </c>
      <c r="Z922" s="1329">
        <f>IFERROR(Model!Z922/Model!V922-1,"NA")</f>
        <v>-1.3671971517118187E-2</v>
      </c>
      <c r="AA922" s="1329">
        <f>IFERROR(Model!AA922/Model!W922-1,"NA")</f>
        <v>-6.772296736643002E-2</v>
      </c>
      <c r="AB922" s="1329">
        <f>IFERROR(Model!AB922/Model!X922-1,"NA")</f>
        <v>-0.12176127075366605</v>
      </c>
      <c r="AC922" s="1329">
        <f>IFERROR(Model!AC922/Model!Y922-1,"NA")</f>
        <v>-0.12611235513894692</v>
      </c>
      <c r="AD922" s="1329">
        <f>IFERROR(Model!AD922/Model!Z922-1,"NA")</f>
        <v>-0.12676628903475584</v>
      </c>
      <c r="AE922" s="1329">
        <f>IFERROR(Model!AE922/Model!AA922-1,"NA")</f>
        <v>-7.1923861065314565E-2</v>
      </c>
      <c r="AF922" s="1329">
        <f>IFERROR(Model!AF922/Model!AB922-1,"NA")</f>
        <v>-1.5208866713372737E-2</v>
      </c>
      <c r="AG922" s="1329">
        <f>IFERROR(Model!AG922/Model!AC922-1,"NA")</f>
        <v>-2.8110811657540036E-2</v>
      </c>
      <c r="AH922" s="1329">
        <f>IFERROR(Model!AH922/Model!AD922-1,"NA")</f>
        <v>-3.3209189155920527E-2</v>
      </c>
      <c r="AI922" s="1329">
        <f>IFERROR(Model!AI922/Model!AE922-1,"NA")</f>
        <v>-2.8881918806280549E-2</v>
      </c>
      <c r="AJ922" s="1329"/>
      <c r="AK922" s="1329"/>
      <c r="AL922" s="1329"/>
      <c r="AM922" s="1329"/>
      <c r="AN922" s="1329"/>
      <c r="AO922" s="1329"/>
      <c r="AP922" s="1329"/>
      <c r="AQ922" s="1329"/>
      <c r="AR922" s="1236"/>
      <c r="AS922" s="1284"/>
      <c r="AT922" s="1493"/>
      <c r="AU922" s="1511"/>
      <c r="AV922" s="1511">
        <f>IFERROR(Model!AV922/Model!AU922-1,"NA")</f>
        <v>4.1550838976684323E-2</v>
      </c>
      <c r="AW922" s="1511">
        <f>IFERROR(Model!AW922/Model!AV922-1,"NA")</f>
        <v>4.7265448272495014E-2</v>
      </c>
      <c r="AX922" s="1511">
        <f>IFERROR(Model!AX922/Model!AW922-1,"NA")</f>
        <v>1.4657663587941849E-2</v>
      </c>
      <c r="AY922" s="1511">
        <f>IFERROR(Model!AY922/Model!AX922-1,"NA")</f>
        <v>2.9462791387215193E-2</v>
      </c>
      <c r="AZ922" s="1511">
        <f>IFERROR(Model!AZ922/Model!AY922-1,"NA")</f>
        <v>-2.2048750995264377E-2</v>
      </c>
      <c r="BA922" s="1511">
        <f>IFERROR(Model!BA922/Model!AZ922-1,"NA")</f>
        <v>-0.11232582872896058</v>
      </c>
      <c r="BB922" s="1511">
        <f>IFERROR(Model!BB922/Model!BA922-1,"NA")</f>
        <v>-2.6359794025944794E-2</v>
      </c>
      <c r="BC922" s="1511">
        <f>IFERROR(Model!BC922/Model!BB922-1,"NA")</f>
        <v>-7.9112116384810749E-3</v>
      </c>
      <c r="BD922" s="1511">
        <f>IFERROR(Model!BD922/Model!BC922-1,"NA")</f>
        <v>2.1412900448887218E-2</v>
      </c>
      <c r="BE922" s="1511">
        <f>IFERROR(Model!BE922/Model!BD922-1,"NA")</f>
        <v>2.9905211456835001E-2</v>
      </c>
    </row>
    <row r="923" spans="1:57" x14ac:dyDescent="0.2">
      <c r="D923" s="407"/>
      <c r="E923" s="407"/>
      <c r="F923" s="407"/>
      <c r="G923" s="407"/>
      <c r="H923" s="407"/>
      <c r="I923" s="407"/>
      <c r="J923" s="407"/>
      <c r="K923" s="407"/>
      <c r="L923" s="407"/>
      <c r="M923" s="407"/>
      <c r="N923" s="407"/>
      <c r="O923" s="407"/>
      <c r="P923" s="407"/>
      <c r="Q923" s="407"/>
      <c r="R923" s="407"/>
      <c r="S923" s="407"/>
      <c r="T923" s="407"/>
      <c r="U923" s="407"/>
      <c r="V923" s="407"/>
      <c r="W923" s="407"/>
      <c r="X923" s="407"/>
      <c r="Y923" s="407"/>
      <c r="Z923" s="407"/>
      <c r="AA923" s="407"/>
      <c r="AB923" s="407"/>
      <c r="AC923" s="407"/>
      <c r="AD923" s="407"/>
      <c r="AE923" s="407"/>
      <c r="AF923" s="407"/>
      <c r="AG923" s="407"/>
      <c r="AH923" s="407"/>
      <c r="AI923" s="407"/>
      <c r="AJ923" s="407"/>
      <c r="AK923" s="407"/>
      <c r="AL923" s="407"/>
      <c r="AM923" s="407"/>
      <c r="AN923" s="407"/>
      <c r="AO923" s="407"/>
      <c r="AP923" s="407"/>
      <c r="AQ923" s="407"/>
      <c r="AR923" s="1236"/>
      <c r="AS923" s="1382"/>
      <c r="AT923" s="407"/>
      <c r="AU923" s="1236"/>
      <c r="AV923" s="1236"/>
      <c r="AW923" s="1236"/>
      <c r="AX923" s="1236"/>
      <c r="AY923" s="1236"/>
      <c r="AZ923" s="1236"/>
      <c r="BA923" s="1236"/>
      <c r="BB923" s="407"/>
      <c r="BC923" s="407"/>
      <c r="BD923" s="407"/>
      <c r="BE923" s="407"/>
    </row>
    <row r="924" spans="1:57" x14ac:dyDescent="0.2">
      <c r="B924" s="642" t="s">
        <v>67</v>
      </c>
      <c r="C924" s="319"/>
      <c r="D924" s="407"/>
      <c r="E924" s="407"/>
      <c r="F924" s="407"/>
      <c r="G924" s="407"/>
      <c r="H924" s="407" t="str">
        <f>IFERROR(Model!H924/Model!D924-1,"NA")</f>
        <v>NA</v>
      </c>
      <c r="I924" s="407">
        <f>IFERROR(Model!I924/Model!E924-1,"NA")</f>
        <v>6.4306453380081008E-2</v>
      </c>
      <c r="J924" s="407">
        <f>IFERROR(Model!J924/Model!F924-1,"NA")</f>
        <v>7.0350672374281054E-2</v>
      </c>
      <c r="K924" s="407">
        <f>IFERROR(Model!K924/Model!G924-1,"NA")</f>
        <v>7.8128040215470484E-2</v>
      </c>
      <c r="L924" s="407">
        <f>IFERROR(Model!L924/Model!H924-1,"NA")</f>
        <v>7.963920159074056E-2</v>
      </c>
      <c r="M924" s="407">
        <f>IFERROR(Model!M924/Model!I924-1,"NA")</f>
        <v>7.8688583656966626E-2</v>
      </c>
      <c r="N924" s="407">
        <f>IFERROR(Model!N924/Model!J924-1,"NA")</f>
        <v>6.786781934232855E-2</v>
      </c>
      <c r="O924" s="407">
        <f>IFERROR(Model!O924/Model!K924-1,"NA")</f>
        <v>4.356586425903175E-2</v>
      </c>
      <c r="P924" s="407">
        <f>IFERROR(Model!P924/Model!L924-1,"NA")</f>
        <v>3.0809884787482922E-2</v>
      </c>
      <c r="Q924" s="407">
        <f>IFERROR(Model!Q924/Model!M924-1,"NA")</f>
        <v>3.5616464502829626E-2</v>
      </c>
      <c r="R924" s="407">
        <f>IFERROR(Model!R924/Model!N924-1,"NA")</f>
        <v>4.1007792993871472E-2</v>
      </c>
      <c r="S924" s="407">
        <f>IFERROR(Model!S924/Model!O924-1,"NA")</f>
        <v>4.87831457453336E-2</v>
      </c>
      <c r="T924" s="407">
        <f>IFERROR(Model!T924/Model!P924-1,"NA")</f>
        <v>5.7847718364896883E-2</v>
      </c>
      <c r="U924" s="407">
        <f>IFERROR(Model!U924/Model!Q924-1,"NA")</f>
        <v>5.8402064230751449E-2</v>
      </c>
      <c r="V924" s="407">
        <f>IFERROR(Model!V924/Model!R924-1,"NA")</f>
        <v>5.2636001889672324E-2</v>
      </c>
      <c r="W924" s="407">
        <f>IFERROR(Model!W924/Model!S924-1,"NA")</f>
        <v>3.1601179114760347E-2</v>
      </c>
      <c r="X924" s="407">
        <f>IFERROR(Model!X924/Model!T924-1,"NA")</f>
        <v>8.6185602798529715E-3</v>
      </c>
      <c r="Y924" s="407">
        <f>IFERROR(Model!Y924/Model!U924-1,"NA")</f>
        <v>-2.7404714742822467E-3</v>
      </c>
      <c r="Z924" s="407">
        <f>IFERROR(Model!Z924/Model!V924-1,"NA")</f>
        <v>-1.2536060052258713E-2</v>
      </c>
      <c r="AA924" s="407">
        <f>IFERROR(Model!AA924/Model!W924-1,"NA")</f>
        <v>-6.201294080294284E-2</v>
      </c>
      <c r="AB924" s="407">
        <f>IFERROR(Model!AB924/Model!X924-1,"NA")</f>
        <v>-0.11163105733675749</v>
      </c>
      <c r="AC924" s="407">
        <f>IFERROR(Model!AC924/Model!Y924-1,"NA")</f>
        <v>-0.11593649096538783</v>
      </c>
      <c r="AD924" s="407">
        <f>IFERROR(Model!AD924/Model!Z924-1,"NA")</f>
        <v>-0.11652433120737937</v>
      </c>
      <c r="AE924" s="407">
        <f>IFERROR(Model!AE924/Model!AA924-1,"NA")</f>
        <v>-6.5911590959796929E-2</v>
      </c>
      <c r="AF924" s="407">
        <f>IFERROR(Model!AF924/Model!AB924-1,"NA")</f>
        <v>-9.0319724450935723E-3</v>
      </c>
      <c r="AG924" s="407">
        <f>IFERROR(Model!AG924/Model!AC924-1,"NA")</f>
        <v>-1.557612534235675E-2</v>
      </c>
      <c r="AH924" s="407">
        <f>IFERROR(Model!AH924/Model!AD924-1,"NA")</f>
        <v>-2.0169415038198801E-2</v>
      </c>
      <c r="AI924" s="407">
        <f>IFERROR(Model!AI924/Model!AE924-1,"NA")</f>
        <v>-1.6120049375002221E-2</v>
      </c>
      <c r="AJ924" s="407"/>
      <c r="AK924" s="407"/>
      <c r="AL924" s="407"/>
      <c r="AM924" s="407"/>
      <c r="AN924" s="407"/>
      <c r="AO924" s="407"/>
      <c r="AP924" s="407"/>
      <c r="AQ924" s="407"/>
      <c r="AR924" s="1236"/>
      <c r="AS924" s="1493"/>
      <c r="AT924" s="1248"/>
      <c r="AU924" s="407"/>
      <c r="AV924" s="407">
        <f>IFERROR(Model!AV924/Model!AU924-1,"NA")</f>
        <v>4.0470651822570369E-2</v>
      </c>
      <c r="AW924" s="407">
        <f>IFERROR(Model!AW924/Model!AV924-1,"NA")</f>
        <v>5.466643239650737E-2</v>
      </c>
      <c r="AX924" s="407">
        <f>IFERROR(Model!AX924/Model!AW924-1,"NA")</f>
        <v>4.3133732679506487E-2</v>
      </c>
      <c r="AY924" s="407">
        <f>IFERROR(Model!AY924/Model!AX924-1,"NA")</f>
        <v>3.4568398442744064E-2</v>
      </c>
      <c r="AZ924" s="407">
        <f>IFERROR(Model!AZ924/Model!AY924-1,"NA")</f>
        <v>-4.7244041639726397E-2</v>
      </c>
      <c r="BA924" s="407">
        <f>IFERROR(Model!BA924/Model!AZ924-1,"NA")</f>
        <v>-6.1490915765849308E-2</v>
      </c>
      <c r="BB924" s="407">
        <f>IFERROR(Model!BB924/Model!BA924-1,"NA")</f>
        <v>-1.1460360603926967E-2</v>
      </c>
      <c r="BC924" s="407">
        <f>IFERROR(Model!BC924/Model!BB924-1,"NA")</f>
        <v>-1.269247196227119E-3</v>
      </c>
      <c r="BD924" s="407">
        <f>IFERROR(Model!BD924/Model!BC924-1,"NA")</f>
        <v>1.9116798274297686E-2</v>
      </c>
      <c r="BE924" s="407">
        <f>IFERROR(Model!BE924/Model!BD924-1,"NA")</f>
        <v>2.6758632532938975E-2</v>
      </c>
    </row>
    <row r="925" spans="1:57" x14ac:dyDescent="0.2">
      <c r="B925" s="15"/>
      <c r="C925" s="93" t="s">
        <v>97</v>
      </c>
      <c r="D925" s="407"/>
      <c r="E925" s="407"/>
      <c r="F925" s="407"/>
      <c r="G925" s="407"/>
      <c r="H925" s="407" t="str">
        <f>IFERROR(Model!H925/Model!D925-1,"NA")</f>
        <v>NA</v>
      </c>
      <c r="I925" s="407">
        <f>IFERROR(Model!I925/Model!E925-1,"NA")</f>
        <v>1.279039415296257E-2</v>
      </c>
      <c r="J925" s="407">
        <f>IFERROR(Model!J925/Model!F925-1,"NA")</f>
        <v>-2.4685008999742908E-2</v>
      </c>
      <c r="K925" s="407">
        <f>IFERROR(Model!K925/Model!G925-1,"NA")</f>
        <v>-5.679201841903303E-2</v>
      </c>
      <c r="L925" s="407">
        <f>IFERROR(Model!L925/Model!H925-1,"NA")</f>
        <v>-9.0122199592667984E-2</v>
      </c>
      <c r="M925" s="407">
        <f>IFERROR(Model!M925/Model!I925-1,"NA")</f>
        <v>-9.3556701030927836E-2</v>
      </c>
      <c r="N925" s="407">
        <f>IFERROR(Model!N925/Model!J925-1,"NA")</f>
        <v>-0.11521223306090167</v>
      </c>
      <c r="O925" s="407">
        <f>IFERROR(Model!O925/Model!K925-1,"NA")</f>
        <v>-0.15107133170599407</v>
      </c>
      <c r="P925" s="407">
        <f>IFERROR(Model!P925/Model!L925-1,"NA")</f>
        <v>-0.18466703973139342</v>
      </c>
      <c r="Q925" s="407">
        <f>IFERROR(Model!Q925/Model!M925-1,"NA")</f>
        <v>-0.20727893090702298</v>
      </c>
      <c r="R925" s="407">
        <f>IFERROR(Model!R925/Model!N925-1,"NA")</f>
        <v>-0.20321811680572111</v>
      </c>
      <c r="S925" s="407">
        <f>IFERROR(Model!S925/Model!O925-1,"NA")</f>
        <v>-0.19361022364217251</v>
      </c>
      <c r="T925" s="407">
        <f>IFERROR(Model!T925/Model!P925-1,"NA")</f>
        <v>-0.15099519560741248</v>
      </c>
      <c r="U925" s="407">
        <f>IFERROR(Model!U925/Model!Q925-1,"NA")</f>
        <v>-0.14921090387374458</v>
      </c>
      <c r="V925" s="407">
        <f>IFERROR(Model!V925/Model!R925-1,"NA")</f>
        <v>-0.15931189229618548</v>
      </c>
      <c r="W925" s="407">
        <f>IFERROR(Model!W925/Model!S925-1,"NA")</f>
        <v>-0.15293185419968303</v>
      </c>
      <c r="X925" s="407">
        <f>IFERROR(Model!X925/Model!T925-1,"NA")</f>
        <v>-0.23686337914308808</v>
      </c>
      <c r="Y925" s="407">
        <f>IFERROR(Model!Y925/Model!U925-1,"NA")</f>
        <v>-0.17664418212478916</v>
      </c>
      <c r="Z925" s="407">
        <f>IFERROR(Model!Z925/Model!V925-1,"NA")</f>
        <v>-7.6512455516014266E-2</v>
      </c>
      <c r="AA925" s="407">
        <f>IFERROR(Model!AA925/Model!W925-1,"NA")</f>
        <v>0.17586529466791401</v>
      </c>
      <c r="AB925" s="407">
        <f>IFERROR(Model!AB925/Model!X925-1,"NA")</f>
        <v>0.31197033898305082</v>
      </c>
      <c r="AC925" s="407">
        <f>IFERROR(Model!AC925/Model!Y925-1,"NA")</f>
        <v>-2.6113671274961558E-2</v>
      </c>
      <c r="AD925" s="407">
        <f>IFERROR(Model!AD925/Model!Z925-1,"NA")</f>
        <v>-8.381502890173409E-2</v>
      </c>
      <c r="AE925" s="407">
        <f>IFERROR(Model!AE925/Model!AA925-1,"NA")</f>
        <v>-0.24343675417661093</v>
      </c>
      <c r="AF925" s="407">
        <f>IFERROR(Model!AF925/Model!AB925-1,"NA")</f>
        <v>-0.23213564796124342</v>
      </c>
      <c r="AG925" s="407">
        <f>IFERROR(Model!AG925/Model!AC925-1,"NA")</f>
        <v>0</v>
      </c>
      <c r="AH925" s="407">
        <f>IFERROR(Model!AH925/Model!AD925-1,"NA")</f>
        <v>0</v>
      </c>
      <c r="AI925" s="407">
        <f>IFERROR(Model!AI925/Model!AE925-1,"NA")</f>
        <v>0</v>
      </c>
      <c r="AJ925" s="407"/>
      <c r="AK925" s="407"/>
      <c r="AL925" s="407"/>
      <c r="AM925" s="407"/>
      <c r="AN925" s="407"/>
      <c r="AO925" s="407"/>
      <c r="AP925" s="407"/>
      <c r="AQ925" s="407"/>
      <c r="AR925" s="1236"/>
      <c r="AS925" s="1250"/>
      <c r="AT925" s="1506"/>
      <c r="AU925" s="407"/>
      <c r="AV925" s="407">
        <f>IFERROR(Model!AV925/Model!AU925-1,"NA")</f>
        <v>-3.9527720739219729E-2</v>
      </c>
      <c r="AW925" s="407">
        <f>IFERROR(Model!AW925/Model!AV925-1,"NA")</f>
        <v>-0.11678246926777125</v>
      </c>
      <c r="AX925" s="407">
        <f>IFERROR(Model!AX925/Model!AW925-1,"NA")</f>
        <v>-0.1691376701966717</v>
      </c>
      <c r="AY925" s="407">
        <f>IFERROR(Model!AY925/Model!AX925-1,"NA")</f>
        <v>-0.17771303714493814</v>
      </c>
      <c r="AZ925" s="407">
        <f>IFERROR(Model!AZ925/Model!AY925-1,"NA")</f>
        <v>0.12887511071744906</v>
      </c>
      <c r="BA925" s="407">
        <f>IFERROR(Model!BA925/Model!AZ925-1,"NA")</f>
        <v>-2.8246371125931757E-2</v>
      </c>
      <c r="BB925" s="407">
        <f>IFERROR(Model!BB925/Model!BA925-1,"NA")</f>
        <v>-0.23213564796124342</v>
      </c>
      <c r="BC925" s="407">
        <f>IFERROR(Model!BC925/Model!BB925-1,"NA")</f>
        <v>0</v>
      </c>
      <c r="BD925" s="407">
        <f>IFERROR(Model!BD925/Model!BC925-1,"NA")</f>
        <v>0</v>
      </c>
      <c r="BE925" s="407">
        <f>IFERROR(Model!BE925/Model!BD925-1,"NA")</f>
        <v>0</v>
      </c>
    </row>
    <row r="926" spans="1:57" x14ac:dyDescent="0.2">
      <c r="B926" s="642" t="s">
        <v>14</v>
      </c>
      <c r="C926" s="319"/>
      <c r="D926" s="1307"/>
      <c r="E926" s="1307"/>
      <c r="F926" s="1307"/>
      <c r="G926" s="1307"/>
      <c r="H926" s="1307" t="str">
        <f>IFERROR(Model!H926/Model!D926-1,"NA")</f>
        <v>NA</v>
      </c>
      <c r="I926" s="1307">
        <f>IFERROR(Model!I926/Model!E926-1,"NA")</f>
        <v>6.3771478757749245E-2</v>
      </c>
      <c r="J926" s="1307">
        <f>IFERROR(Model!J926/Model!F926-1,"NA")</f>
        <v>6.9362244966182596E-2</v>
      </c>
      <c r="K926" s="1307">
        <f>IFERROR(Model!K926/Model!G926-1,"NA")</f>
        <v>7.67367998987043E-2</v>
      </c>
      <c r="L926" s="1307">
        <f>IFERROR(Model!L926/Model!H926-1,"NA")</f>
        <v>7.7910055311082749E-2</v>
      </c>
      <c r="M926" s="1307">
        <f>IFERROR(Model!M926/Model!I926-1,"NA")</f>
        <v>7.6985605332830387E-2</v>
      </c>
      <c r="N926" s="1307">
        <f>IFERROR(Model!N926/Model!J926-1,"NA")</f>
        <v>6.6131141883223332E-2</v>
      </c>
      <c r="O926" s="1307">
        <f>IFERROR(Model!O926/Model!K926-1,"NA")</f>
        <v>4.1807740740559263E-2</v>
      </c>
      <c r="P926" s="1307">
        <f>IFERROR(Model!P926/Model!L926-1,"NA")</f>
        <v>2.8957231730024402E-2</v>
      </c>
      <c r="Q926" s="1307">
        <f>IFERROR(Model!Q926/Model!M926-1,"NA")</f>
        <v>3.3595252798421349E-2</v>
      </c>
      <c r="R926" s="1307">
        <f>IFERROR(Model!R926/Model!N926-1,"NA")</f>
        <v>3.9085151301900156E-2</v>
      </c>
      <c r="S926" s="1307">
        <f>IFERROR(Model!S926/Model!O926-1,"NA")</f>
        <v>4.6999009977824358E-2</v>
      </c>
      <c r="T926" s="1307">
        <f>IFERROR(Model!T926/Model!P926-1,"NA")</f>
        <v>5.6424895784381812E-2</v>
      </c>
      <c r="U926" s="1307">
        <f>IFERROR(Model!U926/Model!Q926-1,"NA")</f>
        <v>5.7077061128813611E-2</v>
      </c>
      <c r="V926" s="1307">
        <f>IFERROR(Model!V926/Model!R926-1,"NA")</f>
        <v>5.1356549771763627E-2</v>
      </c>
      <c r="W926" s="1307">
        <f>IFERROR(Model!W926/Model!S926-1,"NA")</f>
        <v>3.0555062675611921E-2</v>
      </c>
      <c r="X926" s="1307">
        <f>IFERROR(Model!X926/Model!T926-1,"NA")</f>
        <v>7.2744897123622199E-3</v>
      </c>
      <c r="Y926" s="1307">
        <f>IFERROR(Model!Y926/Model!U926-1,"NA")</f>
        <v>-3.6337492583080611E-3</v>
      </c>
      <c r="Z926" s="1307">
        <f>IFERROR(Model!Z926/Model!V926-1,"NA")</f>
        <v>-1.2844875899431174E-2</v>
      </c>
      <c r="AA926" s="1307">
        <f>IFERROR(Model!AA926/Model!W926-1,"NA")</f>
        <v>-6.0904512099173358E-2</v>
      </c>
      <c r="AB926" s="1307">
        <f>IFERROR(Model!AB926/Model!X926-1,"NA")</f>
        <v>-0.10987388495847428</v>
      </c>
      <c r="AC926" s="1307">
        <f>IFERROR(Model!AC926/Model!Y926-1,"NA")</f>
        <v>-0.11555522071593249</v>
      </c>
      <c r="AD926" s="1307">
        <f>IFERROR(Model!AD926/Model!Z926-1,"NA")</f>
        <v>-0.11637662568611251</v>
      </c>
      <c r="AE926" s="1307">
        <f>IFERROR(Model!AE926/Model!AA926-1,"NA")</f>
        <v>-6.6947354917779256E-2</v>
      </c>
      <c r="AF926" s="1307">
        <f>IFERROR(Model!AF926/Model!AB926-1,"NA")</f>
        <v>-1.0396040956723085E-2</v>
      </c>
      <c r="AG926" s="1307">
        <f>IFERROR(Model!AG926/Model!AC926-1,"NA")</f>
        <v>-1.5503323358450172E-2</v>
      </c>
      <c r="AH926" s="1307">
        <f>IFERROR(Model!AH926/Model!AD926-1,"NA")</f>
        <v>-2.0074979660952064E-2</v>
      </c>
      <c r="AI926" s="1307">
        <f>IFERROR(Model!AI926/Model!AE926-1,"NA")</f>
        <v>-1.6043787701282786E-2</v>
      </c>
      <c r="AJ926" s="1318"/>
      <c r="AK926" s="1318"/>
      <c r="AL926" s="1318"/>
      <c r="AM926" s="1318"/>
      <c r="AN926" s="1318"/>
      <c r="AO926" s="1318"/>
      <c r="AP926" s="1318"/>
      <c r="AQ926" s="1318"/>
      <c r="AR926" s="1236"/>
      <c r="AS926" s="1493"/>
      <c r="AT926" s="1248"/>
      <c r="AU926" s="1307"/>
      <c r="AV926" s="1307">
        <f>IFERROR(Model!AV926/Model!AU926-1,"NA")</f>
        <v>3.9653318647890234E-2</v>
      </c>
      <c r="AW926" s="1307">
        <f>IFERROR(Model!AW926/Model!AV926-1,"NA")</f>
        <v>5.3048169887325303E-2</v>
      </c>
      <c r="AX926" s="1307">
        <f>IFERROR(Model!AX926/Model!AW926-1,"NA")</f>
        <v>4.145328421345118E-2</v>
      </c>
      <c r="AY926" s="1307">
        <f>IFERROR(Model!AY926/Model!AX926-1,"NA")</f>
        <v>3.3227687976669085E-2</v>
      </c>
      <c r="AZ926" s="1307">
        <f>IFERROR(Model!AZ926/Model!AY926-1,"NA")</f>
        <v>-4.6358809976960846E-2</v>
      </c>
      <c r="BA926" s="1307">
        <f>IFERROR(Model!BA926/Model!AZ926-1,"NA")</f>
        <v>-6.1293113328722226E-2</v>
      </c>
      <c r="BB926" s="1307">
        <f>IFERROR(Model!BB926/Model!BA926-1,"NA")</f>
        <v>-1.2819584864136035E-2</v>
      </c>
      <c r="BC926" s="1307">
        <f>IFERROR(Model!BC926/Model!BB926-1,"NA")</f>
        <v>-1.2631662438158386E-3</v>
      </c>
      <c r="BD926" s="1307">
        <f>IFERROR(Model!BD926/Model!BC926-1,"NA")</f>
        <v>1.9025094020306943E-2</v>
      </c>
      <c r="BE926" s="1307">
        <f>IFERROR(Model!BE926/Model!BD926-1,"NA")</f>
        <v>2.6632666526309912E-2</v>
      </c>
    </row>
    <row r="927" spans="1:57" s="160" customFormat="1" x14ac:dyDescent="0.2">
      <c r="A927" s="829"/>
      <c r="B927" s="642" t="s">
        <v>13</v>
      </c>
      <c r="C927" s="662"/>
      <c r="D927" s="407"/>
      <c r="E927" s="1329"/>
      <c r="F927" s="1329"/>
      <c r="G927" s="1329"/>
      <c r="H927" s="1329" t="str">
        <f>IFERROR(Model!H927/Model!D927-1,"NA")</f>
        <v>NA</v>
      </c>
      <c r="I927" s="1329">
        <f>IFERROR(Model!I927/Model!E927-1,"NA")</f>
        <v>-8.9765669850216945E-3</v>
      </c>
      <c r="J927" s="1329">
        <f>IFERROR(Model!J927/Model!F927-1,"NA")</f>
        <v>-2.7390803393736229E-2</v>
      </c>
      <c r="K927" s="1329">
        <f>IFERROR(Model!K927/Model!G927-1,"NA")</f>
        <v>-9.131940799832039E-3</v>
      </c>
      <c r="L927" s="1329">
        <f>IFERROR(Model!L927/Model!H927-1,"NA")</f>
        <v>7.9499682001271665E-4</v>
      </c>
      <c r="M927" s="1329">
        <f>IFERROR(Model!M927/Model!I927-1,"NA")</f>
        <v>2.3171309705618537E-3</v>
      </c>
      <c r="N927" s="1329">
        <f>IFERROR(Model!N927/Model!J927-1,"NA")</f>
        <v>2.0623552851219751E-2</v>
      </c>
      <c r="O927" s="1329">
        <f>IFERROR(Model!O927/Model!K927-1,"NA")</f>
        <v>6.4618644067797604E-3</v>
      </c>
      <c r="P927" s="1329">
        <f>IFERROR(Model!P927/Model!L927-1,"NA")</f>
        <v>-1.8641105756500576E-2</v>
      </c>
      <c r="Q927" s="1329">
        <f>IFERROR(Model!Q927/Model!M927-1,"NA")</f>
        <v>-3.341564650869544E-2</v>
      </c>
      <c r="R927" s="1329">
        <f>IFERROR(Model!R927/Model!N927-1,"NA")</f>
        <v>-4.0624670254299833E-2</v>
      </c>
      <c r="S927" s="1329">
        <f>IFERROR(Model!S927/Model!O927-1,"NA")</f>
        <v>-6.0993579623197514E-2</v>
      </c>
      <c r="T927" s="1329">
        <f>IFERROR(Model!T927/Model!P927-1,"NA")</f>
        <v>-4.0742539528357935E-2</v>
      </c>
      <c r="U927" s="1329">
        <f>IFERROR(Model!U927/Model!Q927-1,"NA")</f>
        <v>-1.7611567103332115E-2</v>
      </c>
      <c r="V927" s="1329">
        <f>IFERROR(Model!V927/Model!R927-1,"NA")</f>
        <v>6.489221293444869E-3</v>
      </c>
      <c r="W927" s="1329">
        <f>IFERROR(Model!W927/Model!S927-1,"NA")</f>
        <v>1.9895757439892359E-2</v>
      </c>
      <c r="X927" s="1329">
        <f>IFERROR(Model!X927/Model!T927-1,"NA")</f>
        <v>2.9815481548154832E-2</v>
      </c>
      <c r="Y927" s="1329">
        <f>IFERROR(Model!Y927/Model!U927-1,"NA")</f>
        <v>3.4249986167210755E-2</v>
      </c>
      <c r="Z927" s="1329">
        <f>IFERROR(Model!Z927/Model!V927-1,"NA")</f>
        <v>3.3930717954322009E-2</v>
      </c>
      <c r="AA927" s="1329">
        <f>IFERROR(Model!AA927/Model!W927-1,"NA")</f>
        <v>4.9401033080558321E-2</v>
      </c>
      <c r="AB927" s="1329">
        <f>IFERROR(Model!AB927/Model!X927-1,"NA")</f>
        <v>4.0205397137550447E-2</v>
      </c>
      <c r="AC927" s="1329">
        <f>IFERROR(Model!AC927/Model!Y927-1,"NA")</f>
        <v>2.2875980431806608E-2</v>
      </c>
      <c r="AD927" s="1329">
        <f>IFERROR(Model!AD927/Model!Z927-1,"NA")</f>
        <v>1.4854213959551998E-2</v>
      </c>
      <c r="AE927" s="1329">
        <f>IFERROR(Model!AE927/Model!AA927-1,"NA")</f>
        <v>1.1513737526349654E-2</v>
      </c>
      <c r="AF927" s="1329">
        <f>IFERROR(Model!AF927/Model!AB927-1,"NA")</f>
        <v>2.0568445707709326E-2</v>
      </c>
      <c r="AG927" s="1329">
        <f>IFERROR(Model!AG927/Model!AC927-1,"NA")</f>
        <v>2.4099171885437531E-2</v>
      </c>
      <c r="AH927" s="1329">
        <f>IFERROR(Model!AH927/Model!AD927-1,"NA")</f>
        <v>2.9825324180765556E-2</v>
      </c>
      <c r="AI927" s="1329">
        <f>IFERROR(Model!AI927/Model!AE927-1,"NA")</f>
        <v>3.5642188729954727E-2</v>
      </c>
      <c r="AJ927" s="1329"/>
      <c r="AK927" s="1329"/>
      <c r="AL927" s="1329"/>
      <c r="AM927" s="1329"/>
      <c r="AN927" s="1329"/>
      <c r="AO927" s="1329"/>
      <c r="AP927" s="1329"/>
      <c r="AQ927" s="1329"/>
      <c r="AR927" s="1236"/>
      <c r="AS927" s="1493"/>
      <c r="AT927" s="1513"/>
      <c r="AU927" s="1329"/>
      <c r="AV927" s="1329">
        <f>IFERROR(Model!AV927/Model!AU927-1,"NA")</f>
        <v>-1.4641422533921311E-2</v>
      </c>
      <c r="AW927" s="1329">
        <f>IFERROR(Model!AW927/Model!AV927-1,"NA")</f>
        <v>7.4892441706060353E-3</v>
      </c>
      <c r="AX927" s="1329">
        <f>IFERROR(Model!AX927/Model!AW927-1,"NA")</f>
        <v>-3.8446330662167849E-2</v>
      </c>
      <c r="AY927" s="1329">
        <f>IFERROR(Model!AY927/Model!AX927-1,"NA")</f>
        <v>-8.3064903022410652E-3</v>
      </c>
      <c r="AZ927" s="1329">
        <f>IFERROR(Model!AZ927/Model!AY927-1,"NA")</f>
        <v>3.689062737563753E-2</v>
      </c>
      <c r="BA927" s="1329">
        <f>IFERROR(Model!BA927/Model!AZ927-1,"NA")</f>
        <v>2.2188834180178585E-2</v>
      </c>
      <c r="BB927" s="1329">
        <f>IFERROR(Model!BB927/Model!BA927-1,"NA")</f>
        <v>2.7564216277167652E-2</v>
      </c>
      <c r="BC927" s="1329">
        <f>IFERROR(Model!BC927/Model!BB927-1,"NA")</f>
        <v>2.6152383756319786E-2</v>
      </c>
      <c r="BD927" s="1329">
        <f>IFERROR(Model!BD927/Model!BC927-1,"NA")</f>
        <v>3.3192264433851371E-2</v>
      </c>
      <c r="BE927" s="1329">
        <f>IFERROR(Model!BE927/Model!BD927-1,"NA")</f>
        <v>3.1740615776852277E-2</v>
      </c>
    </row>
    <row r="928" spans="1:57" s="160" customFormat="1" x14ac:dyDescent="0.2">
      <c r="A928" s="829"/>
      <c r="B928" s="642"/>
      <c r="C928" s="662"/>
      <c r="D928" s="407"/>
      <c r="E928" s="1329"/>
      <c r="F928" s="1329"/>
      <c r="G928" s="1329"/>
      <c r="H928" s="1329"/>
      <c r="I928" s="1329"/>
      <c r="J928" s="1329"/>
      <c r="K928" s="1329"/>
      <c r="L928" s="1329"/>
      <c r="M928" s="1329"/>
      <c r="N928" s="1329"/>
      <c r="O928" s="1329"/>
      <c r="P928" s="1329"/>
      <c r="Q928" s="1329"/>
      <c r="R928" s="1329"/>
      <c r="S928" s="1329"/>
      <c r="T928" s="1329"/>
      <c r="U928" s="1329"/>
      <c r="V928" s="1329"/>
      <c r="W928" s="1329"/>
      <c r="X928" s="1329"/>
      <c r="Y928" s="1329"/>
      <c r="Z928" s="1329"/>
      <c r="AA928" s="1329"/>
      <c r="AB928" s="1329"/>
      <c r="AC928" s="1329"/>
      <c r="AD928" s="1329"/>
      <c r="AE928" s="1329"/>
      <c r="AF928" s="1329"/>
      <c r="AG928" s="1329"/>
      <c r="AH928" s="1329"/>
      <c r="AI928" s="1329"/>
      <c r="AJ928" s="1329"/>
      <c r="AK928" s="1329"/>
      <c r="AL928" s="1329"/>
      <c r="AM928" s="1329"/>
      <c r="AN928" s="1329"/>
      <c r="AO928" s="1329"/>
      <c r="AP928" s="1329"/>
      <c r="AQ928" s="1329"/>
      <c r="AR928" s="1236"/>
      <c r="AS928" s="1493"/>
      <c r="AT928" s="1513"/>
      <c r="AU928" s="1396"/>
      <c r="AV928" s="1396"/>
      <c r="AW928" s="1396"/>
      <c r="AX928" s="1396"/>
      <c r="AY928" s="1396"/>
      <c r="AZ928" s="1396"/>
      <c r="BA928" s="1396"/>
      <c r="BB928" s="1329"/>
      <c r="BC928" s="1329"/>
      <c r="BD928" s="1329"/>
      <c r="BE928" s="1329"/>
    </row>
    <row r="929" spans="1:64" x14ac:dyDescent="0.2">
      <c r="B929" s="214" t="s">
        <v>564</v>
      </c>
      <c r="D929" s="1323"/>
      <c r="E929" s="1323"/>
      <c r="F929" s="1323"/>
      <c r="G929" s="1323"/>
      <c r="H929" s="1323" t="str">
        <f>IFERROR(Model!H929/Model!D929-1,"NA")</f>
        <v>NA</v>
      </c>
      <c r="I929" s="1323">
        <f>IFERROR(Model!I929/Model!E929-1,"NA")</f>
        <v>-3.8180274877639642E-2</v>
      </c>
      <c r="J929" s="1323">
        <f>IFERROR(Model!J929/Model!F929-1,"NA")</f>
        <v>-2.2917915929854371E-2</v>
      </c>
      <c r="K929" s="1323">
        <f>IFERROR(Model!K929/Model!G929-1,"NA")</f>
        <v>-4.0397057511971646E-3</v>
      </c>
      <c r="L929" s="1323">
        <f>IFERROR(Model!L929/Model!H929-1,"NA")</f>
        <v>1.1773461611699565E-2</v>
      </c>
      <c r="M929" s="1323">
        <f>IFERROR(Model!M929/Model!I929-1,"NA")</f>
        <v>5.413790464883883E-3</v>
      </c>
      <c r="N929" s="1323">
        <f>IFERROR(Model!N929/Model!J929-1,"NA")</f>
        <v>-2.5335734158490331E-3</v>
      </c>
      <c r="O929" s="1323">
        <f>IFERROR(Model!O929/Model!K929-1,"NA")</f>
        <v>-1.0233487389323948E-2</v>
      </c>
      <c r="P929" s="1323">
        <f>IFERROR(Model!P929/Model!L929-1,"NA")</f>
        <v>-1.843507103043629E-2</v>
      </c>
      <c r="Q929" s="1323">
        <f>IFERROR(Model!Q929/Model!M929-1,"NA")</f>
        <v>-3.4906981903756407E-2</v>
      </c>
      <c r="R929" s="1323">
        <f>IFERROR(Model!R929/Model!N929-1,"NA")</f>
        <v>-4.4997802936310949E-2</v>
      </c>
      <c r="S929" s="1323">
        <f>IFERROR(Model!S929/Model!O929-1,"NA")</f>
        <v>-6.5015767236493494E-2</v>
      </c>
      <c r="T929" s="1323">
        <f>IFERROR(Model!T929/Model!P929-1,"NA")</f>
        <v>-4.9843809473185674E-2</v>
      </c>
      <c r="U929" s="1323">
        <f>IFERROR(Model!U929/Model!Q929-1,"NA")</f>
        <v>-9.4688243784470938E-3</v>
      </c>
      <c r="V929" s="1323">
        <f>IFERROR(Model!V929/Model!R929-1,"NA")</f>
        <v>1.8409512822137319E-3</v>
      </c>
      <c r="W929" s="1323">
        <f>IFERROR(Model!W929/Model!S929-1,"NA")</f>
        <v>3.3395871103338637E-2</v>
      </c>
      <c r="X929" s="1323">
        <f>IFERROR(Model!X929/Model!T929-1,"NA")</f>
        <v>3.5903755159166773E-2</v>
      </c>
      <c r="Y929" s="1323">
        <f>IFERROR(Model!Y929/Model!U929-1,"NA")</f>
        <v>2.407591115777441E-2</v>
      </c>
      <c r="Z929" s="1323">
        <f>IFERROR(Model!Z929/Model!V929-1,"NA")</f>
        <v>4.3165731399504415E-2</v>
      </c>
      <c r="AA929" s="1323">
        <f>IFERROR(Model!AA929/Model!W929-1,"NA")</f>
        <v>4.1533871838698833E-2</v>
      </c>
      <c r="AB929" s="1323">
        <f>IFERROR(Model!AB929/Model!X929-1,"NA")</f>
        <v>5.3239333255862498E-2</v>
      </c>
      <c r="AC929" s="1323">
        <f>IFERROR(Model!AC929/Model!Y929-1,"NA")</f>
        <v>6.277375409430519E-2</v>
      </c>
      <c r="AD929" s="1323">
        <f>IFERROR(Model!AD929/Model!Z929-1,"NA")</f>
        <v>4.3133339151851802E-2</v>
      </c>
      <c r="AE929" s="1323">
        <f>IFERROR(Model!AE929/Model!AA929-1,"NA")</f>
        <v>5.0913245522740791E-2</v>
      </c>
      <c r="AF929" s="1323">
        <f>IFERROR(Model!AF929/Model!AB929-1,"NA")</f>
        <v>3.5490058284851633E-2</v>
      </c>
      <c r="AG929" s="1323">
        <f>IFERROR(Model!AG929/Model!AC929-1,"NA")</f>
        <v>7.6821337717583038E-3</v>
      </c>
      <c r="AH929" s="1323">
        <f>IFERROR(Model!AH929/Model!AD929-1,"NA")</f>
        <v>1.2820192700671251E-2</v>
      </c>
      <c r="AI929" s="1323">
        <f>IFERROR(Model!AI929/Model!AE929-1,"NA")</f>
        <v>1.7899595249568856E-2</v>
      </c>
      <c r="AJ929" s="1323"/>
      <c r="AK929" s="1323"/>
      <c r="AL929" s="1323"/>
      <c r="AM929" s="1323"/>
      <c r="AN929" s="1323"/>
      <c r="AO929" s="1323"/>
      <c r="AP929" s="1323"/>
      <c r="AQ929" s="1323"/>
      <c r="AR929" s="1236"/>
      <c r="AS929" s="1331"/>
      <c r="AT929" s="407"/>
      <c r="AU929" s="1323"/>
      <c r="AV929" s="1323">
        <f>IFERROR(Model!AV929/Model!AU929-1,"NA")</f>
        <v>-2.6395211963784915E-2</v>
      </c>
      <c r="AW929" s="1323">
        <f>IFERROR(Model!AW929/Model!AV929-1,"NA")</f>
        <v>1.0567919334261155E-3</v>
      </c>
      <c r="AX929" s="1323">
        <f>IFERROR(Model!AX929/Model!AW929-1,"NA")</f>
        <v>-4.0796189349835088E-2</v>
      </c>
      <c r="AY929" s="1323">
        <f>IFERROR(Model!AY929/Model!AX929-1,"NA")</f>
        <v>-6.5856633025327405E-3</v>
      </c>
      <c r="AZ929" s="1323">
        <f>IFERROR(Model!AZ929/Model!AY929-1,"NA")</f>
        <v>3.6164931805102274E-2</v>
      </c>
      <c r="BA929" s="1323">
        <f>IFERROR(Model!BA929/Model!AZ929-1,"NA")</f>
        <v>5.2462197408399414E-2</v>
      </c>
      <c r="BB929" s="1323">
        <f>IFERROR(Model!BB929/Model!BA929-1,"NA")</f>
        <v>1.8337381912203021E-2</v>
      </c>
      <c r="BC929" s="1323">
        <f>IFERROR(Model!BC929/Model!BB929-1,"NA")</f>
        <v>1.5211973640760323E-2</v>
      </c>
      <c r="BD929" s="1323">
        <f>IFERROR(Model!BD929/Model!BC929-1,"NA")</f>
        <v>1.4718466222324755E-2</v>
      </c>
      <c r="BE929" s="1323">
        <f>IFERROR(Model!BE929/Model!BD929-1,"NA")</f>
        <v>1.9785034035145532E-2</v>
      </c>
    </row>
    <row r="930" spans="1:64" x14ac:dyDescent="0.2">
      <c r="D930" s="407"/>
      <c r="E930" s="407"/>
      <c r="F930" s="407"/>
      <c r="G930" s="407"/>
      <c r="H930" s="407"/>
      <c r="I930" s="407"/>
      <c r="J930" s="407"/>
      <c r="K930" s="407"/>
      <c r="L930" s="407"/>
      <c r="M930" s="407"/>
      <c r="N930" s="407"/>
      <c r="O930" s="407"/>
      <c r="P930" s="407"/>
      <c r="Q930" s="407"/>
      <c r="R930" s="407"/>
      <c r="S930" s="407"/>
      <c r="T930" s="407"/>
      <c r="U930" s="407"/>
      <c r="V930" s="407"/>
      <c r="W930" s="407"/>
      <c r="X930" s="407"/>
      <c r="Y930" s="407"/>
      <c r="Z930" s="407"/>
      <c r="AA930" s="407"/>
      <c r="AB930" s="407"/>
      <c r="AC930" s="407"/>
      <c r="AD930" s="407"/>
      <c r="AE930" s="407"/>
      <c r="AF930" s="407"/>
      <c r="AG930" s="407"/>
      <c r="AH930" s="407"/>
      <c r="AI930" s="407"/>
      <c r="AJ930" s="407"/>
      <c r="AK930" s="407"/>
      <c r="AL930" s="407"/>
      <c r="AM930" s="407"/>
      <c r="AN930" s="407"/>
      <c r="AO930" s="407"/>
      <c r="AP930" s="407"/>
      <c r="AQ930" s="407"/>
      <c r="AR930" s="1236"/>
      <c r="AS930" s="1382"/>
      <c r="AT930" s="407"/>
      <c r="AU930" s="1236"/>
      <c r="AV930" s="1236"/>
      <c r="AW930" s="1236"/>
      <c r="AX930" s="1236"/>
      <c r="AY930" s="1236"/>
      <c r="AZ930" s="1236"/>
      <c r="BA930" s="1236"/>
      <c r="BB930" s="1236"/>
      <c r="BC930" s="1236"/>
      <c r="BD930" s="1236"/>
      <c r="BE930" s="1236"/>
    </row>
    <row r="931" spans="1:64" x14ac:dyDescent="0.2">
      <c r="A931" s="411" t="s">
        <v>194</v>
      </c>
      <c r="B931" s="13" t="s">
        <v>310</v>
      </c>
      <c r="C931" s="13"/>
      <c r="D931" s="1369"/>
      <c r="E931" s="1369"/>
      <c r="F931" s="1369"/>
      <c r="G931" s="1369"/>
      <c r="H931" s="1369"/>
      <c r="I931" s="1369"/>
      <c r="J931" s="1369"/>
      <c r="K931" s="1369"/>
      <c r="L931" s="1369"/>
      <c r="M931" s="1369"/>
      <c r="N931" s="1369"/>
      <c r="O931" s="1369"/>
      <c r="P931" s="1369"/>
      <c r="Q931" s="1369"/>
      <c r="R931" s="1369"/>
      <c r="S931" s="1369"/>
      <c r="T931" s="1369"/>
      <c r="U931" s="1369"/>
      <c r="V931" s="1369"/>
      <c r="W931" s="1369"/>
      <c r="X931" s="1369"/>
      <c r="Y931" s="1369"/>
      <c r="Z931" s="1369"/>
      <c r="AA931" s="1369"/>
      <c r="AB931" s="1369"/>
      <c r="AC931" s="1369"/>
      <c r="AD931" s="1369"/>
      <c r="AE931" s="1369"/>
      <c r="AF931" s="1369"/>
      <c r="AG931" s="1369"/>
      <c r="AH931" s="1369"/>
      <c r="AI931" s="1369"/>
      <c r="AJ931" s="1369"/>
      <c r="AK931" s="1369"/>
      <c r="AL931" s="1369"/>
      <c r="AM931" s="1369"/>
      <c r="AN931" s="1369"/>
      <c r="AO931" s="1369"/>
      <c r="AP931" s="1369"/>
      <c r="AQ931" s="1369"/>
      <c r="AR931" s="1236"/>
      <c r="AS931" s="1370"/>
      <c r="AT931" s="1370"/>
      <c r="AU931" s="1369"/>
      <c r="AV931" s="1369"/>
      <c r="AW931" s="1369"/>
      <c r="AX931" s="1369"/>
      <c r="AY931" s="1369"/>
      <c r="AZ931" s="1369"/>
      <c r="BA931" s="1369"/>
      <c r="BB931" s="1369"/>
      <c r="BC931" s="1369"/>
      <c r="BD931" s="1369"/>
      <c r="BE931" s="1369"/>
      <c r="BF931" s="15"/>
      <c r="BG931" s="15"/>
      <c r="BH931" s="15"/>
      <c r="BI931" s="15"/>
      <c r="BJ931" s="15"/>
      <c r="BK931" s="15"/>
      <c r="BL931" s="15"/>
    </row>
    <row r="932" spans="1:64" ht="11.25" customHeight="1" x14ac:dyDescent="0.2">
      <c r="B932" s="65"/>
      <c r="D932" s="1329"/>
      <c r="E932" s="1329"/>
      <c r="F932" s="1329"/>
      <c r="G932" s="1329"/>
      <c r="H932" s="1329"/>
      <c r="I932" s="1329"/>
      <c r="J932" s="1329"/>
      <c r="K932" s="1329"/>
      <c r="L932" s="1329"/>
      <c r="M932" s="1329"/>
      <c r="N932" s="1329"/>
      <c r="O932" s="1329"/>
      <c r="P932" s="1329"/>
      <c r="Q932" s="1329"/>
      <c r="R932" s="1329"/>
      <c r="S932" s="1329"/>
      <c r="T932" s="1329"/>
      <c r="U932" s="1329"/>
      <c r="V932" s="1329"/>
      <c r="W932" s="1329"/>
      <c r="X932" s="407"/>
      <c r="Y932" s="407"/>
      <c r="Z932" s="407"/>
      <c r="AA932" s="407"/>
      <c r="AB932" s="407"/>
      <c r="AC932" s="407"/>
      <c r="AD932" s="407"/>
      <c r="AE932" s="407"/>
      <c r="AF932" s="407"/>
      <c r="AG932" s="407"/>
      <c r="AH932" s="407"/>
      <c r="AI932" s="407"/>
      <c r="AJ932" s="407"/>
      <c r="AK932" s="407"/>
      <c r="AL932" s="407"/>
      <c r="AM932" s="407"/>
      <c r="AN932" s="407"/>
      <c r="AO932" s="407"/>
      <c r="AP932" s="407"/>
      <c r="AQ932" s="407"/>
      <c r="AR932" s="1236"/>
      <c r="AS932" s="1329"/>
      <c r="AT932" s="407"/>
      <c r="AU932" s="1236"/>
      <c r="AV932" s="1236"/>
      <c r="AW932" s="1236"/>
      <c r="AX932" s="1236"/>
      <c r="AY932" s="1236"/>
      <c r="AZ932" s="1236"/>
      <c r="BA932" s="1236"/>
      <c r="BB932" s="1236"/>
      <c r="BC932" s="1236"/>
      <c r="BD932" s="1236"/>
      <c r="BE932" s="1236"/>
    </row>
    <row r="933" spans="1:64" ht="11.25" customHeight="1" x14ac:dyDescent="0.2">
      <c r="B933" s="316" t="s">
        <v>608</v>
      </c>
      <c r="C933" s="387"/>
      <c r="D933" s="1308"/>
      <c r="E933" s="1308"/>
      <c r="F933" s="1308"/>
      <c r="G933" s="1308"/>
      <c r="H933" s="1308"/>
      <c r="I933" s="1308"/>
      <c r="J933" s="1262"/>
      <c r="K933" s="1262"/>
      <c r="L933" s="1262"/>
      <c r="M933" s="1277"/>
      <c r="N933" s="1262"/>
      <c r="O933" s="1262"/>
      <c r="P933" s="1262"/>
      <c r="Q933" s="1277"/>
      <c r="R933" s="1262"/>
      <c r="S933" s="1262"/>
      <c r="T933" s="1262"/>
      <c r="U933" s="1277"/>
      <c r="V933" s="1263"/>
      <c r="W933" s="1262"/>
      <c r="X933" s="1262"/>
      <c r="Y933" s="1263"/>
      <c r="Z933" s="1263"/>
      <c r="AA933" s="1263"/>
      <c r="AB933" s="1494"/>
      <c r="AC933" s="407"/>
      <c r="AD933" s="407"/>
      <c r="AE933" s="407"/>
      <c r="AF933" s="407"/>
      <c r="AG933" s="407"/>
      <c r="AH933" s="407"/>
      <c r="AI933" s="407"/>
      <c r="AJ933" s="407"/>
      <c r="AK933" s="407"/>
      <c r="AL933" s="407"/>
      <c r="AM933" s="407"/>
      <c r="AN933" s="407"/>
      <c r="AO933" s="407"/>
      <c r="AP933" s="407"/>
      <c r="AQ933" s="407"/>
      <c r="AR933" s="1236"/>
      <c r="AS933" s="1239"/>
      <c r="AT933" s="1248"/>
      <c r="AU933" s="1236"/>
      <c r="AV933" s="1236"/>
      <c r="AW933" s="1236"/>
      <c r="AX933" s="1236"/>
      <c r="AY933" s="1236"/>
      <c r="AZ933" s="1236"/>
      <c r="BA933" s="1236"/>
      <c r="BB933" s="1236"/>
      <c r="BC933" s="1236"/>
      <c r="BD933" s="1236"/>
      <c r="BE933" s="1236"/>
    </row>
    <row r="934" spans="1:64" ht="11.25" customHeight="1" x14ac:dyDescent="0.2">
      <c r="B934" s="362"/>
      <c r="C934" s="664" t="s">
        <v>76</v>
      </c>
      <c r="D934" s="1303"/>
      <c r="E934" s="1303"/>
      <c r="F934" s="1303"/>
      <c r="G934" s="1303"/>
      <c r="H934" s="1303">
        <f>IFERROR(Model!H934/Model!D934-1,"NA")</f>
        <v>8.6068111455108287E-2</v>
      </c>
      <c r="I934" s="1303">
        <f>IFERROR(Model!I934/Model!E934-1,"NA")</f>
        <v>8.1164807930607097E-2</v>
      </c>
      <c r="J934" s="1303">
        <f>IFERROR(Model!J934/Model!F934-1,"NA")</f>
        <v>7.6409945421467507E-2</v>
      </c>
      <c r="K934" s="1303">
        <f>IFERROR(Model!K934/Model!G934-1,"NA")</f>
        <v>3.1718569780853523E-2</v>
      </c>
      <c r="L934" s="1303">
        <f>IFERROR(Model!L934/Model!H934-1,"NA")</f>
        <v>3.4207525655644222E-2</v>
      </c>
      <c r="M934" s="1303">
        <f>IFERROR(Model!M934/Model!I934-1,"NA")</f>
        <v>2.8080229226361109E-2</v>
      </c>
      <c r="N934" s="1303">
        <f>IFERROR(Model!N934/Model!J934-1,"NA")</f>
        <v>1.7464788732394432E-2</v>
      </c>
      <c r="O934" s="1303">
        <f>IFERROR(Model!O934/Model!K934-1,"NA")</f>
        <v>7.2666294019003708E-3</v>
      </c>
      <c r="P934" s="1303">
        <f>IFERROR(Model!P934/Model!L934-1,"NA")</f>
        <v>1.1025358324145973E-3</v>
      </c>
      <c r="Q934" s="1303">
        <f>IFERROR(Model!Q934/Model!M934-1,"NA")</f>
        <v>1.727982162764774E-2</v>
      </c>
      <c r="R934" s="1303">
        <f>IFERROR(Model!R934/Model!N934-1,"NA")</f>
        <v>-3.3222591362126463E-3</v>
      </c>
      <c r="S934" s="1303">
        <f>IFERROR(Model!S934/Model!O934-1,"NA")</f>
        <v>7.769145394006749E-3</v>
      </c>
      <c r="T934" s="1303">
        <f>IFERROR(Model!T934/Model!P934-1,"NA")</f>
        <v>1.156387665198233E-2</v>
      </c>
      <c r="U934" s="1303">
        <f>IFERROR(Model!U934/Model!Q934-1,"NA")</f>
        <v>4.3835616438356872E-3</v>
      </c>
      <c r="V934" s="1303">
        <f>IFERROR(Model!V934/Model!R934-1,"NA")</f>
        <v>3.1111111111111089E-2</v>
      </c>
      <c r="W934" s="1303">
        <f>IFERROR(Model!W934/Model!S934-1,"NA")</f>
        <v>1.8722466960352513E-2</v>
      </c>
      <c r="X934" s="1303">
        <f>IFERROR(Model!X934/Model!T934-1,"NA")</f>
        <v>2.558519324986408E-2</v>
      </c>
      <c r="Y934" s="1303">
        <f>IFERROR(Model!Y934/Model!U934-1,"NA")</f>
        <v>1.0365521003818712E-2</v>
      </c>
      <c r="Z934" s="1303">
        <f>IFERROR(Model!Z934/Model!V934-1,"NA")</f>
        <v>-2.6939655172413257E-3</v>
      </c>
      <c r="AA934" s="1303">
        <f>IFERROR(Model!AA934/Model!W934-1,"NA")</f>
        <v>-1.3513513513513487E-2</v>
      </c>
      <c r="AB934" s="1303">
        <f>IFERROR(Model!AB934/Model!X934-1,"NA")</f>
        <v>-2.1762208067940492E-2</v>
      </c>
      <c r="AC934" s="407" t="str">
        <f>IFERROR(Model!AC934/Model!Y934-1,"NA")</f>
        <v>NA</v>
      </c>
      <c r="AD934" s="407" t="str">
        <f>IFERROR(Model!AD934/Model!Z934-1,"NA")</f>
        <v>NA</v>
      </c>
      <c r="AE934" s="407" t="str">
        <f>IFERROR(Model!AE934/Model!AA934-1,"NA")</f>
        <v>NA</v>
      </c>
      <c r="AF934" s="407" t="str">
        <f>IFERROR(Model!AF934/Model!AB934-1,"NA")</f>
        <v>NA</v>
      </c>
      <c r="AG934" s="407" t="str">
        <f>IFERROR(Model!AG934/Model!AC934-1,"NA")</f>
        <v>NA</v>
      </c>
      <c r="AH934" s="407" t="str">
        <f>IFERROR(Model!AH934/Model!AD934-1,"NA")</f>
        <v>NA</v>
      </c>
      <c r="AI934" s="407" t="str">
        <f>IFERROR(Model!AI934/Model!AE934-1,"NA")</f>
        <v>NA</v>
      </c>
      <c r="AJ934" s="407"/>
      <c r="AK934" s="407"/>
      <c r="AL934" s="407"/>
      <c r="AM934" s="407"/>
      <c r="AN934" s="407"/>
      <c r="AO934" s="407"/>
      <c r="AP934" s="407"/>
      <c r="AQ934" s="407"/>
      <c r="AR934" s="1236"/>
      <c r="AS934" s="1400"/>
      <c r="AT934" s="1308"/>
      <c r="AU934" s="1263"/>
      <c r="AV934" s="1263">
        <f>IFERROR(Model!AV934/Model!AU934-1,"NA")</f>
        <v>3.1718569780853523E-2</v>
      </c>
      <c r="AW934" s="1263">
        <f>IFERROR(Model!AW934/Model!AV934-1,"NA")</f>
        <v>7.2666294019003708E-3</v>
      </c>
      <c r="AX934" s="1263">
        <f>IFERROR(Model!AX934/Model!AW934-1,"NA")</f>
        <v>7.769145394006749E-3</v>
      </c>
      <c r="AY934" s="1263">
        <f>IFERROR(Model!AY934/Model!AX934-1,"NA")</f>
        <v>1.8722466960352513E-2</v>
      </c>
      <c r="AZ934" s="407" t="str">
        <f>IFERROR(Model!AZ934/Model!AY934-1,"NA")</f>
        <v>NA</v>
      </c>
      <c r="BA934" s="407" t="str">
        <f>IFERROR(Model!BA934/Model!AZ934-1,"NA")</f>
        <v>NA</v>
      </c>
      <c r="BB934" s="407" t="str">
        <f>IFERROR(Model!BB934/Model!BA934-1,"NA")</f>
        <v>NA</v>
      </c>
      <c r="BC934" s="407" t="str">
        <f>IFERROR(Model!BC934/Model!BB934-1,"NA")</f>
        <v>NA</v>
      </c>
      <c r="BD934" s="407" t="str">
        <f>IFERROR(Model!BD934/Model!BC934-1,"NA")</f>
        <v>NA</v>
      </c>
      <c r="BE934" s="407" t="str">
        <f>IFERROR(Model!BE934/Model!BD934-1,"NA")</f>
        <v>NA</v>
      </c>
    </row>
    <row r="935" spans="1:64" ht="11.25" customHeight="1" x14ac:dyDescent="0.2">
      <c r="B935" s="362"/>
      <c r="C935" s="664" t="s">
        <v>5</v>
      </c>
      <c r="D935" s="1303"/>
      <c r="E935" s="1303"/>
      <c r="F935" s="1303"/>
      <c r="G935" s="1303"/>
      <c r="H935" s="1303">
        <f>IFERROR(Model!H935/Model!D935-1,"NA")</f>
        <v>0.11228070175438587</v>
      </c>
      <c r="I935" s="1303">
        <f>IFERROR(Model!I935/Model!E935-1,"NA")</f>
        <v>1.388888888888884E-2</v>
      </c>
      <c r="J935" s="1303">
        <f>IFERROR(Model!J935/Model!F935-1,"NA")</f>
        <v>-2.2950819672131084E-2</v>
      </c>
      <c r="K935" s="1303">
        <f>IFERROR(Model!K935/Model!G935-1,"NA")</f>
        <v>-9.4637223974763929E-3</v>
      </c>
      <c r="L935" s="1303">
        <f>IFERROR(Model!L935/Model!H935-1,"NA")</f>
        <v>-2.8391167192428957E-2</v>
      </c>
      <c r="M935" s="1303">
        <f>IFERROR(Model!M935/Model!I935-1,"NA")</f>
        <v>6.5068493150685081E-2</v>
      </c>
      <c r="N935" s="1303">
        <f>IFERROR(Model!N935/Model!J935-1,"NA")</f>
        <v>-2.0134228187919545E-2</v>
      </c>
      <c r="O935" s="1303">
        <f>IFERROR(Model!O935/Model!K935-1,"NA")</f>
        <v>-7.0063694267515908E-2</v>
      </c>
      <c r="P935" s="1303">
        <f>IFERROR(Model!P935/Model!L935-1,"NA")</f>
        <v>-0.11038961038961048</v>
      </c>
      <c r="Q935" s="1303">
        <f>IFERROR(Model!Q935/Model!M935-1,"NA")</f>
        <v>-0.11575562700964637</v>
      </c>
      <c r="R935" s="1303">
        <f>IFERROR(Model!R935/Model!N935-1,"NA")</f>
        <v>-0.15068493150684925</v>
      </c>
      <c r="S935" s="1303">
        <f>IFERROR(Model!S935/Model!O935-1,"NA")</f>
        <v>-7.5342465753424626E-2</v>
      </c>
      <c r="T935" s="1303">
        <f>IFERROR(Model!T935/Model!P935-1,"NA")</f>
        <v>-2.5547445255474477E-2</v>
      </c>
      <c r="U935" s="1303">
        <f>IFERROR(Model!U935/Model!Q935-1,"NA")</f>
        <v>-4.0000000000000036E-2</v>
      </c>
      <c r="V935" s="1303">
        <f>IFERROR(Model!V935/Model!R935-1,"NA")</f>
        <v>4.0322580645161255E-2</v>
      </c>
      <c r="W935" s="1303">
        <f>IFERROR(Model!W935/Model!S935-1,"NA")</f>
        <v>-7.7777777777777835E-2</v>
      </c>
      <c r="X935" s="1303">
        <f>IFERROR(Model!X935/Model!T935-1,"NA")</f>
        <v>3.3707865168539408E-2</v>
      </c>
      <c r="Y935" s="1303">
        <f>IFERROR(Model!Y935/Model!U935-1,"NA")</f>
        <v>8.7121212121212155E-2</v>
      </c>
      <c r="Z935" s="1303">
        <f>IFERROR(Model!Z935/Model!V935-1,"NA")</f>
        <v>9.68992248062015E-2</v>
      </c>
      <c r="AA935" s="1303">
        <f>IFERROR(Model!AA935/Model!W935-1,"NA")</f>
        <v>8.8353413654618684E-2</v>
      </c>
      <c r="AB935" s="1303">
        <f>IFERROR(Model!AB935/Model!X935-1,"NA")</f>
        <v>7.2463768115942129E-2</v>
      </c>
      <c r="AC935" s="407" t="str">
        <f>IFERROR(Model!AC935/Model!Y935-1,"NA")</f>
        <v>NA</v>
      </c>
      <c r="AD935" s="407" t="str">
        <f>IFERROR(Model!AD935/Model!Z935-1,"NA")</f>
        <v>NA</v>
      </c>
      <c r="AE935" s="407" t="str">
        <f>IFERROR(Model!AE935/Model!AA935-1,"NA")</f>
        <v>NA</v>
      </c>
      <c r="AF935" s="407" t="str">
        <f>IFERROR(Model!AF935/Model!AB935-1,"NA")</f>
        <v>NA</v>
      </c>
      <c r="AG935" s="407" t="str">
        <f>IFERROR(Model!AG935/Model!AC935-1,"NA")</f>
        <v>NA</v>
      </c>
      <c r="AH935" s="407" t="str">
        <f>IFERROR(Model!AH935/Model!AD935-1,"NA")</f>
        <v>NA</v>
      </c>
      <c r="AI935" s="407" t="str">
        <f>IFERROR(Model!AI935/Model!AE935-1,"NA")</f>
        <v>NA</v>
      </c>
      <c r="AJ935" s="407"/>
      <c r="AK935" s="407"/>
      <c r="AL935" s="407"/>
      <c r="AM935" s="407"/>
      <c r="AN935" s="407"/>
      <c r="AO935" s="407"/>
      <c r="AP935" s="407"/>
      <c r="AQ935" s="407"/>
      <c r="AR935" s="1236"/>
      <c r="AS935" s="1400"/>
      <c r="AT935" s="1308"/>
      <c r="AU935" s="1263"/>
      <c r="AV935" s="1263">
        <f>IFERROR(Model!AV935/Model!AU935-1,"NA")</f>
        <v>-9.4637223974763929E-3</v>
      </c>
      <c r="AW935" s="1263">
        <f>IFERROR(Model!AW935/Model!AV935-1,"NA")</f>
        <v>-7.0063694267515908E-2</v>
      </c>
      <c r="AX935" s="1263">
        <f>IFERROR(Model!AX935/Model!AW935-1,"NA")</f>
        <v>-7.5342465753424626E-2</v>
      </c>
      <c r="AY935" s="1263">
        <f>IFERROR(Model!AY935/Model!AX935-1,"NA")</f>
        <v>-7.7777777777777835E-2</v>
      </c>
      <c r="AZ935" s="407" t="str">
        <f>IFERROR(Model!AZ935/Model!AY935-1,"NA")</f>
        <v>NA</v>
      </c>
      <c r="BA935" s="407" t="str">
        <f>IFERROR(Model!BA935/Model!AZ935-1,"NA")</f>
        <v>NA</v>
      </c>
      <c r="BB935" s="407" t="str">
        <f>IFERROR(Model!BB935/Model!BA935-1,"NA")</f>
        <v>NA</v>
      </c>
      <c r="BC935" s="407" t="str">
        <f>IFERROR(Model!BC935/Model!BB935-1,"NA")</f>
        <v>NA</v>
      </c>
      <c r="BD935" s="407" t="str">
        <f>IFERROR(Model!BD935/Model!BC935-1,"NA")</f>
        <v>NA</v>
      </c>
      <c r="BE935" s="407" t="str">
        <f>IFERROR(Model!BE935/Model!BD935-1,"NA")</f>
        <v>NA</v>
      </c>
    </row>
    <row r="936" spans="1:64" ht="11.25" customHeight="1" x14ac:dyDescent="0.2">
      <c r="B936" s="362"/>
      <c r="C936" s="664" t="s">
        <v>239</v>
      </c>
      <c r="D936" s="1314"/>
      <c r="E936" s="1314"/>
      <c r="F936" s="1314"/>
      <c r="G936" s="1314"/>
      <c r="H936" s="1314">
        <f>IFERROR(Model!H936/Model!D936-1,"NA")</f>
        <v>-2.0000000000000018E-2</v>
      </c>
      <c r="I936" s="1314">
        <f>IFERROR(Model!I936/Model!E936-1,"NA")</f>
        <v>-8.4374999999999978E-2</v>
      </c>
      <c r="J936" s="1314">
        <f>IFERROR(Model!J936/Model!F936-1,"NA")</f>
        <v>-9.222797927461146E-2</v>
      </c>
      <c r="K936" s="1314">
        <f>IFERROR(Model!K936/Model!G936-1,"NA")</f>
        <v>-6.3224446786090627E-2</v>
      </c>
      <c r="L936" s="1314">
        <f>IFERROR(Model!L936/Model!H936-1,"NA")</f>
        <v>-2.5778732545649774E-2</v>
      </c>
      <c r="M936" s="1314">
        <f>IFERROR(Model!M936/Model!I936-1,"NA")</f>
        <v>5.6882821387940874E-2</v>
      </c>
      <c r="N936" s="1314">
        <f>IFERROR(Model!N936/Model!J936-1,"NA")</f>
        <v>3.082191780821919E-2</v>
      </c>
      <c r="O936" s="1314">
        <f>IFERROR(Model!O936/Model!K936-1,"NA")</f>
        <v>1.1248593925758943E-3</v>
      </c>
      <c r="P936" s="1314">
        <f>IFERROR(Model!P936/Model!L936-1,"NA")</f>
        <v>-1.3230429988974723E-2</v>
      </c>
      <c r="Q936" s="1314">
        <f>IFERROR(Model!Q936/Model!M936-1,"NA")</f>
        <v>-3.7674919268030127E-2</v>
      </c>
      <c r="R936" s="1314">
        <f>IFERROR(Model!R936/Model!N936-1,"NA")</f>
        <v>-3.6544850498338888E-2</v>
      </c>
      <c r="S936" s="1314">
        <f>IFERROR(Model!S936/Model!O936-1,"NA")</f>
        <v>-1.573033707865179E-2</v>
      </c>
      <c r="T936" s="1314">
        <f>IFERROR(Model!T936/Model!P936-1,"NA")</f>
        <v>1.3407821229050265E-2</v>
      </c>
      <c r="U936" s="1314">
        <f>IFERROR(Model!U936/Model!Q936-1,"NA")</f>
        <v>1.230425055928408E-2</v>
      </c>
      <c r="V936" s="1314">
        <f>IFERROR(Model!V936/Model!R936-1,"NA")</f>
        <v>7.5862068965517171E-2</v>
      </c>
      <c r="W936" s="1314">
        <f>IFERROR(Model!W936/Model!S936-1,"NA")</f>
        <v>2.6255707762557146E-2</v>
      </c>
      <c r="X936" s="1314">
        <f>IFERROR(Model!X936/Model!T936-1,"NA")</f>
        <v>5.1819184123484074E-2</v>
      </c>
      <c r="Y936" s="1314">
        <f>IFERROR(Model!Y936/Model!U936-1,"NA")</f>
        <v>5.4143646408839841E-2</v>
      </c>
      <c r="Z936" s="1314">
        <f>IFERROR(Model!Z936/Model!V936-1,"NA")</f>
        <v>3.2051282051282159E-2</v>
      </c>
      <c r="AA936" s="1314">
        <f>IFERROR(Model!AA936/Model!W936-1,"NA")</f>
        <v>8.6763070077864324E-2</v>
      </c>
      <c r="AB936" s="1314">
        <f>IFERROR(Model!AB936/Model!X936-1,"NA")</f>
        <v>5.3459119496855223E-2</v>
      </c>
      <c r="AC936" s="1307" t="str">
        <f>IFERROR(Model!AC936/Model!Y936-1,"NA")</f>
        <v>NA</v>
      </c>
      <c r="AD936" s="1307" t="str">
        <f>IFERROR(Model!AD936/Model!Z936-1,"NA")</f>
        <v>NA</v>
      </c>
      <c r="AE936" s="1307" t="str">
        <f>IFERROR(Model!AE936/Model!AA936-1,"NA")</f>
        <v>NA</v>
      </c>
      <c r="AF936" s="1307" t="str">
        <f>IFERROR(Model!AF936/Model!AB936-1,"NA")</f>
        <v>NA</v>
      </c>
      <c r="AG936" s="1307" t="str">
        <f>IFERROR(Model!AG936/Model!AC936-1,"NA")</f>
        <v>NA</v>
      </c>
      <c r="AH936" s="1307" t="str">
        <f>IFERROR(Model!AH936/Model!AD936-1,"NA")</f>
        <v>NA</v>
      </c>
      <c r="AI936" s="1307" t="str">
        <f>IFERROR(Model!AI936/Model!AE936-1,"NA")</f>
        <v>NA</v>
      </c>
      <c r="AJ936" s="1318"/>
      <c r="AK936" s="1318"/>
      <c r="AL936" s="1318"/>
      <c r="AM936" s="1318"/>
      <c r="AN936" s="1318"/>
      <c r="AO936" s="1318"/>
      <c r="AP936" s="1318"/>
      <c r="AQ936" s="1318"/>
      <c r="AR936" s="1236"/>
      <c r="AS936" s="1400"/>
      <c r="AT936" s="1308"/>
      <c r="AU936" s="1270"/>
      <c r="AV936" s="1270">
        <f>IFERROR(Model!AV936/Model!AU936-1,"NA")</f>
        <v>-6.3224446786090627E-2</v>
      </c>
      <c r="AW936" s="1270">
        <f>IFERROR(Model!AW936/Model!AV936-1,"NA")</f>
        <v>1.1248593925758943E-3</v>
      </c>
      <c r="AX936" s="1270">
        <f>IFERROR(Model!AX936/Model!AW936-1,"NA")</f>
        <v>-1.573033707865179E-2</v>
      </c>
      <c r="AY936" s="1270">
        <f>IFERROR(Model!AY936/Model!AX936-1,"NA")</f>
        <v>2.6255707762557146E-2</v>
      </c>
      <c r="AZ936" s="407" t="str">
        <f>IFERROR(Model!AZ936/Model!AY936-1,"NA")</f>
        <v>NA</v>
      </c>
      <c r="BA936" s="407" t="str">
        <f>IFERROR(Model!BA936/Model!AZ936-1,"NA")</f>
        <v>NA</v>
      </c>
      <c r="BB936" s="407" t="str">
        <f>IFERROR(Model!BB936/Model!BA936-1,"NA")</f>
        <v>NA</v>
      </c>
      <c r="BC936" s="407" t="str">
        <f>IFERROR(Model!BC936/Model!BB936-1,"NA")</f>
        <v>NA</v>
      </c>
      <c r="BD936" s="407" t="str">
        <f>IFERROR(Model!BD936/Model!BC936-1,"NA")</f>
        <v>NA</v>
      </c>
      <c r="BE936" s="407" t="str">
        <f>IFERROR(Model!BE936/Model!BD936-1,"NA")</f>
        <v>NA</v>
      </c>
    </row>
    <row r="937" spans="1:64" ht="11.25" customHeight="1" x14ac:dyDescent="0.2">
      <c r="B937" s="316"/>
      <c r="C937" s="582"/>
      <c r="D937" s="1308"/>
      <c r="E937" s="1308"/>
      <c r="F937" s="1308"/>
      <c r="G937" s="1308"/>
      <c r="H937" s="1308">
        <f>IFERROR(Model!H937/Model!D937-1,"NA")</f>
        <v>5.3333333333333233E-2</v>
      </c>
      <c r="I937" s="1308">
        <f>IFERROR(Model!I937/Model!E937-1,"NA")</f>
        <v>1.8867924528301883E-2</v>
      </c>
      <c r="J937" s="1308">
        <f>IFERROR(Model!J937/Model!F937-1,"NA")</f>
        <v>1.0277492291880685E-2</v>
      </c>
      <c r="K937" s="1308">
        <f>IFERROR(Model!K937/Model!G937-1,"NA")</f>
        <v>-2.666666666666484E-3</v>
      </c>
      <c r="L937" s="1308">
        <f>IFERROR(Model!L937/Model!H937-1,"NA")</f>
        <v>8.9940039973352981E-3</v>
      </c>
      <c r="M937" s="1308">
        <f>IFERROR(Model!M937/Model!I937-1,"NA")</f>
        <v>4.0466392318244004E-2</v>
      </c>
      <c r="N937" s="1308">
        <f>IFERROR(Model!N937/Model!J937-1,"NA")</f>
        <v>1.7633095964733725E-2</v>
      </c>
      <c r="O937" s="1308">
        <f>IFERROR(Model!O937/Model!K937-1,"NA")</f>
        <v>-2.673796791444083E-3</v>
      </c>
      <c r="P937" s="1308">
        <f>IFERROR(Model!P937/Model!L937-1,"NA")</f>
        <v>-1.4526246285903044E-2</v>
      </c>
      <c r="Q937" s="1308">
        <f>IFERROR(Model!Q937/Model!M937-1,"NA")</f>
        <v>-1.3183915622939968E-2</v>
      </c>
      <c r="R937" s="1308">
        <f>IFERROR(Model!R937/Model!N937-1,"NA")</f>
        <v>-2.7657447517493994E-2</v>
      </c>
      <c r="S937" s="1308">
        <f>IFERROR(Model!S937/Model!O937-1,"NA")</f>
        <v>-7.372654155495928E-3</v>
      </c>
      <c r="T937" s="1308">
        <f>IFERROR(Model!T937/Model!P937-1,"NA")</f>
        <v>8.7102177554436722E-3</v>
      </c>
      <c r="U937" s="1308">
        <f>IFERROR(Model!U937/Model!Q937-1,"NA")</f>
        <v>2.6720106880429029E-3</v>
      </c>
      <c r="V937" s="1308">
        <f>IFERROR(Model!V937/Model!R937-1,"NA")</f>
        <v>4.5236463331048693E-2</v>
      </c>
      <c r="W937" s="1308">
        <f>IFERROR(Model!W937/Model!S937-1,"NA")</f>
        <v>1.2153950033761074E-2</v>
      </c>
      <c r="X937" s="1308">
        <f>IFERROR(Model!X937/Model!T937-1,"NA")</f>
        <v>3.4207904350714191E-2</v>
      </c>
      <c r="Y937" s="1308">
        <f>IFERROR(Model!Y937/Model!U937-1,"NA")</f>
        <v>3.0313124583610573E-2</v>
      </c>
      <c r="Z937" s="1308">
        <f>IFERROR(Model!Z937/Model!V937-1,"NA")</f>
        <v>1.6393442622950838E-2</v>
      </c>
      <c r="AA937" s="1308">
        <f>IFERROR(Model!AA937/Model!W937-1,"NA")</f>
        <v>2.5016677785190122E-2</v>
      </c>
      <c r="AB937" s="1308">
        <f>IFERROR(Model!AB937/Model!X937-1,"NA")</f>
        <v>9.633911368015502E-3</v>
      </c>
      <c r="AC937" s="407">
        <f>IFERROR(Model!AC937/Model!Y937-1,"NA")</f>
        <v>2.4042768918590474E-2</v>
      </c>
      <c r="AD937" s="407">
        <f>IFERROR(Model!AD937/Model!Z937-1,"NA")</f>
        <v>2.936869952593546E-2</v>
      </c>
      <c r="AE937" s="407">
        <f>IFERROR(Model!AE937/Model!AA937-1,"NA")</f>
        <v>4.6221408794020924E-2</v>
      </c>
      <c r="AF937" s="407">
        <f>IFERROR(Model!AF937/Model!AB937-1,"NA")</f>
        <v>2.9380624558121848E-2</v>
      </c>
      <c r="AG937" s="407">
        <f>IFERROR(Model!AG937/Model!AC937-1,"NA")</f>
        <v>2.8615084067020957E-2</v>
      </c>
      <c r="AH937" s="407">
        <f>IFERROR(Model!AH937/Model!AD937-1,"NA")</f>
        <v>2.7851565384209076E-2</v>
      </c>
      <c r="AI937" s="407">
        <f>IFERROR(Model!AI937/Model!AE937-1,"NA")</f>
        <v>2.5235206834205881E-2</v>
      </c>
      <c r="AJ937" s="407"/>
      <c r="AK937" s="407"/>
      <c r="AL937" s="407"/>
      <c r="AM937" s="407"/>
      <c r="AN937" s="407"/>
      <c r="AO937" s="407"/>
      <c r="AP937" s="407"/>
      <c r="AQ937" s="407"/>
      <c r="AR937" s="1236"/>
      <c r="AS937" s="1239"/>
      <c r="AT937" s="1308"/>
      <c r="AU937" s="1308"/>
      <c r="AV937" s="1308">
        <f>IFERROR(Model!AV937/Model!AU937-1,"NA")</f>
        <v>-2.666666666666484E-3</v>
      </c>
      <c r="AW937" s="1308">
        <f>IFERROR(Model!AW937/Model!AV937-1,"NA")</f>
        <v>-2.673796791444083E-3</v>
      </c>
      <c r="AX937" s="1308">
        <f>IFERROR(Model!AX937/Model!AW937-1,"NA")</f>
        <v>-7.372654155495928E-3</v>
      </c>
      <c r="AY937" s="1308">
        <f>IFERROR(Model!AY937/Model!AX937-1,"NA")</f>
        <v>1.2153950033761074E-2</v>
      </c>
      <c r="AZ937" s="1330">
        <f>IFERROR(Model!AZ937/Model!AY937-1,"NA")</f>
        <v>2.5016677785190122E-2</v>
      </c>
      <c r="BA937" s="1330">
        <f>IFERROR(Model!BA937/Model!AZ937-1,"NA")</f>
        <v>4.6221408794020924E-2</v>
      </c>
      <c r="BB937" s="407">
        <f>IFERROR(Model!BB937/Model!BA937-1,"NA")</f>
        <v>2.5235206834205881E-2</v>
      </c>
      <c r="BC937" s="407">
        <f>IFERROR(Model!BC937/Model!BB937-1,"NA")</f>
        <v>3.1696601754489961E-2</v>
      </c>
      <c r="BD937" s="407">
        <f>IFERROR(Model!BD937/Model!BC937-1,"NA")</f>
        <v>3.1950939349713492E-2</v>
      </c>
      <c r="BE937" s="407">
        <f>IFERROR(Model!BE937/Model!BD937-1,"NA")</f>
        <v>3.2199409420901937E-2</v>
      </c>
    </row>
    <row r="938" spans="1:64" ht="11.25" customHeight="1" x14ac:dyDescent="0.2">
      <c r="B938" s="362"/>
      <c r="C938" s="582"/>
      <c r="D938" s="1308"/>
      <c r="E938" s="1259"/>
      <c r="F938" s="1259"/>
      <c r="G938" s="1259"/>
      <c r="H938" s="1259"/>
      <c r="I938" s="1277"/>
      <c r="J938" s="1259"/>
      <c r="K938" s="1259"/>
      <c r="L938" s="1259"/>
      <c r="M938" s="1259"/>
      <c r="N938" s="1259"/>
      <c r="O938" s="1259"/>
      <c r="P938" s="1259"/>
      <c r="Q938" s="1259"/>
      <c r="R938" s="1259"/>
      <c r="S938" s="1259"/>
      <c r="T938" s="1259"/>
      <c r="U938" s="1259"/>
      <c r="V938" s="1259"/>
      <c r="W938" s="1259"/>
      <c r="X938" s="1259"/>
      <c r="Y938" s="1259"/>
      <c r="Z938" s="1259"/>
      <c r="AA938" s="1259"/>
      <c r="AB938" s="1259"/>
      <c r="AC938" s="407"/>
      <c r="AD938" s="407"/>
      <c r="AE938" s="407"/>
      <c r="AF938" s="407"/>
      <c r="AG938" s="407"/>
      <c r="AH938" s="407"/>
      <c r="AI938" s="407"/>
      <c r="AJ938" s="407"/>
      <c r="AK938" s="407"/>
      <c r="AL938" s="407"/>
      <c r="AM938" s="407"/>
      <c r="AN938" s="407"/>
      <c r="AO938" s="407"/>
      <c r="AP938" s="407"/>
      <c r="AQ938" s="407"/>
      <c r="AR938" s="1236"/>
      <c r="AS938" s="1400"/>
      <c r="AT938" s="1308"/>
      <c r="AU938" s="1236"/>
      <c r="AV938" s="1236"/>
      <c r="AW938" s="1236"/>
      <c r="AX938" s="1236"/>
      <c r="AY938" s="1236"/>
      <c r="AZ938" s="1236"/>
      <c r="BA938" s="1236"/>
      <c r="BB938" s="407"/>
      <c r="BC938" s="407"/>
      <c r="BD938" s="407"/>
      <c r="BE938" s="407"/>
    </row>
    <row r="939" spans="1:64" ht="11.25" customHeight="1" x14ac:dyDescent="0.2">
      <c r="B939" s="316" t="s">
        <v>609</v>
      </c>
      <c r="C939" s="582"/>
      <c r="D939" s="1308"/>
      <c r="E939" s="1259"/>
      <c r="F939" s="1259"/>
      <c r="G939" s="1259"/>
      <c r="H939" s="1259"/>
      <c r="I939" s="1277"/>
      <c r="J939" s="1259"/>
      <c r="K939" s="1259"/>
      <c r="L939" s="1259"/>
      <c r="M939" s="1259"/>
      <c r="N939" s="1259"/>
      <c r="O939" s="1259"/>
      <c r="P939" s="1259"/>
      <c r="Q939" s="1259"/>
      <c r="R939" s="1259"/>
      <c r="S939" s="1259"/>
      <c r="T939" s="1259"/>
      <c r="U939" s="1259"/>
      <c r="V939" s="1259"/>
      <c r="W939" s="1259"/>
      <c r="X939" s="1259"/>
      <c r="Y939" s="1259"/>
      <c r="Z939" s="1259"/>
      <c r="AA939" s="1259"/>
      <c r="AB939" s="1259"/>
      <c r="AC939" s="407"/>
      <c r="AD939" s="407"/>
      <c r="AE939" s="407"/>
      <c r="AF939" s="407"/>
      <c r="AG939" s="407"/>
      <c r="AH939" s="407"/>
      <c r="AI939" s="407"/>
      <c r="AJ939" s="407"/>
      <c r="AK939" s="407"/>
      <c r="AL939" s="407"/>
      <c r="AM939" s="407"/>
      <c r="AN939" s="407"/>
      <c r="AO939" s="407"/>
      <c r="AP939" s="407"/>
      <c r="AQ939" s="407"/>
      <c r="AR939" s="1236"/>
      <c r="AS939" s="1239"/>
      <c r="AT939" s="1308"/>
      <c r="AU939" s="1236"/>
      <c r="AV939" s="1236"/>
      <c r="AW939" s="1236"/>
      <c r="AX939" s="1236"/>
      <c r="AY939" s="1236"/>
      <c r="AZ939" s="1236"/>
      <c r="BA939" s="1236"/>
      <c r="BB939" s="407"/>
      <c r="BC939" s="407"/>
      <c r="BD939" s="407"/>
      <c r="BE939" s="407"/>
    </row>
    <row r="940" spans="1:64" ht="11.25" customHeight="1" x14ac:dyDescent="0.2">
      <c r="B940" s="362"/>
      <c r="C940" s="362" t="s">
        <v>76</v>
      </c>
      <c r="D940" s="1303"/>
      <c r="E940" s="1303"/>
      <c r="F940" s="1303"/>
      <c r="G940" s="1303"/>
      <c r="H940" s="1303">
        <f>IFERROR(Model!H940/Model!D940-1,"NA")</f>
        <v>-0.10292326431181475</v>
      </c>
      <c r="I940" s="1303">
        <f>IFERROR(Model!I940/Model!E940-1,"NA")</f>
        <v>-4.8010107391029844E-2</v>
      </c>
      <c r="J940" s="1303">
        <f>IFERROR(Model!J940/Model!F940-1,"NA")</f>
        <v>0.11776581426648725</v>
      </c>
      <c r="K940" s="1303">
        <f>IFERROR(Model!K940/Model!G940-1,"NA")</f>
        <v>0.22582872928176778</v>
      </c>
      <c r="L940" s="1303">
        <f>IFERROR(Model!L940/Model!H940-1,"NA")</f>
        <v>0.21588594704684305</v>
      </c>
      <c r="M940" s="1303">
        <f>IFERROR(Model!M940/Model!I940-1,"NA")</f>
        <v>0.165892501658925</v>
      </c>
      <c r="N940" s="1303">
        <f>IFERROR(Model!N940/Model!J940-1,"NA")</f>
        <v>6.5623118603250985E-2</v>
      </c>
      <c r="O940" s="1303">
        <f>IFERROR(Model!O940/Model!K940-1,"NA")</f>
        <v>0.10535211267605638</v>
      </c>
      <c r="P940" s="1303">
        <f>IFERROR(Model!P940/Model!L940-1,"NA")</f>
        <v>0.40424343941931884</v>
      </c>
      <c r="Q940" s="1303">
        <f>IFERROR(Model!Q940/Model!M940-1,"NA")</f>
        <v>0.489470688673876</v>
      </c>
      <c r="R940" s="1303">
        <f>IFERROR(Model!R940/Model!N940-1,"NA")</f>
        <v>0.47796610169491549</v>
      </c>
      <c r="S940" s="1303">
        <f>IFERROR(Model!S940/Model!O940-1,"NA")</f>
        <v>0.36238532110091759</v>
      </c>
      <c r="T940" s="1303">
        <f>IFERROR(Model!T940/Model!P940-1,"NA")</f>
        <v>7.0775347912524822E-2</v>
      </c>
      <c r="U940" s="1303">
        <f>IFERROR(Model!U940/Model!Q940-1,"NA")</f>
        <v>4.8910966755827401E-2</v>
      </c>
      <c r="V940" s="1303">
        <f>IFERROR(Model!V940/Model!R940-1,"NA")</f>
        <v>5.5428134556575026E-2</v>
      </c>
      <c r="W940" s="1303">
        <f>IFERROR(Model!W940/Model!S940-1,"NA")</f>
        <v>5.7239057239057312E-2</v>
      </c>
      <c r="X940" s="1303">
        <f>IFERROR(Model!X940/Model!T940-1,"NA")</f>
        <v>6.5725956182695944E-2</v>
      </c>
      <c r="Y940" s="1303">
        <f>IFERROR(Model!Y940/Model!U940-1,"NA")</f>
        <v>2.0036429872495543E-2</v>
      </c>
      <c r="Z940" s="1303">
        <f>IFERROR(Model!Z940/Model!V940-1,"NA")</f>
        <v>5.1068453458891661E-2</v>
      </c>
      <c r="AA940" s="1303">
        <f>IFERROR(Model!AA940/Model!W940-1,"NA")</f>
        <v>4.7062986553432218E-2</v>
      </c>
      <c r="AB940" s="1303">
        <f>IFERROR(Model!AB940/Model!X940-1,"NA")</f>
        <v>2.7177700348432143E-2</v>
      </c>
      <c r="AC940" s="407" t="str">
        <f>IFERROR(Model!AC940/Model!Y940-1,"NA")</f>
        <v>NA</v>
      </c>
      <c r="AD940" s="407" t="str">
        <f>IFERROR(Model!AD940/Model!Z940-1,"NA")</f>
        <v>NA</v>
      </c>
      <c r="AE940" s="407" t="str">
        <f>IFERROR(Model!AE940/Model!AA940-1,"NA")</f>
        <v>NA</v>
      </c>
      <c r="AF940" s="407" t="str">
        <f>IFERROR(Model!AF940/Model!AB940-1,"NA")</f>
        <v>NA</v>
      </c>
      <c r="AG940" s="407" t="str">
        <f>IFERROR(Model!AG940/Model!AC940-1,"NA")</f>
        <v>NA</v>
      </c>
      <c r="AH940" s="407" t="str">
        <f>IFERROR(Model!AH940/Model!AD940-1,"NA")</f>
        <v>NA</v>
      </c>
      <c r="AI940" s="407" t="str">
        <f>IFERROR(Model!AI940/Model!AE940-1,"NA")</f>
        <v>NA</v>
      </c>
      <c r="AJ940" s="407"/>
      <c r="AK940" s="407"/>
      <c r="AL940" s="407"/>
      <c r="AM940" s="407"/>
      <c r="AN940" s="407"/>
      <c r="AO940" s="407"/>
      <c r="AP940" s="407"/>
      <c r="AQ940" s="407"/>
      <c r="AR940" s="1236"/>
      <c r="AS940" s="1400"/>
      <c r="AT940" s="1400"/>
      <c r="AU940" s="1263"/>
      <c r="AV940" s="1263">
        <f>IFERROR(Model!AV940/Model!AU940-1,"NA")</f>
        <v>0.22582872928176778</v>
      </c>
      <c r="AW940" s="1263">
        <f>IFERROR(Model!AW940/Model!AV940-1,"NA")</f>
        <v>0.10535211267605638</v>
      </c>
      <c r="AX940" s="1263">
        <f>IFERROR(Model!AX940/Model!AW940-1,"NA")</f>
        <v>0.36238532110091759</v>
      </c>
      <c r="AY940" s="1263">
        <f>IFERROR(Model!AY940/Model!AX940-1,"NA")</f>
        <v>5.7239057239057312E-2</v>
      </c>
      <c r="AZ940" s="407" t="str">
        <f>IFERROR(Model!AZ940/Model!AY940-1,"NA")</f>
        <v>NA</v>
      </c>
      <c r="BA940" s="407" t="str">
        <f>IFERROR(Model!BA940/Model!AZ940-1,"NA")</f>
        <v>NA</v>
      </c>
      <c r="BB940" s="407" t="str">
        <f>IFERROR(Model!BB940/Model!BA940-1,"NA")</f>
        <v>NA</v>
      </c>
      <c r="BC940" s="407" t="str">
        <f>IFERROR(Model!BC940/Model!BB940-1,"NA")</f>
        <v>NA</v>
      </c>
      <c r="BD940" s="407" t="str">
        <f>IFERROR(Model!BD940/Model!BC940-1,"NA")</f>
        <v>NA</v>
      </c>
      <c r="BE940" s="407" t="str">
        <f>IFERROR(Model!BE940/Model!BD940-1,"NA")</f>
        <v>NA</v>
      </c>
    </row>
    <row r="941" spans="1:64" ht="11.25" customHeight="1" x14ac:dyDescent="0.2">
      <c r="B941" s="362"/>
      <c r="C941" s="362" t="s">
        <v>27</v>
      </c>
      <c r="D941" s="1303"/>
      <c r="E941" s="1303"/>
      <c r="F941" s="1303"/>
      <c r="G941" s="1303"/>
      <c r="H941" s="1303">
        <f>IFERROR(Model!H941/Model!D941-1,"NA")</f>
        <v>0.10044500953591862</v>
      </c>
      <c r="I941" s="1303">
        <f>IFERROR(Model!I941/Model!E941-1,"NA")</f>
        <v>8.7499999999999911E-2</v>
      </c>
      <c r="J941" s="1303">
        <f>IFERROR(Model!J941/Model!F941-1,"NA")</f>
        <v>3.7058152793614685E-2</v>
      </c>
      <c r="K941" s="1303">
        <f>IFERROR(Model!K941/Model!G941-1,"NA")</f>
        <v>8.4112149532710401E-2</v>
      </c>
      <c r="L941" s="1303">
        <f>IFERROR(Model!L941/Model!H941-1,"NA")</f>
        <v>6.7013287117273279E-2</v>
      </c>
      <c r="M941" s="1303">
        <f>IFERROR(Model!M941/Model!I941-1,"NA")</f>
        <v>7.0114942528735513E-2</v>
      </c>
      <c r="N941" s="1303">
        <f>IFERROR(Model!N941/Model!J941-1,"NA")</f>
        <v>-1.3743815283122629E-2</v>
      </c>
      <c r="O941" s="1303">
        <f>IFERROR(Model!O941/Model!K941-1,"NA")</f>
        <v>-0.11530172413793105</v>
      </c>
      <c r="P941" s="1303">
        <f>IFERROR(Model!P941/Model!L941-1,"NA")</f>
        <v>-0.17812669193286401</v>
      </c>
      <c r="Q941" s="1303">
        <f>IFERROR(Model!Q941/Model!M941-1,"NA")</f>
        <v>-0.14124597207303968</v>
      </c>
      <c r="R941" s="1303">
        <f>IFERROR(Model!R941/Model!N941-1,"NA")</f>
        <v>-0.1064659977703456</v>
      </c>
      <c r="S941" s="1303">
        <f>IFERROR(Model!S941/Model!O941-1,"NA")</f>
        <v>-6.5164433617539541E-2</v>
      </c>
      <c r="T941" s="1303">
        <f>IFERROR(Model!T941/Model!P941-1,"NA")</f>
        <v>9.3544137022397722E-2</v>
      </c>
      <c r="U941" s="1303">
        <f>IFERROR(Model!U941/Model!Q941-1,"NA")</f>
        <v>1.5634771732332631E-2</v>
      </c>
      <c r="V941" s="1303">
        <f>IFERROR(Model!V941/Model!R941-1,"NA")</f>
        <v>6.0511540860885837E-2</v>
      </c>
      <c r="W941" s="1303">
        <f>IFERROR(Model!W941/Model!S941-1,"NA")</f>
        <v>6.514657980456029E-2</v>
      </c>
      <c r="X941" s="1303">
        <f>IFERROR(Model!X941/Model!T941-1,"NA")</f>
        <v>-3.2530120481927716E-2</v>
      </c>
      <c r="Y941" s="1303">
        <f>IFERROR(Model!Y941/Model!U941-1,"NA")</f>
        <v>4.556650246305427E-2</v>
      </c>
      <c r="Z941" s="1303">
        <f>IFERROR(Model!Z941/Model!V941-1,"NA")</f>
        <v>1.0000000000000009E-2</v>
      </c>
      <c r="AA941" s="1303">
        <f>IFERROR(Model!AA941/Model!W941-1,"NA")</f>
        <v>6.2385321100917324E-2</v>
      </c>
      <c r="AB941" s="1303">
        <f>IFERROR(Model!AB941/Model!X941-1,"NA")</f>
        <v>0.17559153175591535</v>
      </c>
      <c r="AC941" s="407" t="str">
        <f>IFERROR(Model!AC941/Model!Y941-1,"NA")</f>
        <v>NA</v>
      </c>
      <c r="AD941" s="407" t="str">
        <f>IFERROR(Model!AD941/Model!Z941-1,"NA")</f>
        <v>NA</v>
      </c>
      <c r="AE941" s="407" t="str">
        <f>IFERROR(Model!AE941/Model!AA941-1,"NA")</f>
        <v>NA</v>
      </c>
      <c r="AF941" s="407" t="str">
        <f>IFERROR(Model!AF941/Model!AB941-1,"NA")</f>
        <v>NA</v>
      </c>
      <c r="AG941" s="407" t="str">
        <f>IFERROR(Model!AG941/Model!AC941-1,"NA")</f>
        <v>NA</v>
      </c>
      <c r="AH941" s="407" t="str">
        <f>IFERROR(Model!AH941/Model!AD941-1,"NA")</f>
        <v>NA</v>
      </c>
      <c r="AI941" s="407" t="str">
        <f>IFERROR(Model!AI941/Model!AE941-1,"NA")</f>
        <v>NA</v>
      </c>
      <c r="AJ941" s="407"/>
      <c r="AK941" s="407"/>
      <c r="AL941" s="407"/>
      <c r="AM941" s="407"/>
      <c r="AN941" s="407"/>
      <c r="AO941" s="407"/>
      <c r="AP941" s="407"/>
      <c r="AQ941" s="407"/>
      <c r="AR941" s="1236"/>
      <c r="AS941" s="1400"/>
      <c r="AT941" s="1400"/>
      <c r="AU941" s="1263"/>
      <c r="AV941" s="1263">
        <f>IFERROR(Model!AV941/Model!AU941-1,"NA")</f>
        <v>8.4112149532710401E-2</v>
      </c>
      <c r="AW941" s="1263">
        <f>IFERROR(Model!AW941/Model!AV941-1,"NA")</f>
        <v>-0.11530172413793105</v>
      </c>
      <c r="AX941" s="1263">
        <f>IFERROR(Model!AX941/Model!AW941-1,"NA")</f>
        <v>-6.5164433617539541E-2</v>
      </c>
      <c r="AY941" s="1263">
        <f>IFERROR(Model!AY941/Model!AX941-1,"NA")</f>
        <v>6.514657980456029E-2</v>
      </c>
      <c r="AZ941" s="407" t="str">
        <f>IFERROR(Model!AZ941/Model!AY941-1,"NA")</f>
        <v>NA</v>
      </c>
      <c r="BA941" s="407" t="str">
        <f>IFERROR(Model!BA941/Model!AZ941-1,"NA")</f>
        <v>NA</v>
      </c>
      <c r="BB941" s="407" t="str">
        <f>IFERROR(Model!BB941/Model!BA941-1,"NA")</f>
        <v>NA</v>
      </c>
      <c r="BC941" s="407" t="str">
        <f>IFERROR(Model!BC941/Model!BB941-1,"NA")</f>
        <v>NA</v>
      </c>
      <c r="BD941" s="407" t="str">
        <f>IFERROR(Model!BD941/Model!BC941-1,"NA")</f>
        <v>NA</v>
      </c>
      <c r="BE941" s="407" t="str">
        <f>IFERROR(Model!BE941/Model!BD941-1,"NA")</f>
        <v>NA</v>
      </c>
    </row>
    <row r="942" spans="1:64" ht="11.25" customHeight="1" x14ac:dyDescent="0.2">
      <c r="B942" s="362"/>
      <c r="C942" s="362" t="s">
        <v>5</v>
      </c>
      <c r="D942" s="1303"/>
      <c r="E942" s="1303"/>
      <c r="F942" s="1303"/>
      <c r="G942" s="1303"/>
      <c r="H942" s="1303">
        <f>IFERROR(Model!H942/Model!D942-1,"NA")</f>
        <v>0.14919354838709675</v>
      </c>
      <c r="I942" s="1303">
        <f>IFERROR(Model!I942/Model!E942-1,"NA")</f>
        <v>0.17718940936863525</v>
      </c>
      <c r="J942" s="1303">
        <f>IFERROR(Model!J942/Model!F942-1,"NA")</f>
        <v>6.8907563025210061E-2</v>
      </c>
      <c r="K942" s="1303">
        <f>IFERROR(Model!K942/Model!G942-1,"NA")</f>
        <v>9.9818511796733178E-2</v>
      </c>
      <c r="L942" s="1303">
        <f>IFERROR(Model!L942/Model!H942-1,"NA")</f>
        <v>0.18245614035087732</v>
      </c>
      <c r="M942" s="1303">
        <f>IFERROR(Model!M942/Model!I942-1,"NA")</f>
        <v>0.14705882352941169</v>
      </c>
      <c r="N942" s="1303">
        <f>IFERROR(Model!N942/Model!J942-1,"NA")</f>
        <v>-6.2893081761006275E-3</v>
      </c>
      <c r="O942" s="1303">
        <f>IFERROR(Model!O942/Model!K942-1,"NA")</f>
        <v>-9.5709570957095758E-2</v>
      </c>
      <c r="P942" s="1303">
        <f>IFERROR(Model!P942/Model!L942-1,"NA")</f>
        <v>-0.48219584569732943</v>
      </c>
      <c r="Q942" s="1303">
        <f>IFERROR(Model!Q942/Model!M942-1,"NA")</f>
        <v>-0.51583710407239813</v>
      </c>
      <c r="R942" s="1303">
        <f>IFERROR(Model!R942/Model!N942-1,"NA")</f>
        <v>-0.53164556962025311</v>
      </c>
      <c r="S942" s="1303">
        <f>IFERROR(Model!S942/Model!O942-1,"NA")</f>
        <v>-0.50729927007299269</v>
      </c>
      <c r="T942" s="1303">
        <f>IFERROR(Model!T942/Model!P942-1,"NA")</f>
        <v>-0.1919770773638968</v>
      </c>
      <c r="U942" s="1303">
        <f>IFERROR(Model!U942/Model!Q942-1,"NA")</f>
        <v>-0.21495327102803741</v>
      </c>
      <c r="V942" s="1303">
        <f>IFERROR(Model!V942/Model!R942-1,"NA")</f>
        <v>-0.1182432432432432</v>
      </c>
      <c r="W942" s="1303">
        <f>IFERROR(Model!W942/Model!S942-1,"NA")</f>
        <v>-4.8148148148148162E-2</v>
      </c>
      <c r="X942" s="1303">
        <f>IFERROR(Model!X942/Model!T942-1,"NA")</f>
        <v>-2.4822695035460973E-2</v>
      </c>
      <c r="Y942" s="1303">
        <f>IFERROR(Model!Y942/Model!U942-1,"NA")</f>
        <v>6.7460317460317443E-2</v>
      </c>
      <c r="Z942" s="1303">
        <f>IFERROR(Model!Z942/Model!V942-1,"NA")</f>
        <v>-1.1494252873563204E-2</v>
      </c>
      <c r="AA942" s="1303">
        <f>IFERROR(Model!AA942/Model!W942-1,"NA")</f>
        <v>-1.1673151750972832E-2</v>
      </c>
      <c r="AB942" s="1303">
        <f>IFERROR(Model!AB942/Model!X942-1,"NA")</f>
        <v>-5.0909090909090904E-2</v>
      </c>
      <c r="AC942" s="407" t="str">
        <f>IFERROR(Model!AC942/Model!Y942-1,"NA")</f>
        <v>NA</v>
      </c>
      <c r="AD942" s="407" t="str">
        <f>IFERROR(Model!AD942/Model!Z942-1,"NA")</f>
        <v>NA</v>
      </c>
      <c r="AE942" s="407" t="str">
        <f>IFERROR(Model!AE942/Model!AA942-1,"NA")</f>
        <v>NA</v>
      </c>
      <c r="AF942" s="407" t="str">
        <f>IFERROR(Model!AF942/Model!AB942-1,"NA")</f>
        <v>NA</v>
      </c>
      <c r="AG942" s="407" t="str">
        <f>IFERROR(Model!AG942/Model!AC942-1,"NA")</f>
        <v>NA</v>
      </c>
      <c r="AH942" s="407" t="str">
        <f>IFERROR(Model!AH942/Model!AD942-1,"NA")</f>
        <v>NA</v>
      </c>
      <c r="AI942" s="407" t="str">
        <f>IFERROR(Model!AI942/Model!AE942-1,"NA")</f>
        <v>NA</v>
      </c>
      <c r="AJ942" s="407"/>
      <c r="AK942" s="407"/>
      <c r="AL942" s="407"/>
      <c r="AM942" s="407"/>
      <c r="AN942" s="407"/>
      <c r="AO942" s="407"/>
      <c r="AP942" s="407"/>
      <c r="AQ942" s="407"/>
      <c r="AR942" s="1236"/>
      <c r="AS942" s="1400"/>
      <c r="AT942" s="1400"/>
      <c r="AU942" s="1263"/>
      <c r="AV942" s="1263">
        <f>IFERROR(Model!AV942/Model!AU942-1,"NA")</f>
        <v>9.9818511796733178E-2</v>
      </c>
      <c r="AW942" s="1263">
        <f>IFERROR(Model!AW942/Model!AV942-1,"NA")</f>
        <v>-9.5709570957095758E-2</v>
      </c>
      <c r="AX942" s="1263">
        <f>IFERROR(Model!AX942/Model!AW942-1,"NA")</f>
        <v>-0.50729927007299269</v>
      </c>
      <c r="AY942" s="1263">
        <f>IFERROR(Model!AY942/Model!AX942-1,"NA")</f>
        <v>-4.8148148148148162E-2</v>
      </c>
      <c r="AZ942" s="407" t="str">
        <f>IFERROR(Model!AZ942/Model!AY942-1,"NA")</f>
        <v>NA</v>
      </c>
      <c r="BA942" s="407" t="str">
        <f>IFERROR(Model!BA942/Model!AZ942-1,"NA")</f>
        <v>NA</v>
      </c>
      <c r="BB942" s="407" t="str">
        <f>IFERROR(Model!BB942/Model!BA942-1,"NA")</f>
        <v>NA</v>
      </c>
      <c r="BC942" s="407" t="str">
        <f>IFERROR(Model!BC942/Model!BB942-1,"NA")</f>
        <v>NA</v>
      </c>
      <c r="BD942" s="407" t="str">
        <f>IFERROR(Model!BD942/Model!BC942-1,"NA")</f>
        <v>NA</v>
      </c>
      <c r="BE942" s="407" t="str">
        <f>IFERROR(Model!BE942/Model!BD942-1,"NA")</f>
        <v>NA</v>
      </c>
    </row>
    <row r="943" spans="1:64" ht="11.25" customHeight="1" x14ac:dyDescent="0.2">
      <c r="B943" s="362"/>
      <c r="C943" s="362" t="s">
        <v>77</v>
      </c>
      <c r="D943" s="1303"/>
      <c r="E943" s="1303"/>
      <c r="F943" s="1303"/>
      <c r="G943" s="1303"/>
      <c r="H943" s="1303">
        <f>IFERROR(Model!H943/Model!D943-1,"NA")</f>
        <v>-2.0790020790020791E-2</v>
      </c>
      <c r="I943" s="1303">
        <f>IFERROR(Model!I943/Model!E943-1,"NA")</f>
        <v>-4.8121292023730944E-2</v>
      </c>
      <c r="J943" s="1303">
        <f>IFERROR(Model!J943/Model!F943-1,"NA")</f>
        <v>-4.2635658914728869E-2</v>
      </c>
      <c r="K943" s="1303">
        <f>IFERROR(Model!K943/Model!G943-1,"NA")</f>
        <v>-9.5367847411444995E-3</v>
      </c>
      <c r="L943" s="1303">
        <f>IFERROR(Model!L943/Model!H943-1,"NA")</f>
        <v>-1.8400566171266952E-2</v>
      </c>
      <c r="M943" s="1303">
        <f>IFERROR(Model!M943/Model!I943-1,"NA")</f>
        <v>3.4626038781162549E-3</v>
      </c>
      <c r="N943" s="1303">
        <f>IFERROR(Model!N943/Model!J943-1,"NA")</f>
        <v>-2.496626180836703E-2</v>
      </c>
      <c r="O943" s="1303">
        <f>IFERROR(Model!O943/Model!K943-1,"NA")</f>
        <v>-2.613480055020645E-2</v>
      </c>
      <c r="P943" s="1303">
        <f>IFERROR(Model!P943/Model!L943-1,"NA")</f>
        <v>-3.0281182408074869E-2</v>
      </c>
      <c r="Q943" s="1303">
        <f>IFERROR(Model!Q943/Model!M943-1,"NA")</f>
        <v>-6.1421670117322358E-2</v>
      </c>
      <c r="R943" s="1303">
        <f>IFERROR(Model!R943/Model!N943-1,"NA")</f>
        <v>2.7681660899654403E-3</v>
      </c>
      <c r="S943" s="1303">
        <f>IFERROR(Model!S943/Model!O943-1,"NA")</f>
        <v>-2.1186440677964935E-3</v>
      </c>
      <c r="T943" s="1303">
        <f>IFERROR(Model!T943/Model!P943-1,"NA")</f>
        <v>7.9553903345724875E-2</v>
      </c>
      <c r="U943" s="1303">
        <f>IFERROR(Model!U943/Model!Q943-1,"NA")</f>
        <v>7.7205882352941124E-2</v>
      </c>
      <c r="V943" s="1303">
        <f>IFERROR(Model!V943/Model!R943-1,"NA")</f>
        <v>1.1732229123533333E-2</v>
      </c>
      <c r="W943" s="1303">
        <f>IFERROR(Model!W943/Model!S943-1,"NA")</f>
        <v>-9.2002830856334761E-3</v>
      </c>
      <c r="X943" s="1303">
        <f>IFERROR(Model!X943/Model!T943-1,"NA")</f>
        <v>-5.5096418732780705E-3</v>
      </c>
      <c r="Y943" s="1303">
        <f>IFERROR(Model!Y943/Model!U943-1,"NA")</f>
        <v>2.7303754266212454E-3</v>
      </c>
      <c r="Z943" s="1303">
        <f>IFERROR(Model!Z943/Model!V943-1,"NA")</f>
        <v>3.615279672578442E-2</v>
      </c>
      <c r="AA943" s="1303">
        <f>IFERROR(Model!AA943/Model!W943-1,"NA")</f>
        <v>3.2142857142857251E-2</v>
      </c>
      <c r="AB943" s="1303">
        <f>IFERROR(Model!AB943/Model!X943-1,"NA")</f>
        <v>8.240997229916891E-2</v>
      </c>
      <c r="AC943" s="1307" t="str">
        <f>IFERROR(Model!AC943/Model!Y943-1,"NA")</f>
        <v>NA</v>
      </c>
      <c r="AD943" s="1307" t="str">
        <f>IFERROR(Model!AD943/Model!Z943-1,"NA")</f>
        <v>NA</v>
      </c>
      <c r="AE943" s="1307" t="str">
        <f>IFERROR(Model!AE943/Model!AA943-1,"NA")</f>
        <v>NA</v>
      </c>
      <c r="AF943" s="1307" t="str">
        <f>IFERROR(Model!AF943/Model!AB943-1,"NA")</f>
        <v>NA</v>
      </c>
      <c r="AG943" s="1307" t="str">
        <f>IFERROR(Model!AG943/Model!AC943-1,"NA")</f>
        <v>NA</v>
      </c>
      <c r="AH943" s="1307" t="str">
        <f>IFERROR(Model!AH943/Model!AD943-1,"NA")</f>
        <v>NA</v>
      </c>
      <c r="AI943" s="1307" t="str">
        <f>IFERROR(Model!AI943/Model!AE943-1,"NA")</f>
        <v>NA</v>
      </c>
      <c r="AJ943" s="1318"/>
      <c r="AK943" s="1318"/>
      <c r="AL943" s="1318"/>
      <c r="AM943" s="1318"/>
      <c r="AN943" s="1318"/>
      <c r="AO943" s="1318"/>
      <c r="AP943" s="1318"/>
      <c r="AQ943" s="1318"/>
      <c r="AR943" s="1236"/>
      <c r="AS943" s="1400"/>
      <c r="AT943" s="1400"/>
      <c r="AU943" s="1270"/>
      <c r="AV943" s="1270">
        <f>IFERROR(Model!AV943/Model!AU943-1,"NA")</f>
        <v>-9.5367847411444995E-3</v>
      </c>
      <c r="AW943" s="1270">
        <f>IFERROR(Model!AW943/Model!AV943-1,"NA")</f>
        <v>-2.613480055020645E-2</v>
      </c>
      <c r="AX943" s="1270">
        <f>IFERROR(Model!AX943/Model!AW943-1,"NA")</f>
        <v>-2.1186440677964935E-3</v>
      </c>
      <c r="AY943" s="1270">
        <f>IFERROR(Model!AY943/Model!AX943-1,"NA")</f>
        <v>-9.2002830856334761E-3</v>
      </c>
      <c r="AZ943" s="1307" t="str">
        <f>IFERROR(Model!AZ943/Model!AY943-1,"NA")</f>
        <v>NA</v>
      </c>
      <c r="BA943" s="1307" t="str">
        <f>IFERROR(Model!BA943/Model!AZ943-1,"NA")</f>
        <v>NA</v>
      </c>
      <c r="BB943" s="1307" t="str">
        <f>IFERROR(Model!BB943/Model!BA943-1,"NA")</f>
        <v>NA</v>
      </c>
      <c r="BC943" s="1307" t="str">
        <f>IFERROR(Model!BC943/Model!BB943-1,"NA")</f>
        <v>NA</v>
      </c>
      <c r="BD943" s="1307" t="str">
        <f>IFERROR(Model!BD943/Model!BC943-1,"NA")</f>
        <v>NA</v>
      </c>
      <c r="BE943" s="1307" t="str">
        <f>IFERROR(Model!BE943/Model!BD943-1,"NA")</f>
        <v>NA</v>
      </c>
    </row>
    <row r="944" spans="1:64" ht="11.25" customHeight="1" x14ac:dyDescent="0.2">
      <c r="B944" s="322"/>
      <c r="C944" s="322"/>
      <c r="D944" s="1464"/>
      <c r="E944" s="1464"/>
      <c r="F944" s="1464"/>
      <c r="G944" s="1464"/>
      <c r="H944" s="1464">
        <f>IFERROR(Model!H944/Model!D944-1,"NA")</f>
        <v>6.40279394644927E-3</v>
      </c>
      <c r="I944" s="1464">
        <f>IFERROR(Model!I944/Model!E944-1,"NA")</f>
        <v>1.5026006549797577E-2</v>
      </c>
      <c r="J944" s="1464">
        <f>IFERROR(Model!J944/Model!F944-1,"NA")</f>
        <v>3.9940553594649764E-2</v>
      </c>
      <c r="K944" s="1464">
        <f>IFERROR(Model!K944/Model!G944-1,"NA")</f>
        <v>9.8860783935122543E-2</v>
      </c>
      <c r="L944" s="1464">
        <f>IFERROR(Model!L944/Model!H944-1,"NA")</f>
        <v>9.8708309234624592E-2</v>
      </c>
      <c r="M944" s="1464">
        <f>IFERROR(Model!M944/Model!I944-1,"NA")</f>
        <v>8.7682672233820647E-2</v>
      </c>
      <c r="N944" s="1464">
        <f>IFERROR(Model!N944/Model!J944-1,"NA")</f>
        <v>7.6813147552696748E-3</v>
      </c>
      <c r="O944" s="1464">
        <f>IFERROR(Model!O944/Model!K944-1,"NA")</f>
        <v>-2.1613073273589967E-2</v>
      </c>
      <c r="P944" s="1464">
        <f>IFERROR(Model!P944/Model!L944-1,"NA")</f>
        <v>4.9131426566066949E-3</v>
      </c>
      <c r="Q944" s="1464">
        <f>IFERROR(Model!Q944/Model!M944-1,"NA")</f>
        <v>2.8965276566044418E-2</v>
      </c>
      <c r="R944" s="1464">
        <f>IFERROR(Model!R944/Model!N944-1,"NA")</f>
        <v>5.7259351178869267E-2</v>
      </c>
      <c r="S944" s="1464">
        <f>IFERROR(Model!S944/Model!O944-1,"NA")</f>
        <v>5.8010057471264531E-2</v>
      </c>
      <c r="T944" s="1464">
        <f>IFERROR(Model!T944/Model!P944-1,"NA")</f>
        <v>6.2860136196961847E-2</v>
      </c>
      <c r="U944" s="1464">
        <f>IFERROR(Model!U944/Model!Q944-1,"NA")</f>
        <v>3.2050195014413863E-2</v>
      </c>
      <c r="V944" s="1464">
        <f>IFERROR(Model!V944/Model!R944-1,"NA")</f>
        <v>3.7558685446009266E-2</v>
      </c>
      <c r="W944" s="1464">
        <f>IFERROR(Model!W944/Model!S944-1,"NA")</f>
        <v>3.8533355966728688E-2</v>
      </c>
      <c r="X944" s="1464">
        <f>IFERROR(Model!X944/Model!T944-1,"NA")</f>
        <v>1.7742730409068486E-2</v>
      </c>
      <c r="Y944" s="1464">
        <f>IFERROR(Model!Y944/Model!U944-1,"NA")</f>
        <v>2.4646730200460265E-2</v>
      </c>
      <c r="Z944" s="1464">
        <f>IFERROR(Model!Z944/Model!V944-1,"NA")</f>
        <v>3.3613445378151141E-2</v>
      </c>
      <c r="AA944" s="1464">
        <f>IFERROR(Model!AA944/Model!W944-1,"NA")</f>
        <v>4.5276234063419407E-2</v>
      </c>
      <c r="AB944" s="1464">
        <f>IFERROR(Model!AB944/Model!X944-1,"NA")</f>
        <v>7.5060532687651227E-2</v>
      </c>
      <c r="AC944" s="407">
        <f>IFERROR(Model!AC944/Model!Y944-1,"NA")</f>
        <v>7.5928968074554737E-2</v>
      </c>
      <c r="AD944" s="407">
        <f>IFERROR(Model!AD944/Model!Z944-1,"NA")</f>
        <v>5.6856174144129135E-2</v>
      </c>
      <c r="AE944" s="407">
        <f>IFERROR(Model!AE944/Model!AA944-1,"NA")</f>
        <v>6.4969833314036274E-2</v>
      </c>
      <c r="AF944" s="407">
        <f>IFERROR(Model!AF944/Model!AB944-1,"NA")</f>
        <v>2.938062455812207E-2</v>
      </c>
      <c r="AG944" s="407">
        <f>IFERROR(Model!AG944/Model!AC944-1,"NA")</f>
        <v>2.8615084067021179E-2</v>
      </c>
      <c r="AH944" s="407">
        <f>IFERROR(Model!AH944/Model!AD944-1,"NA")</f>
        <v>2.7851565384209076E-2</v>
      </c>
      <c r="AI944" s="407">
        <f>IFERROR(Model!AI944/Model!AE944-1,"NA")</f>
        <v>2.5235206834206103E-2</v>
      </c>
      <c r="AJ944" s="407"/>
      <c r="AK944" s="407"/>
      <c r="AL944" s="407"/>
      <c r="AM944" s="407"/>
      <c r="AN944" s="407"/>
      <c r="AO944" s="407"/>
      <c r="AP944" s="407"/>
      <c r="AQ944" s="407"/>
      <c r="AR944" s="1236"/>
      <c r="AS944" s="1248"/>
      <c r="AT944" s="1248"/>
      <c r="AU944" s="1236"/>
      <c r="AV944" s="1236">
        <f>IFERROR(Model!AV944/Model!AU944-1,"NA")</f>
        <v>9.8860783935122543E-2</v>
      </c>
      <c r="AW944" s="1236">
        <f>IFERROR(Model!AW944/Model!AV944-1,"NA")</f>
        <v>-2.1613073273589967E-2</v>
      </c>
      <c r="AX944" s="1236">
        <f>IFERROR(Model!AX944/Model!AW944-1,"NA")</f>
        <v>5.8010057471264531E-2</v>
      </c>
      <c r="AY944" s="1236">
        <f>IFERROR(Model!AY944/Model!AX944-1,"NA")</f>
        <v>3.8533355966728688E-2</v>
      </c>
      <c r="AZ944" s="1236">
        <f>IFERROR(Model!AZ944/Model!AY944-1,"NA")</f>
        <v>4.5276234063419407E-2</v>
      </c>
      <c r="BA944" s="1236">
        <f>IFERROR(Model!BA944/Model!AZ944-1,"NA")</f>
        <v>6.4969833314036274E-2</v>
      </c>
      <c r="BB944" s="407">
        <f>IFERROR(Model!BB944/Model!BA944-1,"NA")</f>
        <v>2.5235206834206103E-2</v>
      </c>
      <c r="BC944" s="407">
        <f>IFERROR(Model!BC944/Model!BB944-1,"NA")</f>
        <v>3.1696601754490183E-2</v>
      </c>
      <c r="BD944" s="407">
        <f>IFERROR(Model!BD944/Model!BC944-1,"NA")</f>
        <v>3.1950939349713492E-2</v>
      </c>
      <c r="BE944" s="407">
        <f>IFERROR(Model!BE944/Model!BD944-1,"NA")</f>
        <v>3.2199409420901937E-2</v>
      </c>
    </row>
    <row r="945" spans="1:57" ht="11.25" customHeight="1" x14ac:dyDescent="0.2">
      <c r="D945" s="407"/>
      <c r="E945" s="407"/>
      <c r="F945" s="407"/>
      <c r="G945" s="407"/>
      <c r="H945" s="407"/>
      <c r="I945" s="407"/>
      <c r="J945" s="407"/>
      <c r="K945" s="407"/>
      <c r="L945" s="407"/>
      <c r="M945" s="407"/>
      <c r="N945" s="407"/>
      <c r="O945" s="407"/>
      <c r="P945" s="407"/>
      <c r="Q945" s="407"/>
      <c r="R945" s="407"/>
      <c r="S945" s="407"/>
      <c r="T945" s="407"/>
      <c r="U945" s="407"/>
      <c r="V945" s="407"/>
      <c r="W945" s="407"/>
      <c r="X945" s="407"/>
      <c r="Y945" s="407"/>
      <c r="Z945" s="407"/>
      <c r="AA945" s="407"/>
      <c r="AB945" s="407"/>
      <c r="AC945" s="407"/>
      <c r="AD945" s="407"/>
      <c r="AE945" s="407"/>
      <c r="AF945" s="407"/>
      <c r="AG945" s="407"/>
      <c r="AH945" s="407"/>
      <c r="AI945" s="407"/>
      <c r="AJ945" s="407"/>
      <c r="AK945" s="407"/>
      <c r="AL945" s="407"/>
      <c r="AM945" s="407"/>
      <c r="AN945" s="407"/>
      <c r="AO945" s="407"/>
      <c r="AP945" s="407"/>
      <c r="AQ945" s="407"/>
      <c r="AR945" s="1236"/>
      <c r="AS945" s="1382"/>
      <c r="AT945" s="407"/>
      <c r="AU945" s="1236"/>
      <c r="AV945" s="1236"/>
      <c r="AW945" s="1236"/>
      <c r="AX945" s="1236"/>
      <c r="AY945" s="1236"/>
      <c r="AZ945" s="1236"/>
      <c r="BA945" s="1236"/>
      <c r="BB945" s="407"/>
      <c r="BC945" s="407"/>
      <c r="BD945" s="407"/>
      <c r="BE945" s="407"/>
    </row>
    <row r="946" spans="1:57" ht="11.25" customHeight="1" x14ac:dyDescent="0.2">
      <c r="B946" s="65" t="s">
        <v>610</v>
      </c>
      <c r="D946" s="1303"/>
      <c r="E946" s="1303"/>
      <c r="F946" s="1303"/>
      <c r="G946" s="1303"/>
      <c r="H946" s="1303">
        <f>IFERROR(Model!H946/Model!D946-1,"NA")</f>
        <v>8.8068181818181879E-2</v>
      </c>
      <c r="I946" s="1303">
        <f>IFERROR(Model!I946/Model!E946-1,"NA")</f>
        <v>0.10000000000000009</v>
      </c>
      <c r="J946" s="1303">
        <f>IFERROR(Model!J946/Model!F946-1,"NA")</f>
        <v>-0.11888111888111896</v>
      </c>
      <c r="K946" s="1303">
        <f>IFERROR(Model!K946/Model!G946-1,"NA")</f>
        <v>-0.11268855368234254</v>
      </c>
      <c r="L946" s="1303">
        <f>IFERROR(Model!L946/Model!H946-1,"NA")</f>
        <v>-0.18624891209747607</v>
      </c>
      <c r="M946" s="1303">
        <f>IFERROR(Model!M946/Model!I946-1,"NA")</f>
        <v>-0.25604670558799003</v>
      </c>
      <c r="N946" s="1303">
        <f>IFERROR(Model!N946/Model!J946-1,"NA")</f>
        <v>-0.22123015873015872</v>
      </c>
      <c r="O946" s="1303">
        <f>IFERROR(Model!O946/Model!K946-1,"NA")</f>
        <v>-0.55899999999999994</v>
      </c>
      <c r="P946" s="1303">
        <f>IFERROR(Model!P946/Model!L946-1,"NA")</f>
        <v>-0.69625668449197864</v>
      </c>
      <c r="Q946" s="1303">
        <f>IFERROR(Model!Q946/Model!M946-1,"NA")</f>
        <v>-0.78811659192825112</v>
      </c>
      <c r="R946" s="1303">
        <f>IFERROR(Model!R946/Model!N946-1,"NA")</f>
        <v>-0.79617834394904463</v>
      </c>
      <c r="S946" s="1303">
        <f>IFERROR(Model!S946/Model!O946-1,"NA")</f>
        <v>-0.48752834467120176</v>
      </c>
      <c r="T946" s="1303">
        <f>IFERROR(Model!T946/Model!P946-1,"NA")</f>
        <v>-0.12676056338028163</v>
      </c>
      <c r="U946" s="1303">
        <f>IFERROR(Model!U946/Model!Q946-1,"NA")</f>
        <v>0.53968253968253976</v>
      </c>
      <c r="V946" s="1303">
        <f>IFERROR(Model!V946/Model!R946-1,"NA")</f>
        <v>3.125E-2</v>
      </c>
      <c r="W946" s="1303">
        <f>IFERROR(Model!W946/Model!S946-1,"NA")</f>
        <v>-0.21238938053097345</v>
      </c>
      <c r="X946" s="1303">
        <f>IFERROR(Model!X946/Model!T946-1,"NA")</f>
        <v>-0.22983870967741937</v>
      </c>
      <c r="Y946" s="1303">
        <f>IFERROR(Model!Y946/Model!U946-1,"NA")</f>
        <v>-0.11340206185567014</v>
      </c>
      <c r="Z946" s="1303">
        <f>IFERROR(Model!Z946/Model!V946-1,"NA")</f>
        <v>-0.1272727272727272</v>
      </c>
      <c r="AA946" s="1303">
        <f>IFERROR(Model!AA946/Model!W946-1,"NA")</f>
        <v>-0.2696629213483146</v>
      </c>
      <c r="AB946" s="1303">
        <f>IFERROR(Model!AB946/Model!X946-1,"NA")</f>
        <v>8.9005235602094279E-2</v>
      </c>
      <c r="AC946" s="407">
        <f>IFERROR(Model!AC946/Model!Y946-1,"NA")</f>
        <v>-0.18780725298444478</v>
      </c>
      <c r="AD946" s="407">
        <f>IFERROR(Model!AD946/Model!Z946-1,"NA")</f>
        <v>0.46605734347240646</v>
      </c>
      <c r="AE946" s="407">
        <f>IFERROR(Model!AE946/Model!AA946-1,"NA")</f>
        <v>0.63615185202240565</v>
      </c>
      <c r="AF946" s="407">
        <f>IFERROR(Model!AF946/Model!AB946-1,"NA")</f>
        <v>2.9380624558122292E-2</v>
      </c>
      <c r="AG946" s="407">
        <f>IFERROR(Model!AG946/Model!AC946-1,"NA")</f>
        <v>2.8615084067021179E-2</v>
      </c>
      <c r="AH946" s="407">
        <f>IFERROR(Model!AH946/Model!AD946-1,"NA")</f>
        <v>2.7851565384209298E-2</v>
      </c>
      <c r="AI946" s="407">
        <f>IFERROR(Model!AI946/Model!AE946-1,"NA")</f>
        <v>2.5235206834205881E-2</v>
      </c>
      <c r="AJ946" s="407"/>
      <c r="AK946" s="407"/>
      <c r="AL946" s="407"/>
      <c r="AM946" s="407"/>
      <c r="AN946" s="407"/>
      <c r="AO946" s="407"/>
      <c r="AP946" s="407"/>
      <c r="AQ946" s="407"/>
      <c r="AR946" s="1236"/>
      <c r="AS946" s="1329"/>
      <c r="AT946" s="407"/>
      <c r="AU946" s="1263"/>
      <c r="AV946" s="1263">
        <f>IFERROR(Model!AV946/Model!AU946-1,"NA")</f>
        <v>-0.11268855368234254</v>
      </c>
      <c r="AW946" s="1263">
        <f>IFERROR(Model!AW946/Model!AV946-1,"NA")</f>
        <v>-0.55899999999999994</v>
      </c>
      <c r="AX946" s="1263">
        <f>IFERROR(Model!AX946/Model!AW946-1,"NA")</f>
        <v>-0.48752834467120176</v>
      </c>
      <c r="AY946" s="1263">
        <f>IFERROR(Model!AY946/Model!AX946-1,"NA")</f>
        <v>-0.21238938053097345</v>
      </c>
      <c r="AZ946" s="1263">
        <f>IFERROR(Model!AZ946/Model!AY946-1,"NA")</f>
        <v>-0.2696629213483146</v>
      </c>
      <c r="BA946" s="1263">
        <f>IFERROR(Model!BA946/Model!AZ946-1,"NA")</f>
        <v>0.63615185202240565</v>
      </c>
      <c r="BB946" s="407">
        <f>IFERROR(Model!BB946/Model!BA946-1,"NA")</f>
        <v>2.5235206834205881E-2</v>
      </c>
      <c r="BC946" s="407">
        <f>IFERROR(Model!BC946/Model!BB946-1,"NA")</f>
        <v>3.1696601754490183E-2</v>
      </c>
      <c r="BD946" s="407">
        <f>IFERROR(Model!BD946/Model!BC946-1,"NA")</f>
        <v>3.1950939349713492E-2</v>
      </c>
      <c r="BE946" s="407">
        <f>IFERROR(Model!BE946/Model!BD946-1,"NA")</f>
        <v>3.2199409420901715E-2</v>
      </c>
    </row>
    <row r="947" spans="1:57" ht="11.25" customHeight="1" x14ac:dyDescent="0.2">
      <c r="D947" s="407"/>
      <c r="E947" s="407"/>
      <c r="F947" s="407"/>
      <c r="G947" s="407"/>
      <c r="H947" s="407"/>
      <c r="I947" s="407"/>
      <c r="J947" s="407"/>
      <c r="K947" s="407"/>
      <c r="L947" s="407"/>
      <c r="M947" s="407"/>
      <c r="N947" s="407"/>
      <c r="O947" s="407"/>
      <c r="P947" s="407"/>
      <c r="Q947" s="407"/>
      <c r="R947" s="407"/>
      <c r="S947" s="407"/>
      <c r="T947" s="407"/>
      <c r="U947" s="407"/>
      <c r="V947" s="407"/>
      <c r="W947" s="407"/>
      <c r="X947" s="407"/>
      <c r="Y947" s="407"/>
      <c r="Z947" s="407"/>
      <c r="AA947" s="407"/>
      <c r="AB947" s="407"/>
      <c r="AC947" s="407"/>
      <c r="AD947" s="407"/>
      <c r="AE947" s="407"/>
      <c r="AF947" s="407"/>
      <c r="AG947" s="407"/>
      <c r="AH947" s="407"/>
      <c r="AI947" s="407"/>
      <c r="AJ947" s="407"/>
      <c r="AK947" s="407"/>
      <c r="AL947" s="407"/>
      <c r="AM947" s="407"/>
      <c r="AN947" s="407"/>
      <c r="AO947" s="407"/>
      <c r="AP947" s="407"/>
      <c r="AQ947" s="407"/>
      <c r="AR947" s="1236"/>
      <c r="AS947" s="1382"/>
      <c r="AT947" s="407"/>
      <c r="AU947" s="1236"/>
      <c r="AV947" s="1236"/>
      <c r="AW947" s="1236"/>
      <c r="AX947" s="1236"/>
      <c r="AY947" s="1236"/>
      <c r="AZ947" s="1236"/>
      <c r="BA947" s="1236"/>
      <c r="BB947" s="407"/>
      <c r="BC947" s="407"/>
      <c r="BD947" s="407"/>
      <c r="BE947" s="407"/>
    </row>
    <row r="948" spans="1:57" ht="11.25" customHeight="1" x14ac:dyDescent="0.2">
      <c r="B948" s="35" t="s">
        <v>138</v>
      </c>
      <c r="D948" s="407"/>
      <c r="E948" s="407"/>
      <c r="F948" s="407"/>
      <c r="G948" s="407"/>
      <c r="H948" s="407">
        <f>IFERROR(Model!H948/Model!D948-1,"NA")</f>
        <v>3.0684326710816778E-2</v>
      </c>
      <c r="I948" s="407">
        <f>IFERROR(Model!I948/Model!E948-1,"NA")</f>
        <v>2.6358963141200897E-2</v>
      </c>
      <c r="J948" s="407">
        <f>IFERROR(Model!J948/Model!F948-1,"NA")</f>
        <v>1.1539275883972078E-2</v>
      </c>
      <c r="K948" s="407">
        <f>IFERROR(Model!K948/Model!G948-1,"NA")</f>
        <v>4.0511497958306331E-2</v>
      </c>
      <c r="L948" s="407">
        <f>IFERROR(Model!L948/Model!H948-1,"NA")</f>
        <v>3.4804026558149292E-2</v>
      </c>
      <c r="M948" s="407">
        <f>IFERROR(Model!M948/Model!I948-1,"NA")</f>
        <v>2.9092071611253267E-2</v>
      </c>
      <c r="N948" s="407">
        <f>IFERROR(Model!N948/Model!J948-1,"NA")</f>
        <v>-1.3396127681842063E-2</v>
      </c>
      <c r="O948" s="407">
        <f>IFERROR(Model!O948/Model!K948-1,"NA")</f>
        <v>-7.1258907363420554E-2</v>
      </c>
      <c r="P948" s="407">
        <f>IFERROR(Model!P948/Model!L948-1,"NA")</f>
        <v>-6.9026182345027332E-2</v>
      </c>
      <c r="Q948" s="407">
        <f>IFERROR(Model!Q948/Model!M948-1,"NA")</f>
        <v>-5.974940457699085E-2</v>
      </c>
      <c r="R948" s="407">
        <f>IFERROR(Model!R948/Model!N948-1,"NA")</f>
        <v>-4.0840140023337024E-2</v>
      </c>
      <c r="S948" s="407">
        <f>IFERROR(Model!S948/Model!O948-1,"NA")</f>
        <v>9.5629934393417493E-3</v>
      </c>
      <c r="T948" s="407">
        <f>IFERROR(Model!T948/Model!P948-1,"NA")</f>
        <v>3.8906180524677536E-2</v>
      </c>
      <c r="U948" s="407">
        <f>IFERROR(Model!U948/Model!Q948-1,"NA")</f>
        <v>3.2929515418502087E-2</v>
      </c>
      <c r="V948" s="407">
        <f>IFERROR(Model!V948/Model!R948-1,"NA")</f>
        <v>3.992479539924787E-2</v>
      </c>
      <c r="W948" s="407">
        <f>IFERROR(Model!W948/Model!S948-1,"NA")</f>
        <v>2.3681022139002028E-2</v>
      </c>
      <c r="X948" s="407">
        <f>IFERROR(Model!X948/Model!T948-1,"NA")</f>
        <v>1.6477637491975283E-2</v>
      </c>
      <c r="Y948" s="407">
        <f>IFERROR(Model!Y948/Model!U948-1,"NA")</f>
        <v>2.217720439279236E-2</v>
      </c>
      <c r="Z948" s="407">
        <f>IFERROR(Model!Z948/Model!V948-1,"NA")</f>
        <v>2.5204721897266857E-2</v>
      </c>
      <c r="AA948" s="407">
        <f>IFERROR(Model!AA948/Model!W948-1,"NA")</f>
        <v>3.2709274800946986E-2</v>
      </c>
      <c r="AB948" s="407">
        <f>IFERROR(Model!AB948/Model!X948-1,"NA")</f>
        <v>5.3894736842105218E-2</v>
      </c>
      <c r="AC948" s="407">
        <f>IFERROR(Model!AC948/Model!Y948-1,"NA")</f>
        <v>5.20916926992947E-2</v>
      </c>
      <c r="AD948" s="407">
        <f>IFERROR(Model!AD948/Model!Z948-1,"NA")</f>
        <v>5.4129389607497469E-2</v>
      </c>
      <c r="AE948" s="407">
        <f>IFERROR(Model!AE948/Model!AA948-1,"NA")</f>
        <v>6.6703502191102659E-2</v>
      </c>
      <c r="AF948" s="407">
        <f>IFERROR(Model!AF948/Model!AB948-1,"NA")</f>
        <v>2.938062455812207E-2</v>
      </c>
      <c r="AG948" s="407">
        <f>IFERROR(Model!AG948/Model!AC948-1,"NA")</f>
        <v>2.8615084067020957E-2</v>
      </c>
      <c r="AH948" s="407">
        <f>IFERROR(Model!AH948/Model!AD948-1,"NA")</f>
        <v>2.7851565384209076E-2</v>
      </c>
      <c r="AI948" s="407">
        <f>IFERROR(Model!AI948/Model!AE948-1,"NA")</f>
        <v>2.5235206834205881E-2</v>
      </c>
      <c r="AJ948" s="407"/>
      <c r="AK948" s="407"/>
      <c r="AL948" s="407"/>
      <c r="AM948" s="407"/>
      <c r="AN948" s="407"/>
      <c r="AO948" s="407"/>
      <c r="AP948" s="407"/>
      <c r="AQ948" s="407"/>
      <c r="AR948" s="1236"/>
      <c r="AS948" s="407"/>
      <c r="AT948" s="407"/>
      <c r="AU948" s="1263"/>
      <c r="AV948" s="1263">
        <f>IFERROR(Model!AV948/Model!AU948-1,"NA")</f>
        <v>4.0511497958306331E-2</v>
      </c>
      <c r="AW948" s="1263">
        <f>IFERROR(Model!AW948/Model!AV948-1,"NA")</f>
        <v>-7.1258907363420554E-2</v>
      </c>
      <c r="AX948" s="1263">
        <f>IFERROR(Model!AX948/Model!AW948-1,"NA")</f>
        <v>9.5629934393417493E-3</v>
      </c>
      <c r="AY948" s="1263">
        <f>IFERROR(Model!AY948/Model!AX948-1,"NA")</f>
        <v>2.3681022139002028E-2</v>
      </c>
      <c r="AZ948" s="1263">
        <f>IFERROR(Model!AZ948/Model!AY948-1,"NA")</f>
        <v>3.2709274800946986E-2</v>
      </c>
      <c r="BA948" s="1263">
        <f>IFERROR(Model!BA948/Model!AZ948-1,"NA")</f>
        <v>6.6703502191102659E-2</v>
      </c>
      <c r="BB948" s="407">
        <f>IFERROR(Model!BB948/Model!BA948-1,"NA")</f>
        <v>2.5235206834205881E-2</v>
      </c>
      <c r="BC948" s="407">
        <f>IFERROR(Model!BC948/Model!BB948-1,"NA")</f>
        <v>3.1696601754489961E-2</v>
      </c>
      <c r="BD948" s="407">
        <f>IFERROR(Model!BD948/Model!BC948-1,"NA")</f>
        <v>3.195093934971327E-2</v>
      </c>
      <c r="BE948" s="407">
        <f>IFERROR(Model!BE948/Model!BD948-1,"NA")</f>
        <v>3.2199409420901715E-2</v>
      </c>
    </row>
    <row r="949" spans="1:57" ht="11.25" customHeight="1" x14ac:dyDescent="0.2">
      <c r="B949" s="35"/>
      <c r="D949" s="1303"/>
      <c r="E949" s="1303"/>
      <c r="F949" s="1303"/>
      <c r="G949" s="1303"/>
      <c r="H949" s="1303"/>
      <c r="I949" s="1303"/>
      <c r="J949" s="1303"/>
      <c r="K949" s="1303"/>
      <c r="L949" s="1303"/>
      <c r="M949" s="1303"/>
      <c r="N949" s="1303"/>
      <c r="O949" s="1303"/>
      <c r="P949" s="1303"/>
      <c r="Q949" s="1303"/>
      <c r="R949" s="1303"/>
      <c r="S949" s="1303"/>
      <c r="T949" s="1303"/>
      <c r="U949" s="1303"/>
      <c r="V949" s="1303"/>
      <c r="W949" s="1303"/>
      <c r="X949" s="1303"/>
      <c r="Y949" s="1303"/>
      <c r="Z949" s="1303"/>
      <c r="AA949" s="1303"/>
      <c r="AB949" s="1303"/>
      <c r="AC949" s="407"/>
      <c r="AD949" s="407"/>
      <c r="AE949" s="407"/>
      <c r="AF949" s="407"/>
      <c r="AG949" s="407"/>
      <c r="AH949" s="407"/>
      <c r="AI949" s="407"/>
      <c r="AJ949" s="407"/>
      <c r="AK949" s="407"/>
      <c r="AL949" s="407"/>
      <c r="AM949" s="407"/>
      <c r="AN949" s="407"/>
      <c r="AO949" s="407"/>
      <c r="AP949" s="407"/>
      <c r="AQ949" s="407"/>
      <c r="AR949" s="1236"/>
      <c r="AS949" s="407"/>
      <c r="AT949" s="407"/>
      <c r="AU949" s="1236"/>
      <c r="AV949" s="1236"/>
      <c r="AW949" s="1236"/>
      <c r="AX949" s="1236"/>
      <c r="AY949" s="1236"/>
      <c r="AZ949" s="1236"/>
      <c r="BA949" s="1236"/>
      <c r="BB949" s="407"/>
      <c r="BC949" s="407"/>
      <c r="BD949" s="407"/>
      <c r="BE949" s="407"/>
    </row>
    <row r="950" spans="1:57" ht="11.25" customHeight="1" x14ac:dyDescent="0.2">
      <c r="B950" s="35"/>
      <c r="D950" s="1303"/>
      <c r="E950" s="1303"/>
      <c r="F950" s="1303"/>
      <c r="G950" s="1303"/>
      <c r="H950" s="1303"/>
      <c r="I950" s="1303"/>
      <c r="J950" s="1303"/>
      <c r="K950" s="1303"/>
      <c r="L950" s="1303"/>
      <c r="M950" s="1303"/>
      <c r="N950" s="1303"/>
      <c r="O950" s="1303"/>
      <c r="P950" s="1303"/>
      <c r="Q950" s="1303"/>
      <c r="R950" s="1303"/>
      <c r="S950" s="1303"/>
      <c r="T950" s="1303"/>
      <c r="U950" s="1303"/>
      <c r="V950" s="1303"/>
      <c r="W950" s="1303"/>
      <c r="X950" s="1303"/>
      <c r="Y950" s="1303"/>
      <c r="Z950" s="1303"/>
      <c r="AA950" s="1303"/>
      <c r="AB950" s="1303"/>
      <c r="AC950" s="407"/>
      <c r="AD950" s="407"/>
      <c r="AE950" s="407"/>
      <c r="AF950" s="407"/>
      <c r="AG950" s="407"/>
      <c r="AH950" s="407"/>
      <c r="AI950" s="407"/>
      <c r="AJ950" s="407"/>
      <c r="AK950" s="407"/>
      <c r="AL950" s="407"/>
      <c r="AM950" s="407"/>
      <c r="AN950" s="407"/>
      <c r="AO950" s="407"/>
      <c r="AP950" s="407"/>
      <c r="AQ950" s="407"/>
      <c r="AR950" s="1236"/>
      <c r="AS950" s="407"/>
      <c r="AT950" s="407"/>
      <c r="AU950" s="1236"/>
      <c r="AV950" s="1236"/>
      <c r="AW950" s="1236"/>
      <c r="AX950" s="1236"/>
      <c r="AY950" s="1236"/>
      <c r="AZ950" s="1236"/>
      <c r="BA950" s="1236"/>
      <c r="BB950" s="407"/>
      <c r="BC950" s="407"/>
      <c r="BD950" s="407"/>
      <c r="BE950" s="407"/>
    </row>
    <row r="951" spans="1:57" ht="11.25" customHeight="1" x14ac:dyDescent="0.2">
      <c r="B951" s="110" t="s">
        <v>41</v>
      </c>
      <c r="D951" s="1303"/>
      <c r="E951" s="1303"/>
      <c r="F951" s="1303"/>
      <c r="G951" s="1303"/>
      <c r="H951" s="1303"/>
      <c r="I951" s="1303"/>
      <c r="J951" s="1303"/>
      <c r="K951" s="1303"/>
      <c r="L951" s="1303"/>
      <c r="M951" s="1303"/>
      <c r="N951" s="1303"/>
      <c r="O951" s="1303"/>
      <c r="P951" s="1303"/>
      <c r="Q951" s="1303"/>
      <c r="R951" s="1303"/>
      <c r="S951" s="1303"/>
      <c r="T951" s="1303"/>
      <c r="U951" s="1303"/>
      <c r="V951" s="1303"/>
      <c r="W951" s="1303"/>
      <c r="X951" s="1303"/>
      <c r="Y951" s="1303"/>
      <c r="Z951" s="1303"/>
      <c r="AA951" s="1303"/>
      <c r="AB951" s="1303"/>
      <c r="AC951" s="407"/>
      <c r="AD951" s="407"/>
      <c r="AE951" s="407"/>
      <c r="AF951" s="407"/>
      <c r="AG951" s="407"/>
      <c r="AH951" s="407"/>
      <c r="AI951" s="407"/>
      <c r="AJ951" s="407"/>
      <c r="AK951" s="407"/>
      <c r="AL951" s="407"/>
      <c r="AM951" s="407"/>
      <c r="AN951" s="407"/>
      <c r="AO951" s="407"/>
      <c r="AP951" s="407"/>
      <c r="AQ951" s="407"/>
      <c r="AR951" s="1236"/>
      <c r="AS951" s="1484"/>
      <c r="AT951" s="407"/>
      <c r="AU951" s="1236"/>
      <c r="AV951" s="1236"/>
      <c r="AW951" s="1236"/>
      <c r="AX951" s="1236"/>
      <c r="AY951" s="1236"/>
      <c r="AZ951" s="1236"/>
      <c r="BA951" s="1236"/>
      <c r="BB951" s="407"/>
      <c r="BC951" s="407"/>
      <c r="BD951" s="407"/>
      <c r="BE951" s="407"/>
    </row>
    <row r="952" spans="1:57" ht="11.25" customHeight="1" x14ac:dyDescent="0.2">
      <c r="B952" s="634" t="s">
        <v>350</v>
      </c>
      <c r="D952" s="1304"/>
      <c r="E952" s="1304"/>
      <c r="F952" s="1304"/>
      <c r="G952" s="1304"/>
      <c r="H952" s="1304" t="str">
        <f>IFERROR(Model!H952/Model!D952-1,"NA")</f>
        <v>NA</v>
      </c>
      <c r="I952" s="1304">
        <f>IFERROR(Model!I952/Model!E952-1,"NA")</f>
        <v>0.1490197012031087</v>
      </c>
      <c r="J952" s="1304">
        <f>IFERROR(Model!J952/Model!F952-1,"NA")</f>
        <v>0.13467787943457221</v>
      </c>
      <c r="K952" s="1304">
        <f>IFERROR(Model!K952/Model!G952-1,"NA")</f>
        <v>0.12968868640850406</v>
      </c>
      <c r="L952" s="1304">
        <f>IFERROR(Model!L952/Model!H952-1,"NA")</f>
        <v>0.11177764171540949</v>
      </c>
      <c r="M952" s="1304">
        <f>IFERROR(Model!M952/Model!I952-1,"NA")</f>
        <v>7.2848779826259813E-2</v>
      </c>
      <c r="N952" s="1304">
        <f>IFERROR(Model!N952/Model!J952-1,"NA")</f>
        <v>7.0073313482641897E-2</v>
      </c>
      <c r="O952" s="1304">
        <f>IFERROR(Model!O952/Model!K952-1,"NA")</f>
        <v>3.65059238563743E-2</v>
      </c>
      <c r="P952" s="1304">
        <f>IFERROR(Model!P952/Model!L952-1,"NA")</f>
        <v>-7.6357370912304434E-3</v>
      </c>
      <c r="Q952" s="1304">
        <f>IFERROR(Model!Q952/Model!M952-1,"NA")</f>
        <v>-4.4267395151549094E-2</v>
      </c>
      <c r="R952" s="1304">
        <f>IFERROR(Model!R952/Model!N952-1,"NA")</f>
        <v>-6.723351530265087E-2</v>
      </c>
      <c r="S952" s="1304">
        <f>IFERROR(Model!S952/Model!O952-1,"NA")</f>
        <v>-4.0819724421730652E-2</v>
      </c>
      <c r="T952" s="1304">
        <f>IFERROR(Model!T952/Model!P952-1,"NA")</f>
        <v>8.5688640812562333E-3</v>
      </c>
      <c r="U952" s="1304">
        <f>IFERROR(Model!U952/Model!Q952-1,"NA")</f>
        <v>6.6476844793063483E-2</v>
      </c>
      <c r="V952" s="1304">
        <f>IFERROR(Model!V952/Model!R952-1,"NA")</f>
        <v>8.8952694382877784E-2</v>
      </c>
      <c r="W952" s="1304">
        <f>IFERROR(Model!W952/Model!S952-1,"NA")</f>
        <v>7.6330507901646527E-2</v>
      </c>
      <c r="X952" s="1304">
        <f>IFERROR(Model!X952/Model!T952-1,"NA")</f>
        <v>8.1990010668733238E-2</v>
      </c>
      <c r="Y952" s="1304">
        <f>IFERROR(Model!Y952/Model!U952-1,"NA")</f>
        <v>7.1267642509447837E-2</v>
      </c>
      <c r="Z952" s="1304">
        <f>IFERROR(Model!Z952/Model!V952-1,"NA")</f>
        <v>7.4071028280761952E-2</v>
      </c>
      <c r="AA952" s="1304">
        <f>IFERROR(Model!AA952/Model!W952-1,"NA")</f>
        <v>7.6566972121969279E-2</v>
      </c>
      <c r="AB952" s="1304">
        <f>IFERROR(Model!AB952/Model!X952-1,"NA")</f>
        <v>5.7135708959616949E-2</v>
      </c>
      <c r="AC952" s="1304">
        <f>IFERROR(Model!AC952/Model!Y952-1,"NA")</f>
        <v>4.9871690358929355E-2</v>
      </c>
      <c r="AD952" s="1304">
        <f>IFERROR(Model!AD952/Model!Z952-1,"NA")</f>
        <v>5.1940445864444573E-2</v>
      </c>
      <c r="AE952" s="1304">
        <f>IFERROR(Model!AE952/Model!AA952-1,"NA")</f>
        <v>5.0310157048042425E-2</v>
      </c>
      <c r="AF952" s="1304">
        <f>IFERROR(Model!AF952/Model!AB952-1,"NA")</f>
        <v>4.0604010000000024E-2</v>
      </c>
      <c r="AG952" s="1304">
        <f>IFERROR(Model!AG952/Model!AC952-1,"NA")</f>
        <v>4.0604010000000024E-2</v>
      </c>
      <c r="AH952" s="1304">
        <f>IFERROR(Model!AH952/Model!AD952-1,"NA")</f>
        <v>4.0604010000000024E-2</v>
      </c>
      <c r="AI952" s="1304">
        <f>IFERROR(Model!AI952/Model!AE952-1,"NA")</f>
        <v>3.8543408000000001E-2</v>
      </c>
      <c r="AJ952" s="1304"/>
      <c r="AK952" s="1304"/>
      <c r="AL952" s="1304"/>
      <c r="AM952" s="1304"/>
      <c r="AN952" s="1304"/>
      <c r="AO952" s="1304"/>
      <c r="AP952" s="1304"/>
      <c r="AQ952" s="1304"/>
      <c r="AR952" s="1236"/>
      <c r="AS952" s="1491"/>
      <c r="AT952" s="407"/>
      <c r="AU952" s="1301"/>
      <c r="AV952" s="1301">
        <f>IFERROR(Model!AV952/Model!AU952-1,"NA")</f>
        <v>0.12100409598393935</v>
      </c>
      <c r="AW952" s="1301">
        <f>IFERROR(Model!AW952/Model!AV952-1,"NA")</f>
        <v>7.2038338177337513E-2</v>
      </c>
      <c r="AX952" s="1301">
        <f>IFERROR(Model!AX952/Model!AW952-1,"NA")</f>
        <v>-4.011900761476761E-2</v>
      </c>
      <c r="AY952" s="1301">
        <f>IFERROR(Model!AY952/Model!AX952-1,"NA")</f>
        <v>5.9616117612540043E-2</v>
      </c>
      <c r="AZ952" s="1301">
        <f>IFERROR(Model!AZ952/Model!AY952-1,"NA")</f>
        <v>7.5933681545474974E-2</v>
      </c>
      <c r="BA952" s="1301">
        <f>IFERROR(Model!BA952/Model!AZ952-1,"NA")</f>
        <v>5.2283843095965343E-2</v>
      </c>
      <c r="BB952" s="1304">
        <f>IFERROR(Model!BB952/Model!BA952-1,"NA")</f>
        <v>4.0081145312201416E-2</v>
      </c>
      <c r="BC952" s="1304">
        <f>IFERROR(Model!BC952/Model!BB952-1,"NA")</f>
        <v>4.0000000000000036E-2</v>
      </c>
      <c r="BD952" s="1304">
        <f>IFERROR(Model!BD952/Model!BC952-1,"NA")</f>
        <v>4.0000000000000036E-2</v>
      </c>
      <c r="BE952" s="1304">
        <f>IFERROR(Model!BE952/Model!BD952-1,"NA")</f>
        <v>4.0000000000000036E-2</v>
      </c>
    </row>
    <row r="953" spans="1:57" ht="11.25" customHeight="1" x14ac:dyDescent="0.2">
      <c r="B953" s="634" t="s">
        <v>352</v>
      </c>
      <c r="D953" s="1304"/>
      <c r="E953" s="1304"/>
      <c r="F953" s="1304"/>
      <c r="G953" s="1304"/>
      <c r="H953" s="1304" t="str">
        <f>IFERROR(Model!H953/Model!D953-1,"NA")</f>
        <v>NA</v>
      </c>
      <c r="I953" s="1304">
        <f>IFERROR(Model!I953/Model!E953-1,"NA")</f>
        <v>-3.2037716966002883E-2</v>
      </c>
      <c r="J953" s="1304">
        <f>IFERROR(Model!J953/Model!F953-1,"NA")</f>
        <v>-3.492320209557076E-2</v>
      </c>
      <c r="K953" s="1304">
        <f>IFERROR(Model!K953/Model!G953-1,"NA")</f>
        <v>-1.6393426154742596E-2</v>
      </c>
      <c r="L953" s="1304">
        <f>IFERROR(Model!L953/Model!H953-1,"NA")</f>
        <v>-4.6846939563124357E-3</v>
      </c>
      <c r="M953" s="1304">
        <f>IFERROR(Model!M953/Model!I953-1,"NA")</f>
        <v>-1.0851037767383165E-2</v>
      </c>
      <c r="N953" s="1304">
        <f>IFERROR(Model!N953/Model!J953-1,"NA")</f>
        <v>-4.4226915733727612E-2</v>
      </c>
      <c r="O953" s="1304">
        <f>IFERROR(Model!O953/Model!K953-1,"NA")</f>
        <v>-0.10937137756462034</v>
      </c>
      <c r="P953" s="1304">
        <f>IFERROR(Model!P953/Model!L953-1,"NA")</f>
        <v>-0.14129433381276213</v>
      </c>
      <c r="Q953" s="1304">
        <f>IFERROR(Model!Q953/Model!M953-1,"NA")</f>
        <v>-0.11062847307855783</v>
      </c>
      <c r="R953" s="1304">
        <f>IFERROR(Model!R953/Model!N953-1,"NA")</f>
        <v>-8.1328405186601893E-2</v>
      </c>
      <c r="S953" s="1304">
        <f>IFERROR(Model!S953/Model!O953-1,"NA")</f>
        <v>-3.7441617520076353E-2</v>
      </c>
      <c r="T953" s="1304">
        <f>IFERROR(Model!T953/Model!P953-1,"NA")</f>
        <v>2.4030854668538604E-2</v>
      </c>
      <c r="U953" s="1304">
        <f>IFERROR(Model!U953/Model!Q953-1,"NA")</f>
        <v>1.3802567936081367E-2</v>
      </c>
      <c r="V953" s="1304">
        <f>IFERROR(Model!V953/Model!R953-1,"NA")</f>
        <v>6.8218463012033048E-3</v>
      </c>
      <c r="W953" s="1304">
        <f>IFERROR(Model!W953/Model!S953-1,"NA")</f>
        <v>1.0749344770073943E-2</v>
      </c>
      <c r="X953" s="1304">
        <f>IFERROR(Model!X953/Model!T953-1,"NA")</f>
        <v>-6.3403144993539051E-3</v>
      </c>
      <c r="Y953" s="1304">
        <f>IFERROR(Model!Y953/Model!U953-1,"NA")</f>
        <v>1.1469502344182647E-2</v>
      </c>
      <c r="Z953" s="1304">
        <f>IFERROR(Model!Z953/Model!V953-1,"NA")</f>
        <v>1.7817123278909053E-2</v>
      </c>
      <c r="AA953" s="1304">
        <f>IFERROR(Model!AA953/Model!W953-1,"NA")</f>
        <v>1.8328121703442779E-2</v>
      </c>
      <c r="AB953" s="1304">
        <f>IFERROR(Model!AB953/Model!X953-1,"NA")</f>
        <v>4.6610866480718771E-2</v>
      </c>
      <c r="AC953" s="1304">
        <f>IFERROR(Model!AC953/Model!Y953-1,"NA")</f>
        <v>2.7927749303223948E-2</v>
      </c>
      <c r="AD953" s="1304">
        <f>IFERROR(Model!AD953/Model!Z953-1,"NA")</f>
        <v>3.0893512552461422E-2</v>
      </c>
      <c r="AE953" s="1304">
        <f>IFERROR(Model!AE953/Model!AA953-1,"NA")</f>
        <v>5.4692707442246524E-2</v>
      </c>
      <c r="AF953" s="1304">
        <f>IFERROR(Model!AF953/Model!AB953-1,"NA")</f>
        <v>4.0604010000000024E-2</v>
      </c>
      <c r="AG953" s="1304">
        <f>IFERROR(Model!AG953/Model!AC953-1,"NA")</f>
        <v>4.0604010000000024E-2</v>
      </c>
      <c r="AH953" s="1304">
        <f>IFERROR(Model!AH953/Model!AD953-1,"NA")</f>
        <v>4.0604010000000024E-2</v>
      </c>
      <c r="AI953" s="1304">
        <f>IFERROR(Model!AI953/Model!AE953-1,"NA")</f>
        <v>3.8543408000000001E-2</v>
      </c>
      <c r="AJ953" s="1304"/>
      <c r="AK953" s="1304"/>
      <c r="AL953" s="1304"/>
      <c r="AM953" s="1304"/>
      <c r="AN953" s="1304"/>
      <c r="AO953" s="1304"/>
      <c r="AP953" s="1304"/>
      <c r="AQ953" s="1304"/>
      <c r="AR953" s="1236"/>
      <c r="AS953" s="1491"/>
      <c r="AT953" s="407"/>
      <c r="AU953" s="1301"/>
      <c r="AV953" s="1301">
        <f>IFERROR(Model!AV953/Model!AU953-1,"NA")</f>
        <v>-2.7820308273931449E-2</v>
      </c>
      <c r="AW953" s="1301">
        <f>IFERROR(Model!AW953/Model!AV953-1,"NA")</f>
        <v>-4.2480440735344516E-2</v>
      </c>
      <c r="AX953" s="1301">
        <f>IFERROR(Model!AX953/Model!AW953-1,"NA")</f>
        <v>-9.4129643586942979E-2</v>
      </c>
      <c r="AY953" s="1301">
        <f>IFERROR(Model!AY953/Model!AX953-1,"NA")</f>
        <v>1.3793600538182682E-2</v>
      </c>
      <c r="AZ953" s="1301">
        <f>IFERROR(Model!AZ953/Model!AY953-1,"NA")</f>
        <v>1.0337495892884574E-2</v>
      </c>
      <c r="BA953" s="1301">
        <f>IFERROR(Model!BA953/Model!AZ953-1,"NA")</f>
        <v>3.9947884349821328E-2</v>
      </c>
      <c r="BB953" s="1304">
        <f>IFERROR(Model!BB953/Model!BA953-1,"NA")</f>
        <v>4.0081145312201416E-2</v>
      </c>
      <c r="BC953" s="1304">
        <f>IFERROR(Model!BC953/Model!BB953-1,"NA")</f>
        <v>4.0000000000000036E-2</v>
      </c>
      <c r="BD953" s="1304">
        <f>IFERROR(Model!BD953/Model!BC953-1,"NA")</f>
        <v>4.0000000000000036E-2</v>
      </c>
      <c r="BE953" s="1304">
        <f>IFERROR(Model!BE953/Model!BD953-1,"NA")</f>
        <v>4.0000000000000036E-2</v>
      </c>
    </row>
    <row r="954" spans="1:57" ht="11.25" customHeight="1" x14ac:dyDescent="0.2">
      <c r="B954" s="634" t="s">
        <v>349</v>
      </c>
      <c r="D954" s="1304"/>
      <c r="E954" s="1304"/>
      <c r="F954" s="1304"/>
      <c r="G954" s="1304"/>
      <c r="H954" s="1304" t="str">
        <f>IFERROR(Model!H954/Model!D954-1,"NA")</f>
        <v>NA</v>
      </c>
      <c r="I954" s="1304">
        <f>IFERROR(Model!I954/Model!E954-1,"NA")</f>
        <v>2.4724991653924278E-2</v>
      </c>
      <c r="J954" s="1304">
        <f>IFERROR(Model!J954/Model!F954-1,"NA")</f>
        <v>4.2861917775893765E-4</v>
      </c>
      <c r="K954" s="1304">
        <f>IFERROR(Model!K954/Model!G954-1,"NA")</f>
        <v>-1.8836434808335523E-2</v>
      </c>
      <c r="L954" s="1304">
        <f>IFERROR(Model!L954/Model!H954-1,"NA")</f>
        <v>3.8903141526063889E-2</v>
      </c>
      <c r="M954" s="1304">
        <f>IFERROR(Model!M954/Model!I954-1,"NA")</f>
        <v>7.1017745386682263E-2</v>
      </c>
      <c r="N954" s="1304">
        <f>IFERROR(Model!N954/Model!J954-1,"NA")</f>
        <v>1.7616955041782401E-2</v>
      </c>
      <c r="O954" s="1304">
        <f>IFERROR(Model!O954/Model!K954-1,"NA")</f>
        <v>-5.6867384177645697E-3</v>
      </c>
      <c r="P954" s="1304">
        <f>IFERROR(Model!P954/Model!L954-1,"NA")</f>
        <v>5.6622139067004085E-3</v>
      </c>
      <c r="Q954" s="1304">
        <f>IFERROR(Model!Q954/Model!M954-1,"NA")</f>
        <v>1.9888465366055152E-2</v>
      </c>
      <c r="R954" s="1304">
        <f>IFERROR(Model!R954/Model!N954-1,"NA")</f>
        <v>6.775693714850739E-2</v>
      </c>
      <c r="S954" s="1304">
        <f>IFERROR(Model!S954/Model!O954-1,"NA")</f>
        <v>9.1263253253291987E-2</v>
      </c>
      <c r="T954" s="1304">
        <f>IFERROR(Model!T954/Model!P954-1,"NA")</f>
        <v>4.4726316820198342E-2</v>
      </c>
      <c r="U954" s="1304">
        <f>IFERROR(Model!U954/Model!Q954-1,"NA")</f>
        <v>2.4732952599776814E-2</v>
      </c>
      <c r="V954" s="1304">
        <f>IFERROR(Model!V954/Model!R954-1,"NA")</f>
        <v>2.0279411658310265E-2</v>
      </c>
      <c r="W954" s="1304">
        <f>IFERROR(Model!W954/Model!S954-1,"NA")</f>
        <v>-7.400044179368237E-3</v>
      </c>
      <c r="X954" s="1304">
        <f>IFERROR(Model!X954/Model!T954-1,"NA")</f>
        <v>-4.0619750398338761E-2</v>
      </c>
      <c r="Y954" s="1304">
        <f>IFERROR(Model!Y954/Model!U954-1,"NA")</f>
        <v>-8.124025325370654E-2</v>
      </c>
      <c r="Z954" s="1304">
        <f>IFERROR(Model!Z954/Model!V954-1,"NA")</f>
        <v>-0.10129979719476379</v>
      </c>
      <c r="AA954" s="1304">
        <f>IFERROR(Model!AA954/Model!W954-1,"NA")</f>
        <v>-8.7929877206143647E-2</v>
      </c>
      <c r="AB954" s="1304">
        <f>IFERROR(Model!AB954/Model!X954-1,"NA")</f>
        <v>-5.2311993206429985E-2</v>
      </c>
      <c r="AC954" s="1304">
        <f>IFERROR(Model!AC954/Model!Y954-1,"NA")</f>
        <v>-2.3462565851483541E-2</v>
      </c>
      <c r="AD954" s="1304">
        <f>IFERROR(Model!AD954/Model!Z954-1,"NA")</f>
        <v>-2.4775888556177517E-2</v>
      </c>
      <c r="AE954" s="1304">
        <f>IFERROR(Model!AE954/Model!AA954-1,"NA")</f>
        <v>-3.6910462857142834E-2</v>
      </c>
      <c r="AF954" s="1304">
        <f>IFERROR(Model!AF954/Model!AB954-1,"NA")</f>
        <v>-3.9403990000000055E-2</v>
      </c>
      <c r="AG954" s="1304">
        <f>IFERROR(Model!AG954/Model!AC954-1,"NA")</f>
        <v>-3.9403990000000055E-2</v>
      </c>
      <c r="AH954" s="1304">
        <f>IFERROR(Model!AH954/Model!AD954-1,"NA")</f>
        <v>-3.9403990000000166E-2</v>
      </c>
      <c r="AI954" s="1304">
        <f>IFERROR(Model!AI954/Model!AE954-1,"NA")</f>
        <v>-4.1344588000000182E-2</v>
      </c>
      <c r="AJ954" s="1304"/>
      <c r="AK954" s="1304"/>
      <c r="AL954" s="1304"/>
      <c r="AM954" s="1304"/>
      <c r="AN954" s="1304"/>
      <c r="AO954" s="1304"/>
      <c r="AP954" s="1304"/>
      <c r="AQ954" s="1304"/>
      <c r="AR954" s="1236"/>
      <c r="AS954" s="1491"/>
      <c r="AT954" s="407"/>
      <c r="AU954" s="1301"/>
      <c r="AV954" s="1301">
        <f>IFERROR(Model!AV954/Model!AU954-1,"NA")</f>
        <v>1.7375080860195791E-3</v>
      </c>
      <c r="AW954" s="1301">
        <f>IFERROR(Model!AW954/Model!AV954-1,"NA")</f>
        <v>3.0078022715773312E-2</v>
      </c>
      <c r="AX954" s="1301">
        <f>IFERROR(Model!AX954/Model!AW954-1,"NA")</f>
        <v>4.5685594502361981E-2</v>
      </c>
      <c r="AY954" s="1301">
        <f>IFERROR(Model!AY954/Model!AX954-1,"NA")</f>
        <v>2.0217159453454814E-2</v>
      </c>
      <c r="AZ954" s="1301">
        <f>IFERROR(Model!AZ954/Model!AY954-1,"NA")</f>
        <v>-7.7883908232341148E-2</v>
      </c>
      <c r="BA954" s="1301">
        <f>IFERROR(Model!BA954/Model!AZ954-1,"NA")</f>
        <v>-3.4564042809569928E-2</v>
      </c>
      <c r="BB954" s="1304">
        <f>IFERROR(Model!BB954/Model!BA954-1,"NA")</f>
        <v>-3.988185031282665E-2</v>
      </c>
      <c r="BC954" s="1304">
        <f>IFERROR(Model!BC954/Model!BB954-1,"NA")</f>
        <v>1.6976187297212952E-4</v>
      </c>
      <c r="BD954" s="1304">
        <f>IFERROR(Model!BD954/Model!BC954-1,"NA")</f>
        <v>1.6976187297235157E-4</v>
      </c>
      <c r="BE954" s="1304">
        <f>IFERROR(Model!BE954/Model!BD954-1,"NA")</f>
        <v>1.6976187297235157E-4</v>
      </c>
    </row>
    <row r="955" spans="1:57" ht="11.25" customHeight="1" x14ac:dyDescent="0.2">
      <c r="B955" s="650" t="s">
        <v>351</v>
      </c>
      <c r="C955" s="25"/>
      <c r="D955" s="1316"/>
      <c r="E955" s="1316"/>
      <c r="F955" s="1316"/>
      <c r="G955" s="1316"/>
      <c r="H955" s="1316" t="str">
        <f>IFERROR(Model!H955/Model!D955-1,"NA")</f>
        <v>NA</v>
      </c>
      <c r="I955" s="1316">
        <f>IFERROR(Model!I955/Model!E955-1,"NA")</f>
        <v>0.22124810161535313</v>
      </c>
      <c r="J955" s="1316">
        <f>IFERROR(Model!J955/Model!F955-1,"NA")</f>
        <v>-0.25097910922091793</v>
      </c>
      <c r="K955" s="1316">
        <f>IFERROR(Model!K955/Model!G955-1,"NA")</f>
        <v>0.11748285642480116</v>
      </c>
      <c r="L955" s="1316">
        <f>IFERROR(Model!L955/Model!H955-1,"NA")</f>
        <v>0.11106647733642361</v>
      </c>
      <c r="M955" s="1316">
        <f>IFERROR(Model!M955/Model!I955-1,"NA")</f>
        <v>0.227234186874681</v>
      </c>
      <c r="N955" s="1316">
        <f>IFERROR(Model!N955/Model!J955-1,"NA")</f>
        <v>0.81245164349714516</v>
      </c>
      <c r="O955" s="1316">
        <f>IFERROR(Model!O955/Model!K955-1,"NA")</f>
        <v>0.42622147613272232</v>
      </c>
      <c r="P955" s="1316">
        <f>IFERROR(Model!P955/Model!L955-1,"NA")</f>
        <v>0.19898598370511089</v>
      </c>
      <c r="Q955" s="1316">
        <f>IFERROR(Model!Q955/Model!M955-1,"NA")</f>
        <v>0.1468687147835972</v>
      </c>
      <c r="R955" s="1316">
        <f>IFERROR(Model!R955/Model!N955-1,"NA")</f>
        <v>-3.7882386962182268E-2</v>
      </c>
      <c r="S955" s="1316">
        <f>IFERROR(Model!S955/Model!O955-1,"NA")</f>
        <v>-0.15392023247693887</v>
      </c>
      <c r="T955" s="1316">
        <f>IFERROR(Model!T955/Model!P955-1,"NA")</f>
        <v>-8.5800040673496336E-2</v>
      </c>
      <c r="U955" s="1316">
        <f>IFERROR(Model!U955/Model!Q955-1,"NA")</f>
        <v>2.5422027068635389E-2</v>
      </c>
      <c r="V955" s="1316">
        <f>IFERROR(Model!V955/Model!R955-1,"NA")</f>
        <v>0.16523182836328387</v>
      </c>
      <c r="W955" s="1316">
        <f>IFERROR(Model!W955/Model!S955-1,"NA")</f>
        <v>2.5819549372650519E-2</v>
      </c>
      <c r="X955" s="1316">
        <f>IFERROR(Model!X955/Model!T955-1,"NA")</f>
        <v>0.22029854867908183</v>
      </c>
      <c r="Y955" s="1316">
        <f>IFERROR(Model!Y955/Model!U955-1,"NA")</f>
        <v>0.13172667693673512</v>
      </c>
      <c r="Z955" s="1316">
        <f>IFERROR(Model!Z955/Model!V955-1,"NA")</f>
        <v>8.2400845073882012E-2</v>
      </c>
      <c r="AA955" s="1316">
        <f>IFERROR(Model!AA955/Model!W955-1,"NA")</f>
        <v>0.26113137028433586</v>
      </c>
      <c r="AB955" s="1316">
        <f>IFERROR(Model!AB955/Model!X955-1,"NA")</f>
        <v>0.13573417649906072</v>
      </c>
      <c r="AC955" s="1316">
        <f>IFERROR(Model!AC955/Model!Y955-1,"NA")</f>
        <v>5.2526070505721556E-2</v>
      </c>
      <c r="AD955" s="1316">
        <f>IFERROR(Model!AD955/Model!Z955-1,"NA")</f>
        <v>4.5758342742690639E-2</v>
      </c>
      <c r="AE955" s="1316">
        <f>IFERROR(Model!AE955/Model!AA955-1,"NA")</f>
        <v>-4.222793259860802E-2</v>
      </c>
      <c r="AF955" s="1316">
        <f>IFERROR(Model!AF955/Model!AB955-1,"NA")</f>
        <v>3.0300999999999911E-2</v>
      </c>
      <c r="AG955" s="1316">
        <f>IFERROR(Model!AG955/Model!AC955-1,"NA")</f>
        <v>2.0099999999999785E-2</v>
      </c>
      <c r="AH955" s="1316">
        <f>IFERROR(Model!AH955/Model!AD955-1,"NA")</f>
        <v>9.9999999999997868E-3</v>
      </c>
      <c r="AI955" s="1316">
        <f>IFERROR(Model!AI955/Model!AE955-1,"NA")</f>
        <v>0</v>
      </c>
      <c r="AJ955" s="1304"/>
      <c r="AK955" s="1304"/>
      <c r="AL955" s="1304"/>
      <c r="AM955" s="1304"/>
      <c r="AN955" s="1304"/>
      <c r="AO955" s="1304"/>
      <c r="AP955" s="1304"/>
      <c r="AQ955" s="1304"/>
      <c r="AR955" s="1236"/>
      <c r="AS955" s="1498"/>
      <c r="AT955" s="1307"/>
      <c r="AU955" s="1289"/>
      <c r="AV955" s="1289">
        <f>IFERROR(Model!AV955/Model!AU955-1,"NA")</f>
        <v>2.6385217792887827E-2</v>
      </c>
      <c r="AW955" s="1289">
        <f>IFERROR(Model!AW955/Model!AV955-1,"NA")</f>
        <v>0.36900376952073333</v>
      </c>
      <c r="AX955" s="1289">
        <f>IFERROR(Model!AX955/Model!AW955-1,"NA")</f>
        <v>1.7421206844706383E-2</v>
      </c>
      <c r="AY955" s="1289">
        <f>IFERROR(Model!AY955/Model!AX955-1,"NA")</f>
        <v>3.1841902231906527E-2</v>
      </c>
      <c r="AZ955" s="1289">
        <f>IFERROR(Model!AZ955/Model!AY955-1,"NA")</f>
        <v>0.17079100749375509</v>
      </c>
      <c r="BA955" s="1289">
        <f>IFERROR(Model!BA955/Model!AZ955-1,"NA")</f>
        <v>4.346287809859728E-2</v>
      </c>
      <c r="BB955" s="1316">
        <f>IFERROR(Model!BB955/Model!BA955-1,"NA")</f>
        <v>1.497462935311078E-2</v>
      </c>
      <c r="BC955" s="1316">
        <f>IFERROR(Model!BC955/Model!BB955-1,"NA")</f>
        <v>0</v>
      </c>
      <c r="BD955" s="1316">
        <f>IFERROR(Model!BD955/Model!BC955-1,"NA")</f>
        <v>0</v>
      </c>
      <c r="BE955" s="1316">
        <f>IFERROR(Model!BE955/Model!BD955-1,"NA")</f>
        <v>0</v>
      </c>
    </row>
    <row r="956" spans="1:57" ht="11.25" customHeight="1" x14ac:dyDescent="0.2">
      <c r="B956" s="1217" t="s">
        <v>41</v>
      </c>
      <c r="C956" s="70"/>
      <c r="D956" s="1303"/>
      <c r="E956" s="1303"/>
      <c r="F956" s="1303"/>
      <c r="G956" s="1303"/>
      <c r="H956" s="1303">
        <f>IFERROR(Model!H956/Model!D956-1,"NA")</f>
        <v>5.9026579219882525E-2</v>
      </c>
      <c r="I956" s="1303">
        <f>IFERROR(Model!I956/Model!E956-1,"NA")</f>
        <v>3.4810835012312635E-2</v>
      </c>
      <c r="J956" s="1303">
        <f>IFERROR(Model!J956/Model!F956-1,"NA")</f>
        <v>9.7698653929656487E-4</v>
      </c>
      <c r="K956" s="1303">
        <f>IFERROR(Model!K956/Model!G956-1,"NA")</f>
        <v>2.9604909032188598E-2</v>
      </c>
      <c r="L956" s="1303">
        <f>IFERROR(Model!L956/Model!H956-1,"NA")</f>
        <v>4.0199913081268912E-2</v>
      </c>
      <c r="M956" s="1303">
        <f>IFERROR(Model!M956/Model!I956-1,"NA")</f>
        <v>3.7858301784748472E-2</v>
      </c>
      <c r="N956" s="1303">
        <f>IFERROR(Model!N956/Model!J956-1,"NA")</f>
        <v>3.4811842533347903E-2</v>
      </c>
      <c r="O956" s="1303">
        <f>IFERROR(Model!O956/Model!K956-1,"NA")</f>
        <v>-1.8506900878293542E-2</v>
      </c>
      <c r="P956" s="1303">
        <f>IFERROR(Model!P956/Model!L956-1,"NA")</f>
        <v>-6.0476289951953199E-2</v>
      </c>
      <c r="Q956" s="1303">
        <f>IFERROR(Model!Q956/Model!M956-1,"NA")</f>
        <v>-5.5341323606044823E-2</v>
      </c>
      <c r="R956" s="1303">
        <f>IFERROR(Model!R956/Model!N956-1,"NA")</f>
        <v>-5.3552714315657113E-2</v>
      </c>
      <c r="S956" s="1303">
        <f>IFERROR(Model!S956/Model!O956-1,"NA")</f>
        <v>-3.185256205390441E-2</v>
      </c>
      <c r="T956" s="1303">
        <f>IFERROR(Model!T956/Model!P956-1,"NA")</f>
        <v>1.3563090605892114E-2</v>
      </c>
      <c r="U956" s="1303">
        <f>IFERROR(Model!U956/Model!Q956-1,"NA")</f>
        <v>3.2215357458075911E-2</v>
      </c>
      <c r="V956" s="1303">
        <f>IFERROR(Model!V956/Model!R956-1,"NA")</f>
        <v>4.5509910308935808E-2</v>
      </c>
      <c r="W956" s="1303">
        <f>IFERROR(Model!W956/Model!S956-1,"NA")</f>
        <v>2.8939260563380254E-2</v>
      </c>
      <c r="X956" s="1303">
        <f>IFERROR(Model!X956/Model!T956-1,"NA")</f>
        <v>3.2028079412087296E-2</v>
      </c>
      <c r="Y956" s="1303">
        <f>IFERROR(Model!Y956/Model!U956-1,"NA")</f>
        <v>2.607952116289014E-2</v>
      </c>
      <c r="Z956" s="1303">
        <f>IFERROR(Model!Z956/Model!V956-1,"NA")</f>
        <v>2.2982418979029751E-2</v>
      </c>
      <c r="AA956" s="1303">
        <f>IFERROR(Model!AA956/Model!W956-1,"NA")</f>
        <v>4.0851245856058149E-2</v>
      </c>
      <c r="AB956" s="1303">
        <f>IFERROR(Model!AB956/Model!X956-1,"NA")</f>
        <v>4.357530024444678E-2</v>
      </c>
      <c r="AC956" s="1304">
        <f>IFERROR(Model!AC956/Model!Y956-1,"NA")</f>
        <v>3.0413416666666526E-2</v>
      </c>
      <c r="AD956" s="1304">
        <f>IFERROR(Model!AD956/Model!Z956-1,"NA")</f>
        <v>3.1775494357594081E-2</v>
      </c>
      <c r="AE956" s="1304">
        <f>IFERROR(Model!AE956/Model!AA956-1,"NA")</f>
        <v>3.1630473325798825E-2</v>
      </c>
      <c r="AF956" s="1304">
        <f>IFERROR(Model!AF956/Model!AB956-1,"NA")</f>
        <v>2.938062455812207E-2</v>
      </c>
      <c r="AG956" s="1304">
        <f>IFERROR(Model!AG956/Model!AC956-1,"NA")</f>
        <v>2.8615084067021179E-2</v>
      </c>
      <c r="AH956" s="1304">
        <f>IFERROR(Model!AH956/Model!AD956-1,"NA")</f>
        <v>2.7851565384209298E-2</v>
      </c>
      <c r="AI956" s="1304">
        <f>IFERROR(Model!AI956/Model!AE956-1,"NA")</f>
        <v>2.5235206834206103E-2</v>
      </c>
      <c r="AJ956" s="1304"/>
      <c r="AK956" s="1304"/>
      <c r="AL956" s="1304"/>
      <c r="AM956" s="1304"/>
      <c r="AN956" s="1304"/>
      <c r="AO956" s="1304"/>
      <c r="AP956" s="1304"/>
      <c r="AQ956" s="1304"/>
      <c r="AR956" s="1236"/>
      <c r="AS956" s="407"/>
      <c r="AT956" s="1236"/>
      <c r="AU956" s="1304"/>
      <c r="AV956" s="1304">
        <f>IFERROR(Model!AV956/Model!AU956-1,"NA")</f>
        <v>1.7878622197922578E-2</v>
      </c>
      <c r="AW956" s="1304">
        <f>IFERROR(Model!AW956/Model!AV956-1,"NA")</f>
        <v>2.3204597948111916E-2</v>
      </c>
      <c r="AX956" s="1304">
        <f>IFERROR(Model!AX956/Model!AW956-1,"NA")</f>
        <v>-5.0396346264895642E-2</v>
      </c>
      <c r="AY956" s="1304">
        <f>IFERROR(Model!AY956/Model!AX956-1,"NA")</f>
        <v>3.0073525346896002E-2</v>
      </c>
      <c r="AZ956" s="1304">
        <f>IFERROR(Model!AZ956/Model!AY956-1,"NA")</f>
        <v>3.0456716578113774E-2</v>
      </c>
      <c r="BA956" s="1304">
        <f>IFERROR(Model!BA956/Model!AZ956-1,"NA")</f>
        <v>3.4289411652821622E-2</v>
      </c>
      <c r="BB956" s="1304">
        <f>IFERROR(Model!BB956/Model!BA956-1,"NA")</f>
        <v>2.7758308502086049E-2</v>
      </c>
      <c r="BC956" s="1304">
        <f>IFERROR(Model!BC956/Model!BB956-1,"NA")</f>
        <v>3.1696601754489961E-2</v>
      </c>
      <c r="BD956" s="1304">
        <f>IFERROR(Model!BD956/Model!BC956-1,"NA")</f>
        <v>3.1950939349713492E-2</v>
      </c>
      <c r="BE956" s="1304">
        <f>IFERROR(Model!BE956/Model!BD956-1,"NA")</f>
        <v>3.2199409420901715E-2</v>
      </c>
    </row>
    <row r="957" spans="1:57" s="72" customFormat="1" ht="11.25" customHeight="1" x14ac:dyDescent="0.2">
      <c r="A957" s="831"/>
      <c r="B957" s="331"/>
      <c r="C957" s="53" t="s">
        <v>592</v>
      </c>
      <c r="D957" s="1304"/>
      <c r="E957" s="1320"/>
      <c r="F957" s="1320"/>
      <c r="G957" s="1320"/>
      <c r="H957" s="1320"/>
      <c r="I957" s="1320"/>
      <c r="J957" s="1320"/>
      <c r="K957" s="1320"/>
      <c r="L957" s="1320"/>
      <c r="M957" s="1320"/>
      <c r="N957" s="1320"/>
      <c r="O957" s="1320"/>
      <c r="P957" s="1320"/>
      <c r="Q957" s="1320"/>
      <c r="R957" s="1320"/>
      <c r="S957" s="1320"/>
      <c r="T957" s="1320"/>
      <c r="U957" s="1320"/>
      <c r="V957" s="1320"/>
      <c r="W957" s="1320"/>
      <c r="X957" s="1320"/>
      <c r="Y957" s="1320"/>
      <c r="Z957" s="1320"/>
      <c r="AA957" s="1320"/>
      <c r="AB957" s="1320"/>
      <c r="AC957" s="1320"/>
      <c r="AD957" s="1320"/>
      <c r="AE957" s="1320"/>
      <c r="AF957" s="1320"/>
      <c r="AG957" s="1320"/>
      <c r="AH957" s="1320"/>
      <c r="AI957" s="1320"/>
      <c r="AJ957" s="1320"/>
      <c r="AK957" s="1320"/>
      <c r="AL957" s="1320"/>
      <c r="AM957" s="1320"/>
      <c r="AN957" s="1320"/>
      <c r="AO957" s="1320"/>
      <c r="AP957" s="1320"/>
      <c r="AQ957" s="1320"/>
      <c r="AR957" s="1236"/>
      <c r="AS957" s="1491"/>
      <c r="AT957" s="407"/>
      <c r="AU957" s="1320"/>
      <c r="AV957" s="1320"/>
      <c r="AW957" s="1320"/>
      <c r="AX957" s="1320"/>
      <c r="AY957" s="1320"/>
      <c r="AZ957" s="1320"/>
      <c r="BA957" s="1320"/>
      <c r="BB957" s="1320"/>
      <c r="BC957" s="1320"/>
      <c r="BD957" s="1320"/>
      <c r="BE957" s="1320"/>
    </row>
    <row r="958" spans="1:57" ht="11.25" customHeight="1" x14ac:dyDescent="0.2">
      <c r="B958" s="1217"/>
      <c r="C958" s="70"/>
      <c r="D958" s="1304"/>
      <c r="E958" s="1304"/>
      <c r="F958" s="1304"/>
      <c r="G958" s="1304"/>
      <c r="H958" s="1304"/>
      <c r="I958" s="1304"/>
      <c r="J958" s="1304"/>
      <c r="K958" s="1304"/>
      <c r="L958" s="1304"/>
      <c r="M958" s="1304"/>
      <c r="N958" s="1304"/>
      <c r="O958" s="1304"/>
      <c r="P958" s="1304"/>
      <c r="Q958" s="1304"/>
      <c r="R958" s="1304"/>
      <c r="S958" s="1304"/>
      <c r="T958" s="1304"/>
      <c r="U958" s="1304"/>
      <c r="V958" s="1304"/>
      <c r="W958" s="1304"/>
      <c r="X958" s="1304"/>
      <c r="Y958" s="1304"/>
      <c r="Z958" s="1304"/>
      <c r="AA958" s="1304"/>
      <c r="AB958" s="1304"/>
      <c r="AC958" s="1304"/>
      <c r="AD958" s="1304"/>
      <c r="AE958" s="1304"/>
      <c r="AF958" s="1304"/>
      <c r="AG958" s="1304"/>
      <c r="AH958" s="1304"/>
      <c r="AI958" s="1304"/>
      <c r="AJ958" s="1304"/>
      <c r="AK958" s="1304"/>
      <c r="AL958" s="1304"/>
      <c r="AM958" s="1304"/>
      <c r="AN958" s="1304"/>
      <c r="AO958" s="1304"/>
      <c r="AP958" s="1304"/>
      <c r="AQ958" s="1304"/>
      <c r="AR958" s="1236"/>
      <c r="AS958" s="407"/>
      <c r="AT958" s="1236"/>
      <c r="AU958" s="1304"/>
      <c r="AV958" s="1304"/>
      <c r="AW958" s="1304"/>
      <c r="AX958" s="1304"/>
      <c r="AY958" s="1304"/>
      <c r="AZ958" s="1304"/>
      <c r="BA958" s="1304"/>
      <c r="BB958" s="1304"/>
      <c r="BC958" s="1304"/>
      <c r="BD958" s="1304"/>
      <c r="BE958" s="1304"/>
    </row>
    <row r="959" spans="1:57" s="146" customFormat="1" x14ac:dyDescent="0.2">
      <c r="A959" s="831"/>
      <c r="B959" s="62" t="s">
        <v>673</v>
      </c>
      <c r="C959" s="62"/>
      <c r="D959" s="1331"/>
      <c r="E959" s="1514"/>
      <c r="F959" s="1514"/>
      <c r="G959" s="1514"/>
      <c r="H959" s="1514"/>
      <c r="I959" s="1514"/>
      <c r="J959" s="1514"/>
      <c r="K959" s="1514"/>
      <c r="L959" s="1514"/>
      <c r="M959" s="1514"/>
      <c r="N959" s="1514"/>
      <c r="O959" s="1514"/>
      <c r="P959" s="1514"/>
      <c r="Q959" s="1514"/>
      <c r="R959" s="1514"/>
      <c r="S959" s="1514"/>
      <c r="T959" s="1514"/>
      <c r="U959" s="1514"/>
      <c r="V959" s="1514"/>
      <c r="W959" s="1514"/>
      <c r="X959" s="1514"/>
      <c r="Y959" s="1514"/>
      <c r="Z959" s="1514"/>
      <c r="AA959" s="1514"/>
      <c r="AB959" s="1514"/>
      <c r="AC959" s="1514"/>
      <c r="AD959" s="1514"/>
      <c r="AE959" s="1514"/>
      <c r="AF959" s="1514"/>
      <c r="AG959" s="1514"/>
      <c r="AH959" s="1514"/>
      <c r="AI959" s="1514"/>
      <c r="AJ959" s="1514"/>
      <c r="AK959" s="1514"/>
      <c r="AL959" s="1514"/>
      <c r="AM959" s="1514"/>
      <c r="AN959" s="1514"/>
      <c r="AO959" s="1514"/>
      <c r="AP959" s="1514"/>
      <c r="AQ959" s="1514"/>
      <c r="AR959" s="1236"/>
      <c r="AS959" s="1331"/>
      <c r="AT959" s="1331"/>
      <c r="AU959" s="1331"/>
      <c r="AV959" s="1514"/>
      <c r="AW959" s="1514"/>
      <c r="AX959" s="1514"/>
      <c r="AY959" s="1514"/>
      <c r="AZ959" s="1514"/>
      <c r="BA959" s="1514"/>
      <c r="BB959" s="1514"/>
      <c r="BC959" s="1514"/>
      <c r="BD959" s="1514"/>
      <c r="BE959" s="1514"/>
    </row>
    <row r="960" spans="1:57" ht="11.25" customHeight="1" x14ac:dyDescent="0.2">
      <c r="B960" s="634"/>
      <c r="D960" s="1304"/>
      <c r="E960" s="1304"/>
      <c r="F960" s="1320"/>
      <c r="G960" s="1320"/>
      <c r="H960" s="1320"/>
      <c r="I960" s="1320"/>
      <c r="J960" s="1320"/>
      <c r="K960" s="1320"/>
      <c r="L960" s="1320"/>
      <c r="M960" s="1320"/>
      <c r="N960" s="1320"/>
      <c r="O960" s="1320"/>
      <c r="P960" s="1320"/>
      <c r="Q960" s="1320"/>
      <c r="R960" s="1320"/>
      <c r="S960" s="1320"/>
      <c r="T960" s="1320"/>
      <c r="U960" s="1320"/>
      <c r="V960" s="1320"/>
      <c r="W960" s="1320"/>
      <c r="X960" s="1320"/>
      <c r="Y960" s="1320"/>
      <c r="Z960" s="1320"/>
      <c r="AA960" s="1320"/>
      <c r="AB960" s="1320"/>
      <c r="AC960" s="1320"/>
      <c r="AD960" s="1320"/>
      <c r="AE960" s="1320"/>
      <c r="AF960" s="1320"/>
      <c r="AG960" s="1320"/>
      <c r="AH960" s="1320"/>
      <c r="AI960" s="1320"/>
      <c r="AJ960" s="1320"/>
      <c r="AK960" s="1320"/>
      <c r="AL960" s="1320"/>
      <c r="AM960" s="1320"/>
      <c r="AN960" s="1320"/>
      <c r="AO960" s="1320"/>
      <c r="AP960" s="1320"/>
      <c r="AQ960" s="1320"/>
      <c r="AR960" s="1236"/>
      <c r="AS960" s="1491"/>
      <c r="AT960" s="407"/>
      <c r="AU960" s="1236"/>
      <c r="AV960" s="1236"/>
      <c r="AW960" s="1236"/>
      <c r="AX960" s="1236"/>
      <c r="AY960" s="1236"/>
      <c r="AZ960" s="1236"/>
      <c r="BA960" s="1236"/>
      <c r="BB960" s="1320"/>
      <c r="BC960" s="1320"/>
      <c r="BD960" s="1320"/>
      <c r="BE960" s="1320"/>
    </row>
    <row r="961" spans="1:64" x14ac:dyDescent="0.2">
      <c r="D961" s="407"/>
      <c r="E961" s="407"/>
      <c r="F961" s="407"/>
      <c r="G961" s="407"/>
      <c r="H961" s="407"/>
      <c r="I961" s="407"/>
      <c r="J961" s="407"/>
      <c r="K961" s="407"/>
      <c r="L961" s="407"/>
      <c r="M961" s="407"/>
      <c r="N961" s="407"/>
      <c r="O961" s="407"/>
      <c r="P961" s="407"/>
      <c r="Q961" s="407"/>
      <c r="R961" s="407"/>
      <c r="S961" s="407"/>
      <c r="T961" s="407"/>
      <c r="U961" s="407"/>
      <c r="V961" s="407"/>
      <c r="W961" s="407"/>
      <c r="X961" s="407"/>
      <c r="Y961" s="407"/>
      <c r="Z961" s="407"/>
      <c r="AA961" s="407"/>
      <c r="AB961" s="407"/>
      <c r="AC961" s="407"/>
      <c r="AD961" s="407"/>
      <c r="AE961" s="407"/>
      <c r="AF961" s="407"/>
      <c r="AG961" s="407"/>
      <c r="AH961" s="407"/>
      <c r="AI961" s="407"/>
      <c r="AJ961" s="407"/>
      <c r="AK961" s="407"/>
      <c r="AL961" s="407"/>
      <c r="AM961" s="407"/>
      <c r="AN961" s="407"/>
      <c r="AO961" s="407"/>
      <c r="AP961" s="407"/>
      <c r="AQ961" s="407"/>
      <c r="AR961" s="1236"/>
      <c r="AS961" s="1236"/>
      <c r="AT961" s="1236"/>
      <c r="AU961" s="1236"/>
      <c r="AV961" s="1236"/>
      <c r="AW961" s="1236"/>
      <c r="AX961" s="1236"/>
      <c r="AY961" s="1236"/>
      <c r="AZ961" s="1236"/>
      <c r="BA961" s="1236"/>
      <c r="BB961" s="1236"/>
      <c r="BC961" s="1236"/>
      <c r="BD961" s="1236"/>
      <c r="BE961" s="1236"/>
    </row>
    <row r="962" spans="1:64" x14ac:dyDescent="0.2">
      <c r="A962" s="411" t="s">
        <v>194</v>
      </c>
      <c r="B962" s="13" t="s">
        <v>311</v>
      </c>
      <c r="C962" s="13"/>
      <c r="D962" s="1369"/>
      <c r="E962" s="1369"/>
      <c r="F962" s="1369"/>
      <c r="G962" s="1369"/>
      <c r="H962" s="1369"/>
      <c r="I962" s="1369"/>
      <c r="J962" s="1369"/>
      <c r="K962" s="1369"/>
      <c r="L962" s="1369"/>
      <c r="M962" s="1369"/>
      <c r="N962" s="1369"/>
      <c r="O962" s="1369"/>
      <c r="P962" s="1369"/>
      <c r="Q962" s="1369"/>
      <c r="R962" s="1369"/>
      <c r="S962" s="1369"/>
      <c r="T962" s="1369"/>
      <c r="U962" s="1369"/>
      <c r="V962" s="1369"/>
      <c r="W962" s="1369"/>
      <c r="X962" s="1369"/>
      <c r="Y962" s="1369"/>
      <c r="Z962" s="1369"/>
      <c r="AA962" s="1369"/>
      <c r="AB962" s="1369"/>
      <c r="AC962" s="1369"/>
      <c r="AD962" s="1369"/>
      <c r="AE962" s="1369"/>
      <c r="AF962" s="1369"/>
      <c r="AG962" s="1369"/>
      <c r="AH962" s="1369"/>
      <c r="AI962" s="1369"/>
      <c r="AJ962" s="1369"/>
      <c r="AK962" s="1369"/>
      <c r="AL962" s="1369"/>
      <c r="AM962" s="1369"/>
      <c r="AN962" s="1369"/>
      <c r="AO962" s="1369"/>
      <c r="AP962" s="1369"/>
      <c r="AQ962" s="1369"/>
      <c r="AR962" s="1236"/>
      <c r="AS962" s="1370"/>
      <c r="AT962" s="1370"/>
      <c r="AU962" s="1369"/>
      <c r="AV962" s="1369"/>
      <c r="AW962" s="1369"/>
      <c r="AX962" s="1369"/>
      <c r="AY962" s="1369"/>
      <c r="AZ962" s="1369"/>
      <c r="BA962" s="1369"/>
      <c r="BB962" s="1369"/>
      <c r="BC962" s="1369"/>
      <c r="BD962" s="1369"/>
      <c r="BE962" s="1369"/>
      <c r="BF962" s="15"/>
      <c r="BG962" s="15"/>
      <c r="BH962" s="15"/>
      <c r="BI962" s="15"/>
      <c r="BJ962" s="15"/>
      <c r="BK962" s="15"/>
      <c r="BL962" s="15"/>
    </row>
    <row r="963" spans="1:64" x14ac:dyDescent="0.2">
      <c r="D963" s="407"/>
      <c r="E963" s="407"/>
      <c r="F963" s="407"/>
      <c r="G963" s="407"/>
      <c r="H963" s="407"/>
      <c r="I963" s="407"/>
      <c r="J963" s="407"/>
      <c r="K963" s="407"/>
      <c r="L963" s="407"/>
      <c r="M963" s="407"/>
      <c r="N963" s="407"/>
      <c r="O963" s="407"/>
      <c r="P963" s="407"/>
      <c r="Q963" s="407"/>
      <c r="R963" s="407"/>
      <c r="S963" s="407"/>
      <c r="T963" s="407"/>
      <c r="U963" s="407"/>
      <c r="V963" s="407"/>
      <c r="W963" s="407"/>
      <c r="X963" s="407"/>
      <c r="Y963" s="407"/>
      <c r="Z963" s="407"/>
      <c r="AA963" s="407"/>
      <c r="AB963" s="407"/>
      <c r="AC963" s="407"/>
      <c r="AD963" s="407"/>
      <c r="AE963" s="407"/>
      <c r="AF963" s="407"/>
      <c r="AG963" s="407"/>
      <c r="AH963" s="407"/>
      <c r="AI963" s="407"/>
      <c r="AJ963" s="407"/>
      <c r="AK963" s="407"/>
      <c r="AL963" s="407"/>
      <c r="AM963" s="407"/>
      <c r="AN963" s="407"/>
      <c r="AO963" s="407"/>
      <c r="AP963" s="407"/>
      <c r="AQ963" s="407"/>
      <c r="AR963" s="1236"/>
      <c r="AS963" s="1382"/>
      <c r="AT963" s="407"/>
      <c r="AU963" s="1236"/>
      <c r="AV963" s="1236"/>
      <c r="AW963" s="1236"/>
      <c r="AX963" s="1236"/>
      <c r="AY963" s="1236"/>
      <c r="AZ963" s="1236"/>
      <c r="BA963" s="1236"/>
      <c r="BB963" s="1236"/>
      <c r="BC963" s="1236"/>
      <c r="BD963" s="1236"/>
      <c r="BE963" s="1236"/>
    </row>
    <row r="964" spans="1:64" s="674" customFormat="1" x14ac:dyDescent="0.2">
      <c r="A964" s="837"/>
      <c r="B964" s="670" t="s">
        <v>100</v>
      </c>
      <c r="C964" s="671"/>
      <c r="D964" s="1515"/>
      <c r="E964" s="1515"/>
      <c r="F964" s="1515"/>
      <c r="G964" s="1515"/>
      <c r="H964" s="1515"/>
      <c r="I964" s="1515"/>
      <c r="J964" s="1515"/>
      <c r="K964" s="1515"/>
      <c r="L964" s="1515"/>
      <c r="M964" s="1516"/>
      <c r="N964" s="1516"/>
      <c r="O964" s="1516"/>
      <c r="P964" s="1516"/>
      <c r="Q964" s="1516"/>
      <c r="R964" s="1516"/>
      <c r="S964" s="1516"/>
      <c r="T964" s="1516"/>
      <c r="U964" s="1516"/>
      <c r="V964" s="1516"/>
      <c r="W964" s="1517"/>
      <c r="X964" s="1515"/>
      <c r="Y964" s="1515"/>
      <c r="Z964" s="1515"/>
      <c r="AA964" s="1515"/>
      <c r="AB964" s="1515"/>
      <c r="AC964" s="1515"/>
      <c r="AD964" s="1515"/>
      <c r="AE964" s="1515"/>
      <c r="AF964" s="1515"/>
      <c r="AG964" s="1515"/>
      <c r="AH964" s="1515"/>
      <c r="AI964" s="1515"/>
      <c r="AJ964" s="1515"/>
      <c r="AK964" s="1515"/>
      <c r="AL964" s="1515"/>
      <c r="AM964" s="1515"/>
      <c r="AN964" s="1515"/>
      <c r="AO964" s="1515"/>
      <c r="AP964" s="1515"/>
      <c r="AQ964" s="1515"/>
      <c r="AR964" s="1236"/>
      <c r="AS964" s="1518"/>
      <c r="AT964" s="1515"/>
      <c r="AU964" s="1515"/>
      <c r="AV964" s="1515"/>
      <c r="AW964" s="1515"/>
      <c r="AX964" s="1515"/>
      <c r="AY964" s="1515"/>
      <c r="AZ964" s="1515"/>
      <c r="BA964" s="1515"/>
      <c r="BB964" s="1515"/>
      <c r="BC964" s="1515"/>
      <c r="BD964" s="1515"/>
      <c r="BE964" s="1516"/>
      <c r="BF964" s="1076"/>
      <c r="BG964" s="1076"/>
      <c r="BH964" s="1076"/>
      <c r="BI964" s="1076"/>
      <c r="BJ964" s="1076"/>
      <c r="BK964" s="1076"/>
      <c r="BL964" s="1076"/>
    </row>
    <row r="965" spans="1:64" s="679" customFormat="1" x14ac:dyDescent="0.2">
      <c r="A965" s="838"/>
      <c r="B965" s="329"/>
      <c r="C965" s="675"/>
      <c r="D965" s="1519"/>
      <c r="E965" s="1519"/>
      <c r="F965" s="1519"/>
      <c r="G965" s="1519"/>
      <c r="H965" s="1519"/>
      <c r="I965" s="1519"/>
      <c r="J965" s="1519"/>
      <c r="K965" s="1519"/>
      <c r="L965" s="1519"/>
      <c r="M965" s="1520"/>
      <c r="N965" s="1520"/>
      <c r="O965" s="1520"/>
      <c r="P965" s="1520"/>
      <c r="Q965" s="1520"/>
      <c r="R965" s="1520"/>
      <c r="S965" s="1520"/>
      <c r="T965" s="1520"/>
      <c r="U965" s="1520"/>
      <c r="V965" s="1521"/>
      <c r="W965" s="1519"/>
      <c r="X965" s="1519"/>
      <c r="Y965" s="1522"/>
      <c r="Z965" s="1522"/>
      <c r="AA965" s="1522"/>
      <c r="AB965" s="1522"/>
      <c r="AC965" s="1522"/>
      <c r="AD965" s="1522"/>
      <c r="AE965" s="1522"/>
      <c r="AF965" s="1522"/>
      <c r="AG965" s="1522"/>
      <c r="AH965" s="1522"/>
      <c r="AI965" s="1522"/>
      <c r="AJ965" s="1522"/>
      <c r="AK965" s="1522"/>
      <c r="AL965" s="1522"/>
      <c r="AM965" s="1522"/>
      <c r="AN965" s="1522"/>
      <c r="AO965" s="1522"/>
      <c r="AP965" s="1522"/>
      <c r="AQ965" s="1522"/>
      <c r="AR965" s="1236"/>
      <c r="AS965" s="1519"/>
      <c r="AT965" s="1522"/>
      <c r="AU965" s="1523"/>
      <c r="AV965" s="1523"/>
      <c r="AW965" s="1523"/>
      <c r="AX965" s="1523"/>
      <c r="AY965" s="1523"/>
      <c r="AZ965" s="1523"/>
      <c r="BA965" s="1523"/>
      <c r="BB965" s="1523"/>
      <c r="BC965" s="1523"/>
      <c r="BD965" s="1523"/>
      <c r="BE965" s="1523"/>
    </row>
    <row r="966" spans="1:64" s="679" customFormat="1" x14ac:dyDescent="0.2">
      <c r="A966" s="838"/>
      <c r="B966" s="680" t="s">
        <v>76</v>
      </c>
      <c r="C966" s="675"/>
      <c r="D966" s="1519"/>
      <c r="E966" s="1519"/>
      <c r="F966" s="1519"/>
      <c r="G966" s="1519"/>
      <c r="H966" s="1519"/>
      <c r="I966" s="1519"/>
      <c r="J966" s="1519"/>
      <c r="K966" s="1519"/>
      <c r="L966" s="1519"/>
      <c r="M966" s="1520"/>
      <c r="N966" s="1520"/>
      <c r="O966" s="1520"/>
      <c r="P966" s="1520"/>
      <c r="Q966" s="1520"/>
      <c r="R966" s="1520"/>
      <c r="S966" s="1520"/>
      <c r="T966" s="1520"/>
      <c r="U966" s="1520"/>
      <c r="V966" s="1521"/>
      <c r="W966" s="1519"/>
      <c r="X966" s="1519"/>
      <c r="Y966" s="1522"/>
      <c r="Z966" s="1522"/>
      <c r="AA966" s="1522"/>
      <c r="AB966" s="1522"/>
      <c r="AC966" s="1522"/>
      <c r="AD966" s="1522"/>
      <c r="AE966" s="1522"/>
      <c r="AF966" s="1522"/>
      <c r="AG966" s="1522"/>
      <c r="AH966" s="1522"/>
      <c r="AI966" s="1522"/>
      <c r="AJ966" s="1522"/>
      <c r="AK966" s="1522"/>
      <c r="AL966" s="1522"/>
      <c r="AM966" s="1522"/>
      <c r="AN966" s="1522"/>
      <c r="AO966" s="1522"/>
      <c r="AP966" s="1522"/>
      <c r="AQ966" s="1522"/>
      <c r="AR966" s="1236"/>
      <c r="AS966" s="1524"/>
      <c r="AT966" s="1522"/>
      <c r="AU966" s="1523"/>
      <c r="AV966" s="1523"/>
      <c r="AW966" s="1523"/>
      <c r="AX966" s="1523"/>
      <c r="AY966" s="1523"/>
      <c r="AZ966" s="1523"/>
      <c r="BA966" s="1523"/>
      <c r="BB966" s="1523"/>
      <c r="BC966" s="1523"/>
      <c r="BD966" s="1523"/>
      <c r="BE966" s="1523"/>
    </row>
    <row r="967" spans="1:64" s="679" customFormat="1" x14ac:dyDescent="0.2">
      <c r="A967" s="838"/>
      <c r="B967" s="675" t="s">
        <v>92</v>
      </c>
      <c r="C967" s="675"/>
      <c r="D967" s="1304"/>
      <c r="E967" s="1304"/>
      <c r="F967" s="1304"/>
      <c r="G967" s="1304"/>
      <c r="H967" s="1304">
        <f>IFERROR(Model!H967/Model!D967-1,"NA")</f>
        <v>-4.3875685557586919E-2</v>
      </c>
      <c r="I967" s="1304">
        <f>IFERROR(Model!I967/Model!E967-1,"NA")</f>
        <v>-3.6596523330283737E-2</v>
      </c>
      <c r="J967" s="1304">
        <f>IFERROR(Model!J967/Model!F967-1,"NA")</f>
        <v>2.7573529411764497E-2</v>
      </c>
      <c r="K967" s="1304">
        <f>IFERROR(Model!K967/Model!G967-1,"NA")</f>
        <v>4.7533632286995475E-2</v>
      </c>
      <c r="L967" s="1304">
        <f>IFERROR(Model!L967/Model!H967-1,"NA")</f>
        <v>4.3021032504780177E-2</v>
      </c>
      <c r="M967" s="1304">
        <f>IFERROR(Model!M967/Model!I967-1,"NA")</f>
        <v>4.8433048433048409E-2</v>
      </c>
      <c r="N967" s="1304">
        <f>IFERROR(Model!N967/Model!J967-1,"NA")</f>
        <v>-2.0572450805008913E-2</v>
      </c>
      <c r="O967" s="1304">
        <f>IFERROR(Model!O967/Model!K967-1,"NA")</f>
        <v>-2.3972602739726012E-2</v>
      </c>
      <c r="P967" s="1304">
        <f>IFERROR(Model!P967/Model!L967-1,"NA")</f>
        <v>-2.9330889092575529E-2</v>
      </c>
      <c r="Q967" s="1304">
        <f>IFERROR(Model!Q967/Model!M967-1,"NA")</f>
        <v>-2.4456521739130488E-2</v>
      </c>
      <c r="R967" s="1304">
        <f>IFERROR(Model!R967/Model!N967-1,"NA")</f>
        <v>-1.4611872146118698E-2</v>
      </c>
      <c r="S967" s="1304">
        <f>IFERROR(Model!S967/Model!O967-1,"NA")</f>
        <v>-6.1403508771928905E-3</v>
      </c>
      <c r="T967" s="1304">
        <f>IFERROR(Model!T967/Model!P967-1,"NA")</f>
        <v>1.4164305949008416E-2</v>
      </c>
      <c r="U967" s="1304">
        <f>IFERROR(Model!U967/Model!Q967-1,"NA")</f>
        <v>0.12163416898792945</v>
      </c>
      <c r="V967" s="1304">
        <f>IFERROR(Model!V967/Model!R967-1,"NA")</f>
        <v>0.16033364226135305</v>
      </c>
      <c r="W967" s="1304">
        <f>IFERROR(Model!W967/Model!S967-1,"NA")</f>
        <v>0.1765225066195939</v>
      </c>
      <c r="X967" s="1304">
        <f>IFERROR(Model!X967/Model!T967-1,"NA")</f>
        <v>0.17690875232774683</v>
      </c>
      <c r="Y967" s="1304">
        <f>IFERROR(Model!Y967/Model!U967-1,"NA")</f>
        <v>8.2781456953642474E-2</v>
      </c>
      <c r="Z967" s="1304">
        <f>IFERROR(Model!Z967/Model!V967-1,"NA")</f>
        <v>5.5910543130990531E-2</v>
      </c>
      <c r="AA967" s="1304">
        <f>IFERROR(Model!AA967/Model!W967-1,"NA")</f>
        <v>4.8012003000750036E-2</v>
      </c>
      <c r="AB967" s="1304">
        <f>IFERROR(Model!AB967/Model!X967-1,"NA")</f>
        <v>4.1930379746835333E-2</v>
      </c>
      <c r="AC967" s="1304">
        <f>IFERROR(Model!AC967/Model!Y967-1,"NA")</f>
        <v>8.6391437308868113E-3</v>
      </c>
      <c r="AD967" s="1304">
        <f>IFERROR(Model!AD967/Model!Z967-1,"NA")</f>
        <v>9.6857034795763131E-3</v>
      </c>
      <c r="AE967" s="1304">
        <f>IFERROR(Model!AE967/Model!AA967-1,"NA")</f>
        <v>-2.5411173944166032E-2</v>
      </c>
      <c r="AF967" s="1304">
        <f>IFERROR(Model!AF967/Model!AB967-1,"NA")</f>
        <v>2.5268549772209603E-2</v>
      </c>
      <c r="AG967" s="1304">
        <f>IFERROR(Model!AG967/Model!AC967-1,"NA")</f>
        <v>2.5646961732964435E-2</v>
      </c>
      <c r="AH967" s="1304">
        <f>IFERROR(Model!AH967/Model!AD967-1,"NA")</f>
        <v>3.2213586404236993E-2</v>
      </c>
      <c r="AI967" s="1304">
        <f>IFERROR(Model!AI967/Model!AE967-1,"NA")</f>
        <v>4.0547541580170821E-2</v>
      </c>
      <c r="AJ967" s="1304"/>
      <c r="AK967" s="1304"/>
      <c r="AL967" s="1304"/>
      <c r="AM967" s="1304"/>
      <c r="AN967" s="1304"/>
      <c r="AO967" s="1304"/>
      <c r="AP967" s="1304"/>
      <c r="AQ967" s="1304"/>
      <c r="AR967" s="1236"/>
      <c r="AS967" s="1522"/>
      <c r="AT967" s="1522"/>
      <c r="AU967" s="1263"/>
      <c r="AV967" s="1263">
        <f>IFERROR(Model!AV967/Model!AU967-1,"NA")</f>
        <v>4.7533632286995475E-2</v>
      </c>
      <c r="AW967" s="1263">
        <f>IFERROR(Model!AW967/Model!AV967-1,"NA")</f>
        <v>-2.3972602739726012E-2</v>
      </c>
      <c r="AX967" s="1263">
        <f>IFERROR(Model!AX967/Model!AW967-1,"NA")</f>
        <v>-6.1403508771928905E-3</v>
      </c>
      <c r="AY967" s="1263">
        <f>IFERROR(Model!AY967/Model!AX967-1,"NA")</f>
        <v>0.1765225066195939</v>
      </c>
      <c r="AZ967" s="1263">
        <f>IFERROR(Model!AZ967/Model!AY967-1,"NA")</f>
        <v>4.8012003000750036E-2</v>
      </c>
      <c r="BA967" s="1263">
        <f>IFERROR(Model!BA967/Model!AZ967-1,"NA")</f>
        <v>-2.5411173944166032E-2</v>
      </c>
      <c r="BB967" s="1304">
        <f>IFERROR(Model!BB967/Model!BA967-1,"NA")</f>
        <v>4.0547541580170821E-2</v>
      </c>
      <c r="BC967" s="1304">
        <f>IFERROR(Model!BC967/Model!BB967-1,"NA")</f>
        <v>4.0000000000000258E-2</v>
      </c>
      <c r="BD967" s="1304">
        <f>IFERROR(Model!BD967/Model!BC967-1,"NA")</f>
        <v>4.0000000000000036E-2</v>
      </c>
      <c r="BE967" s="1304">
        <f>IFERROR(Model!BE967/Model!BD967-1,"NA")</f>
        <v>4.0000000000000036E-2</v>
      </c>
    </row>
    <row r="968" spans="1:64" s="679" customFormat="1" x14ac:dyDescent="0.2">
      <c r="A968" s="838"/>
      <c r="B968" s="675" t="s">
        <v>74</v>
      </c>
      <c r="C968" s="675"/>
      <c r="D968" s="1304"/>
      <c r="E968" s="1304"/>
      <c r="F968" s="1304"/>
      <c r="G968" s="1304"/>
      <c r="H968" s="1304">
        <f>IFERROR(Model!H968/Model!D968-1,"NA")</f>
        <v>6.4039408866994885E-2</v>
      </c>
      <c r="I968" s="1304">
        <f>IFERROR(Model!I968/Model!E968-1,"NA")</f>
        <v>2.2004889975550057E-2</v>
      </c>
      <c r="J968" s="1304">
        <f>IFERROR(Model!J968/Model!F968-1,"NA")</f>
        <v>4.3373493975903621E-2</v>
      </c>
      <c r="K968" s="1304">
        <f>IFERROR(Model!K968/Model!G968-1,"NA")</f>
        <v>3.7470725995315979E-2</v>
      </c>
      <c r="L968" s="1304">
        <f>IFERROR(Model!L968/Model!H968-1,"NA")</f>
        <v>4.629629629629628E-2</v>
      </c>
      <c r="M968" s="1304">
        <f>IFERROR(Model!M968/Model!I968-1,"NA")</f>
        <v>0.11004784688995195</v>
      </c>
      <c r="N968" s="1304">
        <f>IFERROR(Model!N968/Model!J968-1,"NA")</f>
        <v>0.10392609699769051</v>
      </c>
      <c r="O968" s="1304">
        <f>IFERROR(Model!O968/Model!K968-1,"NA")</f>
        <v>6.3205417607223646E-2</v>
      </c>
      <c r="P968" s="1304">
        <f>IFERROR(Model!P968/Model!L968-1,"NA")</f>
        <v>6.4159292035398163E-2</v>
      </c>
      <c r="Q968" s="1304">
        <f>IFERROR(Model!Q968/Model!M968-1,"NA")</f>
        <v>6.0344827586206851E-2</v>
      </c>
      <c r="R968" s="1304">
        <f>IFERROR(Model!R968/Model!N968-1,"NA")</f>
        <v>6.6945606694560622E-2</v>
      </c>
      <c r="S968" s="1304">
        <f>IFERROR(Model!S968/Model!O968-1,"NA")</f>
        <v>0.10828025477707004</v>
      </c>
      <c r="T968" s="1304">
        <f>IFERROR(Model!T968/Model!P968-1,"NA")</f>
        <v>0.11226611226611238</v>
      </c>
      <c r="U968" s="1304">
        <f>IFERROR(Model!U968/Model!Q968-1,"NA")</f>
        <v>0.11382113821138229</v>
      </c>
      <c r="V968" s="1304">
        <f>IFERROR(Model!V968/Model!R968-1,"NA")</f>
        <v>7.4509803921568585E-2</v>
      </c>
      <c r="W968" s="1304">
        <f>IFERROR(Model!W968/Model!S968-1,"NA")</f>
        <v>5.9386973180076685E-2</v>
      </c>
      <c r="X968" s="1304">
        <f>IFERROR(Model!X968/Model!T968-1,"NA")</f>
        <v>3.7383177570093462E-2</v>
      </c>
      <c r="Y968" s="1304">
        <f>IFERROR(Model!Y968/Model!U968-1,"NA")</f>
        <v>1.4598540145985384E-2</v>
      </c>
      <c r="Z968" s="1304">
        <f>IFERROR(Model!Z968/Model!V968-1,"NA")</f>
        <v>1.642335766423364E-2</v>
      </c>
      <c r="AA968" s="1304">
        <f>IFERROR(Model!AA968/Model!W968-1,"NA")</f>
        <v>1.2658227848101111E-2</v>
      </c>
      <c r="AB968" s="1304">
        <f>IFERROR(Model!AB968/Model!X968-1,"NA")</f>
        <v>-1.8018018018016724E-3</v>
      </c>
      <c r="AC968" s="1304">
        <f>IFERROR(Model!AC968/Model!Y968-1,"NA")</f>
        <v>6.3669064748201887E-3</v>
      </c>
      <c r="AD968" s="1304">
        <f>IFERROR(Model!AD968/Model!Z968-1,"NA")</f>
        <v>1.4605745062836739E-2</v>
      </c>
      <c r="AE968" s="1304">
        <f>IFERROR(Model!AE968/Model!AA968-1,"NA")</f>
        <v>2.9353764285714457E-2</v>
      </c>
      <c r="AF968" s="1304">
        <f>IFERROR(Model!AF968/Model!AB968-1,"NA")</f>
        <v>5.0907019999999914E-2</v>
      </c>
      <c r="AG968" s="1304">
        <f>IFERROR(Model!AG968/Model!AC968-1,"NA")</f>
        <v>6.131203999999979E-2</v>
      </c>
      <c r="AH968" s="1304">
        <f>IFERROR(Model!AH968/Model!AD968-1,"NA")</f>
        <v>6.131203999999979E-2</v>
      </c>
      <c r="AI968" s="1304">
        <f>IFERROR(Model!AI968/Model!AE968-1,"NA")</f>
        <v>6.131203999999979E-2</v>
      </c>
      <c r="AJ968" s="1304"/>
      <c r="AK968" s="1304"/>
      <c r="AL968" s="1304"/>
      <c r="AM968" s="1304"/>
      <c r="AN968" s="1304"/>
      <c r="AO968" s="1304"/>
      <c r="AP968" s="1304"/>
      <c r="AQ968" s="1304"/>
      <c r="AR968" s="1236"/>
      <c r="AS968" s="1522"/>
      <c r="AT968" s="1522"/>
      <c r="AU968" s="1263"/>
      <c r="AV968" s="1263">
        <f>IFERROR(Model!AV968/Model!AU968-1,"NA")</f>
        <v>3.7470725995315979E-2</v>
      </c>
      <c r="AW968" s="1263">
        <f>IFERROR(Model!AW968/Model!AV968-1,"NA")</f>
        <v>6.3205417607223646E-2</v>
      </c>
      <c r="AX968" s="1263">
        <f>IFERROR(Model!AX968/Model!AW968-1,"NA")</f>
        <v>0.10828025477707004</v>
      </c>
      <c r="AY968" s="1263">
        <f>IFERROR(Model!AY968/Model!AX968-1,"NA")</f>
        <v>5.9386973180076685E-2</v>
      </c>
      <c r="AZ968" s="1263">
        <f>IFERROR(Model!AZ968/Model!AY968-1,"NA")</f>
        <v>1.2658227848101111E-2</v>
      </c>
      <c r="BA968" s="1263">
        <f>IFERROR(Model!BA968/Model!AZ968-1,"NA")</f>
        <v>2.9353764285714457E-2</v>
      </c>
      <c r="BB968" s="1304">
        <f>IFERROR(Model!BB968/Model!BA968-1,"NA")</f>
        <v>6.131203999999979E-2</v>
      </c>
      <c r="BC968" s="1304">
        <f>IFERROR(Model!BC968/Model!BB968-1,"NA")</f>
        <v>6.0000000000000497E-2</v>
      </c>
      <c r="BD968" s="1304">
        <f>IFERROR(Model!BD968/Model!BC968-1,"NA")</f>
        <v>5.0000000000000044E-2</v>
      </c>
      <c r="BE968" s="1304">
        <f>IFERROR(Model!BE968/Model!BD968-1,"NA")</f>
        <v>5.0000000000000044E-2</v>
      </c>
    </row>
    <row r="969" spans="1:64" s="674" customFormat="1" x14ac:dyDescent="0.2">
      <c r="A969" s="837"/>
      <c r="B969" s="329"/>
      <c r="C969" s="329" t="s">
        <v>314</v>
      </c>
      <c r="D969" s="1332"/>
      <c r="E969" s="1332"/>
      <c r="F969" s="1332"/>
      <c r="G969" s="1332"/>
      <c r="H969" s="1332">
        <f>IFERROR(Model!H969/Model!D969-1,"NA")</f>
        <v>-1.4666666666666828E-2</v>
      </c>
      <c r="I969" s="1332">
        <f>IFERROR(Model!I969/Model!E969-1,"NA")</f>
        <v>-2.0639147802929525E-2</v>
      </c>
      <c r="J969" s="1332">
        <f>IFERROR(Model!J969/Model!F969-1,"NA")</f>
        <v>3.1936127744510934E-2</v>
      </c>
      <c r="K969" s="1332">
        <f>IFERROR(Model!K969/Model!G969-1,"NA")</f>
        <v>4.474708171206232E-2</v>
      </c>
      <c r="L969" s="1332">
        <f>IFERROR(Model!L969/Model!H969-1,"NA")</f>
        <v>4.397834912043308E-2</v>
      </c>
      <c r="M969" s="1332">
        <f>IFERROR(Model!M969/Model!I969-1,"NA")</f>
        <v>6.5941536369816589E-2</v>
      </c>
      <c r="N969" s="1332">
        <f>IFERROR(Model!N969/Model!J969-1,"NA")</f>
        <v>1.4184397163120588E-2</v>
      </c>
      <c r="O969" s="1332">
        <f>IFERROR(Model!O969/Model!K969-1,"NA")</f>
        <v>0</v>
      </c>
      <c r="P969" s="1332">
        <f>IFERROR(Model!P969/Model!L969-1,"NA")</f>
        <v>-1.9442644199609838E-3</v>
      </c>
      <c r="Q969" s="1332">
        <f>IFERROR(Model!Q969/Model!M969-1,"NA")</f>
        <v>6.3775510204067132E-4</v>
      </c>
      <c r="R969" s="1332">
        <f>IFERROR(Model!R969/Model!N969-1,"NA")</f>
        <v>1.0171646535282797E-2</v>
      </c>
      <c r="S969" s="1332">
        <f>IFERROR(Model!S969/Model!O969-1,"NA")</f>
        <v>2.7312228429546836E-2</v>
      </c>
      <c r="T969" s="1332">
        <f>IFERROR(Model!T969/Model!P969-1,"NA")</f>
        <v>4.4805194805194848E-2</v>
      </c>
      <c r="U969" s="1332">
        <f>IFERROR(Model!U969/Model!Q969-1,"NA")</f>
        <v>0.11918419375398326</v>
      </c>
      <c r="V969" s="1332">
        <f>IFERROR(Model!V969/Model!R969-1,"NA")</f>
        <v>0.13278791692888614</v>
      </c>
      <c r="W969" s="1332">
        <f>IFERROR(Model!W969/Model!S969-1,"NA")</f>
        <v>0.13957703927492471</v>
      </c>
      <c r="X969" s="1332">
        <f>IFERROR(Model!X969/Model!T969-1,"NA")</f>
        <v>0.13051584835301422</v>
      </c>
      <c r="Y969" s="1332">
        <f>IFERROR(Model!Y969/Model!U969-1,"NA")</f>
        <v>6.1503416856492077E-2</v>
      </c>
      <c r="Z969" s="1332">
        <f>IFERROR(Model!Z969/Model!V969-1,"NA")</f>
        <v>4.3888888888888866E-2</v>
      </c>
      <c r="AA969" s="1332">
        <f>IFERROR(Model!AA969/Model!W969-1,"NA")</f>
        <v>3.7645811240720972E-2</v>
      </c>
      <c r="AB969" s="1332">
        <f>IFERROR(Model!AB969/Model!X969-1,"NA")</f>
        <v>2.8587135788894935E-2</v>
      </c>
      <c r="AC969" s="1332">
        <f>IFERROR(Model!AC969/Model!Y969-1,"NA")</f>
        <v>7.9613733905579132E-3</v>
      </c>
      <c r="AD969" s="1332">
        <f>IFERROR(Model!AD969/Model!Z969-1,"NA")</f>
        <v>1.1144172432144828E-2</v>
      </c>
      <c r="AE969" s="1332">
        <f>IFERROR(Model!AE969/Model!AA969-1,"NA")</f>
        <v>-9.7400623403166575E-3</v>
      </c>
      <c r="AF969" s="1332">
        <f>IFERROR(Model!AF969/Model!AB969-1,"NA")</f>
        <v>3.2860058327097708E-2</v>
      </c>
      <c r="AG969" s="1332">
        <f>IFERROR(Model!AG969/Model!AC969-1,"NA")</f>
        <v>3.6268429177524375E-2</v>
      </c>
      <c r="AH969" s="1332">
        <f>IFERROR(Model!AH969/Model!AD969-1,"NA")</f>
        <v>4.0868895033853603E-2</v>
      </c>
      <c r="AI969" s="1332">
        <f>IFERROR(Model!AI969/Model!AE969-1,"NA")</f>
        <v>4.6723922801644946E-2</v>
      </c>
      <c r="AJ969" s="1259"/>
      <c r="AK969" s="1259"/>
      <c r="AL969" s="1259"/>
      <c r="AM969" s="1259"/>
      <c r="AN969" s="1259"/>
      <c r="AO969" s="1259"/>
      <c r="AP969" s="1259"/>
      <c r="AQ969" s="1259"/>
      <c r="AR969" s="1236"/>
      <c r="AS969" s="1519"/>
      <c r="AT969" s="1519"/>
      <c r="AU969" s="1332"/>
      <c r="AV969" s="1332">
        <f>IFERROR(Model!AV969/Model!AU969-1,"NA")</f>
        <v>4.474708171206232E-2</v>
      </c>
      <c r="AW969" s="1332">
        <f>IFERROR(Model!AW969/Model!AV969-1,"NA")</f>
        <v>0</v>
      </c>
      <c r="AX969" s="1332">
        <f>IFERROR(Model!AX969/Model!AW969-1,"NA")</f>
        <v>2.7312228429546836E-2</v>
      </c>
      <c r="AY969" s="1332">
        <f>IFERROR(Model!AY969/Model!AX969-1,"NA")</f>
        <v>0.13957703927492471</v>
      </c>
      <c r="AZ969" s="1332">
        <f>IFERROR(Model!AZ969/Model!AY969-1,"NA")</f>
        <v>3.7645811240720972E-2</v>
      </c>
      <c r="BA969" s="1332">
        <f>IFERROR(Model!BA969/Model!AZ969-1,"NA")</f>
        <v>-9.7400623403166575E-3</v>
      </c>
      <c r="BB969" s="1332">
        <f>IFERROR(Model!BB969/Model!BA969-1,"NA")</f>
        <v>4.6723922801644946E-2</v>
      </c>
      <c r="BC969" s="1332">
        <f>IFERROR(Model!BC969/Model!BB969-1,"NA")</f>
        <v>4.6031892398861407E-2</v>
      </c>
      <c r="BD969" s="1332">
        <f>IFERROR(Model!BD969/Model!BC969-1,"NA")</f>
        <v>4.3056219408439844E-2</v>
      </c>
      <c r="BE969" s="1332">
        <f>IFERROR(Model!BE969/Model!BD969-1,"NA")</f>
        <v>4.3076565116194621E-2</v>
      </c>
    </row>
    <row r="970" spans="1:64" s="674" customFormat="1" x14ac:dyDescent="0.2">
      <c r="A970" s="837"/>
      <c r="B970" s="329"/>
      <c r="C970" s="329"/>
      <c r="D970" s="1519"/>
      <c r="E970" s="1519"/>
      <c r="F970" s="1519"/>
      <c r="G970" s="1519"/>
      <c r="H970" s="1519"/>
      <c r="I970" s="1519"/>
      <c r="J970" s="1519"/>
      <c r="K970" s="1519"/>
      <c r="L970" s="1519"/>
      <c r="M970" s="1519"/>
      <c r="N970" s="1519"/>
      <c r="O970" s="1519"/>
      <c r="P970" s="1519"/>
      <c r="Q970" s="1519"/>
      <c r="R970" s="1519"/>
      <c r="S970" s="1519"/>
      <c r="T970" s="1519"/>
      <c r="U970" s="1519"/>
      <c r="V970" s="1519"/>
      <c r="W970" s="1519"/>
      <c r="X970" s="1519"/>
      <c r="Y970" s="1519"/>
      <c r="Z970" s="1519"/>
      <c r="AA970" s="1519"/>
      <c r="AB970" s="1519"/>
      <c r="AC970" s="1519"/>
      <c r="AD970" s="1519"/>
      <c r="AE970" s="1519"/>
      <c r="AF970" s="1519"/>
      <c r="AG970" s="1519"/>
      <c r="AH970" s="1519"/>
      <c r="AI970" s="1519"/>
      <c r="AJ970" s="1519"/>
      <c r="AK970" s="1519"/>
      <c r="AL970" s="1519"/>
      <c r="AM970" s="1519"/>
      <c r="AN970" s="1519"/>
      <c r="AO970" s="1519"/>
      <c r="AP970" s="1519"/>
      <c r="AQ970" s="1519"/>
      <c r="AR970" s="1236"/>
      <c r="AS970" s="1519"/>
      <c r="AT970" s="1519"/>
      <c r="AU970" s="1336"/>
      <c r="AV970" s="1336"/>
      <c r="AW970" s="1336"/>
      <c r="AX970" s="1336"/>
      <c r="AY970" s="1336"/>
      <c r="AZ970" s="1336"/>
      <c r="BA970" s="1336"/>
      <c r="BB970" s="1519"/>
      <c r="BC970" s="1519"/>
      <c r="BD970" s="1519"/>
      <c r="BE970" s="1519"/>
    </row>
    <row r="971" spans="1:64" s="679" customFormat="1" x14ac:dyDescent="0.2">
      <c r="A971" s="838"/>
      <c r="B971" s="680" t="s">
        <v>5</v>
      </c>
      <c r="C971" s="675"/>
      <c r="D971" s="1520"/>
      <c r="E971" s="1520"/>
      <c r="F971" s="1520"/>
      <c r="G971" s="1520"/>
      <c r="H971" s="1520"/>
      <c r="I971" s="1520"/>
      <c r="J971" s="1520"/>
      <c r="K971" s="1520"/>
      <c r="L971" s="1520"/>
      <c r="M971" s="1520"/>
      <c r="N971" s="1520"/>
      <c r="O971" s="1520"/>
      <c r="P971" s="1520"/>
      <c r="Q971" s="1520"/>
      <c r="R971" s="1520"/>
      <c r="S971" s="1520"/>
      <c r="T971" s="1520"/>
      <c r="U971" s="1520"/>
      <c r="V971" s="1520"/>
      <c r="W971" s="1520"/>
      <c r="X971" s="1520"/>
      <c r="Y971" s="1520"/>
      <c r="Z971" s="1520"/>
      <c r="AA971" s="1520"/>
      <c r="AB971" s="1520"/>
      <c r="AC971" s="1522"/>
      <c r="AD971" s="1522"/>
      <c r="AE971" s="1522"/>
      <c r="AF971" s="1522"/>
      <c r="AG971" s="1522"/>
      <c r="AH971" s="1522"/>
      <c r="AI971" s="1522"/>
      <c r="AJ971" s="1522"/>
      <c r="AK971" s="1522"/>
      <c r="AL971" s="1522"/>
      <c r="AM971" s="1522"/>
      <c r="AN971" s="1522"/>
      <c r="AO971" s="1522"/>
      <c r="AP971" s="1522"/>
      <c r="AQ971" s="1522"/>
      <c r="AR971" s="1236"/>
      <c r="AS971" s="1524"/>
      <c r="AT971" s="1522"/>
      <c r="AU971" s="1523"/>
      <c r="AV971" s="1523"/>
      <c r="AW971" s="1523"/>
      <c r="AX971" s="1523"/>
      <c r="AY971" s="1523"/>
      <c r="AZ971" s="1523"/>
      <c r="BA971" s="1523"/>
      <c r="BB971" s="1522"/>
      <c r="BC971" s="1522"/>
      <c r="BD971" s="1522"/>
      <c r="BE971" s="1522"/>
    </row>
    <row r="972" spans="1:64" s="679" customFormat="1" x14ac:dyDescent="0.2">
      <c r="A972" s="838"/>
      <c r="B972" s="675" t="s">
        <v>92</v>
      </c>
      <c r="C972" s="675"/>
      <c r="D972" s="1304"/>
      <c r="E972" s="1304"/>
      <c r="F972" s="1304"/>
      <c r="G972" s="1304"/>
      <c r="H972" s="1304">
        <f>IFERROR(Model!H972/Model!D972-1,"NA")</f>
        <v>0.18333333333333335</v>
      </c>
      <c r="I972" s="1304">
        <f>IFERROR(Model!I972/Model!E972-1,"NA")</f>
        <v>0.18644067796610164</v>
      </c>
      <c r="J972" s="1304">
        <f>IFERROR(Model!J972/Model!F972-1,"NA")</f>
        <v>0.12698412698412698</v>
      </c>
      <c r="K972" s="1304">
        <f>IFERROR(Model!K972/Model!G972-1,"NA")</f>
        <v>0.12121212121212133</v>
      </c>
      <c r="L972" s="1304">
        <f>IFERROR(Model!L972/Model!H972-1,"NA")</f>
        <v>1.4084507042253502E-2</v>
      </c>
      <c r="M972" s="1304">
        <f>IFERROR(Model!M972/Model!I972-1,"NA")</f>
        <v>5.7142857142857162E-2</v>
      </c>
      <c r="N972" s="1304">
        <f>IFERROR(Model!N972/Model!J972-1,"NA")</f>
        <v>2.8169014084507005E-2</v>
      </c>
      <c r="O972" s="1304">
        <f>IFERROR(Model!O972/Model!K972-1,"NA")</f>
        <v>-9.4594594594594628E-2</v>
      </c>
      <c r="P972" s="1304">
        <f>IFERROR(Model!P972/Model!L972-1,"NA")</f>
        <v>-0.1527777777777779</v>
      </c>
      <c r="Q972" s="1304">
        <f>IFERROR(Model!Q972/Model!M972-1,"NA")</f>
        <v>-0.20270270270270274</v>
      </c>
      <c r="R972" s="1304">
        <f>IFERROR(Model!R972/Model!N972-1,"NA")</f>
        <v>-0.26027397260273966</v>
      </c>
      <c r="S972" s="1304">
        <f>IFERROR(Model!S972/Model!O972-1,"NA")</f>
        <v>-0.19402985074626866</v>
      </c>
      <c r="T972" s="1304">
        <f>IFERROR(Model!T972/Model!P972-1,"NA")</f>
        <v>-0.13114754098360648</v>
      </c>
      <c r="U972" s="1304">
        <f>IFERROR(Model!U972/Model!Q972-1,"NA")</f>
        <v>-0.15254237288135597</v>
      </c>
      <c r="V972" s="1304">
        <f>IFERROR(Model!V972/Model!R972-1,"NA")</f>
        <v>-9.259259259259256E-2</v>
      </c>
      <c r="W972" s="1304">
        <f>IFERROR(Model!W972/Model!S972-1,"NA")</f>
        <v>-0.11111111111111116</v>
      </c>
      <c r="X972" s="1304">
        <f>IFERROR(Model!X972/Model!T972-1,"NA")</f>
        <v>-1.8867924528301772E-2</v>
      </c>
      <c r="Y972" s="1304">
        <f>IFERROR(Model!Y972/Model!U972-1,"NA")</f>
        <v>0.10000000000000009</v>
      </c>
      <c r="Z972" s="1304">
        <f>IFERROR(Model!Z972/Model!V972-1,"NA")</f>
        <v>0.14285714285714279</v>
      </c>
      <c r="AA972" s="1304">
        <f>IFERROR(Model!AA972/Model!W972-1,"NA")</f>
        <v>0.12500000000000022</v>
      </c>
      <c r="AB972" s="1304">
        <f>IFERROR(Model!AB972/Model!X972-1,"NA")</f>
        <v>9.6153846153846256E-2</v>
      </c>
      <c r="AC972" s="1304">
        <f>IFERROR(Model!AC972/Model!Y972-1,"NA")</f>
        <v>1.563636363636367E-2</v>
      </c>
      <c r="AD972" s="1304">
        <f>IFERROR(Model!AD972/Model!Z972-1,"NA")</f>
        <v>2.2437499999999888E-2</v>
      </c>
      <c r="AE972" s="1304">
        <f>IFERROR(Model!AE972/Model!AA972-1,"NA")</f>
        <v>9.741624999999976E-2</v>
      </c>
      <c r="AF972" s="1304">
        <f>IFERROR(Model!AF972/Model!AB972-1,"NA")</f>
        <v>1.8864349999999863E-2</v>
      </c>
      <c r="AG972" s="1304">
        <f>IFERROR(Model!AG972/Model!AC972-1,"NA")</f>
        <v>6.0450649999999939E-2</v>
      </c>
      <c r="AH972" s="1304">
        <f>IFERROR(Model!AH972/Model!AD972-1,"NA")</f>
        <v>5.010479000000001E-2</v>
      </c>
      <c r="AI972" s="1304">
        <f>IFERROR(Model!AI972/Model!AE972-1,"NA")</f>
        <v>5.010479000000001E-2</v>
      </c>
      <c r="AJ972" s="1304"/>
      <c r="AK972" s="1304"/>
      <c r="AL972" s="1304"/>
      <c r="AM972" s="1304"/>
      <c r="AN972" s="1304"/>
      <c r="AO972" s="1304"/>
      <c r="AP972" s="1304"/>
      <c r="AQ972" s="1304"/>
      <c r="AR972" s="1236"/>
      <c r="AS972" s="1522"/>
      <c r="AT972" s="1522"/>
      <c r="AU972" s="1263"/>
      <c r="AV972" s="1263">
        <f>IFERROR(Model!AV972/Model!AU972-1,"NA")</f>
        <v>0.12121212121212133</v>
      </c>
      <c r="AW972" s="1263">
        <f>IFERROR(Model!AW972/Model!AV972-1,"NA")</f>
        <v>-9.4594594594594628E-2</v>
      </c>
      <c r="AX972" s="1263">
        <f>IFERROR(Model!AX972/Model!AW972-1,"NA")</f>
        <v>-0.19402985074626866</v>
      </c>
      <c r="AY972" s="1263">
        <f>IFERROR(Model!AY972/Model!AX972-1,"NA")</f>
        <v>-0.11111111111111116</v>
      </c>
      <c r="AZ972" s="1263">
        <f>IFERROR(Model!AZ972/Model!AY972-1,"NA")</f>
        <v>0.12500000000000022</v>
      </c>
      <c r="BA972" s="1263">
        <f>IFERROR(Model!BA972/Model!AZ972-1,"NA")</f>
        <v>9.741624999999976E-2</v>
      </c>
      <c r="BB972" s="1304">
        <f>IFERROR(Model!BB972/Model!BA972-1,"NA")</f>
        <v>5.010479000000001E-2</v>
      </c>
      <c r="BC972" s="1304">
        <f>IFERROR(Model!BC972/Model!BB972-1,"NA")</f>
        <v>5.0000000000000044E-2</v>
      </c>
      <c r="BD972" s="1304">
        <f>IFERROR(Model!BD972/Model!BC972-1,"NA")</f>
        <v>5.0000000000000044E-2</v>
      </c>
      <c r="BE972" s="1304">
        <f>IFERROR(Model!BE972/Model!BD972-1,"NA")</f>
        <v>5.0000000000000044E-2</v>
      </c>
    </row>
    <row r="973" spans="1:64" s="679" customFormat="1" x14ac:dyDescent="0.2">
      <c r="A973" s="838"/>
      <c r="B973" s="675" t="s">
        <v>74</v>
      </c>
      <c r="C973" s="675"/>
      <c r="D973" s="1304"/>
      <c r="E973" s="1304"/>
      <c r="F973" s="1304"/>
      <c r="G973" s="1304"/>
      <c r="H973" s="1304">
        <f>IFERROR(Model!H973/Model!D973-1,"NA")</f>
        <v>0.18181818181818166</v>
      </c>
      <c r="I973" s="1304">
        <f>IFERROR(Model!I973/Model!E973-1,"NA")</f>
        <v>0.16326530612244894</v>
      </c>
      <c r="J973" s="1304">
        <f>IFERROR(Model!J973/Model!F973-1,"NA")</f>
        <v>5.7142857142857384E-2</v>
      </c>
      <c r="K973" s="1304">
        <f>IFERROR(Model!K973/Model!G973-1,"NA")</f>
        <v>8.2949308755760454E-2</v>
      </c>
      <c r="L973" s="1304">
        <f>IFERROR(Model!L973/Model!H973-1,"NA")</f>
        <v>-1.2820512820512664E-2</v>
      </c>
      <c r="M973" s="1304">
        <f>IFERROR(Model!M973/Model!I973-1,"NA")</f>
        <v>3.0701754385964897E-2</v>
      </c>
      <c r="N973" s="1304">
        <f>IFERROR(Model!N973/Model!J973-1,"NA")</f>
        <v>2.7027027027026973E-2</v>
      </c>
      <c r="O973" s="1304">
        <f>IFERROR(Model!O973/Model!K973-1,"NA")</f>
        <v>-0.1063829787234043</v>
      </c>
      <c r="P973" s="1304">
        <f>IFERROR(Model!P973/Model!L973-1,"NA")</f>
        <v>-9.9567099567099748E-2</v>
      </c>
      <c r="Q973" s="1304">
        <f>IFERROR(Model!Q973/Model!M973-1,"NA")</f>
        <v>-0.11489361702127654</v>
      </c>
      <c r="R973" s="1304">
        <f>IFERROR(Model!R973/Model!N973-1,"NA")</f>
        <v>-0.14473684210526316</v>
      </c>
      <c r="S973" s="1304">
        <f>IFERROR(Model!S973/Model!O973-1,"NA")</f>
        <v>-6.1904761904761796E-2</v>
      </c>
      <c r="T973" s="1304">
        <f>IFERROR(Model!T973/Model!P973-1,"NA")</f>
        <v>-4.8076923076922906E-2</v>
      </c>
      <c r="U973" s="1304">
        <f>IFERROR(Model!U973/Model!Q973-1,"NA")</f>
        <v>-8.1730769230769162E-2</v>
      </c>
      <c r="V973" s="1304">
        <f>IFERROR(Model!V973/Model!R973-1,"NA")</f>
        <v>-4.1025641025641102E-2</v>
      </c>
      <c r="W973" s="1304">
        <f>IFERROR(Model!W973/Model!S973-1,"NA")</f>
        <v>-8.629441624365497E-2</v>
      </c>
      <c r="X973" s="1304">
        <f>IFERROR(Model!X973/Model!T973-1,"NA")</f>
        <v>-5.050505050505083E-3</v>
      </c>
      <c r="Y973" s="1304">
        <f>IFERROR(Model!Y973/Model!U973-1,"NA")</f>
        <v>9.9476439790575855E-2</v>
      </c>
      <c r="Z973" s="1304">
        <f>IFERROR(Model!Z973/Model!V973-1,"NA")</f>
        <v>0.12299465240641716</v>
      </c>
      <c r="AA973" s="1304">
        <f>IFERROR(Model!AA973/Model!W973-1,"NA")</f>
        <v>0.1055555555555554</v>
      </c>
      <c r="AB973" s="1304">
        <f>IFERROR(Model!AB973/Model!X973-1,"NA")</f>
        <v>7.6142131979695327E-2</v>
      </c>
      <c r="AC973" s="1304">
        <f>IFERROR(Model!AC973/Model!Y973-1,"NA")</f>
        <v>1.9619047619047647E-2</v>
      </c>
      <c r="AD973" s="1304">
        <f>IFERROR(Model!AD973/Model!Z973-1,"NA")</f>
        <v>3.491333333333313E-2</v>
      </c>
      <c r="AE973" s="1304">
        <f>IFERROR(Model!AE973/Model!AA973-1,"NA")</f>
        <v>0.1139619899497486</v>
      </c>
      <c r="AF973" s="1304">
        <f>IFERROR(Model!AF973/Model!AB973-1,"NA")</f>
        <v>3.5196469999999813E-2</v>
      </c>
      <c r="AG973" s="1304">
        <f>IFERROR(Model!AG973/Model!AC973-1,"NA")</f>
        <v>3.5196469999999813E-2</v>
      </c>
      <c r="AH973" s="1304">
        <f>IFERROR(Model!AH973/Model!AD973-1,"NA")</f>
        <v>3.5196469999999813E-2</v>
      </c>
      <c r="AI973" s="1304">
        <f>IFERROR(Model!AI973/Model!AE973-1,"NA")</f>
        <v>3.5196470000000035E-2</v>
      </c>
      <c r="AJ973" s="1304"/>
      <c r="AK973" s="1304"/>
      <c r="AL973" s="1304"/>
      <c r="AM973" s="1304"/>
      <c r="AN973" s="1304"/>
      <c r="AO973" s="1304"/>
      <c r="AP973" s="1304"/>
      <c r="AQ973" s="1304"/>
      <c r="AR973" s="1236"/>
      <c r="AS973" s="1522"/>
      <c r="AT973" s="1522"/>
      <c r="AU973" s="1263"/>
      <c r="AV973" s="1263">
        <f>IFERROR(Model!AV973/Model!AU973-1,"NA")</f>
        <v>8.2949308755760454E-2</v>
      </c>
      <c r="AW973" s="1263">
        <f>IFERROR(Model!AW973/Model!AV973-1,"NA")</f>
        <v>-0.1063829787234043</v>
      </c>
      <c r="AX973" s="1263">
        <f>IFERROR(Model!AX973/Model!AW973-1,"NA")</f>
        <v>-6.1904761904761796E-2</v>
      </c>
      <c r="AY973" s="1263">
        <f>IFERROR(Model!AY973/Model!AX973-1,"NA")</f>
        <v>-8.629441624365497E-2</v>
      </c>
      <c r="AZ973" s="1263">
        <f>IFERROR(Model!AZ973/Model!AY973-1,"NA")</f>
        <v>0.1055555555555554</v>
      </c>
      <c r="BA973" s="1263">
        <f>IFERROR(Model!BA973/Model!AZ973-1,"NA")</f>
        <v>0.1139619899497486</v>
      </c>
      <c r="BB973" s="1304">
        <f>IFERROR(Model!BB973/Model!BA973-1,"NA")</f>
        <v>3.5196470000000035E-2</v>
      </c>
      <c r="BC973" s="1304">
        <f>IFERROR(Model!BC973/Model!BB973-1,"NA")</f>
        <v>4.0000000000000036E-2</v>
      </c>
      <c r="BD973" s="1304">
        <f>IFERROR(Model!BD973/Model!BC973-1,"NA")</f>
        <v>4.0000000000000258E-2</v>
      </c>
      <c r="BE973" s="1304">
        <f>IFERROR(Model!BE973/Model!BD973-1,"NA")</f>
        <v>4.0000000000000258E-2</v>
      </c>
    </row>
    <row r="974" spans="1:64" s="674" customFormat="1" x14ac:dyDescent="0.2">
      <c r="A974" s="837"/>
      <c r="B974" s="329"/>
      <c r="C974" s="329" t="s">
        <v>313</v>
      </c>
      <c r="D974" s="1332"/>
      <c r="E974" s="1332"/>
      <c r="F974" s="1332"/>
      <c r="G974" s="1332"/>
      <c r="H974" s="1332">
        <f>IFERROR(Model!H974/Model!D974-1,"NA")</f>
        <v>0.18217054263565879</v>
      </c>
      <c r="I974" s="1332">
        <f>IFERROR(Model!I974/Model!E974-1,"NA")</f>
        <v>0.16862745098039222</v>
      </c>
      <c r="J974" s="1332">
        <f>IFERROR(Model!J974/Model!F974-1,"NA")</f>
        <v>7.3260073260073444E-2</v>
      </c>
      <c r="K974" s="1332">
        <f>IFERROR(Model!K974/Model!G974-1,"NA")</f>
        <v>9.1872791519434616E-2</v>
      </c>
      <c r="L974" s="1332">
        <f>IFERROR(Model!L974/Model!H974-1,"NA")</f>
        <v>-6.5573770491803574E-3</v>
      </c>
      <c r="M974" s="1332">
        <f>IFERROR(Model!M974/Model!I974-1,"NA")</f>
        <v>3.691275167785224E-2</v>
      </c>
      <c r="N974" s="1332">
        <f>IFERROR(Model!N974/Model!J974-1,"NA")</f>
        <v>2.7303754266211566E-2</v>
      </c>
      <c r="O974" s="1332">
        <f>IFERROR(Model!O974/Model!K974-1,"NA")</f>
        <v>-0.1035598705501618</v>
      </c>
      <c r="P974" s="1332">
        <f>IFERROR(Model!P974/Model!L974-1,"NA")</f>
        <v>-0.11221122112211224</v>
      </c>
      <c r="Q974" s="1332">
        <f>IFERROR(Model!Q974/Model!M974-1,"NA")</f>
        <v>-0.13592233009708721</v>
      </c>
      <c r="R974" s="1332">
        <f>IFERROR(Model!R974/Model!N974-1,"NA")</f>
        <v>-0.17275747508305661</v>
      </c>
      <c r="S974" s="1332">
        <f>IFERROR(Model!S974/Model!O974-1,"NA")</f>
        <v>-9.3862815884476425E-2</v>
      </c>
      <c r="T974" s="1332">
        <f>IFERROR(Model!T974/Model!P974-1,"NA")</f>
        <v>-6.6914498141263823E-2</v>
      </c>
      <c r="U974" s="1332">
        <f>IFERROR(Model!U974/Model!Q974-1,"NA")</f>
        <v>-9.7378277153558068E-2</v>
      </c>
      <c r="V974" s="1332">
        <f>IFERROR(Model!V974/Model!R974-1,"NA")</f>
        <v>-5.2208835341365334E-2</v>
      </c>
      <c r="W974" s="1332">
        <f>IFERROR(Model!W974/Model!S974-1,"NA")</f>
        <v>-9.1633466135458197E-2</v>
      </c>
      <c r="X974" s="1332">
        <f>IFERROR(Model!X974/Model!T974-1,"NA")</f>
        <v>-7.9681274900399446E-3</v>
      </c>
      <c r="Y974" s="1332">
        <f>IFERROR(Model!Y974/Model!U974-1,"NA")</f>
        <v>9.9585062240663769E-2</v>
      </c>
      <c r="Z974" s="1332">
        <f>IFERROR(Model!Z974/Model!V974-1,"NA")</f>
        <v>0.12711864406779649</v>
      </c>
      <c r="AA974" s="1332">
        <f>IFERROR(Model!AA974/Model!W974-1,"NA")</f>
        <v>0.10964912280701733</v>
      </c>
      <c r="AB974" s="1332">
        <f>IFERROR(Model!AB974/Model!X974-1,"NA")</f>
        <v>8.032128514056236E-2</v>
      </c>
      <c r="AC974" s="1332">
        <f>IFERROR(Model!AC974/Model!Y974-1,"NA")</f>
        <v>1.87924528301886E-2</v>
      </c>
      <c r="AD974" s="1332">
        <f>IFERROR(Model!AD974/Model!Z974-1,"NA")</f>
        <v>3.2286842105262892E-2</v>
      </c>
      <c r="AE974" s="1332">
        <f>IFERROR(Model!AE974/Model!AA974-1,"NA")</f>
        <v>0.11043048814229239</v>
      </c>
      <c r="AF974" s="1332">
        <f>IFERROR(Model!AF974/Model!AB974-1,"NA")</f>
        <v>3.1735760557620729E-2</v>
      </c>
      <c r="AG974" s="1332">
        <f>IFERROR(Model!AG974/Model!AC974-1,"NA")</f>
        <v>4.0421666291577063E-2</v>
      </c>
      <c r="AH974" s="1332">
        <f>IFERROR(Model!AH974/Model!AD974-1,"NA")</f>
        <v>3.8305117469976002E-2</v>
      </c>
      <c r="AI974" s="1332">
        <f>IFERROR(Model!AI974/Model!AE974-1,"NA")</f>
        <v>3.8341189793055008E-2</v>
      </c>
      <c r="AJ974" s="1259"/>
      <c r="AK974" s="1259"/>
      <c r="AL974" s="1259"/>
      <c r="AM974" s="1259"/>
      <c r="AN974" s="1259"/>
      <c r="AO974" s="1259"/>
      <c r="AP974" s="1259"/>
      <c r="AQ974" s="1259"/>
      <c r="AR974" s="1236"/>
      <c r="AS974" s="1519"/>
      <c r="AT974" s="1519"/>
      <c r="AU974" s="1332"/>
      <c r="AV974" s="1332">
        <f>IFERROR(Model!AV974/Model!AU974-1,"NA")</f>
        <v>9.1872791519434616E-2</v>
      </c>
      <c r="AW974" s="1332">
        <f>IFERROR(Model!AW974/Model!AV974-1,"NA")</f>
        <v>-0.1035598705501618</v>
      </c>
      <c r="AX974" s="1332">
        <f>IFERROR(Model!AX974/Model!AW974-1,"NA")</f>
        <v>-9.3862815884476425E-2</v>
      </c>
      <c r="AY974" s="1332">
        <f>IFERROR(Model!AY974/Model!AX974-1,"NA")</f>
        <v>-9.1633466135458197E-2</v>
      </c>
      <c r="AZ974" s="1332">
        <f>IFERROR(Model!AZ974/Model!AY974-1,"NA")</f>
        <v>0.10964912280701733</v>
      </c>
      <c r="BA974" s="1332">
        <f>IFERROR(Model!BA974/Model!AZ974-1,"NA")</f>
        <v>0.11043048814229239</v>
      </c>
      <c r="BB974" s="1332">
        <f>IFERROR(Model!BB974/Model!BA974-1,"NA")</f>
        <v>3.8341189793055008E-2</v>
      </c>
      <c r="BC974" s="1332">
        <f>IFERROR(Model!BC974/Model!BB974-1,"NA")</f>
        <v>4.2133269898186887E-2</v>
      </c>
      <c r="BD974" s="1332">
        <f>IFERROR(Model!BD974/Model!BC974-1,"NA")</f>
        <v>4.2149373269039891E-2</v>
      </c>
      <c r="BE974" s="1332">
        <f>IFERROR(Model!BE974/Model!BD974-1,"NA")</f>
        <v>4.2165564736092342E-2</v>
      </c>
    </row>
    <row r="975" spans="1:64" s="674" customFormat="1" x14ac:dyDescent="0.2">
      <c r="A975" s="837"/>
      <c r="B975" s="329"/>
      <c r="C975" s="329"/>
      <c r="D975" s="1519"/>
      <c r="E975" s="1519"/>
      <c r="F975" s="1519"/>
      <c r="G975" s="1519"/>
      <c r="H975" s="1519"/>
      <c r="I975" s="1519"/>
      <c r="J975" s="1519"/>
      <c r="K975" s="1519"/>
      <c r="L975" s="1519"/>
      <c r="M975" s="1519"/>
      <c r="N975" s="1519"/>
      <c r="O975" s="1519"/>
      <c r="P975" s="1519"/>
      <c r="Q975" s="1519"/>
      <c r="R975" s="1519"/>
      <c r="S975" s="1519"/>
      <c r="T975" s="1519"/>
      <c r="U975" s="1519"/>
      <c r="V975" s="1519"/>
      <c r="W975" s="1519"/>
      <c r="X975" s="1519"/>
      <c r="Y975" s="1519"/>
      <c r="Z975" s="1519"/>
      <c r="AA975" s="1519"/>
      <c r="AB975" s="1519"/>
      <c r="AC975" s="1519"/>
      <c r="AD975" s="1519"/>
      <c r="AE975" s="1519"/>
      <c r="AF975" s="1519"/>
      <c r="AG975" s="1519"/>
      <c r="AH975" s="1519"/>
      <c r="AI975" s="1522"/>
      <c r="AJ975" s="1522"/>
      <c r="AK975" s="1522"/>
      <c r="AL975" s="1522"/>
      <c r="AM975" s="1522"/>
      <c r="AN975" s="1522"/>
      <c r="AO975" s="1522"/>
      <c r="AP975" s="1522"/>
      <c r="AQ975" s="1522"/>
      <c r="AR975" s="1236"/>
      <c r="AS975" s="1519"/>
      <c r="AT975" s="1519"/>
      <c r="AU975" s="1336"/>
      <c r="AV975" s="1336"/>
      <c r="AW975" s="1336"/>
      <c r="AX975" s="1336"/>
      <c r="AY975" s="1336"/>
      <c r="AZ975" s="1336"/>
      <c r="BA975" s="1336"/>
      <c r="BB975" s="1522"/>
      <c r="BC975" s="1522"/>
      <c r="BD975" s="1522"/>
      <c r="BE975" s="1522"/>
    </row>
    <row r="976" spans="1:64" s="679" customFormat="1" x14ac:dyDescent="0.2">
      <c r="A976" s="838"/>
      <c r="B976" s="680" t="s">
        <v>239</v>
      </c>
      <c r="C976" s="675"/>
      <c r="D976" s="1520"/>
      <c r="E976" s="1520"/>
      <c r="F976" s="1520"/>
      <c r="G976" s="1520"/>
      <c r="H976" s="1520"/>
      <c r="I976" s="1520"/>
      <c r="J976" s="1520"/>
      <c r="K976" s="1520"/>
      <c r="L976" s="1520"/>
      <c r="M976" s="1520"/>
      <c r="N976" s="1520"/>
      <c r="O976" s="1520"/>
      <c r="P976" s="1520"/>
      <c r="Q976" s="1520"/>
      <c r="R976" s="1520"/>
      <c r="S976" s="1520"/>
      <c r="T976" s="1520"/>
      <c r="U976" s="1520"/>
      <c r="V976" s="1520"/>
      <c r="W976" s="1520"/>
      <c r="X976" s="1520"/>
      <c r="Y976" s="1520"/>
      <c r="Z976" s="1520"/>
      <c r="AA976" s="1520"/>
      <c r="AB976" s="1520"/>
      <c r="AC976" s="1522"/>
      <c r="AD976" s="1522"/>
      <c r="AE976" s="1522"/>
      <c r="AF976" s="1522"/>
      <c r="AG976" s="1522"/>
      <c r="AH976" s="1522"/>
      <c r="AI976" s="1522"/>
      <c r="AJ976" s="1522"/>
      <c r="AK976" s="1522"/>
      <c r="AL976" s="1522"/>
      <c r="AM976" s="1522"/>
      <c r="AN976" s="1522"/>
      <c r="AO976" s="1522"/>
      <c r="AP976" s="1522"/>
      <c r="AQ976" s="1522"/>
      <c r="AR976" s="1236"/>
      <c r="AS976" s="1524"/>
      <c r="AT976" s="1522"/>
      <c r="AU976" s="1523"/>
      <c r="AV976" s="1523"/>
      <c r="AW976" s="1523"/>
      <c r="AX976" s="1523"/>
      <c r="AY976" s="1523"/>
      <c r="AZ976" s="1523"/>
      <c r="BA976" s="1523"/>
      <c r="BB976" s="1522"/>
      <c r="BC976" s="1522"/>
      <c r="BD976" s="1522"/>
      <c r="BE976" s="1522"/>
    </row>
    <row r="977" spans="1:57" s="679" customFormat="1" x14ac:dyDescent="0.2">
      <c r="A977" s="838"/>
      <c r="B977" s="675" t="s">
        <v>92</v>
      </c>
      <c r="C977" s="675"/>
      <c r="D977" s="1304"/>
      <c r="E977" s="1304"/>
      <c r="F977" s="1304"/>
      <c r="G977" s="1304"/>
      <c r="H977" s="1304">
        <f>IFERROR(Model!H977/Model!D977-1,"NA")</f>
        <v>5.0251256281408363E-3</v>
      </c>
      <c r="I977" s="1304">
        <f>IFERROR(Model!I977/Model!E977-1,"NA")</f>
        <v>-1.015228426395931E-2</v>
      </c>
      <c r="J977" s="1304">
        <f>IFERROR(Model!J977/Model!F977-1,"NA")</f>
        <v>-6.4676616915422924E-2</v>
      </c>
      <c r="K977" s="1304">
        <f>IFERROR(Model!K977/Model!G977-1,"NA")</f>
        <v>-7.2115384615384581E-2</v>
      </c>
      <c r="L977" s="1304">
        <f>IFERROR(Model!L977/Model!H977-1,"NA")</f>
        <v>-5.9999999999999942E-2</v>
      </c>
      <c r="M977" s="1304">
        <f>IFERROR(Model!M977/Model!I977-1,"NA")</f>
        <v>5.12820512820511E-3</v>
      </c>
      <c r="N977" s="1304">
        <f>IFERROR(Model!N977/Model!J977-1,"NA")</f>
        <v>5.3191489361701372E-3</v>
      </c>
      <c r="O977" s="1304">
        <f>IFERROR(Model!O977/Model!K977-1,"NA")</f>
        <v>-3.6269430051813378E-2</v>
      </c>
      <c r="P977" s="1304">
        <f>IFERROR(Model!P977/Model!L977-1,"NA")</f>
        <v>-5.3191489361702149E-2</v>
      </c>
      <c r="Q977" s="1304">
        <f>IFERROR(Model!Q977/Model!M977-1,"NA")</f>
        <v>-7.6530612244897989E-2</v>
      </c>
      <c r="R977" s="1304">
        <f>IFERROR(Model!R977/Model!N977-1,"NA")</f>
        <v>-0.10052910052910047</v>
      </c>
      <c r="S977" s="1304">
        <f>IFERROR(Model!S977/Model!O977-1,"NA")</f>
        <v>-5.3763440860215006E-2</v>
      </c>
      <c r="T977" s="1304">
        <f>IFERROR(Model!T977/Model!P977-1,"NA")</f>
        <v>-1.1235955056179692E-2</v>
      </c>
      <c r="U977" s="1304">
        <f>IFERROR(Model!U977/Model!Q977-1,"NA")</f>
        <v>-2.7624309392265234E-2</v>
      </c>
      <c r="V977" s="1304">
        <f>IFERROR(Model!V977/Model!R977-1,"NA")</f>
        <v>4.1176470588235148E-2</v>
      </c>
      <c r="W977" s="1304">
        <f>IFERROR(Model!W977/Model!S977-1,"NA")</f>
        <v>-5.6818181818182323E-3</v>
      </c>
      <c r="X977" s="1304">
        <f>IFERROR(Model!X977/Model!T977-1,"NA")</f>
        <v>3.9772727272727293E-2</v>
      </c>
      <c r="Y977" s="1304">
        <f>IFERROR(Model!Y977/Model!U977-1,"NA")</f>
        <v>6.8181818181818121E-2</v>
      </c>
      <c r="Z977" s="1304">
        <f>IFERROR(Model!Z977/Model!V977-1,"NA")</f>
        <v>6.2146892655367214E-2</v>
      </c>
      <c r="AA977" s="1304">
        <f>IFERROR(Model!AA977/Model!W977-1,"NA")</f>
        <v>0.13142857142857145</v>
      </c>
      <c r="AB977" s="1304">
        <f>IFERROR(Model!AB977/Model!X977-1,"NA")</f>
        <v>4.9180327868852292E-2</v>
      </c>
      <c r="AC977" s="1304">
        <f>IFERROR(Model!AC977/Model!Y977-1,"NA")</f>
        <v>3.1489361702127683E-2</v>
      </c>
      <c r="AD977" s="1304">
        <f>IFERROR(Model!AD977/Model!Z977-1,"NA")</f>
        <v>4.1804255319148886E-2</v>
      </c>
      <c r="AE977" s="1304">
        <f>IFERROR(Model!AE977/Model!AA977-1,"NA")</f>
        <v>8.9716363636365148E-3</v>
      </c>
      <c r="AF977" s="1304">
        <f>IFERROR(Model!AF977/Model!AB977-1,"NA")</f>
        <v>5.0907020000000358E-2</v>
      </c>
      <c r="AG977" s="1304">
        <f>IFERROR(Model!AG977/Model!AC977-1,"NA")</f>
        <v>4.0502000000000482E-2</v>
      </c>
      <c r="AH977" s="1304">
        <f>IFERROR(Model!AH977/Model!AD977-1,"NA")</f>
        <v>5.0804000000000515E-2</v>
      </c>
      <c r="AI977" s="1304">
        <f>IFERROR(Model!AI977/Model!AE977-1,"NA")</f>
        <v>6.1106000000000327E-2</v>
      </c>
      <c r="AJ977" s="1304"/>
      <c r="AK977" s="1304"/>
      <c r="AL977" s="1304"/>
      <c r="AM977" s="1304"/>
      <c r="AN977" s="1304"/>
      <c r="AO977" s="1304"/>
      <c r="AP977" s="1304"/>
      <c r="AQ977" s="1304"/>
      <c r="AR977" s="1236"/>
      <c r="AS977" s="1522"/>
      <c r="AT977" s="1522"/>
      <c r="AU977" s="1263"/>
      <c r="AV977" s="1263">
        <f>IFERROR(Model!AV977/Model!AU977-1,"NA")</f>
        <v>-7.2115384615384581E-2</v>
      </c>
      <c r="AW977" s="1263">
        <f>IFERROR(Model!AW977/Model!AV977-1,"NA")</f>
        <v>-3.6269430051813378E-2</v>
      </c>
      <c r="AX977" s="1263">
        <f>IFERROR(Model!AX977/Model!AW977-1,"NA")</f>
        <v>-5.3763440860215006E-2</v>
      </c>
      <c r="AY977" s="1263">
        <f>IFERROR(Model!AY977/Model!AX977-1,"NA")</f>
        <v>-5.6818181818182323E-3</v>
      </c>
      <c r="AZ977" s="1263">
        <f>IFERROR(Model!AZ977/Model!AY977-1,"NA")</f>
        <v>0.13142857142857145</v>
      </c>
      <c r="BA977" s="1263">
        <f>IFERROR(Model!BA977/Model!AZ977-1,"NA")</f>
        <v>8.9716363636365148E-3</v>
      </c>
      <c r="BB977" s="1304">
        <f>IFERROR(Model!BB977/Model!BA977-1,"NA")</f>
        <v>6.1106000000000327E-2</v>
      </c>
      <c r="BC977" s="1304">
        <f>IFERROR(Model!BC977/Model!BB977-1,"NA")</f>
        <v>5.0000000000000266E-2</v>
      </c>
      <c r="BD977" s="1304">
        <f>IFERROR(Model!BD977/Model!BC977-1,"NA")</f>
        <v>5.0000000000000044E-2</v>
      </c>
      <c r="BE977" s="1304">
        <f>IFERROR(Model!BE977/Model!BD977-1,"NA")</f>
        <v>5.0000000000000044E-2</v>
      </c>
    </row>
    <row r="978" spans="1:57" s="679" customFormat="1" x14ac:dyDescent="0.2">
      <c r="A978" s="838"/>
      <c r="B978" s="675" t="s">
        <v>74</v>
      </c>
      <c r="C978" s="675"/>
      <c r="D978" s="1304"/>
      <c r="E978" s="1304"/>
      <c r="F978" s="1304"/>
      <c r="G978" s="1304"/>
      <c r="H978" s="1304">
        <f>IFERROR(Model!H978/Model!D978-1,"NA")</f>
        <v>1.8978102189781021E-2</v>
      </c>
      <c r="I978" s="1304">
        <f>IFERROR(Model!I978/Model!E978-1,"NA")</f>
        <v>2.5222551928783199E-2</v>
      </c>
      <c r="J978" s="1304">
        <f>IFERROR(Model!J978/Model!F978-1,"NA")</f>
        <v>2.1645021645021911E-2</v>
      </c>
      <c r="K978" s="1304">
        <f>IFERROR(Model!K978/Model!G978-1,"NA")</f>
        <v>3.433476394849766E-2</v>
      </c>
      <c r="L978" s="1304">
        <f>IFERROR(Model!L978/Model!H978-1,"NA")</f>
        <v>6.4469914040114595E-2</v>
      </c>
      <c r="M978" s="1304">
        <f>IFERROR(Model!M978/Model!I978-1,"NA")</f>
        <v>0.1085383502170767</v>
      </c>
      <c r="N978" s="1304">
        <f>IFERROR(Model!N978/Model!J978-1,"NA")</f>
        <v>6.3559322033898136E-2</v>
      </c>
      <c r="O978" s="1304">
        <f>IFERROR(Model!O978/Model!K978-1,"NA")</f>
        <v>1.3831258644536604E-2</v>
      </c>
      <c r="P978" s="1304">
        <f>IFERROR(Model!P978/Model!L978-1,"NA")</f>
        <v>-3.3647375504710642E-2</v>
      </c>
      <c r="Q978" s="1304">
        <f>IFERROR(Model!Q978/Model!M978-1,"NA")</f>
        <v>-5.4830287206266148E-2</v>
      </c>
      <c r="R978" s="1304">
        <f>IFERROR(Model!R978/Model!N978-1,"NA")</f>
        <v>-8.8977423638778252E-2</v>
      </c>
      <c r="S978" s="1304">
        <f>IFERROR(Model!S978/Model!O978-1,"NA")</f>
        <v>-6.6848567530695679E-2</v>
      </c>
      <c r="T978" s="1304">
        <f>IFERROR(Model!T978/Model!P978-1,"NA")</f>
        <v>-4.3175487465180962E-2</v>
      </c>
      <c r="U978" s="1304">
        <f>IFERROR(Model!U978/Model!Q978-1,"NA")</f>
        <v>-6.7679558011049745E-2</v>
      </c>
      <c r="V978" s="1304">
        <f>IFERROR(Model!V978/Model!R978-1,"NA")</f>
        <v>-7.2886297376093534E-3</v>
      </c>
      <c r="W978" s="1304">
        <f>IFERROR(Model!W978/Model!S978-1,"NA")</f>
        <v>-7.8947368421052655E-2</v>
      </c>
      <c r="X978" s="1304">
        <f>IFERROR(Model!X978/Model!T978-1,"NA")</f>
        <v>-3.6390101892285309E-2</v>
      </c>
      <c r="Y978" s="1304">
        <f>IFERROR(Model!Y978/Model!U978-1,"NA")</f>
        <v>-1.0370370370370252E-2</v>
      </c>
      <c r="Z978" s="1304">
        <f>IFERROR(Model!Z978/Model!V978-1,"NA")</f>
        <v>-8.8105726872246271E-3</v>
      </c>
      <c r="AA978" s="1304">
        <f>IFERROR(Model!AA978/Model!W978-1,"NA")</f>
        <v>0.11111111111111116</v>
      </c>
      <c r="AB978" s="1304">
        <f>IFERROR(Model!AB978/Model!X978-1,"NA")</f>
        <v>6.9486404833836835E-2</v>
      </c>
      <c r="AC978" s="1304">
        <f>IFERROR(Model!AC978/Model!Y978-1,"NA")</f>
        <v>7.0479041916167162E-2</v>
      </c>
      <c r="AD978" s="1304">
        <f>IFERROR(Model!AD978/Model!Z978-1,"NA")</f>
        <v>7.5268444444444249E-2</v>
      </c>
      <c r="AE978" s="1304">
        <f>IFERROR(Model!AE978/Model!AA978-1,"NA")</f>
        <v>5.7603319999999458E-2</v>
      </c>
      <c r="AF978" s="1304">
        <f>IFERROR(Model!AF978/Model!AB978-1,"NA")</f>
        <v>5.0881264999999454E-2</v>
      </c>
      <c r="AG978" s="1304">
        <f>IFERROR(Model!AG978/Model!AC978-1,"NA")</f>
        <v>4.5678882499999629E-2</v>
      </c>
      <c r="AH978" s="1304">
        <f>IFERROR(Model!AH978/Model!AD978-1,"NA")</f>
        <v>3.7952191249999823E-2</v>
      </c>
      <c r="AI978" s="1304">
        <f>IFERROR(Model!AI978/Model!AE978-1,"NA")</f>
        <v>2.6758589187499737E-2</v>
      </c>
      <c r="AJ978" s="1304"/>
      <c r="AK978" s="1304"/>
      <c r="AL978" s="1304"/>
      <c r="AM978" s="1304"/>
      <c r="AN978" s="1304"/>
      <c r="AO978" s="1304"/>
      <c r="AP978" s="1304"/>
      <c r="AQ978" s="1304"/>
      <c r="AR978" s="1236"/>
      <c r="AS978" s="1522"/>
      <c r="AT978" s="1522"/>
      <c r="AU978" s="1263"/>
      <c r="AV978" s="1263">
        <f>IFERROR(Model!AV978/Model!AU978-1,"NA")</f>
        <v>3.433476394849766E-2</v>
      </c>
      <c r="AW978" s="1263">
        <f>IFERROR(Model!AW978/Model!AV978-1,"NA")</f>
        <v>1.3831258644536604E-2</v>
      </c>
      <c r="AX978" s="1263">
        <f>IFERROR(Model!AX978/Model!AW978-1,"NA")</f>
        <v>-6.6848567530695679E-2</v>
      </c>
      <c r="AY978" s="1263">
        <f>IFERROR(Model!AY978/Model!AX978-1,"NA")</f>
        <v>-7.8947368421052655E-2</v>
      </c>
      <c r="AZ978" s="1263">
        <f>IFERROR(Model!AZ978/Model!AY978-1,"NA")</f>
        <v>0.11111111111111116</v>
      </c>
      <c r="BA978" s="1263">
        <f>IFERROR(Model!BA978/Model!AZ978-1,"NA")</f>
        <v>5.7603319999999458E-2</v>
      </c>
      <c r="BB978" s="1304">
        <f>IFERROR(Model!BB978/Model!BA978-1,"NA")</f>
        <v>2.6758589187499737E-2</v>
      </c>
      <c r="BC978" s="1304">
        <f>IFERROR(Model!BC978/Model!BB978-1,"NA")</f>
        <v>3.9999999999999813E-2</v>
      </c>
      <c r="BD978" s="1304">
        <f>IFERROR(Model!BD978/Model!BC978-1,"NA")</f>
        <v>5.0000000000000044E-2</v>
      </c>
      <c r="BE978" s="1304">
        <f>IFERROR(Model!BE978/Model!BD978-1,"NA")</f>
        <v>5.0000000000000044E-2</v>
      </c>
    </row>
    <row r="979" spans="1:57" s="674" customFormat="1" x14ac:dyDescent="0.2">
      <c r="A979" s="837"/>
      <c r="B979" s="329"/>
      <c r="C979" s="329" t="s">
        <v>312</v>
      </c>
      <c r="D979" s="1332"/>
      <c r="E979" s="1332"/>
      <c r="F979" s="1332"/>
      <c r="G979" s="1332"/>
      <c r="H979" s="1332">
        <f>IFERROR(Model!H979/Model!D979-1,"NA")</f>
        <v>1.5837104072398134E-2</v>
      </c>
      <c r="I979" s="1332">
        <f>IFERROR(Model!I979/Model!E979-1,"NA")</f>
        <v>1.7221584385763267E-2</v>
      </c>
      <c r="J979" s="1332">
        <f>IFERROR(Model!J979/Model!F979-1,"NA")</f>
        <v>2.2371364653244186E-3</v>
      </c>
      <c r="K979" s="1332">
        <f>IFERROR(Model!K979/Model!G979-1,"NA")</f>
        <v>9.9228224917309316E-3</v>
      </c>
      <c r="L979" s="1332">
        <f>IFERROR(Model!L979/Model!H979-1,"NA")</f>
        <v>3.674832962138086E-2</v>
      </c>
      <c r="M979" s="1332">
        <f>IFERROR(Model!M979/Model!I979-1,"NA")</f>
        <v>8.5778781038374552E-2</v>
      </c>
      <c r="N979" s="1332">
        <f>IFERROR(Model!N979/Model!J979-1,"NA")</f>
        <v>5.1339285714285587E-2</v>
      </c>
      <c r="O979" s="1332">
        <f>IFERROR(Model!O979/Model!K979-1,"NA")</f>
        <v>3.2751091703058233E-3</v>
      </c>
      <c r="P979" s="1332">
        <f>IFERROR(Model!P979/Model!L979-1,"NA")</f>
        <v>-3.7593984962406068E-2</v>
      </c>
      <c r="Q979" s="1332">
        <f>IFERROR(Model!Q979/Model!M979-1,"NA")</f>
        <v>-5.9251559251559116E-2</v>
      </c>
      <c r="R979" s="1332">
        <f>IFERROR(Model!R979/Model!N979-1,"NA")</f>
        <v>-9.1295116772823759E-2</v>
      </c>
      <c r="S979" s="1332">
        <f>IFERROR(Model!S979/Model!O979-1,"NA")</f>
        <v>-6.4200217627856437E-2</v>
      </c>
      <c r="T979" s="1332">
        <f>IFERROR(Model!T979/Model!P979-1,"NA")</f>
        <v>-3.6830357142856984E-2</v>
      </c>
      <c r="U979" s="1332">
        <f>IFERROR(Model!U979/Model!Q979-1,"NA")</f>
        <v>-5.9668508287292865E-2</v>
      </c>
      <c r="V979" s="1332">
        <f>IFERROR(Model!V979/Model!R979-1,"NA")</f>
        <v>2.3364485981309802E-3</v>
      </c>
      <c r="W979" s="1332">
        <f>IFERROR(Model!W979/Model!S979-1,"NA")</f>
        <v>-6.3953488372093026E-2</v>
      </c>
      <c r="X979" s="1332">
        <f>IFERROR(Model!X979/Model!T979-1,"NA")</f>
        <v>-2.0857473928157733E-2</v>
      </c>
      <c r="Y979" s="1332">
        <f>IFERROR(Model!Y979/Model!U979-1,"NA")</f>
        <v>5.8754406580494578E-3</v>
      </c>
      <c r="Z979" s="1332">
        <f>IFERROR(Model!Z979/Model!V979-1,"NA")</f>
        <v>5.8275058275059077E-3</v>
      </c>
      <c r="AA979" s="1332">
        <f>IFERROR(Model!AA979/Model!W979-1,"NA")</f>
        <v>0.11552795031055907</v>
      </c>
      <c r="AB979" s="1332">
        <f>IFERROR(Model!AB979/Model!X979-1,"NA")</f>
        <v>6.5088757396449815E-2</v>
      </c>
      <c r="AC979" s="1332">
        <f>IFERROR(Model!AC979/Model!Y979-1,"NA")</f>
        <v>6.1915887850466866E-2</v>
      </c>
      <c r="AD979" s="1332">
        <f>IFERROR(Model!AD979/Model!Z979-1,"NA")</f>
        <v>6.797844727694069E-2</v>
      </c>
      <c r="AE979" s="1332">
        <f>IFERROR(Model!AE979/Model!AA979-1,"NA")</f>
        <v>4.6880521158128907E-2</v>
      </c>
      <c r="AF979" s="1332">
        <f>IFERROR(Model!AF979/Model!AB979-1,"NA")</f>
        <v>5.0886759399999537E-2</v>
      </c>
      <c r="AG979" s="1332">
        <f>IFERROR(Model!AG979/Model!AC979-1,"NA")</f>
        <v>4.4574480899999935E-2</v>
      </c>
      <c r="AH979" s="1332">
        <f>IFERROR(Model!AH979/Model!AD979-1,"NA")</f>
        <v>4.068327454804721E-2</v>
      </c>
      <c r="AI979" s="1332">
        <f>IFERROR(Model!AI979/Model!AE979-1,"NA")</f>
        <v>3.4057611591734371E-2</v>
      </c>
      <c r="AJ979" s="1259"/>
      <c r="AK979" s="1259"/>
      <c r="AL979" s="1259"/>
      <c r="AM979" s="1259"/>
      <c r="AN979" s="1259"/>
      <c r="AO979" s="1259"/>
      <c r="AP979" s="1259"/>
      <c r="AQ979" s="1259"/>
      <c r="AR979" s="1236"/>
      <c r="AS979" s="1519"/>
      <c r="AT979" s="1519"/>
      <c r="AU979" s="1332"/>
      <c r="AV979" s="1332">
        <f>IFERROR(Model!AV979/Model!AU979-1,"NA")</f>
        <v>9.9228224917309316E-3</v>
      </c>
      <c r="AW979" s="1332">
        <f>IFERROR(Model!AW979/Model!AV979-1,"NA")</f>
        <v>3.2751091703058233E-3</v>
      </c>
      <c r="AX979" s="1332">
        <f>IFERROR(Model!AX979/Model!AW979-1,"NA")</f>
        <v>-6.4200217627856437E-2</v>
      </c>
      <c r="AY979" s="1332">
        <f>IFERROR(Model!AY979/Model!AX979-1,"NA")</f>
        <v>-6.3953488372093026E-2</v>
      </c>
      <c r="AZ979" s="1332">
        <f>IFERROR(Model!AZ979/Model!AY979-1,"NA")</f>
        <v>0.11552795031055907</v>
      </c>
      <c r="BA979" s="1332">
        <f>IFERROR(Model!BA979/Model!AZ979-1,"NA")</f>
        <v>4.6880521158128907E-2</v>
      </c>
      <c r="BB979" s="1332">
        <f>IFERROR(Model!BB979/Model!BA979-1,"NA")</f>
        <v>3.4057611591734371E-2</v>
      </c>
      <c r="BC979" s="1332">
        <f>IFERROR(Model!BC979/Model!BB979-1,"NA")</f>
        <v>4.2180643778432447E-2</v>
      </c>
      <c r="BD979" s="1332">
        <f>IFERROR(Model!BD979/Model!BC979-1,"NA")</f>
        <v>5.0000000000000044E-2</v>
      </c>
      <c r="BE979" s="1332">
        <f>IFERROR(Model!BE979/Model!BD979-1,"NA")</f>
        <v>5.0000000000000266E-2</v>
      </c>
    </row>
    <row r="980" spans="1:57" s="674" customFormat="1" x14ac:dyDescent="0.2">
      <c r="A980" s="837"/>
      <c r="B980" s="329"/>
      <c r="C980" s="329"/>
      <c r="D980" s="1519"/>
      <c r="E980" s="1519"/>
      <c r="F980" s="1519"/>
      <c r="G980" s="1519"/>
      <c r="H980" s="1519"/>
      <c r="I980" s="1519"/>
      <c r="J980" s="1519"/>
      <c r="K980" s="1519"/>
      <c r="L980" s="1519"/>
      <c r="M980" s="1519"/>
      <c r="N980" s="1519"/>
      <c r="O980" s="1519"/>
      <c r="P980" s="1519"/>
      <c r="Q980" s="1519"/>
      <c r="R980" s="1519"/>
      <c r="S980" s="1519"/>
      <c r="T980" s="1519"/>
      <c r="U980" s="1519"/>
      <c r="V980" s="1519"/>
      <c r="W980" s="1519"/>
      <c r="X980" s="1519"/>
      <c r="Y980" s="1519"/>
      <c r="Z980" s="1519"/>
      <c r="AA980" s="1519"/>
      <c r="AB980" s="1519"/>
      <c r="AC980" s="1519"/>
      <c r="AD980" s="1519"/>
      <c r="AE980" s="1519"/>
      <c r="AF980" s="1519"/>
      <c r="AG980" s="1519"/>
      <c r="AH980" s="1519"/>
      <c r="AI980" s="1522"/>
      <c r="AJ980" s="1522"/>
      <c r="AK980" s="1522"/>
      <c r="AL980" s="1522"/>
      <c r="AM980" s="1522"/>
      <c r="AN980" s="1522"/>
      <c r="AO980" s="1522"/>
      <c r="AP980" s="1522"/>
      <c r="AQ980" s="1522"/>
      <c r="AR980" s="1236"/>
      <c r="AS980" s="1519"/>
      <c r="AT980" s="1519"/>
      <c r="AU980" s="1336"/>
      <c r="AV980" s="1336"/>
      <c r="AW980" s="1336"/>
      <c r="AX980" s="1336"/>
      <c r="AY980" s="1336"/>
      <c r="AZ980" s="1336"/>
      <c r="BA980" s="1336"/>
      <c r="BB980" s="1522"/>
      <c r="BC980" s="1522"/>
      <c r="BD980" s="1522"/>
      <c r="BE980" s="1522"/>
    </row>
    <row r="981" spans="1:57" s="679" customFormat="1" x14ac:dyDescent="0.2">
      <c r="A981" s="838"/>
      <c r="B981" s="683" t="s">
        <v>137</v>
      </c>
      <c r="C981" s="684"/>
      <c r="D981" s="1525"/>
      <c r="E981" s="1526"/>
      <c r="F981" s="1526"/>
      <c r="G981" s="1526"/>
      <c r="H981" s="1526"/>
      <c r="I981" s="1526"/>
      <c r="J981" s="1526"/>
      <c r="K981" s="1526"/>
      <c r="L981" s="1526"/>
      <c r="M981" s="1526"/>
      <c r="N981" s="1526"/>
      <c r="O981" s="1526"/>
      <c r="P981" s="1526"/>
      <c r="Q981" s="1526"/>
      <c r="R981" s="1526"/>
      <c r="S981" s="1526"/>
      <c r="T981" s="1526"/>
      <c r="U981" s="1526"/>
      <c r="V981" s="1526"/>
      <c r="W981" s="1526"/>
      <c r="X981" s="1526"/>
      <c r="Y981" s="1526"/>
      <c r="Z981" s="1526"/>
      <c r="AA981" s="1526"/>
      <c r="AB981" s="1526"/>
      <c r="AC981" s="1526"/>
      <c r="AD981" s="1526"/>
      <c r="AE981" s="1526"/>
      <c r="AF981" s="1526"/>
      <c r="AG981" s="1526"/>
      <c r="AH981" s="1526"/>
      <c r="AI981" s="1526"/>
      <c r="AJ981" s="1520"/>
      <c r="AK981" s="1520"/>
      <c r="AL981" s="1520"/>
      <c r="AM981" s="1520"/>
      <c r="AN981" s="1520"/>
      <c r="AO981" s="1520"/>
      <c r="AP981" s="1520"/>
      <c r="AQ981" s="1520"/>
      <c r="AR981" s="1236"/>
      <c r="AS981" s="1527"/>
      <c r="AT981" s="1528"/>
      <c r="AU981" s="1523"/>
      <c r="AV981" s="1523"/>
      <c r="AW981" s="1523"/>
      <c r="AX981" s="1523"/>
      <c r="AY981" s="1523"/>
      <c r="AZ981" s="1523"/>
      <c r="BA981" s="1523"/>
      <c r="BB981" s="1526"/>
      <c r="BC981" s="1526"/>
      <c r="BD981" s="1526"/>
      <c r="BE981" s="1526"/>
    </row>
    <row r="982" spans="1:57" s="679" customFormat="1" x14ac:dyDescent="0.2">
      <c r="A982" s="838"/>
      <c r="B982" s="687" t="s">
        <v>92</v>
      </c>
      <c r="C982" s="675"/>
      <c r="D982" s="1520"/>
      <c r="E982" s="1520"/>
      <c r="F982" s="1520"/>
      <c r="G982" s="1520"/>
      <c r="H982" s="1520">
        <f>IFERROR(Model!H982/Model!D982-1,"NA")</f>
        <v>-2.6607538802660868E-2</v>
      </c>
      <c r="I982" s="1520">
        <f>IFERROR(Model!I982/Model!E982-1,"NA")</f>
        <v>-2.2979985174203077E-2</v>
      </c>
      <c r="J982" s="1520">
        <f>IFERROR(Model!J982/Model!F982-1,"NA")</f>
        <v>1.8491124260354708E-2</v>
      </c>
      <c r="K982" s="1520">
        <f>IFERROR(Model!K982/Model!G982-1,"NA")</f>
        <v>3.3117350611951091E-2</v>
      </c>
      <c r="L982" s="1520">
        <f>IFERROR(Model!L982/Model!H982-1,"NA")</f>
        <v>2.5816249050873319E-2</v>
      </c>
      <c r="M982" s="1520">
        <f>IFERROR(Model!M982/Model!I982-1,"NA")</f>
        <v>4.2488619119878557E-2</v>
      </c>
      <c r="N982" s="1520">
        <f>IFERROR(Model!N982/Model!J982-1,"NA")</f>
        <v>-1.4524328249818419E-2</v>
      </c>
      <c r="O982" s="1520">
        <f>IFERROR(Model!O982/Model!K982-1,"NA")</f>
        <v>-2.9268292682926744E-2</v>
      </c>
      <c r="P982" s="1520">
        <f>IFERROR(Model!P982/Model!L982-1,"NA")</f>
        <v>-3.9230199851961411E-2</v>
      </c>
      <c r="Q982" s="1520">
        <f>IFERROR(Model!Q982/Model!M982-1,"NA")</f>
        <v>-4.148471615720517E-2</v>
      </c>
      <c r="R982" s="1520">
        <f>IFERROR(Model!R982/Model!N982-1,"NA")</f>
        <v>-3.9793662490788306E-2</v>
      </c>
      <c r="S982" s="1520">
        <f>IFERROR(Model!S982/Model!O982-1,"NA")</f>
        <v>-2.1536252692031632E-2</v>
      </c>
      <c r="T982" s="1520">
        <f>IFERROR(Model!T982/Model!P982-1,"NA")</f>
        <v>3.8520801232666546E-3</v>
      </c>
      <c r="U982" s="1520">
        <f>IFERROR(Model!U982/Model!Q982-1,"NA")</f>
        <v>8.8838268792710506E-2</v>
      </c>
      <c r="V982" s="1520">
        <f>IFERROR(Model!V982/Model!R982-1,"NA")</f>
        <v>0.13430544896392926</v>
      </c>
      <c r="W982" s="1520">
        <f>IFERROR(Model!W982/Model!S982-1,"NA")</f>
        <v>0.1415994130594278</v>
      </c>
      <c r="X982" s="1520">
        <f>IFERROR(Model!X982/Model!T982-1,"NA")</f>
        <v>0.15042210283960089</v>
      </c>
      <c r="Y982" s="1520">
        <f>IFERROR(Model!Y982/Model!U982-1,"NA")</f>
        <v>8.1589958158995834E-2</v>
      </c>
      <c r="Z982" s="1520">
        <f>IFERROR(Model!Z982/Model!V982-1,"NA")</f>
        <v>5.953991880920162E-2</v>
      </c>
      <c r="AA982" s="1520">
        <f>IFERROR(Model!AA982/Model!W982-1,"NA")</f>
        <v>5.9768637532133573E-2</v>
      </c>
      <c r="AB982" s="1520">
        <f>IFERROR(Model!AB982/Model!X982-1,"NA")</f>
        <v>4.469646430953933E-2</v>
      </c>
      <c r="AC982" s="1520">
        <f>IFERROR(Model!AC982/Model!Y982-1,"NA")</f>
        <v>1.1656995486782673E-2</v>
      </c>
      <c r="AD982" s="1520">
        <f>IFERROR(Model!AD982/Model!Z982-1,"NA")</f>
        <v>1.3997573435504451E-2</v>
      </c>
      <c r="AE982" s="1520">
        <f>IFERROR(Model!AE982/Model!AA982-1,"NA")</f>
        <v>-1.7260490297149822E-2</v>
      </c>
      <c r="AF982" s="1520">
        <f>IFERROR(Model!AF982/Model!AB982-1,"NA")</f>
        <v>2.8178860689655361E-2</v>
      </c>
      <c r="AG982" s="1520">
        <f>IFERROR(Model!AG982/Model!AC982-1,"NA")</f>
        <v>2.8721899306153764E-2</v>
      </c>
      <c r="AH982" s="1520">
        <f>IFERROR(Model!AH982/Model!AD982-1,"NA")</f>
        <v>3.5151700821583809E-2</v>
      </c>
      <c r="AI982" s="1520">
        <f>IFERROR(Model!AI982/Model!AE982-1,"NA")</f>
        <v>4.3431437650790716E-2</v>
      </c>
      <c r="AJ982" s="1520"/>
      <c r="AK982" s="1520"/>
      <c r="AL982" s="1520"/>
      <c r="AM982" s="1520"/>
      <c r="AN982" s="1520"/>
      <c r="AO982" s="1520"/>
      <c r="AP982" s="1520"/>
      <c r="AQ982" s="1520"/>
      <c r="AR982" s="1236"/>
      <c r="AS982" s="1529"/>
      <c r="AT982" s="1522"/>
      <c r="AU982" s="1263"/>
      <c r="AV982" s="1263">
        <f>IFERROR(Model!AV982/Model!AU982-1,"NA")</f>
        <v>3.3117350611951091E-2</v>
      </c>
      <c r="AW982" s="1263">
        <f>IFERROR(Model!AW982/Model!AV982-1,"NA")</f>
        <v>-2.9268292682926744E-2</v>
      </c>
      <c r="AX982" s="1263">
        <f>IFERROR(Model!AX982/Model!AW982-1,"NA")</f>
        <v>-2.1536252692031632E-2</v>
      </c>
      <c r="AY982" s="1263">
        <f>IFERROR(Model!AY982/Model!AX982-1,"NA")</f>
        <v>0.1415994130594278</v>
      </c>
      <c r="AZ982" s="1263">
        <f>IFERROR(Model!AZ982/Model!AY982-1,"NA")</f>
        <v>5.9768637532133573E-2</v>
      </c>
      <c r="BA982" s="1263">
        <f>IFERROR(Model!BA982/Model!AZ982-1,"NA")</f>
        <v>-1.7260490297149822E-2</v>
      </c>
      <c r="BB982" s="1520">
        <f>IFERROR(Model!BB982/Model!BA982-1,"NA")</f>
        <v>4.3431437650790716E-2</v>
      </c>
      <c r="BC982" s="1520">
        <f>IFERROR(Model!BC982/Model!BB982-1,"NA")</f>
        <v>4.1621683320065772E-2</v>
      </c>
      <c r="BD982" s="1520">
        <f>IFERROR(Model!BD982/Model!BC982-1,"NA")</f>
        <v>4.1634727380714498E-2</v>
      </c>
      <c r="BE982" s="1520">
        <f>IFERROR(Model!BE982/Model!BD982-1,"NA")</f>
        <v>4.1647855725841731E-2</v>
      </c>
    </row>
    <row r="983" spans="1:57" s="679" customFormat="1" x14ac:dyDescent="0.2">
      <c r="A983" s="838"/>
      <c r="B983" s="687" t="s">
        <v>74</v>
      </c>
      <c r="C983" s="675"/>
      <c r="D983" s="1258"/>
      <c r="E983" s="1258"/>
      <c r="F983" s="1258"/>
      <c r="G983" s="1258"/>
      <c r="H983" s="1258">
        <f>IFERROR(Model!H983/Model!D983-1,"NA")</f>
        <v>5.8184639255236315E-2</v>
      </c>
      <c r="I983" s="1258">
        <f>IFERROR(Model!I983/Model!E983-1,"NA")</f>
        <v>4.5347928068803611E-2</v>
      </c>
      <c r="J983" s="1258">
        <f>IFERROR(Model!J983/Model!F983-1,"NA")</f>
        <v>3.4142640364188237E-2</v>
      </c>
      <c r="K983" s="1258">
        <f>IFERROR(Model!K983/Model!G983-1,"NA")</f>
        <v>4.3186895011168902E-2</v>
      </c>
      <c r="L983" s="1258">
        <f>IFERROR(Model!L983/Model!H983-1,"NA")</f>
        <v>4.5454545454545636E-2</v>
      </c>
      <c r="M983" s="1258">
        <f>IFERROR(Model!M983/Model!I983-1,"NA")</f>
        <v>9.5736724008975482E-2</v>
      </c>
      <c r="N983" s="1258">
        <f>IFERROR(Model!N983/Model!J983-1,"NA")</f>
        <v>7.0432868672047011E-2</v>
      </c>
      <c r="O983" s="1258">
        <f>IFERROR(Model!O983/Model!K983-1,"NA")</f>
        <v>9.2790863668805734E-3</v>
      </c>
      <c r="P983" s="1258">
        <f>IFERROR(Model!P983/Model!L983-1,"NA")</f>
        <v>-1.3323983169705511E-2</v>
      </c>
      <c r="Q983" s="1258">
        <f>IFERROR(Model!Q983/Model!M983-1,"NA")</f>
        <v>-2.7986348122866822E-2</v>
      </c>
      <c r="R983" s="1258">
        <f>IFERROR(Model!R983/Model!N983-1,"NA")</f>
        <v>-4.6607265250171448E-2</v>
      </c>
      <c r="S983" s="1258">
        <f>IFERROR(Model!S983/Model!O983-1,"NA")</f>
        <v>-7.7793493635075484E-3</v>
      </c>
      <c r="T983" s="1258">
        <f>IFERROR(Model!T983/Model!P983-1,"NA")</f>
        <v>9.2395167022032432E-3</v>
      </c>
      <c r="U983" s="1258">
        <f>IFERROR(Model!U983/Model!Q983-1,"NA")</f>
        <v>-7.0224719101124045E-3</v>
      </c>
      <c r="V983" s="1258">
        <f>IFERROR(Model!V983/Model!R983-1,"NA")</f>
        <v>1.7972681524083489E-2</v>
      </c>
      <c r="W983" s="1258">
        <f>IFERROR(Model!W983/Model!S983-1,"NA")</f>
        <v>-2.8510334996436182E-2</v>
      </c>
      <c r="X983" s="1258">
        <f>IFERROR(Model!X983/Model!T983-1,"NA")</f>
        <v>-4.2253521126760507E-3</v>
      </c>
      <c r="Y983" s="1258">
        <f>IFERROR(Model!Y983/Model!U983-1,"NA")</f>
        <v>1.4144271570014189E-2</v>
      </c>
      <c r="Z983" s="1258">
        <f>IFERROR(Model!Z983/Model!V983-1,"NA")</f>
        <v>1.836158192090398E-2</v>
      </c>
      <c r="AA983" s="1258">
        <f>IFERROR(Model!AA983/Model!W983-1,"NA")</f>
        <v>7.0432868672047011E-2</v>
      </c>
      <c r="AB983" s="1258">
        <f>IFERROR(Model!AB983/Model!X983-1,"NA")</f>
        <v>4.2432814710042344E-2</v>
      </c>
      <c r="AC983" s="1258">
        <f>IFERROR(Model!AC983/Model!Y983-1,"NA")</f>
        <v>3.8172942817294109E-2</v>
      </c>
      <c r="AD983" s="1258">
        <f>IFERROR(Model!AD983/Model!Z983-1,"NA")</f>
        <v>4.5959361997226056E-2</v>
      </c>
      <c r="AE983" s="1258">
        <f>IFERROR(Model!AE983/Model!AA983-1,"NA")</f>
        <v>5.4447476353666646E-2</v>
      </c>
      <c r="AF983" s="1258">
        <f>IFERROR(Model!AF983/Model!AB983-1,"NA")</f>
        <v>4.8635058575304813E-2</v>
      </c>
      <c r="AG983" s="1258">
        <f>IFERROR(Model!AG983/Model!AC983-1,"NA")</f>
        <v>5.0046927143826192E-2</v>
      </c>
      <c r="AH983" s="1258">
        <f>IFERROR(Model!AH983/Model!AD983-1,"NA")</f>
        <v>4.6307819352776169E-2</v>
      </c>
      <c r="AI983" s="1258">
        <f>IFERROR(Model!AI983/Model!AE983-1,"NA")</f>
        <v>4.0921272207347981E-2</v>
      </c>
      <c r="AJ983" s="1258"/>
      <c r="AK983" s="1258"/>
      <c r="AL983" s="1258"/>
      <c r="AM983" s="1258"/>
      <c r="AN983" s="1258"/>
      <c r="AO983" s="1258"/>
      <c r="AP983" s="1258"/>
      <c r="AQ983" s="1258"/>
      <c r="AR983" s="1236"/>
      <c r="AS983" s="1529"/>
      <c r="AT983" s="1522"/>
      <c r="AU983" s="1263"/>
      <c r="AV983" s="1263">
        <f>IFERROR(Model!AV983/Model!AU983-1,"NA")</f>
        <v>4.3186895011168902E-2</v>
      </c>
      <c r="AW983" s="1263">
        <f>IFERROR(Model!AW983/Model!AV983-1,"NA")</f>
        <v>9.2790863668805734E-3</v>
      </c>
      <c r="AX983" s="1263">
        <f>IFERROR(Model!AX983/Model!AW983-1,"NA")</f>
        <v>-7.7793493635075484E-3</v>
      </c>
      <c r="AY983" s="1263">
        <f>IFERROR(Model!AY983/Model!AX983-1,"NA")</f>
        <v>-2.8510334996436182E-2</v>
      </c>
      <c r="AZ983" s="1263">
        <f>IFERROR(Model!AZ983/Model!AY983-1,"NA")</f>
        <v>7.0432868672047011E-2</v>
      </c>
      <c r="BA983" s="1263">
        <f>IFERROR(Model!BA983/Model!AZ983-1,"NA")</f>
        <v>5.4447476353666646E-2</v>
      </c>
      <c r="BB983" s="1258">
        <f>IFERROR(Model!BB983/Model!BA983-1,"NA")</f>
        <v>4.0921272207347981E-2</v>
      </c>
      <c r="BC983" s="1258">
        <f>IFERROR(Model!BC983/Model!BB983-1,"NA")</f>
        <v>4.764060315266172E-2</v>
      </c>
      <c r="BD983" s="1258">
        <f>IFERROR(Model!BD983/Model!BC983-1,"NA")</f>
        <v>4.8577444821268578E-2</v>
      </c>
      <c r="BE983" s="1258">
        <f>IFERROR(Model!BE983/Model!BD983-1,"NA")</f>
        <v>4.8589081432957038E-2</v>
      </c>
    </row>
    <row r="984" spans="1:57" s="674" customFormat="1" x14ac:dyDescent="0.2">
      <c r="A984" s="837"/>
      <c r="B984" s="689"/>
      <c r="C984" s="690" t="s">
        <v>122</v>
      </c>
      <c r="D984" s="1333"/>
      <c r="E984" s="1333"/>
      <c r="F984" s="1333"/>
      <c r="G984" s="1333"/>
      <c r="H984" s="1333">
        <f>IFERROR(Model!H984/Model!D984-1,"NA")</f>
        <v>1.47615442846325E-2</v>
      </c>
      <c r="I984" s="1333">
        <f>IFERROR(Model!I984/Model!E984-1,"NA")</f>
        <v>1.0273972602739656E-2</v>
      </c>
      <c r="J984" s="1333">
        <f>IFERROR(Model!J984/Model!F984-1,"NA")</f>
        <v>2.621722846441954E-2</v>
      </c>
      <c r="K984" s="1333">
        <f>IFERROR(Model!K984/Model!G984-1,"NA")</f>
        <v>3.8067349926793392E-2</v>
      </c>
      <c r="L984" s="1333">
        <f>IFERROR(Model!L984/Model!H984-1,"NA")</f>
        <v>3.5807534502051652E-2</v>
      </c>
      <c r="M984" s="1333">
        <f>IFERROR(Model!M984/Model!I984-1,"NA")</f>
        <v>6.9303201506591305E-2</v>
      </c>
      <c r="N984" s="1333">
        <f>IFERROR(Model!N984/Model!J984-1,"NA")</f>
        <v>2.7737226277372296E-2</v>
      </c>
      <c r="O984" s="1333">
        <f>IFERROR(Model!O984/Model!K984-1,"NA")</f>
        <v>-1.0225669957687034E-2</v>
      </c>
      <c r="P984" s="1333">
        <f>IFERROR(Model!P984/Model!L984-1,"NA")</f>
        <v>-2.5927259632697153E-2</v>
      </c>
      <c r="Q984" s="1333">
        <f>IFERROR(Model!Q984/Model!M984-1,"NA")</f>
        <v>-3.4519196900316906E-2</v>
      </c>
      <c r="R984" s="1333">
        <f>IFERROR(Model!R984/Model!N984-1,"NA")</f>
        <v>-4.3323863636363757E-2</v>
      </c>
      <c r="S984" s="1333">
        <f>IFERROR(Model!S984/Model!O984-1,"NA")</f>
        <v>-1.4606341289632896E-2</v>
      </c>
      <c r="T984" s="1333">
        <f>IFERROR(Model!T984/Model!P984-1,"NA")</f>
        <v>6.6543438077635297E-3</v>
      </c>
      <c r="U984" s="1333">
        <f>IFERROR(Model!U984/Model!Q984-1,"NA")</f>
        <v>3.9036847865742352E-2</v>
      </c>
      <c r="V984" s="1333">
        <f>IFERROR(Model!V984/Model!R984-1,"NA")</f>
        <v>7.4239049740163265E-2</v>
      </c>
      <c r="W984" s="1333">
        <f>IFERROR(Model!W984/Model!S984-1,"NA")</f>
        <v>5.5314533622559781E-2</v>
      </c>
      <c r="X984" s="1333">
        <f>IFERROR(Model!X984/Model!T984-1,"NA")</f>
        <v>6.9775982372383361E-2</v>
      </c>
      <c r="Y984" s="1333">
        <f>IFERROR(Model!Y984/Model!U984-1,"NA")</f>
        <v>4.8103932584269593E-2</v>
      </c>
      <c r="Z984" s="1333">
        <f>IFERROR(Model!Z984/Model!V984-1,"NA")</f>
        <v>3.9391845196959041E-2</v>
      </c>
      <c r="AA984" s="1333">
        <f>IFERROR(Model!AA984/Model!W984-1,"NA")</f>
        <v>6.474820143884874E-2</v>
      </c>
      <c r="AB984" s="1333">
        <f>IFERROR(Model!AB984/Model!X984-1,"NA")</f>
        <v>4.3597665636800453E-2</v>
      </c>
      <c r="AC984" s="1333">
        <f>IFERROR(Model!AC984/Model!Y984-1,"NA")</f>
        <v>2.4395309882747185E-2</v>
      </c>
      <c r="AD984" s="1333">
        <f>IFERROR(Model!AD984/Model!Z984-1,"NA")</f>
        <v>2.9319680851063845E-2</v>
      </c>
      <c r="AE984" s="1333">
        <f>IFERROR(Model!AE984/Model!AA984-1,"NA")</f>
        <v>1.6401647200772196E-2</v>
      </c>
      <c r="AF984" s="1333">
        <f>IFERROR(Model!AF984/Model!AB984-1,"NA")</f>
        <v>3.8097425059210321E-2</v>
      </c>
      <c r="AG984" s="1333">
        <f>IFERROR(Model!AG984/Model!AC984-1,"NA")</f>
        <v>3.910427038851183E-2</v>
      </c>
      <c r="AH984" s="1333">
        <f>IFERROR(Model!AH984/Model!AD984-1,"NA")</f>
        <v>4.058626952163058E-2</v>
      </c>
      <c r="AI984" s="1333">
        <f>IFERROR(Model!AI984/Model!AE984-1,"NA")</f>
        <v>4.2208973253237358E-2</v>
      </c>
      <c r="AJ984" s="1334"/>
      <c r="AK984" s="1334"/>
      <c r="AL984" s="1334"/>
      <c r="AM984" s="1334"/>
      <c r="AN984" s="1334"/>
      <c r="AO984" s="1334"/>
      <c r="AP984" s="1334"/>
      <c r="AQ984" s="1334"/>
      <c r="AR984" s="1236"/>
      <c r="AS984" s="1530"/>
      <c r="AT984" s="1531"/>
      <c r="AU984" s="1332"/>
      <c r="AV984" s="1332">
        <f>IFERROR(Model!AV984/Model!AU984-1,"NA")</f>
        <v>3.8067349926793392E-2</v>
      </c>
      <c r="AW984" s="1332">
        <f>IFERROR(Model!AW984/Model!AV984-1,"NA")</f>
        <v>-1.0225669957687034E-2</v>
      </c>
      <c r="AX984" s="1332">
        <f>IFERROR(Model!AX984/Model!AW984-1,"NA")</f>
        <v>-1.4606341289632896E-2</v>
      </c>
      <c r="AY984" s="1332">
        <f>IFERROR(Model!AY984/Model!AX984-1,"NA")</f>
        <v>5.5314533622559781E-2</v>
      </c>
      <c r="AZ984" s="1332">
        <f>IFERROR(Model!AZ984/Model!AY984-1,"NA")</f>
        <v>6.474820143884874E-2</v>
      </c>
      <c r="BA984" s="1332">
        <f>IFERROR(Model!BA984/Model!AZ984-1,"NA")</f>
        <v>1.6401647200772196E-2</v>
      </c>
      <c r="BB984" s="1333">
        <f>IFERROR(Model!BB984/Model!BA984-1,"NA")</f>
        <v>4.2208973253237358E-2</v>
      </c>
      <c r="BC984" s="1333">
        <f>IFERROR(Model!BC984/Model!BB984-1,"NA")</f>
        <v>4.4549308730538861E-2</v>
      </c>
      <c r="BD984" s="1333">
        <f>IFERROR(Model!BD984/Model!BC984-1,"NA")</f>
        <v>4.5021685413603851E-2</v>
      </c>
      <c r="BE984" s="1333">
        <f>IFERROR(Model!BE984/Model!BD984-1,"NA")</f>
        <v>4.5045607912143071E-2</v>
      </c>
    </row>
    <row r="985" spans="1:57" s="674" customFormat="1" x14ac:dyDescent="0.2">
      <c r="A985" s="837"/>
      <c r="D985" s="1532"/>
      <c r="E985" s="1334"/>
      <c r="F985" s="1334"/>
      <c r="G985" s="1334"/>
      <c r="H985" s="1334"/>
      <c r="I985" s="1334"/>
      <c r="J985" s="1334"/>
      <c r="K985" s="1334"/>
      <c r="L985" s="1334"/>
      <c r="M985" s="1334"/>
      <c r="N985" s="1334"/>
      <c r="O985" s="1334"/>
      <c r="P985" s="1334"/>
      <c r="Q985" s="1334"/>
      <c r="R985" s="1334"/>
      <c r="S985" s="1334"/>
      <c r="T985" s="1334"/>
      <c r="U985" s="1334"/>
      <c r="V985" s="1334"/>
      <c r="W985" s="1334"/>
      <c r="X985" s="1334"/>
      <c r="Y985" s="1334"/>
      <c r="Z985" s="1334"/>
      <c r="AA985" s="1334"/>
      <c r="AB985" s="1334"/>
      <c r="AC985" s="1519"/>
      <c r="AD985" s="1519"/>
      <c r="AE985" s="1519"/>
      <c r="AF985" s="1519"/>
      <c r="AG985" s="1519"/>
      <c r="AH985" s="1519"/>
      <c r="AI985" s="1519"/>
      <c r="AJ985" s="1519"/>
      <c r="AK985" s="1519"/>
      <c r="AL985" s="1519"/>
      <c r="AM985" s="1519"/>
      <c r="AN985" s="1519"/>
      <c r="AO985" s="1519"/>
      <c r="AP985" s="1519"/>
      <c r="AQ985" s="1519"/>
      <c r="AR985" s="1236"/>
      <c r="AS985" s="1336"/>
      <c r="AT985" s="1336"/>
      <c r="AU985" s="1336"/>
      <c r="AV985" s="1336"/>
      <c r="AW985" s="1336"/>
      <c r="AX985" s="1336"/>
      <c r="AY985" s="1336"/>
      <c r="AZ985" s="1336"/>
      <c r="BA985" s="1336"/>
      <c r="BB985" s="1519"/>
      <c r="BC985" s="1519"/>
      <c r="BD985" s="1519"/>
      <c r="BE985" s="1519"/>
    </row>
    <row r="986" spans="1:57" s="674" customFormat="1" x14ac:dyDescent="0.2">
      <c r="A986" s="837"/>
      <c r="B986" s="670" t="s">
        <v>141</v>
      </c>
      <c r="C986" s="671"/>
      <c r="D986" s="1515"/>
      <c r="E986" s="1515"/>
      <c r="F986" s="1515"/>
      <c r="G986" s="1515"/>
      <c r="H986" s="1515"/>
      <c r="I986" s="1515"/>
      <c r="J986" s="1515"/>
      <c r="K986" s="1515"/>
      <c r="L986" s="1515"/>
      <c r="M986" s="1515"/>
      <c r="N986" s="1515"/>
      <c r="O986" s="1515"/>
      <c r="P986" s="1515"/>
      <c r="Q986" s="1515"/>
      <c r="R986" s="1515"/>
      <c r="S986" s="1515"/>
      <c r="T986" s="1515"/>
      <c r="U986" s="1515"/>
      <c r="V986" s="1515"/>
      <c r="W986" s="1515"/>
      <c r="X986" s="1515"/>
      <c r="Y986" s="1533"/>
      <c r="Z986" s="1533"/>
      <c r="AA986" s="1533"/>
      <c r="AB986" s="1533"/>
      <c r="AC986" s="1515"/>
      <c r="AD986" s="1515"/>
      <c r="AE986" s="1515"/>
      <c r="AF986" s="1515"/>
      <c r="AG986" s="1515"/>
      <c r="AH986" s="1515"/>
      <c r="AI986" s="1515"/>
      <c r="AJ986" s="1515"/>
      <c r="AK986" s="1515"/>
      <c r="AL986" s="1515"/>
      <c r="AM986" s="1515"/>
      <c r="AN986" s="1515"/>
      <c r="AO986" s="1515"/>
      <c r="AP986" s="1515"/>
      <c r="AQ986" s="1515"/>
      <c r="AR986" s="1236"/>
      <c r="AS986" s="1518"/>
      <c r="AT986" s="1515"/>
      <c r="AU986" s="1336"/>
      <c r="AV986" s="1336"/>
      <c r="AW986" s="1336"/>
      <c r="AX986" s="1336"/>
      <c r="AY986" s="1336"/>
      <c r="AZ986" s="1336"/>
      <c r="BA986" s="1336"/>
      <c r="BB986" s="1515"/>
      <c r="BC986" s="1515"/>
      <c r="BD986" s="1515"/>
      <c r="BE986" s="1515"/>
    </row>
    <row r="987" spans="1:57" s="679" customFormat="1" x14ac:dyDescent="0.2">
      <c r="A987" s="838"/>
      <c r="B987" s="675"/>
      <c r="C987" s="329"/>
      <c r="D987" s="1519"/>
      <c r="E987" s="1519"/>
      <c r="F987" s="1519"/>
      <c r="G987" s="1519"/>
      <c r="H987" s="1519"/>
      <c r="I987" s="1520"/>
      <c r="J987" s="1520"/>
      <c r="K987" s="1520"/>
      <c r="L987" s="1520"/>
      <c r="M987" s="1520"/>
      <c r="N987" s="1520"/>
      <c r="O987" s="1520"/>
      <c r="P987" s="1520"/>
      <c r="Q987" s="1520"/>
      <c r="R987" s="1520"/>
      <c r="S987" s="1520"/>
      <c r="T987" s="1520"/>
      <c r="U987" s="1520"/>
      <c r="V987" s="1274"/>
      <c r="W987" s="1520"/>
      <c r="X987" s="1520"/>
      <c r="Y987" s="1523"/>
      <c r="Z987" s="1523"/>
      <c r="AA987" s="1523"/>
      <c r="AB987" s="1523"/>
      <c r="AC987" s="1522"/>
      <c r="AD987" s="1522"/>
      <c r="AE987" s="1522"/>
      <c r="AF987" s="1522"/>
      <c r="AG987" s="1522"/>
      <c r="AH987" s="1522"/>
      <c r="AI987" s="1522"/>
      <c r="AJ987" s="1522"/>
      <c r="AK987" s="1522"/>
      <c r="AL987" s="1522"/>
      <c r="AM987" s="1522"/>
      <c r="AN987" s="1522"/>
      <c r="AO987" s="1522"/>
      <c r="AP987" s="1522"/>
      <c r="AQ987" s="1522"/>
      <c r="AR987" s="1236"/>
      <c r="AS987" s="1522"/>
      <c r="AT987" s="1519"/>
      <c r="AU987" s="1523"/>
      <c r="AV987" s="1523"/>
      <c r="AW987" s="1523"/>
      <c r="AX987" s="1523"/>
      <c r="AY987" s="1523"/>
      <c r="AZ987" s="1523"/>
      <c r="BA987" s="1523"/>
      <c r="BB987" s="1522"/>
      <c r="BC987" s="1522"/>
      <c r="BD987" s="1522"/>
      <c r="BE987" s="1522"/>
    </row>
    <row r="988" spans="1:57" s="679" customFormat="1" x14ac:dyDescent="0.2">
      <c r="A988" s="838"/>
      <c r="B988" s="680" t="s">
        <v>129</v>
      </c>
      <c r="C988" s="675"/>
      <c r="D988" s="1519"/>
      <c r="E988" s="1519"/>
      <c r="F988" s="1519"/>
      <c r="G988" s="1519"/>
      <c r="H988" s="1519"/>
      <c r="I988" s="1520"/>
      <c r="J988" s="1520"/>
      <c r="K988" s="1520"/>
      <c r="L988" s="1520"/>
      <c r="M988" s="1520"/>
      <c r="N988" s="1520"/>
      <c r="O988" s="1520"/>
      <c r="P988" s="1520"/>
      <c r="Q988" s="1520"/>
      <c r="R988" s="1520"/>
      <c r="S988" s="1520"/>
      <c r="T988" s="1520"/>
      <c r="U988" s="1520"/>
      <c r="V988" s="1520"/>
      <c r="W988" s="1520"/>
      <c r="X988" s="1520"/>
      <c r="Y988" s="1523"/>
      <c r="Z988" s="1523"/>
      <c r="AA988" s="1523"/>
      <c r="AB988" s="1523"/>
      <c r="AC988" s="1522"/>
      <c r="AD988" s="1522"/>
      <c r="AE988" s="1522"/>
      <c r="AF988" s="1522"/>
      <c r="AG988" s="1522"/>
      <c r="AH988" s="1522"/>
      <c r="AI988" s="1522"/>
      <c r="AJ988" s="1522"/>
      <c r="AK988" s="1522"/>
      <c r="AL988" s="1522"/>
      <c r="AM988" s="1522"/>
      <c r="AN988" s="1522"/>
      <c r="AO988" s="1522"/>
      <c r="AP988" s="1522"/>
      <c r="AQ988" s="1522"/>
      <c r="AR988" s="1236"/>
      <c r="AS988" s="1524"/>
      <c r="AT988" s="1522"/>
      <c r="AU988" s="1523"/>
      <c r="AV988" s="1523"/>
      <c r="AW988" s="1523"/>
      <c r="AX988" s="1523"/>
      <c r="AY988" s="1523"/>
      <c r="AZ988" s="1523"/>
      <c r="BA988" s="1523"/>
      <c r="BB988" s="1522"/>
      <c r="BC988" s="1522"/>
      <c r="BD988" s="1522"/>
      <c r="BE988" s="1522"/>
    </row>
    <row r="989" spans="1:57" s="679" customFormat="1" x14ac:dyDescent="0.2">
      <c r="A989" s="838"/>
      <c r="B989" s="675" t="s">
        <v>134</v>
      </c>
      <c r="C989" s="675"/>
      <c r="D989" s="1304"/>
      <c r="E989" s="1304"/>
      <c r="F989" s="1304"/>
      <c r="G989" s="1304"/>
      <c r="H989" s="1304">
        <f>IFERROR(Model!H989/Model!D989-1,"NA")</f>
        <v>-0.16891891891891897</v>
      </c>
      <c r="I989" s="1304">
        <f>IFERROR(Model!I989/Model!E989-1,"NA")</f>
        <v>-0.2004008016032065</v>
      </c>
      <c r="J989" s="1304">
        <f>IFERROR(Model!J989/Model!F989-1,"NA")</f>
        <v>-0.19937040923399796</v>
      </c>
      <c r="K989" s="1304">
        <f>IFERROR(Model!K989/Model!G989-1,"NA")</f>
        <v>-0.20152505446623104</v>
      </c>
      <c r="L989" s="1304">
        <f>IFERROR(Model!L989/Model!H989-1,"NA")</f>
        <v>-0.1765389082462252</v>
      </c>
      <c r="M989" s="1304">
        <f>IFERROR(Model!M989/Model!I989-1,"NA")</f>
        <v>-0.16165413533834572</v>
      </c>
      <c r="N989" s="1304">
        <f>IFERROR(Model!N989/Model!J989-1,"NA")</f>
        <v>-0.16906946264744427</v>
      </c>
      <c r="O989" s="1304">
        <f>IFERROR(Model!O989/Model!K989-1,"NA")</f>
        <v>-0.19099590723055937</v>
      </c>
      <c r="P989" s="1304">
        <f>IFERROR(Model!P989/Model!L989-1,"NA")</f>
        <v>-0.24400564174894224</v>
      </c>
      <c r="Q989" s="1304">
        <f>IFERROR(Model!Q989/Model!M989-1,"NA")</f>
        <v>-0.23318385650224227</v>
      </c>
      <c r="R989" s="1304">
        <f>IFERROR(Model!R989/Model!N989-1,"NA")</f>
        <v>-0.24447949526813884</v>
      </c>
      <c r="S989" s="1304">
        <f>IFERROR(Model!S989/Model!O989-1,"NA")</f>
        <v>-0.36256323777403032</v>
      </c>
      <c r="T989" s="1304">
        <f>IFERROR(Model!T989/Model!P989-1,"NA")</f>
        <v>-0.3302238805970148</v>
      </c>
      <c r="U989" s="1304">
        <f>IFERROR(Model!U989/Model!Q989-1,"NA")</f>
        <v>-0.35477582846003897</v>
      </c>
      <c r="V989" s="1304">
        <f>IFERROR(Model!V989/Model!R989-1,"NA")</f>
        <v>-0.35490605427974942</v>
      </c>
      <c r="W989" s="1304">
        <f>IFERROR(Model!W989/Model!S989-1,"NA")</f>
        <v>-0.24867724867724861</v>
      </c>
      <c r="X989" s="1304">
        <f>IFERROR(Model!X989/Model!T989-1,"NA")</f>
        <v>-0.28412256267409475</v>
      </c>
      <c r="Y989" s="1304">
        <f>IFERROR(Model!Y989/Model!U989-1,"NA")</f>
        <v>-0.29305135951661643</v>
      </c>
      <c r="Z989" s="1304">
        <f>IFERROR(Model!Z989/Model!V989-1,"NA")</f>
        <v>-0.30097087378640774</v>
      </c>
      <c r="AA989" s="1304">
        <f>IFERROR(Model!AA989/Model!W989-1,"NA")</f>
        <v>-0.29929577464788737</v>
      </c>
      <c r="AB989" s="1304">
        <f>IFERROR(Model!AB989/Model!X989-1,"NA")</f>
        <v>-0.29961089494163429</v>
      </c>
      <c r="AC989" s="1304">
        <f>IFERROR(Model!AC989/Model!Y989-1,"NA")</f>
        <v>-0.26923076923076916</v>
      </c>
      <c r="AD989" s="1304">
        <f>IFERROR(Model!AD989/Model!Z989-1,"NA")</f>
        <v>-0.24791666666666667</v>
      </c>
      <c r="AE989" s="1304">
        <f>IFERROR(Model!AE989/Model!AA989-1,"NA")</f>
        <v>-0.22448492462311542</v>
      </c>
      <c r="AF989" s="1304">
        <f>IFERROR(Model!AF989/Model!AB989-1,"NA")</f>
        <v>-0.19406749999999973</v>
      </c>
      <c r="AG989" s="1304">
        <f>IFERROR(Model!AG989/Model!AC989-1,"NA")</f>
        <v>-0.20255099999999993</v>
      </c>
      <c r="AH989" s="1304">
        <f>IFERROR(Model!AH989/Model!AD989-1,"NA")</f>
        <v>-0.20255099999999981</v>
      </c>
      <c r="AI989" s="1304">
        <f>IFERROR(Model!AI989/Model!AE989-1,"NA")</f>
        <v>-0.20255099999999993</v>
      </c>
      <c r="AJ989" s="1304"/>
      <c r="AK989" s="1304"/>
      <c r="AL989" s="1304"/>
      <c r="AM989" s="1304"/>
      <c r="AN989" s="1304"/>
      <c r="AO989" s="1304"/>
      <c r="AP989" s="1304"/>
      <c r="AQ989" s="1304"/>
      <c r="AR989" s="1236"/>
      <c r="AS989" s="1522"/>
      <c r="AT989" s="1522"/>
      <c r="AU989" s="1263"/>
      <c r="AV989" s="1263">
        <f>IFERROR(Model!AV989/Model!AU989-1,"NA")</f>
        <v>-0.20152505446623104</v>
      </c>
      <c r="AW989" s="1263">
        <f>IFERROR(Model!AW989/Model!AV989-1,"NA")</f>
        <v>-0.19099590723055937</v>
      </c>
      <c r="AX989" s="1263">
        <f>IFERROR(Model!AX989/Model!AW989-1,"NA")</f>
        <v>-0.36256323777403032</v>
      </c>
      <c r="AY989" s="1263">
        <f>IFERROR(Model!AY989/Model!AX989-1,"NA")</f>
        <v>-0.24867724867724861</v>
      </c>
      <c r="AZ989" s="1263">
        <f>IFERROR(Model!AZ989/Model!AY989-1,"NA")</f>
        <v>-0.29929577464788737</v>
      </c>
      <c r="BA989" s="1263">
        <f>IFERROR(Model!BA989/Model!AZ989-1,"NA")</f>
        <v>-0.22448492462311542</v>
      </c>
      <c r="BB989" s="1304">
        <f>IFERROR(Model!BB989/Model!BA989-1,"NA")</f>
        <v>-0.20255099999999993</v>
      </c>
      <c r="BC989" s="1304">
        <f>IFERROR(Model!BC989/Model!BB989-1,"NA")</f>
        <v>-0.19999999999999996</v>
      </c>
      <c r="BD989" s="1304">
        <f>IFERROR(Model!BD989/Model!BC989-1,"NA")</f>
        <v>-0.19999999999999996</v>
      </c>
      <c r="BE989" s="1304">
        <f>IFERROR(Model!BE989/Model!BD989-1,"NA")</f>
        <v>-0.20000000000000018</v>
      </c>
    </row>
    <row r="990" spans="1:57" s="679" customFormat="1" x14ac:dyDescent="0.2">
      <c r="A990" s="838"/>
      <c r="B990" s="675" t="s">
        <v>16</v>
      </c>
      <c r="C990" s="675"/>
      <c r="D990" s="1304"/>
      <c r="E990" s="1304"/>
      <c r="F990" s="1304"/>
      <c r="G990" s="1304"/>
      <c r="H990" s="1304">
        <f>IFERROR(Model!H990/Model!D990-1,"NA")</f>
        <v>-0.20261437908496771</v>
      </c>
      <c r="I990" s="1304">
        <f>IFERROR(Model!I990/Model!E990-1,"NA")</f>
        <v>-0.19594594594594461</v>
      </c>
      <c r="J990" s="1304">
        <f>IFERROR(Model!J990/Model!F990-1,"NA")</f>
        <v>-0.13043478260869545</v>
      </c>
      <c r="K990" s="1304">
        <f>IFERROR(Model!K990/Model!G990-1,"NA")</f>
        <v>-9.7744360902254468E-2</v>
      </c>
      <c r="L990" s="1304">
        <f>IFERROR(Model!L990/Model!H990-1,"NA")</f>
        <v>-6.557377049180424E-2</v>
      </c>
      <c r="M990" s="1304">
        <f>IFERROR(Model!M990/Model!I990-1,"NA")</f>
        <v>-2.5210084033614355E-2</v>
      </c>
      <c r="N990" s="1304">
        <f>IFERROR(Model!N990/Model!J990-1,"NA")</f>
        <v>-4.1666666666666075E-2</v>
      </c>
      <c r="O990" s="1304">
        <f>IFERROR(Model!O990/Model!K990-1,"NA")</f>
        <v>-4.166666666666663E-2</v>
      </c>
      <c r="P990" s="1304">
        <f>IFERROR(Model!P990/Model!L990-1,"NA")</f>
        <v>-0.73684210526315774</v>
      </c>
      <c r="Q990" s="1304">
        <f>IFERROR(Model!Q990/Model!M990-1,"NA")</f>
        <v>-0.74999999999999933</v>
      </c>
      <c r="R990" s="1304">
        <f>IFERROR(Model!R990/Model!N990-1,"NA")</f>
        <v>-0.75652173913043452</v>
      </c>
      <c r="S990" s="1304">
        <f>IFERROR(Model!S990/Model!O990-1,"NA")</f>
        <v>-0.76521739130434763</v>
      </c>
      <c r="T990" s="1304">
        <f>IFERROR(Model!T990/Model!P990-1,"NA")</f>
        <v>-0.10000000000000142</v>
      </c>
      <c r="U990" s="1304">
        <f>IFERROR(Model!U990/Model!Q990-1,"NA")</f>
        <v>-0.10344827586207028</v>
      </c>
      <c r="V990" s="1304">
        <f>IFERROR(Model!V990/Model!R990-1,"NA")</f>
        <v>-0.10714285714285976</v>
      </c>
      <c r="W990" s="1304">
        <f>IFERROR(Model!W990/Model!S990-1,"NA")</f>
        <v>-0.11111111111111127</v>
      </c>
      <c r="X990" s="1304">
        <f>IFERROR(Model!X990/Model!T990-1,"NA")</f>
        <v>-0.44444444444444486</v>
      </c>
      <c r="Y990" s="1304">
        <f>IFERROR(Model!Y990/Model!U990-1,"NA")</f>
        <v>-0.42307692307692335</v>
      </c>
      <c r="Z990" s="1304">
        <f>IFERROR(Model!Z990/Model!V990-1,"NA")</f>
        <v>-0.43999999999999972</v>
      </c>
      <c r="AA990" s="1304">
        <f>IFERROR(Model!AA990/Model!W990-1,"NA")</f>
        <v>-0.45833333333333348</v>
      </c>
      <c r="AB990" s="1304">
        <f>IFERROR(Model!AB990/Model!X990-1,"NA")</f>
        <v>-0.13333333333333086</v>
      </c>
      <c r="AC990" s="1304">
        <f>IFERROR(Model!AC990/Model!Y990-1,"NA")</f>
        <v>-0.17666666666666631</v>
      </c>
      <c r="AD990" s="1304">
        <f>IFERROR(Model!AD990/Model!Z990-1,"NA")</f>
        <v>-0.16196428571428445</v>
      </c>
      <c r="AE990" s="1304">
        <f>IFERROR(Model!AE990/Model!AA990-1,"NA")</f>
        <v>-0.14262500000000011</v>
      </c>
      <c r="AF990" s="1304">
        <f>IFERROR(Model!AF990/Model!AB990-1,"NA")</f>
        <v>-0.19406750000000006</v>
      </c>
      <c r="AG990" s="1304">
        <f>IFERROR(Model!AG990/Model!AC990-1,"NA")</f>
        <v>-0.20255099999999993</v>
      </c>
      <c r="AH990" s="1304">
        <f>IFERROR(Model!AH990/Model!AD990-1,"NA")</f>
        <v>-0.20255100000000015</v>
      </c>
      <c r="AI990" s="1304">
        <f>IFERROR(Model!AI990/Model!AE990-1,"NA")</f>
        <v>-0.20255100000000015</v>
      </c>
      <c r="AJ990" s="1304"/>
      <c r="AK990" s="1304"/>
      <c r="AL990" s="1304"/>
      <c r="AM990" s="1304"/>
      <c r="AN990" s="1304"/>
      <c r="AO990" s="1304"/>
      <c r="AP990" s="1304"/>
      <c r="AQ990" s="1304"/>
      <c r="AR990" s="1236"/>
      <c r="AS990" s="1522"/>
      <c r="AT990" s="1522"/>
      <c r="AU990" s="1263"/>
      <c r="AV990" s="1263">
        <f>IFERROR(Model!AV990/Model!AU990-1,"NA")</f>
        <v>-9.7744360902254468E-2</v>
      </c>
      <c r="AW990" s="1263">
        <f>IFERROR(Model!AW990/Model!AV990-1,"NA")</f>
        <v>-4.166666666666663E-2</v>
      </c>
      <c r="AX990" s="1263">
        <f>IFERROR(Model!AX990/Model!AW990-1,"NA")</f>
        <v>-0.76521739130434763</v>
      </c>
      <c r="AY990" s="1263">
        <f>IFERROR(Model!AY990/Model!AX990-1,"NA")</f>
        <v>-0.11111111111111127</v>
      </c>
      <c r="AZ990" s="1263">
        <f>IFERROR(Model!AZ990/Model!AY990-1,"NA")</f>
        <v>-0.45833333333333348</v>
      </c>
      <c r="BA990" s="1263">
        <f>IFERROR(Model!BA990/Model!AZ990-1,"NA")</f>
        <v>-0.14262500000000011</v>
      </c>
      <c r="BB990" s="1304">
        <f>IFERROR(Model!BB990/Model!BA990-1,"NA")</f>
        <v>-0.20255100000000015</v>
      </c>
      <c r="BC990" s="1304">
        <f>IFERROR(Model!BC990/Model!BB990-1,"NA")</f>
        <v>-0.19999999999999996</v>
      </c>
      <c r="BD990" s="1304">
        <f>IFERROR(Model!BD990/Model!BC990-1,"NA")</f>
        <v>-0.19999999999999996</v>
      </c>
      <c r="BE990" s="1304">
        <f>IFERROR(Model!BE990/Model!BD990-1,"NA")</f>
        <v>-0.20000000000000007</v>
      </c>
    </row>
    <row r="991" spans="1:57" s="674" customFormat="1" x14ac:dyDescent="0.2">
      <c r="A991" s="837"/>
      <c r="B991" s="329"/>
      <c r="C991" s="329" t="s">
        <v>314</v>
      </c>
      <c r="D991" s="1534"/>
      <c r="E991" s="1534"/>
      <c r="F991" s="1534"/>
      <c r="G991" s="1534"/>
      <c r="H991" s="1534">
        <f>IFERROR(Model!H991/Model!D991-1,"NA")</f>
        <v>-0.17325483599663594</v>
      </c>
      <c r="I991" s="1534">
        <f>IFERROR(Model!I991/Model!E991-1,"NA")</f>
        <v>-0.19982547993019195</v>
      </c>
      <c r="J991" s="1534">
        <f>IFERROR(Model!J991/Model!F991-1,"NA")</f>
        <v>-0.19065077910174155</v>
      </c>
      <c r="K991" s="1534">
        <f>IFERROR(Model!K991/Model!G991-1,"NA")</f>
        <v>-0.18839200761179831</v>
      </c>
      <c r="L991" s="1534">
        <f>IFERROR(Model!L991/Model!H991-1,"NA")</f>
        <v>-0.16276703967446593</v>
      </c>
      <c r="M991" s="1534">
        <f>IFERROR(Model!M991/Model!I991-1,"NA")</f>
        <v>-0.14394765539803711</v>
      </c>
      <c r="N991" s="1534">
        <f>IFERROR(Model!N991/Model!J991-1,"NA")</f>
        <v>-0.15175537938844841</v>
      </c>
      <c r="O991" s="1534">
        <f>IFERROR(Model!O991/Model!K991-1,"NA")</f>
        <v>-0.16998827667057448</v>
      </c>
      <c r="P991" s="1534">
        <f>IFERROR(Model!P991/Model!L991-1,"NA")</f>
        <v>-0.31227217496962334</v>
      </c>
      <c r="Q991" s="1534">
        <f>IFERROR(Model!Q991/Model!M991-1,"NA")</f>
        <v>-0.30955414012738847</v>
      </c>
      <c r="R991" s="1534">
        <f>IFERROR(Model!R991/Model!N991-1,"NA")</f>
        <v>-0.32309746328437916</v>
      </c>
      <c r="S991" s="1534">
        <f>IFERROR(Model!S991/Model!O991-1,"NA")</f>
        <v>-0.42796610169491522</v>
      </c>
      <c r="T991" s="1534">
        <f>IFERROR(Model!T991/Model!P991-1,"NA")</f>
        <v>-0.3180212014134276</v>
      </c>
      <c r="U991" s="1534">
        <f>IFERROR(Model!U991/Model!Q991-1,"NA")</f>
        <v>-0.34132841328413277</v>
      </c>
      <c r="V991" s="1534">
        <f>IFERROR(Model!V991/Model!R991-1,"NA")</f>
        <v>-0.34122287968441822</v>
      </c>
      <c r="W991" s="1534">
        <f>IFERROR(Model!W991/Model!S991-1,"NA")</f>
        <v>-0.23950617283950615</v>
      </c>
      <c r="X991" s="1534">
        <f>IFERROR(Model!X991/Model!T991-1,"NA")</f>
        <v>-0.29533678756476689</v>
      </c>
      <c r="Y991" s="1534">
        <f>IFERROR(Model!Y991/Model!U991-1,"NA")</f>
        <v>-0.30252100840336149</v>
      </c>
      <c r="Z991" s="1534">
        <f>IFERROR(Model!Z991/Model!V991-1,"NA")</f>
        <v>-0.31137724550898205</v>
      </c>
      <c r="AA991" s="1534">
        <f>IFERROR(Model!AA991/Model!W991-1,"NA")</f>
        <v>-0.31168831168831168</v>
      </c>
      <c r="AB991" s="1534">
        <f>IFERROR(Model!AB991/Model!X991-1,"NA")</f>
        <v>-0.2904411764705882</v>
      </c>
      <c r="AC991" s="1534">
        <f>IFERROR(Model!AC991/Model!Y991-1,"NA")</f>
        <v>-0.26365461847389549</v>
      </c>
      <c r="AD991" s="1534">
        <f>IFERROR(Model!AD991/Model!Z991-1,"NA")</f>
        <v>-0.24268478260869564</v>
      </c>
      <c r="AE991" s="1534">
        <f>IFERROR(Model!AE991/Model!AA991-1,"NA")</f>
        <v>-0.21946521226415083</v>
      </c>
      <c r="AF991" s="1534">
        <f>IFERROR(Model!AF991/Model!AB991-1,"NA")</f>
        <v>-0.19406749999999984</v>
      </c>
      <c r="AG991" s="1534">
        <f>IFERROR(Model!AG991/Model!AC991-1,"NA")</f>
        <v>-0.20255099999999981</v>
      </c>
      <c r="AH991" s="1534">
        <f>IFERROR(Model!AH991/Model!AD991-1,"NA")</f>
        <v>-0.20255099999999981</v>
      </c>
      <c r="AI991" s="1534">
        <f>IFERROR(Model!AI991/Model!AE991-1,"NA")</f>
        <v>-0.20255099999999993</v>
      </c>
      <c r="AJ991" s="1520"/>
      <c r="AK991" s="1520"/>
      <c r="AL991" s="1520"/>
      <c r="AM991" s="1520"/>
      <c r="AN991" s="1520"/>
      <c r="AO991" s="1520"/>
      <c r="AP991" s="1520"/>
      <c r="AQ991" s="1520"/>
      <c r="AR991" s="1236"/>
      <c r="AS991" s="1519"/>
      <c r="AT991" s="1519"/>
      <c r="AU991" s="1332"/>
      <c r="AV991" s="1332">
        <f>IFERROR(Model!AV991/Model!AU991-1,"NA")</f>
        <v>-0.18839200761179831</v>
      </c>
      <c r="AW991" s="1332">
        <f>IFERROR(Model!AW991/Model!AV991-1,"NA")</f>
        <v>-0.16998827667057448</v>
      </c>
      <c r="AX991" s="1332">
        <f>IFERROR(Model!AX991/Model!AW991-1,"NA")</f>
        <v>-0.42796610169491522</v>
      </c>
      <c r="AY991" s="1332">
        <f>IFERROR(Model!AY991/Model!AX991-1,"NA")</f>
        <v>-0.23950617283950615</v>
      </c>
      <c r="AZ991" s="1332">
        <f>IFERROR(Model!AZ991/Model!AY991-1,"NA")</f>
        <v>-0.31168831168831168</v>
      </c>
      <c r="BA991" s="1332">
        <f>IFERROR(Model!BA991/Model!AZ991-1,"NA")</f>
        <v>-0.21946521226415083</v>
      </c>
      <c r="BB991" s="1534">
        <f>IFERROR(Model!BB991/Model!BA991-1,"NA")</f>
        <v>-0.20255099999999993</v>
      </c>
      <c r="BC991" s="1534">
        <f>IFERROR(Model!BC991/Model!BB991-1,"NA")</f>
        <v>-0.19999999999999996</v>
      </c>
      <c r="BD991" s="1534">
        <f>IFERROR(Model!BD991/Model!BC991-1,"NA")</f>
        <v>-0.19999999999999996</v>
      </c>
      <c r="BE991" s="1534">
        <f>IFERROR(Model!BE991/Model!BD991-1,"NA")</f>
        <v>-0.20000000000000018</v>
      </c>
    </row>
    <row r="992" spans="1:57" s="674" customFormat="1" x14ac:dyDescent="0.2">
      <c r="A992" s="837"/>
      <c r="B992" s="329"/>
      <c r="C992" s="329"/>
      <c r="D992" s="1336"/>
      <c r="E992" s="1336"/>
      <c r="F992" s="1336"/>
      <c r="G992" s="1336"/>
      <c r="H992" s="1336"/>
      <c r="I992" s="1336"/>
      <c r="J992" s="1336"/>
      <c r="K992" s="1336"/>
      <c r="L992" s="1336"/>
      <c r="M992" s="1336"/>
      <c r="N992" s="1336"/>
      <c r="O992" s="1336"/>
      <c r="P992" s="1336"/>
      <c r="Q992" s="1336"/>
      <c r="R992" s="1336"/>
      <c r="S992" s="1336"/>
      <c r="T992" s="1336"/>
      <c r="U992" s="1336"/>
      <c r="V992" s="1336"/>
      <c r="W992" s="1336"/>
      <c r="X992" s="1336"/>
      <c r="Y992" s="1336"/>
      <c r="Z992" s="1336"/>
      <c r="AA992" s="1336"/>
      <c r="AB992" s="1336"/>
      <c r="AC992" s="1336"/>
      <c r="AD992" s="1336"/>
      <c r="AE992" s="1336"/>
      <c r="AF992" s="1336"/>
      <c r="AG992" s="1336"/>
      <c r="AH992" s="1336"/>
      <c r="AI992" s="1336"/>
      <c r="AJ992" s="1336"/>
      <c r="AK992" s="1336"/>
      <c r="AL992" s="1336"/>
      <c r="AM992" s="1336"/>
      <c r="AN992" s="1336"/>
      <c r="AO992" s="1336"/>
      <c r="AP992" s="1336"/>
      <c r="AQ992" s="1336"/>
      <c r="AR992" s="1236"/>
      <c r="AS992" s="1519"/>
      <c r="AT992" s="1519"/>
      <c r="AU992" s="1336"/>
      <c r="AV992" s="1336"/>
      <c r="AW992" s="1336"/>
      <c r="AX992" s="1336"/>
      <c r="AY992" s="1336"/>
      <c r="AZ992" s="1336"/>
      <c r="BA992" s="1336"/>
      <c r="BB992" s="1336"/>
      <c r="BC992" s="1336"/>
      <c r="BD992" s="1336"/>
      <c r="BE992" s="1336"/>
    </row>
    <row r="993" spans="1:57" s="674" customFormat="1" x14ac:dyDescent="0.2">
      <c r="A993" s="837"/>
      <c r="B993" s="680" t="s">
        <v>37</v>
      </c>
      <c r="C993" s="329"/>
      <c r="D993" s="1304"/>
      <c r="E993" s="1304"/>
      <c r="F993" s="1304"/>
      <c r="G993" s="1304"/>
      <c r="H993" s="1304">
        <f>IFERROR(Model!H993/Model!D993-1,"NA")</f>
        <v>-0.15306122448979598</v>
      </c>
      <c r="I993" s="1304">
        <f>IFERROR(Model!I993/Model!E993-1,"NA")</f>
        <v>-0.25266903914590755</v>
      </c>
      <c r="J993" s="1304">
        <f>IFERROR(Model!J993/Model!F993-1,"NA")</f>
        <v>-0.23741007194244612</v>
      </c>
      <c r="K993" s="1304">
        <f>IFERROR(Model!K993/Model!G993-1,"NA")</f>
        <v>-0.22180451127819556</v>
      </c>
      <c r="L993" s="1304">
        <f>IFERROR(Model!L993/Model!H993-1,"NA")</f>
        <v>-0.19277108433734924</v>
      </c>
      <c r="M993" s="1304">
        <f>IFERROR(Model!M993/Model!I993-1,"NA")</f>
        <v>-5.2380952380952417E-2</v>
      </c>
      <c r="N993" s="1304">
        <f>IFERROR(Model!N993/Model!J993-1,"NA")</f>
        <v>-0.2735849056603773</v>
      </c>
      <c r="O993" s="1304">
        <f>IFERROR(Model!O993/Model!K993-1,"NA")</f>
        <v>-0.30434782608695643</v>
      </c>
      <c r="P993" s="1304">
        <f>IFERROR(Model!P993/Model!L993-1,"NA")</f>
        <v>-0.49253731343283591</v>
      </c>
      <c r="Q993" s="1304">
        <f>IFERROR(Model!Q993/Model!M993-1,"NA")</f>
        <v>-0.52763819095477382</v>
      </c>
      <c r="R993" s="1304">
        <f>IFERROR(Model!R993/Model!N993-1,"NA")</f>
        <v>-0.43506493506493515</v>
      </c>
      <c r="S993" s="1304">
        <f>IFERROR(Model!S993/Model!O993-1,"NA")</f>
        <v>-0.43055555555555558</v>
      </c>
      <c r="T993" s="1304">
        <f>IFERROR(Model!T993/Model!P993-1,"NA")</f>
        <v>-0.37254901960784303</v>
      </c>
      <c r="U993" s="1304">
        <f>IFERROR(Model!U993/Model!Q993-1,"NA")</f>
        <v>-0.41489361702127658</v>
      </c>
      <c r="V993" s="1304">
        <f>IFERROR(Model!V993/Model!R993-1,"NA")</f>
        <v>-0.36781609195402298</v>
      </c>
      <c r="W993" s="1304">
        <f>IFERROR(Model!W993/Model!S993-1,"NA")</f>
        <v>-0.70731707317073167</v>
      </c>
      <c r="X993" s="1304">
        <f>IFERROR(Model!X993/Model!T993-1,"NA")</f>
        <v>-0.671875</v>
      </c>
      <c r="Y993" s="1304">
        <f>IFERROR(Model!Y993/Model!U993-1,"NA")</f>
        <v>-0.67272727272727273</v>
      </c>
      <c r="Z993" s="1304">
        <f>IFERROR(Model!Z993/Model!V993-1,"NA")</f>
        <v>-0.69090909090909092</v>
      </c>
      <c r="AA993" s="1304">
        <f>IFERROR(Model!AA993/Model!W993-1,"NA")</f>
        <v>-0.33333333333333326</v>
      </c>
      <c r="AB993" s="1304">
        <f>IFERROR(Model!AB993/Model!X993-1,"NA")</f>
        <v>-0.19047619047619058</v>
      </c>
      <c r="AC993" s="1304">
        <f>IFERROR(Model!AC993/Model!Y993-1,"NA")</f>
        <v>-0.15000000000000002</v>
      </c>
      <c r="AD993" s="1304">
        <f>IFERROR(Model!AD993/Model!Z993-1,"NA")</f>
        <v>-0.19000000000000006</v>
      </c>
      <c r="AE993" s="1304">
        <f>IFERROR(Model!AE993/Model!AA993-1,"NA")</f>
        <v>-0.22543750000000018</v>
      </c>
      <c r="AF993" s="1304">
        <f>IFERROR(Model!AF993/Model!AB993-1,"NA")</f>
        <v>-0.36577000000000004</v>
      </c>
      <c r="AG993" s="1304">
        <f>IFERROR(Model!AG993/Model!AC993-1,"NA")</f>
        <v>-0.38691100000000012</v>
      </c>
      <c r="AH993" s="1304">
        <f>IFERROR(Model!AH993/Model!AD993-1,"NA")</f>
        <v>-0.41688424000000002</v>
      </c>
      <c r="AI993" s="1304">
        <f>IFERROR(Model!AI993/Model!AE993-1,"NA")</f>
        <v>-0.44539212159999997</v>
      </c>
      <c r="AJ993" s="1304"/>
      <c r="AK993" s="1304"/>
      <c r="AL993" s="1304"/>
      <c r="AM993" s="1304"/>
      <c r="AN993" s="1304"/>
      <c r="AO993" s="1304"/>
      <c r="AP993" s="1304"/>
      <c r="AQ993" s="1304"/>
      <c r="AR993" s="1236"/>
      <c r="AS993" s="1524"/>
      <c r="AT993" s="1519"/>
      <c r="AU993" s="1263"/>
      <c r="AV993" s="1263">
        <f>IFERROR(Model!AV993/Model!AU993-1,"NA")</f>
        <v>-0.22180451127819556</v>
      </c>
      <c r="AW993" s="1263">
        <f>IFERROR(Model!AW993/Model!AV993-1,"NA")</f>
        <v>-0.30434782608695643</v>
      </c>
      <c r="AX993" s="1263">
        <f>IFERROR(Model!AX993/Model!AW993-1,"NA")</f>
        <v>-0.43055555555555558</v>
      </c>
      <c r="AY993" s="1263">
        <f>IFERROR(Model!AY993/Model!AX993-1,"NA")</f>
        <v>-0.70731707317073167</v>
      </c>
      <c r="AZ993" s="1263">
        <f>IFERROR(Model!AZ993/Model!AY993-1,"NA")</f>
        <v>-0.33333333333333326</v>
      </c>
      <c r="BA993" s="1263">
        <f>IFERROR(Model!BA993/Model!AZ993-1,"NA")</f>
        <v>-0.22543750000000018</v>
      </c>
      <c r="BB993" s="1304">
        <f>IFERROR(Model!BB993/Model!BA993-1,"NA")</f>
        <v>-0.44539212159999997</v>
      </c>
      <c r="BC993" s="1304">
        <f>IFERROR(Model!BC993/Model!BB993-1,"NA")</f>
        <v>-0.4</v>
      </c>
      <c r="BD993" s="1304">
        <f>IFERROR(Model!BD993/Model!BC993-1,"NA")</f>
        <v>-0.4</v>
      </c>
      <c r="BE993" s="1304">
        <f>IFERROR(Model!BE993/Model!BD993-1,"NA")</f>
        <v>-0.4</v>
      </c>
    </row>
    <row r="994" spans="1:57" s="674" customFormat="1" x14ac:dyDescent="0.2">
      <c r="A994" s="837"/>
      <c r="B994" s="329"/>
      <c r="C994" s="329"/>
      <c r="D994" s="1519"/>
      <c r="E994" s="1519"/>
      <c r="F994" s="1519"/>
      <c r="G994" s="1519"/>
      <c r="H994" s="1519"/>
      <c r="I994" s="1519"/>
      <c r="J994" s="1519"/>
      <c r="K994" s="1519"/>
      <c r="L994" s="1519"/>
      <c r="M994" s="1519"/>
      <c r="N994" s="1519"/>
      <c r="O994" s="1519"/>
      <c r="P994" s="1519"/>
      <c r="Q994" s="1519"/>
      <c r="R994" s="1519"/>
      <c r="S994" s="1519"/>
      <c r="T994" s="1519"/>
      <c r="U994" s="1519"/>
      <c r="V994" s="1519"/>
      <c r="W994" s="1519"/>
      <c r="X994" s="1519"/>
      <c r="Y994" s="1519"/>
      <c r="Z994" s="1519"/>
      <c r="AA994" s="1519"/>
      <c r="AB994" s="1519"/>
      <c r="AC994" s="1519"/>
      <c r="AD994" s="1519"/>
      <c r="AE994" s="1519"/>
      <c r="AF994" s="1519"/>
      <c r="AG994" s="1519"/>
      <c r="AH994" s="1519"/>
      <c r="AI994" s="1519"/>
      <c r="AJ994" s="1519"/>
      <c r="AK994" s="1519"/>
      <c r="AL994" s="1519"/>
      <c r="AM994" s="1519"/>
      <c r="AN994" s="1519"/>
      <c r="AO994" s="1519"/>
      <c r="AP994" s="1519"/>
      <c r="AQ994" s="1519"/>
      <c r="AR994" s="1236"/>
      <c r="AS994" s="1519"/>
      <c r="AT994" s="1519"/>
      <c r="AU994" s="1336"/>
      <c r="AV994" s="1336"/>
      <c r="AW994" s="1336"/>
      <c r="AX994" s="1336"/>
      <c r="AY994" s="1336"/>
      <c r="AZ994" s="1336"/>
      <c r="BA994" s="1336"/>
      <c r="BB994" s="1519"/>
      <c r="BC994" s="1519"/>
      <c r="BD994" s="1519"/>
      <c r="BE994" s="1519"/>
    </row>
    <row r="995" spans="1:57" s="674" customFormat="1" x14ac:dyDescent="0.2">
      <c r="A995" s="837"/>
      <c r="B995" s="698" t="s">
        <v>140</v>
      </c>
      <c r="C995" s="329"/>
      <c r="D995" s="1303"/>
      <c r="E995" s="1303"/>
      <c r="F995" s="1303"/>
      <c r="G995" s="1303"/>
      <c r="H995" s="1303">
        <f>IFERROR(Model!H995/Model!D995-1,"NA")</f>
        <v>-0.27272727272727271</v>
      </c>
      <c r="I995" s="1303">
        <f>IFERROR(Model!I995/Model!E995-1,"NA")</f>
        <v>-0.19999999999999996</v>
      </c>
      <c r="J995" s="1303">
        <f>IFERROR(Model!J995/Model!F995-1,"NA")</f>
        <v>-0.18181818181818188</v>
      </c>
      <c r="K995" s="1303">
        <f>IFERROR(Model!K995/Model!G995-1,"NA")</f>
        <v>-0.22222222222222232</v>
      </c>
      <c r="L995" s="1303">
        <f>IFERROR(Model!L995/Model!H995-1,"NA")</f>
        <v>-0.375</v>
      </c>
      <c r="M995" s="1303">
        <f>IFERROR(Model!M995/Model!I995-1,"NA")</f>
        <v>-3.75</v>
      </c>
      <c r="N995" s="1303">
        <f>IFERROR(Model!N995/Model!J995-1,"NA")</f>
        <v>-0.77777777777777779</v>
      </c>
      <c r="O995" s="1303">
        <f>IFERROR(Model!O995/Model!K995-1,"NA")</f>
        <v>-1.4285714285714286</v>
      </c>
      <c r="P995" s="1303">
        <f>IFERROR(Model!P995/Model!L995-1,"NA")</f>
        <v>-0.8</v>
      </c>
      <c r="Q995" s="1303">
        <f>IFERROR(Model!Q995/Model!M995-1,"NA")</f>
        <v>-1.0909090909090908</v>
      </c>
      <c r="R995" s="1303">
        <f>IFERROR(Model!R995/Model!N995-1,"NA")</f>
        <v>-0.5</v>
      </c>
      <c r="S995" s="1303">
        <f>IFERROR(Model!S995/Model!O995-1,"NA")</f>
        <v>-1.6666666666666667</v>
      </c>
      <c r="T995" s="1303">
        <f>IFERROR(Model!T995/Model!P995-1,"NA")</f>
        <v>1.9999999999999996</v>
      </c>
      <c r="U995" s="1303">
        <f>IFERROR(Model!U995/Model!Q995-1,"NA")</f>
        <v>-0.5</v>
      </c>
      <c r="V995" s="1303">
        <f>IFERROR(Model!V995/Model!R995-1,"NA")</f>
        <v>0</v>
      </c>
      <c r="W995" s="1303">
        <f>IFERROR(Model!W995/Model!S995-1,"NA")</f>
        <v>-1</v>
      </c>
      <c r="X995" s="1303">
        <f>IFERROR(Model!X995/Model!T995-1,"NA")</f>
        <v>-1</v>
      </c>
      <c r="Y995" s="1303">
        <f>IFERROR(Model!Y995/Model!U995-1,"NA")</f>
        <v>-1</v>
      </c>
      <c r="Z995" s="1303">
        <f>IFERROR(Model!Z995/Model!V995-1,"NA")</f>
        <v>-1</v>
      </c>
      <c r="AA995" s="1303" t="str">
        <f>IFERROR(Model!AA995/Model!W995-1,"NA")</f>
        <v>NA</v>
      </c>
      <c r="AB995" s="1303" t="str">
        <f>IFERROR(Model!AB995/Model!X995-1,"NA")</f>
        <v>NA</v>
      </c>
      <c r="AC995" s="1335" t="str">
        <f>IFERROR(Model!AC995/Model!Y995-1,"NA")</f>
        <v>NA</v>
      </c>
      <c r="AD995" s="1335" t="str">
        <f>IFERROR(Model!AD995/Model!Z995-1,"NA")</f>
        <v>NA</v>
      </c>
      <c r="AE995" s="1335" t="str">
        <f>IFERROR(Model!AE995/Model!AA995-1,"NA")</f>
        <v>NA</v>
      </c>
      <c r="AF995" s="1335" t="str">
        <f>IFERROR(Model!AF995/Model!AB995-1,"NA")</f>
        <v>NA</v>
      </c>
      <c r="AG995" s="1335" t="str">
        <f>IFERROR(Model!AG995/Model!AC995-1,"NA")</f>
        <v>NA</v>
      </c>
      <c r="AH995" s="1335" t="str">
        <f>IFERROR(Model!AH995/Model!AD995-1,"NA")</f>
        <v>NA</v>
      </c>
      <c r="AI995" s="1335" t="str">
        <f>IFERROR(Model!AI995/Model!AE995-1,"NA")</f>
        <v>NA</v>
      </c>
      <c r="AJ995" s="1335"/>
      <c r="AK995" s="1335"/>
      <c r="AL995" s="1335"/>
      <c r="AM995" s="1335"/>
      <c r="AN995" s="1335"/>
      <c r="AO995" s="1335"/>
      <c r="AP995" s="1335"/>
      <c r="AQ995" s="1335"/>
      <c r="AR995" s="1236"/>
      <c r="AS995" s="1532"/>
      <c r="AT995" s="1519"/>
      <c r="AU995" s="1263"/>
      <c r="AV995" s="1263">
        <f>IFERROR(Model!AV995/Model!AU995-1,"NA")</f>
        <v>-0.22222222222222232</v>
      </c>
      <c r="AW995" s="1263">
        <f>IFERROR(Model!AW995/Model!AV995-1,"NA")</f>
        <v>-1.4285714285714286</v>
      </c>
      <c r="AX995" s="1263">
        <f>IFERROR(Model!AX995/Model!AW995-1,"NA")</f>
        <v>-1.6666666666666667</v>
      </c>
      <c r="AY995" s="1263">
        <f>IFERROR(Model!AY995/Model!AX995-1,"NA")</f>
        <v>-1</v>
      </c>
      <c r="AZ995" s="1263" t="str">
        <f>IFERROR(Model!AZ995/Model!AY995-1,"NA")</f>
        <v>NA</v>
      </c>
      <c r="BA995" s="1263" t="str">
        <f>IFERROR(Model!BA995/Model!AZ995-1,"NA")</f>
        <v>NA</v>
      </c>
      <c r="BB995" s="1335" t="str">
        <f>IFERROR(Model!BB995/Model!BA995-1,"NA")</f>
        <v>NA</v>
      </c>
      <c r="BC995" s="1335" t="str">
        <f>IFERROR(Model!BC995/Model!BB995-1,"NA")</f>
        <v>NA</v>
      </c>
      <c r="BD995" s="1335" t="str">
        <f>IFERROR(Model!BD995/Model!BC995-1,"NA")</f>
        <v>NA</v>
      </c>
      <c r="BE995" s="1335" t="str">
        <f>IFERROR(Model!BE995/Model!BD995-1,"NA")</f>
        <v>NA</v>
      </c>
    </row>
    <row r="996" spans="1:57" s="674" customFormat="1" x14ac:dyDescent="0.2">
      <c r="A996" s="837"/>
      <c r="D996" s="1336"/>
      <c r="E996" s="1336"/>
      <c r="F996" s="1336"/>
      <c r="G996" s="1336"/>
      <c r="H996" s="1336"/>
      <c r="I996" s="1336"/>
      <c r="J996" s="1336"/>
      <c r="K996" s="1336"/>
      <c r="L996" s="1336"/>
      <c r="M996" s="1336"/>
      <c r="N996" s="1336"/>
      <c r="O996" s="1336"/>
      <c r="P996" s="1336"/>
      <c r="Q996" s="1336"/>
      <c r="R996" s="1336"/>
      <c r="S996" s="1336"/>
      <c r="T996" s="1336"/>
      <c r="U996" s="1336"/>
      <c r="V996" s="1336"/>
      <c r="W996" s="1336"/>
      <c r="X996" s="1336"/>
      <c r="Y996" s="1336"/>
      <c r="Z996" s="1336"/>
      <c r="AA996" s="1336"/>
      <c r="AB996" s="1336"/>
      <c r="AC996" s="1336"/>
      <c r="AD996" s="1336"/>
      <c r="AE996" s="1336"/>
      <c r="AF996" s="1336"/>
      <c r="AG996" s="1336"/>
      <c r="AH996" s="1336"/>
      <c r="AI996" s="1336"/>
      <c r="AJ996" s="1336"/>
      <c r="AK996" s="1336"/>
      <c r="AL996" s="1336"/>
      <c r="AM996" s="1336"/>
      <c r="AN996" s="1336"/>
      <c r="AO996" s="1336"/>
      <c r="AP996" s="1336"/>
      <c r="AQ996" s="1336"/>
      <c r="AR996" s="1236"/>
      <c r="AS996" s="1336"/>
      <c r="AT996" s="1336"/>
      <c r="AU996" s="1336"/>
      <c r="AV996" s="1336"/>
      <c r="AW996" s="1336"/>
      <c r="AX996" s="1336"/>
      <c r="AY996" s="1336"/>
      <c r="AZ996" s="1336"/>
      <c r="BA996" s="1336"/>
      <c r="BB996" s="1336"/>
      <c r="BC996" s="1336"/>
      <c r="BD996" s="1336"/>
      <c r="BE996" s="1336"/>
    </row>
    <row r="997" spans="1:57" s="674" customFormat="1" x14ac:dyDescent="0.2">
      <c r="A997" s="837"/>
      <c r="B997" s="698" t="s">
        <v>146</v>
      </c>
      <c r="C997" s="698"/>
      <c r="D997" s="1535"/>
      <c r="E997" s="1535"/>
      <c r="F997" s="1535"/>
      <c r="G997" s="1535"/>
      <c r="H997" s="1535">
        <f>IFERROR(Model!H997/Model!D997-1,"NA")</f>
        <v>-0.17001338688085688</v>
      </c>
      <c r="I997" s="1535">
        <f>IFERROR(Model!I997/Model!E997-1,"NA")</f>
        <v>-0.21016005567153784</v>
      </c>
      <c r="J997" s="1535">
        <f>IFERROR(Model!J997/Model!F997-1,"NA")</f>
        <v>-0.19999999999999996</v>
      </c>
      <c r="K997" s="1535">
        <f>IFERROR(Model!K997/Model!G997-1,"NA")</f>
        <v>-0.19532428355957765</v>
      </c>
      <c r="L997" s="1535">
        <f>IFERROR(Model!L997/Model!H997-1,"NA")</f>
        <v>-0.17016129032258054</v>
      </c>
      <c r="M997" s="1535">
        <f>IFERROR(Model!M997/Model!I997-1,"NA")</f>
        <v>-0.15242290748898679</v>
      </c>
      <c r="N997" s="1535">
        <f>IFERROR(Model!N997/Model!J997-1,"NA")</f>
        <v>-0.18025362318840576</v>
      </c>
      <c r="O997" s="1535">
        <f>IFERROR(Model!O997/Model!K997-1,"NA")</f>
        <v>-0.20431115276476097</v>
      </c>
      <c r="P997" s="1535">
        <f>IFERROR(Model!P997/Model!L997-1,"NA")</f>
        <v>-0.34985422740524796</v>
      </c>
      <c r="Q997" s="1535">
        <f>IFERROR(Model!Q997/Model!M997-1,"NA")</f>
        <v>-0.33679833679833682</v>
      </c>
      <c r="R997" s="1535">
        <f>IFERROR(Model!R997/Model!N997-1,"NA")</f>
        <v>-0.34254143646408841</v>
      </c>
      <c r="S997" s="1535">
        <f>IFERROR(Model!S997/Model!O997-1,"NA")</f>
        <v>-0.42402826855123676</v>
      </c>
      <c r="T997" s="1535">
        <f>IFERROR(Model!T997/Model!P997-1,"NA")</f>
        <v>-0.32286995515695061</v>
      </c>
      <c r="U997" s="1535">
        <f>IFERROR(Model!U997/Model!Q997-1,"NA")</f>
        <v>-0.35266457680250785</v>
      </c>
      <c r="V997" s="1535">
        <f>IFERROR(Model!V997/Model!R997-1,"NA")</f>
        <v>-0.34453781512605053</v>
      </c>
      <c r="W997" s="1535">
        <f>IFERROR(Model!W997/Model!S997-1,"NA")</f>
        <v>-0.32106339468302658</v>
      </c>
      <c r="X997" s="1535">
        <f>IFERROR(Model!X997/Model!T997-1,"NA")</f>
        <v>-0.35320088300220742</v>
      </c>
      <c r="Y997" s="1535">
        <f>IFERROR(Model!Y997/Model!U997-1,"NA")</f>
        <v>-0.35351089588377738</v>
      </c>
      <c r="Z997" s="1535">
        <f>IFERROR(Model!Z997/Model!V997-1,"NA")</f>
        <v>-0.3666666666666667</v>
      </c>
      <c r="AA997" s="1535">
        <f>IFERROR(Model!AA997/Model!W997-1,"NA")</f>
        <v>-0.31325301204819278</v>
      </c>
      <c r="AB997" s="1535">
        <f>IFERROR(Model!AB997/Model!X997-1,"NA")</f>
        <v>-0.28327645051194539</v>
      </c>
      <c r="AC997" s="1535">
        <f>IFERROR(Model!AC997/Model!Y997-1,"NA")</f>
        <v>-0.25599250936329576</v>
      </c>
      <c r="AD997" s="1535">
        <f>IFERROR(Model!AD997/Model!Z997-1,"NA")</f>
        <v>-0.23905870445344135</v>
      </c>
      <c r="AE997" s="1535">
        <f>IFERROR(Model!AE997/Model!AA997-1,"NA")</f>
        <v>-0.21988432017543857</v>
      </c>
      <c r="AF997" s="1535">
        <f>IFERROR(Model!AF997/Model!AB997-1,"NA")</f>
        <v>-0.20796722619047592</v>
      </c>
      <c r="AG997" s="1535">
        <f>IFERROR(Model!AG997/Model!AC997-1,"NA")</f>
        <v>-0.21675038585451789</v>
      </c>
      <c r="AH997" s="1535">
        <f>IFERROR(Model!AH997/Model!AD997-1,"NA")</f>
        <v>-0.21825373720647478</v>
      </c>
      <c r="AI997" s="1535">
        <f>IFERROR(Model!AI997/Model!AE997-1,"NA")</f>
        <v>-0.21947117403507999</v>
      </c>
      <c r="AJ997" s="1747"/>
      <c r="AK997" s="1747"/>
      <c r="AL997" s="1747"/>
      <c r="AM997" s="1747"/>
      <c r="AN997" s="1747"/>
      <c r="AO997" s="1747"/>
      <c r="AP997" s="1747"/>
      <c r="AQ997" s="1747"/>
      <c r="AR997" s="1236"/>
      <c r="AS997" s="1532"/>
      <c r="AT997" s="1532"/>
      <c r="AU997" s="1332"/>
      <c r="AV997" s="1332">
        <f>IFERROR(Model!AV997/Model!AU997-1,"NA")</f>
        <v>-0.19532428355957765</v>
      </c>
      <c r="AW997" s="1332">
        <f>IFERROR(Model!AW997/Model!AV997-1,"NA")</f>
        <v>-0.20431115276476097</v>
      </c>
      <c r="AX997" s="1332">
        <f>IFERROR(Model!AX997/Model!AW997-1,"NA")</f>
        <v>-0.42402826855123676</v>
      </c>
      <c r="AY997" s="1332">
        <f>IFERROR(Model!AY997/Model!AX997-1,"NA")</f>
        <v>-0.32106339468302658</v>
      </c>
      <c r="AZ997" s="1332">
        <f>IFERROR(Model!AZ997/Model!AY997-1,"NA")</f>
        <v>-0.31325301204819278</v>
      </c>
      <c r="BA997" s="1332">
        <f>IFERROR(Model!BA997/Model!AZ997-1,"NA")</f>
        <v>-0.21988432017543857</v>
      </c>
      <c r="BB997" s="1535">
        <f>IFERROR(Model!BB997/Model!BA997-1,"NA")</f>
        <v>-0.21947117403507999</v>
      </c>
      <c r="BC997" s="1535">
        <f>IFERROR(Model!BC997/Model!BB997-1,"NA")</f>
        <v>-0.20990169806524472</v>
      </c>
      <c r="BD997" s="1535">
        <f>IFERROR(Model!BD997/Model!BC997-1,"NA")</f>
        <v>-0.20751934135866235</v>
      </c>
      <c r="BE997" s="1535">
        <f>IFERROR(Model!BE997/Model!BD997-1,"NA")</f>
        <v>-0.20569301567931297</v>
      </c>
    </row>
    <row r="998" spans="1:57" s="674" customFormat="1" x14ac:dyDescent="0.2">
      <c r="A998" s="837"/>
      <c r="D998" s="1334"/>
      <c r="E998" s="1334"/>
      <c r="F998" s="1334"/>
      <c r="G998" s="1334"/>
      <c r="H998" s="1334"/>
      <c r="I998" s="1334"/>
      <c r="J998" s="1334"/>
      <c r="K998" s="1334"/>
      <c r="L998" s="1334"/>
      <c r="M998" s="1334"/>
      <c r="N998" s="1334"/>
      <c r="O998" s="1334"/>
      <c r="P998" s="1334"/>
      <c r="Q998" s="1334"/>
      <c r="R998" s="1334"/>
      <c r="S998" s="1334"/>
      <c r="T998" s="1334"/>
      <c r="U998" s="1334"/>
      <c r="V998" s="1334"/>
      <c r="W998" s="1334"/>
      <c r="X998" s="1334"/>
      <c r="Y998" s="1334"/>
      <c r="Z998" s="1334"/>
      <c r="AA998" s="1334"/>
      <c r="AB998" s="1334"/>
      <c r="AC998" s="1334"/>
      <c r="AD998" s="1334"/>
      <c r="AE998" s="1334"/>
      <c r="AF998" s="1334"/>
      <c r="AG998" s="1334"/>
      <c r="AH998" s="1334"/>
      <c r="AI998" s="1334"/>
      <c r="AJ998" s="1334"/>
      <c r="AK998" s="1334"/>
      <c r="AL998" s="1334"/>
      <c r="AM998" s="1334"/>
      <c r="AN998" s="1334"/>
      <c r="AO998" s="1334"/>
      <c r="AP998" s="1334"/>
      <c r="AQ998" s="1334"/>
      <c r="AR998" s="1236"/>
      <c r="AS998" s="1336"/>
      <c r="AT998" s="1336"/>
      <c r="AU998" s="1336"/>
      <c r="AV998" s="1336"/>
      <c r="AW998" s="1336"/>
      <c r="AX998" s="1336"/>
      <c r="AY998" s="1336"/>
      <c r="AZ998" s="1336"/>
      <c r="BA998" s="1336"/>
      <c r="BB998" s="1334"/>
      <c r="BC998" s="1334"/>
      <c r="BD998" s="1334"/>
      <c r="BE998" s="1334"/>
    </row>
    <row r="999" spans="1:57" s="674" customFormat="1" ht="12" thickBot="1" x14ac:dyDescent="0.25">
      <c r="A999" s="837"/>
      <c r="B999" s="680" t="s">
        <v>94</v>
      </c>
      <c r="C999" s="680"/>
      <c r="D999" s="1536"/>
      <c r="E999" s="1536"/>
      <c r="F999" s="1536"/>
      <c r="G999" s="1536"/>
      <c r="H999" s="1536">
        <f>IFERROR(Model!H999/Model!D999-1,"NA")</f>
        <v>-5.1982591876209017E-2</v>
      </c>
      <c r="I999" s="1536">
        <f>IFERROR(Model!I999/Model!E999-1,"NA")</f>
        <v>-6.765067650676504E-2</v>
      </c>
      <c r="J999" s="1536">
        <f>IFERROR(Model!J999/Model!F999-1,"NA")</f>
        <v>-5.0864197530864241E-2</v>
      </c>
      <c r="K999" s="1536">
        <f>IFERROR(Model!K999/Model!G999-1,"NA")</f>
        <v>-3.8196155741744842E-2</v>
      </c>
      <c r="L999" s="1536">
        <f>IFERROR(Model!L999/Model!H999-1,"NA")</f>
        <v>-2.9329252741647438E-2</v>
      </c>
      <c r="M999" s="1536">
        <f>IFERROR(Model!M999/Model!I999-1,"NA")</f>
        <v>2.9023746701846154E-3</v>
      </c>
      <c r="N999" s="1536">
        <f>IFERROR(Model!N999/Model!J999-1,"NA")</f>
        <v>-3.1997918834547279E-2</v>
      </c>
      <c r="O999" s="1536">
        <f>IFERROR(Model!O999/Model!K999-1,"NA")</f>
        <v>-6.3284652831155475E-2</v>
      </c>
      <c r="P999" s="1536">
        <f>IFERROR(Model!P999/Model!L999-1,"NA")</f>
        <v>-0.11350499211770904</v>
      </c>
      <c r="Q999" s="1536">
        <f>IFERROR(Model!Q999/Model!M999-1,"NA")</f>
        <v>-0.11102341489081802</v>
      </c>
      <c r="R999" s="1536">
        <f>IFERROR(Model!R999/Model!N999-1,"NA")</f>
        <v>-0.11609782316581574</v>
      </c>
      <c r="S999" s="1536">
        <f>IFERROR(Model!S999/Model!O999-1,"NA")</f>
        <v>-0.10968271334792123</v>
      </c>
      <c r="T999" s="1536">
        <f>IFERROR(Model!T999/Model!P999-1,"NA")</f>
        <v>-5.8684054534676844E-2</v>
      </c>
      <c r="U999" s="1536">
        <f>IFERROR(Model!U999/Model!Q999-1,"NA")</f>
        <v>-3.4921574430304858E-2</v>
      </c>
      <c r="V999" s="1536">
        <f>IFERROR(Model!V999/Model!R999-1,"NA")</f>
        <v>-1.5202189115232079E-3</v>
      </c>
      <c r="W999" s="1536">
        <f>IFERROR(Model!W999/Model!S999-1,"NA")</f>
        <v>-1.2288786482334002E-3</v>
      </c>
      <c r="X999" s="1536">
        <f>IFERROR(Model!X999/Model!T999-1,"NA")</f>
        <v>9.4458438287152724E-3</v>
      </c>
      <c r="Y999" s="1536">
        <f>IFERROR(Model!Y999/Model!U999-1,"NA")</f>
        <v>-2.7598896044159771E-3</v>
      </c>
      <c r="Z999" s="1536">
        <f>IFERROR(Model!Z999/Model!V999-1,"NA")</f>
        <v>-8.8306942752741646E-3</v>
      </c>
      <c r="AA999" s="1536">
        <f>IFERROR(Model!AA999/Model!W999-1,"NA")</f>
        <v>2.6145801291910242E-2</v>
      </c>
      <c r="AB999" s="1536">
        <f>IFERROR(Model!AB999/Model!X999-1,"NA")</f>
        <v>1.3724266999376011E-2</v>
      </c>
      <c r="AC999" s="1536">
        <f>IFERROR(Model!AC999/Model!Y999-1,"NA")</f>
        <v>1.3745387453876212E-3</v>
      </c>
      <c r="AD999" s="1536">
        <f>IFERROR(Model!AD999/Model!Z999-1,"NA")</f>
        <v>8.9542549923196102E-3</v>
      </c>
      <c r="AE999" s="1536">
        <f>IFERROR(Model!AE999/Model!AA999-1,"NA")</f>
        <v>2.5260626498790906E-4</v>
      </c>
      <c r="AF999" s="1536">
        <f>IFERROR(Model!AF999/Model!AB999-1,"NA")</f>
        <v>2.2197862978461158E-2</v>
      </c>
      <c r="AG999" s="1536">
        <f>IFERROR(Model!AG999/Model!AC999-1,"NA")</f>
        <v>2.3496717589721161E-2</v>
      </c>
      <c r="AH999" s="1536">
        <f>IFERROR(Model!AH999/Model!AD999-1,"NA")</f>
        <v>2.5772791410968887E-2</v>
      </c>
      <c r="AI999" s="1536">
        <f>IFERROR(Model!AI999/Model!AE999-1,"NA")</f>
        <v>2.826042863518996E-2</v>
      </c>
      <c r="AJ999" s="1747"/>
      <c r="AK999" s="1747"/>
      <c r="AL999" s="1747"/>
      <c r="AM999" s="1747"/>
      <c r="AN999" s="1747"/>
      <c r="AO999" s="1747"/>
      <c r="AP999" s="1747"/>
      <c r="AQ999" s="1747"/>
      <c r="AR999" s="1236"/>
      <c r="AS999" s="1524"/>
      <c r="AT999" s="1524"/>
      <c r="AU999" s="1332"/>
      <c r="AV999" s="1332">
        <f>IFERROR(Model!AV999/Model!AU999-1,"NA")</f>
        <v>-3.8196155741744842E-2</v>
      </c>
      <c r="AW999" s="1332">
        <f>IFERROR(Model!AW999/Model!AV999-1,"NA")</f>
        <v>-6.3284652831155475E-2</v>
      </c>
      <c r="AX999" s="1332">
        <f>IFERROR(Model!AX999/Model!AW999-1,"NA")</f>
        <v>-0.10968271334792123</v>
      </c>
      <c r="AY999" s="1332">
        <f>IFERROR(Model!AY999/Model!AX999-1,"NA")</f>
        <v>-1.2288786482334002E-3</v>
      </c>
      <c r="AZ999" s="1332">
        <f>IFERROR(Model!AZ999/Model!AY999-1,"NA")</f>
        <v>2.6145801291910242E-2</v>
      </c>
      <c r="BA999" s="1332">
        <f>IFERROR(Model!BA999/Model!AZ999-1,"NA")</f>
        <v>2.5260626498790906E-4</v>
      </c>
      <c r="BB999" s="1536">
        <f>IFERROR(Model!BB999/Model!BA999-1,"NA")</f>
        <v>2.826042863518996E-2</v>
      </c>
      <c r="BC999" s="1536">
        <f>IFERROR(Model!BC999/Model!BB999-1,"NA")</f>
        <v>3.4253792728423216E-2</v>
      </c>
      <c r="BD999" s="1536">
        <f>IFERROR(Model!BD999/Model!BC999-1,"NA")</f>
        <v>3.7215661229199171E-2</v>
      </c>
      <c r="BE999" s="1536">
        <f>IFERROR(Model!BE999/Model!BD999-1,"NA")</f>
        <v>3.9124011644727785E-2</v>
      </c>
    </row>
    <row r="1000" spans="1:57" s="674" customFormat="1" ht="12" thickTop="1" x14ac:dyDescent="0.2">
      <c r="A1000" s="837"/>
      <c r="B1000" s="329"/>
      <c r="C1000" s="329"/>
      <c r="D1000" s="1519"/>
      <c r="E1000" s="1249"/>
      <c r="F1000" s="1519"/>
      <c r="G1000" s="1519"/>
      <c r="H1000" s="1519"/>
      <c r="I1000" s="1249"/>
      <c r="J1000" s="1519"/>
      <c r="K1000" s="1519"/>
      <c r="L1000" s="1519"/>
      <c r="M1000" s="1249"/>
      <c r="N1000" s="1519"/>
      <c r="O1000" s="1519"/>
      <c r="P1000" s="1519"/>
      <c r="Q1000" s="1249"/>
      <c r="R1000" s="1519"/>
      <c r="S1000" s="1519"/>
      <c r="T1000" s="1519"/>
      <c r="U1000" s="1249"/>
      <c r="V1000" s="1519"/>
      <c r="W1000" s="1519"/>
      <c r="X1000" s="1336"/>
      <c r="Y1000" s="1336"/>
      <c r="Z1000" s="1336"/>
      <c r="AA1000" s="1336"/>
      <c r="AB1000" s="1336"/>
      <c r="AC1000" s="1519"/>
      <c r="AD1000" s="1519"/>
      <c r="AE1000" s="1519"/>
      <c r="AF1000" s="1519"/>
      <c r="AG1000" s="1519"/>
      <c r="AH1000" s="1519"/>
      <c r="AI1000" s="1519"/>
      <c r="AJ1000" s="1519"/>
      <c r="AK1000" s="1519"/>
      <c r="AL1000" s="1519"/>
      <c r="AM1000" s="1519"/>
      <c r="AN1000" s="1519"/>
      <c r="AO1000" s="1519"/>
      <c r="AP1000" s="1519"/>
      <c r="AQ1000" s="1519"/>
      <c r="AR1000" s="1236"/>
      <c r="AS1000" s="1519"/>
      <c r="AT1000" s="1519"/>
      <c r="AU1000" s="1336"/>
      <c r="AV1000" s="1336"/>
      <c r="AW1000" s="1336"/>
      <c r="AX1000" s="1336"/>
      <c r="AY1000" s="1336"/>
      <c r="AZ1000" s="1336"/>
      <c r="BA1000" s="1336"/>
      <c r="BB1000" s="1519"/>
      <c r="BC1000" s="1519"/>
      <c r="BD1000" s="1519"/>
      <c r="BE1000" s="1519"/>
    </row>
    <row r="1001" spans="1:57" s="674" customFormat="1" x14ac:dyDescent="0.2">
      <c r="A1001" s="839"/>
      <c r="B1001" s="698" t="s">
        <v>95</v>
      </c>
      <c r="C1001" s="698"/>
      <c r="D1001" s="1336"/>
      <c r="E1001" s="1520"/>
      <c r="F1001" s="1520"/>
      <c r="G1001" s="1520"/>
      <c r="H1001" s="1520"/>
      <c r="I1001" s="1520"/>
      <c r="J1001" s="1520"/>
      <c r="K1001" s="1520"/>
      <c r="L1001" s="1520"/>
      <c r="M1001" s="1520"/>
      <c r="N1001" s="1520"/>
      <c r="O1001" s="1520"/>
      <c r="P1001" s="1520"/>
      <c r="Q1001" s="1520"/>
      <c r="R1001" s="1520"/>
      <c r="S1001" s="1520"/>
      <c r="T1001" s="1520"/>
      <c r="U1001" s="1520"/>
      <c r="V1001" s="1520"/>
      <c r="W1001" s="1520"/>
      <c r="X1001" s="1520"/>
      <c r="Y1001" s="1520"/>
      <c r="Z1001" s="1520"/>
      <c r="AA1001" s="1520"/>
      <c r="AB1001" s="1520"/>
      <c r="AC1001" s="1336"/>
      <c r="AD1001" s="1336"/>
      <c r="AE1001" s="1336"/>
      <c r="AF1001" s="1336"/>
      <c r="AG1001" s="1336"/>
      <c r="AH1001" s="1336"/>
      <c r="AI1001" s="1336"/>
      <c r="AJ1001" s="1336"/>
      <c r="AK1001" s="1336"/>
      <c r="AL1001" s="1336"/>
      <c r="AM1001" s="1336"/>
      <c r="AN1001" s="1336"/>
      <c r="AO1001" s="1336"/>
      <c r="AP1001" s="1336"/>
      <c r="AQ1001" s="1336"/>
      <c r="AR1001" s="1236"/>
      <c r="AS1001" s="1532"/>
      <c r="AT1001" s="1532"/>
      <c r="AU1001" s="1336"/>
      <c r="AV1001" s="1336"/>
      <c r="AW1001" s="1336"/>
      <c r="AX1001" s="1336"/>
      <c r="AY1001" s="1336"/>
      <c r="AZ1001" s="1336"/>
      <c r="BA1001" s="1336"/>
      <c r="BB1001" s="1336"/>
      <c r="BC1001" s="1336"/>
      <c r="BD1001" s="1336"/>
      <c r="BE1001" s="1336"/>
    </row>
    <row r="1002" spans="1:57" s="674" customFormat="1" x14ac:dyDescent="0.2">
      <c r="A1002" s="839"/>
      <c r="B1002" s="679" t="s">
        <v>76</v>
      </c>
      <c r="D1002" s="1303"/>
      <c r="E1002" s="1303"/>
      <c r="F1002" s="1303"/>
      <c r="G1002" s="1303"/>
      <c r="H1002" s="1303">
        <f>IFERROR(Model!H1002/Model!D1002-1,"NA")</f>
        <v>0.13930348258706449</v>
      </c>
      <c r="I1002" s="1303">
        <f>IFERROR(Model!I1002/Model!E1002-1,"NA")</f>
        <v>0.12895927601809953</v>
      </c>
      <c r="J1002" s="1303">
        <f>IFERROR(Model!J1002/Model!F1002-1,"NA")</f>
        <v>9.8621420996818587E-2</v>
      </c>
      <c r="K1002" s="1303">
        <f>IFERROR(Model!K1002/Model!G1002-1,"NA")</f>
        <v>0.13582887700534751</v>
      </c>
      <c r="L1002" s="1303">
        <f>IFERROR(Model!L1002/Model!H1002-1,"NA")</f>
        <v>0.17139737991266379</v>
      </c>
      <c r="M1002" s="1303">
        <f>IFERROR(Model!M1002/Model!I1002-1,"NA")</f>
        <v>9.0180360721442865E-2</v>
      </c>
      <c r="N1002" s="1303">
        <f>IFERROR(Model!N1002/Model!J1002-1,"NA")</f>
        <v>0.10135135135135132</v>
      </c>
      <c r="O1002" s="1303">
        <f>IFERROR(Model!O1002/Model!K1002-1,"NA")</f>
        <v>0.1045197740112993</v>
      </c>
      <c r="P1002" s="1303">
        <f>IFERROR(Model!P1002/Model!L1002-1,"NA")</f>
        <v>0.10717614165890033</v>
      </c>
      <c r="Q1002" s="1303">
        <f>IFERROR(Model!Q1002/Model!M1002-1,"NA")</f>
        <v>0.16452205882352944</v>
      </c>
      <c r="R1002" s="1303">
        <f>IFERROR(Model!R1002/Model!N1002-1,"NA")</f>
        <v>0.128834355828221</v>
      </c>
      <c r="S1002" s="1303">
        <f>IFERROR(Model!S1002/Model!O1002-1,"NA")</f>
        <v>0.11253196930946285</v>
      </c>
      <c r="T1002" s="1303">
        <f>IFERROR(Model!T1002/Model!P1002-1,"NA")</f>
        <v>0.14225589225589208</v>
      </c>
      <c r="U1002" s="1303">
        <f>IFERROR(Model!U1002/Model!Q1002-1,"NA")</f>
        <v>9.9447513812154664E-2</v>
      </c>
      <c r="V1002" s="1303">
        <f>IFERROR(Model!V1002/Model!R1002-1,"NA")</f>
        <v>0.15139751552795033</v>
      </c>
      <c r="W1002" s="1303">
        <f>IFERROR(Model!W1002/Model!S1002-1,"NA")</f>
        <v>0.13409961685823757</v>
      </c>
      <c r="X1002" s="1303">
        <f>IFERROR(Model!X1002/Model!T1002-1,"NA")</f>
        <v>8.9167280766396573E-2</v>
      </c>
      <c r="Y1002" s="1303">
        <f>IFERROR(Model!Y1002/Model!U1002-1,"NA")</f>
        <v>8.9734386216798301E-2</v>
      </c>
      <c r="Z1002" s="1303">
        <f>IFERROR(Model!Z1002/Model!V1002-1,"NA")</f>
        <v>5.0573162508428915E-2</v>
      </c>
      <c r="AA1002" s="1303">
        <f>IFERROR(Model!AA1002/Model!W1002-1,"NA")</f>
        <v>7.5675675675675569E-2</v>
      </c>
      <c r="AB1002" s="1303">
        <f>IFERROR(Model!AB1002/Model!X1002-1,"NA")</f>
        <v>0.10284167794316645</v>
      </c>
      <c r="AC1002" s="1336" t="str">
        <f>IFERROR(Model!AC1002/Model!Y1002-1,"NA")</f>
        <v>NA</v>
      </c>
      <c r="AD1002" s="1336" t="str">
        <f>IFERROR(Model!AD1002/Model!Z1002-1,"NA")</f>
        <v>NA</v>
      </c>
      <c r="AE1002" s="1336" t="str">
        <f>IFERROR(Model!AE1002/Model!AA1002-1,"NA")</f>
        <v>NA</v>
      </c>
      <c r="AF1002" s="1336" t="str">
        <f>IFERROR(Model!AF1002/Model!AB1002-1,"NA")</f>
        <v>NA</v>
      </c>
      <c r="AG1002" s="1336" t="str">
        <f>IFERROR(Model!AG1002/Model!AC1002-1,"NA")</f>
        <v>NA</v>
      </c>
      <c r="AH1002" s="1336" t="str">
        <f>IFERROR(Model!AH1002/Model!AD1002-1,"NA")</f>
        <v>NA</v>
      </c>
      <c r="AI1002" s="1336" t="str">
        <f>IFERROR(Model!AI1002/Model!AE1002-1,"NA")</f>
        <v>NA</v>
      </c>
      <c r="AJ1002" s="1336"/>
      <c r="AK1002" s="1336"/>
      <c r="AL1002" s="1336"/>
      <c r="AM1002" s="1336"/>
      <c r="AN1002" s="1336"/>
      <c r="AO1002" s="1336"/>
      <c r="AP1002" s="1336"/>
      <c r="AQ1002" s="1336"/>
      <c r="AR1002" s="1236"/>
      <c r="AS1002" s="1523"/>
      <c r="AT1002" s="1336"/>
      <c r="AU1002" s="1263"/>
      <c r="AV1002" s="1263">
        <f>IFERROR(Model!AV1002/Model!AU1002-1,"NA")</f>
        <v>0.13582887700534751</v>
      </c>
      <c r="AW1002" s="1263">
        <f>IFERROR(Model!AW1002/Model!AV1002-1,"NA")</f>
        <v>0.1045197740112993</v>
      </c>
      <c r="AX1002" s="1263">
        <f>IFERROR(Model!AX1002/Model!AW1002-1,"NA")</f>
        <v>0.11253196930946285</v>
      </c>
      <c r="AY1002" s="1263">
        <f>IFERROR(Model!AY1002/Model!AX1002-1,"NA")</f>
        <v>0.13409961685823757</v>
      </c>
      <c r="AZ1002" s="1263">
        <f>IFERROR(Model!AZ1002/Model!AY1002-1,"NA")</f>
        <v>7.5675675675675569E-2</v>
      </c>
      <c r="BA1002" s="1263" t="str">
        <f>IFERROR(Model!BA1002/Model!AZ1002-1,"NA")</f>
        <v>NA</v>
      </c>
      <c r="BB1002" s="1263" t="str">
        <f>IFERROR(Model!BB1002/Model!BA1002-1,"NA")</f>
        <v>NA</v>
      </c>
      <c r="BC1002" s="1263" t="str">
        <f>IFERROR(Model!BC1002/Model!BB1002-1,"NA")</f>
        <v>NA</v>
      </c>
      <c r="BD1002" s="1263" t="str">
        <f>IFERROR(Model!BD1002/Model!BC1002-1,"NA")</f>
        <v>NA</v>
      </c>
      <c r="BE1002" s="1263" t="str">
        <f>IFERROR(Model!BE1002/Model!BD1002-1,"NA")</f>
        <v>NA</v>
      </c>
    </row>
    <row r="1003" spans="1:57" s="674" customFormat="1" x14ac:dyDescent="0.2">
      <c r="A1003" s="839"/>
      <c r="B1003" s="679" t="s">
        <v>27</v>
      </c>
      <c r="D1003" s="1303"/>
      <c r="E1003" s="1303"/>
      <c r="F1003" s="1303"/>
      <c r="G1003" s="1303"/>
      <c r="H1003" s="1303">
        <f>IFERROR(Model!H1003/Model!D1003-1,"NA")</f>
        <v>9.8389982110912433E-2</v>
      </c>
      <c r="I1003" s="1303">
        <f>IFERROR(Model!I1003/Model!E1003-1,"NA")</f>
        <v>-6.5573770491803574E-3</v>
      </c>
      <c r="J1003" s="1303">
        <f>IFERROR(Model!J1003/Model!F1003-1,"NA")</f>
        <v>5.6122448979591955E-2</v>
      </c>
      <c r="K1003" s="1303">
        <f>IFERROR(Model!K1003/Model!G1003-1,"NA")</f>
        <v>9.2819614711033172E-2</v>
      </c>
      <c r="L1003" s="1303">
        <f>IFERROR(Model!L1003/Model!H1003-1,"NA")</f>
        <v>5.5374592833876246E-2</v>
      </c>
      <c r="M1003" s="1303">
        <f>IFERROR(Model!M1003/Model!I1003-1,"NA")</f>
        <v>7.0957095709571094E-2</v>
      </c>
      <c r="N1003" s="1303">
        <f>IFERROR(Model!N1003/Model!J1003-1,"NA")</f>
        <v>-2.0933977455716679E-2</v>
      </c>
      <c r="O1003" s="1303">
        <f>IFERROR(Model!O1003/Model!K1003-1,"NA")</f>
        <v>-4.647435897435892E-2</v>
      </c>
      <c r="P1003" s="1303">
        <f>IFERROR(Model!P1003/Model!L1003-1,"NA")</f>
        <v>-4.629629629629628E-2</v>
      </c>
      <c r="Q1003" s="1303">
        <f>IFERROR(Model!Q1003/Model!M1003-1,"NA")</f>
        <v>-9.24499229583986E-3</v>
      </c>
      <c r="R1003" s="1303">
        <f>IFERROR(Model!R1003/Model!N1003-1,"NA")</f>
        <v>4.1118421052631637E-2</v>
      </c>
      <c r="S1003" s="1303">
        <f>IFERROR(Model!S1003/Model!O1003-1,"NA")</f>
        <v>1.8487394957983128E-2</v>
      </c>
      <c r="T1003" s="1303">
        <f>IFERROR(Model!T1003/Model!P1003-1,"NA")</f>
        <v>5.5016181229773586E-2</v>
      </c>
      <c r="U1003" s="1303">
        <f>IFERROR(Model!U1003/Model!Q1003-1,"NA")</f>
        <v>7.3094867807153907E-2</v>
      </c>
      <c r="V1003" s="1303">
        <f>IFERROR(Model!V1003/Model!R1003-1,"NA")</f>
        <v>8.5308056872037907E-2</v>
      </c>
      <c r="W1003" s="1303">
        <f>IFERROR(Model!W1003/Model!S1003-1,"NA")</f>
        <v>3.4653465346534684E-2</v>
      </c>
      <c r="X1003" s="1303">
        <f>IFERROR(Model!X1003/Model!T1003-1,"NA")</f>
        <v>1.8404907975460238E-2</v>
      </c>
      <c r="Y1003" s="1303">
        <f>IFERROR(Model!Y1003/Model!U1003-1,"NA")</f>
        <v>3.3333333333333215E-2</v>
      </c>
      <c r="Z1003" s="1303">
        <f>IFERROR(Model!Z1003/Model!V1003-1,"NA")</f>
        <v>5.8224163027656539E-2</v>
      </c>
      <c r="AA1003" s="1303">
        <f>IFERROR(Model!AA1003/Model!W1003-1,"NA")</f>
        <v>0.1866028708133971</v>
      </c>
      <c r="AB1003" s="1303">
        <f>IFERROR(Model!AB1003/Model!X1003-1,"NA")</f>
        <v>0.23644578313252995</v>
      </c>
      <c r="AC1003" s="1336" t="str">
        <f>IFERROR(Model!AC1003/Model!Y1003-1,"NA")</f>
        <v>NA</v>
      </c>
      <c r="AD1003" s="1336" t="str">
        <f>IFERROR(Model!AD1003/Model!Z1003-1,"NA")</f>
        <v>NA</v>
      </c>
      <c r="AE1003" s="1336" t="str">
        <f>IFERROR(Model!AE1003/Model!AA1003-1,"NA")</f>
        <v>NA</v>
      </c>
      <c r="AF1003" s="1336" t="str">
        <f>IFERROR(Model!AF1003/Model!AB1003-1,"NA")</f>
        <v>NA</v>
      </c>
      <c r="AG1003" s="1336" t="str">
        <f>IFERROR(Model!AG1003/Model!AC1003-1,"NA")</f>
        <v>NA</v>
      </c>
      <c r="AH1003" s="1336" t="str">
        <f>IFERROR(Model!AH1003/Model!AD1003-1,"NA")</f>
        <v>NA</v>
      </c>
      <c r="AI1003" s="1336" t="str">
        <f>IFERROR(Model!AI1003/Model!AE1003-1,"NA")</f>
        <v>NA</v>
      </c>
      <c r="AJ1003" s="1336"/>
      <c r="AK1003" s="1336"/>
      <c r="AL1003" s="1336"/>
      <c r="AM1003" s="1336"/>
      <c r="AN1003" s="1336"/>
      <c r="AO1003" s="1336"/>
      <c r="AP1003" s="1336"/>
      <c r="AQ1003" s="1336"/>
      <c r="AR1003" s="1236"/>
      <c r="AS1003" s="1523"/>
      <c r="AT1003" s="1336"/>
      <c r="AU1003" s="1263"/>
      <c r="AV1003" s="1263">
        <f>IFERROR(Model!AV1003/Model!AU1003-1,"NA")</f>
        <v>9.2819614711033172E-2</v>
      </c>
      <c r="AW1003" s="1263">
        <f>IFERROR(Model!AW1003/Model!AV1003-1,"NA")</f>
        <v>-4.647435897435892E-2</v>
      </c>
      <c r="AX1003" s="1263">
        <f>IFERROR(Model!AX1003/Model!AW1003-1,"NA")</f>
        <v>1.8487394957983128E-2</v>
      </c>
      <c r="AY1003" s="1263">
        <f>IFERROR(Model!AY1003/Model!AX1003-1,"NA")</f>
        <v>3.4653465346534684E-2</v>
      </c>
      <c r="AZ1003" s="1263">
        <f>IFERROR(Model!AZ1003/Model!AY1003-1,"NA")</f>
        <v>0.1866028708133971</v>
      </c>
      <c r="BA1003" s="1263" t="str">
        <f>IFERROR(Model!BA1003/Model!AZ1003-1,"NA")</f>
        <v>NA</v>
      </c>
      <c r="BB1003" s="1263" t="str">
        <f>IFERROR(Model!BB1003/Model!BA1003-1,"NA")</f>
        <v>NA</v>
      </c>
      <c r="BC1003" s="1263" t="str">
        <f>IFERROR(Model!BC1003/Model!BB1003-1,"NA")</f>
        <v>NA</v>
      </c>
      <c r="BD1003" s="1263" t="str">
        <f>IFERROR(Model!BD1003/Model!BC1003-1,"NA")</f>
        <v>NA</v>
      </c>
      <c r="BE1003" s="1263" t="str">
        <f>IFERROR(Model!BE1003/Model!BD1003-1,"NA")</f>
        <v>NA</v>
      </c>
    </row>
    <row r="1004" spans="1:57" s="674" customFormat="1" x14ac:dyDescent="0.2">
      <c r="A1004" s="839"/>
      <c r="B1004" s="679" t="s">
        <v>5</v>
      </c>
      <c r="D1004" s="1303"/>
      <c r="E1004" s="1303"/>
      <c r="F1004" s="1303"/>
      <c r="G1004" s="1303"/>
      <c r="H1004" s="1303">
        <f>IFERROR(Model!H1004/Model!D1004-1,"NA")</f>
        <v>9.7142857142857197E-2</v>
      </c>
      <c r="I1004" s="1303">
        <f>IFERROR(Model!I1004/Model!E1004-1,"NA")</f>
        <v>9.537572254335247E-2</v>
      </c>
      <c r="J1004" s="1303">
        <f>IFERROR(Model!J1004/Model!F1004-1,"NA")</f>
        <v>7.9234972677595605E-2</v>
      </c>
      <c r="K1004" s="1303">
        <f>IFERROR(Model!K1004/Model!G1004-1,"NA")</f>
        <v>5.5263157894736903E-2</v>
      </c>
      <c r="L1004" s="1303">
        <f>IFERROR(Model!L1004/Model!H1004-1,"NA")</f>
        <v>9.6354166666666741E-2</v>
      </c>
      <c r="M1004" s="1303">
        <f>IFERROR(Model!M1004/Model!I1004-1,"NA")</f>
        <v>0.10817941952506605</v>
      </c>
      <c r="N1004" s="1303">
        <f>IFERROR(Model!N1004/Model!J1004-1,"NA")</f>
        <v>1.51898734177216E-2</v>
      </c>
      <c r="O1004" s="1303">
        <f>IFERROR(Model!O1004/Model!K1004-1,"NA")</f>
        <v>-1.9950124688279391E-2</v>
      </c>
      <c r="P1004" s="1303">
        <f>IFERROR(Model!P1004/Model!L1004-1,"NA")</f>
        <v>-4.2755344418052399E-2</v>
      </c>
      <c r="Q1004" s="1303">
        <f>IFERROR(Model!Q1004/Model!M1004-1,"NA")</f>
        <v>-3.8095238095238182E-2</v>
      </c>
      <c r="R1004" s="1303">
        <f>IFERROR(Model!R1004/Model!N1004-1,"NA")</f>
        <v>1.2468827930174564E-2</v>
      </c>
      <c r="S1004" s="1303">
        <f>IFERROR(Model!S1004/Model!O1004-1,"NA")</f>
        <v>2.5445292620865034E-2</v>
      </c>
      <c r="T1004" s="1303">
        <f>IFERROR(Model!T1004/Model!P1004-1,"NA")</f>
        <v>-3.9702233250620167E-2</v>
      </c>
      <c r="U1004" s="1303">
        <f>IFERROR(Model!U1004/Model!Q1004-1,"NA")</f>
        <v>-5.9405940594059348E-2</v>
      </c>
      <c r="V1004" s="1303">
        <f>IFERROR(Model!V1004/Model!R1004-1,"NA")</f>
        <v>-0.1354679802955665</v>
      </c>
      <c r="W1004" s="1303">
        <f>IFERROR(Model!W1004/Model!S1004-1,"NA")</f>
        <v>-0.16129032258064513</v>
      </c>
      <c r="X1004" s="1303">
        <f>IFERROR(Model!X1004/Model!T1004-1,"NA")</f>
        <v>-9.3023255813953543E-2</v>
      </c>
      <c r="Y1004" s="1303">
        <f>IFERROR(Model!Y1004/Model!U1004-1,"NA")</f>
        <v>-0.10263157894736841</v>
      </c>
      <c r="Z1004" s="1303">
        <f>IFERROR(Model!Z1004/Model!V1004-1,"NA")</f>
        <v>-3.9886039886039892E-2</v>
      </c>
      <c r="AA1004" s="1303">
        <f>IFERROR(Model!AA1004/Model!W1004-1,"NA")</f>
        <v>-8.8757396449703485E-3</v>
      </c>
      <c r="AB1004" s="1303">
        <f>IFERROR(Model!AB1004/Model!X1004-1,"NA")</f>
        <v>-3.7037037037037202E-2</v>
      </c>
      <c r="AC1004" s="1336" t="str">
        <f>IFERROR(Model!AC1004/Model!Y1004-1,"NA")</f>
        <v>NA</v>
      </c>
      <c r="AD1004" s="1336" t="str">
        <f>IFERROR(Model!AD1004/Model!Z1004-1,"NA")</f>
        <v>NA</v>
      </c>
      <c r="AE1004" s="1336" t="str">
        <f>IFERROR(Model!AE1004/Model!AA1004-1,"NA")</f>
        <v>NA</v>
      </c>
      <c r="AF1004" s="1336" t="str">
        <f>IFERROR(Model!AF1004/Model!AB1004-1,"NA")</f>
        <v>NA</v>
      </c>
      <c r="AG1004" s="1336" t="str">
        <f>IFERROR(Model!AG1004/Model!AC1004-1,"NA")</f>
        <v>NA</v>
      </c>
      <c r="AH1004" s="1336" t="str">
        <f>IFERROR(Model!AH1004/Model!AD1004-1,"NA")</f>
        <v>NA</v>
      </c>
      <c r="AI1004" s="1336" t="str">
        <f>IFERROR(Model!AI1004/Model!AE1004-1,"NA")</f>
        <v>NA</v>
      </c>
      <c r="AJ1004" s="1336"/>
      <c r="AK1004" s="1336"/>
      <c r="AL1004" s="1336"/>
      <c r="AM1004" s="1336"/>
      <c r="AN1004" s="1336"/>
      <c r="AO1004" s="1336"/>
      <c r="AP1004" s="1336"/>
      <c r="AQ1004" s="1336"/>
      <c r="AR1004" s="1236"/>
      <c r="AS1004" s="1523"/>
      <c r="AT1004" s="1336"/>
      <c r="AU1004" s="1263"/>
      <c r="AV1004" s="1263">
        <f>IFERROR(Model!AV1004/Model!AU1004-1,"NA")</f>
        <v>5.5263157894736903E-2</v>
      </c>
      <c r="AW1004" s="1263">
        <f>IFERROR(Model!AW1004/Model!AV1004-1,"NA")</f>
        <v>-1.9950124688279391E-2</v>
      </c>
      <c r="AX1004" s="1263">
        <f>IFERROR(Model!AX1004/Model!AW1004-1,"NA")</f>
        <v>2.5445292620865034E-2</v>
      </c>
      <c r="AY1004" s="1263">
        <f>IFERROR(Model!AY1004/Model!AX1004-1,"NA")</f>
        <v>-0.16129032258064513</v>
      </c>
      <c r="AZ1004" s="1263">
        <f>IFERROR(Model!AZ1004/Model!AY1004-1,"NA")</f>
        <v>-8.8757396449703485E-3</v>
      </c>
      <c r="BA1004" s="1263" t="str">
        <f>IFERROR(Model!BA1004/Model!AZ1004-1,"NA")</f>
        <v>NA</v>
      </c>
      <c r="BB1004" s="1263" t="str">
        <f>IFERROR(Model!BB1004/Model!BA1004-1,"NA")</f>
        <v>NA</v>
      </c>
      <c r="BC1004" s="1263" t="str">
        <f>IFERROR(Model!BC1004/Model!BB1004-1,"NA")</f>
        <v>NA</v>
      </c>
      <c r="BD1004" s="1263" t="str">
        <f>IFERROR(Model!BD1004/Model!BC1004-1,"NA")</f>
        <v>NA</v>
      </c>
      <c r="BE1004" s="1263" t="str">
        <f>IFERROR(Model!BE1004/Model!BD1004-1,"NA")</f>
        <v>NA</v>
      </c>
    </row>
    <row r="1005" spans="1:57" s="674" customFormat="1" x14ac:dyDescent="0.2">
      <c r="A1005" s="839"/>
      <c r="B1005" s="679" t="s">
        <v>77</v>
      </c>
      <c r="D1005" s="1303"/>
      <c r="E1005" s="1303"/>
      <c r="F1005" s="1303"/>
      <c r="G1005" s="1303"/>
      <c r="H1005" s="1303">
        <f>IFERROR(Model!H1005/Model!D1005-1,"NA")</f>
        <v>-6.3291139240507777E-3</v>
      </c>
      <c r="I1005" s="1303">
        <f>IFERROR(Model!I1005/Model!E1005-1,"NA")</f>
        <v>2.9457364341085368E-2</v>
      </c>
      <c r="J1005" s="1303">
        <f>IFERROR(Model!J1005/Model!F1005-1,"NA")</f>
        <v>6.5830721003134807E-2</v>
      </c>
      <c r="K1005" s="1303">
        <f>IFERROR(Model!K1005/Model!G1005-1,"NA")</f>
        <v>9.0163934426229497E-2</v>
      </c>
      <c r="L1005" s="1303">
        <f>IFERROR(Model!L1005/Model!H1005-1,"NA")</f>
        <v>0.10509554140127397</v>
      </c>
      <c r="M1005" s="1303">
        <f>IFERROR(Model!M1005/Model!I1005-1,"NA")</f>
        <v>7.9819277108433617E-2</v>
      </c>
      <c r="N1005" s="1303">
        <f>IFERROR(Model!N1005/Model!J1005-1,"NA")</f>
        <v>-1.9117647058823461E-2</v>
      </c>
      <c r="O1005" s="1303">
        <f>IFERROR(Model!O1005/Model!K1005-1,"NA")</f>
        <v>-5.4135338345864703E-2</v>
      </c>
      <c r="P1005" s="1303">
        <f>IFERROR(Model!P1005/Model!L1005-1,"NA")</f>
        <v>-9.6541786743515878E-2</v>
      </c>
      <c r="Q1005" s="1303">
        <f>IFERROR(Model!Q1005/Model!M1005-1,"NA")</f>
        <v>-0.12412831241283129</v>
      </c>
      <c r="R1005" s="1303">
        <f>IFERROR(Model!R1005/Model!N1005-1,"NA")</f>
        <v>-8.8455772113943065E-2</v>
      </c>
      <c r="S1005" s="1303">
        <f>IFERROR(Model!S1005/Model!O1005-1,"NA")</f>
        <v>-3.3386327503974633E-2</v>
      </c>
      <c r="T1005" s="1303">
        <f>IFERROR(Model!T1005/Model!P1005-1,"NA")</f>
        <v>-1.5948963317384379E-2</v>
      </c>
      <c r="U1005" s="1303">
        <f>IFERROR(Model!U1005/Model!Q1005-1,"NA")</f>
        <v>-2.7070063694267454E-2</v>
      </c>
      <c r="V1005" s="1303">
        <f>IFERROR(Model!V1005/Model!R1005-1,"NA")</f>
        <v>-4.6052631578947345E-2</v>
      </c>
      <c r="W1005" s="1303">
        <f>IFERROR(Model!W1005/Model!S1005-1,"NA")</f>
        <v>-9.8684210526315819E-2</v>
      </c>
      <c r="X1005" s="1303">
        <f>IFERROR(Model!X1005/Model!T1005-1,"NA")</f>
        <v>-4.8622366288492702E-2</v>
      </c>
      <c r="Y1005" s="1303">
        <f>IFERROR(Model!Y1005/Model!U1005-1,"NA")</f>
        <v>1.8003273322422242E-2</v>
      </c>
      <c r="Z1005" s="1303">
        <f>IFERROR(Model!Z1005/Model!V1005-1,"NA")</f>
        <v>0.12758620689655187</v>
      </c>
      <c r="AA1005" s="1303">
        <f>IFERROR(Model!AA1005/Model!W1005-1,"NA")</f>
        <v>0.20985401459854014</v>
      </c>
      <c r="AB1005" s="1303">
        <f>IFERROR(Model!AB1005/Model!X1005-1,"NA")</f>
        <v>0.17546848381601365</v>
      </c>
      <c r="AC1005" s="1336" t="str">
        <f>IFERROR(Model!AC1005/Model!Y1005-1,"NA")</f>
        <v>NA</v>
      </c>
      <c r="AD1005" s="1336" t="str">
        <f>IFERROR(Model!AD1005/Model!Z1005-1,"NA")</f>
        <v>NA</v>
      </c>
      <c r="AE1005" s="1336" t="str">
        <f>IFERROR(Model!AE1005/Model!AA1005-1,"NA")</f>
        <v>NA</v>
      </c>
      <c r="AF1005" s="1336" t="str">
        <f>IFERROR(Model!AF1005/Model!AB1005-1,"NA")</f>
        <v>NA</v>
      </c>
      <c r="AG1005" s="1336" t="str">
        <f>IFERROR(Model!AG1005/Model!AC1005-1,"NA")</f>
        <v>NA</v>
      </c>
      <c r="AH1005" s="1336" t="str">
        <f>IFERROR(Model!AH1005/Model!AD1005-1,"NA")</f>
        <v>NA</v>
      </c>
      <c r="AI1005" s="1336" t="str">
        <f>IFERROR(Model!AI1005/Model!AE1005-1,"NA")</f>
        <v>NA</v>
      </c>
      <c r="AJ1005" s="1336"/>
      <c r="AK1005" s="1336"/>
      <c r="AL1005" s="1336"/>
      <c r="AM1005" s="1336"/>
      <c r="AN1005" s="1336"/>
      <c r="AO1005" s="1336"/>
      <c r="AP1005" s="1336"/>
      <c r="AQ1005" s="1336"/>
      <c r="AR1005" s="1236"/>
      <c r="AS1005" s="1523"/>
      <c r="AT1005" s="1336"/>
      <c r="AU1005" s="1263"/>
      <c r="AV1005" s="1263">
        <f>IFERROR(Model!AV1005/Model!AU1005-1,"NA")</f>
        <v>9.0163934426229497E-2</v>
      </c>
      <c r="AW1005" s="1263">
        <f>IFERROR(Model!AW1005/Model!AV1005-1,"NA")</f>
        <v>-5.4135338345864703E-2</v>
      </c>
      <c r="AX1005" s="1263">
        <f>IFERROR(Model!AX1005/Model!AW1005-1,"NA")</f>
        <v>-3.3386327503974633E-2</v>
      </c>
      <c r="AY1005" s="1263">
        <f>IFERROR(Model!AY1005/Model!AX1005-1,"NA")</f>
        <v>-9.8684210526315819E-2</v>
      </c>
      <c r="AZ1005" s="1263">
        <f>IFERROR(Model!AZ1005/Model!AY1005-1,"NA")</f>
        <v>0.20985401459854014</v>
      </c>
      <c r="BA1005" s="1263" t="str">
        <f>IFERROR(Model!BA1005/Model!AZ1005-1,"NA")</f>
        <v>NA</v>
      </c>
      <c r="BB1005" s="1263" t="str">
        <f>IFERROR(Model!BB1005/Model!BA1005-1,"NA")</f>
        <v>NA</v>
      </c>
      <c r="BC1005" s="1263" t="str">
        <f>IFERROR(Model!BC1005/Model!BB1005-1,"NA")</f>
        <v>NA</v>
      </c>
      <c r="BD1005" s="1263" t="str">
        <f>IFERROR(Model!BD1005/Model!BC1005-1,"NA")</f>
        <v>NA</v>
      </c>
      <c r="BE1005" s="1263" t="str">
        <f>IFERROR(Model!BE1005/Model!BD1005-1,"NA")</f>
        <v>NA</v>
      </c>
    </row>
    <row r="1006" spans="1:57" s="360" customFormat="1" x14ac:dyDescent="0.2">
      <c r="A1006" s="840"/>
      <c r="C1006" s="360" t="s">
        <v>95</v>
      </c>
      <c r="D1006" s="1334"/>
      <c r="E1006" s="1334"/>
      <c r="F1006" s="1334"/>
      <c r="G1006" s="1334"/>
      <c r="H1006" s="1334">
        <f>IFERROR(Model!H1006/Model!D1006-1,"NA")</f>
        <v>8.4008528784648151E-2</v>
      </c>
      <c r="I1006" s="1334">
        <f>IFERROR(Model!I1006/Model!E1006-1,"NA")</f>
        <v>6.519114688128802E-2</v>
      </c>
      <c r="J1006" s="1334">
        <f>IFERROR(Model!J1006/Model!F1006-1,"NA")</f>
        <v>7.7712031558185402E-2</v>
      </c>
      <c r="K1006" s="1334">
        <f>IFERROR(Model!K1006/Model!G1006-1,"NA")</f>
        <v>0.10256410256410264</v>
      </c>
      <c r="L1006" s="1334">
        <f>IFERROR(Model!L1006/Model!H1006-1,"NA")</f>
        <v>0.11565696302124318</v>
      </c>
      <c r="M1006" s="1334">
        <f>IFERROR(Model!M1006/Model!I1006-1,"NA")</f>
        <v>8.5757461276916969E-2</v>
      </c>
      <c r="N1006" s="1334">
        <f>IFERROR(Model!N1006/Model!J1006-1,"NA")</f>
        <v>3.111273792093705E-2</v>
      </c>
      <c r="O1006" s="1334">
        <f>IFERROR(Model!O1006/Model!K1006-1,"NA")</f>
        <v>1.380813953488369E-2</v>
      </c>
      <c r="P1006" s="1334">
        <f>IFERROR(Model!P1006/Model!L1006-1,"NA")</f>
        <v>-2.2204460492503131E-16</v>
      </c>
      <c r="Q1006" s="1334">
        <f>IFERROR(Model!Q1006/Model!M1006-1,"NA")</f>
        <v>2.3660403618650072E-2</v>
      </c>
      <c r="R1006" s="1334">
        <f>IFERROR(Model!R1006/Model!N1006-1,"NA")</f>
        <v>4.1888533901313529E-2</v>
      </c>
      <c r="S1006" s="1334">
        <f>IFERROR(Model!S1006/Model!O1006-1,"NA")</f>
        <v>4.7311827956989294E-2</v>
      </c>
      <c r="T1006" s="1334">
        <f>IFERROR(Model!T1006/Model!P1006-1,"NA")</f>
        <v>6.2411847672778631E-2</v>
      </c>
      <c r="U1006" s="1334">
        <f>IFERROR(Model!U1006/Model!Q1006-1,"NA")</f>
        <v>4.4867437117607212E-2</v>
      </c>
      <c r="V1006" s="1334">
        <f>IFERROR(Model!V1006/Model!R1006-1,"NA")</f>
        <v>5.65587734241908E-2</v>
      </c>
      <c r="W1006" s="1334">
        <f>IFERROR(Model!W1006/Model!S1006-1,"NA")</f>
        <v>2.4298425735797435E-2</v>
      </c>
      <c r="X1006" s="1334">
        <f>IFERROR(Model!X1006/Model!T1006-1,"NA")</f>
        <v>2.2236973116495307E-2</v>
      </c>
      <c r="Y1006" s="1334">
        <f>IFERROR(Model!Y1006/Model!U1006-1,"NA")</f>
        <v>3.9037085230969382E-2</v>
      </c>
      <c r="Z1006" s="1334">
        <f>IFERROR(Model!Z1006/Model!V1006-1,"NA")</f>
        <v>5.6433408577878152E-2</v>
      </c>
      <c r="AA1006" s="1334">
        <f>IFERROR(Model!AA1006/Model!W1006-1,"NA")</f>
        <v>0.1139325091881056</v>
      </c>
      <c r="AB1006" s="1334">
        <f>IFERROR(Model!AB1006/Model!X1006-1,"NA")</f>
        <v>0.12954545454545441</v>
      </c>
      <c r="AC1006" s="1334">
        <f>IFERROR(Model!AC1006/Model!Y1006-1,"NA")</f>
        <v>0.1110144020037569</v>
      </c>
      <c r="AD1006" s="1334">
        <f>IFERROR(Model!AD1006/Model!Z1006-1,"NA")</f>
        <v>9.945320512820488E-2</v>
      </c>
      <c r="AE1006" s="1334">
        <f>IFERROR(Model!AE1006/Model!AA1006-1,"NA")</f>
        <v>9.653144286142723E-2</v>
      </c>
      <c r="AF1006" s="1334">
        <f>IFERROR(Model!AF1006/Model!AB1006-1,"NA")</f>
        <v>7.1846089999999752E-2</v>
      </c>
      <c r="AG1006" s="1334">
        <f>IFERROR(Model!AG1006/Model!AC1006-1,"NA")</f>
        <v>7.1846089999999752E-2</v>
      </c>
      <c r="AH1006" s="1334">
        <f>IFERROR(Model!AH1006/Model!AD1006-1,"NA")</f>
        <v>8.2406149999999734E-2</v>
      </c>
      <c r="AI1006" s="1334">
        <f>IFERROR(Model!AI1006/Model!AE1006-1,"NA")</f>
        <v>9.3070249999999799E-2</v>
      </c>
      <c r="AJ1006" s="1334"/>
      <c r="AK1006" s="1334"/>
      <c r="AL1006" s="1334"/>
      <c r="AM1006" s="1334"/>
      <c r="AN1006" s="1334"/>
      <c r="AO1006" s="1334"/>
      <c r="AP1006" s="1334"/>
      <c r="AQ1006" s="1334"/>
      <c r="AR1006" s="1236"/>
      <c r="AS1006" s="1532"/>
      <c r="AT1006" s="1532"/>
      <c r="AU1006" s="1409"/>
      <c r="AV1006" s="1409">
        <f>IFERROR(Model!AV1006/Model!AU1006-1,"NA")</f>
        <v>0.10256410256410264</v>
      </c>
      <c r="AW1006" s="1409">
        <f>IFERROR(Model!AW1006/Model!AV1006-1,"NA")</f>
        <v>1.380813953488369E-2</v>
      </c>
      <c r="AX1006" s="1409">
        <f>IFERROR(Model!AX1006/Model!AW1006-1,"NA")</f>
        <v>4.7311827956989294E-2</v>
      </c>
      <c r="AY1006" s="1409">
        <f>IFERROR(Model!AY1006/Model!AX1006-1,"NA")</f>
        <v>2.4298425735797435E-2</v>
      </c>
      <c r="AZ1006" s="1409">
        <f>IFERROR(Model!AZ1006/Model!AY1006-1,"NA")</f>
        <v>0.1139325091881056</v>
      </c>
      <c r="BA1006" s="1409">
        <f>IFERROR(Model!BA1006/Model!AZ1006-1,"NA")</f>
        <v>9.653144286142723E-2</v>
      </c>
      <c r="BB1006" s="1334">
        <f>IFERROR(Model!BB1006/Model!BA1006-1,"NA")</f>
        <v>9.3070249999999799E-2</v>
      </c>
      <c r="BC1006" s="1334">
        <f>IFERROR(Model!BC1006/Model!BB1006-1,"NA")</f>
        <v>7.0000000000000062E-2</v>
      </c>
      <c r="BD1006" s="1334">
        <f>IFERROR(Model!BD1006/Model!BC1006-1,"NA")</f>
        <v>7.0000000000000062E-2</v>
      </c>
      <c r="BE1006" s="1334">
        <f>IFERROR(Model!BE1006/Model!BD1006-1,"NA")</f>
        <v>6.0000000000000053E-2</v>
      </c>
    </row>
    <row r="1007" spans="1:57" s="674" customFormat="1" x14ac:dyDescent="0.2">
      <c r="A1007" s="837"/>
      <c r="B1007" s="329"/>
      <c r="C1007" s="329"/>
      <c r="D1007" s="1519"/>
      <c r="E1007" s="1519"/>
      <c r="F1007" s="1519"/>
      <c r="G1007" s="1519"/>
      <c r="H1007" s="1519"/>
      <c r="I1007" s="1519"/>
      <c r="J1007" s="1519"/>
      <c r="K1007" s="1519"/>
      <c r="L1007" s="1519"/>
      <c r="M1007" s="1519"/>
      <c r="N1007" s="1519"/>
      <c r="O1007" s="1519"/>
      <c r="P1007" s="1519"/>
      <c r="Q1007" s="1519"/>
      <c r="R1007" s="1519"/>
      <c r="S1007" s="1519"/>
      <c r="T1007" s="1519"/>
      <c r="U1007" s="1519"/>
      <c r="V1007" s="1519"/>
      <c r="W1007" s="1519"/>
      <c r="X1007" s="1519"/>
      <c r="Y1007" s="1519"/>
      <c r="Z1007" s="1519"/>
      <c r="AA1007" s="1519"/>
      <c r="AB1007" s="1519"/>
      <c r="AC1007" s="1519"/>
      <c r="AD1007" s="1519"/>
      <c r="AE1007" s="1519"/>
      <c r="AF1007" s="1519"/>
      <c r="AG1007" s="1519"/>
      <c r="AH1007" s="1519"/>
      <c r="AI1007" s="1519"/>
      <c r="AJ1007" s="1519"/>
      <c r="AK1007" s="1519"/>
      <c r="AL1007" s="1519"/>
      <c r="AM1007" s="1519"/>
      <c r="AN1007" s="1519"/>
      <c r="AO1007" s="1519"/>
      <c r="AP1007" s="1519"/>
      <c r="AQ1007" s="1519"/>
      <c r="AR1007" s="1236"/>
      <c r="AS1007" s="1519"/>
      <c r="AT1007" s="1519"/>
      <c r="AU1007" s="1336"/>
      <c r="AV1007" s="1336"/>
      <c r="AW1007" s="1336"/>
      <c r="AX1007" s="1336"/>
      <c r="AY1007" s="1336"/>
      <c r="AZ1007" s="1336"/>
      <c r="BA1007" s="1336"/>
      <c r="BB1007" s="1519"/>
      <c r="BC1007" s="1519"/>
      <c r="BD1007" s="1519"/>
      <c r="BE1007" s="1519"/>
    </row>
    <row r="1008" spans="1:57" s="674" customFormat="1" ht="12" thickBot="1" x14ac:dyDescent="0.25">
      <c r="A1008" s="837"/>
      <c r="B1008" s="680" t="s">
        <v>136</v>
      </c>
      <c r="C1008" s="680"/>
      <c r="D1008" s="1536"/>
      <c r="E1008" s="1536"/>
      <c r="F1008" s="1536"/>
      <c r="G1008" s="1536"/>
      <c r="H1008" s="1536">
        <f>IFERROR(Model!H1008/Model!D1008-1,"NA")</f>
        <v>-2.7773491745102241E-3</v>
      </c>
      <c r="I1008" s="1536">
        <f>IFERROR(Model!I1008/Model!E1008-1,"NA")</f>
        <v>-1.7251908396946458E-2</v>
      </c>
      <c r="J1008" s="1536">
        <f>IFERROR(Model!J1008/Model!F1008-1,"NA")</f>
        <v>-1.3667425968110214E-3</v>
      </c>
      <c r="K1008" s="1536">
        <f>IFERROR(Model!K1008/Model!G1008-1,"NA")</f>
        <v>1.5410436374732939E-2</v>
      </c>
      <c r="L1008" s="1536">
        <f>IFERROR(Model!L1008/Model!H1008-1,"NA")</f>
        <v>2.7696116354634315E-2</v>
      </c>
      <c r="M1008" s="1536">
        <f>IFERROR(Model!M1008/Model!I1008-1,"NA")</f>
        <v>3.697374553363364E-2</v>
      </c>
      <c r="N1008" s="1536">
        <f>IFERROR(Model!N1008/Model!J1008-1,"NA")</f>
        <v>-5.7785888077858116E-3</v>
      </c>
      <c r="O1008" s="1536">
        <f>IFERROR(Model!O1008/Model!K1008-1,"NA")</f>
        <v>-3.140495867768589E-2</v>
      </c>
      <c r="P1008" s="1536">
        <f>IFERROR(Model!P1008/Model!L1008-1,"NA")</f>
        <v>-6.5040650406504086E-2</v>
      </c>
      <c r="Q1008" s="1536">
        <f>IFERROR(Model!Q1008/Model!M1008-1,"NA")</f>
        <v>-5.3033707865168478E-2</v>
      </c>
      <c r="R1008" s="1536">
        <f>IFERROR(Model!R1008/Model!N1008-1,"NA")</f>
        <v>-4.8026919547262126E-2</v>
      </c>
      <c r="S1008" s="1536">
        <f>IFERROR(Model!S1008/Model!O1008-1,"NA")</f>
        <v>-4.1731306236425625E-2</v>
      </c>
      <c r="T1008" s="1536">
        <f>IFERROR(Model!T1008/Model!P1008-1,"NA")</f>
        <v>-3.3816425120772875E-3</v>
      </c>
      <c r="U1008" s="1536">
        <f>IFERROR(Model!U1008/Model!Q1008-1,"NA")</f>
        <v>2.2148394241416902E-3</v>
      </c>
      <c r="V1008" s="1536">
        <f>IFERROR(Model!V1008/Model!R1008-1,"NA")</f>
        <v>2.5867609254498714E-2</v>
      </c>
      <c r="W1008" s="1536">
        <f>IFERROR(Model!W1008/Model!S1008-1,"NA")</f>
        <v>1.0846689331390769E-2</v>
      </c>
      <c r="X1008" s="1536">
        <f>IFERROR(Model!X1008/Model!T1008-1,"NA")</f>
        <v>1.5672968169332835E-2</v>
      </c>
      <c r="Y1008" s="1536">
        <f>IFERROR(Model!Y1008/Model!U1008-1,"NA")</f>
        <v>1.7521704814522421E-2</v>
      </c>
      <c r="Z1008" s="1536">
        <f>IFERROR(Model!Z1008/Model!V1008-1,"NA")</f>
        <v>2.2866092404072003E-2</v>
      </c>
      <c r="AA1008" s="1536">
        <f>IFERROR(Model!AA1008/Model!W1008-1,"NA")</f>
        <v>6.8225496476617353E-2</v>
      </c>
      <c r="AB1008" s="1536">
        <f>IFERROR(Model!AB1008/Model!X1008-1,"NA")</f>
        <v>7.0474069360483504E-2</v>
      </c>
      <c r="AC1008" s="1536">
        <f>IFERROR(Model!AC1008/Model!Y1008-1,"NA")</f>
        <v>5.5701210052746086E-2</v>
      </c>
      <c r="AD1008" s="1536">
        <f>IFERROR(Model!AD1008/Model!Z1008-1,"NA")</f>
        <v>5.4349226764661029E-2</v>
      </c>
      <c r="AE1008" s="1536">
        <f>IFERROR(Model!AE1008/Model!AA1008-1,"NA")</f>
        <v>4.8377589955022282E-2</v>
      </c>
      <c r="AF1008" s="1536">
        <f>IFERROR(Model!AF1008/Model!AB1008-1,"NA")</f>
        <v>4.7866785821072622E-2</v>
      </c>
      <c r="AG1008" s="1536">
        <f>IFERROR(Model!AG1008/Model!AC1008-1,"NA")</f>
        <v>4.8709113670230009E-2</v>
      </c>
      <c r="AH1008" s="1536">
        <f>IFERROR(Model!AH1008/Model!AD1008-1,"NA")</f>
        <v>5.5395774657415853E-2</v>
      </c>
      <c r="AI1008" s="1536">
        <f>IFERROR(Model!AI1008/Model!AE1008-1,"NA")</f>
        <v>6.2143591755973615E-2</v>
      </c>
      <c r="AJ1008" s="1747"/>
      <c r="AK1008" s="1747"/>
      <c r="AL1008" s="1747"/>
      <c r="AM1008" s="1747"/>
      <c r="AN1008" s="1747"/>
      <c r="AO1008" s="1747"/>
      <c r="AP1008" s="1747"/>
      <c r="AQ1008" s="1747"/>
      <c r="AR1008" s="1236"/>
      <c r="AS1008" s="1524"/>
      <c r="AT1008" s="1524"/>
      <c r="AU1008" s="1332"/>
      <c r="AV1008" s="1332">
        <f>IFERROR(Model!AV1008/Model!AU1008-1,"NA")</f>
        <v>1.5410436374732939E-2</v>
      </c>
      <c r="AW1008" s="1332">
        <f>IFERROR(Model!AW1008/Model!AV1008-1,"NA")</f>
        <v>-3.140495867768589E-2</v>
      </c>
      <c r="AX1008" s="1332">
        <f>IFERROR(Model!AX1008/Model!AW1008-1,"NA")</f>
        <v>-4.1731306236425625E-2</v>
      </c>
      <c r="AY1008" s="1332">
        <f>IFERROR(Model!AY1008/Model!AX1008-1,"NA")</f>
        <v>1.0846689331390769E-2</v>
      </c>
      <c r="AZ1008" s="1332">
        <f>IFERROR(Model!AZ1008/Model!AY1008-1,"NA")</f>
        <v>6.8225496476617353E-2</v>
      </c>
      <c r="BA1008" s="1332">
        <f>IFERROR(Model!BA1008/Model!AZ1008-1,"NA")</f>
        <v>4.8377589955022282E-2</v>
      </c>
      <c r="BB1008" s="1536">
        <f>IFERROR(Model!BB1008/Model!BA1008-1,"NA")</f>
        <v>6.2143591755973615E-2</v>
      </c>
      <c r="BC1008" s="1536">
        <f>IFERROR(Model!BC1008/Model!BB1008-1,"NA")</f>
        <v>5.3486389773909959E-2</v>
      </c>
      <c r="BD1008" s="1536">
        <f>IFERROR(Model!BD1008/Model!BC1008-1,"NA")</f>
        <v>5.5131173901125541E-2</v>
      </c>
      <c r="BE1008" s="1536">
        <f>IFERROR(Model!BE1008/Model!BD1008-1,"NA")</f>
        <v>5.069278148347256E-2</v>
      </c>
    </row>
    <row r="1009" spans="1:57" s="193" customFormat="1" ht="12" thickTop="1" x14ac:dyDescent="0.2">
      <c r="A1009" s="841"/>
      <c r="B1009" s="149"/>
      <c r="C1009" s="151" t="s">
        <v>237</v>
      </c>
      <c r="D1009" s="1537"/>
      <c r="E1009" s="1537"/>
      <c r="F1009" s="1537"/>
      <c r="G1009" s="1537"/>
      <c r="H1009" s="1537"/>
      <c r="I1009" s="1537"/>
      <c r="J1009" s="1537"/>
      <c r="K1009" s="1537"/>
      <c r="L1009" s="1537"/>
      <c r="M1009" s="1537"/>
      <c r="N1009" s="1537"/>
      <c r="O1009" s="1537"/>
      <c r="P1009" s="1537"/>
      <c r="Q1009" s="1537"/>
      <c r="R1009" s="1537"/>
      <c r="S1009" s="1537"/>
      <c r="T1009" s="1537"/>
      <c r="U1009" s="1537"/>
      <c r="V1009" s="1537"/>
      <c r="W1009" s="1537"/>
      <c r="X1009" s="1537"/>
      <c r="Y1009" s="1537"/>
      <c r="Z1009" s="1537"/>
      <c r="AA1009" s="1537"/>
      <c r="AB1009" s="1537"/>
      <c r="AC1009" s="1537"/>
      <c r="AD1009" s="1537"/>
      <c r="AE1009" s="1537"/>
      <c r="AF1009" s="1537"/>
      <c r="AG1009" s="1537"/>
      <c r="AH1009" s="1537"/>
      <c r="AI1009" s="1537"/>
      <c r="AJ1009" s="1537"/>
      <c r="AK1009" s="1537"/>
      <c r="AL1009" s="1537"/>
      <c r="AM1009" s="1537"/>
      <c r="AN1009" s="1537"/>
      <c r="AO1009" s="1537"/>
      <c r="AP1009" s="1537"/>
      <c r="AQ1009" s="1537"/>
      <c r="AR1009" s="1236"/>
      <c r="AS1009" s="1519"/>
      <c r="AT1009" s="1538"/>
      <c r="AU1009" s="1537"/>
      <c r="AV1009" s="1537"/>
      <c r="AW1009" s="1537"/>
      <c r="AX1009" s="1537"/>
      <c r="AY1009" s="1537"/>
      <c r="AZ1009" s="1537"/>
      <c r="BA1009" s="1537"/>
      <c r="BB1009" s="1537"/>
      <c r="BC1009" s="1537"/>
      <c r="BD1009" s="1537"/>
      <c r="BE1009" s="1537"/>
    </row>
    <row r="1010" spans="1:57" x14ac:dyDescent="0.2">
      <c r="D1010" s="407"/>
      <c r="E1010" s="407"/>
      <c r="F1010" s="407"/>
      <c r="G1010" s="407"/>
      <c r="H1010" s="407"/>
      <c r="I1010" s="407"/>
      <c r="J1010" s="407"/>
      <c r="K1010" s="407"/>
      <c r="L1010" s="407"/>
      <c r="M1010" s="407"/>
      <c r="N1010" s="407"/>
      <c r="O1010" s="407"/>
      <c r="P1010" s="407"/>
      <c r="Q1010" s="407"/>
      <c r="R1010" s="407"/>
      <c r="S1010" s="407"/>
      <c r="T1010" s="407"/>
      <c r="U1010" s="407"/>
      <c r="V1010" s="407"/>
      <c r="W1010" s="407"/>
      <c r="X1010" s="407"/>
      <c r="Y1010" s="407"/>
      <c r="Z1010" s="407"/>
      <c r="AA1010" s="407"/>
      <c r="AB1010" s="407"/>
      <c r="AC1010" s="407"/>
      <c r="AD1010" s="407"/>
      <c r="AE1010" s="407"/>
      <c r="AF1010" s="407"/>
      <c r="AG1010" s="407"/>
      <c r="AH1010" s="407"/>
      <c r="AI1010" s="407"/>
      <c r="AJ1010" s="407"/>
      <c r="AK1010" s="407"/>
      <c r="AL1010" s="407"/>
      <c r="AM1010" s="407"/>
      <c r="AN1010" s="407"/>
      <c r="AO1010" s="407"/>
      <c r="AP1010" s="407"/>
      <c r="AQ1010" s="407"/>
      <c r="AR1010" s="1236"/>
      <c r="AS1010" s="1382"/>
      <c r="AT1010" s="407"/>
      <c r="AU1010" s="1236"/>
      <c r="AV1010" s="1236"/>
      <c r="AW1010" s="1236"/>
      <c r="AX1010" s="1236"/>
      <c r="AY1010" s="1236"/>
      <c r="AZ1010" s="1236"/>
      <c r="BA1010" s="1236"/>
      <c r="BB1010" s="1236"/>
      <c r="BC1010" s="1236"/>
      <c r="BD1010" s="1236"/>
      <c r="BE1010" s="1236"/>
    </row>
    <row r="1011" spans="1:57" x14ac:dyDescent="0.2">
      <c r="A1011" s="411" t="s">
        <v>194</v>
      </c>
      <c r="B1011" s="13" t="s">
        <v>605</v>
      </c>
      <c r="C1011" s="13"/>
      <c r="D1011" s="1369"/>
      <c r="E1011" s="1369"/>
      <c r="F1011" s="1369"/>
      <c r="G1011" s="1369"/>
      <c r="H1011" s="1369"/>
      <c r="I1011" s="1369"/>
      <c r="J1011" s="1369"/>
      <c r="K1011" s="1369"/>
      <c r="L1011" s="1369"/>
      <c r="M1011" s="1369"/>
      <c r="N1011" s="1369"/>
      <c r="O1011" s="1369"/>
      <c r="P1011" s="1369"/>
      <c r="Q1011" s="1369"/>
      <c r="R1011" s="1369"/>
      <c r="S1011" s="1369"/>
      <c r="T1011" s="1369"/>
      <c r="U1011" s="1369"/>
      <c r="V1011" s="1369"/>
      <c r="W1011" s="1369"/>
      <c r="X1011" s="1369"/>
      <c r="Y1011" s="1369"/>
      <c r="Z1011" s="1369"/>
      <c r="AA1011" s="1369"/>
      <c r="AB1011" s="1369"/>
      <c r="AC1011" s="1369"/>
      <c r="AD1011" s="1369"/>
      <c r="AE1011" s="1369"/>
      <c r="AF1011" s="1369"/>
      <c r="AG1011" s="1369"/>
      <c r="AH1011" s="1369"/>
      <c r="AI1011" s="1369"/>
      <c r="AJ1011" s="1369"/>
      <c r="AK1011" s="1369"/>
      <c r="AL1011" s="1369"/>
      <c r="AM1011" s="1369"/>
      <c r="AN1011" s="1369"/>
      <c r="AO1011" s="1369"/>
      <c r="AP1011" s="1369"/>
      <c r="AQ1011" s="1369"/>
      <c r="AR1011" s="1236"/>
      <c r="AS1011" s="1370"/>
      <c r="AT1011" s="1370"/>
      <c r="AU1011" s="1370"/>
      <c r="AV1011" s="1370"/>
      <c r="AW1011" s="1370"/>
      <c r="AX1011" s="1370"/>
      <c r="AY1011" s="1370"/>
      <c r="AZ1011" s="1370"/>
      <c r="BA1011" s="1370"/>
      <c r="BB1011" s="1370"/>
      <c r="BC1011" s="1370"/>
      <c r="BD1011" s="1370"/>
      <c r="BE1011" s="1370"/>
    </row>
    <row r="1012" spans="1:57" x14ac:dyDescent="0.2">
      <c r="B1012" s="363"/>
      <c r="D1012" s="407"/>
      <c r="E1012" s="407"/>
      <c r="F1012" s="407"/>
      <c r="G1012" s="407"/>
      <c r="H1012" s="407"/>
      <c r="I1012" s="407"/>
      <c r="J1012" s="407"/>
      <c r="K1012" s="407"/>
      <c r="L1012" s="407"/>
      <c r="M1012" s="407"/>
      <c r="N1012" s="407"/>
      <c r="O1012" s="407"/>
      <c r="P1012" s="407"/>
      <c r="Q1012" s="407"/>
      <c r="R1012" s="407"/>
      <c r="S1012" s="407"/>
      <c r="T1012" s="407"/>
      <c r="U1012" s="407"/>
      <c r="V1012" s="407"/>
      <c r="W1012" s="407"/>
      <c r="X1012" s="407"/>
      <c r="Y1012" s="407"/>
      <c r="Z1012" s="407"/>
      <c r="AA1012" s="407"/>
      <c r="AB1012" s="407"/>
      <c r="AC1012" s="407"/>
      <c r="AD1012" s="407"/>
      <c r="AE1012" s="407"/>
      <c r="AF1012" s="407"/>
      <c r="AG1012" s="407"/>
      <c r="AH1012" s="407"/>
      <c r="AI1012" s="407"/>
      <c r="AJ1012" s="407"/>
      <c r="AK1012" s="407"/>
      <c r="AL1012" s="407"/>
      <c r="AM1012" s="407"/>
      <c r="AN1012" s="407"/>
      <c r="AO1012" s="407"/>
      <c r="AP1012" s="407"/>
      <c r="AQ1012" s="407"/>
      <c r="AR1012" s="1236"/>
      <c r="AS1012" s="1448"/>
      <c r="AT1012" s="407"/>
      <c r="AU1012" s="1236"/>
      <c r="AV1012" s="1236"/>
      <c r="AW1012" s="1236"/>
      <c r="AX1012" s="1236"/>
      <c r="AY1012" s="1236"/>
      <c r="AZ1012" s="1236"/>
      <c r="BA1012" s="1236"/>
      <c r="BB1012" s="1236"/>
      <c r="BC1012" s="1236"/>
      <c r="BD1012" s="1236"/>
      <c r="BE1012" s="1236"/>
    </row>
    <row r="1013" spans="1:57" s="674" customFormat="1" x14ac:dyDescent="0.2">
      <c r="A1013" s="837"/>
      <c r="B1013" s="670" t="s">
        <v>100</v>
      </c>
      <c r="C1013" s="671"/>
      <c r="D1013" s="1515"/>
      <c r="E1013" s="1515"/>
      <c r="F1013" s="1515"/>
      <c r="G1013" s="1515"/>
      <c r="H1013" s="1515"/>
      <c r="I1013" s="1515"/>
      <c r="J1013" s="1515"/>
      <c r="K1013" s="1515"/>
      <c r="L1013" s="1515"/>
      <c r="M1013" s="1516"/>
      <c r="N1013" s="1516"/>
      <c r="O1013" s="1516"/>
      <c r="P1013" s="1516"/>
      <c r="Q1013" s="1516"/>
      <c r="R1013" s="1516"/>
      <c r="S1013" s="1516"/>
      <c r="T1013" s="1516"/>
      <c r="U1013" s="1516"/>
      <c r="V1013" s="1516"/>
      <c r="W1013" s="1517"/>
      <c r="X1013" s="1515"/>
      <c r="Y1013" s="1515"/>
      <c r="Z1013" s="1515"/>
      <c r="AA1013" s="1515"/>
      <c r="AB1013" s="1515"/>
      <c r="AC1013" s="1515"/>
      <c r="AD1013" s="1515"/>
      <c r="AE1013" s="1515"/>
      <c r="AF1013" s="1515"/>
      <c r="AG1013" s="1515"/>
      <c r="AH1013" s="1515"/>
      <c r="AI1013" s="1515"/>
      <c r="AJ1013" s="1515"/>
      <c r="AK1013" s="1515"/>
      <c r="AL1013" s="1515"/>
      <c r="AM1013" s="1515"/>
      <c r="AN1013" s="1515"/>
      <c r="AO1013" s="1515"/>
      <c r="AP1013" s="1515"/>
      <c r="AQ1013" s="1515"/>
      <c r="AR1013" s="1236"/>
      <c r="AS1013" s="1518"/>
      <c r="AT1013" s="1515"/>
      <c r="AU1013" s="1518"/>
      <c r="AV1013" s="1518"/>
      <c r="AW1013" s="1518"/>
      <c r="AX1013" s="1518"/>
      <c r="AY1013" s="1518"/>
      <c r="AZ1013" s="1518"/>
      <c r="BA1013" s="1518"/>
      <c r="BB1013" s="1518"/>
      <c r="BC1013" s="1518"/>
      <c r="BD1013" s="1518"/>
      <c r="BE1013" s="1518"/>
    </row>
    <row r="1014" spans="1:57" x14ac:dyDescent="0.2">
      <c r="B1014" s="363"/>
      <c r="D1014" s="407"/>
      <c r="E1014" s="407"/>
      <c r="F1014" s="407"/>
      <c r="G1014" s="407"/>
      <c r="H1014" s="407"/>
      <c r="I1014" s="407"/>
      <c r="J1014" s="407"/>
      <c r="K1014" s="407"/>
      <c r="L1014" s="407"/>
      <c r="M1014" s="407"/>
      <c r="N1014" s="407"/>
      <c r="O1014" s="407"/>
      <c r="P1014" s="407"/>
      <c r="Q1014" s="407"/>
      <c r="R1014" s="407"/>
      <c r="S1014" s="407"/>
      <c r="T1014" s="407"/>
      <c r="U1014" s="407"/>
      <c r="V1014" s="407"/>
      <c r="W1014" s="407"/>
      <c r="X1014" s="407"/>
      <c r="Y1014" s="407"/>
      <c r="Z1014" s="407"/>
      <c r="AA1014" s="407"/>
      <c r="AB1014" s="407"/>
      <c r="AC1014" s="407"/>
      <c r="AD1014" s="407"/>
      <c r="AE1014" s="407"/>
      <c r="AF1014" s="407"/>
      <c r="AG1014" s="407"/>
      <c r="AH1014" s="407"/>
      <c r="AI1014" s="407"/>
      <c r="AJ1014" s="407"/>
      <c r="AK1014" s="407"/>
      <c r="AL1014" s="407"/>
      <c r="AM1014" s="407"/>
      <c r="AN1014" s="407"/>
      <c r="AO1014" s="407"/>
      <c r="AP1014" s="407"/>
      <c r="AQ1014" s="407"/>
      <c r="AR1014" s="1236"/>
      <c r="AS1014" s="1448"/>
      <c r="AT1014" s="407"/>
      <c r="AU1014" s="1236"/>
      <c r="AV1014" s="1236"/>
      <c r="AW1014" s="1236"/>
      <c r="AX1014" s="1236"/>
      <c r="AY1014" s="1236"/>
      <c r="AZ1014" s="1236"/>
      <c r="BA1014" s="1236"/>
      <c r="BB1014" s="1236"/>
      <c r="BC1014" s="1236"/>
      <c r="BD1014" s="1236"/>
      <c r="BE1014" s="1236"/>
    </row>
    <row r="1015" spans="1:57" x14ac:dyDescent="0.2">
      <c r="B1015" s="680" t="s">
        <v>76</v>
      </c>
      <c r="C1015" s="675"/>
      <c r="D1015" s="1236"/>
      <c r="E1015" s="1236"/>
      <c r="F1015" s="1236"/>
      <c r="G1015" s="1236"/>
      <c r="H1015" s="1236"/>
      <c r="I1015" s="1236"/>
      <c r="J1015" s="1236"/>
      <c r="K1015" s="1236"/>
      <c r="L1015" s="1236"/>
      <c r="M1015" s="1236"/>
      <c r="N1015" s="1236"/>
      <c r="O1015" s="1236"/>
      <c r="P1015" s="1236"/>
      <c r="Q1015" s="1236"/>
      <c r="R1015" s="1236"/>
      <c r="S1015" s="1236"/>
      <c r="T1015" s="1236"/>
      <c r="U1015" s="1236"/>
      <c r="V1015" s="1236"/>
      <c r="W1015" s="1236"/>
      <c r="X1015" s="1236"/>
      <c r="Y1015" s="1236"/>
      <c r="Z1015" s="1236"/>
      <c r="AA1015" s="1236"/>
      <c r="AB1015" s="1236"/>
      <c r="AC1015" s="1236"/>
      <c r="AD1015" s="1236"/>
      <c r="AE1015" s="1236"/>
      <c r="AF1015" s="1236"/>
      <c r="AG1015" s="1236"/>
      <c r="AH1015" s="1236"/>
      <c r="AI1015" s="1236"/>
      <c r="AJ1015" s="1236"/>
      <c r="AK1015" s="1236"/>
      <c r="AL1015" s="1236"/>
      <c r="AM1015" s="1236"/>
      <c r="AN1015" s="1236"/>
      <c r="AO1015" s="1236"/>
      <c r="AP1015" s="1236"/>
      <c r="AQ1015" s="1236"/>
      <c r="AR1015" s="1236"/>
      <c r="AS1015" s="1524"/>
      <c r="AT1015" s="1522"/>
      <c r="AU1015" s="1236"/>
      <c r="AV1015" s="1236"/>
      <c r="AW1015" s="1236"/>
      <c r="AX1015" s="1236"/>
      <c r="AY1015" s="1236"/>
      <c r="AZ1015" s="1236"/>
      <c r="BA1015" s="1236"/>
      <c r="BB1015" s="1236"/>
      <c r="BC1015" s="1236"/>
      <c r="BD1015" s="1236"/>
      <c r="BE1015" s="1236"/>
    </row>
    <row r="1016" spans="1:57" x14ac:dyDescent="0.2">
      <c r="B1016" s="675" t="s">
        <v>92</v>
      </c>
      <c r="C1016" s="675"/>
      <c r="D1016" s="407"/>
      <c r="E1016" s="407"/>
      <c r="F1016" s="407"/>
      <c r="G1016" s="407"/>
      <c r="H1016" s="407">
        <f>IFERROR(Model!H1016/Model!D1016-1,"NA")</f>
        <v>-4.2304230423042211E-2</v>
      </c>
      <c r="I1016" s="407">
        <f>IFERROR(Model!I1016/Model!E1016-1,"NA")</f>
        <v>-3.6968576709796697E-2</v>
      </c>
      <c r="J1016" s="407">
        <f>IFERROR(Model!J1016/Model!F1016-1,"NA")</f>
        <v>-1.6666666666666607E-2</v>
      </c>
      <c r="K1016" s="407">
        <f>IFERROR(Model!K1016/Model!G1016-1,"NA")</f>
        <v>3.4227567067530273E-2</v>
      </c>
      <c r="L1016" s="407">
        <f>IFERROR(Model!L1016/Model!H1016-1,"NA")</f>
        <v>4.4172932330826864E-2</v>
      </c>
      <c r="M1016" s="407">
        <f>IFERROR(Model!M1016/Model!I1016-1,"NA")</f>
        <v>4.4145873320537543E-2</v>
      </c>
      <c r="N1016" s="407">
        <f>IFERROR(Model!N1016/Model!J1016-1,"NA")</f>
        <v>2.6365348399246757E-2</v>
      </c>
      <c r="O1016" s="407">
        <f>IFERROR(Model!O1016/Model!K1016-1,"NA")</f>
        <v>-1.9677996422182598E-2</v>
      </c>
      <c r="P1016" s="407">
        <f>IFERROR(Model!P1016/Model!L1016-1,"NA")</f>
        <v>-2.7902790279027867E-2</v>
      </c>
      <c r="Q1016" s="407">
        <f>IFERROR(Model!Q1016/Model!M1016-1,"NA")</f>
        <v>-2.7573529411764719E-2</v>
      </c>
      <c r="R1016" s="407">
        <f>IFERROR(Model!R1016/Model!N1016-1,"NA")</f>
        <v>-1.834862385321101E-2</v>
      </c>
      <c r="S1016" s="407">
        <f>IFERROR(Model!S1016/Model!O1016-1,"NA")</f>
        <v>-8.2116788321168199E-3</v>
      </c>
      <c r="T1016" s="407">
        <f>IFERROR(Model!T1016/Model!P1016-1,"NA")</f>
        <v>6.4814814814815325E-3</v>
      </c>
      <c r="U1016" s="407">
        <f>IFERROR(Model!U1016/Model!Q1016-1,"NA")</f>
        <v>3.4026465028355268E-2</v>
      </c>
      <c r="V1016" s="407">
        <f>IFERROR(Model!V1016/Model!R1016-1,"NA")</f>
        <v>0.14766355140186938</v>
      </c>
      <c r="W1016" s="407">
        <f>IFERROR(Model!W1016/Model!S1016-1,"NA")</f>
        <v>0.16835326586936539</v>
      </c>
      <c r="X1016" s="407">
        <f>IFERROR(Model!X1016/Model!T1016-1,"NA")</f>
        <v>0.17663293468261254</v>
      </c>
      <c r="Y1016" s="407">
        <f>IFERROR(Model!Y1016/Model!U1016-1,"NA")</f>
        <v>0.16819012797074939</v>
      </c>
      <c r="Z1016" s="407">
        <f>IFERROR(Model!Z1016/Model!V1016-1,"NA")</f>
        <v>6.6775244299674075E-2</v>
      </c>
      <c r="AA1016" s="407">
        <f>IFERROR(Model!AA1016/Model!W1016-1,"NA")</f>
        <v>5.2755905511810974E-2</v>
      </c>
      <c r="AB1016" s="407">
        <f>IFERROR(Model!AB1016/Model!X1016-1,"NA")</f>
        <v>4.7693510555121277E-2</v>
      </c>
      <c r="AC1016" s="407">
        <f>IFERROR(Model!AC1016/Model!Y1016-1,"NA")</f>
        <v>5.0356025039123731E-2</v>
      </c>
      <c r="AD1016" s="407">
        <f>IFERROR(Model!AD1016/Model!Z1016-1,"NA")</f>
        <v>3.675215648854957E-2</v>
      </c>
      <c r="AE1016" s="407">
        <f>IFERROR(Model!AE1016/Model!AA1016-1,"NA")</f>
        <v>3.6131811144353154E-2</v>
      </c>
      <c r="AF1016" s="407">
        <f>IFERROR(Model!AF1016/Model!AB1016-1,"NA")</f>
        <v>2.5302590554104443E-2</v>
      </c>
      <c r="AG1016" s="407">
        <f>IFERROR(Model!AG1016/Model!AC1016-1,"NA")</f>
        <v>2.5683337119134064E-2</v>
      </c>
      <c r="AH1016" s="407">
        <f>IFERROR(Model!AH1016/Model!AD1016-1,"NA")</f>
        <v>3.2227593279484656E-2</v>
      </c>
      <c r="AI1016" s="407">
        <f>IFERROR(Model!AI1016/Model!AE1016-1,"NA")</f>
        <v>4.0550406271405048E-2</v>
      </c>
      <c r="AJ1016" s="407"/>
      <c r="AK1016" s="407"/>
      <c r="AL1016" s="407"/>
      <c r="AM1016" s="407"/>
      <c r="AN1016" s="407"/>
      <c r="AO1016" s="407"/>
      <c r="AP1016" s="407"/>
      <c r="AQ1016" s="407"/>
      <c r="AR1016" s="1236"/>
      <c r="AS1016" s="1522"/>
      <c r="AT1016" s="1522"/>
      <c r="AU1016" s="1301"/>
      <c r="AV1016" s="1301">
        <f>IFERROR(Model!AV1016/Model!AU1016-1,"NA")</f>
        <v>-1.5617822691777583E-2</v>
      </c>
      <c r="AW1016" s="1301">
        <f>IFERROR(Model!AW1016/Model!AV1016-1,"NA")</f>
        <v>2.3098460102659812E-2</v>
      </c>
      <c r="AX1016" s="1301">
        <f>IFERROR(Model!AX1016/Model!AW1016-1,"NA")</f>
        <v>-2.0524515393386511E-2</v>
      </c>
      <c r="AY1016" s="1301">
        <f>IFERROR(Model!AY1016/Model!AX1016-1,"NA")</f>
        <v>8.9406286379511091E-2</v>
      </c>
      <c r="AZ1016" s="1301">
        <f>IFERROR(Model!AZ1016/Model!AY1016-1,"NA")</f>
        <v>0.11220346227826439</v>
      </c>
      <c r="BA1016" s="1301">
        <f>IFERROR(Model!BA1016/Model!AZ1016-1,"NA")</f>
        <v>4.2622704938508837E-2</v>
      </c>
      <c r="BB1016" s="407">
        <f>IFERROR(Model!BB1016/Model!BA1016-1,"NA")</f>
        <v>3.1023246090462031E-2</v>
      </c>
      <c r="BC1016" s="407">
        <f>IFERROR(Model!BC1016/Model!BB1016-1,"NA")</f>
        <v>4.0000000000000258E-2</v>
      </c>
      <c r="BD1016" s="407">
        <f>IFERROR(Model!BD1016/Model!BC1016-1,"NA")</f>
        <v>4.0000000000000036E-2</v>
      </c>
      <c r="BE1016" s="407">
        <f>IFERROR(Model!BE1016/Model!BD1016-1,"NA")</f>
        <v>4.0000000000000036E-2</v>
      </c>
    </row>
    <row r="1017" spans="1:57" x14ac:dyDescent="0.2">
      <c r="B1017" s="675" t="s">
        <v>74</v>
      </c>
      <c r="C1017" s="675"/>
      <c r="D1017" s="407"/>
      <c r="E1017" s="407"/>
      <c r="F1017" s="407"/>
      <c r="G1017" s="407"/>
      <c r="H1017" s="407">
        <f>IFERROR(Model!H1017/Model!D1017-1,"NA")</f>
        <v>6.9135802469135754E-2</v>
      </c>
      <c r="I1017" s="407">
        <f>IFERROR(Model!I1017/Model!E1017-1,"NA")</f>
        <v>0</v>
      </c>
      <c r="J1017" s="407">
        <f>IFERROR(Model!J1017/Model!F1017-1,"NA")</f>
        <v>4.1162227602905554E-2</v>
      </c>
      <c r="K1017" s="407">
        <f>IFERROR(Model!K1017/Model!G1017-1,"NA")</f>
        <v>4.2654028436018843E-2</v>
      </c>
      <c r="L1017" s="407">
        <f>IFERROR(Model!L1017/Model!H1017-1,"NA")</f>
        <v>3.9260969976905313E-2</v>
      </c>
      <c r="M1017" s="407">
        <f>IFERROR(Model!M1017/Model!I1017-1,"NA")</f>
        <v>0.1119221411192215</v>
      </c>
      <c r="N1017" s="407">
        <f>IFERROR(Model!N1017/Model!J1017-1,"NA")</f>
        <v>9.9999999999999867E-2</v>
      </c>
      <c r="O1017" s="407">
        <f>IFERROR(Model!O1017/Model!K1017-1,"NA")</f>
        <v>0.1045454545454545</v>
      </c>
      <c r="P1017" s="407">
        <f>IFERROR(Model!P1017/Model!L1017-1,"NA")</f>
        <v>6.2222222222222179E-2</v>
      </c>
      <c r="Q1017" s="407">
        <f>IFERROR(Model!Q1017/Model!M1017-1,"NA")</f>
        <v>7.8774617067833619E-2</v>
      </c>
      <c r="R1017" s="407">
        <f>IFERROR(Model!R1017/Model!N1017-1,"NA")</f>
        <v>6.3424947145877431E-2</v>
      </c>
      <c r="S1017" s="407">
        <f>IFERROR(Model!S1017/Model!O1017-1,"NA")</f>
        <v>6.5843621399176877E-2</v>
      </c>
      <c r="T1017" s="407">
        <f>IFERROR(Model!T1017/Model!P1017-1,"NA")</f>
        <v>0.10669456066945604</v>
      </c>
      <c r="U1017" s="407">
        <f>IFERROR(Model!U1017/Model!Q1017-1,"NA")</f>
        <v>0.10344827586206895</v>
      </c>
      <c r="V1017" s="407">
        <f>IFERROR(Model!V1017/Model!R1017-1,"NA")</f>
        <v>9.3439363817097387E-2</v>
      </c>
      <c r="W1017" s="407">
        <f>IFERROR(Model!W1017/Model!S1017-1,"NA")</f>
        <v>6.1776061776061875E-2</v>
      </c>
      <c r="X1017" s="407">
        <f>IFERROR(Model!X1017/Model!T1017-1,"NA")</f>
        <v>4.7258979206049156E-2</v>
      </c>
      <c r="Y1017" s="407">
        <f>IFERROR(Model!Y1017/Model!U1017-1,"NA")</f>
        <v>2.2058823529411908E-2</v>
      </c>
      <c r="Z1017" s="407">
        <f>IFERROR(Model!Z1017/Model!V1017-1,"NA")</f>
        <v>1.2727272727272698E-2</v>
      </c>
      <c r="AA1017" s="407">
        <f>IFERROR(Model!AA1017/Model!W1017-1,"NA")</f>
        <v>1.8181818181818077E-2</v>
      </c>
      <c r="AB1017" s="407">
        <f>IFERROR(Model!AB1017/Model!X1017-1,"NA")</f>
        <v>5.4151624548737232E-3</v>
      </c>
      <c r="AC1017" s="407">
        <f>IFERROR(Model!AC1017/Model!Y1017-1,"NA")</f>
        <v>1.1816546762589919E-2</v>
      </c>
      <c r="AD1017" s="407">
        <f>IFERROR(Model!AD1017/Model!Z1017-1,"NA")</f>
        <v>2.0100000000000007E-2</v>
      </c>
      <c r="AE1017" s="407">
        <f>IFERROR(Model!AE1017/Model!AA1017-1,"NA")</f>
        <v>3.4927882142857358E-2</v>
      </c>
      <c r="AF1017" s="407">
        <f>IFERROR(Model!AF1017/Model!AB1017-1,"NA")</f>
        <v>5.0907019999999914E-2</v>
      </c>
      <c r="AG1017" s="407">
        <f>IFERROR(Model!AG1017/Model!AC1017-1,"NA")</f>
        <v>6.1312040000000012E-2</v>
      </c>
      <c r="AH1017" s="407">
        <f>IFERROR(Model!AH1017/Model!AD1017-1,"NA")</f>
        <v>6.1312040000000012E-2</v>
      </c>
      <c r="AI1017" s="407">
        <f>IFERROR(Model!AI1017/Model!AE1017-1,"NA")</f>
        <v>6.1312040000000012E-2</v>
      </c>
      <c r="AJ1017" s="407"/>
      <c r="AK1017" s="407"/>
      <c r="AL1017" s="407"/>
      <c r="AM1017" s="407"/>
      <c r="AN1017" s="407"/>
      <c r="AO1017" s="407"/>
      <c r="AP1017" s="407"/>
      <c r="AQ1017" s="407"/>
      <c r="AR1017" s="1236"/>
      <c r="AS1017" s="1522"/>
      <c r="AT1017" s="1522"/>
      <c r="AU1017" s="1301"/>
      <c r="AV1017" s="1301">
        <f>IFERROR(Model!AV1017/Model!AU1017-1,"NA")</f>
        <v>3.8158691701998926E-2</v>
      </c>
      <c r="AW1017" s="1301">
        <f>IFERROR(Model!AW1017/Model!AV1017-1,"NA")</f>
        <v>8.8681446907817874E-2</v>
      </c>
      <c r="AX1017" s="1301">
        <f>IFERROR(Model!AX1017/Model!AW1017-1,"NA")</f>
        <v>6.7524115755627001E-2</v>
      </c>
      <c r="AY1017" s="1301">
        <f>IFERROR(Model!AY1017/Model!AX1017-1,"NA")</f>
        <v>9.0863453815261064E-2</v>
      </c>
      <c r="AZ1017" s="1301">
        <f>IFERROR(Model!AZ1017/Model!AY1017-1,"NA")</f>
        <v>2.4850437183616902E-2</v>
      </c>
      <c r="BA1017" s="1301">
        <f>IFERROR(Model!BA1017/Model!AZ1017-1,"NA")</f>
        <v>1.81074602604403E-2</v>
      </c>
      <c r="BB1017" s="407">
        <f>IFERROR(Model!BB1017/Model!BA1017-1,"NA")</f>
        <v>5.8755902111795821E-2</v>
      </c>
      <c r="BC1017" s="407">
        <f>IFERROR(Model!BC1017/Model!BB1017-1,"NA")</f>
        <v>6.0000000000000053E-2</v>
      </c>
      <c r="BD1017" s="407">
        <f>IFERROR(Model!BD1017/Model!BC1017-1,"NA")</f>
        <v>5.0000000000000044E-2</v>
      </c>
      <c r="BE1017" s="407">
        <f>IFERROR(Model!BE1017/Model!BD1017-1,"NA")</f>
        <v>5.0000000000000044E-2</v>
      </c>
    </row>
    <row r="1018" spans="1:57" x14ac:dyDescent="0.2">
      <c r="B1018" s="329"/>
      <c r="C1018" s="329" t="s">
        <v>314</v>
      </c>
      <c r="D1018" s="1256"/>
      <c r="E1018" s="1256"/>
      <c r="F1018" s="1256"/>
      <c r="G1018" s="1256"/>
      <c r="H1018" s="1256">
        <f>IFERROR(Model!H1018/Model!D1018-1,"NA")</f>
        <v>-1.2532981530343101E-2</v>
      </c>
      <c r="I1018" s="1256">
        <f>IFERROR(Model!I1018/Model!E1018-1,"NA")</f>
        <v>-2.679169457468189E-2</v>
      </c>
      <c r="J1018" s="1256">
        <f>IFERROR(Model!J1018/Model!F1018-1,"NA")</f>
        <v>-6.6979236436714995E-4</v>
      </c>
      <c r="K1018" s="1256">
        <f>IFERROR(Model!K1018/Model!G1018-1,"NA")</f>
        <v>3.6593479707252241E-2</v>
      </c>
      <c r="L1018" s="1256">
        <f>IFERROR(Model!L1018/Model!H1018-1,"NA")</f>
        <v>4.2752171008684003E-2</v>
      </c>
      <c r="M1018" s="1256">
        <f>IFERROR(Model!M1018/Model!I1018-1,"NA")</f>
        <v>6.3317274604266949E-2</v>
      </c>
      <c r="N1018" s="1256">
        <f>IFERROR(Model!N1018/Model!J1018-1,"NA")</f>
        <v>4.7587131367292423E-2</v>
      </c>
      <c r="O1018" s="1256">
        <f>IFERROR(Model!O1018/Model!K1018-1,"NA")</f>
        <v>1.5404364569961304E-2</v>
      </c>
      <c r="P1018" s="1256">
        <f>IFERROR(Model!P1018/Model!L1018-1,"NA")</f>
        <v>-1.9218449711722041E-3</v>
      </c>
      <c r="Q1018" s="1256">
        <f>IFERROR(Model!Q1018/Model!M1018-1,"NA")</f>
        <v>3.8834951456312439E-3</v>
      </c>
      <c r="R1018" s="1256">
        <f>IFERROR(Model!R1018/Model!N1018-1,"NA")</f>
        <v>6.3979526551503074E-3</v>
      </c>
      <c r="S1018" s="1256">
        <f>IFERROR(Model!S1018/Model!O1018-1,"NA")</f>
        <v>1.4538558786346467E-2</v>
      </c>
      <c r="T1018" s="1256">
        <f>IFERROR(Model!T1018/Model!P1018-1,"NA")</f>
        <v>3.7227214377406836E-2</v>
      </c>
      <c r="U1018" s="1256">
        <f>IFERROR(Model!U1018/Model!Q1018-1,"NA")</f>
        <v>5.6092843326885689E-2</v>
      </c>
      <c r="V1018" s="1256">
        <f>IFERROR(Model!V1018/Model!R1018-1,"NA")</f>
        <v>0.13032422123331222</v>
      </c>
      <c r="W1018" s="1256">
        <f>IFERROR(Model!W1018/Model!S1018-1,"NA")</f>
        <v>0.13395638629283479</v>
      </c>
      <c r="X1018" s="1256">
        <f>IFERROR(Model!X1018/Model!T1018-1,"NA")</f>
        <v>0.13428217821782162</v>
      </c>
      <c r="Y1018" s="1256">
        <f>IFERROR(Model!Y1018/Model!U1018-1,"NA")</f>
        <v>0.11965811965811968</v>
      </c>
      <c r="Z1018" s="1256">
        <f>IFERROR(Model!Z1018/Model!V1018-1,"NA")</f>
        <v>5.0056242969628739E-2</v>
      </c>
      <c r="AA1018" s="1256">
        <f>IFERROR(Model!AA1018/Model!W1018-1,"NA")</f>
        <v>4.2307692307692157E-2</v>
      </c>
      <c r="AB1018" s="1256">
        <f>IFERROR(Model!AB1018/Model!X1018-1,"NA")</f>
        <v>3.4915439170758455E-2</v>
      </c>
      <c r="AC1018" s="1256">
        <f>IFERROR(Model!AC1018/Model!Y1018-1,"NA")</f>
        <v>3.8672300981461349E-2</v>
      </c>
      <c r="AD1018" s="1256">
        <f>IFERROR(Model!AD1018/Model!Z1018-1,"NA")</f>
        <v>3.1784159078735996E-2</v>
      </c>
      <c r="AE1018" s="1256">
        <f>IFERROR(Model!AE1018/Model!AA1018-1,"NA")</f>
        <v>3.5776407749077643E-2</v>
      </c>
      <c r="AF1018" s="1256">
        <f>IFERROR(Model!AF1018/Model!AB1018-1,"NA")</f>
        <v>3.282060173036383E-2</v>
      </c>
      <c r="AG1018" s="1256">
        <f>IFERROR(Model!AG1018/Model!AC1018-1,"NA")</f>
        <v>3.6205346846387654E-2</v>
      </c>
      <c r="AH1018" s="1256">
        <f>IFERROR(Model!AH1018/Model!AD1018-1,"NA")</f>
        <v>4.0806374164596093E-2</v>
      </c>
      <c r="AI1018" s="1256">
        <f>IFERROR(Model!AI1018/Model!AE1018-1,"NA")</f>
        <v>4.6674280941811697E-2</v>
      </c>
      <c r="AJ1018" s="1256"/>
      <c r="AK1018" s="1256"/>
      <c r="AL1018" s="1256"/>
      <c r="AM1018" s="1256"/>
      <c r="AN1018" s="1256"/>
      <c r="AO1018" s="1256"/>
      <c r="AP1018" s="1256"/>
      <c r="AQ1018" s="1256"/>
      <c r="AR1018" s="1236"/>
      <c r="AS1018" s="1519"/>
      <c r="AT1018" s="1519"/>
      <c r="AU1018" s="1236"/>
      <c r="AV1018" s="1236">
        <f>IFERROR(Model!AV1018/Model!AU1018-1,"NA")</f>
        <v>-8.3263946711076287E-4</v>
      </c>
      <c r="AW1018" s="1236">
        <f>IFERROR(Model!AW1018/Model!AV1018-1,"NA")</f>
        <v>4.1833333333333389E-2</v>
      </c>
      <c r="AX1018" s="1236">
        <f>IFERROR(Model!AX1018/Model!AW1018-1,"NA")</f>
        <v>5.7590785474324058E-3</v>
      </c>
      <c r="AY1018" s="1236">
        <f>IFERROR(Model!AY1018/Model!AX1018-1,"NA")</f>
        <v>8.9867981549228482E-2</v>
      </c>
      <c r="AZ1018" s="1236">
        <f>IFERROR(Model!AZ1018/Model!AY1018-1,"NA")</f>
        <v>8.4500875656742247E-2</v>
      </c>
      <c r="BA1018" s="1236">
        <f>IFERROR(Model!BA1018/Model!AZ1018-1,"NA")</f>
        <v>3.5275719351366197E-2</v>
      </c>
      <c r="BB1018" s="1256">
        <f>IFERROR(Model!BB1018/Model!BA1018-1,"NA")</f>
        <v>3.9196632135743315E-2</v>
      </c>
      <c r="BC1018" s="1256">
        <f>IFERROR(Model!BC1018/Model!BB1018-1,"NA")</f>
        <v>4.6005354600524573E-2</v>
      </c>
      <c r="BD1018" s="1256">
        <f>IFERROR(Model!BD1018/Model!BC1018-1,"NA")</f>
        <v>4.304285052106005E-2</v>
      </c>
      <c r="BE1018" s="1256">
        <f>IFERROR(Model!BE1018/Model!BD1018-1,"NA")</f>
        <v>4.3063146490594395E-2</v>
      </c>
    </row>
    <row r="1019" spans="1:57" x14ac:dyDescent="0.2">
      <c r="B1019" s="329"/>
      <c r="C1019" s="329"/>
      <c r="D1019" s="1256"/>
      <c r="E1019" s="1256"/>
      <c r="F1019" s="1256"/>
      <c r="G1019" s="1256"/>
      <c r="H1019" s="1256"/>
      <c r="I1019" s="1256"/>
      <c r="J1019" s="1256"/>
      <c r="K1019" s="1256"/>
      <c r="L1019" s="1256"/>
      <c r="M1019" s="1256"/>
      <c r="N1019" s="1256"/>
      <c r="O1019" s="1256"/>
      <c r="P1019" s="1256"/>
      <c r="Q1019" s="1256"/>
      <c r="R1019" s="1256"/>
      <c r="S1019" s="1256"/>
      <c r="T1019" s="1256"/>
      <c r="U1019" s="1256"/>
      <c r="V1019" s="1256"/>
      <c r="W1019" s="1256"/>
      <c r="X1019" s="1256"/>
      <c r="Y1019" s="1256"/>
      <c r="Z1019" s="1256"/>
      <c r="AA1019" s="1256"/>
      <c r="AB1019" s="1256"/>
      <c r="AC1019" s="1256"/>
      <c r="AD1019" s="1256"/>
      <c r="AE1019" s="1256"/>
      <c r="AF1019" s="1256"/>
      <c r="AG1019" s="1256"/>
      <c r="AH1019" s="1256"/>
      <c r="AI1019" s="1256"/>
      <c r="AJ1019" s="1256"/>
      <c r="AK1019" s="1256"/>
      <c r="AL1019" s="1256"/>
      <c r="AM1019" s="1256"/>
      <c r="AN1019" s="1256"/>
      <c r="AO1019" s="1256"/>
      <c r="AP1019" s="1256"/>
      <c r="AQ1019" s="1256"/>
      <c r="AR1019" s="1236"/>
      <c r="AS1019" s="1519"/>
      <c r="AT1019" s="1519"/>
      <c r="AU1019" s="1236"/>
      <c r="AV1019" s="1236"/>
      <c r="AW1019" s="1236"/>
      <c r="AX1019" s="1236"/>
      <c r="AY1019" s="1236"/>
      <c r="AZ1019" s="1236"/>
      <c r="BA1019" s="1236"/>
      <c r="BB1019" s="1256"/>
      <c r="BC1019" s="1256"/>
      <c r="BD1019" s="1256"/>
      <c r="BE1019" s="1256"/>
    </row>
    <row r="1020" spans="1:57" x14ac:dyDescent="0.2">
      <c r="B1020" s="680" t="s">
        <v>5</v>
      </c>
      <c r="C1020" s="675"/>
      <c r="D1020" s="1236"/>
      <c r="E1020" s="1236"/>
      <c r="F1020" s="1236"/>
      <c r="G1020" s="1236"/>
      <c r="H1020" s="1236"/>
      <c r="I1020" s="1236"/>
      <c r="J1020" s="1236"/>
      <c r="K1020" s="1236"/>
      <c r="L1020" s="1236"/>
      <c r="M1020" s="1236"/>
      <c r="N1020" s="1236"/>
      <c r="O1020" s="1236"/>
      <c r="P1020" s="1236"/>
      <c r="Q1020" s="1236"/>
      <c r="R1020" s="1236"/>
      <c r="S1020" s="1236"/>
      <c r="T1020" s="1236"/>
      <c r="U1020" s="1236"/>
      <c r="V1020" s="1236"/>
      <c r="W1020" s="1236"/>
      <c r="X1020" s="1236"/>
      <c r="Y1020" s="1236"/>
      <c r="Z1020" s="1236"/>
      <c r="AA1020" s="1236"/>
      <c r="AB1020" s="1236"/>
      <c r="AC1020" s="1236"/>
      <c r="AD1020" s="1236"/>
      <c r="AE1020" s="1236"/>
      <c r="AF1020" s="1236"/>
      <c r="AG1020" s="1236"/>
      <c r="AH1020" s="1236"/>
      <c r="AI1020" s="1236"/>
      <c r="AJ1020" s="1236"/>
      <c r="AK1020" s="1236"/>
      <c r="AL1020" s="1236"/>
      <c r="AM1020" s="1236"/>
      <c r="AN1020" s="1236"/>
      <c r="AO1020" s="1236"/>
      <c r="AP1020" s="1236"/>
      <c r="AQ1020" s="1236"/>
      <c r="AR1020" s="1236"/>
      <c r="AS1020" s="1524"/>
      <c r="AT1020" s="1522"/>
      <c r="AU1020" s="1236"/>
      <c r="AV1020" s="1236"/>
      <c r="AW1020" s="1236"/>
      <c r="AX1020" s="1236"/>
      <c r="AY1020" s="1236"/>
      <c r="AZ1020" s="1236"/>
      <c r="BA1020" s="1236"/>
      <c r="BB1020" s="1236"/>
      <c r="BC1020" s="1236"/>
      <c r="BD1020" s="1236"/>
      <c r="BE1020" s="1236"/>
    </row>
    <row r="1021" spans="1:57" x14ac:dyDescent="0.2">
      <c r="B1021" s="675" t="s">
        <v>92</v>
      </c>
      <c r="C1021" s="675"/>
      <c r="D1021" s="1256"/>
      <c r="E1021" s="1256"/>
      <c r="F1021" s="1256"/>
      <c r="G1021" s="1256"/>
      <c r="H1021" s="1256">
        <f>IFERROR(Model!H1021/Model!D1021-1,"NA")</f>
        <v>0.15254237288135575</v>
      </c>
      <c r="I1021" s="1256">
        <f>IFERROR(Model!I1021/Model!E1021-1,"NA")</f>
        <v>0.22807017543859653</v>
      </c>
      <c r="J1021" s="1256">
        <f>IFERROR(Model!J1021/Model!F1021-1,"NA")</f>
        <v>0.14754098360655754</v>
      </c>
      <c r="K1021" s="1256">
        <f>IFERROR(Model!K1021/Model!G1021-1,"NA")</f>
        <v>0.15625</v>
      </c>
      <c r="L1021" s="1256">
        <f>IFERROR(Model!L1021/Model!H1021-1,"NA")</f>
        <v>5.8823529411764719E-2</v>
      </c>
      <c r="M1021" s="1256">
        <f>IFERROR(Model!M1021/Model!I1021-1,"NA")</f>
        <v>5.7142857142857162E-2</v>
      </c>
      <c r="N1021" s="1256">
        <f>IFERROR(Model!N1021/Model!J1021-1,"NA")</f>
        <v>4.2857142857142927E-2</v>
      </c>
      <c r="O1021" s="1256">
        <f>IFERROR(Model!O1021/Model!K1021-1,"NA")</f>
        <v>-4.0540540540540682E-2</v>
      </c>
      <c r="P1021" s="1256">
        <f>IFERROR(Model!P1021/Model!L1021-1,"NA")</f>
        <v>-0.11111111111111105</v>
      </c>
      <c r="Q1021" s="1256">
        <f>IFERROR(Model!Q1021/Model!M1021-1,"NA")</f>
        <v>-0.17567567567567577</v>
      </c>
      <c r="R1021" s="1256">
        <f>IFERROR(Model!R1021/Model!N1021-1,"NA")</f>
        <v>-0.23287671232876717</v>
      </c>
      <c r="S1021" s="1256">
        <f>IFERROR(Model!S1021/Model!O1021-1,"NA")</f>
        <v>-0.22535211267605626</v>
      </c>
      <c r="T1021" s="1256">
        <f>IFERROR(Model!T1021/Model!P1021-1,"NA")</f>
        <v>-0.1875</v>
      </c>
      <c r="U1021" s="1256">
        <f>IFERROR(Model!U1021/Model!Q1021-1,"NA")</f>
        <v>-0.16393442622950816</v>
      </c>
      <c r="V1021" s="1256">
        <f>IFERROR(Model!V1021/Model!R1021-1,"NA")</f>
        <v>-8.9285714285714302E-2</v>
      </c>
      <c r="W1021" s="1256">
        <f>IFERROR(Model!W1021/Model!S1021-1,"NA")</f>
        <v>-9.0909090909090939E-2</v>
      </c>
      <c r="X1021" s="1256">
        <f>IFERROR(Model!X1021/Model!T1021-1,"NA")</f>
        <v>-7.6923076923076983E-2</v>
      </c>
      <c r="Y1021" s="1256">
        <f>IFERROR(Model!Y1021/Model!U1021-1,"NA")</f>
        <v>3.9215686274509887E-2</v>
      </c>
      <c r="Z1021" s="1256">
        <f>IFERROR(Model!Z1021/Model!V1021-1,"NA")</f>
        <v>9.8039215686274606E-2</v>
      </c>
      <c r="AA1021" s="1256">
        <f>IFERROR(Model!AA1021/Model!W1021-1,"NA")</f>
        <v>8.0000000000000071E-2</v>
      </c>
      <c r="AB1021" s="1256">
        <f>IFERROR(Model!AB1021/Model!X1021-1,"NA")</f>
        <v>0.16666666666666674</v>
      </c>
      <c r="AC1021" s="1256">
        <f>IFERROR(Model!AC1021/Model!Y1021-1,"NA")</f>
        <v>3.5471698113207495E-2</v>
      </c>
      <c r="AD1021" s="1256">
        <f>IFERROR(Model!AD1021/Model!Z1021-1,"NA")</f>
        <v>4.4999999999997264E-3</v>
      </c>
      <c r="AE1021" s="1256">
        <f>IFERROR(Model!AE1021/Model!AA1021-1,"NA")</f>
        <v>7.8163333333332918E-2</v>
      </c>
      <c r="AF1021" s="1256">
        <f>IFERROR(Model!AF1021/Model!AB1021-1,"NA")</f>
        <v>1.8864349999999863E-2</v>
      </c>
      <c r="AG1021" s="1256">
        <f>IFERROR(Model!AG1021/Model!AC1021-1,"NA")</f>
        <v>6.0450649999999717E-2</v>
      </c>
      <c r="AH1021" s="1256">
        <f>IFERROR(Model!AH1021/Model!AD1021-1,"NA")</f>
        <v>5.010479000000001E-2</v>
      </c>
      <c r="AI1021" s="1256">
        <f>IFERROR(Model!AI1021/Model!AE1021-1,"NA")</f>
        <v>5.0104789999999788E-2</v>
      </c>
      <c r="AJ1021" s="1256"/>
      <c r="AK1021" s="1256"/>
      <c r="AL1021" s="1256"/>
      <c r="AM1021" s="1256"/>
      <c r="AN1021" s="1256"/>
      <c r="AO1021" s="1256"/>
      <c r="AP1021" s="1256"/>
      <c r="AQ1021" s="1256"/>
      <c r="AR1021" s="1236"/>
      <c r="AS1021" s="1522"/>
      <c r="AT1021" s="1522"/>
      <c r="AU1021" s="1301"/>
      <c r="AV1021" s="1301">
        <f>IFERROR(Model!AV1021/Model!AU1021-1,"NA")</f>
        <v>0.17012448132780089</v>
      </c>
      <c r="AW1021" s="1301">
        <f>IFERROR(Model!AW1021/Model!AV1021-1,"NA")</f>
        <v>2.8368794326240954E-2</v>
      </c>
      <c r="AX1021" s="1301">
        <f>IFERROR(Model!AX1021/Model!AW1021-1,"NA")</f>
        <v>-0.18620689655172407</v>
      </c>
      <c r="AY1021" s="1301">
        <f>IFERROR(Model!AY1021/Model!AX1021-1,"NA")</f>
        <v>-0.13559322033898313</v>
      </c>
      <c r="AZ1021" s="1301">
        <f>IFERROR(Model!AZ1021/Model!AY1021-1,"NA")</f>
        <v>3.4313725490196179E-2</v>
      </c>
      <c r="BA1021" s="1301">
        <f>IFERROR(Model!BA1021/Model!AZ1021-1,"NA")</f>
        <v>6.8022843601895477E-2</v>
      </c>
      <c r="BB1021" s="1256">
        <f>IFERROR(Model!BB1021/Model!BA1021-1,"NA")</f>
        <v>4.4861084404480778E-2</v>
      </c>
      <c r="BC1021" s="1256">
        <f>IFERROR(Model!BC1021/Model!BB1021-1,"NA")</f>
        <v>5.0000000000000044E-2</v>
      </c>
      <c r="BD1021" s="1256">
        <f>IFERROR(Model!BD1021/Model!BC1021-1,"NA")</f>
        <v>5.0000000000000044E-2</v>
      </c>
      <c r="BE1021" s="1256">
        <f>IFERROR(Model!BE1021/Model!BD1021-1,"NA")</f>
        <v>5.0000000000000044E-2</v>
      </c>
    </row>
    <row r="1022" spans="1:57" x14ac:dyDescent="0.2">
      <c r="B1022" s="675" t="s">
        <v>74</v>
      </c>
      <c r="C1022" s="675"/>
      <c r="D1022" s="1256"/>
      <c r="E1022" s="1256"/>
      <c r="F1022" s="1256"/>
      <c r="G1022" s="1256"/>
      <c r="H1022" s="1256">
        <f>IFERROR(Model!H1022/Model!D1022-1,"NA")</f>
        <v>0.1649484536082475</v>
      </c>
      <c r="I1022" s="1256">
        <f>IFERROR(Model!I1022/Model!E1022-1,"NA")</f>
        <v>0.21052631578947367</v>
      </c>
      <c r="J1022" s="1256">
        <f>IFERROR(Model!J1022/Model!F1022-1,"NA")</f>
        <v>0.11330049261083741</v>
      </c>
      <c r="K1022" s="1256">
        <f>IFERROR(Model!K1022/Model!G1022-1,"NA")</f>
        <v>8.4507042253521236E-2</v>
      </c>
      <c r="L1022" s="1256">
        <f>IFERROR(Model!L1022/Model!H1022-1,"NA")</f>
        <v>1.327433628318575E-2</v>
      </c>
      <c r="M1022" s="1256">
        <f>IFERROR(Model!M1022/Model!I1022-1,"NA")</f>
        <v>1.7391304347825987E-2</v>
      </c>
      <c r="N1022" s="1256">
        <f>IFERROR(Model!N1022/Model!J1022-1,"NA")</f>
        <v>1.7699115044247815E-2</v>
      </c>
      <c r="O1022" s="1256">
        <f>IFERROR(Model!O1022/Model!K1022-1,"NA")</f>
        <v>-4.3290043290043267E-2</v>
      </c>
      <c r="P1022" s="1256">
        <f>IFERROR(Model!P1022/Model!L1022-1,"NA")</f>
        <v>-9.1703056768558833E-2</v>
      </c>
      <c r="Q1022" s="1256">
        <f>IFERROR(Model!Q1022/Model!M1022-1,"NA")</f>
        <v>-0.11111111111111105</v>
      </c>
      <c r="R1022" s="1256">
        <f>IFERROR(Model!R1022/Model!N1022-1,"NA")</f>
        <v>-0.13913043478260867</v>
      </c>
      <c r="S1022" s="1256">
        <f>IFERROR(Model!S1022/Model!O1022-1,"NA")</f>
        <v>-9.5022624434389247E-2</v>
      </c>
      <c r="T1022" s="1256">
        <f>IFERROR(Model!T1022/Model!P1022-1,"NA")</f>
        <v>-7.6923076923076983E-2</v>
      </c>
      <c r="U1022" s="1256">
        <f>IFERROR(Model!U1022/Model!Q1022-1,"NA")</f>
        <v>-7.6923076923076983E-2</v>
      </c>
      <c r="V1022" s="1256">
        <f>IFERROR(Model!V1022/Model!R1022-1,"NA")</f>
        <v>-3.5353535353535359E-2</v>
      </c>
      <c r="W1022" s="1256">
        <f>IFERROR(Model!W1022/Model!S1022-1,"NA")</f>
        <v>-7.4999999999999956E-2</v>
      </c>
      <c r="X1022" s="1256">
        <f>IFERROR(Model!X1022/Model!T1022-1,"NA")</f>
        <v>-4.6874999999999889E-2</v>
      </c>
      <c r="Y1022" s="1256">
        <f>IFERROR(Model!Y1022/Model!U1022-1,"NA")</f>
        <v>5.2083333333333259E-2</v>
      </c>
      <c r="Z1022" s="1256">
        <f>IFERROR(Model!Z1022/Model!V1022-1,"NA")</f>
        <v>0.10994764397905743</v>
      </c>
      <c r="AA1022" s="1256">
        <f>IFERROR(Model!AA1022/Model!W1022-1,"NA")</f>
        <v>9.7297297297297414E-2</v>
      </c>
      <c r="AB1022" s="1256">
        <f>IFERROR(Model!AB1022/Model!X1022-1,"NA")</f>
        <v>0.13114754098360648</v>
      </c>
      <c r="AC1022" s="1256">
        <f>IFERROR(Model!AC1022/Model!Y1022-1,"NA")</f>
        <v>3.5000000000000142E-2</v>
      </c>
      <c r="AD1022" s="1256">
        <f>IFERROR(Model!AD1022/Model!Z1022-1,"NA")</f>
        <v>9.7193396226424866E-4</v>
      </c>
      <c r="AE1022" s="1256">
        <f>IFERROR(Model!AE1022/Model!AA1022-1,"NA")</f>
        <v>6.625700000000001E-2</v>
      </c>
      <c r="AF1022" s="1256">
        <f>IFERROR(Model!AF1022/Model!AB1022-1,"NA")</f>
        <v>3.5196470000000035E-2</v>
      </c>
      <c r="AG1022" s="1256">
        <f>IFERROR(Model!AG1022/Model!AC1022-1,"NA")</f>
        <v>3.5196469999999813E-2</v>
      </c>
      <c r="AH1022" s="1256">
        <f>IFERROR(Model!AH1022/Model!AD1022-1,"NA")</f>
        <v>3.5196469999999813E-2</v>
      </c>
      <c r="AI1022" s="1256">
        <f>IFERROR(Model!AI1022/Model!AE1022-1,"NA")</f>
        <v>3.5196469999999813E-2</v>
      </c>
      <c r="AJ1022" s="1256"/>
      <c r="AK1022" s="1256"/>
      <c r="AL1022" s="1256"/>
      <c r="AM1022" s="1256"/>
      <c r="AN1022" s="1256"/>
      <c r="AO1022" s="1256"/>
      <c r="AP1022" s="1256"/>
      <c r="AQ1022" s="1256"/>
      <c r="AR1022" s="1236"/>
      <c r="AS1022" s="1522"/>
      <c r="AT1022" s="1522"/>
      <c r="AU1022" s="1301"/>
      <c r="AV1022" s="1301">
        <f>IFERROR(Model!AV1022/Model!AU1022-1,"NA")</f>
        <v>0.1412500000000001</v>
      </c>
      <c r="AW1022" s="1301">
        <f>IFERROR(Model!AW1022/Model!AV1022-1,"NA")</f>
        <v>1.0952902519167917E-3</v>
      </c>
      <c r="AX1022" s="1301">
        <f>IFERROR(Model!AX1022/Model!AW1022-1,"NA")</f>
        <v>-0.10940919037199126</v>
      </c>
      <c r="AY1022" s="1301">
        <f>IFERROR(Model!AY1022/Model!AX1022-1,"NA")</f>
        <v>-6.6339066339066388E-2</v>
      </c>
      <c r="AZ1022" s="1301">
        <f>IFERROR(Model!AZ1022/Model!AY1022-1,"NA")</f>
        <v>5.2631578947368363E-2</v>
      </c>
      <c r="BA1022" s="1301">
        <f>IFERROR(Model!BA1022/Model!AZ1022-1,"NA")</f>
        <v>5.5907776249999985E-2</v>
      </c>
      <c r="BB1022" s="1256">
        <f>IFERROR(Model!BB1022/Model!BA1022-1,"NA")</f>
        <v>3.5196469999999813E-2</v>
      </c>
      <c r="BC1022" s="1256">
        <f>IFERROR(Model!BC1022/Model!BB1022-1,"NA")</f>
        <v>4.0000000000000036E-2</v>
      </c>
      <c r="BD1022" s="1256">
        <f>IFERROR(Model!BD1022/Model!BC1022-1,"NA")</f>
        <v>4.0000000000000036E-2</v>
      </c>
      <c r="BE1022" s="1256">
        <f>IFERROR(Model!BE1022/Model!BD1022-1,"NA")</f>
        <v>4.0000000000000036E-2</v>
      </c>
    </row>
    <row r="1023" spans="1:57" x14ac:dyDescent="0.2">
      <c r="B1023" s="329"/>
      <c r="C1023" s="329" t="s">
        <v>313</v>
      </c>
      <c r="D1023" s="1256"/>
      <c r="E1023" s="1256"/>
      <c r="F1023" s="1256"/>
      <c r="G1023" s="1256"/>
      <c r="H1023" s="1256">
        <f>IFERROR(Model!H1023/Model!D1023-1,"NA")</f>
        <v>0.16205533596837962</v>
      </c>
      <c r="I1023" s="1256">
        <f>IFERROR(Model!I1023/Model!E1023-1,"NA")</f>
        <v>0.21457489878542524</v>
      </c>
      <c r="J1023" s="1256">
        <f>IFERROR(Model!J1023/Model!F1023-1,"NA")</f>
        <v>0.12121212121212133</v>
      </c>
      <c r="K1023" s="1256">
        <f>IFERROR(Model!K1023/Model!G1023-1,"NA")</f>
        <v>0.10108303249097461</v>
      </c>
      <c r="L1023" s="1256">
        <f>IFERROR(Model!L1023/Model!H1023-1,"NA")</f>
        <v>2.3809523809523725E-2</v>
      </c>
      <c r="M1023" s="1256">
        <f>IFERROR(Model!M1023/Model!I1023-1,"NA")</f>
        <v>2.6666666666666616E-2</v>
      </c>
      <c r="N1023" s="1256">
        <f>IFERROR(Model!N1023/Model!J1023-1,"NA")</f>
        <v>2.3648648648648685E-2</v>
      </c>
      <c r="O1023" s="1256">
        <f>IFERROR(Model!O1023/Model!K1023-1,"NA")</f>
        <v>-4.2622950819672045E-2</v>
      </c>
      <c r="P1023" s="1256">
        <f>IFERROR(Model!P1023/Model!L1023-1,"NA")</f>
        <v>-9.6345514950165967E-2</v>
      </c>
      <c r="Q1023" s="1256">
        <f>IFERROR(Model!Q1023/Model!M1023-1,"NA")</f>
        <v>-0.12662337662337664</v>
      </c>
      <c r="R1023" s="1256">
        <f>IFERROR(Model!R1023/Model!N1023-1,"NA")</f>
        <v>-0.16171617161716179</v>
      </c>
      <c r="S1023" s="1256">
        <f>IFERROR(Model!S1023/Model!O1023-1,"NA")</f>
        <v>-0.12671232876712335</v>
      </c>
      <c r="T1023" s="1256">
        <f>IFERROR(Model!T1023/Model!P1023-1,"NA")</f>
        <v>-0.10294117647058842</v>
      </c>
      <c r="U1023" s="1256">
        <f>IFERROR(Model!U1023/Model!Q1023-1,"NA")</f>
        <v>-9.6654275092936892E-2</v>
      </c>
      <c r="V1023" s="1256">
        <f>IFERROR(Model!V1023/Model!R1023-1,"NA")</f>
        <v>-4.7244094488188781E-2</v>
      </c>
      <c r="W1023" s="1256">
        <f>IFERROR(Model!W1023/Model!S1023-1,"NA")</f>
        <v>-7.8431372549019662E-2</v>
      </c>
      <c r="X1023" s="1256">
        <f>IFERROR(Model!X1023/Model!T1023-1,"NA")</f>
        <v>-5.3278688524590057E-2</v>
      </c>
      <c r="Y1023" s="1256">
        <f>IFERROR(Model!Y1023/Model!U1023-1,"NA")</f>
        <v>4.9382716049382935E-2</v>
      </c>
      <c r="Z1023" s="1256">
        <f>IFERROR(Model!Z1023/Model!V1023-1,"NA")</f>
        <v>0.10743801652892526</v>
      </c>
      <c r="AA1023" s="1256">
        <f>IFERROR(Model!AA1023/Model!W1023-1,"NA")</f>
        <v>9.361702127659588E-2</v>
      </c>
      <c r="AB1023" s="1256">
        <f>IFERROR(Model!AB1023/Model!X1023-1,"NA")</f>
        <v>0.13852813852813828</v>
      </c>
      <c r="AC1023" s="1256">
        <f>IFERROR(Model!AC1023/Model!Y1023-1,"NA")</f>
        <v>3.5098039215686327E-2</v>
      </c>
      <c r="AD1023" s="1256">
        <f>IFERROR(Model!AD1023/Model!Z1023-1,"NA")</f>
        <v>1.7091417910448659E-3</v>
      </c>
      <c r="AE1023" s="1256">
        <f>IFERROR(Model!AE1023/Model!AA1023-1,"NA")</f>
        <v>6.8758719844357774E-2</v>
      </c>
      <c r="AF1023" s="1256">
        <f>IFERROR(Model!AF1023/Model!AB1023-1,"NA")</f>
        <v>3.1718908326996198E-2</v>
      </c>
      <c r="AG1023" s="1256">
        <f>IFERROR(Model!AG1023/Model!AC1023-1,"NA")</f>
        <v>4.0447272797499378E-2</v>
      </c>
      <c r="AH1023" s="1256">
        <f>IFERROR(Model!AH1023/Model!AD1023-1,"NA")</f>
        <v>3.8320320510871086E-2</v>
      </c>
      <c r="AI1023" s="1256">
        <f>IFERROR(Model!AI1023/Model!AE1023-1,"NA")</f>
        <v>3.835652200280637E-2</v>
      </c>
      <c r="AJ1023" s="1256"/>
      <c r="AK1023" s="1256"/>
      <c r="AL1023" s="1256"/>
      <c r="AM1023" s="1256"/>
      <c r="AN1023" s="1256"/>
      <c r="AO1023" s="1256"/>
      <c r="AP1023" s="1256"/>
      <c r="AQ1023" s="1256"/>
      <c r="AR1023" s="1236"/>
      <c r="AS1023" s="1519"/>
      <c r="AT1023" s="1519"/>
      <c r="AU1023" s="1236"/>
      <c r="AV1023" s="1236">
        <f>IFERROR(Model!AV1023/Model!AU1023-1,"NA")</f>
        <v>0.14793467819404449</v>
      </c>
      <c r="AW1023" s="1236">
        <f>IFERROR(Model!AW1023/Model!AV1023-1,"NA")</f>
        <v>7.5313807531380839E-3</v>
      </c>
      <c r="AX1023" s="1236">
        <f>IFERROR(Model!AX1023/Model!AW1023-1,"NA")</f>
        <v>-0.12790697674418605</v>
      </c>
      <c r="AY1023" s="1236">
        <f>IFERROR(Model!AY1023/Model!AX1023-1,"NA")</f>
        <v>-8.1904761904761814E-2</v>
      </c>
      <c r="AZ1023" s="1236">
        <f>IFERROR(Model!AZ1023/Model!AY1023-1,"NA")</f>
        <v>4.8755186721991528E-2</v>
      </c>
      <c r="BA1023" s="1236">
        <f>IFERROR(Model!BA1023/Model!AZ1023-1,"NA")</f>
        <v>5.8436242334322319E-2</v>
      </c>
      <c r="BB1023" s="1256">
        <f>IFERROR(Model!BB1023/Model!BA1023-1,"NA")</f>
        <v>3.7231785174687504E-2</v>
      </c>
      <c r="BC1023" s="1256">
        <f>IFERROR(Model!BC1023/Model!BB1023-1,"NA")</f>
        <v>4.2121435717503042E-2</v>
      </c>
      <c r="BD1023" s="1256">
        <f>IFERROR(Model!BD1023/Model!BC1023-1,"NA")</f>
        <v>4.2137474028489219E-2</v>
      </c>
      <c r="BE1023" s="1256">
        <f>IFERROR(Model!BE1023/Model!BD1023-1,"NA")</f>
        <v>4.215360044701022E-2</v>
      </c>
    </row>
    <row r="1024" spans="1:57" x14ac:dyDescent="0.2">
      <c r="B1024" s="329"/>
      <c r="C1024" s="329"/>
      <c r="D1024" s="1256"/>
      <c r="E1024" s="1256"/>
      <c r="F1024" s="1256"/>
      <c r="G1024" s="1256"/>
      <c r="H1024" s="1256"/>
      <c r="I1024" s="1256"/>
      <c r="J1024" s="1256"/>
      <c r="K1024" s="1256"/>
      <c r="L1024" s="1256"/>
      <c r="M1024" s="1256"/>
      <c r="N1024" s="1256"/>
      <c r="O1024" s="1256"/>
      <c r="P1024" s="1256"/>
      <c r="Q1024" s="1256"/>
      <c r="R1024" s="1256"/>
      <c r="S1024" s="1256"/>
      <c r="T1024" s="1256"/>
      <c r="U1024" s="1256"/>
      <c r="V1024" s="1256"/>
      <c r="W1024" s="1256"/>
      <c r="X1024" s="1256"/>
      <c r="Y1024" s="1256"/>
      <c r="Z1024" s="1256"/>
      <c r="AA1024" s="1256"/>
      <c r="AB1024" s="1256"/>
      <c r="AC1024" s="1256"/>
      <c r="AD1024" s="1256"/>
      <c r="AE1024" s="1256"/>
      <c r="AF1024" s="1256"/>
      <c r="AG1024" s="1256"/>
      <c r="AH1024" s="1256"/>
      <c r="AI1024" s="1256"/>
      <c r="AJ1024" s="1256"/>
      <c r="AK1024" s="1256"/>
      <c r="AL1024" s="1256"/>
      <c r="AM1024" s="1256"/>
      <c r="AN1024" s="1256"/>
      <c r="AO1024" s="1256"/>
      <c r="AP1024" s="1256"/>
      <c r="AQ1024" s="1256"/>
      <c r="AR1024" s="1236"/>
      <c r="AS1024" s="1519"/>
      <c r="AT1024" s="1519"/>
      <c r="AU1024" s="1236"/>
      <c r="AV1024" s="1236"/>
      <c r="AW1024" s="1236"/>
      <c r="AX1024" s="1236"/>
      <c r="AY1024" s="1236"/>
      <c r="AZ1024" s="1236"/>
      <c r="BA1024" s="1236"/>
      <c r="BB1024" s="1256"/>
      <c r="BC1024" s="1256"/>
      <c r="BD1024" s="1256"/>
      <c r="BE1024" s="1256"/>
    </row>
    <row r="1025" spans="1:64" x14ac:dyDescent="0.2">
      <c r="B1025" s="680" t="s">
        <v>239</v>
      </c>
      <c r="C1025" s="675"/>
      <c r="D1025" s="1236"/>
      <c r="E1025" s="1236"/>
      <c r="F1025" s="1236"/>
      <c r="G1025" s="1236"/>
      <c r="H1025" s="1236"/>
      <c r="I1025" s="1236"/>
      <c r="J1025" s="1236"/>
      <c r="K1025" s="1236"/>
      <c r="L1025" s="1236"/>
      <c r="M1025" s="1236"/>
      <c r="N1025" s="1236"/>
      <c r="O1025" s="1236"/>
      <c r="P1025" s="1236"/>
      <c r="Q1025" s="1236"/>
      <c r="R1025" s="1236"/>
      <c r="S1025" s="1236"/>
      <c r="T1025" s="1236"/>
      <c r="U1025" s="1236"/>
      <c r="V1025" s="1236"/>
      <c r="W1025" s="1236"/>
      <c r="X1025" s="1236"/>
      <c r="Y1025" s="1236"/>
      <c r="Z1025" s="1236"/>
      <c r="AA1025" s="1236"/>
      <c r="AB1025" s="1236"/>
      <c r="AC1025" s="1236"/>
      <c r="AD1025" s="1236"/>
      <c r="AE1025" s="1236"/>
      <c r="AF1025" s="1236"/>
      <c r="AG1025" s="1236"/>
      <c r="AH1025" s="1236"/>
      <c r="AI1025" s="1236"/>
      <c r="AJ1025" s="1236"/>
      <c r="AK1025" s="1236"/>
      <c r="AL1025" s="1236"/>
      <c r="AM1025" s="1236"/>
      <c r="AN1025" s="1236"/>
      <c r="AO1025" s="1236"/>
      <c r="AP1025" s="1236"/>
      <c r="AQ1025" s="1236"/>
      <c r="AR1025" s="1236"/>
      <c r="AS1025" s="1524"/>
      <c r="AT1025" s="1522"/>
      <c r="AU1025" s="1236"/>
      <c r="AV1025" s="1236"/>
      <c r="AW1025" s="1236"/>
      <c r="AX1025" s="1236"/>
      <c r="AY1025" s="1236"/>
      <c r="AZ1025" s="1236"/>
      <c r="BA1025" s="1236"/>
      <c r="BB1025" s="1236"/>
      <c r="BC1025" s="1236"/>
      <c r="BD1025" s="1236"/>
      <c r="BE1025" s="1236"/>
    </row>
    <row r="1026" spans="1:64" x14ac:dyDescent="0.2">
      <c r="B1026" s="675" t="s">
        <v>92</v>
      </c>
      <c r="C1026" s="675"/>
      <c r="D1026" s="1256"/>
      <c r="E1026" s="1256"/>
      <c r="F1026" s="1256"/>
      <c r="G1026" s="1256"/>
      <c r="H1026" s="1256">
        <f>IFERROR(Model!H1026/Model!D1026-1,"NA")</f>
        <v>9.9009900990099098E-3</v>
      </c>
      <c r="I1026" s="1256">
        <f>IFERROR(Model!I1026/Model!E1026-1,"NA")</f>
        <v>5.1020408163264808E-3</v>
      </c>
      <c r="J1026" s="1256">
        <f>IFERROR(Model!J1026/Model!F1026-1,"NA")</f>
        <v>-7.0351758793969821E-2</v>
      </c>
      <c r="K1026" s="1256">
        <f>IFERROR(Model!K1026/Model!G1026-1,"NA")</f>
        <v>-6.4039408866995107E-2</v>
      </c>
      <c r="L1026" s="1256">
        <f>IFERROR(Model!L1026/Model!H1026-1,"NA")</f>
        <v>-7.3529411764705843E-2</v>
      </c>
      <c r="M1026" s="1256">
        <f>IFERROR(Model!M1026/Model!I1026-1,"NA")</f>
        <v>-2.5380710659898442E-2</v>
      </c>
      <c r="N1026" s="1256">
        <f>IFERROR(Model!N1026/Model!J1026-1,"NA")</f>
        <v>3.7837837837837895E-2</v>
      </c>
      <c r="O1026" s="1256">
        <f>IFERROR(Model!O1026/Model!K1026-1,"NA")</f>
        <v>-2.1052631578947323E-2</v>
      </c>
      <c r="P1026" s="1256">
        <f>IFERROR(Model!P1026/Model!L1026-1,"NA")</f>
        <v>-4.7619047619047561E-2</v>
      </c>
      <c r="Q1026" s="1256">
        <f>IFERROR(Model!Q1026/Model!M1026-1,"NA")</f>
        <v>-6.25E-2</v>
      </c>
      <c r="R1026" s="1256">
        <f>IFERROR(Model!R1026/Model!N1026-1,"NA")</f>
        <v>-0.10937499999999989</v>
      </c>
      <c r="S1026" s="1256">
        <f>IFERROR(Model!S1026/Model!O1026-1,"NA")</f>
        <v>-6.9892473118279619E-2</v>
      </c>
      <c r="T1026" s="1256">
        <f>IFERROR(Model!T1026/Model!P1026-1,"NA")</f>
        <v>-3.3333333333333437E-2</v>
      </c>
      <c r="U1026" s="1256">
        <f>IFERROR(Model!U1026/Model!Q1026-1,"NA")</f>
        <v>-3.3333333333333437E-2</v>
      </c>
      <c r="V1026" s="1256">
        <f>IFERROR(Model!V1026/Model!R1026-1,"NA")</f>
        <v>2.9239766081871288E-2</v>
      </c>
      <c r="W1026" s="1256">
        <f>IFERROR(Model!W1026/Model!S1026-1,"NA")</f>
        <v>0</v>
      </c>
      <c r="X1026" s="1256">
        <f>IFERROR(Model!X1026/Model!T1026-1,"NA")</f>
        <v>4.0229885057471382E-2</v>
      </c>
      <c r="Y1026" s="1256">
        <f>IFERROR(Model!Y1026/Model!U1026-1,"NA")</f>
        <v>5.7471264367816133E-2</v>
      </c>
      <c r="Z1026" s="1256">
        <f>IFERROR(Model!Z1026/Model!V1026-1,"NA")</f>
        <v>6.8181818181818121E-2</v>
      </c>
      <c r="AA1026" s="1256">
        <f>IFERROR(Model!AA1026/Model!W1026-1,"NA")</f>
        <v>0.10404624277456653</v>
      </c>
      <c r="AB1026" s="1256">
        <f>IFERROR(Model!AB1026/Model!X1026-1,"NA")</f>
        <v>8.287292817679548E-2</v>
      </c>
      <c r="AC1026" s="1256">
        <f>IFERROR(Model!AC1026/Model!Y1026-1,"NA")</f>
        <v>7.5869565217391521E-2</v>
      </c>
      <c r="AD1026" s="1256">
        <f>IFERROR(Model!AD1026/Model!Z1026-1,"NA")</f>
        <v>6.3508510638297988E-2</v>
      </c>
      <c r="AE1026" s="1256">
        <f>IFERROR(Model!AE1026/Model!AA1026-1,"NA")</f>
        <v>6.7740272251309186E-2</v>
      </c>
      <c r="AF1026" s="1256">
        <f>IFERROR(Model!AF1026/Model!AB1026-1,"NA")</f>
        <v>5.0907020000000358E-2</v>
      </c>
      <c r="AG1026" s="1256">
        <f>IFERROR(Model!AG1026/Model!AC1026-1,"NA")</f>
        <v>4.050200000000026E-2</v>
      </c>
      <c r="AH1026" s="1256">
        <f>IFERROR(Model!AH1026/Model!AD1026-1,"NA")</f>
        <v>5.0804000000000293E-2</v>
      </c>
      <c r="AI1026" s="1256">
        <f>IFERROR(Model!AI1026/Model!AE1026-1,"NA")</f>
        <v>6.1106000000000105E-2</v>
      </c>
      <c r="AJ1026" s="1256"/>
      <c r="AK1026" s="1256"/>
      <c r="AL1026" s="1256"/>
      <c r="AM1026" s="1256"/>
      <c r="AN1026" s="1256"/>
      <c r="AO1026" s="1256"/>
      <c r="AP1026" s="1256"/>
      <c r="AQ1026" s="1256"/>
      <c r="AR1026" s="1236"/>
      <c r="AS1026" s="1522"/>
      <c r="AT1026" s="1522"/>
      <c r="AU1026" s="1301"/>
      <c r="AV1026" s="1301">
        <f>IFERROR(Model!AV1026/Model!AU1026-1,"NA")</f>
        <v>-3.0000000000000027E-2</v>
      </c>
      <c r="AW1026" s="1301">
        <f>IFERROR(Model!AW1026/Model!AV1026-1,"NA")</f>
        <v>-2.1907216494845172E-2</v>
      </c>
      <c r="AX1026" s="1301">
        <f>IFERROR(Model!AX1026/Model!AW1026-1,"NA")</f>
        <v>-7.2463768115942018E-2</v>
      </c>
      <c r="AY1026" s="1301">
        <f>IFERROR(Model!AY1026/Model!AX1026-1,"NA")</f>
        <v>-9.9431818181818787E-3</v>
      </c>
      <c r="AZ1026" s="1301">
        <f>IFERROR(Model!AZ1026/Model!AY1026-1,"NA")</f>
        <v>6.7431850789096082E-2</v>
      </c>
      <c r="BA1026" s="1301">
        <f>IFERROR(Model!BA1026/Model!AZ1026-1,"NA")</f>
        <v>7.2362892473118334E-2</v>
      </c>
      <c r="BB1026" s="1256">
        <f>IFERROR(Model!BB1026/Model!BA1026-1,"NA")</f>
        <v>5.090650366014704E-2</v>
      </c>
      <c r="BC1026" s="1256">
        <f>IFERROR(Model!BC1026/Model!BB1026-1,"NA")</f>
        <v>5.0000000000000044E-2</v>
      </c>
      <c r="BD1026" s="1256">
        <f>IFERROR(Model!BD1026/Model!BC1026-1,"NA")</f>
        <v>5.0000000000000044E-2</v>
      </c>
      <c r="BE1026" s="1256">
        <f>IFERROR(Model!BE1026/Model!BD1026-1,"NA")</f>
        <v>5.0000000000000044E-2</v>
      </c>
    </row>
    <row r="1027" spans="1:64" x14ac:dyDescent="0.2">
      <c r="B1027" s="675" t="s">
        <v>74</v>
      </c>
      <c r="C1027" s="675"/>
      <c r="D1027" s="1256"/>
      <c r="E1027" s="1256"/>
      <c r="F1027" s="1256"/>
      <c r="G1027" s="1256"/>
      <c r="H1027" s="1256">
        <f>IFERROR(Model!H1027/Model!D1027-1,"NA")</f>
        <v>2.049780380673516E-2</v>
      </c>
      <c r="I1027" s="1256">
        <f>IFERROR(Model!I1027/Model!E1027-1,"NA")</f>
        <v>3.2738095238095344E-2</v>
      </c>
      <c r="J1027" s="1256">
        <f>IFERROR(Model!J1027/Model!F1027-1,"NA")</f>
        <v>1.9005847953216248E-2</v>
      </c>
      <c r="K1027" s="1256">
        <f>IFERROR(Model!K1027/Model!G1027-1,"NA")</f>
        <v>3.2951289398280847E-2</v>
      </c>
      <c r="L1027" s="1256">
        <f>IFERROR(Model!L1027/Model!H1027-1,"NA")</f>
        <v>4.44763271162123E-2</v>
      </c>
      <c r="M1027" s="1256">
        <f>IFERROR(Model!M1027/Model!I1027-1,"NA")</f>
        <v>9.2219020172910504E-2</v>
      </c>
      <c r="N1027" s="1256">
        <f>IFERROR(Model!N1027/Model!J1027-1,"NA")</f>
        <v>8.8952654232424822E-2</v>
      </c>
      <c r="O1027" s="1256">
        <f>IFERROR(Model!O1027/Model!K1027-1,"NA")</f>
        <v>3.0513176144244092E-2</v>
      </c>
      <c r="P1027" s="1256">
        <f>IFERROR(Model!P1027/Model!L1027-1,"NA")</f>
        <v>-5.494505494505364E-3</v>
      </c>
      <c r="Q1027" s="1256">
        <f>IFERROR(Model!Q1027/Model!M1027-1,"NA")</f>
        <v>-4.6174142480211122E-2</v>
      </c>
      <c r="R1027" s="1256">
        <f>IFERROR(Model!R1027/Model!N1027-1,"NA")</f>
        <v>-8.1686429512516479E-2</v>
      </c>
      <c r="S1027" s="1256">
        <f>IFERROR(Model!S1027/Model!O1027-1,"NA")</f>
        <v>-7.1332436069986516E-2</v>
      </c>
      <c r="T1027" s="1256">
        <f>IFERROR(Model!T1027/Model!P1027-1,"NA")</f>
        <v>-6.7679558011049745E-2</v>
      </c>
      <c r="U1027" s="1256">
        <f>IFERROR(Model!U1027/Model!Q1027-1,"NA")</f>
        <v>-6.639004149377592E-2</v>
      </c>
      <c r="V1027" s="1256">
        <f>IFERROR(Model!V1027/Model!R1027-1,"NA")</f>
        <v>-2.5824964131994199E-2</v>
      </c>
      <c r="W1027" s="1256">
        <f>IFERROR(Model!W1027/Model!S1027-1,"NA")</f>
        <v>-6.3768115942029024E-2</v>
      </c>
      <c r="X1027" s="1256">
        <f>IFERROR(Model!X1027/Model!T1027-1,"NA")</f>
        <v>-3.5555555555555673E-2</v>
      </c>
      <c r="Y1027" s="1256">
        <f>IFERROR(Model!Y1027/Model!U1027-1,"NA")</f>
        <v>-1.4814814814814836E-2</v>
      </c>
      <c r="Z1027" s="1256">
        <f>IFERROR(Model!Z1027/Model!V1027-1,"NA")</f>
        <v>-7.3637702503681624E-3</v>
      </c>
      <c r="AA1027" s="1256">
        <f>IFERROR(Model!AA1027/Model!W1027-1,"NA")</f>
        <v>6.5015479876161075E-2</v>
      </c>
      <c r="AB1027" s="1256">
        <f>IFERROR(Model!AB1027/Model!X1027-1,"NA")</f>
        <v>8.6021505376344232E-2</v>
      </c>
      <c r="AC1027" s="1256">
        <f>IFERROR(Model!AC1027/Model!Y1027-1,"NA")</f>
        <v>7.3789473684210405E-2</v>
      </c>
      <c r="AD1027" s="1256">
        <f>IFERROR(Model!AD1027/Model!Z1027-1,"NA")</f>
        <v>7.5342804154302279E-2</v>
      </c>
      <c r="AE1027" s="1256">
        <f>IFERROR(Model!AE1027/Model!AA1027-1,"NA")</f>
        <v>7.4530045058139205E-2</v>
      </c>
      <c r="AF1027" s="1256">
        <f>IFERROR(Model!AF1027/Model!AB1027-1,"NA")</f>
        <v>5.0881264999999454E-2</v>
      </c>
      <c r="AG1027" s="1256">
        <f>IFERROR(Model!AG1027/Model!AC1027-1,"NA")</f>
        <v>4.5678882499999407E-2</v>
      </c>
      <c r="AH1027" s="1256">
        <f>IFERROR(Model!AH1027/Model!AD1027-1,"NA")</f>
        <v>3.7952191249999823E-2</v>
      </c>
      <c r="AI1027" s="1256">
        <f>IFERROR(Model!AI1027/Model!AE1027-1,"NA")</f>
        <v>2.6758589187499737E-2</v>
      </c>
      <c r="AJ1027" s="1256"/>
      <c r="AK1027" s="1256"/>
      <c r="AL1027" s="1256"/>
      <c r="AM1027" s="1256"/>
      <c r="AN1027" s="1256"/>
      <c r="AO1027" s="1256"/>
      <c r="AP1027" s="1256"/>
      <c r="AQ1027" s="1256"/>
      <c r="AR1027" s="1236"/>
      <c r="AS1027" s="1522"/>
      <c r="AT1027" s="1522"/>
      <c r="AU1027" s="1301"/>
      <c r="AV1027" s="1301">
        <f>IFERROR(Model!AV1027/Model!AU1027-1,"NA")</f>
        <v>2.6306174643770497E-2</v>
      </c>
      <c r="AW1027" s="1301">
        <f>IFERROR(Model!AW1027/Model!AV1027-1,"NA")</f>
        <v>6.3723745105019658E-2</v>
      </c>
      <c r="AX1027" s="1301">
        <f>IFERROR(Model!AX1027/Model!AW1027-1,"NA")</f>
        <v>-5.1539491298527529E-2</v>
      </c>
      <c r="AY1027" s="1301">
        <f>IFERROR(Model!AY1027/Model!AX1027-1,"NA")</f>
        <v>-5.6104446012702813E-2</v>
      </c>
      <c r="AZ1027" s="1301">
        <f>IFERROR(Model!AZ1027/Model!AY1027-1,"NA")</f>
        <v>1.1214953271028172E-3</v>
      </c>
      <c r="BA1027" s="1301">
        <f>IFERROR(Model!BA1027/Model!AZ1027-1,"NA")</f>
        <v>7.7344182598954481E-2</v>
      </c>
      <c r="BB1027" s="1256">
        <f>IFERROR(Model!BB1027/Model!BA1027-1,"NA")</f>
        <v>4.0164600997551814E-2</v>
      </c>
      <c r="BC1027" s="1256">
        <f>IFERROR(Model!BC1027/Model!BB1027-1,"NA")</f>
        <v>4.0000000000000036E-2</v>
      </c>
      <c r="BD1027" s="1256">
        <f>IFERROR(Model!BD1027/Model!BC1027-1,"NA")</f>
        <v>5.0000000000000044E-2</v>
      </c>
      <c r="BE1027" s="1256">
        <f>IFERROR(Model!BE1027/Model!BD1027-1,"NA")</f>
        <v>5.0000000000000044E-2</v>
      </c>
    </row>
    <row r="1028" spans="1:64" x14ac:dyDescent="0.2">
      <c r="B1028" s="329"/>
      <c r="C1028" s="329" t="s">
        <v>312</v>
      </c>
      <c r="D1028" s="1256"/>
      <c r="E1028" s="1256"/>
      <c r="F1028" s="1256"/>
      <c r="G1028" s="1256"/>
      <c r="H1028" s="1256">
        <f>IFERROR(Model!H1028/Model!D1028-1,"NA")</f>
        <v>1.8079096045197751E-2</v>
      </c>
      <c r="I1028" s="1256">
        <f>IFERROR(Model!I1028/Model!E1028-1,"NA")</f>
        <v>2.6497695852534475E-2</v>
      </c>
      <c r="J1028" s="1256">
        <f>IFERROR(Model!J1028/Model!F1028-1,"NA")</f>
        <v>-1.1325028312572094E-3</v>
      </c>
      <c r="K1028" s="1256">
        <f>IFERROR(Model!K1028/Model!G1028-1,"NA")</f>
        <v>1.1098779134295134E-2</v>
      </c>
      <c r="L1028" s="1256">
        <f>IFERROR(Model!L1028/Model!H1028-1,"NA")</f>
        <v>1.7758046614872347E-2</v>
      </c>
      <c r="M1028" s="1256">
        <f>IFERROR(Model!M1028/Model!I1028-1,"NA")</f>
        <v>6.6217732884399361E-2</v>
      </c>
      <c r="N1028" s="1256">
        <f>IFERROR(Model!N1028/Model!J1028-1,"NA")</f>
        <v>7.8231292517006779E-2</v>
      </c>
      <c r="O1028" s="1256">
        <f>IFERROR(Model!O1028/Model!K1028-1,"NA")</f>
        <v>1.975850713501659E-2</v>
      </c>
      <c r="P1028" s="1256">
        <f>IFERROR(Model!P1028/Model!L1028-1,"NA")</f>
        <v>-1.4176663031624681E-2</v>
      </c>
      <c r="Q1028" s="1256">
        <f>IFERROR(Model!Q1028/Model!M1028-1,"NA")</f>
        <v>-4.9473684210526336E-2</v>
      </c>
      <c r="R1028" s="1256">
        <f>IFERROR(Model!R1028/Model!N1028-1,"NA")</f>
        <v>-8.7276550998948488E-2</v>
      </c>
      <c r="S1028" s="1256">
        <f>IFERROR(Model!S1028/Model!O1028-1,"NA")</f>
        <v>-7.1044133476856897E-2</v>
      </c>
      <c r="T1028" s="1256">
        <f>IFERROR(Model!T1028/Model!P1028-1,"NA")</f>
        <v>-6.0840707964601726E-2</v>
      </c>
      <c r="U1028" s="1256">
        <f>IFERROR(Model!U1028/Model!Q1028-1,"NA")</f>
        <v>-5.980066445182719E-2</v>
      </c>
      <c r="V1028" s="1256">
        <f>IFERROR(Model!V1028/Model!R1028-1,"NA")</f>
        <v>-1.4976958525345752E-2</v>
      </c>
      <c r="W1028" s="1256">
        <f>IFERROR(Model!W1028/Model!S1028-1,"NA")</f>
        <v>-5.0984936268829717E-2</v>
      </c>
      <c r="X1028" s="1256">
        <f>IFERROR(Model!X1028/Model!T1028-1,"NA")</f>
        <v>-2.0023557126030878E-2</v>
      </c>
      <c r="Y1028" s="1256">
        <f>IFERROR(Model!Y1028/Model!U1028-1,"NA")</f>
        <v>0</v>
      </c>
      <c r="Z1028" s="1256">
        <f>IFERROR(Model!Z1028/Model!V1028-1,"NA")</f>
        <v>8.1871345029240761E-3</v>
      </c>
      <c r="AA1028" s="1256">
        <f>IFERROR(Model!AA1028/Model!W1028-1,"NA")</f>
        <v>7.3260073260073444E-2</v>
      </c>
      <c r="AB1028" s="1256">
        <f>IFERROR(Model!AB1028/Model!X1028-1,"NA")</f>
        <v>8.5336538461538769E-2</v>
      </c>
      <c r="AC1028" s="1256">
        <f>IFERROR(Model!AC1028/Model!Y1028-1,"NA")</f>
        <v>7.4240282685512415E-2</v>
      </c>
      <c r="AD1028" s="1256">
        <f>IFERROR(Model!AD1028/Model!Z1028-1,"NA")</f>
        <v>7.2761774941995094E-2</v>
      </c>
      <c r="AE1028" s="1256">
        <f>IFERROR(Model!AE1028/Model!AA1028-1,"NA")</f>
        <v>7.3054679180887039E-2</v>
      </c>
      <c r="AF1028" s="1256">
        <f>IFERROR(Model!AF1028/Model!AB1028-1,"NA")</f>
        <v>5.0886855232557648E-2</v>
      </c>
      <c r="AG1028" s="1256">
        <f>IFERROR(Model!AG1028/Model!AC1028-1,"NA")</f>
        <v>4.4555218081394843E-2</v>
      </c>
      <c r="AH1028" s="1256">
        <f>IFERROR(Model!AH1028/Model!AD1028-1,"NA")</f>
        <v>4.0730960709459252E-2</v>
      </c>
      <c r="AI1028" s="1256">
        <f>IFERROR(Model!AI1028/Model!AE1028-1,"NA")</f>
        <v>3.4185056390202417E-2</v>
      </c>
      <c r="AJ1028" s="1256"/>
      <c r="AK1028" s="1256"/>
      <c r="AL1028" s="1256"/>
      <c r="AM1028" s="1256"/>
      <c r="AN1028" s="1256"/>
      <c r="AO1028" s="1256"/>
      <c r="AP1028" s="1256"/>
      <c r="AQ1028" s="1256"/>
      <c r="AR1028" s="1236"/>
      <c r="AS1028" s="1519"/>
      <c r="AT1028" s="1519"/>
      <c r="AU1028" s="1236"/>
      <c r="AV1028" s="1236">
        <f>IFERROR(Model!AV1028/Model!AU1028-1,"NA")</f>
        <v>1.3570822731128196E-2</v>
      </c>
      <c r="AW1028" s="1236">
        <f>IFERROR(Model!AW1028/Model!AV1028-1,"NA")</f>
        <v>4.5188284518828503E-2</v>
      </c>
      <c r="AX1028" s="1236">
        <f>IFERROR(Model!AX1028/Model!AW1028-1,"NA")</f>
        <v>-5.5777955697891901E-2</v>
      </c>
      <c r="AY1028" s="1236">
        <f>IFERROR(Model!AY1028/Model!AX1028-1,"NA")</f>
        <v>-4.6919163369135042E-2</v>
      </c>
      <c r="AZ1028" s="1236">
        <f>IFERROR(Model!AZ1028/Model!AY1028-1,"NA")</f>
        <v>1.4827995255041637E-2</v>
      </c>
      <c r="BA1028" s="1236">
        <f>IFERROR(Model!BA1028/Model!AZ1028-1,"NA")</f>
        <v>7.626116686148432E-2</v>
      </c>
      <c r="BB1028" s="1256">
        <f>IFERROR(Model!BB1028/Model!BA1028-1,"NA")</f>
        <v>4.2491610999391805E-2</v>
      </c>
      <c r="BC1028" s="1256">
        <f>IFERROR(Model!BC1028/Model!BB1028-1,"NA")</f>
        <v>4.2183778309933917E-2</v>
      </c>
      <c r="BD1028" s="1256">
        <f>IFERROR(Model!BD1028/Model!BC1028-1,"NA")</f>
        <v>5.0000000000000044E-2</v>
      </c>
      <c r="BE1028" s="1256">
        <f>IFERROR(Model!BE1028/Model!BD1028-1,"NA")</f>
        <v>5.0000000000000044E-2</v>
      </c>
    </row>
    <row r="1029" spans="1:64" x14ac:dyDescent="0.2">
      <c r="B1029" s="329"/>
      <c r="C1029" s="329"/>
      <c r="D1029" s="1256"/>
      <c r="E1029" s="1256"/>
      <c r="F1029" s="1256"/>
      <c r="G1029" s="1256"/>
      <c r="H1029" s="1256"/>
      <c r="I1029" s="1256"/>
      <c r="J1029" s="1256"/>
      <c r="K1029" s="1256"/>
      <c r="L1029" s="1256"/>
      <c r="M1029" s="1256"/>
      <c r="N1029" s="1256"/>
      <c r="O1029" s="1256"/>
      <c r="P1029" s="1256"/>
      <c r="Q1029" s="1256"/>
      <c r="R1029" s="1256"/>
      <c r="S1029" s="1256"/>
      <c r="T1029" s="1256"/>
      <c r="U1029" s="1256"/>
      <c r="V1029" s="1256"/>
      <c r="W1029" s="1256"/>
      <c r="X1029" s="1256"/>
      <c r="Y1029" s="1256"/>
      <c r="Z1029" s="1256"/>
      <c r="AA1029" s="1256"/>
      <c r="AB1029" s="1256"/>
      <c r="AC1029" s="1256"/>
      <c r="AD1029" s="1256"/>
      <c r="AE1029" s="1256"/>
      <c r="AF1029" s="1256"/>
      <c r="AG1029" s="1256"/>
      <c r="AH1029" s="1256"/>
      <c r="AI1029" s="1256"/>
      <c r="AJ1029" s="1256"/>
      <c r="AK1029" s="1256"/>
      <c r="AL1029" s="1256"/>
      <c r="AM1029" s="1256"/>
      <c r="AN1029" s="1256"/>
      <c r="AO1029" s="1256"/>
      <c r="AP1029" s="1256"/>
      <c r="AQ1029" s="1256"/>
      <c r="AR1029" s="1236"/>
      <c r="AS1029" s="1519"/>
      <c r="AT1029" s="1519"/>
      <c r="AU1029" s="1236"/>
      <c r="AV1029" s="1236"/>
      <c r="AW1029" s="1236"/>
      <c r="AX1029" s="1236"/>
      <c r="AY1029" s="1236"/>
      <c r="AZ1029" s="1236"/>
      <c r="BA1029" s="1236"/>
      <c r="BB1029" s="1256"/>
      <c r="BC1029" s="1256"/>
      <c r="BD1029" s="1256"/>
      <c r="BE1029" s="1256"/>
    </row>
    <row r="1030" spans="1:64" x14ac:dyDescent="0.2">
      <c r="B1030" s="683" t="s">
        <v>137</v>
      </c>
      <c r="C1030" s="684"/>
      <c r="D1030" s="1539"/>
      <c r="E1030" s="1539"/>
      <c r="F1030" s="1539"/>
      <c r="G1030" s="1539"/>
      <c r="H1030" s="1539"/>
      <c r="I1030" s="1539"/>
      <c r="J1030" s="1539"/>
      <c r="K1030" s="1539"/>
      <c r="L1030" s="1539"/>
      <c r="M1030" s="1539"/>
      <c r="N1030" s="1539"/>
      <c r="O1030" s="1539"/>
      <c r="P1030" s="1539"/>
      <c r="Q1030" s="1539"/>
      <c r="R1030" s="1539"/>
      <c r="S1030" s="1539"/>
      <c r="T1030" s="1539"/>
      <c r="U1030" s="1539"/>
      <c r="V1030" s="1539"/>
      <c r="W1030" s="1539"/>
      <c r="X1030" s="1539"/>
      <c r="Y1030" s="1539"/>
      <c r="Z1030" s="1539"/>
      <c r="AA1030" s="1539"/>
      <c r="AB1030" s="1539"/>
      <c r="AC1030" s="1539"/>
      <c r="AD1030" s="1539"/>
      <c r="AE1030" s="1539"/>
      <c r="AF1030" s="1539"/>
      <c r="AG1030" s="1539"/>
      <c r="AH1030" s="1539"/>
      <c r="AI1030" s="1540"/>
      <c r="AJ1030" s="1338"/>
      <c r="AK1030" s="1338"/>
      <c r="AL1030" s="1338"/>
      <c r="AM1030" s="1338"/>
      <c r="AN1030" s="1338"/>
      <c r="AO1030" s="1338"/>
      <c r="AP1030" s="1338"/>
      <c r="AQ1030" s="1338"/>
      <c r="AR1030" s="1236"/>
      <c r="AS1030" s="1527"/>
      <c r="AT1030" s="1528"/>
      <c r="AU1030" s="1541"/>
      <c r="AV1030" s="1541"/>
      <c r="AW1030" s="1541"/>
      <c r="AX1030" s="1541"/>
      <c r="AY1030" s="1541"/>
      <c r="AZ1030" s="1541"/>
      <c r="BA1030" s="1541"/>
      <c r="BB1030" s="1539"/>
      <c r="BC1030" s="1539"/>
      <c r="BD1030" s="1539"/>
      <c r="BE1030" s="1540"/>
    </row>
    <row r="1031" spans="1:64" x14ac:dyDescent="0.2">
      <c r="B1031" s="687" t="s">
        <v>92</v>
      </c>
      <c r="C1031" s="679"/>
      <c r="D1031" s="1338"/>
      <c r="E1031" s="1338"/>
      <c r="F1031" s="1338"/>
      <c r="G1031" s="1338"/>
      <c r="H1031" s="1338">
        <f>IFERROR(Model!H1031/Model!D1031-1,"NA")</f>
        <v>-2.6239067055393583E-2</v>
      </c>
      <c r="I1031" s="1338">
        <f>IFERROR(Model!I1031/Model!E1031-1,"NA")</f>
        <v>-1.9475655430711614E-2</v>
      </c>
      <c r="J1031" s="1338">
        <f>IFERROR(Model!J1031/Model!F1031-1,"NA")</f>
        <v>-1.716417910447765E-2</v>
      </c>
      <c r="K1031" s="1338">
        <f>IFERROR(Model!K1031/Model!G1031-1,"NA")</f>
        <v>2.5222551928783421E-2</v>
      </c>
      <c r="L1031" s="1338">
        <f>IFERROR(Model!L1031/Model!H1031-1,"NA")</f>
        <v>2.6946107784431073E-2</v>
      </c>
      <c r="M1031" s="1338">
        <f>IFERROR(Model!M1031/Model!I1031-1,"NA")</f>
        <v>3.4377387318563768E-2</v>
      </c>
      <c r="N1031" s="1338">
        <f>IFERROR(Model!N1031/Model!J1031-1,"NA")</f>
        <v>2.8853454821564206E-2</v>
      </c>
      <c r="O1031" s="1338">
        <f>IFERROR(Model!O1031/Model!K1031-1,"NA")</f>
        <v>-2.098408104196825E-2</v>
      </c>
      <c r="P1031" s="1338">
        <f>IFERROR(Model!P1031/Model!L1031-1,"NA")</f>
        <v>-3.498542274052463E-2</v>
      </c>
      <c r="Q1031" s="1338">
        <f>IFERROR(Model!Q1031/Model!M1031-1,"NA")</f>
        <v>-4.0620384047267311E-2</v>
      </c>
      <c r="R1031" s="1338">
        <f>IFERROR(Model!R1031/Model!N1031-1,"NA")</f>
        <v>-4.2804428044280529E-2</v>
      </c>
      <c r="S1031" s="1338">
        <f>IFERROR(Model!S1031/Model!O1031-1,"NA")</f>
        <v>-2.8085735402808676E-2</v>
      </c>
      <c r="T1031" s="1338">
        <f>IFERROR(Model!T1031/Model!P1031-1,"NA")</f>
        <v>-8.3081570996977883E-3</v>
      </c>
      <c r="U1031" s="1338">
        <f>IFERROR(Model!U1031/Model!Q1031-1,"NA")</f>
        <v>1.5396458814472602E-2</v>
      </c>
      <c r="V1031" s="1338">
        <f>IFERROR(Model!V1031/Model!R1031-1,"NA")</f>
        <v>0.12181958365458767</v>
      </c>
      <c r="W1031" s="1338">
        <f>IFERROR(Model!W1031/Model!S1031-1,"NA")</f>
        <v>0.1353612167300382</v>
      </c>
      <c r="X1031" s="1338">
        <f>IFERROR(Model!X1031/Model!T1031-1,"NA")</f>
        <v>0.1485148514851482</v>
      </c>
      <c r="Y1031" s="1338">
        <f>IFERROR(Model!Y1031/Model!U1031-1,"NA")</f>
        <v>0.14859742228961337</v>
      </c>
      <c r="Z1031" s="1338">
        <f>IFERROR(Model!Z1031/Model!V1031-1,"NA")</f>
        <v>6.8041237113402042E-2</v>
      </c>
      <c r="AA1031" s="1338">
        <f>IFERROR(Model!AA1031/Model!W1031-1,"NA")</f>
        <v>5.9611520428666909E-2</v>
      </c>
      <c r="AB1031" s="1338">
        <f>IFERROR(Model!AB1031/Model!X1031-1,"NA")</f>
        <v>5.5702917771883298E-2</v>
      </c>
      <c r="AC1031" s="1338">
        <f>IFERROR(Model!AC1031/Model!Y1031-1,"NA")</f>
        <v>5.2933993399339796E-2</v>
      </c>
      <c r="AD1031" s="1338">
        <f>IFERROR(Model!AD1031/Model!Z1031-1,"NA")</f>
        <v>3.8826850064349827E-2</v>
      </c>
      <c r="AE1031" s="1338">
        <f>IFERROR(Model!AE1031/Model!AA1031-1,"NA")</f>
        <v>4.1382707648546235E-2</v>
      </c>
      <c r="AF1031" s="1338">
        <f>IFERROR(Model!AF1031/Model!AB1031-1,"NA")</f>
        <v>2.8228423908605471E-2</v>
      </c>
      <c r="AG1031" s="1338">
        <f>IFERROR(Model!AG1031/Model!AC1031-1,"NA")</f>
        <v>2.8718409718282434E-2</v>
      </c>
      <c r="AH1031" s="1338">
        <f>IFERROR(Model!AH1031/Model!AD1031-1,"NA")</f>
        <v>3.5151262636214264E-2</v>
      </c>
      <c r="AI1031" s="1542">
        <f>IFERROR(Model!AI1031/Model!AE1031-1,"NA")</f>
        <v>4.3432611200930449E-2</v>
      </c>
      <c r="AJ1031" s="1338"/>
      <c r="AK1031" s="1338"/>
      <c r="AL1031" s="1338"/>
      <c r="AM1031" s="1338"/>
      <c r="AN1031" s="1338"/>
      <c r="AO1031" s="1338"/>
      <c r="AP1031" s="1338"/>
      <c r="AQ1031" s="1338"/>
      <c r="AR1031" s="1236"/>
      <c r="AS1031" s="1529"/>
      <c r="AT1031" s="1523"/>
      <c r="AU1031" s="1338"/>
      <c r="AV1031" s="1338">
        <f>IFERROR(Model!AV1031/Model!AU1031-1,"NA")</f>
        <v>-9.4531974050047207E-3</v>
      </c>
      <c r="AW1031" s="1338">
        <f>IFERROR(Model!AW1031/Model!AV1031-1,"NA")</f>
        <v>1.6841317365269504E-2</v>
      </c>
      <c r="AX1031" s="1338">
        <f>IFERROR(Model!AX1031/Model!AW1031-1,"NA")</f>
        <v>-3.6621273463378734E-2</v>
      </c>
      <c r="AY1031" s="1338">
        <f>IFERROR(Model!AY1031/Model!AX1031-1,"NA")</f>
        <v>6.5902578796561695E-2</v>
      </c>
      <c r="AZ1031" s="1338">
        <f>IFERROR(Model!AZ1031/Model!AY1031-1,"NA")</f>
        <v>0.10376344086021505</v>
      </c>
      <c r="BA1031" s="1338">
        <f>IFERROR(Model!BA1031/Model!AZ1031-1,"NA")</f>
        <v>4.7085463305731601E-2</v>
      </c>
      <c r="BB1031" s="1338">
        <f>IFERROR(Model!BB1031/Model!BA1031-1,"NA")</f>
        <v>3.396665065540927E-2</v>
      </c>
      <c r="BC1031" s="1338">
        <f>IFERROR(Model!BC1031/Model!BB1031-1,"NA")</f>
        <v>4.1610539036009753E-2</v>
      </c>
      <c r="BD1031" s="1338">
        <f>IFERROR(Model!BD1031/Model!BC1031-1,"NA")</f>
        <v>4.1623510827161203E-2</v>
      </c>
      <c r="BE1031" s="1542">
        <f>IFERROR(Model!BE1031/Model!BD1031-1,"NA")</f>
        <v>4.1636566716092505E-2</v>
      </c>
    </row>
    <row r="1032" spans="1:64" x14ac:dyDescent="0.2">
      <c r="B1032" s="687" t="s">
        <v>74</v>
      </c>
      <c r="C1032" s="679"/>
      <c r="D1032" s="1338"/>
      <c r="E1032" s="1338"/>
      <c r="F1032" s="1338"/>
      <c r="G1032" s="1338"/>
      <c r="H1032" s="1338">
        <f>IFERROR(Model!H1032/Model!D1032-1,"NA")</f>
        <v>5.7722308892355967E-2</v>
      </c>
      <c r="I1032" s="1338">
        <f>IFERROR(Model!I1032/Model!E1032-1,"NA")</f>
        <v>4.8703849175176561E-2</v>
      </c>
      <c r="J1032" s="1338">
        <f>IFERROR(Model!J1032/Model!F1032-1,"NA")</f>
        <v>4.0769230769230891E-2</v>
      </c>
      <c r="K1032" s="1338">
        <f>IFERROR(Model!K1032/Model!G1032-1,"NA")</f>
        <v>4.4261065266316457E-2</v>
      </c>
      <c r="L1032" s="1338">
        <f>IFERROR(Model!L1032/Model!H1032-1,"NA")</f>
        <v>3.7610619469026219E-2</v>
      </c>
      <c r="M1032" s="1338">
        <f>IFERROR(Model!M1032/Model!I1032-1,"NA")</f>
        <v>8.5393258426966101E-2</v>
      </c>
      <c r="N1032" s="1338">
        <f>IFERROR(Model!N1032/Model!J1032-1,"NA")</f>
        <v>8.0561714708055954E-2</v>
      </c>
      <c r="O1032" s="1338">
        <f>IFERROR(Model!O1032/Model!K1032-1,"NA")</f>
        <v>4.1666666666666741E-2</v>
      </c>
      <c r="P1032" s="1338">
        <f>IFERROR(Model!P1032/Model!L1032-1,"NA")</f>
        <v>2.1321961620470731E-3</v>
      </c>
      <c r="Q1032" s="1338">
        <f>IFERROR(Model!Q1032/Model!M1032-1,"NA")</f>
        <v>-1.7253278122843385E-2</v>
      </c>
      <c r="R1032" s="1338">
        <f>IFERROR(Model!R1032/Model!N1032-1,"NA")</f>
        <v>-4.377564979480153E-2</v>
      </c>
      <c r="S1032" s="1338">
        <f>IFERROR(Model!S1032/Model!O1032-1,"NA")</f>
        <v>-2.8965517241379191E-2</v>
      </c>
      <c r="T1032" s="1338">
        <f>IFERROR(Model!T1032/Model!P1032-1,"NA")</f>
        <v>-9.9290780141844115E-3</v>
      </c>
      <c r="U1032" s="1338">
        <f>IFERROR(Model!U1032/Model!Q1032-1,"NA")</f>
        <v>-9.1292134831459926E-3</v>
      </c>
      <c r="V1032" s="1338">
        <f>IFERROR(Model!V1032/Model!R1032-1,"NA")</f>
        <v>1.5736766809728131E-2</v>
      </c>
      <c r="W1032" s="1338">
        <f>IFERROR(Model!W1032/Model!S1032-1,"NA")</f>
        <v>-1.9176136363636465E-2</v>
      </c>
      <c r="X1032" s="1338">
        <f>IFERROR(Model!X1032/Model!T1032-1,"NA")</f>
        <v>-5.7306590257880652E-3</v>
      </c>
      <c r="Y1032" s="1338">
        <f>IFERROR(Model!Y1032/Model!U1032-1,"NA")</f>
        <v>8.5046066619420824E-3</v>
      </c>
      <c r="Z1032" s="1338">
        <f>IFERROR(Model!Z1032/Model!V1032-1,"NA")</f>
        <v>1.6197183098591639E-2</v>
      </c>
      <c r="AA1032" s="1338">
        <f>IFERROR(Model!AA1032/Model!W1032-1,"NA")</f>
        <v>5.0687907313540892E-2</v>
      </c>
      <c r="AB1032" s="1338">
        <f>IFERROR(Model!AB1032/Model!X1032-1,"NA")</f>
        <v>5.9798270893371974E-2</v>
      </c>
      <c r="AC1032" s="1338">
        <f>IFERROR(Model!AC1032/Model!Y1032-1,"NA")</f>
        <v>4.4068868587491039E-2</v>
      </c>
      <c r="AD1032" s="1338">
        <f>IFERROR(Model!AD1032/Model!Z1032-1,"NA")</f>
        <v>4.3092723492723195E-2</v>
      </c>
      <c r="AE1032" s="1338">
        <f>IFERROR(Model!AE1032/Model!AA1032-1,"NA")</f>
        <v>5.8088529290144741E-2</v>
      </c>
      <c r="AF1032" s="1338">
        <f>IFERROR(Model!AF1032/Model!AB1032-1,"NA")</f>
        <v>4.8683843497620227E-2</v>
      </c>
      <c r="AG1032" s="1338">
        <f>IFERROR(Model!AG1032/Model!AC1032-1,"NA")</f>
        <v>5.0123348400747503E-2</v>
      </c>
      <c r="AH1032" s="1338">
        <f>IFERROR(Model!AH1032/Model!AD1032-1,"NA")</f>
        <v>4.6381855003158057E-2</v>
      </c>
      <c r="AI1032" s="1542">
        <f>IFERROR(Model!AI1032/Model!AE1032-1,"NA")</f>
        <v>4.0991871370511301E-2</v>
      </c>
      <c r="AJ1032" s="1338"/>
      <c r="AK1032" s="1338"/>
      <c r="AL1032" s="1338"/>
      <c r="AM1032" s="1338"/>
      <c r="AN1032" s="1338"/>
      <c r="AO1032" s="1338"/>
      <c r="AP1032" s="1338"/>
      <c r="AQ1032" s="1338"/>
      <c r="AR1032" s="1236"/>
      <c r="AS1032" s="1529"/>
      <c r="AT1032" s="1523"/>
      <c r="AU1032" s="1338"/>
      <c r="AV1032" s="1338">
        <f>IFERROR(Model!AV1032/Model!AU1032-1,"NA")</f>
        <v>4.7802621434078763E-2</v>
      </c>
      <c r="AW1032" s="1338">
        <f>IFERROR(Model!AW1032/Model!AV1032-1,"NA")</f>
        <v>6.1074319352465212E-2</v>
      </c>
      <c r="AX1032" s="1338">
        <f>IFERROR(Model!AX1032/Model!AW1032-1,"NA")</f>
        <v>-2.2191400832177632E-2</v>
      </c>
      <c r="AY1032" s="1338">
        <f>IFERROR(Model!AY1032/Model!AX1032-1,"NA")</f>
        <v>-5.6737588652483462E-3</v>
      </c>
      <c r="AZ1032" s="1338">
        <f>IFERROR(Model!AZ1032/Model!AY1032-1,"NA")</f>
        <v>1.7296718972895864E-2</v>
      </c>
      <c r="BA1032" s="1338">
        <f>IFERROR(Model!BA1032/Model!AZ1032-1,"NA")</f>
        <v>5.1214593514461004E-2</v>
      </c>
      <c r="BB1032" s="1338">
        <f>IFERROR(Model!BB1032/Model!BA1032-1,"NA")</f>
        <v>4.6493545905368805E-2</v>
      </c>
      <c r="BC1032" s="1338">
        <f>IFERROR(Model!BC1032/Model!BB1032-1,"NA")</f>
        <v>4.7649905890601696E-2</v>
      </c>
      <c r="BD1032" s="1338">
        <f>IFERROR(Model!BD1032/Model!BC1032-1,"NA")</f>
        <v>4.8616840276081374E-2</v>
      </c>
      <c r="BE1032" s="1542">
        <f>IFERROR(Model!BE1032/Model!BD1032-1,"NA")</f>
        <v>4.8628206168711996E-2</v>
      </c>
    </row>
    <row r="1033" spans="1:64" x14ac:dyDescent="0.2">
      <c r="B1033" s="689"/>
      <c r="C1033" s="690" t="s">
        <v>122</v>
      </c>
      <c r="D1033" s="1257"/>
      <c r="E1033" s="1257"/>
      <c r="F1033" s="1257"/>
      <c r="G1033" s="1257"/>
      <c r="H1033" s="1257">
        <f>IFERROR(Model!H1033/Model!D1033-1,"NA")</f>
        <v>1.431801055011328E-2</v>
      </c>
      <c r="I1033" s="1257">
        <f>IFERROR(Model!I1033/Model!E1033-1,"NA")</f>
        <v>1.3803680981594901E-2</v>
      </c>
      <c r="J1033" s="1257">
        <f>IFERROR(Model!J1033/Model!F1033-1,"NA")</f>
        <v>1.1363636363636465E-2</v>
      </c>
      <c r="K1033" s="1257">
        <f>IFERROR(Model!K1033/Model!G1033-1,"NA")</f>
        <v>3.4688549048862205E-2</v>
      </c>
      <c r="L1033" s="1257">
        <f>IFERROR(Model!L1033/Model!H1033-1,"NA")</f>
        <v>3.2317979197622249E-2</v>
      </c>
      <c r="M1033" s="1257">
        <f>IFERROR(Model!M1033/Model!I1033-1,"NA")</f>
        <v>6.0136157337367546E-2</v>
      </c>
      <c r="N1033" s="1257">
        <f>IFERROR(Model!N1033/Model!J1033-1,"NA")</f>
        <v>5.5056179775280878E-2</v>
      </c>
      <c r="O1033" s="1257">
        <f>IFERROR(Model!O1033/Model!K1033-1,"NA")</f>
        <v>1.0454217736121318E-2</v>
      </c>
      <c r="P1033" s="1257">
        <f>IFERROR(Model!P1033/Model!L1033-1,"NA")</f>
        <v>-1.619287513494061E-2</v>
      </c>
      <c r="Q1033" s="1257">
        <f>IFERROR(Model!Q1033/Model!M1033-1,"NA")</f>
        <v>-2.8540849090260445E-2</v>
      </c>
      <c r="R1033" s="1257">
        <f>IFERROR(Model!R1033/Model!N1033-1,"NA")</f>
        <v>-4.3308484203052888E-2</v>
      </c>
      <c r="S1033" s="1257">
        <f>IFERROR(Model!S1033/Model!O1033-1,"NA")</f>
        <v>-2.8540849090260445E-2</v>
      </c>
      <c r="T1033" s="1257">
        <f>IFERROR(Model!T1033/Model!P1033-1,"NA")</f>
        <v>-9.1441111923921126E-3</v>
      </c>
      <c r="U1033" s="1257">
        <f>IFERROR(Model!U1033/Model!Q1033-1,"NA")</f>
        <v>2.5706940874037354E-3</v>
      </c>
      <c r="V1033" s="1257">
        <f>IFERROR(Model!V1033/Model!R1033-1,"NA")</f>
        <v>6.6790352504638273E-2</v>
      </c>
      <c r="W1033" s="1257">
        <f>IFERROR(Model!W1033/Model!S1033-1,"NA")</f>
        <v>5.5453543885420453E-2</v>
      </c>
      <c r="X1033" s="1257">
        <f>IFERROR(Model!X1033/Model!T1033-1,"NA")</f>
        <v>6.9029162052417936E-2</v>
      </c>
      <c r="Y1033" s="1257">
        <f>IFERROR(Model!Y1033/Model!U1033-1,"NA")</f>
        <v>7.6190476190476142E-2</v>
      </c>
      <c r="Z1033" s="1257">
        <f>IFERROR(Model!Z1033/Model!V1033-1,"NA")</f>
        <v>4.2434782608695709E-2</v>
      </c>
      <c r="AA1033" s="1257">
        <f>IFERROR(Model!AA1033/Model!W1033-1,"NA")</f>
        <v>5.5323590814196244E-2</v>
      </c>
      <c r="AB1033" s="1257">
        <f>IFERROR(Model!AB1033/Model!X1033-1,"NA")</f>
        <v>5.7665745856353645E-2</v>
      </c>
      <c r="AC1033" s="1257">
        <f>IFERROR(Model!AC1033/Model!Y1033-1,"NA")</f>
        <v>4.8640231449966098E-2</v>
      </c>
      <c r="AD1033" s="1257">
        <f>IFERROR(Model!AD1033/Model!Z1033-1,"NA")</f>
        <v>4.0880789122455408E-2</v>
      </c>
      <c r="AE1033" s="1257">
        <f>IFERROR(Model!AE1033/Model!AA1033-1,"NA")</f>
        <v>4.9374843224530229E-2</v>
      </c>
      <c r="AF1033" s="1257">
        <f>IFERROR(Model!AF1033/Model!AB1033-1,"NA")</f>
        <v>3.8052100766405417E-2</v>
      </c>
      <c r="AG1033" s="1257">
        <f>IFERROR(Model!AG1033/Model!AC1033-1,"NA")</f>
        <v>3.9040549300620953E-2</v>
      </c>
      <c r="AH1033" s="1257">
        <f>IFERROR(Model!AH1033/Model!AD1033-1,"NA")</f>
        <v>4.0570075772436764E-2</v>
      </c>
      <c r="AI1033" s="1543">
        <f>IFERROR(Model!AI1033/Model!AE1033-1,"NA")</f>
        <v>4.2255255073945452E-2</v>
      </c>
      <c r="AJ1033" s="1338"/>
      <c r="AK1033" s="1338"/>
      <c r="AL1033" s="1338"/>
      <c r="AM1033" s="1338"/>
      <c r="AN1033" s="1338"/>
      <c r="AO1033" s="1338"/>
      <c r="AP1033" s="1338"/>
      <c r="AQ1033" s="1338"/>
      <c r="AR1033" s="1236"/>
      <c r="AS1033" s="1530"/>
      <c r="AT1033" s="1531"/>
      <c r="AU1033" s="1257"/>
      <c r="AV1033" s="1257">
        <f>IFERROR(Model!AV1033/Model!AU1033-1,"NA")</f>
        <v>1.8614759519985036E-2</v>
      </c>
      <c r="AW1033" s="1257">
        <f>IFERROR(Model!AW1033/Model!AV1033-1,"NA")</f>
        <v>3.9146567717996295E-2</v>
      </c>
      <c r="AX1033" s="1257">
        <f>IFERROR(Model!AX1033/Model!AW1033-1,"NA")</f>
        <v>-2.9191215854311725E-2</v>
      </c>
      <c r="AY1033" s="1257">
        <f>IFERROR(Model!AY1033/Model!AX1033-1,"NA")</f>
        <v>2.8781609195402291E-2</v>
      </c>
      <c r="AZ1033" s="1257">
        <f>IFERROR(Model!AZ1033/Model!AY1033-1,"NA")</f>
        <v>6.0421880586342569E-2</v>
      </c>
      <c r="BA1033" s="1257">
        <f>IFERROR(Model!BA1033/Model!AZ1033-1,"NA")</f>
        <v>4.9071023642953238E-2</v>
      </c>
      <c r="BB1033" s="1257">
        <f>IFERROR(Model!BB1033/Model!BA1033-1,"NA")</f>
        <v>4.0002723140120322E-2</v>
      </c>
      <c r="BC1033" s="1257">
        <f>IFERROR(Model!BC1033/Model!BB1033-1,"NA")</f>
        <v>4.4538764341545578E-2</v>
      </c>
      <c r="BD1033" s="1257">
        <f>IFERROR(Model!BD1033/Model!BC1033-1,"NA")</f>
        <v>4.5024370267429559E-2</v>
      </c>
      <c r="BE1033" s="1543">
        <f>IFERROR(Model!BE1033/Model!BD1033-1,"NA")</f>
        <v>4.504829258618237E-2</v>
      </c>
    </row>
    <row r="1034" spans="1:64" x14ac:dyDescent="0.2">
      <c r="B1034" s="329"/>
      <c r="C1034" s="329"/>
      <c r="D1034" s="1256"/>
      <c r="E1034" s="1256"/>
      <c r="F1034" s="1256"/>
      <c r="G1034" s="1256"/>
      <c r="H1034" s="1256"/>
      <c r="I1034" s="1256"/>
      <c r="J1034" s="1256"/>
      <c r="K1034" s="1256"/>
      <c r="L1034" s="1256"/>
      <c r="M1034" s="1256"/>
      <c r="N1034" s="1256"/>
      <c r="O1034" s="1256"/>
      <c r="P1034" s="1256"/>
      <c r="Q1034" s="1256"/>
      <c r="R1034" s="1256"/>
      <c r="S1034" s="1256"/>
      <c r="T1034" s="1256"/>
      <c r="U1034" s="1256"/>
      <c r="V1034" s="1256"/>
      <c r="W1034" s="1256"/>
      <c r="X1034" s="1256"/>
      <c r="Y1034" s="1256"/>
      <c r="Z1034" s="1256"/>
      <c r="AA1034" s="1256"/>
      <c r="AB1034" s="1256"/>
      <c r="AC1034" s="1256"/>
      <c r="AD1034" s="1256"/>
      <c r="AE1034" s="1256"/>
      <c r="AF1034" s="1256"/>
      <c r="AG1034" s="1256"/>
      <c r="AH1034" s="1256"/>
      <c r="AI1034" s="1256"/>
      <c r="AJ1034" s="1256"/>
      <c r="AK1034" s="1256"/>
      <c r="AL1034" s="1256"/>
      <c r="AM1034" s="1256"/>
      <c r="AN1034" s="1256"/>
      <c r="AO1034" s="1256"/>
      <c r="AP1034" s="1256"/>
      <c r="AQ1034" s="1256"/>
      <c r="AR1034" s="1236"/>
      <c r="AS1034" s="1519"/>
      <c r="AT1034" s="1519"/>
      <c r="AU1034" s="1236"/>
      <c r="AV1034" s="1236"/>
      <c r="AW1034" s="1236"/>
      <c r="AX1034" s="1236"/>
      <c r="AY1034" s="1236"/>
      <c r="AZ1034" s="1236"/>
      <c r="BA1034" s="1236"/>
      <c r="BB1034" s="1236"/>
      <c r="BC1034" s="1236"/>
      <c r="BD1034" s="1236"/>
      <c r="BE1034" s="1236"/>
    </row>
    <row r="1035" spans="1:64" s="674" customFormat="1" x14ac:dyDescent="0.2">
      <c r="A1035" s="837"/>
      <c r="B1035" s="670" t="s">
        <v>141</v>
      </c>
      <c r="C1035" s="671"/>
      <c r="D1035" s="1515"/>
      <c r="E1035" s="1515"/>
      <c r="F1035" s="1515"/>
      <c r="G1035" s="1515"/>
      <c r="H1035" s="1515"/>
      <c r="I1035" s="1515"/>
      <c r="J1035" s="1515"/>
      <c r="K1035" s="1515"/>
      <c r="L1035" s="1515"/>
      <c r="M1035" s="1515"/>
      <c r="N1035" s="1515"/>
      <c r="O1035" s="1515"/>
      <c r="P1035" s="1515"/>
      <c r="Q1035" s="1515"/>
      <c r="R1035" s="1515"/>
      <c r="S1035" s="1515"/>
      <c r="T1035" s="1515"/>
      <c r="U1035" s="1515"/>
      <c r="V1035" s="1515"/>
      <c r="W1035" s="1515"/>
      <c r="X1035" s="1515"/>
      <c r="Y1035" s="1515"/>
      <c r="Z1035" s="1533"/>
      <c r="AA1035" s="1533"/>
      <c r="AB1035" s="1533"/>
      <c r="AC1035" s="1515"/>
      <c r="AD1035" s="1515"/>
      <c r="AE1035" s="1515"/>
      <c r="AF1035" s="1515"/>
      <c r="AG1035" s="1515"/>
      <c r="AH1035" s="1515"/>
      <c r="AI1035" s="1515"/>
      <c r="AJ1035" s="1515"/>
      <c r="AK1035" s="1515"/>
      <c r="AL1035" s="1515"/>
      <c r="AM1035" s="1515"/>
      <c r="AN1035" s="1515"/>
      <c r="AO1035" s="1515"/>
      <c r="AP1035" s="1515"/>
      <c r="AQ1035" s="1515"/>
      <c r="AR1035" s="1236"/>
      <c r="AS1035" s="1518"/>
      <c r="AT1035" s="1515"/>
      <c r="AU1035" s="1515"/>
      <c r="AV1035" s="1515"/>
      <c r="AW1035" s="1515"/>
      <c r="AX1035" s="1515"/>
      <c r="AY1035" s="1515"/>
      <c r="AZ1035" s="1515"/>
      <c r="BA1035" s="1515"/>
      <c r="BB1035" s="1515"/>
      <c r="BC1035" s="1515"/>
      <c r="BD1035" s="1515"/>
      <c r="BE1035" s="1515"/>
      <c r="BF1035" s="704"/>
      <c r="BG1035" s="704"/>
      <c r="BH1035" s="704"/>
      <c r="BI1035" s="329"/>
      <c r="BJ1035" s="704"/>
      <c r="BK1035" s="704"/>
      <c r="BL1035" s="704"/>
    </row>
    <row r="1036" spans="1:64" x14ac:dyDescent="0.2">
      <c r="B1036" s="362"/>
      <c r="D1036" s="1256"/>
      <c r="E1036" s="1256"/>
      <c r="F1036" s="1256"/>
      <c r="G1036" s="1256"/>
      <c r="H1036" s="1256"/>
      <c r="I1036" s="1256"/>
      <c r="J1036" s="1256"/>
      <c r="K1036" s="1256"/>
      <c r="L1036" s="1256"/>
      <c r="M1036" s="1256"/>
      <c r="N1036" s="1256"/>
      <c r="O1036" s="1256"/>
      <c r="P1036" s="1256"/>
      <c r="Q1036" s="1256"/>
      <c r="R1036" s="1256"/>
      <c r="S1036" s="1256"/>
      <c r="T1036" s="1256"/>
      <c r="U1036" s="1256"/>
      <c r="V1036" s="1256"/>
      <c r="W1036" s="1256"/>
      <c r="X1036" s="1256"/>
      <c r="Y1036" s="1256"/>
      <c r="Z1036" s="1256"/>
      <c r="AA1036" s="1256"/>
      <c r="AB1036" s="1256"/>
      <c r="AC1036" s="1256"/>
      <c r="AD1036" s="1256"/>
      <c r="AE1036" s="1256"/>
      <c r="AF1036" s="1256"/>
      <c r="AG1036" s="1256"/>
      <c r="AH1036" s="1256"/>
      <c r="AI1036" s="1256"/>
      <c r="AJ1036" s="1256"/>
      <c r="AK1036" s="1256"/>
      <c r="AL1036" s="1256"/>
      <c r="AM1036" s="1256"/>
      <c r="AN1036" s="1256"/>
      <c r="AO1036" s="1256"/>
      <c r="AP1036" s="1256"/>
      <c r="AQ1036" s="1256"/>
      <c r="AR1036" s="1236"/>
      <c r="AS1036" s="1400"/>
      <c r="AT1036" s="407"/>
      <c r="AU1036" s="1236"/>
      <c r="AV1036" s="1236"/>
      <c r="AW1036" s="1236"/>
      <c r="AX1036" s="1236"/>
      <c r="AY1036" s="1236"/>
      <c r="AZ1036" s="1236"/>
      <c r="BA1036" s="1236"/>
      <c r="BB1036" s="1236"/>
      <c r="BC1036" s="1236"/>
      <c r="BD1036" s="1236"/>
      <c r="BE1036" s="1236"/>
    </row>
    <row r="1037" spans="1:64" x14ac:dyDescent="0.2">
      <c r="B1037" s="680" t="s">
        <v>129</v>
      </c>
      <c r="C1037" s="675"/>
      <c r="D1037" s="1256"/>
      <c r="E1037" s="1256"/>
      <c r="F1037" s="1256"/>
      <c r="G1037" s="1256"/>
      <c r="H1037" s="1256"/>
      <c r="I1037" s="1256"/>
      <c r="J1037" s="1256"/>
      <c r="K1037" s="1256"/>
      <c r="L1037" s="1256"/>
      <c r="M1037" s="1256"/>
      <c r="N1037" s="1256"/>
      <c r="O1037" s="1256"/>
      <c r="P1037" s="1256"/>
      <c r="Q1037" s="1256"/>
      <c r="R1037" s="1256"/>
      <c r="S1037" s="1256"/>
      <c r="T1037" s="1256"/>
      <c r="U1037" s="1256"/>
      <c r="V1037" s="1256"/>
      <c r="W1037" s="1256"/>
      <c r="X1037" s="1256"/>
      <c r="Y1037" s="1256"/>
      <c r="Z1037" s="1256"/>
      <c r="AA1037" s="1256"/>
      <c r="AB1037" s="1256"/>
      <c r="AC1037" s="1256"/>
      <c r="AD1037" s="1256"/>
      <c r="AE1037" s="1256"/>
      <c r="AF1037" s="1256"/>
      <c r="AG1037" s="1256"/>
      <c r="AH1037" s="1256"/>
      <c r="AI1037" s="1256"/>
      <c r="AJ1037" s="1256"/>
      <c r="AK1037" s="1256"/>
      <c r="AL1037" s="1256"/>
      <c r="AM1037" s="1256"/>
      <c r="AN1037" s="1256"/>
      <c r="AO1037" s="1256"/>
      <c r="AP1037" s="1256"/>
      <c r="AQ1037" s="1256"/>
      <c r="AR1037" s="1236"/>
      <c r="AS1037" s="1524"/>
      <c r="AT1037" s="1522"/>
      <c r="AU1037" s="1236"/>
      <c r="AV1037" s="1236"/>
      <c r="AW1037" s="1236"/>
      <c r="AX1037" s="1236"/>
      <c r="AY1037" s="1236"/>
      <c r="AZ1037" s="1236"/>
      <c r="BA1037" s="1236"/>
      <c r="BB1037" s="1236"/>
      <c r="BC1037" s="1236"/>
      <c r="BD1037" s="1236"/>
      <c r="BE1037" s="1236"/>
    </row>
    <row r="1038" spans="1:64" x14ac:dyDescent="0.2">
      <c r="B1038" s="675" t="s">
        <v>134</v>
      </c>
      <c r="C1038" s="675"/>
      <c r="D1038" s="1256"/>
      <c r="E1038" s="1256"/>
      <c r="F1038" s="1256"/>
      <c r="G1038" s="1256"/>
      <c r="H1038" s="1256">
        <f>IFERROR(Model!H1038/Model!D1038-1,"NA")</f>
        <v>-0.14953271028037385</v>
      </c>
      <c r="I1038" s="1256">
        <f>IFERROR(Model!I1038/Model!E1038-1,"NA")</f>
        <v>-0.16666666666666663</v>
      </c>
      <c r="J1038" s="1256">
        <f>IFERROR(Model!J1038/Model!F1038-1,"NA")</f>
        <v>-0.20202020202020199</v>
      </c>
      <c r="K1038" s="1256">
        <f>IFERROR(Model!K1038/Model!G1038-1,"NA")</f>
        <v>-0.2021276595744681</v>
      </c>
      <c r="L1038" s="1256">
        <f>IFERROR(Model!L1038/Model!H1038-1,"NA")</f>
        <v>-0.20879120879120883</v>
      </c>
      <c r="M1038" s="1256">
        <f>IFERROR(Model!M1038/Model!I1038-1,"NA")</f>
        <v>-0.18823529411764706</v>
      </c>
      <c r="N1038" s="1256">
        <f>IFERROR(Model!N1038/Model!J1038-1,"NA")</f>
        <v>-0.17721518987341767</v>
      </c>
      <c r="O1038" s="1256">
        <f>IFERROR(Model!O1038/Model!K1038-1,"NA")</f>
        <v>-0.17333333333333334</v>
      </c>
      <c r="P1038" s="1256">
        <f>IFERROR(Model!P1038/Model!L1038-1,"NA")</f>
        <v>-0.20833333333333337</v>
      </c>
      <c r="Q1038" s="1256">
        <f>IFERROR(Model!Q1038/Model!M1038-1,"NA")</f>
        <v>-0.24637681159420288</v>
      </c>
      <c r="R1038" s="1256">
        <f>IFERROR(Model!R1038/Model!N1038-1,"NA")</f>
        <v>-0.23076923076923073</v>
      </c>
      <c r="S1038" s="1256">
        <f>IFERROR(Model!S1038/Model!O1038-1,"NA")</f>
        <v>-0.24193548387096775</v>
      </c>
      <c r="T1038" s="1256">
        <f>IFERROR(Model!T1038/Model!P1038-1,"NA")</f>
        <v>-0.35614035087719298</v>
      </c>
      <c r="U1038" s="1256">
        <f>IFERROR(Model!U1038/Model!Q1038-1,"NA")</f>
        <v>-0.33653846153846156</v>
      </c>
      <c r="V1038" s="1256">
        <f>IFERROR(Model!V1038/Model!R1038-1,"NA")</f>
        <v>-0.35599999999999998</v>
      </c>
      <c r="W1038" s="1256">
        <f>IFERROR(Model!W1038/Model!S1038-1,"NA")</f>
        <v>-0.37234042553191493</v>
      </c>
      <c r="X1038" s="1256">
        <f>IFERROR(Model!X1038/Model!T1038-1,"NA")</f>
        <v>-0.26430517711171664</v>
      </c>
      <c r="Y1038" s="1256">
        <f>IFERROR(Model!Y1038/Model!U1038-1,"NA")</f>
        <v>-0.29565217391304344</v>
      </c>
      <c r="Z1038" s="1256">
        <f>IFERROR(Model!Z1038/Model!V1038-1,"NA")</f>
        <v>-0.31366459627329191</v>
      </c>
      <c r="AA1038" s="1256">
        <f>IFERROR(Model!AA1038/Model!W1038-1,"NA")</f>
        <v>-0.30508474576271183</v>
      </c>
      <c r="AB1038" s="1256">
        <f>IFERROR(Model!AB1038/Model!X1038-1,"NA")</f>
        <v>-0.28518518518518521</v>
      </c>
      <c r="AC1038" s="1256">
        <f>IFERROR(Model!AC1038/Model!Y1038-1,"NA")</f>
        <v>-0.24547325102880657</v>
      </c>
      <c r="AD1038" s="1256">
        <f>IFERROR(Model!AD1038/Model!Z1038-1,"NA")</f>
        <v>-0.21184389140271498</v>
      </c>
      <c r="AE1038" s="1256">
        <f>IFERROR(Model!AE1038/Model!AA1038-1,"NA")</f>
        <v>-0.19281280487804875</v>
      </c>
      <c r="AF1038" s="1256">
        <f>IFERROR(Model!AF1038/Model!AB1038-1,"NA")</f>
        <v>-0.19406749999999995</v>
      </c>
      <c r="AG1038" s="1256">
        <f>IFERROR(Model!AG1038/Model!AC1038-1,"NA")</f>
        <v>-0.20255100000000004</v>
      </c>
      <c r="AH1038" s="1256">
        <f>IFERROR(Model!AH1038/Model!AD1038-1,"NA")</f>
        <v>-0.20255100000000004</v>
      </c>
      <c r="AI1038" s="1256">
        <f>IFERROR(Model!AI1038/Model!AE1038-1,"NA")</f>
        <v>-0.20255100000000015</v>
      </c>
      <c r="AJ1038" s="1256"/>
      <c r="AK1038" s="1256"/>
      <c r="AL1038" s="1256"/>
      <c r="AM1038" s="1256"/>
      <c r="AN1038" s="1256"/>
      <c r="AO1038" s="1256"/>
      <c r="AP1038" s="1256"/>
      <c r="AQ1038" s="1256"/>
      <c r="AR1038" s="1236"/>
      <c r="AS1038" s="1522"/>
      <c r="AT1038" s="1522"/>
      <c r="AU1038" s="1301"/>
      <c r="AV1038" s="1301">
        <f>IFERROR(Model!AV1038/Model!AU1038-1,"NA")</f>
        <v>-0.17910447761194026</v>
      </c>
      <c r="AW1038" s="1301">
        <f>IFERROR(Model!AW1038/Model!AV1038-1,"NA")</f>
        <v>-0.18787878787878787</v>
      </c>
      <c r="AX1038" s="1301">
        <f>IFERROR(Model!AX1038/Model!AW1038-1,"NA")</f>
        <v>-0.23134328358208955</v>
      </c>
      <c r="AY1038" s="1301">
        <f>IFERROR(Model!AY1038/Model!AX1038-1,"NA")</f>
        <v>-0.35485436893203881</v>
      </c>
      <c r="AZ1038" s="1301">
        <f>IFERROR(Model!AZ1038/Model!AY1038-1,"NA")</f>
        <v>-0.2934537246049661</v>
      </c>
      <c r="BA1038" s="1301">
        <f>IFERROR(Model!BA1038/Model!AZ1038-1,"NA")</f>
        <v>-0.23748043130990415</v>
      </c>
      <c r="BB1038" s="1256">
        <f>IFERROR(Model!BB1038/Model!BA1038-1,"NA")</f>
        <v>-0.20026426527174102</v>
      </c>
      <c r="BC1038" s="1256">
        <f>IFERROR(Model!BC1038/Model!BB1038-1,"NA")</f>
        <v>-0.19999999999999996</v>
      </c>
      <c r="BD1038" s="1256">
        <f>IFERROR(Model!BD1038/Model!BC1038-1,"NA")</f>
        <v>-0.19999999999999996</v>
      </c>
      <c r="BE1038" s="1256">
        <f>IFERROR(Model!BE1038/Model!BD1038-1,"NA")</f>
        <v>-0.19999999999999996</v>
      </c>
    </row>
    <row r="1039" spans="1:64" x14ac:dyDescent="0.2">
      <c r="B1039" s="675" t="s">
        <v>16</v>
      </c>
      <c r="C1039" s="675"/>
      <c r="D1039" s="1256"/>
      <c r="E1039" s="1256"/>
      <c r="F1039" s="1256"/>
      <c r="G1039" s="1256"/>
      <c r="H1039" s="1256">
        <f>IFERROR(Model!H1039/Model!D1039-1,"NA")</f>
        <v>-0.19999999999999996</v>
      </c>
      <c r="I1039" s="1256">
        <f>IFERROR(Model!I1039/Model!E1039-1,"NA")</f>
        <v>-0.19999999999999996</v>
      </c>
      <c r="J1039" s="1256">
        <f>IFERROR(Model!J1039/Model!F1039-1,"NA")</f>
        <v>-0.1428571428571429</v>
      </c>
      <c r="K1039" s="1256">
        <f>IFERROR(Model!K1039/Model!G1039-1,"NA")</f>
        <v>-0.1428571428571429</v>
      </c>
      <c r="L1039" s="1256">
        <f>IFERROR(Model!L1039/Model!H1039-1,"NA")</f>
        <v>0</v>
      </c>
      <c r="M1039" s="1256">
        <f>IFERROR(Model!M1039/Model!I1039-1,"NA")</f>
        <v>0</v>
      </c>
      <c r="N1039" s="1256">
        <f>IFERROR(Model!N1039/Model!J1039-1,"NA")</f>
        <v>0</v>
      </c>
      <c r="O1039" s="1256">
        <f>IFERROR(Model!O1039/Model!K1039-1,"NA")</f>
        <v>0</v>
      </c>
      <c r="P1039" s="1256">
        <f>IFERROR(Model!P1039/Model!L1039-1,"NA")</f>
        <v>0</v>
      </c>
      <c r="Q1039" s="1256">
        <f>IFERROR(Model!Q1039/Model!M1039-1,"NA")</f>
        <v>-0.66666666666666674</v>
      </c>
      <c r="R1039" s="1256">
        <f>IFERROR(Model!R1039/Model!N1039-1,"NA")</f>
        <v>-0.75</v>
      </c>
      <c r="S1039" s="1256">
        <f>IFERROR(Model!S1039/Model!O1039-1,"NA")</f>
        <v>-0.83333333333333337</v>
      </c>
      <c r="T1039" s="1256">
        <f>IFERROR(Model!T1039/Model!P1039-1,"NA")</f>
        <v>-0.77500000000000036</v>
      </c>
      <c r="U1039" s="1256">
        <f>IFERROR(Model!U1039/Model!Q1039-1,"NA")</f>
        <v>-0.32499999999999929</v>
      </c>
      <c r="V1039" s="1256">
        <f>IFERROR(Model!V1039/Model!R1039-1,"NA")</f>
        <v>6.666666666666532E-2</v>
      </c>
      <c r="W1039" s="1256">
        <f>IFERROR(Model!W1039/Model!S1039-1,"NA")</f>
        <v>0.25</v>
      </c>
      <c r="X1039" s="1256">
        <f>IFERROR(Model!X1039/Model!T1039-1,"NA")</f>
        <v>-3.7037037037034981E-2</v>
      </c>
      <c r="Y1039" s="1256">
        <f>IFERROR(Model!Y1039/Model!U1039-1,"NA")</f>
        <v>-0.40740740740740877</v>
      </c>
      <c r="Z1039" s="1256">
        <f>IFERROR(Model!Z1039/Model!V1039-1,"NA")</f>
        <v>-0.43750000000000011</v>
      </c>
      <c r="AA1039" s="1256">
        <f>IFERROR(Model!AA1039/Model!W1039-1,"NA")</f>
        <v>-0.44000000000000061</v>
      </c>
      <c r="AB1039" s="1256">
        <f>IFERROR(Model!AB1039/Model!X1039-1,"NA")</f>
        <v>-0.5</v>
      </c>
      <c r="AC1039" s="1256">
        <f>IFERROR(Model!AC1039/Model!Y1039-1,"NA")</f>
        <v>-0.22812499999999858</v>
      </c>
      <c r="AD1039" s="1256">
        <f>IFERROR(Model!AD1039/Model!Z1039-1,"NA")</f>
        <v>-0.34819444444444314</v>
      </c>
      <c r="AE1039" s="1256">
        <f>IFERROR(Model!AE1039/Model!AA1039-1,"NA")</f>
        <v>-0.20386607142857027</v>
      </c>
      <c r="AF1039" s="1256">
        <f>IFERROR(Model!AF1039/Model!AB1039-1,"NA")</f>
        <v>-0.19406750000000006</v>
      </c>
      <c r="AG1039" s="1256">
        <f>IFERROR(Model!AG1039/Model!AC1039-1,"NA")</f>
        <v>-0.20255100000000004</v>
      </c>
      <c r="AH1039" s="1256">
        <f>IFERROR(Model!AH1039/Model!AD1039-1,"NA")</f>
        <v>-0.20255100000000015</v>
      </c>
      <c r="AI1039" s="1256">
        <f>IFERROR(Model!AI1039/Model!AE1039-1,"NA")</f>
        <v>-0.20255100000000015</v>
      </c>
      <c r="AJ1039" s="1256"/>
      <c r="AK1039" s="1256"/>
      <c r="AL1039" s="1256"/>
      <c r="AM1039" s="1256"/>
      <c r="AN1039" s="1256"/>
      <c r="AO1039" s="1256"/>
      <c r="AP1039" s="1256"/>
      <c r="AQ1039" s="1256"/>
      <c r="AR1039" s="1236"/>
      <c r="AS1039" s="1522"/>
      <c r="AT1039" s="1522"/>
      <c r="AU1039" s="1301"/>
      <c r="AV1039" s="1301">
        <f>IFERROR(Model!AV1039/Model!AU1039-1,"NA")</f>
        <v>-0.17241379310344829</v>
      </c>
      <c r="AW1039" s="1301">
        <f>IFERROR(Model!AW1039/Model!AV1039-1,"NA")</f>
        <v>0</v>
      </c>
      <c r="AX1039" s="1301">
        <f>IFERROR(Model!AX1039/Model!AW1039-1,"NA")</f>
        <v>-0.5625</v>
      </c>
      <c r="AY1039" s="1301">
        <f>IFERROR(Model!AY1039/Model!AX1039-1,"NA")</f>
        <v>-0.47142857142857175</v>
      </c>
      <c r="AZ1039" s="1301">
        <f>IFERROR(Model!AZ1039/Model!AY1039-1,"NA")</f>
        <v>-0.33333333333333348</v>
      </c>
      <c r="BA1039" s="1301">
        <f>IFERROR(Model!BA1039/Model!AZ1039-1,"NA")</f>
        <v>-0.348265202702702</v>
      </c>
      <c r="BB1039" s="1256">
        <f>IFERROR(Model!BB1039/Model!BA1039-1,"NA")</f>
        <v>-0.20026426527174102</v>
      </c>
      <c r="BC1039" s="1256">
        <f>IFERROR(Model!BC1039/Model!BB1039-1,"NA")</f>
        <v>-0.19999999999999996</v>
      </c>
      <c r="BD1039" s="1256">
        <f>IFERROR(Model!BD1039/Model!BC1039-1,"NA")</f>
        <v>-0.19999999999999996</v>
      </c>
      <c r="BE1039" s="1256">
        <f>IFERROR(Model!BE1039/Model!BD1039-1,"NA")</f>
        <v>-0.19999999999999996</v>
      </c>
    </row>
    <row r="1040" spans="1:64" x14ac:dyDescent="0.2">
      <c r="B1040" s="329"/>
      <c r="C1040" s="329" t="s">
        <v>314</v>
      </c>
      <c r="D1040" s="1256"/>
      <c r="E1040" s="1256"/>
      <c r="F1040" s="1256"/>
      <c r="G1040" s="1256"/>
      <c r="H1040" s="1256">
        <f>IFERROR(Model!H1040/Model!D1040-1,"NA")</f>
        <v>-0.15573770491803274</v>
      </c>
      <c r="I1040" s="1256">
        <f>IFERROR(Model!I1040/Model!E1040-1,"NA")</f>
        <v>-0.17094017094017089</v>
      </c>
      <c r="J1040" s="1256">
        <f>IFERROR(Model!J1040/Model!F1040-1,"NA")</f>
        <v>-0.19469026548672563</v>
      </c>
      <c r="K1040" s="1256">
        <f>IFERROR(Model!K1040/Model!G1040-1,"NA")</f>
        <v>-0.19444444444444442</v>
      </c>
      <c r="L1040" s="1256">
        <f>IFERROR(Model!L1040/Model!H1040-1,"NA")</f>
        <v>-0.18446601941747576</v>
      </c>
      <c r="M1040" s="1256">
        <f>IFERROR(Model!M1040/Model!I1040-1,"NA")</f>
        <v>-0.16494845360824739</v>
      </c>
      <c r="N1040" s="1256">
        <f>IFERROR(Model!N1040/Model!J1040-1,"NA")</f>
        <v>-0.15384615384615385</v>
      </c>
      <c r="O1040" s="1256">
        <f>IFERROR(Model!O1040/Model!K1040-1,"NA")</f>
        <v>-0.14942528735632188</v>
      </c>
      <c r="P1040" s="1256">
        <f>IFERROR(Model!P1040/Model!L1040-1,"NA")</f>
        <v>-0.1785714285714286</v>
      </c>
      <c r="Q1040" s="1256">
        <f>IFERROR(Model!Q1040/Model!M1040-1,"NA")</f>
        <v>-0.30864197530864201</v>
      </c>
      <c r="R1040" s="1256">
        <f>IFERROR(Model!R1040/Model!N1040-1,"NA")</f>
        <v>-0.31168831168831168</v>
      </c>
      <c r="S1040" s="1256">
        <f>IFERROR(Model!S1040/Model!O1040-1,"NA")</f>
        <v>-0.33783783783783783</v>
      </c>
      <c r="T1040" s="1256">
        <f>IFERROR(Model!T1040/Model!P1040-1,"NA")</f>
        <v>-0.42898550724637685</v>
      </c>
      <c r="U1040" s="1256">
        <f>IFERROR(Model!U1040/Model!Q1040-1,"NA")</f>
        <v>-0.33571428571428563</v>
      </c>
      <c r="V1040" s="1256">
        <f>IFERROR(Model!V1040/Model!R1040-1,"NA")</f>
        <v>-0.33207547169811324</v>
      </c>
      <c r="W1040" s="1256">
        <f>IFERROR(Model!W1040/Model!S1040-1,"NA")</f>
        <v>-0.34693877551020413</v>
      </c>
      <c r="X1040" s="1256">
        <f>IFERROR(Model!X1040/Model!T1040-1,"NA")</f>
        <v>-0.24873096446700504</v>
      </c>
      <c r="Y1040" s="1256">
        <f>IFERROR(Model!Y1040/Model!U1040-1,"NA")</f>
        <v>-0.30376344086021512</v>
      </c>
      <c r="Z1040" s="1256">
        <f>IFERROR(Model!Z1040/Model!V1040-1,"NA")</f>
        <v>-0.32485875706214695</v>
      </c>
      <c r="AA1040" s="1256">
        <f>IFERROR(Model!AA1040/Model!W1040-1,"NA")</f>
        <v>-0.31562500000000004</v>
      </c>
      <c r="AB1040" s="1256">
        <f>IFERROR(Model!AB1040/Model!X1040-1,"NA")</f>
        <v>-0.30405405405405406</v>
      </c>
      <c r="AC1040" s="1256">
        <f>IFERROR(Model!AC1040/Model!Y1040-1,"NA")</f>
        <v>-0.24440154440154438</v>
      </c>
      <c r="AD1040" s="1256">
        <f>IFERROR(Model!AD1040/Model!Z1040-1,"NA")</f>
        <v>-0.22211297071129699</v>
      </c>
      <c r="AE1040" s="1256">
        <f>IFERROR(Model!AE1040/Model!AA1040-1,"NA")</f>
        <v>-0.19351940639269405</v>
      </c>
      <c r="AF1040" s="1256">
        <f>IFERROR(Model!AF1040/Model!AB1040-1,"NA")</f>
        <v>-0.19406750000000006</v>
      </c>
      <c r="AG1040" s="1256">
        <f>IFERROR(Model!AG1040/Model!AC1040-1,"NA")</f>
        <v>-0.20255100000000004</v>
      </c>
      <c r="AH1040" s="1256">
        <f>IFERROR(Model!AH1040/Model!AD1040-1,"NA")</f>
        <v>-0.20255100000000004</v>
      </c>
      <c r="AI1040" s="1256">
        <f>IFERROR(Model!AI1040/Model!AE1040-1,"NA")</f>
        <v>-0.20255100000000015</v>
      </c>
      <c r="AJ1040" s="1256"/>
      <c r="AK1040" s="1256"/>
      <c r="AL1040" s="1256"/>
      <c r="AM1040" s="1256"/>
      <c r="AN1040" s="1256"/>
      <c r="AO1040" s="1256"/>
      <c r="AP1040" s="1256"/>
      <c r="AQ1040" s="1256"/>
      <c r="AR1040" s="1236"/>
      <c r="AS1040" s="1519"/>
      <c r="AT1040" s="1519"/>
      <c r="AU1040" s="1236"/>
      <c r="AV1040" s="1236">
        <f>IFERROR(Model!AV1040/Model!AU1040-1,"NA")</f>
        <v>-0.17826086956521736</v>
      </c>
      <c r="AW1040" s="1236">
        <f>IFERROR(Model!AW1040/Model!AV1040-1,"NA")</f>
        <v>-0.16402116402116407</v>
      </c>
      <c r="AX1040" s="1236">
        <f>IFERROR(Model!AX1040/Model!AW1040-1,"NA")</f>
        <v>-0.28164556962025311</v>
      </c>
      <c r="AY1040" s="1236">
        <f>IFERROR(Model!AY1040/Model!AX1040-1,"NA")</f>
        <v>-0.36563876651982374</v>
      </c>
      <c r="AZ1040" s="1236">
        <f>IFERROR(Model!AZ1040/Model!AY1040-1,"NA")</f>
        <v>-0.29652777777777783</v>
      </c>
      <c r="BA1040" s="1236">
        <f>IFERROR(Model!BA1040/Model!AZ1040-1,"NA")</f>
        <v>-0.2455732971372161</v>
      </c>
      <c r="BB1040" s="1256">
        <f>IFERROR(Model!BB1040/Model!BA1040-1,"NA")</f>
        <v>-0.20026426527174102</v>
      </c>
      <c r="BC1040" s="1256">
        <f>IFERROR(Model!BC1040/Model!BB1040-1,"NA")</f>
        <v>-0.19999999999999996</v>
      </c>
      <c r="BD1040" s="1256">
        <f>IFERROR(Model!BD1040/Model!BC1040-1,"NA")</f>
        <v>-0.19999999999999984</v>
      </c>
      <c r="BE1040" s="1256">
        <f>IFERROR(Model!BE1040/Model!BD1040-1,"NA")</f>
        <v>-0.20000000000000007</v>
      </c>
    </row>
    <row r="1041" spans="1:57" x14ac:dyDescent="0.2">
      <c r="B1041" s="329"/>
      <c r="C1041" s="329"/>
      <c r="D1041" s="1256"/>
      <c r="E1041" s="1256"/>
      <c r="F1041" s="1256"/>
      <c r="G1041" s="1256"/>
      <c r="H1041" s="1256"/>
      <c r="I1041" s="1256"/>
      <c r="J1041" s="1256"/>
      <c r="K1041" s="1256"/>
      <c r="L1041" s="1256"/>
      <c r="M1041" s="1256"/>
      <c r="N1041" s="1256"/>
      <c r="O1041" s="1256"/>
      <c r="P1041" s="1256"/>
      <c r="Q1041" s="1256"/>
      <c r="R1041" s="1256"/>
      <c r="S1041" s="1256"/>
      <c r="T1041" s="1256"/>
      <c r="U1041" s="1256"/>
      <c r="V1041" s="1256"/>
      <c r="W1041" s="1256"/>
      <c r="X1041" s="1256"/>
      <c r="Y1041" s="1256"/>
      <c r="Z1041" s="1256"/>
      <c r="AA1041" s="1256"/>
      <c r="AB1041" s="1256"/>
      <c r="AC1041" s="1256"/>
      <c r="AD1041" s="1256"/>
      <c r="AE1041" s="1256"/>
      <c r="AF1041" s="1256"/>
      <c r="AG1041" s="1256"/>
      <c r="AH1041" s="1256"/>
      <c r="AI1041" s="1256"/>
      <c r="AJ1041" s="1256"/>
      <c r="AK1041" s="1256"/>
      <c r="AL1041" s="1256"/>
      <c r="AM1041" s="1256"/>
      <c r="AN1041" s="1256"/>
      <c r="AO1041" s="1256"/>
      <c r="AP1041" s="1256"/>
      <c r="AQ1041" s="1256"/>
      <c r="AR1041" s="1236"/>
      <c r="AS1041" s="1519"/>
      <c r="AT1041" s="1519"/>
      <c r="AU1041" s="1236"/>
      <c r="AV1041" s="1236"/>
      <c r="AW1041" s="1236"/>
      <c r="AX1041" s="1236"/>
      <c r="AY1041" s="1236"/>
      <c r="AZ1041" s="1236"/>
      <c r="BA1041" s="1236"/>
      <c r="BB1041" s="1256"/>
      <c r="BC1041" s="1256"/>
      <c r="BD1041" s="1256"/>
      <c r="BE1041" s="1256"/>
    </row>
    <row r="1042" spans="1:57" x14ac:dyDescent="0.2">
      <c r="B1042" s="680" t="s">
        <v>37</v>
      </c>
      <c r="C1042" s="329"/>
      <c r="D1042" s="1256"/>
      <c r="E1042" s="1256"/>
      <c r="F1042" s="1256"/>
      <c r="G1042" s="1256"/>
      <c r="H1042" s="1256">
        <f>IFERROR(Model!H1042/Model!D1042-1,"NA")</f>
        <v>-0.14000000000000001</v>
      </c>
      <c r="I1042" s="1256">
        <f>IFERROR(Model!I1042/Model!E1042-1,"NA")</f>
        <v>-0.14487632508833925</v>
      </c>
      <c r="J1042" s="1256">
        <f>IFERROR(Model!J1042/Model!F1042-1,"NA")</f>
        <v>-0.24909747292418771</v>
      </c>
      <c r="K1042" s="1256">
        <f>IFERROR(Model!K1042/Model!G1042-1,"NA")</f>
        <v>-0.22388059701492535</v>
      </c>
      <c r="L1042" s="1256">
        <f>IFERROR(Model!L1042/Model!H1042-1,"NA")</f>
        <v>-0.23643410852713187</v>
      </c>
      <c r="M1042" s="1256">
        <f>IFERROR(Model!M1042/Model!I1042-1,"NA")</f>
        <v>-0.17768595041322321</v>
      </c>
      <c r="N1042" s="1256">
        <f>IFERROR(Model!N1042/Model!J1042-1,"NA")</f>
        <v>-0.10576923076923073</v>
      </c>
      <c r="O1042" s="1256">
        <f>IFERROR(Model!O1042/Model!K1042-1,"NA")</f>
        <v>-0.28846153846153844</v>
      </c>
      <c r="P1042" s="1256">
        <f>IFERROR(Model!P1042/Model!L1042-1,"NA")</f>
        <v>-0.34517766497461921</v>
      </c>
      <c r="Q1042" s="1256">
        <f>IFERROR(Model!Q1042/Model!M1042-1,"NA")</f>
        <v>-0.50251256281407031</v>
      </c>
      <c r="R1042" s="1256">
        <f>IFERROR(Model!R1042/Model!N1042-1,"NA")</f>
        <v>-0.5268817204301075</v>
      </c>
      <c r="S1042" s="1256">
        <f>IFERROR(Model!S1042/Model!O1042-1,"NA")</f>
        <v>-0.43918918918918914</v>
      </c>
      <c r="T1042" s="1256">
        <f>IFERROR(Model!T1042/Model!P1042-1,"NA")</f>
        <v>-0.48062015503875966</v>
      </c>
      <c r="U1042" s="1256">
        <f>IFERROR(Model!U1042/Model!Q1042-1,"NA")</f>
        <v>-0.38383838383838387</v>
      </c>
      <c r="V1042" s="1256">
        <f>IFERROR(Model!V1042/Model!R1042-1,"NA")</f>
        <v>-0.38636363636363635</v>
      </c>
      <c r="W1042" s="1256">
        <f>IFERROR(Model!W1042/Model!S1042-1,"NA")</f>
        <v>-0.71084337349397586</v>
      </c>
      <c r="X1042" s="1256">
        <f>IFERROR(Model!X1042/Model!T1042-1,"NA")</f>
        <v>-0.68656716417910446</v>
      </c>
      <c r="Y1042" s="1256">
        <f>IFERROR(Model!Y1042/Model!U1042-1,"NA")</f>
        <v>-0.68852459016393441</v>
      </c>
      <c r="Z1042" s="1256">
        <f>IFERROR(Model!Z1042/Model!V1042-1,"NA")</f>
        <v>-0.64814814814814814</v>
      </c>
      <c r="AA1042" s="1256">
        <f>IFERROR(Model!AA1042/Model!W1042-1,"NA")</f>
        <v>-0.29166666666666663</v>
      </c>
      <c r="AB1042" s="1256">
        <f>IFERROR(Model!AB1042/Model!X1042-1,"NA")</f>
        <v>-0.19047619047619058</v>
      </c>
      <c r="AC1042" s="1256">
        <f>IFERROR(Model!AC1042/Model!Y1042-1,"NA")</f>
        <v>-0.1947368421052631</v>
      </c>
      <c r="AD1042" s="1256">
        <f>IFERROR(Model!AD1042/Model!Z1042-1,"NA")</f>
        <v>-0.27526315789473677</v>
      </c>
      <c r="AE1042" s="1256">
        <f>IFERROR(Model!AE1042/Model!AA1042-1,"NA")</f>
        <v>-0.27099999999999991</v>
      </c>
      <c r="AF1042" s="1256">
        <f>IFERROR(Model!AF1042/Model!AB1042-1,"NA")</f>
        <v>-0.36576999999999993</v>
      </c>
      <c r="AG1042" s="1256">
        <f>IFERROR(Model!AG1042/Model!AC1042-1,"NA")</f>
        <v>-0.38691099999999989</v>
      </c>
      <c r="AH1042" s="1256">
        <f>IFERROR(Model!AH1042/Model!AD1042-1,"NA")</f>
        <v>-0.41688423999999991</v>
      </c>
      <c r="AI1042" s="1256">
        <f>IFERROR(Model!AI1042/Model!AE1042-1,"NA")</f>
        <v>-0.44539212159999997</v>
      </c>
      <c r="AJ1042" s="1256"/>
      <c r="AK1042" s="1256"/>
      <c r="AL1042" s="1256"/>
      <c r="AM1042" s="1256"/>
      <c r="AN1042" s="1256"/>
      <c r="AO1042" s="1256"/>
      <c r="AP1042" s="1256"/>
      <c r="AQ1042" s="1256"/>
      <c r="AR1042" s="1236"/>
      <c r="AS1042" s="1524"/>
      <c r="AT1042" s="1519"/>
      <c r="AU1042" s="1301"/>
      <c r="AV1042" s="1301">
        <f>IFERROR(Model!AV1042/Model!AU1042-1,"NA")</f>
        <v>-0.18794326241134751</v>
      </c>
      <c r="AW1042" s="1301">
        <f>IFERROR(Model!AW1042/Model!AV1042-1,"NA")</f>
        <v>-0.20305676855895194</v>
      </c>
      <c r="AX1042" s="1301">
        <f>IFERROR(Model!AX1042/Model!AW1042-1,"NA")</f>
        <v>-0.45342465753424654</v>
      </c>
      <c r="AY1042" s="1301">
        <f>IFERROR(Model!AY1042/Model!AX1042-1,"NA")</f>
        <v>-0.48370927318295742</v>
      </c>
      <c r="AZ1042" s="1301">
        <f>IFERROR(Model!AZ1042/Model!AY1042-1,"NA")</f>
        <v>-0.63106796116504849</v>
      </c>
      <c r="BA1042" s="1301">
        <f>IFERROR(Model!BA1042/Model!AZ1042-1,"NA")</f>
        <v>-0.23075000000000001</v>
      </c>
      <c r="BB1042" s="1256">
        <f>IFERROR(Model!BB1042/Model!BA1042-1,"NA")</f>
        <v>-0.40022011952497816</v>
      </c>
      <c r="BC1042" s="1256">
        <f>IFERROR(Model!BC1042/Model!BB1042-1,"NA")</f>
        <v>-0.4</v>
      </c>
      <c r="BD1042" s="1256">
        <f>IFERROR(Model!BD1042/Model!BC1042-1,"NA")</f>
        <v>-0.4</v>
      </c>
      <c r="BE1042" s="1256">
        <f>IFERROR(Model!BE1042/Model!BD1042-1,"NA")</f>
        <v>-0.4</v>
      </c>
    </row>
    <row r="1043" spans="1:57" x14ac:dyDescent="0.2">
      <c r="B1043" s="329"/>
      <c r="C1043" s="329"/>
      <c r="D1043" s="1256"/>
      <c r="E1043" s="1256"/>
      <c r="F1043" s="1256"/>
      <c r="G1043" s="1256"/>
      <c r="H1043" s="1256"/>
      <c r="I1043" s="1256"/>
      <c r="J1043" s="1256"/>
      <c r="K1043" s="1256"/>
      <c r="L1043" s="1256"/>
      <c r="M1043" s="1256"/>
      <c r="N1043" s="1256"/>
      <c r="O1043" s="1256"/>
      <c r="P1043" s="1256"/>
      <c r="Q1043" s="1256"/>
      <c r="R1043" s="1256"/>
      <c r="S1043" s="1256"/>
      <c r="T1043" s="1256"/>
      <c r="U1043" s="1256"/>
      <c r="V1043" s="1256"/>
      <c r="W1043" s="1256"/>
      <c r="X1043" s="1256"/>
      <c r="Y1043" s="1256"/>
      <c r="Z1043" s="1256"/>
      <c r="AA1043" s="1256"/>
      <c r="AB1043" s="1256"/>
      <c r="AC1043" s="1256"/>
      <c r="AD1043" s="1256"/>
      <c r="AE1043" s="1256"/>
      <c r="AF1043" s="1256"/>
      <c r="AG1043" s="1256"/>
      <c r="AH1043" s="1256"/>
      <c r="AI1043" s="1256"/>
      <c r="AJ1043" s="1256"/>
      <c r="AK1043" s="1256"/>
      <c r="AL1043" s="1256"/>
      <c r="AM1043" s="1256"/>
      <c r="AN1043" s="1256"/>
      <c r="AO1043" s="1256"/>
      <c r="AP1043" s="1256"/>
      <c r="AQ1043" s="1256"/>
      <c r="AR1043" s="1236"/>
      <c r="AS1043" s="1519"/>
      <c r="AT1043" s="1519"/>
      <c r="AU1043" s="1236"/>
      <c r="AV1043" s="1236"/>
      <c r="AW1043" s="1236"/>
      <c r="AX1043" s="1236"/>
      <c r="AY1043" s="1236"/>
      <c r="AZ1043" s="1236"/>
      <c r="BA1043" s="1236"/>
      <c r="BB1043" s="1256"/>
      <c r="BC1043" s="1256"/>
      <c r="BD1043" s="1256"/>
      <c r="BE1043" s="1256"/>
    </row>
    <row r="1044" spans="1:57" x14ac:dyDescent="0.2">
      <c r="B1044" s="698" t="s">
        <v>140</v>
      </c>
      <c r="C1044" s="329"/>
      <c r="D1044" s="1256"/>
      <c r="E1044" s="1256"/>
      <c r="F1044" s="1256"/>
      <c r="G1044" s="1256"/>
      <c r="H1044" s="1256" t="str">
        <f>IFERROR(Model!H1044/Model!D1044-1,"NA")</f>
        <v>NA</v>
      </c>
      <c r="I1044" s="1256">
        <f>IFERROR(Model!I1044/Model!E1044-1,"NA")</f>
        <v>-0.23809523809523869</v>
      </c>
      <c r="J1044" s="1256">
        <f>IFERROR(Model!J1044/Model!F1044-1,"NA")</f>
        <v>-0.19047619047619246</v>
      </c>
      <c r="K1044" s="1256">
        <f>IFERROR(Model!K1044/Model!G1044-1,"NA")</f>
        <v>-0.2000000000000014</v>
      </c>
      <c r="L1044" s="1256">
        <f>IFERROR(Model!L1044/Model!H1044-1,"NA")</f>
        <v>-0.29411764705881471</v>
      </c>
      <c r="M1044" s="1256">
        <f>IFERROR(Model!M1044/Model!I1044-1,"NA")</f>
        <v>-2.0624999999999876</v>
      </c>
      <c r="N1044" s="1256">
        <f>IFERROR(Model!N1044/Model!J1044-1,"NA")</f>
        <v>-2.1764705882352837</v>
      </c>
      <c r="O1044" s="1256">
        <f>IFERROR(Model!O1044/Model!K1044-1,"NA")</f>
        <v>-1.062499999999996</v>
      </c>
      <c r="P1044" s="1256">
        <f>IFERROR(Model!P1044/Model!L1044-1,"NA")</f>
        <v>-1.1666666666666725</v>
      </c>
      <c r="Q1044" s="1256">
        <f>IFERROR(Model!Q1044/Model!M1044-1,"NA")</f>
        <v>-1.1764705882352908</v>
      </c>
      <c r="R1044" s="1256">
        <f>IFERROR(Model!R1044/Model!N1044-1,"NA")</f>
        <v>-1.1500000000000068</v>
      </c>
      <c r="S1044" s="1256">
        <f>IFERROR(Model!S1044/Model!O1044-1,"NA")</f>
        <v>-4.0000000000002842</v>
      </c>
      <c r="T1044" s="1256">
        <f>IFERROR(Model!T1044/Model!P1044-1,"NA")</f>
        <v>-3.4999999999998757</v>
      </c>
      <c r="U1044" s="1256">
        <f>IFERROR(Model!U1044/Model!Q1044-1,"NA")</f>
        <v>0.33333333333337278</v>
      </c>
      <c r="V1044" s="1256">
        <f>IFERROR(Model!V1044/Model!R1044-1,"NA")</f>
        <v>-0.33333333333334914</v>
      </c>
      <c r="W1044" s="1256">
        <f>IFERROR(Model!W1044/Model!S1044-1,"NA")</f>
        <v>-0.66666666666667451</v>
      </c>
      <c r="X1044" s="1256">
        <f>IFERROR(Model!X1044/Model!T1044-1,"NA")</f>
        <v>-1</v>
      </c>
      <c r="Y1044" s="1256">
        <f>IFERROR(Model!Y1044/Model!U1044-1,"NA")</f>
        <v>-1</v>
      </c>
      <c r="Z1044" s="1256">
        <f>IFERROR(Model!Z1044/Model!V1044-1,"NA")</f>
        <v>-1</v>
      </c>
      <c r="AA1044" s="1256">
        <f>IFERROR(Model!AA1044/Model!W1044-1,"NA")</f>
        <v>-1</v>
      </c>
      <c r="AB1044" s="1256" t="str">
        <f>IFERROR(Model!AB1044/Model!X1044-1,"NA")</f>
        <v>NA</v>
      </c>
      <c r="AC1044" s="1256" t="str">
        <f>IFERROR(Model!AC1044/Model!Y1044-1,"NA")</f>
        <v>NA</v>
      </c>
      <c r="AD1044" s="1256" t="str">
        <f>IFERROR(Model!AD1044/Model!Z1044-1,"NA")</f>
        <v>NA</v>
      </c>
      <c r="AE1044" s="1256" t="str">
        <f>IFERROR(Model!AE1044/Model!AA1044-1,"NA")</f>
        <v>NA</v>
      </c>
      <c r="AF1044" s="1256" t="str">
        <f>IFERROR(Model!AF1044/Model!AB1044-1,"NA")</f>
        <v>NA</v>
      </c>
      <c r="AG1044" s="1256" t="str">
        <f>IFERROR(Model!AG1044/Model!AC1044-1,"NA")</f>
        <v>NA</v>
      </c>
      <c r="AH1044" s="1256" t="str">
        <f>IFERROR(Model!AH1044/Model!AD1044-1,"NA")</f>
        <v>NA</v>
      </c>
      <c r="AI1044" s="1256" t="str">
        <f>IFERROR(Model!AI1044/Model!AE1044-1,"NA")</f>
        <v>NA</v>
      </c>
      <c r="AJ1044" s="1256"/>
      <c r="AK1044" s="1256"/>
      <c r="AL1044" s="1256"/>
      <c r="AM1044" s="1256"/>
      <c r="AN1044" s="1256"/>
      <c r="AO1044" s="1256"/>
      <c r="AP1044" s="1256"/>
      <c r="AQ1044" s="1256"/>
      <c r="AR1044" s="1236"/>
      <c r="AS1044" s="1532"/>
      <c r="AT1044" s="1519"/>
      <c r="AU1044" s="1301"/>
      <c r="AV1044" s="1301">
        <f>IFERROR(Model!AV1044/Model!AU1044-1,"NA")</f>
        <v>-0.2016129032258076</v>
      </c>
      <c r="AW1044" s="1301">
        <f>IFERROR(Model!AW1044/Model!AV1044-1,"NA")</f>
        <v>-1.3939393939393838</v>
      </c>
      <c r="AX1044" s="1301">
        <f>IFERROR(Model!AX1044/Model!AW1044-1,"NA")</f>
        <v>-1.2692307692307767</v>
      </c>
      <c r="AY1044" s="1301">
        <f>IFERROR(Model!AY1044/Model!AX1044-1,"NA")</f>
        <v>0.7142857142857113</v>
      </c>
      <c r="AZ1044" s="1301">
        <f>IFERROR(Model!AZ1044/Model!AY1044-1,"NA")</f>
        <v>-1</v>
      </c>
      <c r="BA1044" s="1301" t="str">
        <f>IFERROR(Model!BA1044/Model!AZ1044-1,"NA")</f>
        <v>NA</v>
      </c>
      <c r="BB1044" s="1256" t="str">
        <f>IFERROR(Model!BB1044/Model!BA1044-1,"NA")</f>
        <v>NA</v>
      </c>
      <c r="BC1044" s="1256" t="str">
        <f>IFERROR(Model!BC1044/Model!BB1044-1,"NA")</f>
        <v>NA</v>
      </c>
      <c r="BD1044" s="1256" t="str">
        <f>IFERROR(Model!BD1044/Model!BC1044-1,"NA")</f>
        <v>NA</v>
      </c>
      <c r="BE1044" s="1256" t="str">
        <f>IFERROR(Model!BE1044/Model!BD1044-1,"NA")</f>
        <v>NA</v>
      </c>
    </row>
    <row r="1045" spans="1:57" x14ac:dyDescent="0.2">
      <c r="B1045" s="674"/>
      <c r="C1045" s="674"/>
      <c r="D1045" s="1256"/>
      <c r="E1045" s="1256"/>
      <c r="F1045" s="1256"/>
      <c r="G1045" s="1256"/>
      <c r="H1045" s="1256"/>
      <c r="I1045" s="1256"/>
      <c r="J1045" s="1256"/>
      <c r="K1045" s="1256"/>
      <c r="L1045" s="1256"/>
      <c r="M1045" s="1256"/>
      <c r="N1045" s="1256"/>
      <c r="O1045" s="1256"/>
      <c r="P1045" s="1256"/>
      <c r="Q1045" s="1256"/>
      <c r="R1045" s="1256"/>
      <c r="S1045" s="1256"/>
      <c r="T1045" s="1256"/>
      <c r="U1045" s="1256"/>
      <c r="V1045" s="1256"/>
      <c r="W1045" s="1256"/>
      <c r="X1045" s="1256"/>
      <c r="Y1045" s="1256"/>
      <c r="Z1045" s="1256"/>
      <c r="AA1045" s="1256"/>
      <c r="AB1045" s="1256"/>
      <c r="AC1045" s="1256"/>
      <c r="AD1045" s="1256"/>
      <c r="AE1045" s="1256"/>
      <c r="AF1045" s="1256"/>
      <c r="AG1045" s="1256"/>
      <c r="AH1045" s="1256"/>
      <c r="AI1045" s="1256"/>
      <c r="AJ1045" s="1256"/>
      <c r="AK1045" s="1256"/>
      <c r="AL1045" s="1256"/>
      <c r="AM1045" s="1256"/>
      <c r="AN1045" s="1256"/>
      <c r="AO1045" s="1256"/>
      <c r="AP1045" s="1256"/>
      <c r="AQ1045" s="1256"/>
      <c r="AR1045" s="1236"/>
      <c r="AS1045" s="1336"/>
      <c r="AT1045" s="1336"/>
      <c r="AU1045" s="1236"/>
      <c r="AV1045" s="1236"/>
      <c r="AW1045" s="1236"/>
      <c r="AX1045" s="1236"/>
      <c r="AY1045" s="1236"/>
      <c r="AZ1045" s="1236"/>
      <c r="BA1045" s="1236"/>
      <c r="BB1045" s="1256"/>
      <c r="BC1045" s="1256"/>
      <c r="BD1045" s="1256"/>
      <c r="BE1045" s="1256"/>
    </row>
    <row r="1046" spans="1:57" x14ac:dyDescent="0.2">
      <c r="B1046" s="698" t="s">
        <v>146</v>
      </c>
      <c r="C1046" s="698"/>
      <c r="D1046" s="1256"/>
      <c r="E1046" s="1256"/>
      <c r="F1046" s="1256"/>
      <c r="G1046" s="1256"/>
      <c r="H1046" s="1256" t="str">
        <f>IFERROR(Model!H1046/Model!D1046-1,"NA")</f>
        <v>NA</v>
      </c>
      <c r="I1046" s="1256">
        <f>IFERROR(Model!I1046/Model!E1046-1,"NA")</f>
        <v>-0.1663819610522721</v>
      </c>
      <c r="J1046" s="1256">
        <f>IFERROR(Model!J1046/Model!F1046-1,"NA")</f>
        <v>-0.2052910052910053</v>
      </c>
      <c r="K1046" s="1256">
        <f>IFERROR(Model!K1046/Model!G1046-1,"NA")</f>
        <v>-0.20029455081001479</v>
      </c>
      <c r="L1046" s="1256">
        <f>IFERROR(Model!L1046/Model!H1046-1,"NA")</f>
        <v>-0.19552641727728493</v>
      </c>
      <c r="M1046" s="1256">
        <f>IFERROR(Model!M1046/Model!I1046-1,"NA")</f>
        <v>-0.17991803278688512</v>
      </c>
      <c r="N1046" s="1256">
        <f>IFERROR(Model!N1046/Model!J1046-1,"NA")</f>
        <v>-0.16023080337328022</v>
      </c>
      <c r="O1046" s="1256">
        <f>IFERROR(Model!O1046/Model!K1046-1,"NA")</f>
        <v>-0.18278084714548803</v>
      </c>
      <c r="P1046" s="1256">
        <f>IFERROR(Model!P1046/Model!L1046-1,"NA")</f>
        <v>-0.2157238734419944</v>
      </c>
      <c r="Q1046" s="1256">
        <f>IFERROR(Model!Q1046/Model!M1046-1,"NA")</f>
        <v>-0.33983008495752132</v>
      </c>
      <c r="R1046" s="1256">
        <f>IFERROR(Model!R1046/Model!N1046-1,"NA")</f>
        <v>-0.34513742071881603</v>
      </c>
      <c r="S1046" s="1256">
        <f>IFERROR(Model!S1046/Model!O1046-1,"NA")</f>
        <v>-0.35267605633802812</v>
      </c>
      <c r="T1046" s="1256">
        <f>IFERROR(Model!T1046/Model!P1046-1,"NA")</f>
        <v>-0.43337408312958436</v>
      </c>
      <c r="U1046" s="1256">
        <f>IFERROR(Model!U1046/Model!Q1046-1,"NA")</f>
        <v>-0.34140802422407268</v>
      </c>
      <c r="V1046" s="1256">
        <f>IFERROR(Model!V1046/Model!R1046-1,"NA")</f>
        <v>-0.33979015334947549</v>
      </c>
      <c r="W1046" s="1256">
        <f>IFERROR(Model!W1046/Model!S1046-1,"NA")</f>
        <v>-0.4003481288076588</v>
      </c>
      <c r="X1046" s="1256">
        <f>IFERROR(Model!X1046/Model!T1046-1,"NA")</f>
        <v>-0.31607335490830635</v>
      </c>
      <c r="Y1046" s="1256">
        <f>IFERROR(Model!Y1046/Model!U1046-1,"NA")</f>
        <v>-0.36091954022988515</v>
      </c>
      <c r="Z1046" s="1256">
        <f>IFERROR(Model!Z1046/Model!V1046-1,"NA")</f>
        <v>-0.36919315403422992</v>
      </c>
      <c r="AA1046" s="1256">
        <f>IFERROR(Model!AA1046/Model!W1046-1,"NA")</f>
        <v>-0.31494920174165464</v>
      </c>
      <c r="AB1046" s="1256">
        <f>IFERROR(Model!AB1046/Model!X1046-1,"NA")</f>
        <v>-0.29652996845425872</v>
      </c>
      <c r="AC1046" s="1256">
        <f>IFERROR(Model!AC1046/Model!Y1046-1,"NA")</f>
        <v>-0.24100719424460415</v>
      </c>
      <c r="AD1046" s="1256">
        <f>IFERROR(Model!AD1046/Model!Z1046-1,"NA")</f>
        <v>-0.22602713178294564</v>
      </c>
      <c r="AE1046" s="1256">
        <f>IFERROR(Model!AE1046/Model!AA1046-1,"NA")</f>
        <v>-0.19910063559322022</v>
      </c>
      <c r="AF1046" s="1256">
        <f>IFERROR(Model!AF1046/Model!AB1046-1,"NA")</f>
        <v>-0.20715692825112109</v>
      </c>
      <c r="AG1046" s="1256">
        <f>IFERROR(Model!AG1046/Model!AC1046-1,"NA")</f>
        <v>-0.21591928436018959</v>
      </c>
      <c r="AH1046" s="1256">
        <f>IFERROR(Model!AH1046/Model!AD1046-1,"NA")</f>
        <v>-0.21733112226656981</v>
      </c>
      <c r="AI1046" s="1256">
        <f>IFERROR(Model!AI1046/Model!AE1046-1,"NA")</f>
        <v>-0.21847340725132258</v>
      </c>
      <c r="AJ1046" s="1256"/>
      <c r="AK1046" s="1256"/>
      <c r="AL1046" s="1256"/>
      <c r="AM1046" s="1256"/>
      <c r="AN1046" s="1256"/>
      <c r="AO1046" s="1256"/>
      <c r="AP1046" s="1256"/>
      <c r="AQ1046" s="1256"/>
      <c r="AR1046" s="1236"/>
      <c r="AS1046" s="1532"/>
      <c r="AT1046" s="1532"/>
      <c r="AU1046" s="1544"/>
      <c r="AV1046" s="1544">
        <f>IFERROR(Model!AV1046/Model!AU1046-1,"NA")</f>
        <v>-0.16330502476999298</v>
      </c>
      <c r="AW1046" s="1544">
        <f>IFERROR(Model!AW1046/Model!AV1046-1,"NA")</f>
        <v>-0.18016493973355874</v>
      </c>
      <c r="AX1046" s="1544">
        <f>IFERROR(Model!AX1046/Model!AW1046-1,"NA")</f>
        <v>-0.31067835955635814</v>
      </c>
      <c r="AY1046" s="1544">
        <f>IFERROR(Model!AY1046/Model!AX1046-1,"NA")</f>
        <v>-0.38185219831618344</v>
      </c>
      <c r="AZ1046" s="1544">
        <f>IFERROR(Model!AZ1046/Model!AY1046-1,"NA")</f>
        <v>-0.34079903147699764</v>
      </c>
      <c r="BA1046" s="1544">
        <f>IFERROR(Model!BA1046/Model!AZ1046-1,"NA")</f>
        <v>-0.24453879706152415</v>
      </c>
      <c r="BB1046" s="1256">
        <f>IFERROR(Model!BB1046/Model!BA1046-1,"NA")</f>
        <v>-0.21447364679964442</v>
      </c>
      <c r="BC1046" s="1256">
        <f>IFERROR(Model!BC1046/Model!BB1046-1,"NA")</f>
        <v>-0.21085180999454323</v>
      </c>
      <c r="BD1046" s="1256">
        <f>IFERROR(Model!BD1046/Model!BC1046-1,"NA")</f>
        <v>-0.20825077733078345</v>
      </c>
      <c r="BE1046" s="1256">
        <f>IFERROR(Model!BE1046/Model!BD1046-1,"NA")</f>
        <v>-0.20625256868807618</v>
      </c>
    </row>
    <row r="1047" spans="1:57" x14ac:dyDescent="0.2">
      <c r="B1047" s="674"/>
      <c r="C1047" s="674"/>
      <c r="D1047" s="1256"/>
      <c r="E1047" s="1256"/>
      <c r="F1047" s="1256"/>
      <c r="G1047" s="1256"/>
      <c r="H1047" s="1256"/>
      <c r="I1047" s="1256"/>
      <c r="J1047" s="1256"/>
      <c r="K1047" s="1256"/>
      <c r="L1047" s="1256"/>
      <c r="M1047" s="1256"/>
      <c r="N1047" s="1256"/>
      <c r="O1047" s="1256"/>
      <c r="P1047" s="1256"/>
      <c r="Q1047" s="1256"/>
      <c r="R1047" s="1256"/>
      <c r="S1047" s="1256"/>
      <c r="T1047" s="1256"/>
      <c r="U1047" s="1256"/>
      <c r="V1047" s="1256"/>
      <c r="W1047" s="1256"/>
      <c r="X1047" s="1256"/>
      <c r="Y1047" s="1256"/>
      <c r="Z1047" s="1256"/>
      <c r="AA1047" s="1256"/>
      <c r="AB1047" s="1256"/>
      <c r="AC1047" s="1256"/>
      <c r="AD1047" s="1256"/>
      <c r="AE1047" s="1256"/>
      <c r="AF1047" s="1256"/>
      <c r="AG1047" s="1256"/>
      <c r="AH1047" s="1256"/>
      <c r="AI1047" s="1256"/>
      <c r="AJ1047" s="1256"/>
      <c r="AK1047" s="1256"/>
      <c r="AL1047" s="1256"/>
      <c r="AM1047" s="1256"/>
      <c r="AN1047" s="1256"/>
      <c r="AO1047" s="1256"/>
      <c r="AP1047" s="1256"/>
      <c r="AQ1047" s="1256"/>
      <c r="AR1047" s="1236"/>
      <c r="AS1047" s="1336"/>
      <c r="AT1047" s="1336"/>
      <c r="AU1047" s="1236"/>
      <c r="AV1047" s="1236"/>
      <c r="AW1047" s="1236"/>
      <c r="AX1047" s="1236"/>
      <c r="AY1047" s="1236"/>
      <c r="AZ1047" s="1236"/>
      <c r="BA1047" s="1236"/>
      <c r="BB1047" s="1256"/>
      <c r="BC1047" s="1256"/>
      <c r="BD1047" s="1256"/>
      <c r="BE1047" s="1256"/>
    </row>
    <row r="1048" spans="1:57" ht="12" thickBot="1" x14ac:dyDescent="0.25">
      <c r="B1048" s="680" t="s">
        <v>94</v>
      </c>
      <c r="C1048" s="680"/>
      <c r="D1048" s="1337"/>
      <c r="E1048" s="1337"/>
      <c r="F1048" s="1337"/>
      <c r="G1048" s="1337"/>
      <c r="H1048" s="1337" t="str">
        <f>IFERROR(Model!H1048/Model!D1048-1,"NA")</f>
        <v>NA</v>
      </c>
      <c r="I1048" s="1337">
        <f>IFERROR(Model!I1048/Model!E1048-1,"NA")</f>
        <v>-5.0964018175119863E-2</v>
      </c>
      <c r="J1048" s="1337">
        <f>IFERROR(Model!J1048/Model!F1048-1,"NA")</f>
        <v>-6.432532347504627E-2</v>
      </c>
      <c r="K1048" s="1337">
        <f>IFERROR(Model!K1048/Model!G1048-1,"NA")</f>
        <v>-4.4317900470413507E-2</v>
      </c>
      <c r="L1048" s="1337">
        <f>IFERROR(Model!L1048/Model!H1048-1,"NA")</f>
        <v>-4.174501692365562E-2</v>
      </c>
      <c r="M1048" s="1337">
        <f>IFERROR(Model!M1048/Model!I1048-1,"NA")</f>
        <v>-1.5657349896480377E-2</v>
      </c>
      <c r="N1048" s="1337">
        <f>IFERROR(Model!N1048/Model!J1048-1,"NA")</f>
        <v>-8.8239167654419193E-3</v>
      </c>
      <c r="O1048" s="1337">
        <f>IFERROR(Model!O1048/Model!K1048-1,"NA")</f>
        <v>-4.3911917098445552E-2</v>
      </c>
      <c r="P1048" s="1337">
        <f>IFERROR(Model!P1048/Model!L1048-1,"NA")</f>
        <v>-7.0643642072213519E-2</v>
      </c>
      <c r="Q1048" s="1337">
        <f>IFERROR(Model!Q1048/Model!M1048-1,"NA")</f>
        <v>-0.11042460891284345</v>
      </c>
      <c r="R1048" s="1337">
        <f>IFERROR(Model!R1048/Model!N1048-1,"NA")</f>
        <v>-0.11918681902737172</v>
      </c>
      <c r="S1048" s="1337">
        <f>IFERROR(Model!S1048/Model!O1048-1,"NA")</f>
        <v>-0.10648963555073843</v>
      </c>
      <c r="T1048" s="1337">
        <f>IFERROR(Model!T1048/Model!P1048-1,"NA")</f>
        <v>-0.10684121621621623</v>
      </c>
      <c r="U1048" s="1337">
        <f>IFERROR(Model!U1048/Model!Q1048-1,"NA")</f>
        <v>-6.4578099601004801E-2</v>
      </c>
      <c r="V1048" s="1337">
        <f>IFERROR(Model!V1048/Model!R1048-1,"NA")</f>
        <v>-9.2019912505657553E-3</v>
      </c>
      <c r="W1048" s="1337">
        <f>IFERROR(Model!W1048/Model!S1048-1,"NA")</f>
        <v>-2.3957543593631669E-2</v>
      </c>
      <c r="X1048" s="1337">
        <f>IFERROR(Model!X1048/Model!T1048-1,"NA")</f>
        <v>1.2765957446808418E-2</v>
      </c>
      <c r="Y1048" s="1337">
        <f>IFERROR(Model!Y1048/Model!U1048-1,"NA")</f>
        <v>1.6113744075829439E-2</v>
      </c>
      <c r="Z1048" s="1337">
        <f>IFERROR(Model!Z1048/Model!V1048-1,"NA")</f>
        <v>-8.8306942752738316E-3</v>
      </c>
      <c r="AA1048" s="1337">
        <f>IFERROR(Model!AA1048/Model!W1048-1,"NA")</f>
        <v>1.5690539070995824E-2</v>
      </c>
      <c r="AB1048" s="1337">
        <f>IFERROR(Model!AB1048/Model!X1048-1,"NA")</f>
        <v>2.2720199190787715E-2</v>
      </c>
      <c r="AC1048" s="1337">
        <f>IFERROR(Model!AC1048/Model!Y1048-1,"NA")</f>
        <v>2.3602300995025027E-2</v>
      </c>
      <c r="AD1048" s="1337">
        <f>IFERROR(Model!AD1048/Model!Z1048-1,"NA")</f>
        <v>1.9724953917050314E-2</v>
      </c>
      <c r="AE1048" s="1337">
        <f>IFERROR(Model!AE1048/Model!AA1048-1,"NA")</f>
        <v>3.1436570663811558E-2</v>
      </c>
      <c r="AF1048" s="1337">
        <f>IFERROR(Model!AF1048/Model!AB1048-1,"NA")</f>
        <v>2.1411317604229874E-2</v>
      </c>
      <c r="AG1048" s="1337">
        <f>IFERROR(Model!AG1048/Model!AC1048-1,"NA")</f>
        <v>2.2698484477234215E-2</v>
      </c>
      <c r="AH1048" s="1337">
        <f>IFERROR(Model!AH1048/Model!AD1048-1,"NA")</f>
        <v>2.5054611980001029E-2</v>
      </c>
      <c r="AI1048" s="1337">
        <f>IFERROR(Model!AI1048/Model!AE1048-1,"NA")</f>
        <v>2.7639499140546198E-2</v>
      </c>
      <c r="AJ1048" s="1338"/>
      <c r="AK1048" s="1338"/>
      <c r="AL1048" s="1338"/>
      <c r="AM1048" s="1338"/>
      <c r="AN1048" s="1338"/>
      <c r="AO1048" s="1338"/>
      <c r="AP1048" s="1338"/>
      <c r="AQ1048" s="1338"/>
      <c r="AR1048" s="1236"/>
      <c r="AS1048" s="1524"/>
      <c r="AT1048" s="1524"/>
      <c r="AU1048" s="1337"/>
      <c r="AV1048" s="1337">
        <f>IFERROR(Model!AV1048/Model!AU1048-1,"NA")</f>
        <v>-4.4718201416692249E-2</v>
      </c>
      <c r="AW1048" s="1337">
        <f>IFERROR(Model!AW1048/Model!AV1048-1,"NA")</f>
        <v>-2.7725836611000032E-2</v>
      </c>
      <c r="AX1048" s="1337">
        <f>IFERROR(Model!AX1048/Model!AW1048-1,"NA")</f>
        <v>-0.10156509052324425</v>
      </c>
      <c r="AY1048" s="1337">
        <f>IFERROR(Model!AY1048/Model!AX1048-1,"NA")</f>
        <v>-5.2223657501384024E-2</v>
      </c>
      <c r="AZ1048" s="1337">
        <f>IFERROR(Model!AZ1048/Model!AY1048-1,"NA")</f>
        <v>8.8006230529595886E-3</v>
      </c>
      <c r="BA1048" s="1337">
        <f>IFERROR(Model!BA1048/Model!AZ1048-1,"NA")</f>
        <v>2.4386310082606277E-2</v>
      </c>
      <c r="BB1048" s="1337">
        <f>IFERROR(Model!BB1048/Model!BA1048-1,"NA")</f>
        <v>2.4224671425749467E-2</v>
      </c>
      <c r="BC1048" s="1337">
        <f>IFERROR(Model!BC1048/Model!BB1048-1,"NA")</f>
        <v>3.2394357561292608E-2</v>
      </c>
      <c r="BD1048" s="1337">
        <f>IFERROR(Model!BD1048/Model!BC1048-1,"NA")</f>
        <v>3.5818243296055208E-2</v>
      </c>
      <c r="BE1048" s="1337">
        <f>IFERROR(Model!BE1048/Model!BD1048-1,"NA")</f>
        <v>3.8066250693950199E-2</v>
      </c>
    </row>
    <row r="1049" spans="1:57" ht="12" thickTop="1" x14ac:dyDescent="0.2">
      <c r="B1049" s="362"/>
      <c r="D1049" s="1256"/>
      <c r="E1049" s="1256"/>
      <c r="F1049" s="1256"/>
      <c r="G1049" s="1256"/>
      <c r="H1049" s="1256"/>
      <c r="I1049" s="1256"/>
      <c r="J1049" s="1256"/>
      <c r="K1049" s="1256"/>
      <c r="L1049" s="1256"/>
      <c r="M1049" s="1256"/>
      <c r="N1049" s="1256"/>
      <c r="O1049" s="1256"/>
      <c r="P1049" s="1256"/>
      <c r="Q1049" s="1256"/>
      <c r="R1049" s="1256"/>
      <c r="S1049" s="1256"/>
      <c r="T1049" s="1256"/>
      <c r="U1049" s="1256"/>
      <c r="V1049" s="1256"/>
      <c r="W1049" s="1256"/>
      <c r="X1049" s="1256"/>
      <c r="Y1049" s="1256"/>
      <c r="Z1049" s="1256"/>
      <c r="AA1049" s="1256"/>
      <c r="AB1049" s="1256"/>
      <c r="AC1049" s="1256"/>
      <c r="AD1049" s="1256"/>
      <c r="AE1049" s="1256"/>
      <c r="AF1049" s="1256"/>
      <c r="AG1049" s="1256"/>
      <c r="AH1049" s="1256"/>
      <c r="AI1049" s="1256"/>
      <c r="AJ1049" s="1256"/>
      <c r="AK1049" s="1256"/>
      <c r="AL1049" s="1256"/>
      <c r="AM1049" s="1256"/>
      <c r="AN1049" s="1256"/>
      <c r="AO1049" s="1256"/>
      <c r="AP1049" s="1256"/>
      <c r="AQ1049" s="1256"/>
      <c r="AR1049" s="1236"/>
      <c r="AS1049" s="1400"/>
      <c r="AT1049" s="407"/>
      <c r="AU1049" s="1236"/>
      <c r="AV1049" s="1236"/>
      <c r="AW1049" s="1236"/>
      <c r="AX1049" s="1236"/>
      <c r="AY1049" s="1236"/>
      <c r="AZ1049" s="1236"/>
      <c r="BA1049" s="1236"/>
      <c r="BB1049" s="1256"/>
      <c r="BC1049" s="1256"/>
      <c r="BD1049" s="1256"/>
      <c r="BE1049" s="1256"/>
    </row>
    <row r="1050" spans="1:57" x14ac:dyDescent="0.2">
      <c r="A1050" s="830"/>
      <c r="B1050" s="698" t="s">
        <v>95</v>
      </c>
      <c r="C1050" s="698"/>
      <c r="D1050" s="1338"/>
      <c r="E1050" s="1338"/>
      <c r="F1050" s="1338"/>
      <c r="G1050" s="1338"/>
      <c r="H1050" s="1338"/>
      <c r="I1050" s="1338"/>
      <c r="J1050" s="1338"/>
      <c r="K1050" s="1338"/>
      <c r="L1050" s="1338"/>
      <c r="M1050" s="1338"/>
      <c r="N1050" s="1338"/>
      <c r="O1050" s="1338"/>
      <c r="P1050" s="1338"/>
      <c r="Q1050" s="1338"/>
      <c r="R1050" s="1338"/>
      <c r="S1050" s="1338"/>
      <c r="T1050" s="1338"/>
      <c r="U1050" s="1338"/>
      <c r="V1050" s="1338"/>
      <c r="W1050" s="1338"/>
      <c r="X1050" s="1338"/>
      <c r="Y1050" s="1338"/>
      <c r="Z1050" s="1338"/>
      <c r="AA1050" s="1338"/>
      <c r="AB1050" s="1338"/>
      <c r="AC1050" s="1338"/>
      <c r="AD1050" s="1338"/>
      <c r="AE1050" s="1338"/>
      <c r="AF1050" s="1338"/>
      <c r="AG1050" s="1338"/>
      <c r="AH1050" s="1338"/>
      <c r="AI1050" s="1338"/>
      <c r="AJ1050" s="1338"/>
      <c r="AK1050" s="1338"/>
      <c r="AL1050" s="1338"/>
      <c r="AM1050" s="1338"/>
      <c r="AN1050" s="1338"/>
      <c r="AO1050" s="1338"/>
      <c r="AP1050" s="1338"/>
      <c r="AQ1050" s="1338"/>
      <c r="AR1050" s="1236"/>
      <c r="AS1050" s="1532"/>
      <c r="AT1050" s="1532"/>
      <c r="AU1050" s="1236"/>
      <c r="AV1050" s="1236"/>
      <c r="AW1050" s="1236"/>
      <c r="AX1050" s="1236"/>
      <c r="AY1050" s="1236"/>
      <c r="AZ1050" s="1236"/>
      <c r="BA1050" s="1236"/>
      <c r="BB1050" s="1338"/>
      <c r="BC1050" s="1338"/>
      <c r="BD1050" s="1338"/>
      <c r="BE1050" s="1338"/>
    </row>
    <row r="1051" spans="1:57" x14ac:dyDescent="0.2">
      <c r="A1051" s="830"/>
      <c r="B1051" s="679" t="s">
        <v>76</v>
      </c>
      <c r="C1051" s="674"/>
      <c r="D1051" s="1338"/>
      <c r="E1051" s="1338"/>
      <c r="F1051" s="1338"/>
      <c r="G1051" s="1338"/>
      <c r="H1051" s="1338">
        <f>IFERROR(Model!H1051/Model!D1051-1,"NA")</f>
        <v>0.18181818181818188</v>
      </c>
      <c r="I1051" s="1338">
        <f>IFERROR(Model!I1051/Model!E1051-1,"NA")</f>
        <v>0.16867469879518082</v>
      </c>
      <c r="J1051" s="1338">
        <f>IFERROR(Model!J1051/Model!F1051-1,"NA")</f>
        <v>9.8901098901098994E-2</v>
      </c>
      <c r="K1051" s="1338">
        <f>IFERROR(Model!K1051/Model!G1051-1,"NA")</f>
        <v>0.15384615384615374</v>
      </c>
      <c r="L1051" s="1338">
        <f>IFERROR(Model!L1051/Model!H1051-1,"NA")</f>
        <v>0.18681318681318682</v>
      </c>
      <c r="M1051" s="1338">
        <f>IFERROR(Model!M1051/Model!I1051-1,"NA")</f>
        <v>0.14432989690721643</v>
      </c>
      <c r="N1051" s="1338">
        <f>IFERROR(Model!N1051/Model!J1051-1,"NA")</f>
        <v>0.1100000000000001</v>
      </c>
      <c r="O1051" s="1338">
        <f>IFERROR(Model!O1051/Model!K1051-1,"NA")</f>
        <v>9.5238095238095344E-2</v>
      </c>
      <c r="P1051" s="1338">
        <f>IFERROR(Model!P1051/Model!L1051-1,"NA")</f>
        <v>8.3333333333333259E-2</v>
      </c>
      <c r="Q1051" s="1338">
        <f>IFERROR(Model!Q1051/Model!M1051-1,"NA")</f>
        <v>9.0090090090090058E-2</v>
      </c>
      <c r="R1051" s="1338">
        <f>IFERROR(Model!R1051/Model!N1051-1,"NA")</f>
        <v>0.14414414414414423</v>
      </c>
      <c r="S1051" s="1338">
        <f>IFERROR(Model!S1051/Model!O1051-1,"NA")</f>
        <v>0.13043478260869557</v>
      </c>
      <c r="T1051" s="1338">
        <f>IFERROR(Model!T1051/Model!P1051-1,"NA")</f>
        <v>0.13675213675213671</v>
      </c>
      <c r="U1051" s="1338">
        <f>IFERROR(Model!U1051/Model!Q1051-1,"NA")</f>
        <v>0.14049586776859502</v>
      </c>
      <c r="V1051" s="1338">
        <f>IFERROR(Model!V1051/Model!R1051-1,"NA")</f>
        <v>0.1417322834645669</v>
      </c>
      <c r="W1051" s="1338">
        <f>IFERROR(Model!W1051/Model!S1051-1,"NA")</f>
        <v>0.14615384615384608</v>
      </c>
      <c r="X1051" s="1338">
        <f>IFERROR(Model!X1051/Model!T1051-1,"NA")</f>
        <v>9.7744360902255689E-2</v>
      </c>
      <c r="Y1051" s="1338">
        <f>IFERROR(Model!Y1051/Model!U1051-1,"NA")</f>
        <v>8.6956521739130377E-2</v>
      </c>
      <c r="Z1051" s="1338">
        <f>IFERROR(Model!Z1051/Model!V1051-1,"NA")</f>
        <v>4.8275862068965614E-2</v>
      </c>
      <c r="AA1051" s="1338">
        <f>IFERROR(Model!AA1051/Model!W1051-1,"NA")</f>
        <v>5.3691275167785157E-2</v>
      </c>
      <c r="AB1051" s="1338">
        <f>IFERROR(Model!AB1051/Model!X1051-1,"NA")</f>
        <v>9.5890410958904049E-2</v>
      </c>
      <c r="AC1051" s="1338" t="str">
        <f>IFERROR(Model!AC1051/Model!Y1051-1,"NA")</f>
        <v>NA</v>
      </c>
      <c r="AD1051" s="1338" t="str">
        <f>IFERROR(Model!AD1051/Model!Z1051-1,"NA")</f>
        <v>NA</v>
      </c>
      <c r="AE1051" s="1338" t="str">
        <f>IFERROR(Model!AE1051/Model!AA1051-1,"NA")</f>
        <v>NA</v>
      </c>
      <c r="AF1051" s="1338" t="str">
        <f>IFERROR(Model!AF1051/Model!AB1051-1,"NA")</f>
        <v>NA</v>
      </c>
      <c r="AG1051" s="1338" t="str">
        <f>IFERROR(Model!AG1051/Model!AC1051-1,"NA")</f>
        <v>NA</v>
      </c>
      <c r="AH1051" s="1338" t="str">
        <f>IFERROR(Model!AH1051/Model!AD1051-1,"NA")</f>
        <v>NA</v>
      </c>
      <c r="AI1051" s="1338" t="str">
        <f>IFERROR(Model!AI1051/Model!AE1051-1,"NA")</f>
        <v>NA</v>
      </c>
      <c r="AJ1051" s="1338"/>
      <c r="AK1051" s="1338"/>
      <c r="AL1051" s="1338"/>
      <c r="AM1051" s="1338"/>
      <c r="AN1051" s="1338"/>
      <c r="AO1051" s="1338"/>
      <c r="AP1051" s="1338"/>
      <c r="AQ1051" s="1338"/>
      <c r="AR1051" s="1236"/>
      <c r="AS1051" s="1523"/>
      <c r="AT1051" s="1336"/>
      <c r="AU1051" s="1301"/>
      <c r="AV1051" s="1301">
        <f>IFERROR(Model!AV1051/Model!AU1051-1,"NA")</f>
        <v>0.14912280701754388</v>
      </c>
      <c r="AW1051" s="1301">
        <f>IFERROR(Model!AW1051/Model!AV1051-1,"NA")</f>
        <v>0.1323155216284988</v>
      </c>
      <c r="AX1051" s="1301">
        <f>IFERROR(Model!AX1051/Model!AW1051-1,"NA")</f>
        <v>0.11235955056179781</v>
      </c>
      <c r="AY1051" s="1301">
        <f>IFERROR(Model!AY1051/Model!AX1051-1,"NA")</f>
        <v>0.14141414141414144</v>
      </c>
      <c r="AZ1051" s="1338" t="str">
        <f>IFERROR(Model!AZ1051/Model!AY1051-1,"NA")</f>
        <v>NA</v>
      </c>
      <c r="BA1051" s="1338" t="str">
        <f>IFERROR(Model!BA1051/Model!AZ1051-1,"NA")</f>
        <v>NA</v>
      </c>
      <c r="BB1051" s="1338" t="str">
        <f>IFERROR(Model!BB1051/Model!BA1051-1,"NA")</f>
        <v>NA</v>
      </c>
      <c r="BC1051" s="1338" t="str">
        <f>IFERROR(Model!BC1051/Model!BB1051-1,"NA")</f>
        <v>NA</v>
      </c>
      <c r="BD1051" s="1338" t="str">
        <f>IFERROR(Model!BD1051/Model!BC1051-1,"NA")</f>
        <v>NA</v>
      </c>
      <c r="BE1051" s="1338" t="str">
        <f>IFERROR(Model!BE1051/Model!BD1051-1,"NA")</f>
        <v>NA</v>
      </c>
    </row>
    <row r="1052" spans="1:57" x14ac:dyDescent="0.2">
      <c r="A1052" s="830"/>
      <c r="B1052" s="679" t="s">
        <v>27</v>
      </c>
      <c r="C1052" s="674"/>
      <c r="D1052" s="1338"/>
      <c r="E1052" s="1338"/>
      <c r="F1052" s="1338"/>
      <c r="G1052" s="1338"/>
      <c r="H1052" s="1338">
        <f>IFERROR(Model!H1052/Model!D1052-1,"NA")</f>
        <v>5.6603773584905648E-2</v>
      </c>
      <c r="I1052" s="1338">
        <f>IFERROR(Model!I1052/Model!E1052-1,"NA")</f>
        <v>7.4074074074074181E-2</v>
      </c>
      <c r="J1052" s="1338">
        <f>IFERROR(Model!J1052/Model!F1052-1,"NA")</f>
        <v>5.4545454545454453E-2</v>
      </c>
      <c r="K1052" s="1338">
        <f>IFERROR(Model!K1052/Model!G1052-1,"NA")</f>
        <v>7.2727272727272751E-2</v>
      </c>
      <c r="L1052" s="1338">
        <f>IFERROR(Model!L1052/Model!H1052-1,"NA")</f>
        <v>7.1428571428571397E-2</v>
      </c>
      <c r="M1052" s="1338">
        <f>IFERROR(Model!M1052/Model!I1052-1,"NA")</f>
        <v>5.1724137931034475E-2</v>
      </c>
      <c r="N1052" s="1338">
        <f>IFERROR(Model!N1052/Model!J1052-1,"NA")</f>
        <v>6.8965517241379226E-2</v>
      </c>
      <c r="O1052" s="1338">
        <f>IFERROR(Model!O1052/Model!K1052-1,"NA")</f>
        <v>3.3898305084745672E-2</v>
      </c>
      <c r="P1052" s="1338">
        <f>IFERROR(Model!P1052/Model!L1052-1,"NA")</f>
        <v>0</v>
      </c>
      <c r="Q1052" s="1338">
        <f>IFERROR(Model!Q1052/Model!M1052-1,"NA")</f>
        <v>4.9180327868852514E-2</v>
      </c>
      <c r="R1052" s="1338">
        <f>IFERROR(Model!R1052/Model!N1052-1,"NA")</f>
        <v>1.6129032258064502E-2</v>
      </c>
      <c r="S1052" s="1338">
        <f>IFERROR(Model!S1052/Model!O1052-1,"NA")</f>
        <v>1.6393442622950838E-2</v>
      </c>
      <c r="T1052" s="1338">
        <f>IFERROR(Model!T1052/Model!P1052-1,"NA")</f>
        <v>5.0000000000000044E-2</v>
      </c>
      <c r="U1052" s="1338">
        <f>IFERROR(Model!U1052/Model!Q1052-1,"NA")</f>
        <v>4.6875E-2</v>
      </c>
      <c r="V1052" s="1338">
        <f>IFERROR(Model!V1052/Model!R1052-1,"NA")</f>
        <v>7.9365079365079305E-2</v>
      </c>
      <c r="W1052" s="1338">
        <f>IFERROR(Model!W1052/Model!S1052-1,"NA")</f>
        <v>6.4516129032258007E-2</v>
      </c>
      <c r="X1052" s="1338">
        <f>IFERROR(Model!X1052/Model!T1052-1,"NA")</f>
        <v>3.1746031746031855E-2</v>
      </c>
      <c r="Y1052" s="1338">
        <f>IFERROR(Model!Y1052/Model!U1052-1,"NA")</f>
        <v>0</v>
      </c>
      <c r="Z1052" s="1338">
        <f>IFERROR(Model!Z1052/Model!V1052-1,"NA")</f>
        <v>4.4117647058823595E-2</v>
      </c>
      <c r="AA1052" s="1338">
        <f>IFERROR(Model!AA1052/Model!W1052-1,"NA")</f>
        <v>0.10606060606060597</v>
      </c>
      <c r="AB1052" s="1338">
        <f>IFERROR(Model!AB1052/Model!X1052-1,"NA")</f>
        <v>0.19999999999999996</v>
      </c>
      <c r="AC1052" s="1338" t="str">
        <f>IFERROR(Model!AC1052/Model!Y1052-1,"NA")</f>
        <v>NA</v>
      </c>
      <c r="AD1052" s="1338" t="str">
        <f>IFERROR(Model!AD1052/Model!Z1052-1,"NA")</f>
        <v>NA</v>
      </c>
      <c r="AE1052" s="1338" t="str">
        <f>IFERROR(Model!AE1052/Model!AA1052-1,"NA")</f>
        <v>NA</v>
      </c>
      <c r="AF1052" s="1338" t="str">
        <f>IFERROR(Model!AF1052/Model!AB1052-1,"NA")</f>
        <v>NA</v>
      </c>
      <c r="AG1052" s="1338" t="str">
        <f>IFERROR(Model!AG1052/Model!AC1052-1,"NA")</f>
        <v>NA</v>
      </c>
      <c r="AH1052" s="1338" t="str">
        <f>IFERROR(Model!AH1052/Model!AD1052-1,"NA")</f>
        <v>NA</v>
      </c>
      <c r="AI1052" s="1338" t="str">
        <f>IFERROR(Model!AI1052/Model!AE1052-1,"NA")</f>
        <v>NA</v>
      </c>
      <c r="AJ1052" s="1338"/>
      <c r="AK1052" s="1338"/>
      <c r="AL1052" s="1338"/>
      <c r="AM1052" s="1338"/>
      <c r="AN1052" s="1338"/>
      <c r="AO1052" s="1338"/>
      <c r="AP1052" s="1338"/>
      <c r="AQ1052" s="1338"/>
      <c r="AR1052" s="1236"/>
      <c r="AS1052" s="1523"/>
      <c r="AT1052" s="1336"/>
      <c r="AU1052" s="1301"/>
      <c r="AV1052" s="1301">
        <f>IFERROR(Model!AV1052/Model!AU1052-1,"NA")</f>
        <v>6.4516129032258007E-2</v>
      </c>
      <c r="AW1052" s="1301">
        <f>IFERROR(Model!AW1052/Model!AV1052-1,"NA")</f>
        <v>5.6277056277056259E-2</v>
      </c>
      <c r="AX1052" s="1301">
        <f>IFERROR(Model!AX1052/Model!AW1052-1,"NA")</f>
        <v>2.0491803278688492E-2</v>
      </c>
      <c r="AY1052" s="1301">
        <f>IFERROR(Model!AY1052/Model!AX1052-1,"NA")</f>
        <v>6.024096385542177E-2</v>
      </c>
      <c r="AZ1052" s="1338" t="str">
        <f>IFERROR(Model!AZ1052/Model!AY1052-1,"NA")</f>
        <v>NA</v>
      </c>
      <c r="BA1052" s="1338" t="str">
        <f>IFERROR(Model!BA1052/Model!AZ1052-1,"NA")</f>
        <v>NA</v>
      </c>
      <c r="BB1052" s="1338" t="str">
        <f>IFERROR(Model!BB1052/Model!BA1052-1,"NA")</f>
        <v>NA</v>
      </c>
      <c r="BC1052" s="1338" t="str">
        <f>IFERROR(Model!BC1052/Model!BB1052-1,"NA")</f>
        <v>NA</v>
      </c>
      <c r="BD1052" s="1338" t="str">
        <f>IFERROR(Model!BD1052/Model!BC1052-1,"NA")</f>
        <v>NA</v>
      </c>
      <c r="BE1052" s="1338" t="str">
        <f>IFERROR(Model!BE1052/Model!BD1052-1,"NA")</f>
        <v>NA</v>
      </c>
    </row>
    <row r="1053" spans="1:57" x14ac:dyDescent="0.2">
      <c r="A1053" s="830"/>
      <c r="B1053" s="679" t="s">
        <v>5</v>
      </c>
      <c r="C1053" s="674"/>
      <c r="D1053" s="1338"/>
      <c r="E1053" s="1338"/>
      <c r="F1053" s="1338"/>
      <c r="G1053" s="1338"/>
      <c r="H1053" s="1338">
        <f>IFERROR(Model!H1053/Model!D1053-1,"NA")</f>
        <v>8.5714285714285632E-2</v>
      </c>
      <c r="I1053" s="1338">
        <f>IFERROR(Model!I1053/Model!E1053-1,"NA")</f>
        <v>0.11764705882352944</v>
      </c>
      <c r="J1053" s="1338">
        <f>IFERROR(Model!J1053/Model!F1053-1,"NA")</f>
        <v>8.5714285714285632E-2</v>
      </c>
      <c r="K1053" s="1338">
        <f>IFERROR(Model!K1053/Model!G1053-1,"NA")</f>
        <v>5.4054054054053946E-2</v>
      </c>
      <c r="L1053" s="1338">
        <f>IFERROR(Model!L1053/Model!H1053-1,"NA")</f>
        <v>5.2631578947368363E-2</v>
      </c>
      <c r="M1053" s="1338">
        <f>IFERROR(Model!M1053/Model!I1053-1,"NA")</f>
        <v>7.8947368421052655E-2</v>
      </c>
      <c r="N1053" s="1338">
        <f>IFERROR(Model!N1053/Model!J1053-1,"NA")</f>
        <v>7.8947368421052655E-2</v>
      </c>
      <c r="O1053" s="1338">
        <f>IFERROR(Model!O1053/Model!K1053-1,"NA")</f>
        <v>0</v>
      </c>
      <c r="P1053" s="1338">
        <f>IFERROR(Model!P1053/Model!L1053-1,"NA")</f>
        <v>-2.5000000000000022E-2</v>
      </c>
      <c r="Q1053" s="1338">
        <f>IFERROR(Model!Q1053/Model!M1053-1,"NA")</f>
        <v>0</v>
      </c>
      <c r="R1053" s="1338">
        <f>IFERROR(Model!R1053/Model!N1053-1,"NA")</f>
        <v>-2.4390243902439046E-2</v>
      </c>
      <c r="S1053" s="1338">
        <f>IFERROR(Model!S1053/Model!O1053-1,"NA")</f>
        <v>5.1282051282051322E-2</v>
      </c>
      <c r="T1053" s="1338">
        <f>IFERROR(Model!T1053/Model!P1053-1,"NA")</f>
        <v>0</v>
      </c>
      <c r="U1053" s="1338">
        <f>IFERROR(Model!U1053/Model!Q1053-1,"NA")</f>
        <v>-7.3170731707317027E-2</v>
      </c>
      <c r="V1053" s="1338">
        <f>IFERROR(Model!V1053/Model!R1053-1,"NA")</f>
        <v>-9.9999999999999978E-2</v>
      </c>
      <c r="W1053" s="1338">
        <f>IFERROR(Model!W1053/Model!S1053-1,"NA")</f>
        <v>-0.17073170731707321</v>
      </c>
      <c r="X1053" s="1338">
        <f>IFERROR(Model!X1053/Model!T1053-1,"NA")</f>
        <v>-0.12820512820512819</v>
      </c>
      <c r="Y1053" s="1338">
        <f>IFERROR(Model!Y1053/Model!U1053-1,"NA")</f>
        <v>-7.8947368421052655E-2</v>
      </c>
      <c r="Z1053" s="1338">
        <f>IFERROR(Model!Z1053/Model!V1053-1,"NA")</f>
        <v>-5.555555555555558E-2</v>
      </c>
      <c r="AA1053" s="1338">
        <f>IFERROR(Model!AA1053/Model!W1053-1,"NA")</f>
        <v>-2.9411764705882359E-2</v>
      </c>
      <c r="AB1053" s="1338">
        <f>IFERROR(Model!AB1053/Model!X1053-1,"NA")</f>
        <v>0</v>
      </c>
      <c r="AC1053" s="1338" t="str">
        <f>IFERROR(Model!AC1053/Model!Y1053-1,"NA")</f>
        <v>NA</v>
      </c>
      <c r="AD1053" s="1338" t="str">
        <f>IFERROR(Model!AD1053/Model!Z1053-1,"NA")</f>
        <v>NA</v>
      </c>
      <c r="AE1053" s="1338" t="str">
        <f>IFERROR(Model!AE1053/Model!AA1053-1,"NA")</f>
        <v>NA</v>
      </c>
      <c r="AF1053" s="1338" t="str">
        <f>IFERROR(Model!AF1053/Model!AB1053-1,"NA")</f>
        <v>NA</v>
      </c>
      <c r="AG1053" s="1338" t="str">
        <f>IFERROR(Model!AG1053/Model!AC1053-1,"NA")</f>
        <v>NA</v>
      </c>
      <c r="AH1053" s="1338" t="str">
        <f>IFERROR(Model!AH1053/Model!AD1053-1,"NA")</f>
        <v>NA</v>
      </c>
      <c r="AI1053" s="1338" t="str">
        <f>IFERROR(Model!AI1053/Model!AE1053-1,"NA")</f>
        <v>NA</v>
      </c>
      <c r="AJ1053" s="1338"/>
      <c r="AK1053" s="1338"/>
      <c r="AL1053" s="1338"/>
      <c r="AM1053" s="1338"/>
      <c r="AN1053" s="1338"/>
      <c r="AO1053" s="1338"/>
      <c r="AP1053" s="1338"/>
      <c r="AQ1053" s="1338"/>
      <c r="AR1053" s="1236"/>
      <c r="AS1053" s="1523"/>
      <c r="AT1053" s="1336"/>
      <c r="AU1053" s="1301"/>
      <c r="AV1053" s="1301">
        <f>IFERROR(Model!AV1053/Model!AU1053-1,"NA")</f>
        <v>8.5106382978723305E-2</v>
      </c>
      <c r="AW1053" s="1301">
        <f>IFERROR(Model!AW1053/Model!AV1053-1,"NA")</f>
        <v>5.2287581699346442E-2</v>
      </c>
      <c r="AX1053" s="1301">
        <f>IFERROR(Model!AX1053/Model!AW1053-1,"NA")</f>
        <v>0</v>
      </c>
      <c r="AY1053" s="1301">
        <f>IFERROR(Model!AY1053/Model!AX1053-1,"NA")</f>
        <v>-8.6956521739130488E-2</v>
      </c>
      <c r="AZ1053" s="1338" t="str">
        <f>IFERROR(Model!AZ1053/Model!AY1053-1,"NA")</f>
        <v>NA</v>
      </c>
      <c r="BA1053" s="1338" t="str">
        <f>IFERROR(Model!BA1053/Model!AZ1053-1,"NA")</f>
        <v>NA</v>
      </c>
      <c r="BB1053" s="1338" t="str">
        <f>IFERROR(Model!BB1053/Model!BA1053-1,"NA")</f>
        <v>NA</v>
      </c>
      <c r="BC1053" s="1338" t="str">
        <f>IFERROR(Model!BC1053/Model!BB1053-1,"NA")</f>
        <v>NA</v>
      </c>
      <c r="BD1053" s="1338" t="str">
        <f>IFERROR(Model!BD1053/Model!BC1053-1,"NA")</f>
        <v>NA</v>
      </c>
      <c r="BE1053" s="1338" t="str">
        <f>IFERROR(Model!BE1053/Model!BD1053-1,"NA")</f>
        <v>NA</v>
      </c>
    </row>
    <row r="1054" spans="1:57" x14ac:dyDescent="0.2">
      <c r="A1054" s="830"/>
      <c r="B1054" s="679" t="s">
        <v>77</v>
      </c>
      <c r="C1054" s="674"/>
      <c r="D1054" s="1338"/>
      <c r="E1054" s="1338"/>
      <c r="F1054" s="1338"/>
      <c r="G1054" s="1338"/>
      <c r="H1054" s="1338">
        <f>IFERROR(Model!H1054/Model!D1054-1,"NA")</f>
        <v>1.6949152542372836E-2</v>
      </c>
      <c r="I1054" s="1338">
        <f>IFERROR(Model!I1054/Model!E1054-1,"NA")</f>
        <v>1.5873015873015817E-2</v>
      </c>
      <c r="J1054" s="1338">
        <f>IFERROR(Model!J1054/Model!F1054-1,"NA")</f>
        <v>4.6875E-2</v>
      </c>
      <c r="K1054" s="1338">
        <f>IFERROR(Model!K1054/Model!G1054-1,"NA")</f>
        <v>0.11475409836065564</v>
      </c>
      <c r="L1054" s="1338">
        <f>IFERROR(Model!L1054/Model!H1054-1,"NA")</f>
        <v>0.1333333333333333</v>
      </c>
      <c r="M1054" s="1338">
        <f>IFERROR(Model!M1054/Model!I1054-1,"NA")</f>
        <v>9.375E-2</v>
      </c>
      <c r="N1054" s="1338">
        <f>IFERROR(Model!N1054/Model!J1054-1,"NA")</f>
        <v>2.9850746268656803E-2</v>
      </c>
      <c r="O1054" s="1338">
        <f>IFERROR(Model!O1054/Model!K1054-1,"NA")</f>
        <v>-2.9411764705882359E-2</v>
      </c>
      <c r="P1054" s="1338">
        <f>IFERROR(Model!P1054/Model!L1054-1,"NA")</f>
        <v>-8.8235294117647078E-2</v>
      </c>
      <c r="Q1054" s="1338">
        <f>IFERROR(Model!Q1054/Model!M1054-1,"NA")</f>
        <v>-9.9999999999999978E-2</v>
      </c>
      <c r="R1054" s="1338">
        <f>IFERROR(Model!R1054/Model!N1054-1,"NA")</f>
        <v>-0.10144927536231885</v>
      </c>
      <c r="S1054" s="1338">
        <f>IFERROR(Model!S1054/Model!O1054-1,"NA")</f>
        <v>-7.5757575757575801E-2</v>
      </c>
      <c r="T1054" s="1338">
        <f>IFERROR(Model!T1054/Model!P1054-1,"NA")</f>
        <v>-3.2258064516129004E-2</v>
      </c>
      <c r="U1054" s="1338">
        <f>IFERROR(Model!U1054/Model!Q1054-1,"NA")</f>
        <v>-3.1746031746031744E-2</v>
      </c>
      <c r="V1054" s="1338">
        <f>IFERROR(Model!V1054/Model!R1054-1,"NA")</f>
        <v>-6.4516129032258118E-2</v>
      </c>
      <c r="W1054" s="1338">
        <f>IFERROR(Model!W1054/Model!S1054-1,"NA")</f>
        <v>-9.8360655737704916E-2</v>
      </c>
      <c r="X1054" s="1338">
        <f>IFERROR(Model!X1054/Model!T1054-1,"NA")</f>
        <v>-5.0000000000000044E-2</v>
      </c>
      <c r="Y1054" s="1338">
        <f>IFERROR(Model!Y1054/Model!U1054-1,"NA")</f>
        <v>0</v>
      </c>
      <c r="Z1054" s="1338">
        <f>IFERROR(Model!Z1054/Model!V1054-1,"NA")</f>
        <v>0.10344827586206895</v>
      </c>
      <c r="AA1054" s="1338">
        <f>IFERROR(Model!AA1054/Model!W1054-1,"NA")</f>
        <v>0.18181818181818188</v>
      </c>
      <c r="AB1054" s="1338">
        <f>IFERROR(Model!AB1054/Model!X1054-1,"NA")</f>
        <v>0.17543859649122817</v>
      </c>
      <c r="AC1054" s="1338" t="str">
        <f>IFERROR(Model!AC1054/Model!Y1054-1,"NA")</f>
        <v>NA</v>
      </c>
      <c r="AD1054" s="1338" t="str">
        <f>IFERROR(Model!AD1054/Model!Z1054-1,"NA")</f>
        <v>NA</v>
      </c>
      <c r="AE1054" s="1338" t="str">
        <f>IFERROR(Model!AE1054/Model!AA1054-1,"NA")</f>
        <v>NA</v>
      </c>
      <c r="AF1054" s="1338" t="str">
        <f>IFERROR(Model!AF1054/Model!AB1054-1,"NA")</f>
        <v>NA</v>
      </c>
      <c r="AG1054" s="1338" t="str">
        <f>IFERROR(Model!AG1054/Model!AC1054-1,"NA")</f>
        <v>NA</v>
      </c>
      <c r="AH1054" s="1338" t="str">
        <f>IFERROR(Model!AH1054/Model!AD1054-1,"NA")</f>
        <v>NA</v>
      </c>
      <c r="AI1054" s="1338" t="str">
        <f>IFERROR(Model!AI1054/Model!AE1054-1,"NA")</f>
        <v>NA</v>
      </c>
      <c r="AJ1054" s="1338"/>
      <c r="AK1054" s="1338"/>
      <c r="AL1054" s="1338"/>
      <c r="AM1054" s="1338"/>
      <c r="AN1054" s="1338"/>
      <c r="AO1054" s="1338"/>
      <c r="AP1054" s="1338"/>
      <c r="AQ1054" s="1338"/>
      <c r="AR1054" s="1236"/>
      <c r="AS1054" s="1523"/>
      <c r="AT1054" s="1336"/>
      <c r="AU1054" s="1301"/>
      <c r="AV1054" s="1301">
        <f>IFERROR(Model!AV1054/Model!AU1054-1,"NA")</f>
        <v>4.8582995951417018E-2</v>
      </c>
      <c r="AW1054" s="1301">
        <f>IFERROR(Model!AW1054/Model!AV1054-1,"NA")</f>
        <v>5.4054054054053946E-2</v>
      </c>
      <c r="AX1054" s="1301">
        <f>IFERROR(Model!AX1054/Model!AW1054-1,"NA")</f>
        <v>-9.1575091575091583E-2</v>
      </c>
      <c r="AY1054" s="1301">
        <f>IFERROR(Model!AY1054/Model!AX1054-1,"NA")</f>
        <v>-5.6451612903225756E-2</v>
      </c>
      <c r="AZ1054" s="1338" t="str">
        <f>IFERROR(Model!AZ1054/Model!AY1054-1,"NA")</f>
        <v>NA</v>
      </c>
      <c r="BA1054" s="1338" t="str">
        <f>IFERROR(Model!BA1054/Model!AZ1054-1,"NA")</f>
        <v>NA</v>
      </c>
      <c r="BB1054" s="1338" t="str">
        <f>IFERROR(Model!BB1054/Model!BA1054-1,"NA")</f>
        <v>NA</v>
      </c>
      <c r="BC1054" s="1338" t="str">
        <f>IFERROR(Model!BC1054/Model!BB1054-1,"NA")</f>
        <v>NA</v>
      </c>
      <c r="BD1054" s="1338" t="str">
        <f>IFERROR(Model!BD1054/Model!BC1054-1,"NA")</f>
        <v>NA</v>
      </c>
      <c r="BE1054" s="1338" t="str">
        <f>IFERROR(Model!BE1054/Model!BD1054-1,"NA")</f>
        <v>NA</v>
      </c>
    </row>
    <row r="1055" spans="1:57" x14ac:dyDescent="0.2">
      <c r="A1055" s="830"/>
      <c r="B1055" s="674"/>
      <c r="C1055" s="360" t="s">
        <v>95</v>
      </c>
      <c r="D1055" s="1338"/>
      <c r="E1055" s="1338"/>
      <c r="F1055" s="1338"/>
      <c r="G1055" s="1338"/>
      <c r="H1055" s="1338">
        <f>IFERROR(Model!H1055/Model!D1055-1,"NA")</f>
        <v>9.375E-2</v>
      </c>
      <c r="I1055" s="1338">
        <f>IFERROR(Model!I1055/Model!E1055-1,"NA")</f>
        <v>9.8290598290598385E-2</v>
      </c>
      <c r="J1055" s="1338">
        <f>IFERROR(Model!J1055/Model!F1055-1,"NA")</f>
        <v>7.3469387755102034E-2</v>
      </c>
      <c r="K1055" s="1338">
        <f>IFERROR(Model!K1055/Model!G1055-1,"NA")</f>
        <v>0.11065573770491799</v>
      </c>
      <c r="L1055" s="1338">
        <f>IFERROR(Model!L1055/Model!H1055-1,"NA")</f>
        <v>0.12653061224489792</v>
      </c>
      <c r="M1055" s="1338">
        <f>IFERROR(Model!M1055/Model!I1055-1,"NA")</f>
        <v>0.10116731517509736</v>
      </c>
      <c r="N1055" s="1338">
        <f>IFERROR(Model!N1055/Model!J1055-1,"NA")</f>
        <v>7.6045627376425839E-2</v>
      </c>
      <c r="O1055" s="1338">
        <f>IFERROR(Model!O1055/Model!K1055-1,"NA")</f>
        <v>3.6900369003689981E-2</v>
      </c>
      <c r="P1055" s="1338">
        <f>IFERROR(Model!P1055/Model!L1055-1,"NA")</f>
        <v>7.2463768115942351E-3</v>
      </c>
      <c r="Q1055" s="1338">
        <f>IFERROR(Model!Q1055/Model!M1055-1,"NA")</f>
        <v>2.1201413427561766E-2</v>
      </c>
      <c r="R1055" s="1338">
        <f>IFERROR(Model!R1055/Model!N1055-1,"NA")</f>
        <v>3.180212014134276E-2</v>
      </c>
      <c r="S1055" s="1338">
        <f>IFERROR(Model!S1055/Model!O1055-1,"NA")</f>
        <v>4.6263345195729499E-2</v>
      </c>
      <c r="T1055" s="1338">
        <f>IFERROR(Model!T1055/Model!P1055-1,"NA")</f>
        <v>6.1151079136690711E-2</v>
      </c>
      <c r="U1055" s="1338">
        <f>IFERROR(Model!U1055/Model!Q1055-1,"NA")</f>
        <v>5.1903114186851118E-2</v>
      </c>
      <c r="V1055" s="1338">
        <f>IFERROR(Model!V1055/Model!R1055-1,"NA")</f>
        <v>5.1369863013698724E-2</v>
      </c>
      <c r="W1055" s="1338">
        <f>IFERROR(Model!W1055/Model!S1055-1,"NA")</f>
        <v>3.4013605442176909E-2</v>
      </c>
      <c r="X1055" s="1338">
        <f>IFERROR(Model!X1055/Model!T1055-1,"NA")</f>
        <v>2.3728813559322104E-2</v>
      </c>
      <c r="Y1055" s="1338">
        <f>IFERROR(Model!Y1055/Model!U1055-1,"NA")</f>
        <v>2.960526315789469E-2</v>
      </c>
      <c r="Z1055" s="1338">
        <f>IFERROR(Model!Z1055/Model!V1055-1,"NA")</f>
        <v>4.5602605863192203E-2</v>
      </c>
      <c r="AA1055" s="1338">
        <f>IFERROR(Model!AA1055/Model!W1055-1,"NA")</f>
        <v>7.8947368421052655E-2</v>
      </c>
      <c r="AB1055" s="1338">
        <f>IFERROR(Model!AB1055/Model!X1055-1,"NA")</f>
        <v>0.1225165562913908</v>
      </c>
      <c r="AC1055" s="1338">
        <f>IFERROR(Model!AC1055/Model!Y1055-1,"NA")</f>
        <v>0.10472843450479252</v>
      </c>
      <c r="AD1055" s="1338">
        <f>IFERROR(Model!AD1055/Model!Z1055-1,"NA")</f>
        <v>9.3354205607476537E-2</v>
      </c>
      <c r="AE1055" s="1338">
        <f>IFERROR(Model!AE1055/Model!AA1055-1,"NA")</f>
        <v>8.6070733231707219E-2</v>
      </c>
      <c r="AF1055" s="1338">
        <f>IFERROR(Model!AF1055/Model!AB1055-1,"NA")</f>
        <v>7.1846089999999752E-2</v>
      </c>
      <c r="AG1055" s="1338">
        <f>IFERROR(Model!AG1055/Model!AC1055-1,"NA")</f>
        <v>7.1846089999999752E-2</v>
      </c>
      <c r="AH1055" s="1338">
        <f>IFERROR(Model!AH1055/Model!AD1055-1,"NA")</f>
        <v>8.2406149999999734E-2</v>
      </c>
      <c r="AI1055" s="1338">
        <f>IFERROR(Model!AI1055/Model!AE1055-1,"NA")</f>
        <v>9.3070249999999799E-2</v>
      </c>
      <c r="AJ1055" s="1338"/>
      <c r="AK1055" s="1338"/>
      <c r="AL1055" s="1338"/>
      <c r="AM1055" s="1338"/>
      <c r="AN1055" s="1338"/>
      <c r="AO1055" s="1338"/>
      <c r="AP1055" s="1338"/>
      <c r="AQ1055" s="1338"/>
      <c r="AR1055" s="1236"/>
      <c r="AS1055" s="1336"/>
      <c r="AT1055" s="1532"/>
      <c r="AU1055" s="1338"/>
      <c r="AV1055" s="1338">
        <f>IFERROR(Model!AV1055/Model!AU1055-1,"NA")</f>
        <v>9.3980992608236447E-2</v>
      </c>
      <c r="AW1055" s="1338">
        <f>IFERROR(Model!AW1055/Model!AV1055-1,"NA")</f>
        <v>8.3976833976834087E-2</v>
      </c>
      <c r="AX1055" s="1338">
        <f>IFERROR(Model!AX1055/Model!AW1055-1,"NA")</f>
        <v>2.6714158504007157E-2</v>
      </c>
      <c r="AY1055" s="1338">
        <f>IFERROR(Model!AY1055/Model!AX1055-1,"NA")</f>
        <v>4.9436253252385098E-2</v>
      </c>
      <c r="AZ1055" s="1338">
        <f>IFERROR(Model!AZ1055/Model!AY1055-1,"NA")</f>
        <v>4.4628099173553704E-2</v>
      </c>
      <c r="BA1055" s="1338">
        <f>IFERROR(Model!BA1055/Model!AZ1055-1,"NA")</f>
        <v>0.10124833900316443</v>
      </c>
      <c r="BB1055" s="1338">
        <f>IFERROR(Model!BB1055/Model!BA1055-1,"NA")</f>
        <v>7.9940282732771761E-2</v>
      </c>
      <c r="BC1055" s="1338">
        <f>IFERROR(Model!BC1055/Model!BB1055-1,"NA")</f>
        <v>7.0000000000000062E-2</v>
      </c>
      <c r="BD1055" s="1338">
        <f>IFERROR(Model!BD1055/Model!BC1055-1,"NA")</f>
        <v>7.0000000000000062E-2</v>
      </c>
      <c r="BE1055" s="1338">
        <f>IFERROR(Model!BE1055/Model!BD1055-1,"NA")</f>
        <v>6.0000000000000053E-2</v>
      </c>
    </row>
    <row r="1056" spans="1:57" x14ac:dyDescent="0.2">
      <c r="B1056" s="362"/>
      <c r="D1056" s="1256"/>
      <c r="E1056" s="1256"/>
      <c r="F1056" s="1256"/>
      <c r="G1056" s="1256"/>
      <c r="H1056" s="1256"/>
      <c r="I1056" s="1256"/>
      <c r="J1056" s="1256"/>
      <c r="K1056" s="1256"/>
      <c r="L1056" s="1256"/>
      <c r="M1056" s="1256"/>
      <c r="N1056" s="1256"/>
      <c r="O1056" s="1256"/>
      <c r="P1056" s="1256"/>
      <c r="Q1056" s="1256"/>
      <c r="R1056" s="1256"/>
      <c r="S1056" s="1256"/>
      <c r="T1056" s="1256"/>
      <c r="U1056" s="1256"/>
      <c r="V1056" s="1256"/>
      <c r="W1056" s="1256"/>
      <c r="X1056" s="1256"/>
      <c r="Y1056" s="1256"/>
      <c r="Z1056" s="1256"/>
      <c r="AA1056" s="1256"/>
      <c r="AB1056" s="1256"/>
      <c r="AC1056" s="1256"/>
      <c r="AD1056" s="1256"/>
      <c r="AE1056" s="1256"/>
      <c r="AF1056" s="1256"/>
      <c r="AG1056" s="1256"/>
      <c r="AH1056" s="1256"/>
      <c r="AI1056" s="1256"/>
      <c r="AJ1056" s="1256"/>
      <c r="AK1056" s="1256"/>
      <c r="AL1056" s="1256"/>
      <c r="AM1056" s="1256"/>
      <c r="AN1056" s="1256"/>
      <c r="AO1056" s="1256"/>
      <c r="AP1056" s="1256"/>
      <c r="AQ1056" s="1256"/>
      <c r="AR1056" s="1236"/>
      <c r="AS1056" s="1400"/>
      <c r="AT1056" s="407"/>
      <c r="AU1056" s="1236"/>
      <c r="AV1056" s="1236"/>
      <c r="AW1056" s="1236"/>
      <c r="AX1056" s="1236"/>
      <c r="AY1056" s="1236"/>
      <c r="AZ1056" s="1236"/>
      <c r="BA1056" s="1236"/>
      <c r="BB1056" s="1256"/>
      <c r="BC1056" s="1256"/>
      <c r="BD1056" s="1256"/>
      <c r="BE1056" s="1256"/>
    </row>
    <row r="1057" spans="1:64" s="160" customFormat="1" x14ac:dyDescent="0.2">
      <c r="A1057" s="829"/>
      <c r="B1057" s="363" t="s">
        <v>570</v>
      </c>
      <c r="C1057" s="59"/>
      <c r="D1057" s="1322"/>
      <c r="E1057" s="1322"/>
      <c r="F1057" s="1322"/>
      <c r="G1057" s="1322"/>
      <c r="H1057" s="1322" t="str">
        <f>IFERROR(Model!H1057/Model!D1057-1,"NA")</f>
        <v>NA</v>
      </c>
      <c r="I1057" s="1322">
        <f>IFERROR(Model!I1057/Model!E1057-1,"NA")</f>
        <v>3.5093191920765321E-3</v>
      </c>
      <c r="J1057" s="1322">
        <f>IFERROR(Model!J1057/Model!F1057-1,"NA")</f>
        <v>-1.2447176334998145E-2</v>
      </c>
      <c r="K1057" s="1322">
        <f>IFERROR(Model!K1057/Model!G1057-1,"NA")</f>
        <v>1.4045377373051338E-2</v>
      </c>
      <c r="L1057" s="1322">
        <f>IFERROR(Model!L1057/Model!H1057-1,"NA")</f>
        <v>2.2287799953405241E-2</v>
      </c>
      <c r="M1057" s="1322">
        <f>IFERROR(Model!M1057/Model!I1057-1,"NA")</f>
        <v>3.1007149518184507E-2</v>
      </c>
      <c r="N1057" s="1322">
        <f>IFERROR(Model!N1057/Model!J1057-1,"NA")</f>
        <v>2.5908348245545776E-2</v>
      </c>
      <c r="O1057" s="1322">
        <f>IFERROR(Model!O1057/Model!K1057-1,"NA")</f>
        <v>-1.0578386605783918E-2</v>
      </c>
      <c r="P1057" s="1322">
        <f>IFERROR(Model!P1057/Model!L1057-1,"NA")</f>
        <v>-3.7982376177453703E-2</v>
      </c>
      <c r="Q1057" s="1322">
        <f>IFERROR(Model!Q1057/Model!M1057-1,"NA")</f>
        <v>-5.4269993216250811E-2</v>
      </c>
      <c r="R1057" s="1322">
        <f>IFERROR(Model!R1057/Model!N1057-1,"NA")</f>
        <v>-5.437585317761251E-2</v>
      </c>
      <c r="S1057" s="1322">
        <f>IFERROR(Model!S1057/Model!O1057-1,"NA")</f>
        <v>-4.0458426274901815E-2</v>
      </c>
      <c r="T1057" s="1322">
        <f>IFERROR(Model!T1057/Model!P1057-1,"NA")</f>
        <v>-3.3085912823752395E-2</v>
      </c>
      <c r="U1057" s="1322">
        <f>IFERROR(Model!U1057/Model!Q1057-1,"NA")</f>
        <v>-1.0918944767673411E-2</v>
      </c>
      <c r="V1057" s="1322">
        <f>IFERROR(Model!V1057/Model!R1057-1,"NA")</f>
        <v>1.916753548801009E-2</v>
      </c>
      <c r="W1057" s="1322">
        <f>IFERROR(Model!W1057/Model!S1057-1,"NA")</f>
        <v>3.3667334669336135E-3</v>
      </c>
      <c r="X1057" s="1322">
        <f>IFERROR(Model!X1057/Model!T1057-1,"NA")</f>
        <v>1.8048182931808876E-2</v>
      </c>
      <c r="Y1057" s="1322">
        <f>IFERROR(Model!Y1057/Model!U1057-1,"NA")</f>
        <v>2.2723609991942118E-2</v>
      </c>
      <c r="Z1057" s="1322">
        <f>IFERROR(Model!Z1057/Model!V1057-1,"NA")</f>
        <v>1.7469310670443772E-2</v>
      </c>
      <c r="AA1057" s="1322">
        <f>IFERROR(Model!AA1057/Model!W1057-1,"NA")</f>
        <v>4.6416873052648411E-2</v>
      </c>
      <c r="AB1057" s="1322">
        <f>IFERROR(Model!AB1057/Model!X1057-1,"NA")</f>
        <v>7.1073319428846649E-2</v>
      </c>
      <c r="AC1057" s="1322">
        <f>IFERROR(Model!AC1057/Model!Y1057-1,"NA")</f>
        <v>6.3615663410022227E-2</v>
      </c>
      <c r="AD1057" s="1322">
        <f>IFERROR(Model!AD1057/Model!Z1057-1,"NA")</f>
        <v>5.6283329466357168E-2</v>
      </c>
      <c r="AE1057" s="1322">
        <f>IFERROR(Model!AE1057/Model!AA1057-1,"NA")</f>
        <v>5.8799534967170386E-2</v>
      </c>
      <c r="AF1057" s="1322">
        <f>IFERROR(Model!AF1057/Model!AB1057-1,"NA")</f>
        <v>4.702154504905609E-2</v>
      </c>
      <c r="AG1057" s="1322">
        <f>IFERROR(Model!AG1057/Model!AC1057-1,"NA")</f>
        <v>4.7876264895284848E-2</v>
      </c>
      <c r="AH1057" s="1322">
        <f>IFERROR(Model!AH1057/Model!AD1057-1,"NA")</f>
        <v>5.453016936251065E-2</v>
      </c>
      <c r="AI1057" s="1322">
        <f>IFERROR(Model!AI1057/Model!AE1057-1,"NA")</f>
        <v>6.1253880762641266E-2</v>
      </c>
      <c r="AJ1057" s="1322"/>
      <c r="AK1057" s="1322"/>
      <c r="AL1057" s="1322"/>
      <c r="AM1057" s="1322"/>
      <c r="AN1057" s="1322"/>
      <c r="AO1057" s="1322"/>
      <c r="AP1057" s="1322"/>
      <c r="AQ1057" s="1322"/>
      <c r="AR1057" s="1236"/>
      <c r="AS1057" s="1448"/>
      <c r="AT1057" s="1329"/>
      <c r="AU1057" s="1322"/>
      <c r="AV1057" s="1322">
        <f>IFERROR(Model!AV1057/Model!AU1057-1,"NA")</f>
        <v>6.3800816961681051E-3</v>
      </c>
      <c r="AW1057" s="1322">
        <f>IFERROR(Model!AW1057/Model!AV1057-1,"NA")</f>
        <v>1.700877498163833E-2</v>
      </c>
      <c r="AX1057" s="1322">
        <f>IFERROR(Model!AX1057/Model!AW1057-1,"NA")</f>
        <v>-4.680907674179946E-2</v>
      </c>
      <c r="AY1057" s="1322">
        <f>IFERROR(Model!AY1057/Model!AX1057-1,"NA")</f>
        <v>-5.4830026916559138E-3</v>
      </c>
      <c r="AZ1057" s="1322">
        <f>IFERROR(Model!AZ1057/Model!AY1057-1,"NA")</f>
        <v>2.6182838813151532E-2</v>
      </c>
      <c r="BA1057" s="1322">
        <f>IFERROR(Model!BA1057/Model!AZ1057-1,"NA")</f>
        <v>6.2347316824912902E-2</v>
      </c>
      <c r="BB1057" s="1322">
        <f>IFERROR(Model!BB1057/Model!BA1057-1,"NA")</f>
        <v>5.2749399844991052E-2</v>
      </c>
      <c r="BC1057" s="1322">
        <f>IFERROR(Model!BC1057/Model!BB1057-1,"NA")</f>
        <v>5.2144597188383823E-2</v>
      </c>
      <c r="BD1057" s="1322">
        <f>IFERROR(Model!BD1057/Model!BC1057-1,"NA")</f>
        <v>5.4074935084034603E-2</v>
      </c>
      <c r="BE1057" s="1322">
        <f>IFERROR(Model!BE1057/Model!BD1057-1,"NA")</f>
        <v>4.9958195143511741E-2</v>
      </c>
    </row>
    <row r="1058" spans="1:64" x14ac:dyDescent="0.2">
      <c r="C1058" s="53" t="s">
        <v>571</v>
      </c>
      <c r="D1058" s="407"/>
      <c r="E1058" s="407"/>
      <c r="F1058" s="1242"/>
      <c r="G1058" s="1242"/>
      <c r="H1058" s="1242"/>
      <c r="I1058" s="1242"/>
      <c r="J1058" s="1242"/>
      <c r="K1058" s="1242"/>
      <c r="L1058" s="1242"/>
      <c r="M1058" s="1242"/>
      <c r="N1058" s="1242"/>
      <c r="O1058" s="1242"/>
      <c r="P1058" s="1242"/>
      <c r="Q1058" s="1242"/>
      <c r="R1058" s="1242"/>
      <c r="S1058" s="1242"/>
      <c r="T1058" s="1242"/>
      <c r="U1058" s="1242"/>
      <c r="V1058" s="1242"/>
      <c r="W1058" s="1242"/>
      <c r="X1058" s="1242"/>
      <c r="Y1058" s="1242"/>
      <c r="Z1058" s="1242"/>
      <c r="AA1058" s="1242"/>
      <c r="AB1058" s="1242"/>
      <c r="AC1058" s="1242"/>
      <c r="AD1058" s="1242"/>
      <c r="AE1058" s="1242"/>
      <c r="AF1058" s="1242"/>
      <c r="AG1058" s="1242"/>
      <c r="AH1058" s="1242"/>
      <c r="AI1058" s="1242"/>
      <c r="AJ1058" s="1242"/>
      <c r="AK1058" s="1242"/>
      <c r="AL1058" s="1242"/>
      <c r="AM1058" s="1242"/>
      <c r="AN1058" s="1242"/>
      <c r="AO1058" s="1242"/>
      <c r="AP1058" s="1242"/>
      <c r="AQ1058" s="1242"/>
      <c r="AR1058" s="1236"/>
      <c r="AS1058" s="1382"/>
      <c r="AT1058" s="407"/>
      <c r="AU1058" s="1242"/>
      <c r="AV1058" s="1242"/>
      <c r="AW1058" s="1242"/>
      <c r="AX1058" s="1242"/>
      <c r="AY1058" s="1242"/>
      <c r="AZ1058" s="1242"/>
      <c r="BA1058" s="1242"/>
      <c r="BB1058" s="1242"/>
      <c r="BC1058" s="1242"/>
      <c r="BD1058" s="1242"/>
      <c r="BE1058" s="1242"/>
    </row>
    <row r="1059" spans="1:64" x14ac:dyDescent="0.2">
      <c r="D1059" s="407"/>
      <c r="E1059" s="407"/>
      <c r="F1059" s="407"/>
      <c r="G1059" s="407"/>
      <c r="H1059" s="407"/>
      <c r="I1059" s="407"/>
      <c r="J1059" s="407"/>
      <c r="K1059" s="407"/>
      <c r="L1059" s="407"/>
      <c r="M1059" s="407"/>
      <c r="N1059" s="407"/>
      <c r="O1059" s="407"/>
      <c r="P1059" s="407"/>
      <c r="Q1059" s="407"/>
      <c r="R1059" s="407"/>
      <c r="S1059" s="407"/>
      <c r="T1059" s="407"/>
      <c r="U1059" s="407"/>
      <c r="V1059" s="407"/>
      <c r="W1059" s="407"/>
      <c r="X1059" s="407"/>
      <c r="Y1059" s="407"/>
      <c r="Z1059" s="407"/>
      <c r="AA1059" s="407"/>
      <c r="AB1059" s="407"/>
      <c r="AC1059" s="407"/>
      <c r="AD1059" s="407"/>
      <c r="AE1059" s="407"/>
      <c r="AF1059" s="407"/>
      <c r="AG1059" s="407"/>
      <c r="AH1059" s="407"/>
      <c r="AI1059" s="407"/>
      <c r="AJ1059" s="407"/>
      <c r="AK1059" s="407"/>
      <c r="AL1059" s="407"/>
      <c r="AM1059" s="407"/>
      <c r="AN1059" s="407"/>
      <c r="AO1059" s="407"/>
      <c r="AP1059" s="407"/>
      <c r="AQ1059" s="407"/>
      <c r="AR1059" s="1236"/>
      <c r="AS1059" s="1382"/>
      <c r="AT1059" s="407"/>
      <c r="AU1059" s="1236"/>
      <c r="AV1059" s="1236"/>
      <c r="AW1059" s="1236"/>
      <c r="AX1059" s="1236"/>
      <c r="AY1059" s="1236"/>
      <c r="AZ1059" s="1236"/>
      <c r="BA1059" s="1236"/>
      <c r="BB1059" s="1236"/>
      <c r="BC1059" s="1236"/>
      <c r="BD1059" s="1236"/>
      <c r="BE1059" s="1236"/>
    </row>
    <row r="1060" spans="1:64" x14ac:dyDescent="0.2">
      <c r="D1060" s="407"/>
      <c r="E1060" s="407"/>
      <c r="F1060" s="407"/>
      <c r="G1060" s="407"/>
      <c r="H1060" s="407"/>
      <c r="I1060" s="407"/>
      <c r="J1060" s="407"/>
      <c r="K1060" s="407"/>
      <c r="L1060" s="407"/>
      <c r="M1060" s="407"/>
      <c r="N1060" s="407"/>
      <c r="O1060" s="407"/>
      <c r="P1060" s="407"/>
      <c r="Q1060" s="407"/>
      <c r="R1060" s="407"/>
      <c r="S1060" s="407"/>
      <c r="T1060" s="407"/>
      <c r="U1060" s="407"/>
      <c r="V1060" s="407"/>
      <c r="W1060" s="407"/>
      <c r="X1060" s="407"/>
      <c r="Y1060" s="407"/>
      <c r="Z1060" s="407"/>
      <c r="AA1060" s="407"/>
      <c r="AB1060" s="407"/>
      <c r="AC1060" s="407"/>
      <c r="AD1060" s="407"/>
      <c r="AE1060" s="407"/>
      <c r="AF1060" s="407"/>
      <c r="AG1060" s="407"/>
      <c r="AH1060" s="407"/>
      <c r="AI1060" s="407"/>
      <c r="AJ1060" s="407"/>
      <c r="AK1060" s="407"/>
      <c r="AL1060" s="407"/>
      <c r="AM1060" s="407"/>
      <c r="AN1060" s="407"/>
      <c r="AO1060" s="407"/>
      <c r="AP1060" s="407"/>
      <c r="AQ1060" s="407"/>
      <c r="AR1060" s="1236"/>
      <c r="AS1060" s="1382"/>
      <c r="AT1060" s="407"/>
      <c r="AU1060" s="1236"/>
      <c r="AV1060" s="1236"/>
      <c r="AW1060" s="1236"/>
      <c r="AX1060" s="1236"/>
      <c r="AY1060" s="1236"/>
      <c r="AZ1060" s="1236"/>
      <c r="BA1060" s="1236"/>
      <c r="BB1060" s="1236"/>
      <c r="BC1060" s="1236"/>
      <c r="BD1060" s="1236"/>
      <c r="BE1060" s="1236"/>
    </row>
    <row r="1061" spans="1:64" x14ac:dyDescent="0.2">
      <c r="B1061" s="13"/>
      <c r="C1061" s="13"/>
      <c r="D1061" s="1369"/>
      <c r="E1061" s="1369"/>
      <c r="F1061" s="1369"/>
      <c r="G1061" s="1369"/>
      <c r="H1061" s="1369"/>
      <c r="I1061" s="1369"/>
      <c r="J1061" s="1369"/>
      <c r="K1061" s="1369"/>
      <c r="L1061" s="1369"/>
      <c r="M1061" s="1369"/>
      <c r="N1061" s="1369"/>
      <c r="O1061" s="1369"/>
      <c r="P1061" s="1369"/>
      <c r="Q1061" s="1369"/>
      <c r="R1061" s="1369"/>
      <c r="S1061" s="1369"/>
      <c r="T1061" s="1369"/>
      <c r="U1061" s="1369"/>
      <c r="V1061" s="1369"/>
      <c r="W1061" s="1369"/>
      <c r="X1061" s="1369"/>
      <c r="Y1061" s="1369"/>
      <c r="Z1061" s="1369"/>
      <c r="AA1061" s="1369"/>
      <c r="AB1061" s="1369"/>
      <c r="AC1061" s="1369"/>
      <c r="AD1061" s="1369"/>
      <c r="AE1061" s="1369"/>
      <c r="AF1061" s="1369"/>
      <c r="AG1061" s="1369"/>
      <c r="AH1061" s="1369"/>
      <c r="AI1061" s="1369"/>
      <c r="AJ1061" s="1369"/>
      <c r="AK1061" s="1369"/>
      <c r="AL1061" s="1369"/>
      <c r="AM1061" s="1369"/>
      <c r="AN1061" s="1369"/>
      <c r="AO1061" s="1369"/>
      <c r="AP1061" s="1369"/>
      <c r="AQ1061" s="1369"/>
      <c r="AR1061" s="1236"/>
      <c r="AS1061" s="1370"/>
      <c r="AT1061" s="1370"/>
      <c r="AU1061" s="1369"/>
      <c r="AV1061" s="1369"/>
      <c r="AW1061" s="1369"/>
      <c r="AX1061" s="1369"/>
      <c r="AY1061" s="1369"/>
      <c r="AZ1061" s="1369"/>
      <c r="BA1061" s="1369"/>
      <c r="BB1061" s="1369"/>
      <c r="BC1061" s="1369"/>
      <c r="BD1061" s="1369"/>
      <c r="BE1061" s="1369"/>
      <c r="BF1061" s="15"/>
      <c r="BG1061" s="15"/>
      <c r="BH1061" s="15"/>
      <c r="BI1061" s="15"/>
      <c r="BJ1061" s="15"/>
      <c r="BK1061" s="15"/>
      <c r="BL1061" s="15"/>
    </row>
    <row r="1062" spans="1:64" x14ac:dyDescent="0.2">
      <c r="B1062" s="35"/>
      <c r="C1062" s="35"/>
      <c r="D1062" s="1242"/>
      <c r="E1062" s="1242"/>
      <c r="F1062" s="1242"/>
      <c r="G1062" s="407"/>
      <c r="H1062" s="407"/>
      <c r="I1062" s="407"/>
      <c r="J1062" s="407"/>
      <c r="K1062" s="407"/>
      <c r="L1062" s="407"/>
      <c r="M1062" s="407"/>
      <c r="N1062" s="407"/>
      <c r="O1062" s="407"/>
      <c r="P1062" s="407"/>
      <c r="Q1062" s="407"/>
      <c r="R1062" s="407"/>
      <c r="S1062" s="407"/>
      <c r="T1062" s="407"/>
      <c r="U1062" s="407"/>
      <c r="V1062" s="407"/>
      <c r="W1062" s="407"/>
      <c r="X1062" s="407"/>
      <c r="Y1062" s="407"/>
      <c r="Z1062" s="407"/>
      <c r="AA1062" s="407"/>
      <c r="AB1062" s="407"/>
      <c r="AC1062" s="407"/>
      <c r="AD1062" s="407"/>
      <c r="AE1062" s="407"/>
      <c r="AF1062" s="407"/>
      <c r="AG1062" s="407"/>
      <c r="AH1062" s="407"/>
      <c r="AI1062" s="407"/>
      <c r="AJ1062" s="407"/>
      <c r="AK1062" s="407"/>
      <c r="AL1062" s="407"/>
      <c r="AM1062" s="407"/>
      <c r="AN1062" s="407"/>
      <c r="AO1062" s="407"/>
      <c r="AP1062" s="407"/>
      <c r="AQ1062" s="407"/>
      <c r="AR1062" s="1236"/>
      <c r="AS1062" s="407"/>
      <c r="AT1062" s="407"/>
      <c r="AU1062" s="1236"/>
      <c r="AV1062" s="1236"/>
      <c r="AW1062" s="1236"/>
      <c r="AX1062" s="1236"/>
      <c r="AY1062" s="1236"/>
      <c r="AZ1062" s="1236"/>
      <c r="BA1062" s="1236"/>
      <c r="BB1062" s="1236"/>
      <c r="BC1062" s="1236"/>
      <c r="BD1062" s="1236"/>
      <c r="BE1062" s="1236"/>
    </row>
    <row r="1063" spans="1:64" x14ac:dyDescent="0.2">
      <c r="B1063" s="35"/>
      <c r="C1063" s="35"/>
      <c r="D1063" s="1242"/>
      <c r="E1063" s="1242"/>
      <c r="F1063" s="1242"/>
      <c r="G1063" s="1242"/>
      <c r="H1063" s="1242"/>
      <c r="I1063" s="1242"/>
      <c r="J1063" s="1242"/>
      <c r="K1063" s="1242"/>
      <c r="L1063" s="1242"/>
      <c r="M1063" s="1242"/>
      <c r="N1063" s="1242"/>
      <c r="O1063" s="1242"/>
      <c r="P1063" s="1242"/>
      <c r="Q1063" s="1242"/>
      <c r="R1063" s="1242"/>
      <c r="S1063" s="1242"/>
      <c r="T1063" s="1242"/>
      <c r="U1063" s="1242"/>
      <c r="V1063" s="1242"/>
      <c r="W1063" s="1242"/>
      <c r="X1063" s="1242"/>
      <c r="Y1063" s="1242"/>
      <c r="Z1063" s="407"/>
      <c r="AA1063" s="407"/>
      <c r="AB1063" s="407"/>
      <c r="AC1063" s="407"/>
      <c r="AD1063" s="407"/>
      <c r="AE1063" s="407"/>
      <c r="AF1063" s="407"/>
      <c r="AG1063" s="407"/>
      <c r="AH1063" s="407"/>
      <c r="AI1063" s="407"/>
      <c r="AJ1063" s="407"/>
      <c r="AK1063" s="407"/>
      <c r="AL1063" s="407"/>
      <c r="AM1063" s="407"/>
      <c r="AN1063" s="407"/>
      <c r="AO1063" s="407"/>
      <c r="AP1063" s="407"/>
      <c r="AQ1063" s="407"/>
      <c r="AR1063" s="1236"/>
      <c r="AS1063" s="407"/>
      <c r="AT1063" s="407"/>
      <c r="AU1063" s="1236"/>
      <c r="AV1063" s="1242"/>
      <c r="AW1063" s="1242"/>
      <c r="AX1063" s="1242"/>
      <c r="AY1063" s="1242"/>
      <c r="AZ1063" s="1242"/>
      <c r="BA1063" s="1242"/>
      <c r="BB1063" s="1242"/>
      <c r="BC1063" s="1242"/>
      <c r="BD1063" s="1242"/>
      <c r="BE1063" s="1242"/>
    </row>
    <row r="1064" spans="1:64" x14ac:dyDescent="0.2">
      <c r="B1064" s="43"/>
      <c r="C1064" s="43"/>
      <c r="D1064" s="1244"/>
      <c r="E1064" s="1244"/>
      <c r="F1064" s="1244"/>
      <c r="G1064" s="1244"/>
      <c r="H1064" s="1244"/>
      <c r="I1064" s="1244"/>
      <c r="J1064" s="1244"/>
      <c r="K1064" s="1244"/>
      <c r="L1064" s="1244"/>
      <c r="M1064" s="1244"/>
      <c r="N1064" s="1244"/>
      <c r="O1064" s="1244"/>
      <c r="P1064" s="1244"/>
      <c r="Q1064" s="1244"/>
      <c r="R1064" s="1244"/>
      <c r="S1064" s="1244"/>
      <c r="T1064" s="1244"/>
      <c r="U1064" s="1244"/>
      <c r="V1064" s="1244"/>
      <c r="W1064" s="1244"/>
      <c r="X1064" s="1244"/>
      <c r="Y1064" s="1244"/>
      <c r="Z1064" s="1307"/>
      <c r="AA1064" s="1307"/>
      <c r="AB1064" s="1307"/>
      <c r="AC1064" s="1307"/>
      <c r="AD1064" s="1307"/>
      <c r="AE1064" s="1307"/>
      <c r="AF1064" s="1307"/>
      <c r="AG1064" s="1307"/>
      <c r="AH1064" s="1307"/>
      <c r="AI1064" s="1307"/>
      <c r="AJ1064" s="1318"/>
      <c r="AK1064" s="1318"/>
      <c r="AL1064" s="1318"/>
      <c r="AM1064" s="1318"/>
      <c r="AN1064" s="1318"/>
      <c r="AO1064" s="1318"/>
      <c r="AP1064" s="1318"/>
      <c r="AQ1064" s="1318"/>
      <c r="AR1064" s="1236"/>
      <c r="AS1064" s="1307"/>
      <c r="AT1064" s="1307"/>
      <c r="AU1064" s="1246"/>
      <c r="AV1064" s="1244"/>
      <c r="AW1064" s="1244"/>
      <c r="AX1064" s="1244"/>
      <c r="AY1064" s="1244"/>
      <c r="AZ1064" s="1244"/>
      <c r="BA1064" s="1244"/>
      <c r="BB1064" s="1244"/>
      <c r="BC1064" s="1244"/>
      <c r="BD1064" s="1244"/>
      <c r="BE1064" s="1244"/>
    </row>
    <row r="1065" spans="1:64" x14ac:dyDescent="0.2">
      <c r="B1065" s="65"/>
      <c r="C1065" s="119"/>
      <c r="D1065" s="1339"/>
      <c r="E1065" s="1339"/>
      <c r="F1065" s="1339"/>
      <c r="G1065" s="1339"/>
      <c r="H1065" s="1339"/>
      <c r="I1065" s="1339"/>
      <c r="J1065" s="1339"/>
      <c r="K1065" s="1339"/>
      <c r="L1065" s="1339"/>
      <c r="M1065" s="1339"/>
      <c r="N1065" s="1339"/>
      <c r="O1065" s="1339"/>
      <c r="P1065" s="1339"/>
      <c r="Q1065" s="1339"/>
      <c r="R1065" s="1339"/>
      <c r="S1065" s="1339"/>
      <c r="T1065" s="1339"/>
      <c r="U1065" s="1339"/>
      <c r="V1065" s="1339"/>
      <c r="W1065" s="1339"/>
      <c r="X1065" s="1339"/>
      <c r="Y1065" s="1339"/>
      <c r="Z1065" s="1339"/>
      <c r="AA1065" s="1339"/>
      <c r="AB1065" s="1339"/>
      <c r="AC1065" s="1339"/>
      <c r="AD1065" s="1339"/>
      <c r="AE1065" s="1339"/>
      <c r="AF1065" s="1339"/>
      <c r="AG1065" s="1339"/>
      <c r="AH1065" s="1339"/>
      <c r="AI1065" s="1339"/>
      <c r="AJ1065" s="1339"/>
      <c r="AK1065" s="1339"/>
      <c r="AL1065" s="1339"/>
      <c r="AM1065" s="1339"/>
      <c r="AN1065" s="1339"/>
      <c r="AO1065" s="1339"/>
      <c r="AP1065" s="1339"/>
      <c r="AQ1065" s="1339"/>
      <c r="AR1065" s="1236"/>
      <c r="AS1065" s="1329"/>
      <c r="AT1065" s="1318"/>
      <c r="AU1065" s="1339"/>
      <c r="AV1065" s="1339"/>
      <c r="AW1065" s="1339"/>
      <c r="AX1065" s="1339"/>
      <c r="AY1065" s="1339"/>
      <c r="AZ1065" s="1339"/>
      <c r="BA1065" s="1339"/>
      <c r="BB1065" s="1339"/>
      <c r="BC1065" s="1339"/>
      <c r="BD1065" s="1339"/>
      <c r="BE1065" s="1339"/>
    </row>
    <row r="1066" spans="1:64" x14ac:dyDescent="0.2">
      <c r="A1066" s="830"/>
      <c r="B1066" s="119"/>
      <c r="C1066" s="119"/>
      <c r="D1066" s="1339"/>
      <c r="E1066" s="1339"/>
      <c r="F1066" s="1339"/>
      <c r="G1066" s="1339"/>
      <c r="H1066" s="1339"/>
      <c r="I1066" s="1339"/>
      <c r="J1066" s="1339"/>
      <c r="K1066" s="1339"/>
      <c r="L1066" s="1339"/>
      <c r="M1066" s="1339"/>
      <c r="N1066" s="1339"/>
      <c r="O1066" s="1339"/>
      <c r="P1066" s="1339"/>
      <c r="Q1066" s="1339"/>
      <c r="R1066" s="1339"/>
      <c r="S1066" s="1339"/>
      <c r="T1066" s="1339"/>
      <c r="U1066" s="1339"/>
      <c r="V1066" s="1339"/>
      <c r="W1066" s="1339"/>
      <c r="X1066" s="1339"/>
      <c r="Y1066" s="1339"/>
      <c r="Z1066" s="1318"/>
      <c r="AA1066" s="1318"/>
      <c r="AB1066" s="1318"/>
      <c r="AC1066" s="1318"/>
      <c r="AD1066" s="1318"/>
      <c r="AE1066" s="1318"/>
      <c r="AF1066" s="1318"/>
      <c r="AG1066" s="1318"/>
      <c r="AH1066" s="1318"/>
      <c r="AI1066" s="1318"/>
      <c r="AJ1066" s="1318"/>
      <c r="AK1066" s="1318"/>
      <c r="AL1066" s="1318"/>
      <c r="AM1066" s="1318"/>
      <c r="AN1066" s="1318"/>
      <c r="AO1066" s="1318"/>
      <c r="AP1066" s="1318"/>
      <c r="AQ1066" s="1318"/>
      <c r="AR1066" s="1236"/>
      <c r="AS1066" s="1318"/>
      <c r="AT1066" s="1318"/>
      <c r="AU1066" s="1236"/>
      <c r="AV1066" s="1339"/>
      <c r="AW1066" s="1339"/>
      <c r="AX1066" s="1339"/>
      <c r="AY1066" s="1339"/>
      <c r="AZ1066" s="1339"/>
      <c r="BA1066" s="1339"/>
      <c r="BB1066" s="1339"/>
      <c r="BC1066" s="1339"/>
      <c r="BD1066" s="1339"/>
      <c r="BE1066" s="1339"/>
    </row>
    <row r="1067" spans="1:64" s="160" customFormat="1" x14ac:dyDescent="0.2">
      <c r="A1067" s="829"/>
      <c r="B1067" s="65"/>
      <c r="C1067" s="59"/>
      <c r="D1067" s="1361"/>
      <c r="E1067" s="1361"/>
      <c r="F1067" s="1361"/>
      <c r="G1067" s="1361"/>
      <c r="H1067" s="1361"/>
      <c r="I1067" s="1361"/>
      <c r="J1067" s="1361"/>
      <c r="K1067" s="1361"/>
      <c r="L1067" s="1361"/>
      <c r="M1067" s="1361"/>
      <c r="N1067" s="1361"/>
      <c r="O1067" s="1361"/>
      <c r="P1067" s="1361"/>
      <c r="Q1067" s="1361"/>
      <c r="R1067" s="1361"/>
      <c r="S1067" s="1361"/>
      <c r="T1067" s="1361"/>
      <c r="U1067" s="1361"/>
      <c r="V1067" s="1361"/>
      <c r="W1067" s="1361"/>
      <c r="X1067" s="1361"/>
      <c r="Y1067" s="1361"/>
      <c r="Z1067" s="1361"/>
      <c r="AA1067" s="1361"/>
      <c r="AB1067" s="1361"/>
      <c r="AC1067" s="1361"/>
      <c r="AD1067" s="1361"/>
      <c r="AE1067" s="1361"/>
      <c r="AF1067" s="1361"/>
      <c r="AG1067" s="1361"/>
      <c r="AH1067" s="1361"/>
      <c r="AI1067" s="1361"/>
      <c r="AJ1067" s="1361"/>
      <c r="AK1067" s="1361"/>
      <c r="AL1067" s="1361"/>
      <c r="AM1067" s="1361"/>
      <c r="AN1067" s="1361"/>
      <c r="AO1067" s="1361"/>
      <c r="AP1067" s="1361"/>
      <c r="AQ1067" s="1361"/>
      <c r="AR1067" s="1236"/>
      <c r="AS1067" s="1329"/>
      <c r="AT1067" s="1329"/>
      <c r="AU1067" s="1361"/>
      <c r="AV1067" s="1361"/>
      <c r="AW1067" s="1361"/>
      <c r="AX1067" s="1361"/>
      <c r="AY1067" s="1361"/>
      <c r="AZ1067" s="1361"/>
      <c r="BA1067" s="1361"/>
      <c r="BB1067" s="1361"/>
      <c r="BC1067" s="1361"/>
      <c r="BD1067" s="1361"/>
      <c r="BE1067" s="1361"/>
    </row>
    <row r="1068" spans="1:64" x14ac:dyDescent="0.2">
      <c r="B1068" s="35"/>
      <c r="C1068" s="35"/>
      <c r="D1068" s="407"/>
      <c r="E1068" s="407"/>
      <c r="F1068" s="407"/>
      <c r="G1068" s="407"/>
      <c r="H1068" s="407"/>
      <c r="I1068" s="407"/>
      <c r="J1068" s="407"/>
      <c r="K1068" s="407"/>
      <c r="L1068" s="407"/>
      <c r="M1068" s="407"/>
      <c r="N1068" s="407"/>
      <c r="O1068" s="407"/>
      <c r="P1068" s="407"/>
      <c r="Q1068" s="407"/>
      <c r="R1068" s="407"/>
      <c r="S1068" s="407"/>
      <c r="T1068" s="407"/>
      <c r="U1068" s="407"/>
      <c r="V1068" s="407"/>
      <c r="W1068" s="407"/>
      <c r="X1068" s="407"/>
      <c r="Y1068" s="407"/>
      <c r="Z1068" s="407"/>
      <c r="AA1068" s="407"/>
      <c r="AB1068" s="407"/>
      <c r="AC1068" s="407"/>
      <c r="AD1068" s="407"/>
      <c r="AE1068" s="407"/>
      <c r="AF1068" s="407"/>
      <c r="AG1068" s="407"/>
      <c r="AH1068" s="407"/>
      <c r="AI1068" s="407"/>
      <c r="AJ1068" s="407"/>
      <c r="AK1068" s="407"/>
      <c r="AL1068" s="407"/>
      <c r="AM1068" s="407"/>
      <c r="AN1068" s="407"/>
      <c r="AO1068" s="407"/>
      <c r="AP1068" s="407"/>
      <c r="AQ1068" s="407"/>
      <c r="AR1068" s="1236"/>
      <c r="AS1068" s="407"/>
      <c r="AT1068" s="407"/>
      <c r="AU1068" s="1236"/>
      <c r="AV1068" s="407"/>
      <c r="AW1068" s="407"/>
      <c r="AX1068" s="407"/>
      <c r="AY1068" s="407"/>
      <c r="AZ1068" s="407"/>
      <c r="BA1068" s="407"/>
      <c r="BB1068" s="407"/>
      <c r="BC1068" s="407"/>
      <c r="BD1068" s="407"/>
      <c r="BE1068" s="407"/>
    </row>
    <row r="1069" spans="1:64" s="160" customFormat="1" x14ac:dyDescent="0.2">
      <c r="A1069" s="829"/>
      <c r="B1069" s="65"/>
      <c r="C1069" s="65"/>
      <c r="D1069" s="1329"/>
      <c r="E1069" s="1329"/>
      <c r="F1069" s="1329"/>
      <c r="G1069" s="1329"/>
      <c r="H1069" s="1329"/>
      <c r="I1069" s="1329"/>
      <c r="J1069" s="1329"/>
      <c r="K1069" s="1329"/>
      <c r="L1069" s="1329"/>
      <c r="M1069" s="1329"/>
      <c r="N1069" s="1329"/>
      <c r="O1069" s="1329"/>
      <c r="P1069" s="1329"/>
      <c r="Q1069" s="1329"/>
      <c r="R1069" s="1329"/>
      <c r="S1069" s="1329"/>
      <c r="T1069" s="1329"/>
      <c r="U1069" s="1329"/>
      <c r="V1069" s="1329"/>
      <c r="W1069" s="1329"/>
      <c r="X1069" s="1329"/>
      <c r="Y1069" s="1329"/>
      <c r="Z1069" s="1329"/>
      <c r="AA1069" s="1329"/>
      <c r="AB1069" s="1329"/>
      <c r="AC1069" s="1329"/>
      <c r="AD1069" s="1329"/>
      <c r="AE1069" s="1329"/>
      <c r="AF1069" s="1329"/>
      <c r="AG1069" s="1329"/>
      <c r="AH1069" s="1329"/>
      <c r="AI1069" s="1329"/>
      <c r="AJ1069" s="1329"/>
      <c r="AK1069" s="1329"/>
      <c r="AL1069" s="1329"/>
      <c r="AM1069" s="1329"/>
      <c r="AN1069" s="1329"/>
      <c r="AO1069" s="1329"/>
      <c r="AP1069" s="1329"/>
      <c r="AQ1069" s="1329"/>
      <c r="AR1069" s="1396"/>
      <c r="AS1069" s="1329"/>
      <c r="AT1069" s="1329"/>
      <c r="AU1069" s="1329"/>
      <c r="AV1069" s="1329"/>
      <c r="AW1069" s="1329"/>
      <c r="AX1069" s="1329"/>
      <c r="AY1069" s="1396"/>
      <c r="AZ1069" s="1396"/>
      <c r="BA1069" s="1396"/>
      <c r="BB1069" s="1329"/>
      <c r="BC1069" s="1329"/>
      <c r="BD1069" s="1329"/>
      <c r="BE1069" s="1329"/>
    </row>
    <row r="1070" spans="1:64" x14ac:dyDescent="0.2">
      <c r="B1070" s="35"/>
      <c r="C1070" s="1125"/>
      <c r="D1070" s="407"/>
      <c r="E1070" s="407"/>
      <c r="F1070" s="407"/>
      <c r="G1070" s="407"/>
      <c r="H1070" s="407"/>
      <c r="I1070" s="407"/>
      <c r="J1070" s="407"/>
      <c r="K1070" s="407"/>
      <c r="L1070" s="407"/>
      <c r="M1070" s="407"/>
      <c r="N1070" s="407"/>
      <c r="O1070" s="407"/>
      <c r="P1070" s="407"/>
      <c r="Q1070" s="407"/>
      <c r="R1070" s="407"/>
      <c r="S1070" s="407"/>
      <c r="T1070" s="1357"/>
      <c r="U1070" s="1357"/>
      <c r="V1070" s="1357"/>
      <c r="W1070" s="1357"/>
      <c r="X1070" s="1357"/>
      <c r="Y1070" s="1357"/>
      <c r="Z1070" s="1236"/>
      <c r="AA1070" s="1236"/>
      <c r="AB1070" s="1236"/>
      <c r="AC1070" s="1236"/>
      <c r="AD1070" s="1236"/>
      <c r="AE1070" s="1236"/>
      <c r="AF1070" s="1236"/>
      <c r="AG1070" s="1236"/>
      <c r="AH1070" s="1236"/>
      <c r="AI1070" s="1236"/>
      <c r="AJ1070" s="1236"/>
      <c r="AK1070" s="1236"/>
      <c r="AL1070" s="1236"/>
      <c r="AM1070" s="1236"/>
      <c r="AN1070" s="1236"/>
      <c r="AO1070" s="1236"/>
      <c r="AP1070" s="1236"/>
      <c r="AQ1070" s="1236"/>
      <c r="AR1070" s="1236"/>
      <c r="AS1070" s="407"/>
      <c r="AT1070" s="407"/>
      <c r="AU1070" s="407"/>
      <c r="AV1070" s="407"/>
      <c r="AW1070" s="407"/>
      <c r="AX1070" s="407"/>
      <c r="AY1070" s="1236"/>
      <c r="AZ1070" s="1236"/>
      <c r="BA1070" s="1236"/>
      <c r="BB1070" s="1236"/>
      <c r="BC1070" s="1236"/>
      <c r="BD1070" s="1236"/>
      <c r="BE1070" s="1236"/>
    </row>
    <row r="1071" spans="1:64" x14ac:dyDescent="0.2">
      <c r="B1071" s="35"/>
      <c r="C1071" s="1125"/>
      <c r="D1071" s="407"/>
      <c r="E1071" s="407"/>
      <c r="F1071" s="407"/>
      <c r="G1071" s="407"/>
      <c r="H1071" s="407"/>
      <c r="I1071" s="407"/>
      <c r="J1071" s="407"/>
      <c r="K1071" s="407"/>
      <c r="L1071" s="407"/>
      <c r="M1071" s="407"/>
      <c r="N1071" s="407"/>
      <c r="O1071" s="407"/>
      <c r="P1071" s="407"/>
      <c r="Q1071" s="407"/>
      <c r="R1071" s="407"/>
      <c r="S1071" s="407"/>
      <c r="T1071" s="1357"/>
      <c r="U1071" s="1357"/>
      <c r="V1071" s="1357"/>
      <c r="W1071" s="1357"/>
      <c r="X1071" s="1357"/>
      <c r="Y1071" s="1357"/>
      <c r="Z1071" s="407"/>
      <c r="AA1071" s="407"/>
      <c r="AB1071" s="407"/>
      <c r="AC1071" s="407"/>
      <c r="AD1071" s="407"/>
      <c r="AE1071" s="407"/>
      <c r="AF1071" s="407"/>
      <c r="AG1071" s="407"/>
      <c r="AH1071" s="407"/>
      <c r="AI1071" s="407"/>
      <c r="AJ1071" s="407"/>
      <c r="AK1071" s="407"/>
      <c r="AL1071" s="407"/>
      <c r="AM1071" s="407"/>
      <c r="AN1071" s="407"/>
      <c r="AO1071" s="407"/>
      <c r="AP1071" s="407"/>
      <c r="AQ1071" s="407"/>
      <c r="AR1071" s="1236"/>
      <c r="AS1071" s="407"/>
      <c r="AT1071" s="407"/>
      <c r="AU1071" s="407"/>
      <c r="AV1071" s="407"/>
      <c r="AW1071" s="407"/>
      <c r="AX1071" s="407"/>
      <c r="AY1071" s="1236"/>
      <c r="AZ1071" s="1236"/>
      <c r="BA1071" s="1236"/>
      <c r="BB1071" s="407"/>
      <c r="BC1071" s="407"/>
      <c r="BD1071" s="407"/>
      <c r="BE1071" s="407"/>
    </row>
    <row r="1072" spans="1:64" x14ac:dyDescent="0.2">
      <c r="B1072" s="35"/>
      <c r="C1072" s="1125"/>
      <c r="D1072" s="407"/>
      <c r="E1072" s="407"/>
      <c r="F1072" s="407"/>
      <c r="G1072" s="407"/>
      <c r="H1072" s="407"/>
      <c r="I1072" s="407"/>
      <c r="J1072" s="407"/>
      <c r="K1072" s="407"/>
      <c r="L1072" s="407"/>
      <c r="M1072" s="407"/>
      <c r="N1072" s="407"/>
      <c r="O1072" s="407"/>
      <c r="P1072" s="407"/>
      <c r="Q1072" s="407"/>
      <c r="R1072" s="407"/>
      <c r="S1072" s="407"/>
      <c r="T1072" s="1357"/>
      <c r="U1072" s="1357"/>
      <c r="V1072" s="1357"/>
      <c r="W1072" s="1357"/>
      <c r="X1072" s="1357"/>
      <c r="Y1072" s="1357"/>
      <c r="Z1072" s="407"/>
      <c r="AA1072" s="407"/>
      <c r="AB1072" s="407"/>
      <c r="AC1072" s="407"/>
      <c r="AD1072" s="407"/>
      <c r="AE1072" s="407"/>
      <c r="AF1072" s="407"/>
      <c r="AG1072" s="407"/>
      <c r="AH1072" s="407"/>
      <c r="AI1072" s="407"/>
      <c r="AJ1072" s="407"/>
      <c r="AK1072" s="407"/>
      <c r="AL1072" s="407"/>
      <c r="AM1072" s="407"/>
      <c r="AN1072" s="407"/>
      <c r="AO1072" s="407"/>
      <c r="AP1072" s="407"/>
      <c r="AQ1072" s="407"/>
      <c r="AR1072" s="1236"/>
      <c r="AS1072" s="407"/>
      <c r="AT1072" s="407"/>
      <c r="AU1072" s="407"/>
      <c r="AV1072" s="407"/>
      <c r="AW1072" s="407"/>
      <c r="AX1072" s="407"/>
      <c r="AY1072" s="1236"/>
      <c r="AZ1072" s="1236"/>
      <c r="BA1072" s="1236"/>
      <c r="BB1072" s="407"/>
      <c r="BC1072" s="407"/>
      <c r="BD1072" s="407"/>
      <c r="BE1072" s="407"/>
    </row>
    <row r="1073" spans="1:57" x14ac:dyDescent="0.2">
      <c r="B1073" s="35"/>
      <c r="C1073" s="1125"/>
      <c r="D1073" s="407"/>
      <c r="E1073" s="407"/>
      <c r="F1073" s="407"/>
      <c r="G1073" s="407"/>
      <c r="H1073" s="407"/>
      <c r="I1073" s="407"/>
      <c r="J1073" s="407"/>
      <c r="K1073" s="407"/>
      <c r="L1073" s="407"/>
      <c r="M1073" s="407"/>
      <c r="N1073" s="407"/>
      <c r="O1073" s="407"/>
      <c r="P1073" s="407"/>
      <c r="Q1073" s="407"/>
      <c r="R1073" s="407"/>
      <c r="S1073" s="407"/>
      <c r="T1073" s="1545"/>
      <c r="U1073" s="1545"/>
      <c r="V1073" s="1545"/>
      <c r="W1073" s="1545"/>
      <c r="X1073" s="1545"/>
      <c r="Y1073" s="1545"/>
      <c r="Z1073" s="407"/>
      <c r="AA1073" s="407"/>
      <c r="AB1073" s="407"/>
      <c r="AC1073" s="407"/>
      <c r="AD1073" s="407"/>
      <c r="AE1073" s="407"/>
      <c r="AF1073" s="407"/>
      <c r="AG1073" s="407"/>
      <c r="AH1073" s="407"/>
      <c r="AI1073" s="407"/>
      <c r="AJ1073" s="407"/>
      <c r="AK1073" s="407"/>
      <c r="AL1073" s="407"/>
      <c r="AM1073" s="407"/>
      <c r="AN1073" s="407"/>
      <c r="AO1073" s="407"/>
      <c r="AP1073" s="407"/>
      <c r="AQ1073" s="407"/>
      <c r="AR1073" s="1236"/>
      <c r="AS1073" s="407"/>
      <c r="AT1073" s="407"/>
      <c r="AU1073" s="407"/>
      <c r="AV1073" s="407"/>
      <c r="AW1073" s="407"/>
      <c r="AX1073" s="407"/>
      <c r="AY1073" s="1236"/>
      <c r="AZ1073" s="1236"/>
      <c r="BA1073" s="1236"/>
      <c r="BB1073" s="407"/>
      <c r="BC1073" s="407"/>
      <c r="BD1073" s="407"/>
      <c r="BE1073" s="407"/>
    </row>
    <row r="1074" spans="1:57" x14ac:dyDescent="0.2">
      <c r="B1074" s="35"/>
      <c r="C1074" s="35"/>
      <c r="D1074" s="407"/>
      <c r="E1074" s="407"/>
      <c r="F1074" s="407"/>
      <c r="G1074" s="407"/>
      <c r="H1074" s="407"/>
      <c r="I1074" s="407"/>
      <c r="J1074" s="407"/>
      <c r="K1074" s="407"/>
      <c r="L1074" s="407"/>
      <c r="M1074" s="407"/>
      <c r="N1074" s="407"/>
      <c r="O1074" s="407"/>
      <c r="P1074" s="407"/>
      <c r="Q1074" s="407"/>
      <c r="R1074" s="407"/>
      <c r="S1074" s="407"/>
      <c r="T1074" s="1357"/>
      <c r="U1074" s="1357"/>
      <c r="V1074" s="1357"/>
      <c r="W1074" s="1357"/>
      <c r="X1074" s="1357"/>
      <c r="Y1074" s="1357"/>
      <c r="Z1074" s="1357"/>
      <c r="AA1074" s="1357"/>
      <c r="AB1074" s="1357"/>
      <c r="AC1074" s="407"/>
      <c r="AD1074" s="407"/>
      <c r="AE1074" s="407"/>
      <c r="AF1074" s="407"/>
      <c r="AG1074" s="407"/>
      <c r="AH1074" s="407"/>
      <c r="AI1074" s="407"/>
      <c r="AJ1074" s="407"/>
      <c r="AK1074" s="407"/>
      <c r="AL1074" s="407"/>
      <c r="AM1074" s="407"/>
      <c r="AN1074" s="407"/>
      <c r="AO1074" s="407"/>
      <c r="AP1074" s="407"/>
      <c r="AQ1074" s="407"/>
      <c r="AR1074" s="1236"/>
      <c r="AS1074" s="407"/>
      <c r="AT1074" s="407"/>
      <c r="AU1074" s="407"/>
      <c r="AV1074" s="407"/>
      <c r="AW1074" s="407"/>
      <c r="AX1074" s="407"/>
      <c r="AY1074" s="407"/>
      <c r="AZ1074" s="407"/>
      <c r="BA1074" s="407"/>
      <c r="BB1074" s="407"/>
      <c r="BC1074" s="407"/>
      <c r="BD1074" s="407"/>
      <c r="BE1074" s="407"/>
    </row>
    <row r="1075" spans="1:57" s="160" customFormat="1" x14ac:dyDescent="0.2">
      <c r="A1075" s="829"/>
      <c r="B1075" s="65"/>
      <c r="C1075" s="65"/>
      <c r="D1075" s="1329"/>
      <c r="E1075" s="1329"/>
      <c r="F1075" s="1329"/>
      <c r="G1075" s="1329"/>
      <c r="H1075" s="1329"/>
      <c r="I1075" s="1329"/>
      <c r="J1075" s="1329"/>
      <c r="K1075" s="1329"/>
      <c r="L1075" s="1329"/>
      <c r="M1075" s="1329"/>
      <c r="N1075" s="1329"/>
      <c r="O1075" s="1329"/>
      <c r="P1075" s="1329"/>
      <c r="Q1075" s="1329"/>
      <c r="R1075" s="1329"/>
      <c r="S1075" s="1329"/>
      <c r="T1075" s="1546"/>
      <c r="U1075" s="1546"/>
      <c r="V1075" s="1546"/>
      <c r="W1075" s="1546"/>
      <c r="X1075" s="1546"/>
      <c r="Y1075" s="1546"/>
      <c r="Z1075" s="1546"/>
      <c r="AA1075" s="1546"/>
      <c r="AB1075" s="1546"/>
      <c r="AC1075" s="1546"/>
      <c r="AD1075" s="1546"/>
      <c r="AE1075" s="1546"/>
      <c r="AF1075" s="1546"/>
      <c r="AG1075" s="1546"/>
      <c r="AH1075" s="1546"/>
      <c r="AI1075" s="1546"/>
      <c r="AJ1075" s="1546"/>
      <c r="AK1075" s="1546"/>
      <c r="AL1075" s="1546"/>
      <c r="AM1075" s="1546"/>
      <c r="AN1075" s="1546"/>
      <c r="AO1075" s="1546"/>
      <c r="AP1075" s="1546"/>
      <c r="AQ1075" s="1546"/>
      <c r="AR1075" s="1396"/>
      <c r="AS1075" s="1329"/>
      <c r="AT1075" s="1329"/>
      <c r="AU1075" s="1546"/>
      <c r="AV1075" s="1546"/>
      <c r="AW1075" s="1546"/>
      <c r="AX1075" s="1546"/>
      <c r="AY1075" s="1546"/>
      <c r="AZ1075" s="1546"/>
      <c r="BA1075" s="1546"/>
      <c r="BB1075" s="1546"/>
      <c r="BC1075" s="1546"/>
      <c r="BD1075" s="1546"/>
      <c r="BE1075" s="1546"/>
    </row>
    <row r="1076" spans="1:57" x14ac:dyDescent="0.2">
      <c r="B1076" s="35"/>
      <c r="C1076" s="1125"/>
      <c r="D1076" s="407"/>
      <c r="E1076" s="407"/>
      <c r="F1076" s="407"/>
      <c r="G1076" s="407"/>
      <c r="H1076" s="407"/>
      <c r="I1076" s="407"/>
      <c r="J1076" s="407"/>
      <c r="K1076" s="407"/>
      <c r="L1076" s="407"/>
      <c r="M1076" s="407"/>
      <c r="N1076" s="407"/>
      <c r="O1076" s="407"/>
      <c r="P1076" s="407"/>
      <c r="Q1076" s="407"/>
      <c r="R1076" s="407"/>
      <c r="S1076" s="407"/>
      <c r="T1076" s="1545"/>
      <c r="U1076" s="1545"/>
      <c r="V1076" s="1545"/>
      <c r="W1076" s="1545"/>
      <c r="X1076" s="1545"/>
      <c r="Y1076" s="1545"/>
      <c r="Z1076" s="1545"/>
      <c r="AA1076" s="1545"/>
      <c r="AB1076" s="1545"/>
      <c r="AC1076" s="1545"/>
      <c r="AD1076" s="1545"/>
      <c r="AE1076" s="1545"/>
      <c r="AF1076" s="1545"/>
      <c r="AG1076" s="1545"/>
      <c r="AH1076" s="1545"/>
      <c r="AI1076" s="1545"/>
      <c r="AJ1076" s="1545"/>
      <c r="AK1076" s="1545"/>
      <c r="AL1076" s="1545"/>
      <c r="AM1076" s="1545"/>
      <c r="AN1076" s="1545"/>
      <c r="AO1076" s="1545"/>
      <c r="AP1076" s="1545"/>
      <c r="AQ1076" s="1545"/>
      <c r="AR1076" s="1236"/>
      <c r="AS1076" s="407"/>
      <c r="AT1076" s="407"/>
      <c r="AU1076" s="1545"/>
      <c r="AV1076" s="1545"/>
      <c r="AW1076" s="1545"/>
      <c r="AX1076" s="1545"/>
      <c r="AY1076" s="1545"/>
      <c r="AZ1076" s="1545"/>
      <c r="BA1076" s="1545"/>
      <c r="BB1076" s="1545"/>
      <c r="BC1076" s="1545"/>
      <c r="BD1076" s="1545"/>
      <c r="BE1076" s="1545"/>
    </row>
    <row r="1077" spans="1:57" x14ac:dyDescent="0.2">
      <c r="B1077" s="35"/>
      <c r="C1077" s="1125"/>
      <c r="D1077" s="407"/>
      <c r="E1077" s="407"/>
      <c r="F1077" s="407"/>
      <c r="G1077" s="407"/>
      <c r="H1077" s="407"/>
      <c r="I1077" s="407"/>
      <c r="J1077" s="407"/>
      <c r="K1077" s="407"/>
      <c r="L1077" s="407"/>
      <c r="M1077" s="407"/>
      <c r="N1077" s="407"/>
      <c r="O1077" s="407"/>
      <c r="P1077" s="407"/>
      <c r="Q1077" s="407"/>
      <c r="R1077" s="407"/>
      <c r="S1077" s="407"/>
      <c r="T1077" s="1545"/>
      <c r="U1077" s="1545"/>
      <c r="V1077" s="1545"/>
      <c r="W1077" s="1545"/>
      <c r="X1077" s="1545"/>
      <c r="Y1077" s="1545"/>
      <c r="Z1077" s="1381"/>
      <c r="AA1077" s="1381"/>
      <c r="AB1077" s="1381"/>
      <c r="AC1077" s="1381"/>
      <c r="AD1077" s="1381"/>
      <c r="AE1077" s="1381"/>
      <c r="AF1077" s="1381"/>
      <c r="AG1077" s="1381"/>
      <c r="AH1077" s="1381"/>
      <c r="AI1077" s="1381"/>
      <c r="AJ1077" s="1381"/>
      <c r="AK1077" s="1381"/>
      <c r="AL1077" s="1381"/>
      <c r="AM1077" s="1381"/>
      <c r="AN1077" s="1381"/>
      <c r="AO1077" s="1381"/>
      <c r="AP1077" s="1381"/>
      <c r="AQ1077" s="1381"/>
      <c r="AR1077" s="1236"/>
      <c r="AS1077" s="407"/>
      <c r="AT1077" s="407"/>
      <c r="AU1077" s="1545"/>
      <c r="AV1077" s="1545"/>
      <c r="AW1077" s="1545"/>
      <c r="AX1077" s="1545"/>
      <c r="AY1077" s="1545"/>
      <c r="AZ1077" s="1545"/>
      <c r="BA1077" s="1545"/>
      <c r="BB1077" s="1381"/>
      <c r="BC1077" s="1381"/>
      <c r="BD1077" s="1381"/>
      <c r="BE1077" s="1381"/>
    </row>
    <row r="1078" spans="1:57" x14ac:dyDescent="0.2">
      <c r="B1078" s="35"/>
      <c r="C1078" s="1125"/>
      <c r="D1078" s="407"/>
      <c r="E1078" s="407"/>
      <c r="F1078" s="407"/>
      <c r="G1078" s="407"/>
      <c r="H1078" s="407"/>
      <c r="I1078" s="407"/>
      <c r="J1078" s="407"/>
      <c r="K1078" s="407"/>
      <c r="L1078" s="407"/>
      <c r="M1078" s="407"/>
      <c r="N1078" s="407"/>
      <c r="O1078" s="407"/>
      <c r="P1078" s="407"/>
      <c r="Q1078" s="407"/>
      <c r="R1078" s="407"/>
      <c r="S1078" s="407"/>
      <c r="T1078" s="1545"/>
      <c r="U1078" s="1545"/>
      <c r="V1078" s="1545"/>
      <c r="W1078" s="1545"/>
      <c r="X1078" s="1545"/>
      <c r="Y1078" s="1545"/>
      <c r="Z1078" s="1381"/>
      <c r="AA1078" s="1381"/>
      <c r="AB1078" s="1381"/>
      <c r="AC1078" s="1381"/>
      <c r="AD1078" s="1381"/>
      <c r="AE1078" s="1381"/>
      <c r="AF1078" s="1381"/>
      <c r="AG1078" s="1381"/>
      <c r="AH1078" s="1381"/>
      <c r="AI1078" s="1381"/>
      <c r="AJ1078" s="1381"/>
      <c r="AK1078" s="1381"/>
      <c r="AL1078" s="1381"/>
      <c r="AM1078" s="1381"/>
      <c r="AN1078" s="1381"/>
      <c r="AO1078" s="1381"/>
      <c r="AP1078" s="1381"/>
      <c r="AQ1078" s="1381"/>
      <c r="AR1078" s="1236"/>
      <c r="AS1078" s="407"/>
      <c r="AT1078" s="407"/>
      <c r="AU1078" s="1545"/>
      <c r="AV1078" s="1545"/>
      <c r="AW1078" s="1545"/>
      <c r="AX1078" s="1545"/>
      <c r="AY1078" s="1545"/>
      <c r="AZ1078" s="1545"/>
      <c r="BA1078" s="1545"/>
      <c r="BB1078" s="1381"/>
      <c r="BC1078" s="1381"/>
      <c r="BD1078" s="1381"/>
      <c r="BE1078" s="1381"/>
    </row>
    <row r="1079" spans="1:57" x14ac:dyDescent="0.2">
      <c r="B1079" s="35"/>
      <c r="C1079" s="1125"/>
      <c r="D1079" s="407"/>
      <c r="E1079" s="407"/>
      <c r="F1079" s="407"/>
      <c r="G1079" s="407"/>
      <c r="H1079" s="407"/>
      <c r="I1079" s="407"/>
      <c r="J1079" s="407"/>
      <c r="K1079" s="407"/>
      <c r="L1079" s="407"/>
      <c r="M1079" s="407"/>
      <c r="N1079" s="407"/>
      <c r="O1079" s="407"/>
      <c r="P1079" s="407"/>
      <c r="Q1079" s="407"/>
      <c r="R1079" s="407"/>
      <c r="S1079" s="407"/>
      <c r="T1079" s="1545"/>
      <c r="U1079" s="1545"/>
      <c r="V1079" s="1545"/>
      <c r="W1079" s="1545"/>
      <c r="X1079" s="1545"/>
      <c r="Y1079" s="1545"/>
      <c r="Z1079" s="1381"/>
      <c r="AA1079" s="1381"/>
      <c r="AB1079" s="1381"/>
      <c r="AC1079" s="1381"/>
      <c r="AD1079" s="1381"/>
      <c r="AE1079" s="1381"/>
      <c r="AF1079" s="1381"/>
      <c r="AG1079" s="1381"/>
      <c r="AH1079" s="1381"/>
      <c r="AI1079" s="1381"/>
      <c r="AJ1079" s="1381"/>
      <c r="AK1079" s="1381"/>
      <c r="AL1079" s="1381"/>
      <c r="AM1079" s="1381"/>
      <c r="AN1079" s="1381"/>
      <c r="AO1079" s="1381"/>
      <c r="AP1079" s="1381"/>
      <c r="AQ1079" s="1381"/>
      <c r="AR1079" s="1236"/>
      <c r="AS1079" s="407"/>
      <c r="AT1079" s="407"/>
      <c r="AU1079" s="1545"/>
      <c r="AV1079" s="1545"/>
      <c r="AW1079" s="1545"/>
      <c r="AX1079" s="1545"/>
      <c r="AY1079" s="1545"/>
      <c r="AZ1079" s="1545"/>
      <c r="BA1079" s="1545"/>
      <c r="BB1079" s="1381"/>
      <c r="BC1079" s="1381"/>
      <c r="BD1079" s="1381"/>
      <c r="BE1079" s="1381"/>
    </row>
    <row r="1080" spans="1:57" x14ac:dyDescent="0.2">
      <c r="B1080" s="35"/>
      <c r="C1080" s="35"/>
      <c r="D1080" s="407"/>
      <c r="E1080" s="407"/>
      <c r="F1080" s="407"/>
      <c r="G1080" s="407"/>
      <c r="H1080" s="407"/>
      <c r="I1080" s="407"/>
      <c r="J1080" s="407"/>
      <c r="K1080" s="407"/>
      <c r="L1080" s="407"/>
      <c r="M1080" s="407"/>
      <c r="N1080" s="407"/>
      <c r="O1080" s="407"/>
      <c r="P1080" s="407"/>
      <c r="Q1080" s="407"/>
      <c r="R1080" s="407"/>
      <c r="S1080" s="407"/>
      <c r="T1080" s="1357"/>
      <c r="U1080" s="1357"/>
      <c r="V1080" s="1357"/>
      <c r="W1080" s="1357"/>
      <c r="X1080" s="1357"/>
      <c r="Y1080" s="1357"/>
      <c r="Z1080" s="407"/>
      <c r="AA1080" s="407"/>
      <c r="AB1080" s="407"/>
      <c r="AC1080" s="407"/>
      <c r="AD1080" s="407"/>
      <c r="AE1080" s="407"/>
      <c r="AF1080" s="407"/>
      <c r="AG1080" s="407"/>
      <c r="AH1080" s="407"/>
      <c r="AI1080" s="407"/>
      <c r="AJ1080" s="407"/>
      <c r="AK1080" s="407"/>
      <c r="AL1080" s="407"/>
      <c r="AM1080" s="407"/>
      <c r="AN1080" s="407"/>
      <c r="AO1080" s="407"/>
      <c r="AP1080" s="407"/>
      <c r="AQ1080" s="407"/>
      <c r="AR1080" s="1236"/>
      <c r="AS1080" s="407"/>
      <c r="AT1080" s="407"/>
      <c r="AU1080" s="1236"/>
      <c r="AV1080" s="407"/>
      <c r="AW1080" s="407"/>
      <c r="AX1080" s="407"/>
      <c r="AY1080" s="407"/>
      <c r="AZ1080" s="407"/>
      <c r="BA1080" s="407"/>
      <c r="BB1080" s="407"/>
      <c r="BC1080" s="407"/>
      <c r="BD1080" s="407"/>
      <c r="BE1080" s="407"/>
    </row>
    <row r="1081" spans="1:57" x14ac:dyDescent="0.2">
      <c r="B1081" s="65"/>
      <c r="C1081" s="35"/>
      <c r="D1081" s="1329"/>
      <c r="E1081" s="1329"/>
      <c r="F1081" s="1329"/>
      <c r="G1081" s="1329"/>
      <c r="H1081" s="1329"/>
      <c r="I1081" s="1329"/>
      <c r="J1081" s="1329"/>
      <c r="K1081" s="1329"/>
      <c r="L1081" s="1329"/>
      <c r="M1081" s="1329"/>
      <c r="N1081" s="1329"/>
      <c r="O1081" s="1329"/>
      <c r="P1081" s="1329"/>
      <c r="Q1081" s="1329"/>
      <c r="R1081" s="1329"/>
      <c r="S1081" s="1329"/>
      <c r="T1081" s="1329"/>
      <c r="U1081" s="1329"/>
      <c r="V1081" s="1329"/>
      <c r="W1081" s="1329"/>
      <c r="X1081" s="1329"/>
      <c r="Y1081" s="1329"/>
      <c r="Z1081" s="1329"/>
      <c r="AA1081" s="1329"/>
      <c r="AB1081" s="1329"/>
      <c r="AC1081" s="1329"/>
      <c r="AD1081" s="1329"/>
      <c r="AE1081" s="1329"/>
      <c r="AF1081" s="1329"/>
      <c r="AG1081" s="1329"/>
      <c r="AH1081" s="1329"/>
      <c r="AI1081" s="1329"/>
      <c r="AJ1081" s="1329"/>
      <c r="AK1081" s="1329"/>
      <c r="AL1081" s="1329"/>
      <c r="AM1081" s="1329"/>
      <c r="AN1081" s="1329"/>
      <c r="AO1081" s="1329"/>
      <c r="AP1081" s="1329"/>
      <c r="AQ1081" s="1329"/>
      <c r="AR1081" s="1236"/>
      <c r="AS1081" s="1329"/>
      <c r="AT1081" s="407"/>
      <c r="AU1081" s="1329"/>
      <c r="AV1081" s="1329"/>
      <c r="AW1081" s="1329"/>
      <c r="AX1081" s="1329"/>
      <c r="AY1081" s="1329"/>
      <c r="AZ1081" s="1329"/>
      <c r="BA1081" s="1329"/>
      <c r="BB1081" s="1329"/>
      <c r="BC1081" s="1329"/>
      <c r="BD1081" s="1329"/>
      <c r="BE1081" s="1329"/>
    </row>
    <row r="1082" spans="1:57" x14ac:dyDescent="0.2">
      <c r="B1082" s="35"/>
      <c r="C1082" s="35"/>
      <c r="D1082" s="407"/>
      <c r="E1082" s="407"/>
      <c r="F1082" s="407"/>
      <c r="G1082" s="407"/>
      <c r="H1082" s="407"/>
      <c r="I1082" s="407"/>
      <c r="J1082" s="407"/>
      <c r="K1082" s="407"/>
      <c r="L1082" s="407"/>
      <c r="M1082" s="407"/>
      <c r="N1082" s="407"/>
      <c r="O1082" s="407"/>
      <c r="P1082" s="407"/>
      <c r="Q1082" s="407"/>
      <c r="R1082" s="407"/>
      <c r="S1082" s="407"/>
      <c r="T1082" s="1357"/>
      <c r="U1082" s="1357"/>
      <c r="V1082" s="1357"/>
      <c r="W1082" s="1357"/>
      <c r="X1082" s="1357"/>
      <c r="Y1082" s="1357"/>
      <c r="Z1082" s="407"/>
      <c r="AA1082" s="407"/>
      <c r="AB1082" s="407"/>
      <c r="AC1082" s="407"/>
      <c r="AD1082" s="407"/>
      <c r="AE1082" s="407"/>
      <c r="AF1082" s="407"/>
      <c r="AG1082" s="407"/>
      <c r="AH1082" s="407"/>
      <c r="AI1082" s="407"/>
      <c r="AJ1082" s="407"/>
      <c r="AK1082" s="407"/>
      <c r="AL1082" s="407"/>
      <c r="AM1082" s="407"/>
      <c r="AN1082" s="407"/>
      <c r="AO1082" s="407"/>
      <c r="AP1082" s="407"/>
      <c r="AQ1082" s="407"/>
      <c r="AR1082" s="1236"/>
      <c r="AS1082" s="407"/>
      <c r="AT1082" s="407"/>
      <c r="AU1082" s="1236"/>
      <c r="AV1082" s="407"/>
      <c r="AW1082" s="407"/>
      <c r="AX1082" s="407"/>
      <c r="AY1082" s="407"/>
      <c r="AZ1082" s="407"/>
      <c r="BA1082" s="407"/>
      <c r="BB1082" s="407"/>
      <c r="BC1082" s="407"/>
      <c r="BD1082" s="407"/>
      <c r="BE1082" s="407"/>
    </row>
    <row r="1083" spans="1:57" x14ac:dyDescent="0.2">
      <c r="B1083" s="160"/>
      <c r="C1083" s="35"/>
      <c r="D1083" s="407"/>
      <c r="E1083" s="407"/>
      <c r="F1083" s="407"/>
      <c r="G1083" s="407"/>
      <c r="H1083" s="407"/>
      <c r="I1083" s="407"/>
      <c r="J1083" s="407"/>
      <c r="K1083" s="407"/>
      <c r="L1083" s="407"/>
      <c r="M1083" s="407"/>
      <c r="N1083" s="407"/>
      <c r="O1083" s="407"/>
      <c r="P1083" s="407"/>
      <c r="Q1083" s="407"/>
      <c r="R1083" s="407"/>
      <c r="S1083" s="407"/>
      <c r="T1083" s="407"/>
      <c r="U1083" s="407"/>
      <c r="V1083" s="407"/>
      <c r="W1083" s="407"/>
      <c r="X1083" s="407"/>
      <c r="Y1083" s="407"/>
      <c r="Z1083" s="407"/>
      <c r="AA1083" s="407"/>
      <c r="AB1083" s="407"/>
      <c r="AC1083" s="407"/>
      <c r="AD1083" s="407"/>
      <c r="AE1083" s="407"/>
      <c r="AF1083" s="407"/>
      <c r="AG1083" s="407"/>
      <c r="AH1083" s="407"/>
      <c r="AI1083" s="407"/>
      <c r="AJ1083" s="407"/>
      <c r="AK1083" s="407"/>
      <c r="AL1083" s="407"/>
      <c r="AM1083" s="407"/>
      <c r="AN1083" s="407"/>
      <c r="AO1083" s="407"/>
      <c r="AP1083" s="407"/>
      <c r="AQ1083" s="407"/>
      <c r="AR1083" s="1236"/>
      <c r="AS1083" s="1396"/>
      <c r="AT1083" s="407"/>
      <c r="AU1083" s="407"/>
      <c r="AV1083" s="407"/>
      <c r="AW1083" s="407"/>
      <c r="AX1083" s="407"/>
      <c r="AY1083" s="407"/>
      <c r="AZ1083" s="407"/>
      <c r="BA1083" s="407"/>
      <c r="BB1083" s="407"/>
      <c r="BC1083" s="407"/>
      <c r="BD1083" s="407"/>
      <c r="BE1083" s="407"/>
    </row>
    <row r="1084" spans="1:57" x14ac:dyDescent="0.2">
      <c r="B1084" s="160"/>
      <c r="C1084" s="35"/>
      <c r="D1084" s="407"/>
      <c r="E1084" s="407"/>
      <c r="F1084" s="407"/>
      <c r="G1084" s="407"/>
      <c r="H1084" s="407"/>
      <c r="I1084" s="407"/>
      <c r="J1084" s="407"/>
      <c r="K1084" s="407"/>
      <c r="L1084" s="407"/>
      <c r="M1084" s="407"/>
      <c r="N1084" s="407"/>
      <c r="O1084" s="407"/>
      <c r="P1084" s="407"/>
      <c r="Q1084" s="407"/>
      <c r="R1084" s="407"/>
      <c r="S1084" s="407"/>
      <c r="T1084" s="407"/>
      <c r="U1084" s="407"/>
      <c r="V1084" s="407"/>
      <c r="W1084" s="407"/>
      <c r="X1084" s="407"/>
      <c r="Y1084" s="407"/>
      <c r="Z1084" s="407"/>
      <c r="AA1084" s="407"/>
      <c r="AB1084" s="407"/>
      <c r="AC1084" s="407"/>
      <c r="AD1084" s="407"/>
      <c r="AE1084" s="407"/>
      <c r="AF1084" s="407"/>
      <c r="AG1084" s="407"/>
      <c r="AH1084" s="407"/>
      <c r="AI1084" s="407"/>
      <c r="AJ1084" s="407"/>
      <c r="AK1084" s="407"/>
      <c r="AL1084" s="407"/>
      <c r="AM1084" s="407"/>
      <c r="AN1084" s="407"/>
      <c r="AO1084" s="407"/>
      <c r="AP1084" s="407"/>
      <c r="AQ1084" s="407"/>
      <c r="AR1084" s="1236"/>
      <c r="AS1084" s="1396"/>
      <c r="AT1084" s="407"/>
      <c r="AU1084" s="407"/>
      <c r="AV1084" s="407"/>
      <c r="AW1084" s="407"/>
      <c r="AX1084" s="407"/>
      <c r="AY1084" s="407"/>
      <c r="AZ1084" s="407"/>
      <c r="BA1084" s="407"/>
      <c r="BB1084" s="407"/>
      <c r="BC1084" s="407"/>
      <c r="BD1084" s="407"/>
      <c r="BE1084" s="407"/>
    </row>
    <row r="1085" spans="1:57" x14ac:dyDescent="0.2">
      <c r="B1085" s="65"/>
      <c r="C1085" s="35"/>
      <c r="D1085" s="407"/>
      <c r="E1085" s="407"/>
      <c r="F1085" s="407"/>
      <c r="G1085" s="407"/>
      <c r="H1085" s="407"/>
      <c r="I1085" s="407"/>
      <c r="J1085" s="407"/>
      <c r="K1085" s="407"/>
      <c r="L1085" s="407"/>
      <c r="M1085" s="407"/>
      <c r="N1085" s="407"/>
      <c r="O1085" s="407"/>
      <c r="P1085" s="407"/>
      <c r="Q1085" s="407"/>
      <c r="R1085" s="407"/>
      <c r="S1085" s="407"/>
      <c r="T1085" s="407"/>
      <c r="U1085" s="407"/>
      <c r="V1085" s="407"/>
      <c r="W1085" s="407"/>
      <c r="X1085" s="407"/>
      <c r="Y1085" s="407"/>
      <c r="Z1085" s="407"/>
      <c r="AA1085" s="407"/>
      <c r="AB1085" s="407"/>
      <c r="AC1085" s="407"/>
      <c r="AD1085" s="407"/>
      <c r="AE1085" s="407"/>
      <c r="AF1085" s="407"/>
      <c r="AG1085" s="407"/>
      <c r="AH1085" s="407"/>
      <c r="AI1085" s="407"/>
      <c r="AJ1085" s="407"/>
      <c r="AK1085" s="407"/>
      <c r="AL1085" s="407"/>
      <c r="AM1085" s="407"/>
      <c r="AN1085" s="407"/>
      <c r="AO1085" s="407"/>
      <c r="AP1085" s="407"/>
      <c r="AQ1085" s="407"/>
      <c r="AR1085" s="1236"/>
      <c r="AS1085" s="1329"/>
      <c r="AT1085" s="407"/>
      <c r="AU1085" s="407"/>
      <c r="AV1085" s="407"/>
      <c r="AW1085" s="407"/>
      <c r="AX1085" s="407"/>
      <c r="AY1085" s="407"/>
      <c r="AZ1085" s="407"/>
      <c r="BA1085" s="407"/>
      <c r="BB1085" s="407"/>
      <c r="BC1085" s="407"/>
      <c r="BD1085" s="407"/>
      <c r="BE1085" s="407"/>
    </row>
    <row r="1086" spans="1:57" x14ac:dyDescent="0.2">
      <c r="B1086" s="65"/>
      <c r="C1086" s="35"/>
      <c r="D1086" s="407"/>
      <c r="E1086" s="407"/>
      <c r="F1086" s="407"/>
      <c r="G1086" s="407"/>
      <c r="H1086" s="407"/>
      <c r="I1086" s="407"/>
      <c r="J1086" s="407"/>
      <c r="K1086" s="407"/>
      <c r="L1086" s="407"/>
      <c r="M1086" s="407"/>
      <c r="N1086" s="407"/>
      <c r="O1086" s="407"/>
      <c r="P1086" s="407"/>
      <c r="Q1086" s="407"/>
      <c r="R1086" s="407"/>
      <c r="S1086" s="407"/>
      <c r="T1086" s="407"/>
      <c r="U1086" s="407"/>
      <c r="V1086" s="407"/>
      <c r="W1086" s="407"/>
      <c r="X1086" s="407"/>
      <c r="Y1086" s="407"/>
      <c r="Z1086" s="407"/>
      <c r="AA1086" s="407"/>
      <c r="AB1086" s="407"/>
      <c r="AC1086" s="407"/>
      <c r="AD1086" s="407"/>
      <c r="AE1086" s="407"/>
      <c r="AF1086" s="407"/>
      <c r="AG1086" s="407"/>
      <c r="AH1086" s="407"/>
      <c r="AI1086" s="407"/>
      <c r="AJ1086" s="407"/>
      <c r="AK1086" s="407"/>
      <c r="AL1086" s="407"/>
      <c r="AM1086" s="407"/>
      <c r="AN1086" s="407"/>
      <c r="AO1086" s="407"/>
      <c r="AP1086" s="407"/>
      <c r="AQ1086" s="407"/>
      <c r="AR1086" s="1236"/>
      <c r="AS1086" s="407"/>
      <c r="AT1086" s="407"/>
      <c r="AU1086" s="1236"/>
      <c r="AV1086" s="407"/>
      <c r="AW1086" s="407"/>
      <c r="AX1086" s="407"/>
      <c r="AY1086" s="407"/>
      <c r="AZ1086" s="407"/>
      <c r="BA1086" s="407"/>
      <c r="BB1086" s="407"/>
      <c r="BC1086" s="407"/>
      <c r="BD1086" s="407"/>
      <c r="BE1086" s="407"/>
    </row>
    <row r="1087" spans="1:57" x14ac:dyDescent="0.2">
      <c r="B1087" s="35"/>
      <c r="D1087" s="407"/>
      <c r="E1087" s="407"/>
      <c r="F1087" s="407"/>
      <c r="G1087" s="407"/>
      <c r="H1087" s="407"/>
      <c r="I1087" s="407"/>
      <c r="J1087" s="407"/>
      <c r="K1087" s="407"/>
      <c r="L1087" s="407"/>
      <c r="M1087" s="407"/>
      <c r="N1087" s="407"/>
      <c r="O1087" s="407"/>
      <c r="P1087" s="407"/>
      <c r="Q1087" s="407"/>
      <c r="R1087" s="407"/>
      <c r="S1087" s="407"/>
      <c r="T1087" s="407"/>
      <c r="U1087" s="407"/>
      <c r="V1087" s="407"/>
      <c r="W1087" s="407"/>
      <c r="X1087" s="407"/>
      <c r="Y1087" s="407"/>
      <c r="Z1087" s="407"/>
      <c r="AA1087" s="407"/>
      <c r="AB1087" s="407"/>
      <c r="AC1087" s="407"/>
      <c r="AD1087" s="407"/>
      <c r="AE1087" s="407"/>
      <c r="AF1087" s="407"/>
      <c r="AG1087" s="407"/>
      <c r="AH1087" s="407"/>
      <c r="AI1087" s="407"/>
      <c r="AJ1087" s="407"/>
      <c r="AK1087" s="407"/>
      <c r="AL1087" s="407"/>
      <c r="AM1087" s="407"/>
      <c r="AN1087" s="407"/>
      <c r="AO1087" s="407"/>
      <c r="AP1087" s="407"/>
      <c r="AQ1087" s="407"/>
      <c r="AR1087" s="1236"/>
      <c r="AS1087" s="407"/>
      <c r="AT1087" s="407"/>
      <c r="AU1087" s="1236"/>
      <c r="AV1087" s="407"/>
      <c r="AW1087" s="407"/>
      <c r="AX1087" s="407"/>
      <c r="AY1087" s="407"/>
      <c r="AZ1087" s="1242"/>
      <c r="BA1087" s="1242"/>
      <c r="BB1087" s="1242"/>
      <c r="BC1087" s="1242"/>
      <c r="BD1087" s="1242"/>
      <c r="BE1087" s="1242"/>
    </row>
    <row r="1088" spans="1:57" x14ac:dyDescent="0.2">
      <c r="B1088" s="35"/>
      <c r="D1088" s="1242"/>
      <c r="E1088" s="1242"/>
      <c r="F1088" s="1242"/>
      <c r="G1088" s="1242"/>
      <c r="H1088" s="1242"/>
      <c r="I1088" s="1242"/>
      <c r="J1088" s="1242"/>
      <c r="K1088" s="1242"/>
      <c r="L1088" s="1242"/>
      <c r="M1088" s="1242"/>
      <c r="N1088" s="1242"/>
      <c r="O1088" s="1242"/>
      <c r="P1088" s="1242"/>
      <c r="Q1088" s="1242"/>
      <c r="R1088" s="1242"/>
      <c r="S1088" s="1242"/>
      <c r="T1088" s="1242"/>
      <c r="U1088" s="1242"/>
      <c r="V1088" s="1242"/>
      <c r="W1088" s="1242"/>
      <c r="X1088" s="1242"/>
      <c r="Y1088" s="1242"/>
      <c r="Z1088" s="407"/>
      <c r="AA1088" s="407"/>
      <c r="AB1088" s="407"/>
      <c r="AC1088" s="407"/>
      <c r="AD1088" s="407"/>
      <c r="AE1088" s="407"/>
      <c r="AF1088" s="407"/>
      <c r="AG1088" s="407"/>
      <c r="AH1088" s="407"/>
      <c r="AI1088" s="407"/>
      <c r="AJ1088" s="407"/>
      <c r="AK1088" s="407"/>
      <c r="AL1088" s="407"/>
      <c r="AM1088" s="407"/>
      <c r="AN1088" s="407"/>
      <c r="AO1088" s="407"/>
      <c r="AP1088" s="407"/>
      <c r="AQ1088" s="407"/>
      <c r="AR1088" s="1236"/>
      <c r="AS1088" s="407"/>
      <c r="AT1088" s="407"/>
      <c r="AU1088" s="1236"/>
      <c r="AV1088" s="1242"/>
      <c r="AW1088" s="1242"/>
      <c r="AX1088" s="1242"/>
      <c r="AY1088" s="1242"/>
      <c r="AZ1088" s="1242"/>
      <c r="BA1088" s="1242"/>
      <c r="BB1088" s="1242"/>
      <c r="BC1088" s="1242"/>
      <c r="BD1088" s="1242"/>
      <c r="BE1088" s="1242"/>
    </row>
    <row r="1089" spans="1:64" x14ac:dyDescent="0.2">
      <c r="D1089" s="407"/>
      <c r="E1089" s="407"/>
      <c r="F1089" s="407"/>
      <c r="G1089" s="407"/>
      <c r="H1089" s="407"/>
      <c r="I1089" s="407"/>
      <c r="J1089" s="407"/>
      <c r="K1089" s="407"/>
      <c r="L1089" s="407"/>
      <c r="M1089" s="407"/>
      <c r="N1089" s="407"/>
      <c r="O1089" s="407"/>
      <c r="P1089" s="407"/>
      <c r="Q1089" s="407"/>
      <c r="R1089" s="407"/>
      <c r="S1089" s="407"/>
      <c r="T1089" s="407"/>
      <c r="U1089" s="407"/>
      <c r="V1089" s="407"/>
      <c r="W1089" s="407"/>
      <c r="X1089" s="407"/>
      <c r="Y1089" s="407"/>
      <c r="Z1089" s="407"/>
      <c r="AA1089" s="407"/>
      <c r="AB1089" s="407"/>
      <c r="AC1089" s="407"/>
      <c r="AD1089" s="407"/>
      <c r="AE1089" s="407"/>
      <c r="AF1089" s="407"/>
      <c r="AG1089" s="407"/>
      <c r="AH1089" s="407"/>
      <c r="AI1089" s="407"/>
      <c r="AJ1089" s="407"/>
      <c r="AK1089" s="407"/>
      <c r="AL1089" s="407"/>
      <c r="AM1089" s="407"/>
      <c r="AN1089" s="407"/>
      <c r="AO1089" s="407"/>
      <c r="AP1089" s="407"/>
      <c r="AQ1089" s="407"/>
      <c r="AR1089" s="1236"/>
      <c r="AS1089" s="1382"/>
      <c r="AT1089" s="407"/>
      <c r="AU1089" s="1236"/>
      <c r="AV1089" s="1236"/>
      <c r="AW1089" s="1236"/>
      <c r="AX1089" s="1236"/>
      <c r="AY1089" s="1236"/>
      <c r="AZ1089" s="1236"/>
      <c r="BA1089" s="1236"/>
      <c r="BB1089" s="1236"/>
      <c r="BC1089" s="1236"/>
      <c r="BD1089" s="1236"/>
      <c r="BE1089" s="1236"/>
    </row>
    <row r="1090" spans="1:64" x14ac:dyDescent="0.2">
      <c r="B1090" s="13"/>
      <c r="C1090" s="13"/>
      <c r="D1090" s="1369"/>
      <c r="E1090" s="1369"/>
      <c r="F1090" s="1369"/>
      <c r="G1090" s="1369"/>
      <c r="H1090" s="1369"/>
      <c r="I1090" s="1369"/>
      <c r="J1090" s="1369"/>
      <c r="K1090" s="1369"/>
      <c r="L1090" s="1369"/>
      <c r="M1090" s="1369"/>
      <c r="N1090" s="1369"/>
      <c r="O1090" s="1369"/>
      <c r="P1090" s="1369"/>
      <c r="Q1090" s="1369"/>
      <c r="R1090" s="1369"/>
      <c r="S1090" s="1369"/>
      <c r="T1090" s="1369"/>
      <c r="U1090" s="1369"/>
      <c r="V1090" s="1369"/>
      <c r="W1090" s="1369"/>
      <c r="X1090" s="1369"/>
      <c r="Y1090" s="1369"/>
      <c r="Z1090" s="1369"/>
      <c r="AA1090" s="1369"/>
      <c r="AB1090" s="1369"/>
      <c r="AC1090" s="1369"/>
      <c r="AD1090" s="1369"/>
      <c r="AE1090" s="1369"/>
      <c r="AF1090" s="1369"/>
      <c r="AG1090" s="1369"/>
      <c r="AH1090" s="1369"/>
      <c r="AI1090" s="1369"/>
      <c r="AJ1090" s="1369"/>
      <c r="AK1090" s="1369"/>
      <c r="AL1090" s="1369"/>
      <c r="AM1090" s="1369"/>
      <c r="AN1090" s="1369"/>
      <c r="AO1090" s="1369"/>
      <c r="AP1090" s="1369"/>
      <c r="AQ1090" s="1369"/>
      <c r="AR1090" s="1236"/>
      <c r="AS1090" s="1370"/>
      <c r="AT1090" s="1370"/>
      <c r="AU1090" s="1369"/>
      <c r="AV1090" s="1369"/>
      <c r="AW1090" s="1369"/>
      <c r="AX1090" s="1369"/>
      <c r="AY1090" s="1369"/>
      <c r="AZ1090" s="1369"/>
      <c r="BA1090" s="1369"/>
      <c r="BB1090" s="1369"/>
      <c r="BC1090" s="1369"/>
      <c r="BD1090" s="1369"/>
      <c r="BE1090" s="1369"/>
      <c r="BF1090" s="15"/>
      <c r="BG1090" s="15"/>
      <c r="BH1090" s="15"/>
      <c r="BI1090" s="15"/>
      <c r="BJ1090" s="15"/>
      <c r="BK1090" s="15"/>
      <c r="BL1090" s="15"/>
    </row>
    <row r="1091" spans="1:64" x14ac:dyDescent="0.2">
      <c r="B1091" s="35"/>
      <c r="D1091" s="1329"/>
      <c r="E1091" s="1329"/>
      <c r="F1091" s="1329"/>
      <c r="G1091" s="1329"/>
      <c r="H1091" s="1329"/>
      <c r="I1091" s="1329"/>
      <c r="J1091" s="1329"/>
      <c r="K1091" s="1329"/>
      <c r="L1091" s="1329"/>
      <c r="M1091" s="1329"/>
      <c r="N1091" s="1329"/>
      <c r="O1091" s="1329"/>
      <c r="P1091" s="1329"/>
      <c r="Q1091" s="1329"/>
      <c r="R1091" s="1329"/>
      <c r="S1091" s="1329"/>
      <c r="T1091" s="1329"/>
      <c r="U1091" s="1329"/>
      <c r="V1091" s="1329"/>
      <c r="W1091" s="1329"/>
      <c r="X1091" s="407"/>
      <c r="Y1091" s="407"/>
      <c r="Z1091" s="407"/>
      <c r="AA1091" s="407"/>
      <c r="AB1091" s="407"/>
      <c r="AC1091" s="407"/>
      <c r="AD1091" s="407"/>
      <c r="AE1091" s="407"/>
      <c r="AF1091" s="407"/>
      <c r="AG1091" s="407"/>
      <c r="AH1091" s="407"/>
      <c r="AI1091" s="407"/>
      <c r="AJ1091" s="407"/>
      <c r="AK1091" s="407"/>
      <c r="AL1091" s="407"/>
      <c r="AM1091" s="407"/>
      <c r="AN1091" s="407"/>
      <c r="AO1091" s="407"/>
      <c r="AP1091" s="407"/>
      <c r="AQ1091" s="407"/>
      <c r="AR1091" s="1236"/>
      <c r="AS1091" s="407"/>
      <c r="AT1091" s="407"/>
      <c r="AU1091" s="1329"/>
      <c r="AV1091" s="1329"/>
      <c r="AW1091" s="1329"/>
      <c r="AX1091" s="1329"/>
      <c r="AY1091" s="1329"/>
      <c r="AZ1091" s="1329"/>
      <c r="BA1091" s="1329"/>
      <c r="BB1091" s="1329"/>
      <c r="BC1091" s="1329"/>
      <c r="BD1091" s="1329"/>
      <c r="BE1091" s="1329"/>
      <c r="BF1091" s="107"/>
      <c r="BG1091" s="107"/>
      <c r="BH1091" s="107"/>
      <c r="BI1091" s="107"/>
      <c r="BJ1091" s="107"/>
      <c r="BK1091" s="107"/>
      <c r="BL1091" s="107"/>
    </row>
    <row r="1092" spans="1:64" s="342" customFormat="1" hidden="1" outlineLevel="1" x14ac:dyDescent="0.2">
      <c r="A1092" s="830"/>
      <c r="B1092" s="705"/>
      <c r="C1092" s="706"/>
      <c r="D1092" s="1265"/>
      <c r="E1092" s="1265"/>
      <c r="F1092" s="1265"/>
      <c r="G1092" s="1265"/>
      <c r="H1092" s="1265"/>
      <c r="I1092" s="1547"/>
      <c r="J1092" s="1468"/>
      <c r="K1092" s="1547"/>
      <c r="L1092" s="1468"/>
      <c r="M1092" s="1547"/>
      <c r="N1092" s="1547"/>
      <c r="O1092" s="1547"/>
      <c r="P1092" s="1468"/>
      <c r="Q1092" s="1547"/>
      <c r="R1092" s="1547"/>
      <c r="S1092" s="1547"/>
      <c r="T1092" s="1547"/>
      <c r="U1092" s="1547"/>
      <c r="V1092" s="1547"/>
      <c r="W1092" s="1547"/>
      <c r="X1092" s="1547"/>
      <c r="Y1092" s="1547"/>
      <c r="Z1092" s="1547"/>
      <c r="AA1092" s="1547"/>
      <c r="AB1092" s="1547"/>
      <c r="AC1092" s="1547"/>
      <c r="AD1092" s="1547"/>
      <c r="AE1092" s="1547"/>
      <c r="AF1092" s="1547"/>
      <c r="AG1092" s="1547"/>
      <c r="AH1092" s="1547"/>
      <c r="AI1092" s="1265"/>
      <c r="AJ1092" s="1265"/>
      <c r="AK1092" s="1265"/>
      <c r="AL1092" s="1265"/>
      <c r="AM1092" s="1265"/>
      <c r="AN1092" s="1265"/>
      <c r="AO1092" s="1265"/>
      <c r="AP1092" s="1265"/>
      <c r="AQ1092" s="1265"/>
      <c r="AR1092" s="1236"/>
      <c r="AS1092" s="1547"/>
      <c r="AT1092" s="1265"/>
      <c r="AU1092" s="1265"/>
      <c r="AV1092" s="1265"/>
      <c r="AW1092" s="1265"/>
      <c r="AX1092" s="1265"/>
      <c r="AY1092" s="1265"/>
      <c r="AZ1092" s="1547"/>
      <c r="BA1092" s="1468"/>
      <c r="BB1092" s="1547"/>
      <c r="BC1092" s="1468"/>
      <c r="BD1092" s="1468"/>
      <c r="BE1092" s="1547"/>
      <c r="BF1092" s="720"/>
      <c r="BG1092" s="720"/>
      <c r="BH1092" s="723"/>
      <c r="BI1092" s="712"/>
      <c r="BJ1092" s="712"/>
      <c r="BK1092" s="712"/>
      <c r="BL1092" s="712"/>
    </row>
    <row r="1093" spans="1:64" s="369" customFormat="1" hidden="1" outlineLevel="1" x14ac:dyDescent="0.2">
      <c r="A1093" s="830"/>
      <c r="B1093" s="334"/>
      <c r="C1093" s="334"/>
      <c r="D1093" s="1303"/>
      <c r="E1093" s="1303"/>
      <c r="F1093" s="1303"/>
      <c r="G1093" s="1303"/>
      <c r="H1093" s="1303"/>
      <c r="I1093" s="1303"/>
      <c r="J1093" s="1303"/>
      <c r="K1093" s="1303"/>
      <c r="L1093" s="1303"/>
      <c r="M1093" s="1303"/>
      <c r="N1093" s="1303"/>
      <c r="O1093" s="1303"/>
      <c r="P1093" s="1303"/>
      <c r="Q1093" s="1303"/>
      <c r="R1093" s="1303"/>
      <c r="S1093" s="1303"/>
      <c r="T1093" s="1303"/>
      <c r="U1093" s="1303"/>
      <c r="V1093" s="1303"/>
      <c r="W1093" s="1303"/>
      <c r="X1093" s="1303"/>
      <c r="Y1093" s="1303"/>
      <c r="Z1093" s="1340"/>
      <c r="AA1093" s="1263"/>
      <c r="AB1093" s="1494"/>
      <c r="AC1093" s="1263"/>
      <c r="AD1093" s="1340"/>
      <c r="AE1093" s="1340"/>
      <c r="AF1093" s="1340"/>
      <c r="AG1093" s="1340"/>
      <c r="AH1093" s="1340"/>
      <c r="AI1093" s="1410"/>
      <c r="AJ1093" s="1410"/>
      <c r="AK1093" s="1410"/>
      <c r="AL1093" s="1410"/>
      <c r="AM1093" s="1410"/>
      <c r="AN1093" s="1410"/>
      <c r="AO1093" s="1410"/>
      <c r="AP1093" s="1410"/>
      <c r="AQ1093" s="1410"/>
      <c r="AR1093" s="1236"/>
      <c r="AS1093" s="1410"/>
      <c r="AT1093" s="1410"/>
      <c r="AU1093" s="1263"/>
      <c r="AV1093" s="1263"/>
      <c r="AW1093" s="1263"/>
      <c r="AX1093" s="1263"/>
      <c r="AY1093" s="1263"/>
      <c r="AZ1093" s="1263"/>
      <c r="BA1093" s="1263"/>
      <c r="BB1093" s="1263"/>
      <c r="BC1093" s="1263"/>
      <c r="BD1093" s="1263"/>
      <c r="BE1093" s="1263"/>
    </row>
    <row r="1094" spans="1:64" s="369" customFormat="1" hidden="1" outlineLevel="1" x14ac:dyDescent="0.2">
      <c r="A1094" s="830"/>
      <c r="B1094" s="334"/>
      <c r="C1094" s="334"/>
      <c r="D1094" s="1314"/>
      <c r="E1094" s="1314"/>
      <c r="F1094" s="1314"/>
      <c r="G1094" s="1314"/>
      <c r="H1094" s="1314"/>
      <c r="I1094" s="1314"/>
      <c r="J1094" s="1314"/>
      <c r="K1094" s="1314"/>
      <c r="L1094" s="1314"/>
      <c r="M1094" s="1314"/>
      <c r="N1094" s="1314"/>
      <c r="O1094" s="1314"/>
      <c r="P1094" s="1314"/>
      <c r="Q1094" s="1314"/>
      <c r="R1094" s="1314"/>
      <c r="S1094" s="1314"/>
      <c r="T1094" s="1314"/>
      <c r="U1094" s="1314"/>
      <c r="V1094" s="1314"/>
      <c r="W1094" s="1314"/>
      <c r="X1094" s="1314"/>
      <c r="Y1094" s="1314"/>
      <c r="Z1094" s="1340"/>
      <c r="AA1094" s="1263"/>
      <c r="AB1094" s="1494"/>
      <c r="AC1094" s="1263"/>
      <c r="AD1094" s="1340"/>
      <c r="AE1094" s="1340"/>
      <c r="AF1094" s="1340"/>
      <c r="AG1094" s="1340"/>
      <c r="AH1094" s="1340"/>
      <c r="AI1094" s="1410"/>
      <c r="AJ1094" s="1410"/>
      <c r="AK1094" s="1410"/>
      <c r="AL1094" s="1410"/>
      <c r="AM1094" s="1410"/>
      <c r="AN1094" s="1410"/>
      <c r="AO1094" s="1410"/>
      <c r="AP1094" s="1410"/>
      <c r="AQ1094" s="1410"/>
      <c r="AR1094" s="1236"/>
      <c r="AS1094" s="1410"/>
      <c r="AT1094" s="1410"/>
      <c r="AU1094" s="1270"/>
      <c r="AV1094" s="1270"/>
      <c r="AW1094" s="1270"/>
      <c r="AX1094" s="1270"/>
      <c r="AY1094" s="1270"/>
      <c r="AZ1094" s="1263"/>
      <c r="BA1094" s="1263"/>
      <c r="BB1094" s="1263"/>
      <c r="BC1094" s="1263"/>
      <c r="BD1094" s="1263"/>
      <c r="BE1094" s="1263"/>
    </row>
    <row r="1095" spans="1:64" s="369" customFormat="1" hidden="1" outlineLevel="1" x14ac:dyDescent="0.2">
      <c r="A1095" s="830"/>
      <c r="B1095" s="334"/>
      <c r="C1095" s="334"/>
      <c r="D1095" s="1304"/>
      <c r="E1095" s="1304"/>
      <c r="F1095" s="1304"/>
      <c r="G1095" s="1304"/>
      <c r="H1095" s="1304"/>
      <c r="I1095" s="1304"/>
      <c r="J1095" s="1304"/>
      <c r="K1095" s="1304"/>
      <c r="L1095" s="1304"/>
      <c r="M1095" s="1304"/>
      <c r="N1095" s="1304"/>
      <c r="O1095" s="1304"/>
      <c r="P1095" s="1304"/>
      <c r="Q1095" s="1304"/>
      <c r="R1095" s="1304"/>
      <c r="S1095" s="1304"/>
      <c r="T1095" s="1304"/>
      <c r="U1095" s="1304"/>
      <c r="V1095" s="1304"/>
      <c r="W1095" s="1304"/>
      <c r="X1095" s="1304"/>
      <c r="Y1095" s="1304"/>
      <c r="Z1095" s="1340"/>
      <c r="AA1095" s="1263"/>
      <c r="AB1095" s="1494"/>
      <c r="AC1095" s="1263"/>
      <c r="AD1095" s="1340"/>
      <c r="AE1095" s="1340"/>
      <c r="AF1095" s="1340"/>
      <c r="AG1095" s="1340"/>
      <c r="AH1095" s="1340"/>
      <c r="AI1095" s="1410"/>
      <c r="AJ1095" s="1410"/>
      <c r="AK1095" s="1410"/>
      <c r="AL1095" s="1410"/>
      <c r="AM1095" s="1410"/>
      <c r="AN1095" s="1410"/>
      <c r="AO1095" s="1410"/>
      <c r="AP1095" s="1410"/>
      <c r="AQ1095" s="1410"/>
      <c r="AR1095" s="1236"/>
      <c r="AS1095" s="1410"/>
      <c r="AT1095" s="1410"/>
      <c r="AU1095" s="1304"/>
      <c r="AV1095" s="1304"/>
      <c r="AW1095" s="1304"/>
      <c r="AX1095" s="1304"/>
      <c r="AY1095" s="1304"/>
      <c r="AZ1095" s="1263"/>
      <c r="BA1095" s="1263"/>
      <c r="BB1095" s="1263"/>
      <c r="BC1095" s="1263"/>
      <c r="BD1095" s="1263"/>
      <c r="BE1095" s="1263"/>
    </row>
    <row r="1096" spans="1:64" s="369" customFormat="1" hidden="1" outlineLevel="1" x14ac:dyDescent="0.2">
      <c r="A1096" s="830"/>
      <c r="B1096" s="334"/>
      <c r="C1096" s="334"/>
      <c r="D1096" s="1314"/>
      <c r="E1096" s="1314"/>
      <c r="F1096" s="1314"/>
      <c r="G1096" s="1314"/>
      <c r="H1096" s="1314"/>
      <c r="I1096" s="1314"/>
      <c r="J1096" s="1314"/>
      <c r="K1096" s="1314"/>
      <c r="L1096" s="1314"/>
      <c r="M1096" s="1314"/>
      <c r="N1096" s="1314"/>
      <c r="O1096" s="1314"/>
      <c r="P1096" s="1314"/>
      <c r="Q1096" s="1314"/>
      <c r="R1096" s="1314"/>
      <c r="S1096" s="1314"/>
      <c r="T1096" s="1314"/>
      <c r="U1096" s="1314"/>
      <c r="V1096" s="1314"/>
      <c r="W1096" s="1314"/>
      <c r="X1096" s="1314"/>
      <c r="Y1096" s="1314"/>
      <c r="Z1096" s="1340"/>
      <c r="AA1096" s="1263"/>
      <c r="AB1096" s="1494"/>
      <c r="AC1096" s="1263"/>
      <c r="AD1096" s="1340"/>
      <c r="AE1096" s="1340"/>
      <c r="AF1096" s="1340"/>
      <c r="AG1096" s="1340"/>
      <c r="AH1096" s="1340"/>
      <c r="AI1096" s="1410"/>
      <c r="AJ1096" s="1410"/>
      <c r="AK1096" s="1410"/>
      <c r="AL1096" s="1410"/>
      <c r="AM1096" s="1410"/>
      <c r="AN1096" s="1410"/>
      <c r="AO1096" s="1410"/>
      <c r="AP1096" s="1410"/>
      <c r="AQ1096" s="1410"/>
      <c r="AR1096" s="1236"/>
      <c r="AS1096" s="1410"/>
      <c r="AT1096" s="1410"/>
      <c r="AU1096" s="1270"/>
      <c r="AV1096" s="1270"/>
      <c r="AW1096" s="1270"/>
      <c r="AX1096" s="1270"/>
      <c r="AY1096" s="1270"/>
      <c r="AZ1096" s="1263"/>
      <c r="BA1096" s="1263"/>
      <c r="BB1096" s="1263"/>
      <c r="BC1096" s="1263"/>
      <c r="BD1096" s="1263"/>
      <c r="BE1096" s="1263"/>
    </row>
    <row r="1097" spans="1:64" s="369" customFormat="1" hidden="1" outlineLevel="1" x14ac:dyDescent="0.2">
      <c r="A1097" s="830"/>
      <c r="B1097" s="321"/>
      <c r="C1097" s="334"/>
      <c r="D1097" s="1311"/>
      <c r="E1097" s="1311"/>
      <c r="F1097" s="1311"/>
      <c r="G1097" s="1311"/>
      <c r="H1097" s="1311"/>
      <c r="I1097" s="1311"/>
      <c r="J1097" s="1311"/>
      <c r="K1097" s="1311"/>
      <c r="L1097" s="1311"/>
      <c r="M1097" s="1311"/>
      <c r="N1097" s="1311"/>
      <c r="O1097" s="1311"/>
      <c r="P1097" s="1311"/>
      <c r="Q1097" s="1311"/>
      <c r="R1097" s="1311"/>
      <c r="S1097" s="1311"/>
      <c r="T1097" s="1311"/>
      <c r="U1097" s="1311"/>
      <c r="V1097" s="1311"/>
      <c r="W1097" s="1311"/>
      <c r="X1097" s="1311"/>
      <c r="Y1097" s="1311"/>
      <c r="Z1097" s="1410"/>
      <c r="AA1097" s="1263"/>
      <c r="AB1097" s="1494"/>
      <c r="AC1097" s="1263"/>
      <c r="AD1097" s="1410"/>
      <c r="AE1097" s="1410"/>
      <c r="AF1097" s="1410"/>
      <c r="AG1097" s="1410"/>
      <c r="AH1097" s="1410"/>
      <c r="AI1097" s="1410"/>
      <c r="AJ1097" s="1410"/>
      <c r="AK1097" s="1410"/>
      <c r="AL1097" s="1410"/>
      <c r="AM1097" s="1410"/>
      <c r="AN1097" s="1410"/>
      <c r="AO1097" s="1410"/>
      <c r="AP1097" s="1410"/>
      <c r="AQ1097" s="1410"/>
      <c r="AR1097" s="1236"/>
      <c r="AS1097" s="1284"/>
      <c r="AT1097" s="1410"/>
      <c r="AU1097" s="1304"/>
      <c r="AV1097" s="1304"/>
      <c r="AW1097" s="1304"/>
      <c r="AX1097" s="1304"/>
      <c r="AY1097" s="1304"/>
      <c r="AZ1097" s="1263"/>
      <c r="BA1097" s="1263"/>
      <c r="BB1097" s="1263"/>
      <c r="BC1097" s="1263"/>
      <c r="BD1097" s="1263"/>
      <c r="BE1097" s="1263"/>
    </row>
    <row r="1098" spans="1:64" s="369" customFormat="1" hidden="1" outlineLevel="1" x14ac:dyDescent="0.2">
      <c r="A1098" s="830"/>
      <c r="B1098" s="450"/>
      <c r="C1098" s="450"/>
      <c r="D1098" s="1304"/>
      <c r="E1098" s="1304"/>
      <c r="F1098" s="1304"/>
      <c r="G1098" s="1304"/>
      <c r="H1098" s="1304"/>
      <c r="I1098" s="1304"/>
      <c r="J1098" s="1304"/>
      <c r="K1098" s="1304"/>
      <c r="L1098" s="1304"/>
      <c r="M1098" s="1304"/>
      <c r="N1098" s="1304"/>
      <c r="O1098" s="1304"/>
      <c r="P1098" s="1304"/>
      <c r="Q1098" s="1304"/>
      <c r="R1098" s="1304"/>
      <c r="S1098" s="1304"/>
      <c r="T1098" s="1304"/>
      <c r="U1098" s="1304"/>
      <c r="V1098" s="1304"/>
      <c r="W1098" s="1304"/>
      <c r="X1098" s="1304"/>
      <c r="Y1098" s="1304"/>
      <c r="Z1098" s="1340"/>
      <c r="AA1098" s="1263"/>
      <c r="AB1098" s="1494"/>
      <c r="AC1098" s="1263"/>
      <c r="AD1098" s="1340"/>
      <c r="AE1098" s="1340"/>
      <c r="AF1098" s="1340"/>
      <c r="AG1098" s="1340"/>
      <c r="AH1098" s="1340"/>
      <c r="AI1098" s="1410"/>
      <c r="AJ1098" s="1410"/>
      <c r="AK1098" s="1410"/>
      <c r="AL1098" s="1410"/>
      <c r="AM1098" s="1410"/>
      <c r="AN1098" s="1410"/>
      <c r="AO1098" s="1410"/>
      <c r="AP1098" s="1410"/>
      <c r="AQ1098" s="1410"/>
      <c r="AR1098" s="1236"/>
      <c r="AS1098" s="1413"/>
      <c r="AT1098" s="1413"/>
      <c r="AU1098" s="1340"/>
      <c r="AV1098" s="1263"/>
      <c r="AW1098" s="1263"/>
      <c r="AX1098" s="1263"/>
      <c r="AY1098" s="1263"/>
      <c r="AZ1098" s="1263"/>
      <c r="BA1098" s="1263"/>
      <c r="BB1098" s="1263"/>
      <c r="BC1098" s="1263"/>
      <c r="BD1098" s="1263"/>
      <c r="BE1098" s="1263"/>
    </row>
    <row r="1099" spans="1:64" s="369" customFormat="1" hidden="1" outlineLevel="1" x14ac:dyDescent="0.2">
      <c r="A1099" s="830"/>
      <c r="B1099" s="712"/>
      <c r="D1099" s="1284"/>
      <c r="E1099" s="1284"/>
      <c r="F1099" s="1284"/>
      <c r="G1099" s="1284"/>
      <c r="H1099" s="1284"/>
      <c r="I1099" s="1284"/>
      <c r="J1099" s="1284"/>
      <c r="K1099" s="1284"/>
      <c r="L1099" s="1284"/>
      <c r="M1099" s="1284"/>
      <c r="N1099" s="1284"/>
      <c r="O1099" s="1284"/>
      <c r="P1099" s="1284"/>
      <c r="Q1099" s="1284"/>
      <c r="R1099" s="1284"/>
      <c r="S1099" s="1284"/>
      <c r="T1099" s="1284"/>
      <c r="U1099" s="1284"/>
      <c r="V1099" s="1284"/>
      <c r="W1099" s="1284"/>
      <c r="X1099" s="1284"/>
      <c r="Y1099" s="1284"/>
      <c r="Z1099" s="1340"/>
      <c r="AA1099" s="1263"/>
      <c r="AB1099" s="1494"/>
      <c r="AC1099" s="1263"/>
      <c r="AD1099" s="1340"/>
      <c r="AE1099" s="1340"/>
      <c r="AF1099" s="1340"/>
      <c r="AG1099" s="1340"/>
      <c r="AH1099" s="1340"/>
      <c r="AI1099" s="1410"/>
      <c r="AJ1099" s="1410"/>
      <c r="AK1099" s="1410"/>
      <c r="AL1099" s="1410"/>
      <c r="AM1099" s="1410"/>
      <c r="AN1099" s="1410"/>
      <c r="AO1099" s="1410"/>
      <c r="AP1099" s="1410"/>
      <c r="AQ1099" s="1410"/>
      <c r="AR1099" s="1236"/>
      <c r="AS1099" s="1409"/>
      <c r="AT1099" s="1263"/>
      <c r="AU1099" s="1340"/>
      <c r="AV1099" s="1263"/>
      <c r="AW1099" s="1263"/>
      <c r="AX1099" s="1263"/>
      <c r="AY1099" s="1263"/>
      <c r="AZ1099" s="1263"/>
      <c r="BA1099" s="1263"/>
      <c r="BB1099" s="1263"/>
      <c r="BC1099" s="1263"/>
      <c r="BD1099" s="1263"/>
      <c r="BE1099" s="1263"/>
    </row>
    <row r="1100" spans="1:64" s="369" customFormat="1" hidden="1" outlineLevel="1" x14ac:dyDescent="0.2">
      <c r="A1100" s="830"/>
      <c r="B1100" s="334"/>
      <c r="C1100" s="334"/>
      <c r="D1100" s="1249"/>
      <c r="E1100" s="1249"/>
      <c r="F1100" s="1249"/>
      <c r="G1100" s="1249"/>
      <c r="H1100" s="1249"/>
      <c r="I1100" s="1249"/>
      <c r="J1100" s="1249"/>
      <c r="K1100" s="1249"/>
      <c r="L1100" s="1249"/>
      <c r="M1100" s="1249"/>
      <c r="N1100" s="1249"/>
      <c r="O1100" s="1249"/>
      <c r="P1100" s="1249"/>
      <c r="Q1100" s="1249"/>
      <c r="R1100" s="1249"/>
      <c r="S1100" s="1249"/>
      <c r="T1100" s="1249"/>
      <c r="U1100" s="1249"/>
      <c r="V1100" s="1249"/>
      <c r="W1100" s="1249"/>
      <c r="X1100" s="1249"/>
      <c r="Y1100" s="1249"/>
      <c r="Z1100" s="1340"/>
      <c r="AA1100" s="1263"/>
      <c r="AB1100" s="1494"/>
      <c r="AC1100" s="1263"/>
      <c r="AD1100" s="1340"/>
      <c r="AE1100" s="1340"/>
      <c r="AF1100" s="1340"/>
      <c r="AG1100" s="1340"/>
      <c r="AH1100" s="1340"/>
      <c r="AI1100" s="1410"/>
      <c r="AJ1100" s="1410"/>
      <c r="AK1100" s="1410"/>
      <c r="AL1100" s="1410"/>
      <c r="AM1100" s="1410"/>
      <c r="AN1100" s="1410"/>
      <c r="AO1100" s="1410"/>
      <c r="AP1100" s="1410"/>
      <c r="AQ1100" s="1410"/>
      <c r="AR1100" s="1236"/>
      <c r="AS1100" s="1410"/>
      <c r="AT1100" s="1410"/>
      <c r="AU1100" s="1249"/>
      <c r="AV1100" s="1249"/>
      <c r="AW1100" s="1249"/>
      <c r="AX1100" s="1249"/>
      <c r="AY1100" s="1249"/>
      <c r="AZ1100" s="1263"/>
      <c r="BA1100" s="1263"/>
      <c r="BB1100" s="1263"/>
      <c r="BC1100" s="1263"/>
      <c r="BD1100" s="1263"/>
      <c r="BE1100" s="1263"/>
    </row>
    <row r="1101" spans="1:64" s="369" customFormat="1" hidden="1" outlineLevel="1" x14ac:dyDescent="0.2">
      <c r="A1101" s="830"/>
      <c r="B1101" s="334"/>
      <c r="C1101" s="334"/>
      <c r="D1101" s="1470"/>
      <c r="E1101" s="1470"/>
      <c r="F1101" s="1470"/>
      <c r="G1101" s="1470"/>
      <c r="H1101" s="1470"/>
      <c r="I1101" s="1470"/>
      <c r="J1101" s="1470"/>
      <c r="K1101" s="1470"/>
      <c r="L1101" s="1470"/>
      <c r="M1101" s="1470"/>
      <c r="N1101" s="1470"/>
      <c r="O1101" s="1470"/>
      <c r="P1101" s="1470"/>
      <c r="Q1101" s="1470"/>
      <c r="R1101" s="1470"/>
      <c r="S1101" s="1470"/>
      <c r="T1101" s="1470"/>
      <c r="U1101" s="1470"/>
      <c r="V1101" s="1470"/>
      <c r="W1101" s="1470"/>
      <c r="X1101" s="1470"/>
      <c r="Y1101" s="1470"/>
      <c r="Z1101" s="1340"/>
      <c r="AA1101" s="1263"/>
      <c r="AB1101" s="1494"/>
      <c r="AC1101" s="1263"/>
      <c r="AD1101" s="1340"/>
      <c r="AE1101" s="1340"/>
      <c r="AF1101" s="1340"/>
      <c r="AG1101" s="1340"/>
      <c r="AH1101" s="1340"/>
      <c r="AI1101" s="1410"/>
      <c r="AJ1101" s="1410"/>
      <c r="AK1101" s="1410"/>
      <c r="AL1101" s="1410"/>
      <c r="AM1101" s="1410"/>
      <c r="AN1101" s="1410"/>
      <c r="AO1101" s="1410"/>
      <c r="AP1101" s="1410"/>
      <c r="AQ1101" s="1410"/>
      <c r="AR1101" s="1236"/>
      <c r="AS1101" s="1410"/>
      <c r="AT1101" s="1410"/>
      <c r="AU1101" s="1470"/>
      <c r="AV1101" s="1470"/>
      <c r="AW1101" s="1470"/>
      <c r="AX1101" s="1470"/>
      <c r="AY1101" s="1470"/>
      <c r="AZ1101" s="1263"/>
      <c r="BA1101" s="1263"/>
      <c r="BB1101" s="1263"/>
      <c r="BC1101" s="1263"/>
      <c r="BD1101" s="1263"/>
      <c r="BE1101" s="1263"/>
    </row>
    <row r="1102" spans="1:64" s="369" customFormat="1" hidden="1" outlineLevel="1" x14ac:dyDescent="0.2">
      <c r="A1102" s="830"/>
      <c r="B1102" s="334"/>
      <c r="C1102" s="334"/>
      <c r="D1102" s="1274"/>
      <c r="E1102" s="1274"/>
      <c r="F1102" s="1274"/>
      <c r="G1102" s="1274"/>
      <c r="H1102" s="1274"/>
      <c r="I1102" s="1274"/>
      <c r="J1102" s="1274"/>
      <c r="K1102" s="1274"/>
      <c r="L1102" s="1274"/>
      <c r="M1102" s="1274"/>
      <c r="N1102" s="1274"/>
      <c r="O1102" s="1274"/>
      <c r="P1102" s="1274"/>
      <c r="Q1102" s="1274"/>
      <c r="R1102" s="1274"/>
      <c r="S1102" s="1274"/>
      <c r="T1102" s="1274"/>
      <c r="U1102" s="1274"/>
      <c r="V1102" s="1274"/>
      <c r="W1102" s="1274"/>
      <c r="X1102" s="1274"/>
      <c r="Y1102" s="1274"/>
      <c r="Z1102" s="1340"/>
      <c r="AA1102" s="1263"/>
      <c r="AB1102" s="1494"/>
      <c r="AC1102" s="1263"/>
      <c r="AD1102" s="1340"/>
      <c r="AE1102" s="1340"/>
      <c r="AF1102" s="1340"/>
      <c r="AG1102" s="1340"/>
      <c r="AH1102" s="1340"/>
      <c r="AI1102" s="1410"/>
      <c r="AJ1102" s="1410"/>
      <c r="AK1102" s="1410"/>
      <c r="AL1102" s="1410"/>
      <c r="AM1102" s="1410"/>
      <c r="AN1102" s="1410"/>
      <c r="AO1102" s="1410"/>
      <c r="AP1102" s="1410"/>
      <c r="AQ1102" s="1410"/>
      <c r="AR1102" s="1236"/>
      <c r="AS1102" s="1410"/>
      <c r="AT1102" s="1410"/>
      <c r="AU1102" s="1274"/>
      <c r="AV1102" s="1274"/>
      <c r="AW1102" s="1274"/>
      <c r="AX1102" s="1274"/>
      <c r="AY1102" s="1274"/>
      <c r="AZ1102" s="1263"/>
      <c r="BA1102" s="1263"/>
      <c r="BB1102" s="1263"/>
      <c r="BC1102" s="1263"/>
      <c r="BD1102" s="1263"/>
      <c r="BE1102" s="1263"/>
    </row>
    <row r="1103" spans="1:64" s="369" customFormat="1" hidden="1" outlineLevel="1" x14ac:dyDescent="0.2">
      <c r="A1103" s="830"/>
      <c r="B1103" s="334"/>
      <c r="C1103" s="334"/>
      <c r="D1103" s="1548"/>
      <c r="E1103" s="1548"/>
      <c r="F1103" s="1548"/>
      <c r="G1103" s="1548"/>
      <c r="H1103" s="1548"/>
      <c r="I1103" s="1548"/>
      <c r="J1103" s="1548"/>
      <c r="K1103" s="1548"/>
      <c r="L1103" s="1548"/>
      <c r="M1103" s="1548"/>
      <c r="N1103" s="1548"/>
      <c r="O1103" s="1548"/>
      <c r="P1103" s="1548"/>
      <c r="Q1103" s="1548"/>
      <c r="R1103" s="1548"/>
      <c r="S1103" s="1548"/>
      <c r="T1103" s="1549"/>
      <c r="U1103" s="1549"/>
      <c r="V1103" s="1549"/>
      <c r="W1103" s="1549"/>
      <c r="X1103" s="1549"/>
      <c r="Y1103" s="1549"/>
      <c r="Z1103" s="1284"/>
      <c r="AA1103" s="1263"/>
      <c r="AB1103" s="1494"/>
      <c r="AC1103" s="1263"/>
      <c r="AD1103" s="1340"/>
      <c r="AE1103" s="1340"/>
      <c r="AF1103" s="1340"/>
      <c r="AG1103" s="1340"/>
      <c r="AH1103" s="1340"/>
      <c r="AI1103" s="1410"/>
      <c r="AJ1103" s="1410"/>
      <c r="AK1103" s="1410"/>
      <c r="AL1103" s="1410"/>
      <c r="AM1103" s="1410"/>
      <c r="AN1103" s="1410"/>
      <c r="AO1103" s="1410"/>
      <c r="AP1103" s="1410"/>
      <c r="AQ1103" s="1410"/>
      <c r="AR1103" s="1236"/>
      <c r="AS1103" s="1410"/>
      <c r="AT1103" s="1410"/>
      <c r="AU1103" s="1550"/>
      <c r="AV1103" s="1550"/>
      <c r="AW1103" s="1550"/>
      <c r="AX1103" s="1550"/>
      <c r="AY1103" s="1550"/>
      <c r="AZ1103" s="1263"/>
      <c r="BA1103" s="1263"/>
      <c r="BB1103" s="1263"/>
      <c r="BC1103" s="1263"/>
      <c r="BD1103" s="1263"/>
      <c r="BE1103" s="1263"/>
    </row>
    <row r="1104" spans="1:64" hidden="1" outlineLevel="1" x14ac:dyDescent="0.2">
      <c r="B1104" s="1217"/>
      <c r="C1104" s="334"/>
      <c r="D1104" s="1427"/>
      <c r="E1104" s="1427"/>
      <c r="F1104" s="1427"/>
      <c r="G1104" s="1427"/>
      <c r="H1104" s="1427"/>
      <c r="I1104" s="1427"/>
      <c r="J1104" s="1427"/>
      <c r="K1104" s="1427"/>
      <c r="L1104" s="1427"/>
      <c r="M1104" s="1427"/>
      <c r="N1104" s="1427"/>
      <c r="O1104" s="1427"/>
      <c r="P1104" s="1427"/>
      <c r="Q1104" s="1427"/>
      <c r="R1104" s="1427"/>
      <c r="S1104" s="1427"/>
      <c r="T1104" s="1427"/>
      <c r="U1104" s="1427"/>
      <c r="V1104" s="1427"/>
      <c r="W1104" s="1427"/>
      <c r="X1104" s="1427"/>
      <c r="Y1104" s="1427"/>
      <c r="Z1104" s="407"/>
      <c r="AA1104" s="407"/>
      <c r="AB1104" s="407"/>
      <c r="AC1104" s="407"/>
      <c r="AD1104" s="407"/>
      <c r="AE1104" s="407"/>
      <c r="AF1104" s="407"/>
      <c r="AG1104" s="407"/>
      <c r="AH1104" s="407"/>
      <c r="AI1104" s="407"/>
      <c r="AJ1104" s="407"/>
      <c r="AK1104" s="407"/>
      <c r="AL1104" s="407"/>
      <c r="AM1104" s="407"/>
      <c r="AN1104" s="407"/>
      <c r="AO1104" s="407"/>
      <c r="AP1104" s="407"/>
      <c r="AQ1104" s="407"/>
      <c r="AR1104" s="1236"/>
      <c r="AS1104" s="407"/>
      <c r="AT1104" s="1410"/>
      <c r="AU1104" s="1263"/>
      <c r="AV1104" s="1263"/>
      <c r="AW1104" s="1263"/>
      <c r="AX1104" s="1263"/>
      <c r="AY1104" s="1263"/>
      <c r="AZ1104" s="1236"/>
      <c r="BA1104" s="1236"/>
      <c r="BB1104" s="1236"/>
      <c r="BC1104" s="1236"/>
      <c r="BD1104" s="1236"/>
      <c r="BE1104" s="1236"/>
    </row>
    <row r="1105" spans="1:57" s="369" customFormat="1" hidden="1" outlineLevel="1" x14ac:dyDescent="0.2">
      <c r="A1105" s="830"/>
      <c r="B1105" s="334"/>
      <c r="C1105" s="321"/>
      <c r="D1105" s="1410"/>
      <c r="E1105" s="1284"/>
      <c r="F1105" s="1284"/>
      <c r="G1105" s="1284"/>
      <c r="H1105" s="1284"/>
      <c r="I1105" s="1284"/>
      <c r="J1105" s="1284"/>
      <c r="K1105" s="1284"/>
      <c r="L1105" s="1284"/>
      <c r="M1105" s="1284"/>
      <c r="N1105" s="1284"/>
      <c r="O1105" s="1284"/>
      <c r="P1105" s="1284"/>
      <c r="Q1105" s="1284"/>
      <c r="R1105" s="1284"/>
      <c r="S1105" s="1284"/>
      <c r="T1105" s="1284"/>
      <c r="U1105" s="1284"/>
      <c r="V1105" s="1284"/>
      <c r="W1105" s="1284"/>
      <c r="X1105" s="1284"/>
      <c r="Y1105" s="1284"/>
      <c r="Z1105" s="1340"/>
      <c r="AA1105" s="1263"/>
      <c r="AB1105" s="1494"/>
      <c r="AC1105" s="1263"/>
      <c r="AD1105" s="1340"/>
      <c r="AE1105" s="1340"/>
      <c r="AF1105" s="1340"/>
      <c r="AG1105" s="1340"/>
      <c r="AH1105" s="1340"/>
      <c r="AI1105" s="1410"/>
      <c r="AJ1105" s="1410"/>
      <c r="AK1105" s="1410"/>
      <c r="AL1105" s="1410"/>
      <c r="AM1105" s="1410"/>
      <c r="AN1105" s="1410"/>
      <c r="AO1105" s="1410"/>
      <c r="AP1105" s="1410"/>
      <c r="AQ1105" s="1410"/>
      <c r="AR1105" s="1236"/>
      <c r="AS1105" s="1410"/>
      <c r="AT1105" s="1284"/>
      <c r="AU1105" s="1340"/>
      <c r="AV1105" s="1263"/>
      <c r="AW1105" s="1263"/>
      <c r="AX1105" s="1263"/>
      <c r="AY1105" s="1263"/>
      <c r="AZ1105" s="1263"/>
      <c r="BA1105" s="1263"/>
      <c r="BB1105" s="1263"/>
      <c r="BC1105" s="1263"/>
      <c r="BD1105" s="1263"/>
      <c r="BE1105" s="1263"/>
    </row>
    <row r="1106" spans="1:57" s="369" customFormat="1" hidden="1" outlineLevel="1" x14ac:dyDescent="0.2">
      <c r="A1106" s="830"/>
      <c r="B1106" s="412"/>
      <c r="C1106" s="334"/>
      <c r="D1106" s="1410"/>
      <c r="E1106" s="1263"/>
      <c r="F1106" s="1263"/>
      <c r="G1106" s="1263"/>
      <c r="H1106" s="1263"/>
      <c r="I1106" s="1263"/>
      <c r="J1106" s="1263"/>
      <c r="K1106" s="1263"/>
      <c r="L1106" s="1263"/>
      <c r="M1106" s="1263"/>
      <c r="N1106" s="1263"/>
      <c r="O1106" s="1263"/>
      <c r="P1106" s="1263"/>
      <c r="Q1106" s="1263"/>
      <c r="R1106" s="1263"/>
      <c r="S1106" s="1263"/>
      <c r="T1106" s="1263"/>
      <c r="U1106" s="1263"/>
      <c r="V1106" s="1263"/>
      <c r="W1106" s="1263"/>
      <c r="X1106" s="1263"/>
      <c r="Y1106" s="1263"/>
      <c r="Z1106" s="1340"/>
      <c r="AA1106" s="1263"/>
      <c r="AB1106" s="1494"/>
      <c r="AC1106" s="1263"/>
      <c r="AD1106" s="1340"/>
      <c r="AE1106" s="1340"/>
      <c r="AF1106" s="1340"/>
      <c r="AG1106" s="1340"/>
      <c r="AH1106" s="1340"/>
      <c r="AI1106" s="1263"/>
      <c r="AJ1106" s="1263"/>
      <c r="AK1106" s="1263"/>
      <c r="AL1106" s="1263"/>
      <c r="AM1106" s="1263"/>
      <c r="AN1106" s="1263"/>
      <c r="AO1106" s="1263"/>
      <c r="AP1106" s="1263"/>
      <c r="AQ1106" s="1263"/>
      <c r="AR1106" s="1236"/>
      <c r="AS1106" s="1416"/>
      <c r="AT1106" s="1410"/>
      <c r="AU1106" s="1340"/>
      <c r="AV1106" s="1263"/>
      <c r="AW1106" s="1263"/>
      <c r="AX1106" s="1263"/>
      <c r="AY1106" s="1263"/>
      <c r="AZ1106" s="1263"/>
      <c r="BA1106" s="1263"/>
      <c r="BB1106" s="1263"/>
      <c r="BC1106" s="1263"/>
      <c r="BD1106" s="1263"/>
      <c r="BE1106" s="1263"/>
    </row>
    <row r="1107" spans="1:57" s="342" customFormat="1" hidden="1" outlineLevel="1" x14ac:dyDescent="0.2">
      <c r="A1107" s="830"/>
      <c r="B1107" s="705"/>
      <c r="C1107" s="706"/>
      <c r="D1107" s="1265"/>
      <c r="E1107" s="1265"/>
      <c r="F1107" s="1265"/>
      <c r="G1107" s="1265"/>
      <c r="H1107" s="1265"/>
      <c r="I1107" s="1547"/>
      <c r="J1107" s="1468"/>
      <c r="K1107" s="1547"/>
      <c r="L1107" s="1468"/>
      <c r="M1107" s="1547"/>
      <c r="N1107" s="1547"/>
      <c r="O1107" s="1547"/>
      <c r="P1107" s="1468"/>
      <c r="Q1107" s="1547"/>
      <c r="R1107" s="1547"/>
      <c r="S1107" s="1547"/>
      <c r="T1107" s="1547"/>
      <c r="U1107" s="1547"/>
      <c r="V1107" s="1547"/>
      <c r="W1107" s="1547"/>
      <c r="X1107" s="1547"/>
      <c r="Y1107" s="1547"/>
      <c r="Z1107" s="1547"/>
      <c r="AA1107" s="1547"/>
      <c r="AB1107" s="1547"/>
      <c r="AC1107" s="1547"/>
      <c r="AD1107" s="1547"/>
      <c r="AE1107" s="1547"/>
      <c r="AF1107" s="1547"/>
      <c r="AG1107" s="1547"/>
      <c r="AH1107" s="1547"/>
      <c r="AI1107" s="1265"/>
      <c r="AJ1107" s="1265"/>
      <c r="AK1107" s="1265"/>
      <c r="AL1107" s="1265"/>
      <c r="AM1107" s="1265"/>
      <c r="AN1107" s="1265"/>
      <c r="AO1107" s="1265"/>
      <c r="AP1107" s="1265"/>
      <c r="AQ1107" s="1265"/>
      <c r="AR1107" s="1236"/>
      <c r="AS1107" s="1547"/>
      <c r="AT1107" s="1265"/>
      <c r="AU1107" s="1265"/>
      <c r="AV1107" s="1265"/>
      <c r="AW1107" s="1265"/>
      <c r="AX1107" s="1265"/>
      <c r="AY1107" s="1265"/>
      <c r="AZ1107" s="1265"/>
      <c r="BA1107" s="1265"/>
      <c r="BB1107" s="1265"/>
      <c r="BC1107" s="1265"/>
      <c r="BD1107" s="1265"/>
      <c r="BE1107" s="1265"/>
    </row>
    <row r="1108" spans="1:57" s="342" customFormat="1" hidden="1" outlineLevel="1" x14ac:dyDescent="0.2">
      <c r="A1108" s="830"/>
      <c r="B1108" s="334"/>
      <c r="C1108" s="334"/>
      <c r="D1108" s="1240"/>
      <c r="E1108" s="1240"/>
      <c r="F1108" s="1240"/>
      <c r="G1108" s="1240"/>
      <c r="H1108" s="1240"/>
      <c r="I1108" s="1240"/>
      <c r="J1108" s="1240"/>
      <c r="K1108" s="1240"/>
      <c r="L1108" s="1240"/>
      <c r="M1108" s="1240"/>
      <c r="N1108" s="1240"/>
      <c r="O1108" s="1240"/>
      <c r="P1108" s="1240"/>
      <c r="Q1108" s="1240"/>
      <c r="R1108" s="1240"/>
      <c r="S1108" s="1240"/>
      <c r="T1108" s="1240"/>
      <c r="U1108" s="1240"/>
      <c r="V1108" s="1240"/>
      <c r="W1108" s="1240"/>
      <c r="X1108" s="1240"/>
      <c r="Y1108" s="1240"/>
      <c r="Z1108" s="1409"/>
      <c r="AA1108" s="1409"/>
      <c r="AB1108" s="1409"/>
      <c r="AC1108" s="1409"/>
      <c r="AD1108" s="1409"/>
      <c r="AE1108" s="1409"/>
      <c r="AF1108" s="1409"/>
      <c r="AG1108" s="1409"/>
      <c r="AH1108" s="1409"/>
      <c r="AI1108" s="1263"/>
      <c r="AJ1108" s="1263"/>
      <c r="AK1108" s="1263"/>
      <c r="AL1108" s="1263"/>
      <c r="AM1108" s="1263"/>
      <c r="AN1108" s="1263"/>
      <c r="AO1108" s="1263"/>
      <c r="AP1108" s="1263"/>
      <c r="AQ1108" s="1263"/>
      <c r="AR1108" s="1236"/>
      <c r="AS1108" s="1410"/>
      <c r="AT1108" s="1410"/>
      <c r="AU1108" s="1263"/>
      <c r="AV1108" s="1263"/>
      <c r="AW1108" s="1263"/>
      <c r="AX1108" s="1263"/>
      <c r="AY1108" s="1263"/>
      <c r="AZ1108" s="1263"/>
      <c r="BA1108" s="1263"/>
      <c r="BB1108" s="1263"/>
      <c r="BC1108" s="1263"/>
      <c r="BD1108" s="1263"/>
      <c r="BE1108" s="1263"/>
    </row>
    <row r="1109" spans="1:57" s="342" customFormat="1" hidden="1" outlineLevel="1" x14ac:dyDescent="0.2">
      <c r="A1109" s="830"/>
      <c r="B1109" s="334"/>
      <c r="C1109" s="334"/>
      <c r="D1109" s="1240"/>
      <c r="E1109" s="1240"/>
      <c r="F1109" s="1240"/>
      <c r="G1109" s="1240"/>
      <c r="H1109" s="1240"/>
      <c r="I1109" s="1240"/>
      <c r="J1109" s="1240"/>
      <c r="K1109" s="1240"/>
      <c r="L1109" s="1240"/>
      <c r="M1109" s="1240"/>
      <c r="N1109" s="1240"/>
      <c r="O1109" s="1240"/>
      <c r="P1109" s="1240"/>
      <c r="Q1109" s="1240"/>
      <c r="R1109" s="1240"/>
      <c r="S1109" s="1240"/>
      <c r="T1109" s="1240"/>
      <c r="U1109" s="1240"/>
      <c r="V1109" s="1240"/>
      <c r="W1109" s="1240"/>
      <c r="X1109" s="1240"/>
      <c r="Y1109" s="1240"/>
      <c r="Z1109" s="1409"/>
      <c r="AA1109" s="1409"/>
      <c r="AB1109" s="1409"/>
      <c r="AC1109" s="1409"/>
      <c r="AD1109" s="1409"/>
      <c r="AE1109" s="1409"/>
      <c r="AF1109" s="1409"/>
      <c r="AG1109" s="1409"/>
      <c r="AH1109" s="1409"/>
      <c r="AI1109" s="1263"/>
      <c r="AJ1109" s="1263"/>
      <c r="AK1109" s="1263"/>
      <c r="AL1109" s="1263"/>
      <c r="AM1109" s="1263"/>
      <c r="AN1109" s="1263"/>
      <c r="AO1109" s="1263"/>
      <c r="AP1109" s="1263"/>
      <c r="AQ1109" s="1263"/>
      <c r="AR1109" s="1236"/>
      <c r="AS1109" s="1410"/>
      <c r="AT1109" s="1410"/>
      <c r="AU1109" s="1270"/>
      <c r="AV1109" s="1270"/>
      <c r="AW1109" s="1270"/>
      <c r="AX1109" s="1270"/>
      <c r="AY1109" s="1270"/>
      <c r="AZ1109" s="1263"/>
      <c r="BA1109" s="1263"/>
      <c r="BB1109" s="1263"/>
      <c r="BC1109" s="1263"/>
      <c r="BD1109" s="1263"/>
      <c r="BE1109" s="1263"/>
    </row>
    <row r="1110" spans="1:57" s="342" customFormat="1" hidden="1" outlineLevel="1" x14ac:dyDescent="0.2">
      <c r="A1110" s="830"/>
      <c r="B1110" s="334"/>
      <c r="C1110" s="334"/>
      <c r="D1110" s="1551"/>
      <c r="E1110" s="1551"/>
      <c r="F1110" s="1551"/>
      <c r="G1110" s="1551"/>
      <c r="H1110" s="1551"/>
      <c r="I1110" s="1551"/>
      <c r="J1110" s="1551"/>
      <c r="K1110" s="1551"/>
      <c r="L1110" s="1551"/>
      <c r="M1110" s="1551"/>
      <c r="N1110" s="1551"/>
      <c r="O1110" s="1551"/>
      <c r="P1110" s="1551"/>
      <c r="Q1110" s="1551"/>
      <c r="R1110" s="1551"/>
      <c r="S1110" s="1551"/>
      <c r="T1110" s="1551"/>
      <c r="U1110" s="1551"/>
      <c r="V1110" s="1551"/>
      <c r="W1110" s="1551"/>
      <c r="X1110" s="1551"/>
      <c r="Y1110" s="1551"/>
      <c r="Z1110" s="1409"/>
      <c r="AA1110" s="1409"/>
      <c r="AB1110" s="1409"/>
      <c r="AC1110" s="1409"/>
      <c r="AD1110" s="1409"/>
      <c r="AE1110" s="1409"/>
      <c r="AF1110" s="1409"/>
      <c r="AG1110" s="1409"/>
      <c r="AH1110" s="1409"/>
      <c r="AI1110" s="1263"/>
      <c r="AJ1110" s="1263"/>
      <c r="AK1110" s="1263"/>
      <c r="AL1110" s="1263"/>
      <c r="AM1110" s="1263"/>
      <c r="AN1110" s="1263"/>
      <c r="AO1110" s="1263"/>
      <c r="AP1110" s="1263"/>
      <c r="AQ1110" s="1263"/>
      <c r="AR1110" s="1236"/>
      <c r="AS1110" s="1410"/>
      <c r="AT1110" s="1410"/>
      <c r="AU1110" s="1263"/>
      <c r="AV1110" s="1263"/>
      <c r="AW1110" s="1263"/>
      <c r="AX1110" s="1263"/>
      <c r="AY1110" s="1263"/>
      <c r="AZ1110" s="1263"/>
      <c r="BA1110" s="1263"/>
      <c r="BB1110" s="1263"/>
      <c r="BC1110" s="1263"/>
      <c r="BD1110" s="1263"/>
      <c r="BE1110" s="1263"/>
    </row>
    <row r="1111" spans="1:57" s="342" customFormat="1" hidden="1" outlineLevel="1" x14ac:dyDescent="0.2">
      <c r="A1111" s="830"/>
      <c r="B1111" s="334"/>
      <c r="C1111" s="334"/>
      <c r="D1111" s="1408"/>
      <c r="E1111" s="1408"/>
      <c r="F1111" s="1408"/>
      <c r="G1111" s="1408"/>
      <c r="H1111" s="1408"/>
      <c r="I1111" s="1408"/>
      <c r="J1111" s="1408"/>
      <c r="K1111" s="1408"/>
      <c r="L1111" s="1408"/>
      <c r="M1111" s="1408"/>
      <c r="N1111" s="1408"/>
      <c r="O1111" s="1408"/>
      <c r="P1111" s="1408"/>
      <c r="Q1111" s="1408"/>
      <c r="R1111" s="1408"/>
      <c r="S1111" s="1408"/>
      <c r="T1111" s="1408"/>
      <c r="U1111" s="1408"/>
      <c r="V1111" s="1408"/>
      <c r="W1111" s="1408"/>
      <c r="X1111" s="1408"/>
      <c r="Y1111" s="1408"/>
      <c r="Z1111" s="1409"/>
      <c r="AA1111" s="1409"/>
      <c r="AB1111" s="1409"/>
      <c r="AC1111" s="1409"/>
      <c r="AD1111" s="1409"/>
      <c r="AE1111" s="1409"/>
      <c r="AF1111" s="1409"/>
      <c r="AG1111" s="1409"/>
      <c r="AH1111" s="1409"/>
      <c r="AI1111" s="1263"/>
      <c r="AJ1111" s="1263"/>
      <c r="AK1111" s="1263"/>
      <c r="AL1111" s="1263"/>
      <c r="AM1111" s="1263"/>
      <c r="AN1111" s="1263"/>
      <c r="AO1111" s="1263"/>
      <c r="AP1111" s="1263"/>
      <c r="AQ1111" s="1263"/>
      <c r="AR1111" s="1236"/>
      <c r="AS1111" s="1410"/>
      <c r="AT1111" s="1410"/>
      <c r="AU1111" s="1270"/>
      <c r="AV1111" s="1270"/>
      <c r="AW1111" s="1270"/>
      <c r="AX1111" s="1270"/>
      <c r="AY1111" s="1270"/>
      <c r="AZ1111" s="1263"/>
      <c r="BA1111" s="1263"/>
      <c r="BB1111" s="1263"/>
      <c r="BC1111" s="1263"/>
      <c r="BD1111" s="1263"/>
      <c r="BE1111" s="1263"/>
    </row>
    <row r="1112" spans="1:57" s="342" customFormat="1" hidden="1" outlineLevel="1" x14ac:dyDescent="0.2">
      <c r="A1112" s="830"/>
      <c r="C1112" s="334"/>
      <c r="D1112" s="1263"/>
      <c r="E1112" s="1263"/>
      <c r="F1112" s="1263"/>
      <c r="G1112" s="1263"/>
      <c r="H1112" s="1263"/>
      <c r="I1112" s="1263"/>
      <c r="J1112" s="1263"/>
      <c r="K1112" s="1263"/>
      <c r="L1112" s="1263"/>
      <c r="M1112" s="1263"/>
      <c r="N1112" s="1263"/>
      <c r="O1112" s="1263"/>
      <c r="P1112" s="1263"/>
      <c r="Q1112" s="1263"/>
      <c r="R1112" s="1263"/>
      <c r="S1112" s="1263"/>
      <c r="T1112" s="1263"/>
      <c r="U1112" s="1263"/>
      <c r="V1112" s="1263"/>
      <c r="W1112" s="1263"/>
      <c r="X1112" s="1263"/>
      <c r="Y1112" s="1263"/>
      <c r="Z1112" s="1409"/>
      <c r="AA1112" s="1409"/>
      <c r="AB1112" s="1409"/>
      <c r="AC1112" s="1409"/>
      <c r="AD1112" s="1409"/>
      <c r="AE1112" s="1409"/>
      <c r="AF1112" s="1409"/>
      <c r="AG1112" s="1409"/>
      <c r="AH1112" s="1409"/>
      <c r="AI1112" s="1263"/>
      <c r="AJ1112" s="1263"/>
      <c r="AK1112" s="1263"/>
      <c r="AL1112" s="1263"/>
      <c r="AM1112" s="1263"/>
      <c r="AN1112" s="1263"/>
      <c r="AO1112" s="1263"/>
      <c r="AP1112" s="1263"/>
      <c r="AQ1112" s="1263"/>
      <c r="AR1112" s="1236"/>
      <c r="AS1112" s="1263"/>
      <c r="AT1112" s="1410"/>
      <c r="AU1112" s="1263"/>
      <c r="AV1112" s="1263"/>
      <c r="AW1112" s="1263"/>
      <c r="AX1112" s="1263"/>
      <c r="AY1112" s="1263"/>
      <c r="AZ1112" s="1263"/>
      <c r="BA1112" s="1263"/>
      <c r="BB1112" s="1263"/>
      <c r="BC1112" s="1263"/>
      <c r="BD1112" s="1263"/>
      <c r="BE1112" s="1263"/>
    </row>
    <row r="1113" spans="1:57" s="342" customFormat="1" hidden="1" outlineLevel="1" x14ac:dyDescent="0.2">
      <c r="A1113" s="830"/>
      <c r="B1113" s="712"/>
      <c r="D1113" s="1263"/>
      <c r="E1113" s="1263"/>
      <c r="F1113" s="1263"/>
      <c r="G1113" s="1263"/>
      <c r="H1113" s="1263"/>
      <c r="I1113" s="1409"/>
      <c r="J1113" s="1358"/>
      <c r="K1113" s="1409"/>
      <c r="L1113" s="1358"/>
      <c r="M1113" s="1409"/>
      <c r="N1113" s="1409"/>
      <c r="O1113" s="1409"/>
      <c r="P1113" s="1358"/>
      <c r="Q1113" s="1409"/>
      <c r="R1113" s="1409"/>
      <c r="S1113" s="1409"/>
      <c r="T1113" s="1409"/>
      <c r="U1113" s="1409"/>
      <c r="V1113" s="1409"/>
      <c r="W1113" s="1409"/>
      <c r="X1113" s="1409"/>
      <c r="Y1113" s="1409"/>
      <c r="Z1113" s="1409"/>
      <c r="AA1113" s="1409"/>
      <c r="AB1113" s="1409"/>
      <c r="AC1113" s="1409"/>
      <c r="AD1113" s="1409"/>
      <c r="AE1113" s="1409"/>
      <c r="AF1113" s="1409"/>
      <c r="AG1113" s="1409"/>
      <c r="AH1113" s="1409"/>
      <c r="AI1113" s="1263"/>
      <c r="AJ1113" s="1263"/>
      <c r="AK1113" s="1263"/>
      <c r="AL1113" s="1263"/>
      <c r="AM1113" s="1263"/>
      <c r="AN1113" s="1263"/>
      <c r="AO1113" s="1263"/>
      <c r="AP1113" s="1263"/>
      <c r="AQ1113" s="1263"/>
      <c r="AR1113" s="1236"/>
      <c r="AS1113" s="1409"/>
      <c r="AT1113" s="1263"/>
      <c r="AU1113" s="1409"/>
      <c r="AV1113" s="1263"/>
      <c r="AW1113" s="1263"/>
      <c r="AX1113" s="1263"/>
      <c r="AY1113" s="1263"/>
      <c r="AZ1113" s="1263"/>
      <c r="BA1113" s="1263"/>
      <c r="BB1113" s="1263"/>
      <c r="BC1113" s="1263"/>
      <c r="BD1113" s="1263"/>
      <c r="BE1113" s="1263"/>
    </row>
    <row r="1114" spans="1:57" s="342" customFormat="1" hidden="1" outlineLevel="1" x14ac:dyDescent="0.2">
      <c r="A1114" s="830"/>
      <c r="B1114" s="712"/>
      <c r="D1114" s="1263"/>
      <c r="E1114" s="1263"/>
      <c r="F1114" s="1263"/>
      <c r="G1114" s="1263"/>
      <c r="H1114" s="1263"/>
      <c r="I1114" s="1409"/>
      <c r="J1114" s="1358"/>
      <c r="K1114" s="1409"/>
      <c r="L1114" s="1358"/>
      <c r="M1114" s="1409"/>
      <c r="N1114" s="1409"/>
      <c r="O1114" s="1409"/>
      <c r="P1114" s="1358"/>
      <c r="Q1114" s="1409"/>
      <c r="R1114" s="1409"/>
      <c r="S1114" s="1409"/>
      <c r="T1114" s="1409"/>
      <c r="U1114" s="1409"/>
      <c r="V1114" s="1409"/>
      <c r="W1114" s="1409"/>
      <c r="X1114" s="1409"/>
      <c r="Y1114" s="1409"/>
      <c r="Z1114" s="1409"/>
      <c r="AA1114" s="1409"/>
      <c r="AB1114" s="1409"/>
      <c r="AC1114" s="1409"/>
      <c r="AD1114" s="1409"/>
      <c r="AE1114" s="1409"/>
      <c r="AF1114" s="1409"/>
      <c r="AG1114" s="1409"/>
      <c r="AH1114" s="1409"/>
      <c r="AI1114" s="1263"/>
      <c r="AJ1114" s="1263"/>
      <c r="AK1114" s="1263"/>
      <c r="AL1114" s="1263"/>
      <c r="AM1114" s="1263"/>
      <c r="AN1114" s="1263"/>
      <c r="AO1114" s="1263"/>
      <c r="AP1114" s="1263"/>
      <c r="AQ1114" s="1263"/>
      <c r="AR1114" s="1236"/>
      <c r="AS1114" s="1409"/>
      <c r="AT1114" s="1263"/>
      <c r="AU1114" s="1409"/>
      <c r="AV1114" s="1263"/>
      <c r="AW1114" s="1263"/>
      <c r="AX1114" s="1263"/>
      <c r="AY1114" s="1263"/>
      <c r="AZ1114" s="1263"/>
      <c r="BA1114" s="1263"/>
      <c r="BB1114" s="1263"/>
      <c r="BC1114" s="1263"/>
      <c r="BD1114" s="1263"/>
      <c r="BE1114" s="1263"/>
    </row>
    <row r="1115" spans="1:57" s="342" customFormat="1" hidden="1" outlineLevel="1" x14ac:dyDescent="0.2">
      <c r="A1115" s="830"/>
      <c r="B1115" s="334"/>
      <c r="C1115" s="334"/>
      <c r="D1115" s="1274"/>
      <c r="E1115" s="1274"/>
      <c r="F1115" s="1274"/>
      <c r="G1115" s="1274"/>
      <c r="H1115" s="1274"/>
      <c r="I1115" s="1274"/>
      <c r="J1115" s="1274"/>
      <c r="K1115" s="1274"/>
      <c r="L1115" s="1274"/>
      <c r="M1115" s="1274"/>
      <c r="N1115" s="1274"/>
      <c r="O1115" s="1274"/>
      <c r="P1115" s="1274"/>
      <c r="Q1115" s="1274"/>
      <c r="R1115" s="1274"/>
      <c r="S1115" s="1274"/>
      <c r="T1115" s="1274"/>
      <c r="U1115" s="1274"/>
      <c r="V1115" s="1274"/>
      <c r="W1115" s="1274"/>
      <c r="X1115" s="1274"/>
      <c r="Y1115" s="1274"/>
      <c r="Z1115" s="1409"/>
      <c r="AA1115" s="1409"/>
      <c r="AB1115" s="1409"/>
      <c r="AC1115" s="1409"/>
      <c r="AD1115" s="1409"/>
      <c r="AE1115" s="1409"/>
      <c r="AF1115" s="1409"/>
      <c r="AG1115" s="1409"/>
      <c r="AH1115" s="1409"/>
      <c r="AI1115" s="1263"/>
      <c r="AJ1115" s="1263"/>
      <c r="AK1115" s="1263"/>
      <c r="AL1115" s="1263"/>
      <c r="AM1115" s="1263"/>
      <c r="AN1115" s="1263"/>
      <c r="AO1115" s="1263"/>
      <c r="AP1115" s="1263"/>
      <c r="AQ1115" s="1263"/>
      <c r="AR1115" s="1236"/>
      <c r="AS1115" s="1410"/>
      <c r="AT1115" s="1410"/>
      <c r="AU1115" s="1274"/>
      <c r="AV1115" s="1274"/>
      <c r="AW1115" s="1274"/>
      <c r="AX1115" s="1274"/>
      <c r="AY1115" s="1274"/>
      <c r="AZ1115" s="1263"/>
      <c r="BA1115" s="1263"/>
      <c r="BB1115" s="1263"/>
      <c r="BC1115" s="1263"/>
      <c r="BD1115" s="1263"/>
      <c r="BE1115" s="1263"/>
    </row>
    <row r="1116" spans="1:57" s="342" customFormat="1" hidden="1" outlineLevel="1" x14ac:dyDescent="0.2">
      <c r="A1116" s="830"/>
      <c r="B1116" s="334"/>
      <c r="C1116" s="334"/>
      <c r="D1116" s="1470"/>
      <c r="E1116" s="1470"/>
      <c r="F1116" s="1470"/>
      <c r="G1116" s="1470"/>
      <c r="H1116" s="1470"/>
      <c r="I1116" s="1470"/>
      <c r="J1116" s="1470"/>
      <c r="K1116" s="1470"/>
      <c r="L1116" s="1470"/>
      <c r="M1116" s="1470"/>
      <c r="N1116" s="1470"/>
      <c r="O1116" s="1470"/>
      <c r="P1116" s="1470"/>
      <c r="Q1116" s="1470"/>
      <c r="R1116" s="1470"/>
      <c r="S1116" s="1470"/>
      <c r="T1116" s="1470"/>
      <c r="U1116" s="1470"/>
      <c r="V1116" s="1470"/>
      <c r="W1116" s="1470"/>
      <c r="X1116" s="1470"/>
      <c r="Y1116" s="1470"/>
      <c r="Z1116" s="1409"/>
      <c r="AA1116" s="1409"/>
      <c r="AB1116" s="1409"/>
      <c r="AC1116" s="1409"/>
      <c r="AD1116" s="1409"/>
      <c r="AE1116" s="1409"/>
      <c r="AF1116" s="1409"/>
      <c r="AG1116" s="1409"/>
      <c r="AH1116" s="1409"/>
      <c r="AI1116" s="1263"/>
      <c r="AJ1116" s="1263"/>
      <c r="AK1116" s="1263"/>
      <c r="AL1116" s="1263"/>
      <c r="AM1116" s="1263"/>
      <c r="AN1116" s="1263"/>
      <c r="AO1116" s="1263"/>
      <c r="AP1116" s="1263"/>
      <c r="AQ1116" s="1263"/>
      <c r="AR1116" s="1236"/>
      <c r="AS1116" s="1410"/>
      <c r="AT1116" s="1410"/>
      <c r="AU1116" s="1470"/>
      <c r="AV1116" s="1470"/>
      <c r="AW1116" s="1470"/>
      <c r="AX1116" s="1470"/>
      <c r="AY1116" s="1470"/>
      <c r="AZ1116" s="1263"/>
      <c r="BA1116" s="1263"/>
      <c r="BB1116" s="1263"/>
      <c r="BC1116" s="1263"/>
      <c r="BD1116" s="1263"/>
      <c r="BE1116" s="1263"/>
    </row>
    <row r="1117" spans="1:57" s="342" customFormat="1" hidden="1" outlineLevel="1" x14ac:dyDescent="0.2">
      <c r="A1117" s="830"/>
      <c r="B1117" s="334"/>
      <c r="C1117" s="334"/>
      <c r="D1117" s="1274"/>
      <c r="E1117" s="1274"/>
      <c r="F1117" s="1274"/>
      <c r="G1117" s="1274"/>
      <c r="H1117" s="1274"/>
      <c r="I1117" s="1274"/>
      <c r="J1117" s="1274"/>
      <c r="K1117" s="1274"/>
      <c r="L1117" s="1274"/>
      <c r="M1117" s="1274"/>
      <c r="N1117" s="1274"/>
      <c r="O1117" s="1274"/>
      <c r="P1117" s="1274"/>
      <c r="Q1117" s="1274"/>
      <c r="R1117" s="1274"/>
      <c r="S1117" s="1274"/>
      <c r="T1117" s="1274"/>
      <c r="U1117" s="1274"/>
      <c r="V1117" s="1274"/>
      <c r="W1117" s="1274"/>
      <c r="X1117" s="1274"/>
      <c r="Y1117" s="1274"/>
      <c r="Z1117" s="1409"/>
      <c r="AA1117" s="1409"/>
      <c r="AB1117" s="1409"/>
      <c r="AC1117" s="1409"/>
      <c r="AD1117" s="1409"/>
      <c r="AE1117" s="1409"/>
      <c r="AF1117" s="1409"/>
      <c r="AG1117" s="1409"/>
      <c r="AH1117" s="1409"/>
      <c r="AI1117" s="1263"/>
      <c r="AJ1117" s="1263"/>
      <c r="AK1117" s="1263"/>
      <c r="AL1117" s="1263"/>
      <c r="AM1117" s="1263"/>
      <c r="AN1117" s="1263"/>
      <c r="AO1117" s="1263"/>
      <c r="AP1117" s="1263"/>
      <c r="AQ1117" s="1263"/>
      <c r="AR1117" s="1236"/>
      <c r="AS1117" s="1410"/>
      <c r="AT1117" s="1410"/>
      <c r="AU1117" s="1274"/>
      <c r="AV1117" s="1274"/>
      <c r="AW1117" s="1274"/>
      <c r="AX1117" s="1274"/>
      <c r="AY1117" s="1274"/>
      <c r="AZ1117" s="1263"/>
      <c r="BA1117" s="1263"/>
      <c r="BB1117" s="1263"/>
      <c r="BC1117" s="1263"/>
      <c r="BD1117" s="1263"/>
      <c r="BE1117" s="1263"/>
    </row>
    <row r="1118" spans="1:57" s="342" customFormat="1" hidden="1" outlineLevel="1" x14ac:dyDescent="0.2">
      <c r="A1118" s="830"/>
      <c r="B1118" s="334"/>
      <c r="C1118" s="334"/>
      <c r="D1118" s="1548"/>
      <c r="E1118" s="1548"/>
      <c r="F1118" s="1548"/>
      <c r="G1118" s="1548"/>
      <c r="H1118" s="1548"/>
      <c r="I1118" s="1548"/>
      <c r="J1118" s="1548"/>
      <c r="K1118" s="1548"/>
      <c r="L1118" s="1548"/>
      <c r="M1118" s="1548"/>
      <c r="N1118" s="1548"/>
      <c r="O1118" s="1548"/>
      <c r="P1118" s="1548"/>
      <c r="Q1118" s="1548"/>
      <c r="R1118" s="1548"/>
      <c r="S1118" s="1548"/>
      <c r="T1118" s="1548"/>
      <c r="U1118" s="1548"/>
      <c r="V1118" s="1548"/>
      <c r="W1118" s="1548"/>
      <c r="X1118" s="1548"/>
      <c r="Y1118" s="1548"/>
      <c r="Z1118" s="1409"/>
      <c r="AA1118" s="1409"/>
      <c r="AB1118" s="1409"/>
      <c r="AC1118" s="1409"/>
      <c r="AD1118" s="1409"/>
      <c r="AE1118" s="1409"/>
      <c r="AF1118" s="1409"/>
      <c r="AG1118" s="1409"/>
      <c r="AH1118" s="1409"/>
      <c r="AI1118" s="1263"/>
      <c r="AJ1118" s="1263"/>
      <c r="AK1118" s="1263"/>
      <c r="AL1118" s="1263"/>
      <c r="AM1118" s="1263"/>
      <c r="AN1118" s="1263"/>
      <c r="AO1118" s="1263"/>
      <c r="AP1118" s="1263"/>
      <c r="AQ1118" s="1263"/>
      <c r="AR1118" s="1236"/>
      <c r="AS1118" s="1410"/>
      <c r="AT1118" s="1410"/>
      <c r="AU1118" s="1552"/>
      <c r="AV1118" s="1552"/>
      <c r="AW1118" s="1552"/>
      <c r="AX1118" s="1552"/>
      <c r="AY1118" s="1552"/>
      <c r="AZ1118" s="1263"/>
      <c r="BA1118" s="1263"/>
      <c r="BB1118" s="1263"/>
      <c r="BC1118" s="1263"/>
      <c r="BD1118" s="1263"/>
      <c r="BE1118" s="1263"/>
    </row>
    <row r="1119" spans="1:57" s="342" customFormat="1" hidden="1" outlineLevel="1" x14ac:dyDescent="0.2">
      <c r="A1119" s="830"/>
      <c r="C1119" s="334"/>
      <c r="D1119" s="1427"/>
      <c r="E1119" s="1427"/>
      <c r="F1119" s="1427"/>
      <c r="G1119" s="1427"/>
      <c r="H1119" s="1427"/>
      <c r="I1119" s="1427"/>
      <c r="J1119" s="1427"/>
      <c r="K1119" s="1427"/>
      <c r="L1119" s="1427"/>
      <c r="M1119" s="1427"/>
      <c r="N1119" s="1427"/>
      <c r="O1119" s="1427"/>
      <c r="P1119" s="1427"/>
      <c r="Q1119" s="1427"/>
      <c r="R1119" s="1427"/>
      <c r="S1119" s="1427"/>
      <c r="T1119" s="1427"/>
      <c r="U1119" s="1427"/>
      <c r="V1119" s="1427"/>
      <c r="W1119" s="1427"/>
      <c r="X1119" s="1427"/>
      <c r="Y1119" s="1427"/>
      <c r="Z1119" s="1409"/>
      <c r="AA1119" s="1409"/>
      <c r="AB1119" s="1409"/>
      <c r="AC1119" s="1409"/>
      <c r="AD1119" s="1409"/>
      <c r="AE1119" s="1409"/>
      <c r="AF1119" s="1409"/>
      <c r="AG1119" s="1409"/>
      <c r="AH1119" s="1409"/>
      <c r="AI1119" s="1263"/>
      <c r="AJ1119" s="1263"/>
      <c r="AK1119" s="1263"/>
      <c r="AL1119" s="1263"/>
      <c r="AM1119" s="1263"/>
      <c r="AN1119" s="1263"/>
      <c r="AO1119" s="1263"/>
      <c r="AP1119" s="1263"/>
      <c r="AQ1119" s="1263"/>
      <c r="AR1119" s="1236"/>
      <c r="AS1119" s="1263"/>
      <c r="AT1119" s="1410"/>
      <c r="AU1119" s="1552"/>
      <c r="AV1119" s="1552"/>
      <c r="AW1119" s="1552"/>
      <c r="AX1119" s="1552"/>
      <c r="AY1119" s="1552"/>
      <c r="AZ1119" s="1263"/>
      <c r="BA1119" s="1263"/>
      <c r="BB1119" s="1263"/>
      <c r="BC1119" s="1263"/>
      <c r="BD1119" s="1263"/>
      <c r="BE1119" s="1263"/>
    </row>
    <row r="1120" spans="1:57" s="369" customFormat="1" hidden="1" outlineLevel="1" x14ac:dyDescent="0.2">
      <c r="A1120" s="411"/>
      <c r="B1120" s="523"/>
      <c r="C1120" s="412"/>
      <c r="D1120" s="1416"/>
      <c r="E1120" s="1416"/>
      <c r="F1120" s="1416"/>
      <c r="G1120" s="1416"/>
      <c r="H1120" s="1416"/>
      <c r="I1120" s="1416"/>
      <c r="J1120" s="1416"/>
      <c r="K1120" s="1416"/>
      <c r="L1120" s="1416"/>
      <c r="M1120" s="1416"/>
      <c r="N1120" s="1416"/>
      <c r="O1120" s="1416"/>
      <c r="P1120" s="1416"/>
      <c r="Q1120" s="1553"/>
      <c r="R1120" s="1553"/>
      <c r="S1120" s="1553"/>
      <c r="T1120" s="1553"/>
      <c r="U1120" s="1553"/>
      <c r="V1120" s="1553"/>
      <c r="W1120" s="1553"/>
      <c r="X1120" s="1553"/>
      <c r="Y1120" s="1553"/>
      <c r="Z1120" s="1263"/>
      <c r="AA1120" s="1409"/>
      <c r="AB1120" s="1409"/>
      <c r="AC1120" s="1409"/>
      <c r="AD1120" s="1263"/>
      <c r="AE1120" s="1263"/>
      <c r="AF1120" s="1263"/>
      <c r="AG1120" s="1263"/>
      <c r="AH1120" s="1263"/>
      <c r="AI1120" s="1409"/>
      <c r="AJ1120" s="1409"/>
      <c r="AK1120" s="1409"/>
      <c r="AL1120" s="1409"/>
      <c r="AM1120" s="1409"/>
      <c r="AN1120" s="1409"/>
      <c r="AO1120" s="1409"/>
      <c r="AP1120" s="1409"/>
      <c r="AQ1120" s="1409"/>
      <c r="AR1120" s="1236"/>
      <c r="AS1120" s="1440"/>
      <c r="AT1120" s="1416"/>
      <c r="AU1120" s="1263"/>
      <c r="AV1120" s="1409"/>
      <c r="AW1120" s="1409"/>
      <c r="AX1120" s="1409"/>
      <c r="AY1120" s="1263"/>
      <c r="AZ1120" s="1263"/>
      <c r="BA1120" s="1263"/>
      <c r="BB1120" s="1263"/>
      <c r="BC1120" s="1263"/>
      <c r="BD1120" s="1263"/>
      <c r="BE1120" s="1263"/>
    </row>
    <row r="1121" spans="1:57" s="369" customFormat="1" collapsed="1" x14ac:dyDescent="0.2">
      <c r="A1121" s="411"/>
      <c r="B1121" s="523"/>
      <c r="C1121" s="412"/>
      <c r="D1121" s="1416"/>
      <c r="E1121" s="1416"/>
      <c r="F1121" s="1416"/>
      <c r="G1121" s="1416"/>
      <c r="H1121" s="1416"/>
      <c r="I1121" s="1416"/>
      <c r="J1121" s="1416"/>
      <c r="K1121" s="1416"/>
      <c r="L1121" s="1416"/>
      <c r="M1121" s="1416"/>
      <c r="N1121" s="1416"/>
      <c r="O1121" s="1416"/>
      <c r="P1121" s="1416"/>
      <c r="Q1121" s="1553"/>
      <c r="R1121" s="1553"/>
      <c r="S1121" s="1553"/>
      <c r="T1121" s="1553"/>
      <c r="U1121" s="1553"/>
      <c r="V1121" s="1553"/>
      <c r="W1121" s="1553"/>
      <c r="X1121" s="1553"/>
      <c r="Y1121" s="1553"/>
      <c r="Z1121" s="1263"/>
      <c r="AA1121" s="1409"/>
      <c r="AB1121" s="1409"/>
      <c r="AC1121" s="1409"/>
      <c r="AD1121" s="1263"/>
      <c r="AE1121" s="1263"/>
      <c r="AF1121" s="1263"/>
      <c r="AG1121" s="1263"/>
      <c r="AH1121" s="1263"/>
      <c r="AI1121" s="1409"/>
      <c r="AJ1121" s="1409"/>
      <c r="AK1121" s="1409"/>
      <c r="AL1121" s="1409"/>
      <c r="AM1121" s="1409"/>
      <c r="AN1121" s="1409"/>
      <c r="AO1121" s="1409"/>
      <c r="AP1121" s="1409"/>
      <c r="AQ1121" s="1409"/>
      <c r="AR1121" s="1236"/>
      <c r="AS1121" s="1440"/>
      <c r="AT1121" s="1416"/>
      <c r="AU1121" s="1263"/>
      <c r="AV1121" s="1409"/>
      <c r="AW1121" s="1409"/>
      <c r="AX1121" s="1409"/>
      <c r="AY1121" s="1263"/>
      <c r="AZ1121" s="1263"/>
      <c r="BA1121" s="1263"/>
      <c r="BB1121" s="1263"/>
      <c r="BC1121" s="1263"/>
      <c r="BD1121" s="1263"/>
      <c r="BE1121" s="1263"/>
    </row>
    <row r="1122" spans="1:57" s="342" customFormat="1" x14ac:dyDescent="0.2">
      <c r="A1122" s="830"/>
      <c r="B1122" s="705"/>
      <c r="C1122" s="706"/>
      <c r="D1122" s="1265"/>
      <c r="E1122" s="1265"/>
      <c r="F1122" s="1265"/>
      <c r="G1122" s="1265"/>
      <c r="H1122" s="1265"/>
      <c r="I1122" s="1547"/>
      <c r="J1122" s="1468"/>
      <c r="K1122" s="1547"/>
      <c r="L1122" s="1468"/>
      <c r="M1122" s="1547"/>
      <c r="N1122" s="1547"/>
      <c r="O1122" s="1547"/>
      <c r="P1122" s="1468"/>
      <c r="Q1122" s="1547"/>
      <c r="R1122" s="1547"/>
      <c r="S1122" s="1547"/>
      <c r="T1122" s="1547"/>
      <c r="U1122" s="1547"/>
      <c r="V1122" s="1547"/>
      <c r="W1122" s="1547"/>
      <c r="X1122" s="1547"/>
      <c r="Y1122" s="1547"/>
      <c r="Z1122" s="1547"/>
      <c r="AA1122" s="1547"/>
      <c r="AB1122" s="1547"/>
      <c r="AC1122" s="1547"/>
      <c r="AD1122" s="1547"/>
      <c r="AE1122" s="1547"/>
      <c r="AF1122" s="1547"/>
      <c r="AG1122" s="1547"/>
      <c r="AH1122" s="1547"/>
      <c r="AI1122" s="1265"/>
      <c r="AJ1122" s="1265"/>
      <c r="AK1122" s="1265"/>
      <c r="AL1122" s="1265"/>
      <c r="AM1122" s="1265"/>
      <c r="AN1122" s="1265"/>
      <c r="AO1122" s="1265"/>
      <c r="AP1122" s="1265"/>
      <c r="AQ1122" s="1265"/>
      <c r="AR1122" s="1236"/>
      <c r="AS1122" s="1547"/>
      <c r="AT1122" s="1265"/>
      <c r="AU1122" s="1265"/>
      <c r="AV1122" s="1265"/>
      <c r="AW1122" s="1265"/>
      <c r="AX1122" s="1265"/>
      <c r="AY1122" s="1265"/>
      <c r="AZ1122" s="1265"/>
      <c r="BA1122" s="1265"/>
      <c r="BB1122" s="1265"/>
      <c r="BC1122" s="1265"/>
      <c r="BD1122" s="1265"/>
      <c r="BE1122" s="1265"/>
    </row>
    <row r="1123" spans="1:57" s="369" customFormat="1" x14ac:dyDescent="0.2">
      <c r="A1123" s="411"/>
      <c r="B1123" s="523"/>
      <c r="C1123" s="412"/>
      <c r="D1123" s="1554"/>
      <c r="E1123" s="1267"/>
      <c r="F1123" s="1267"/>
      <c r="G1123" s="1267"/>
      <c r="H1123" s="1267"/>
      <c r="I1123" s="1267"/>
      <c r="J1123" s="1267"/>
      <c r="K1123" s="1267"/>
      <c r="L1123" s="1267"/>
      <c r="M1123" s="1267"/>
      <c r="N1123" s="1267"/>
      <c r="O1123" s="1267"/>
      <c r="P1123" s="1267"/>
      <c r="Q1123" s="1267"/>
      <c r="R1123" s="1267"/>
      <c r="S1123" s="1267"/>
      <c r="T1123" s="1267"/>
      <c r="U1123" s="1267"/>
      <c r="V1123" s="1267"/>
      <c r="W1123" s="1267"/>
      <c r="X1123" s="1267"/>
      <c r="Y1123" s="1267"/>
      <c r="Z1123" s="1267"/>
      <c r="AA1123" s="1267"/>
      <c r="AB1123" s="1267"/>
      <c r="AC1123" s="1267"/>
      <c r="AD1123" s="1267"/>
      <c r="AE1123" s="1267"/>
      <c r="AF1123" s="1267"/>
      <c r="AG1123" s="1267"/>
      <c r="AH1123" s="1267"/>
      <c r="AI1123" s="1267"/>
      <c r="AJ1123" s="1267"/>
      <c r="AK1123" s="1267"/>
      <c r="AL1123" s="1267"/>
      <c r="AM1123" s="1267"/>
      <c r="AN1123" s="1267"/>
      <c r="AO1123" s="1267"/>
      <c r="AP1123" s="1267"/>
      <c r="AQ1123" s="1267"/>
      <c r="AR1123" s="1236"/>
      <c r="AS1123" s="1440"/>
      <c r="AT1123" s="1416"/>
      <c r="AU1123" s="1263"/>
      <c r="AV1123" s="1267"/>
      <c r="AW1123" s="1267"/>
      <c r="AX1123" s="1267"/>
      <c r="AY1123" s="1267"/>
      <c r="AZ1123" s="1267"/>
      <c r="BA1123" s="1267"/>
      <c r="BB1123" s="1267"/>
      <c r="BC1123" s="1267"/>
      <c r="BD1123" s="1267"/>
      <c r="BE1123" s="1267"/>
    </row>
    <row r="1124" spans="1:57" s="369" customFormat="1" x14ac:dyDescent="0.2">
      <c r="A1124" s="411"/>
      <c r="B1124" s="412"/>
      <c r="C1124" s="412"/>
      <c r="D1124" s="1554"/>
      <c r="E1124" s="1554"/>
      <c r="F1124" s="1554"/>
      <c r="G1124" s="1554"/>
      <c r="H1124" s="1554"/>
      <c r="I1124" s="1554"/>
      <c r="J1124" s="1554"/>
      <c r="K1124" s="1554"/>
      <c r="L1124" s="1554"/>
      <c r="M1124" s="1554"/>
      <c r="N1124" s="1554"/>
      <c r="O1124" s="1554"/>
      <c r="P1124" s="1554"/>
      <c r="Q1124" s="1554"/>
      <c r="R1124" s="1554"/>
      <c r="S1124" s="1554"/>
      <c r="T1124" s="1554"/>
      <c r="U1124" s="1554"/>
      <c r="V1124" s="1554"/>
      <c r="W1124" s="1554"/>
      <c r="X1124" s="1554"/>
      <c r="Y1124" s="1554"/>
      <c r="Z1124" s="1420"/>
      <c r="AA1124" s="1420"/>
      <c r="AB1124" s="1420"/>
      <c r="AC1124" s="1420"/>
      <c r="AD1124" s="1420"/>
      <c r="AE1124" s="1420"/>
      <c r="AF1124" s="1420"/>
      <c r="AG1124" s="1420"/>
      <c r="AH1124" s="1420"/>
      <c r="AI1124" s="1420"/>
      <c r="AJ1124" s="1420"/>
      <c r="AK1124" s="1420"/>
      <c r="AL1124" s="1420"/>
      <c r="AM1124" s="1420"/>
      <c r="AN1124" s="1420"/>
      <c r="AO1124" s="1420"/>
      <c r="AP1124" s="1420"/>
      <c r="AQ1124" s="1420"/>
      <c r="AR1124" s="1236"/>
      <c r="AS1124" s="1416"/>
      <c r="AT1124" s="1416"/>
      <c r="AU1124" s="1236"/>
      <c r="AV1124" s="1236"/>
      <c r="AW1124" s="1236"/>
      <c r="AX1124" s="1236"/>
      <c r="AY1124" s="1236"/>
      <c r="AZ1124" s="1236"/>
      <c r="BA1124" s="1236"/>
      <c r="BB1124" s="1420"/>
      <c r="BC1124" s="1420"/>
      <c r="BD1124" s="1420"/>
      <c r="BE1124" s="1420"/>
    </row>
    <row r="1125" spans="1:57" s="369" customFormat="1" hidden="1" outlineLevel="1" x14ac:dyDescent="0.2">
      <c r="A1125" s="411"/>
      <c r="B1125" s="412"/>
      <c r="C1125" s="412"/>
      <c r="D1125" s="1554"/>
      <c r="E1125" s="1554"/>
      <c r="F1125" s="1554"/>
      <c r="G1125" s="1554"/>
      <c r="H1125" s="1554"/>
      <c r="I1125" s="1554"/>
      <c r="J1125" s="1554"/>
      <c r="K1125" s="1554"/>
      <c r="L1125" s="1554"/>
      <c r="M1125" s="1554"/>
      <c r="N1125" s="1554"/>
      <c r="O1125" s="1554"/>
      <c r="P1125" s="1554"/>
      <c r="Q1125" s="1554"/>
      <c r="R1125" s="1554"/>
      <c r="S1125" s="1554"/>
      <c r="T1125" s="1554"/>
      <c r="U1125" s="1554"/>
      <c r="V1125" s="1554"/>
      <c r="W1125" s="1554"/>
      <c r="X1125" s="1554"/>
      <c r="Y1125" s="1554"/>
      <c r="Z1125" s="1420"/>
      <c r="AA1125" s="1420"/>
      <c r="AB1125" s="1420"/>
      <c r="AC1125" s="1420"/>
      <c r="AD1125" s="1420"/>
      <c r="AE1125" s="1420"/>
      <c r="AF1125" s="1420"/>
      <c r="AG1125" s="1420"/>
      <c r="AH1125" s="1420"/>
      <c r="AI1125" s="1420"/>
      <c r="AJ1125" s="1420"/>
      <c r="AK1125" s="1420"/>
      <c r="AL1125" s="1420"/>
      <c r="AM1125" s="1420"/>
      <c r="AN1125" s="1420"/>
      <c r="AO1125" s="1420"/>
      <c r="AP1125" s="1420"/>
      <c r="AQ1125" s="1420"/>
      <c r="AR1125" s="1236"/>
      <c r="AS1125" s="1416"/>
      <c r="AT1125" s="1416"/>
      <c r="AU1125" s="1236"/>
      <c r="AV1125" s="1236"/>
      <c r="AW1125" s="1236"/>
      <c r="AX1125" s="1236"/>
      <c r="AY1125" s="1236"/>
      <c r="AZ1125" s="1236"/>
      <c r="BA1125" s="1236"/>
      <c r="BB1125" s="1420"/>
      <c r="BC1125" s="1420"/>
      <c r="BD1125" s="1420"/>
      <c r="BE1125" s="1420"/>
    </row>
    <row r="1126" spans="1:57" s="369" customFormat="1" hidden="1" outlineLevel="1" x14ac:dyDescent="0.2">
      <c r="A1126" s="411"/>
      <c r="B1126" s="412"/>
      <c r="C1126" s="730"/>
      <c r="D1126" s="1363"/>
      <c r="E1126" s="1363"/>
      <c r="F1126" s="1363"/>
      <c r="G1126" s="1363"/>
      <c r="H1126" s="1363"/>
      <c r="I1126" s="1363"/>
      <c r="J1126" s="1363"/>
      <c r="K1126" s="1363"/>
      <c r="L1126" s="1363"/>
      <c r="M1126" s="1363"/>
      <c r="N1126" s="1363"/>
      <c r="O1126" s="1363"/>
      <c r="P1126" s="1363"/>
      <c r="Q1126" s="1363"/>
      <c r="R1126" s="1363"/>
      <c r="S1126" s="1363"/>
      <c r="T1126" s="1363"/>
      <c r="U1126" s="1363"/>
      <c r="V1126" s="1363"/>
      <c r="W1126" s="1363"/>
      <c r="X1126" s="1363"/>
      <c r="Y1126" s="1363"/>
      <c r="Z1126" s="1420"/>
      <c r="AA1126" s="1420"/>
      <c r="AB1126" s="1420"/>
      <c r="AC1126" s="1420"/>
      <c r="AD1126" s="1420"/>
      <c r="AE1126" s="1420"/>
      <c r="AF1126" s="1420"/>
      <c r="AG1126" s="1420"/>
      <c r="AH1126" s="1420"/>
      <c r="AI1126" s="1420"/>
      <c r="AJ1126" s="1420"/>
      <c r="AK1126" s="1420"/>
      <c r="AL1126" s="1420"/>
      <c r="AM1126" s="1420"/>
      <c r="AN1126" s="1420"/>
      <c r="AO1126" s="1420"/>
      <c r="AP1126" s="1420"/>
      <c r="AQ1126" s="1420"/>
      <c r="AR1126" s="1236"/>
      <c r="AS1126" s="1416"/>
      <c r="AT1126" s="1555"/>
      <c r="AU1126" s="1236"/>
      <c r="AV1126" s="1236"/>
      <c r="AW1126" s="1236"/>
      <c r="AX1126" s="1236"/>
      <c r="AY1126" s="1236"/>
      <c r="AZ1126" s="1236"/>
      <c r="BA1126" s="1236"/>
      <c r="BB1126" s="1420"/>
      <c r="BC1126" s="1420"/>
      <c r="BD1126" s="1420"/>
      <c r="BE1126" s="1420"/>
    </row>
    <row r="1127" spans="1:57" s="369" customFormat="1" collapsed="1" x14ac:dyDescent="0.2">
      <c r="A1127" s="411"/>
      <c r="B1127" s="412"/>
      <c r="C1127" s="412"/>
      <c r="D1127" s="1267"/>
      <c r="E1127" s="1267"/>
      <c r="F1127" s="1267"/>
      <c r="G1127" s="1267"/>
      <c r="H1127" s="1267"/>
      <c r="I1127" s="1267"/>
      <c r="J1127" s="1267"/>
      <c r="K1127" s="1267"/>
      <c r="L1127" s="1267"/>
      <c r="M1127" s="1267"/>
      <c r="N1127" s="1267"/>
      <c r="O1127" s="1267"/>
      <c r="P1127" s="1267"/>
      <c r="Q1127" s="1267"/>
      <c r="R1127" s="1267"/>
      <c r="S1127" s="1267"/>
      <c r="T1127" s="1267"/>
      <c r="U1127" s="1267"/>
      <c r="V1127" s="1267"/>
      <c r="W1127" s="1267"/>
      <c r="X1127" s="1267"/>
      <c r="Y1127" s="1267"/>
      <c r="Z1127" s="1420"/>
      <c r="AA1127" s="1420"/>
      <c r="AB1127" s="1420"/>
      <c r="AC1127" s="1420"/>
      <c r="AD1127" s="1420"/>
      <c r="AE1127" s="1420"/>
      <c r="AF1127" s="1420"/>
      <c r="AG1127" s="1420"/>
      <c r="AH1127" s="1420"/>
      <c r="AI1127" s="1420"/>
      <c r="AJ1127" s="1420"/>
      <c r="AK1127" s="1420"/>
      <c r="AL1127" s="1420"/>
      <c r="AM1127" s="1420"/>
      <c r="AN1127" s="1420"/>
      <c r="AO1127" s="1420"/>
      <c r="AP1127" s="1420"/>
      <c r="AQ1127" s="1420"/>
      <c r="AR1127" s="1236"/>
      <c r="AS1127" s="1416"/>
      <c r="AT1127" s="1416"/>
      <c r="AU1127" s="1267"/>
      <c r="AV1127" s="1267"/>
      <c r="AW1127" s="1267"/>
      <c r="AX1127" s="1267"/>
      <c r="AY1127" s="1267"/>
      <c r="AZ1127" s="1236"/>
      <c r="BA1127" s="1236"/>
      <c r="BB1127" s="1420"/>
      <c r="BC1127" s="1420"/>
      <c r="BD1127" s="1420"/>
      <c r="BE1127" s="1420"/>
    </row>
    <row r="1128" spans="1:57" s="369" customFormat="1" x14ac:dyDescent="0.2">
      <c r="A1128" s="411"/>
      <c r="B1128" s="412"/>
      <c r="C1128" s="412"/>
      <c r="D1128" s="1410"/>
      <c r="E1128" s="1410"/>
      <c r="F1128" s="1410"/>
      <c r="G1128" s="1410"/>
      <c r="H1128" s="1410"/>
      <c r="I1128" s="1410"/>
      <c r="J1128" s="1410"/>
      <c r="K1128" s="1410"/>
      <c r="L1128" s="1410"/>
      <c r="M1128" s="1410"/>
      <c r="N1128" s="1410"/>
      <c r="O1128" s="1410"/>
      <c r="P1128" s="1410"/>
      <c r="Q1128" s="1410"/>
      <c r="R1128" s="1410"/>
      <c r="S1128" s="1410"/>
      <c r="T1128" s="1410"/>
      <c r="U1128" s="1410"/>
      <c r="V1128" s="1410"/>
      <c r="W1128" s="1410"/>
      <c r="X1128" s="1410"/>
      <c r="Y1128" s="1410"/>
      <c r="Z1128" s="1410"/>
      <c r="AA1128" s="1410"/>
      <c r="AB1128" s="1410"/>
      <c r="AC1128" s="1410"/>
      <c r="AD1128" s="1410"/>
      <c r="AE1128" s="1410"/>
      <c r="AF1128" s="1410"/>
      <c r="AG1128" s="1410"/>
      <c r="AH1128" s="1410"/>
      <c r="AI1128" s="1410"/>
      <c r="AJ1128" s="1410"/>
      <c r="AK1128" s="1410"/>
      <c r="AL1128" s="1410"/>
      <c r="AM1128" s="1410"/>
      <c r="AN1128" s="1410"/>
      <c r="AO1128" s="1410"/>
      <c r="AP1128" s="1410"/>
      <c r="AQ1128" s="1410"/>
      <c r="AR1128" s="1236"/>
      <c r="AS1128" s="1416"/>
      <c r="AT1128" s="1416"/>
      <c r="AU1128" s="1410"/>
      <c r="AV1128" s="1410"/>
      <c r="AW1128" s="1410"/>
      <c r="AX1128" s="1410"/>
      <c r="AY1128" s="1410"/>
      <c r="AZ1128" s="1410"/>
      <c r="BA1128" s="1410"/>
      <c r="BB1128" s="1291"/>
      <c r="BC1128" s="1291"/>
      <c r="BD1128" s="1291"/>
      <c r="BE1128" s="1291"/>
    </row>
    <row r="1129" spans="1:57" s="369" customFormat="1" x14ac:dyDescent="0.2">
      <c r="A1129" s="411"/>
      <c r="B1129" s="412"/>
      <c r="C1129" s="730"/>
      <c r="D1129" s="1556"/>
      <c r="E1129" s="1556"/>
      <c r="F1129" s="1556"/>
      <c r="G1129" s="1556"/>
      <c r="H1129" s="1556"/>
      <c r="I1129" s="1556"/>
      <c r="J1129" s="1556"/>
      <c r="K1129" s="1556"/>
      <c r="L1129" s="1556"/>
      <c r="M1129" s="1556"/>
      <c r="N1129" s="1556"/>
      <c r="O1129" s="1556"/>
      <c r="P1129" s="1556"/>
      <c r="Q1129" s="1556"/>
      <c r="R1129" s="1556"/>
      <c r="S1129" s="1556"/>
      <c r="T1129" s="1556"/>
      <c r="U1129" s="1556"/>
      <c r="V1129" s="1556"/>
      <c r="W1129" s="1556"/>
      <c r="X1129" s="1556"/>
      <c r="Y1129" s="1556"/>
      <c r="Z1129" s="1557"/>
      <c r="AA1129" s="1557"/>
      <c r="AB1129" s="1557"/>
      <c r="AC1129" s="1557"/>
      <c r="AD1129" s="1557"/>
      <c r="AE1129" s="1557"/>
      <c r="AF1129" s="1557"/>
      <c r="AG1129" s="1557"/>
      <c r="AH1129" s="1557"/>
      <c r="AI1129" s="1557"/>
      <c r="AJ1129" s="1241"/>
      <c r="AK1129" s="1241"/>
      <c r="AL1129" s="1241"/>
      <c r="AM1129" s="1241"/>
      <c r="AN1129" s="1241"/>
      <c r="AO1129" s="1241"/>
      <c r="AP1129" s="1241"/>
      <c r="AQ1129" s="1241"/>
      <c r="AR1129" s="1236"/>
      <c r="AS1129" s="1416"/>
      <c r="AT1129" s="1555"/>
      <c r="AU1129" s="1246"/>
      <c r="AV1129" s="1246"/>
      <c r="AW1129" s="1246"/>
      <c r="AX1129" s="1246"/>
      <c r="AY1129" s="1246"/>
      <c r="AZ1129" s="1246"/>
      <c r="BA1129" s="1246"/>
      <c r="BB1129" s="1557"/>
      <c r="BC1129" s="1557"/>
      <c r="BD1129" s="1557"/>
      <c r="BE1129" s="1557"/>
    </row>
    <row r="1130" spans="1:57" s="369" customFormat="1" x14ac:dyDescent="0.2">
      <c r="A1130" s="411"/>
      <c r="B1130" s="735"/>
      <c r="C1130" s="736"/>
      <c r="D1130" s="1558"/>
      <c r="E1130" s="1558"/>
      <c r="F1130" s="1558"/>
      <c r="G1130" s="1558"/>
      <c r="H1130" s="1558"/>
      <c r="I1130" s="1558"/>
      <c r="J1130" s="1558"/>
      <c r="K1130" s="1558"/>
      <c r="L1130" s="1558"/>
      <c r="M1130" s="1558"/>
      <c r="N1130" s="1558"/>
      <c r="O1130" s="1558"/>
      <c r="P1130" s="1558"/>
      <c r="Q1130" s="1558"/>
      <c r="R1130" s="1558"/>
      <c r="S1130" s="1558"/>
      <c r="T1130" s="1558"/>
      <c r="U1130" s="1558"/>
      <c r="V1130" s="1558"/>
      <c r="W1130" s="1558"/>
      <c r="X1130" s="1558"/>
      <c r="Y1130" s="1558"/>
      <c r="Z1130" s="1559"/>
      <c r="AA1130" s="1559"/>
      <c r="AB1130" s="1559"/>
      <c r="AC1130" s="1559"/>
      <c r="AD1130" s="1559"/>
      <c r="AE1130" s="1559"/>
      <c r="AF1130" s="1559"/>
      <c r="AG1130" s="1559"/>
      <c r="AH1130" s="1559"/>
      <c r="AI1130" s="1559"/>
      <c r="AJ1130" s="1559"/>
      <c r="AK1130" s="1559"/>
      <c r="AL1130" s="1559"/>
      <c r="AM1130" s="1559"/>
      <c r="AN1130" s="1559"/>
      <c r="AO1130" s="1559"/>
      <c r="AP1130" s="1559"/>
      <c r="AQ1130" s="1559"/>
      <c r="AR1130" s="1236"/>
      <c r="AS1130" s="1560"/>
      <c r="AT1130" s="1553"/>
      <c r="AU1130" s="1558"/>
      <c r="AV1130" s="1558"/>
      <c r="AW1130" s="1558"/>
      <c r="AX1130" s="1558"/>
      <c r="AY1130" s="1558"/>
      <c r="AZ1130" s="1558"/>
      <c r="BA1130" s="1558"/>
      <c r="BB1130" s="1559"/>
      <c r="BC1130" s="1559"/>
      <c r="BD1130" s="1559"/>
      <c r="BE1130" s="1559"/>
    </row>
    <row r="1131" spans="1:57" s="369" customFormat="1" x14ac:dyDescent="0.2">
      <c r="A1131" s="411"/>
      <c r="B1131" s="735"/>
      <c r="C1131" s="736"/>
      <c r="D1131" s="1416"/>
      <c r="E1131" s="1416"/>
      <c r="F1131" s="1561"/>
      <c r="G1131" s="1561"/>
      <c r="H1131" s="1561"/>
      <c r="I1131" s="1561"/>
      <c r="J1131" s="1561"/>
      <c r="K1131" s="1561"/>
      <c r="L1131" s="1561"/>
      <c r="M1131" s="1561"/>
      <c r="N1131" s="1561"/>
      <c r="O1131" s="1561"/>
      <c r="P1131" s="1561"/>
      <c r="Q1131" s="1561"/>
      <c r="R1131" s="1561"/>
      <c r="S1131" s="1561"/>
      <c r="T1131" s="1561"/>
      <c r="U1131" s="1561"/>
      <c r="V1131" s="1561"/>
      <c r="W1131" s="1561"/>
      <c r="X1131" s="1561"/>
      <c r="Y1131" s="1561"/>
      <c r="Z1131" s="1263"/>
      <c r="AA1131" s="1409"/>
      <c r="AB1131" s="1409"/>
      <c r="AC1131" s="1409"/>
      <c r="AD1131" s="1263"/>
      <c r="AE1131" s="1263"/>
      <c r="AF1131" s="1263"/>
      <c r="AG1131" s="1263"/>
      <c r="AH1131" s="1263"/>
      <c r="AI1131" s="1409"/>
      <c r="AJ1131" s="1409"/>
      <c r="AK1131" s="1409"/>
      <c r="AL1131" s="1409"/>
      <c r="AM1131" s="1409"/>
      <c r="AN1131" s="1409"/>
      <c r="AO1131" s="1409"/>
      <c r="AP1131" s="1409"/>
      <c r="AQ1131" s="1409"/>
      <c r="AR1131" s="1236"/>
      <c r="AS1131" s="1560"/>
      <c r="AT1131" s="1553"/>
      <c r="AU1131" s="1263"/>
      <c r="AV1131" s="1409"/>
      <c r="AW1131" s="1409"/>
      <c r="AX1131" s="1409"/>
      <c r="AY1131" s="1263"/>
      <c r="AZ1131" s="1263"/>
      <c r="BA1131" s="1263"/>
      <c r="BB1131" s="1263"/>
      <c r="BC1131" s="1263"/>
      <c r="BD1131" s="1263"/>
      <c r="BE1131" s="1263"/>
    </row>
    <row r="1132" spans="1:57" s="369" customFormat="1" x14ac:dyDescent="0.2">
      <c r="A1132" s="411"/>
      <c r="B1132" s="315"/>
      <c r="C1132" s="523"/>
      <c r="D1132" s="1554"/>
      <c r="E1132" s="1554"/>
      <c r="F1132" s="1554"/>
      <c r="G1132" s="1554"/>
      <c r="H1132" s="1554"/>
      <c r="I1132" s="1554"/>
      <c r="J1132" s="1554"/>
      <c r="K1132" s="1554"/>
      <c r="L1132" s="1554"/>
      <c r="M1132" s="1554"/>
      <c r="N1132" s="1554"/>
      <c r="O1132" s="1554"/>
      <c r="P1132" s="1554"/>
      <c r="Q1132" s="1554"/>
      <c r="R1132" s="1554"/>
      <c r="S1132" s="1554"/>
      <c r="T1132" s="1554"/>
      <c r="U1132" s="1554"/>
      <c r="V1132" s="1554"/>
      <c r="W1132" s="1554"/>
      <c r="X1132" s="1554"/>
      <c r="Y1132" s="1554"/>
      <c r="Z1132" s="1560"/>
      <c r="AA1132" s="1562"/>
      <c r="AB1132" s="1562"/>
      <c r="AC1132" s="1562"/>
      <c r="AD1132" s="1263"/>
      <c r="AE1132" s="1263"/>
      <c r="AF1132" s="1263"/>
      <c r="AG1132" s="1263"/>
      <c r="AH1132" s="1263"/>
      <c r="AI1132" s="1562"/>
      <c r="AJ1132" s="1562"/>
      <c r="AK1132" s="1562"/>
      <c r="AL1132" s="1562"/>
      <c r="AM1132" s="1562"/>
      <c r="AN1132" s="1562"/>
      <c r="AO1132" s="1562"/>
      <c r="AP1132" s="1562"/>
      <c r="AQ1132" s="1562"/>
      <c r="AR1132" s="1236"/>
      <c r="AS1132" s="1400"/>
      <c r="AT1132" s="1440"/>
      <c r="AU1132" s="1267"/>
      <c r="AV1132" s="1267"/>
      <c r="AW1132" s="1267"/>
      <c r="AX1132" s="1267"/>
      <c r="AY1132" s="1267"/>
      <c r="AZ1132" s="1267"/>
      <c r="BA1132" s="1267"/>
      <c r="BB1132" s="1263"/>
      <c r="BC1132" s="1263"/>
      <c r="BD1132" s="1263"/>
      <c r="BE1132" s="1263"/>
    </row>
    <row r="1133" spans="1:57" s="369" customFormat="1" x14ac:dyDescent="0.2">
      <c r="A1133" s="411"/>
      <c r="B1133" s="315"/>
      <c r="C1133" s="523"/>
      <c r="D1133" s="1562"/>
      <c r="E1133" s="1562"/>
      <c r="F1133" s="1562"/>
      <c r="G1133" s="1562"/>
      <c r="H1133" s="1562"/>
      <c r="I1133" s="1562"/>
      <c r="J1133" s="1562"/>
      <c r="K1133" s="1562"/>
      <c r="L1133" s="1562"/>
      <c r="M1133" s="1562"/>
      <c r="N1133" s="1562"/>
      <c r="O1133" s="1562"/>
      <c r="P1133" s="1562"/>
      <c r="Q1133" s="1562"/>
      <c r="R1133" s="1562"/>
      <c r="S1133" s="1562"/>
      <c r="T1133" s="1562"/>
      <c r="U1133" s="1562"/>
      <c r="V1133" s="1562"/>
      <c r="W1133" s="1562"/>
      <c r="X1133" s="1562"/>
      <c r="Y1133" s="1562"/>
      <c r="Z1133" s="1560"/>
      <c r="AA1133" s="1560"/>
      <c r="AB1133" s="1560"/>
      <c r="AC1133" s="1560"/>
      <c r="AD1133" s="1263"/>
      <c r="AE1133" s="1263"/>
      <c r="AF1133" s="1263"/>
      <c r="AG1133" s="1263"/>
      <c r="AH1133" s="1263"/>
      <c r="AI1133" s="1562"/>
      <c r="AJ1133" s="1562"/>
      <c r="AK1133" s="1562"/>
      <c r="AL1133" s="1562"/>
      <c r="AM1133" s="1562"/>
      <c r="AN1133" s="1562"/>
      <c r="AO1133" s="1562"/>
      <c r="AP1133" s="1562"/>
      <c r="AQ1133" s="1562"/>
      <c r="AR1133" s="1236"/>
      <c r="AS1133" s="1400"/>
      <c r="AT1133" s="1440"/>
      <c r="AU1133" s="1409"/>
      <c r="AV1133" s="1409"/>
      <c r="AW1133" s="1409"/>
      <c r="AX1133" s="1513"/>
      <c r="AY1133" s="1409"/>
      <c r="AZ1133" s="1409"/>
      <c r="BA1133" s="1263"/>
      <c r="BB1133" s="1263"/>
      <c r="BC1133" s="1263"/>
      <c r="BD1133" s="1263"/>
      <c r="BE1133" s="1263"/>
    </row>
    <row r="1134" spans="1:57" s="369" customFormat="1" x14ac:dyDescent="0.2">
      <c r="A1134" s="411"/>
      <c r="B1134" s="315"/>
      <c r="C1134" s="523"/>
      <c r="D1134" s="1554"/>
      <c r="E1134" s="1554"/>
      <c r="F1134" s="1554"/>
      <c r="G1134" s="1554"/>
      <c r="H1134" s="1554"/>
      <c r="I1134" s="1554"/>
      <c r="J1134" s="1554"/>
      <c r="K1134" s="1554"/>
      <c r="L1134" s="1554"/>
      <c r="M1134" s="1554"/>
      <c r="N1134" s="1554"/>
      <c r="O1134" s="1554"/>
      <c r="P1134" s="1554"/>
      <c r="Q1134" s="1554"/>
      <c r="R1134" s="1554"/>
      <c r="S1134" s="1554"/>
      <c r="T1134" s="1554"/>
      <c r="U1134" s="1554"/>
      <c r="V1134" s="1554"/>
      <c r="W1134" s="1554"/>
      <c r="X1134" s="1554"/>
      <c r="Y1134" s="1554"/>
      <c r="Z1134" s="1560"/>
      <c r="AA1134" s="1563"/>
      <c r="AB1134" s="1563"/>
      <c r="AC1134" s="1563"/>
      <c r="AD1134" s="1263"/>
      <c r="AE1134" s="1263"/>
      <c r="AF1134" s="1263"/>
      <c r="AG1134" s="1263"/>
      <c r="AH1134" s="1263"/>
      <c r="AI1134" s="1562"/>
      <c r="AJ1134" s="1562"/>
      <c r="AK1134" s="1562"/>
      <c r="AL1134" s="1562"/>
      <c r="AM1134" s="1562"/>
      <c r="AN1134" s="1562"/>
      <c r="AO1134" s="1562"/>
      <c r="AP1134" s="1562"/>
      <c r="AQ1134" s="1562"/>
      <c r="AR1134" s="1236"/>
      <c r="AS1134" s="1400"/>
      <c r="AT1134" s="1440"/>
      <c r="AU1134" s="1236"/>
      <c r="AV1134" s="1236"/>
      <c r="AW1134" s="1236"/>
      <c r="AX1134" s="1236"/>
      <c r="AY1134" s="1236"/>
      <c r="AZ1134" s="1236"/>
      <c r="BA1134" s="1236"/>
      <c r="BB1134" s="1263"/>
      <c r="BC1134" s="1263"/>
      <c r="BD1134" s="1263"/>
      <c r="BE1134" s="1263"/>
    </row>
    <row r="1135" spans="1:57" s="369" customFormat="1" x14ac:dyDescent="0.2">
      <c r="A1135" s="411"/>
      <c r="B1135" s="412"/>
      <c r="C1135" s="523"/>
      <c r="D1135" s="1562"/>
      <c r="E1135" s="1562"/>
      <c r="F1135" s="1562"/>
      <c r="G1135" s="1562"/>
      <c r="H1135" s="1562"/>
      <c r="I1135" s="1562"/>
      <c r="J1135" s="1562"/>
      <c r="K1135" s="1562"/>
      <c r="L1135" s="1562"/>
      <c r="M1135" s="1562"/>
      <c r="N1135" s="1562"/>
      <c r="O1135" s="1562"/>
      <c r="P1135" s="1562"/>
      <c r="Q1135" s="1562"/>
      <c r="R1135" s="1562"/>
      <c r="S1135" s="1562"/>
      <c r="T1135" s="1562"/>
      <c r="U1135" s="1562"/>
      <c r="V1135" s="1562"/>
      <c r="W1135" s="1562"/>
      <c r="X1135" s="1562"/>
      <c r="Y1135" s="1562"/>
      <c r="Z1135" s="1560"/>
      <c r="AA1135" s="1560"/>
      <c r="AB1135" s="1560"/>
      <c r="AC1135" s="1560"/>
      <c r="AD1135" s="1308"/>
      <c r="AE1135" s="1308"/>
      <c r="AF1135" s="1308"/>
      <c r="AG1135" s="1308"/>
      <c r="AH1135" s="1308"/>
      <c r="AI1135" s="1562"/>
      <c r="AJ1135" s="1562"/>
      <c r="AK1135" s="1562"/>
      <c r="AL1135" s="1562"/>
      <c r="AM1135" s="1562"/>
      <c r="AN1135" s="1562"/>
      <c r="AO1135" s="1562"/>
      <c r="AP1135" s="1562"/>
      <c r="AQ1135" s="1562"/>
      <c r="AR1135" s="1236"/>
      <c r="AS1135" s="1416"/>
      <c r="AT1135" s="1440"/>
      <c r="AU1135" s="1409"/>
      <c r="AV1135" s="1409"/>
      <c r="AW1135" s="1409"/>
      <c r="AX1135" s="1513"/>
      <c r="AY1135" s="1409"/>
      <c r="AZ1135" s="1409"/>
      <c r="BA1135" s="1263"/>
      <c r="BB1135" s="1263"/>
      <c r="BC1135" s="1263"/>
      <c r="BD1135" s="1263"/>
      <c r="BE1135" s="1263"/>
    </row>
    <row r="1136" spans="1:57" s="369" customFormat="1" x14ac:dyDescent="0.2">
      <c r="A1136" s="411"/>
      <c r="B1136" s="315"/>
      <c r="C1136" s="321"/>
      <c r="D1136" s="1291"/>
      <c r="E1136" s="1291"/>
      <c r="F1136" s="1291"/>
      <c r="G1136" s="1291"/>
      <c r="H1136" s="1291"/>
      <c r="I1136" s="1291"/>
      <c r="J1136" s="1291"/>
      <c r="K1136" s="1291"/>
      <c r="L1136" s="1291"/>
      <c r="M1136" s="1291"/>
      <c r="N1136" s="1291"/>
      <c r="O1136" s="1291"/>
      <c r="P1136" s="1291"/>
      <c r="Q1136" s="1291"/>
      <c r="R1136" s="1291"/>
      <c r="S1136" s="1291"/>
      <c r="T1136" s="1291"/>
      <c r="U1136" s="1291"/>
      <c r="V1136" s="1291"/>
      <c r="W1136" s="1291"/>
      <c r="X1136" s="1291"/>
      <c r="Y1136" s="1291"/>
      <c r="Z1136" s="1560"/>
      <c r="AA1136" s="1563"/>
      <c r="AB1136" s="1563"/>
      <c r="AC1136" s="1563"/>
      <c r="AD1136" s="1263"/>
      <c r="AE1136" s="1263"/>
      <c r="AF1136" s="1263"/>
      <c r="AG1136" s="1263"/>
      <c r="AH1136" s="1263"/>
      <c r="AI1136" s="1563"/>
      <c r="AJ1136" s="1563"/>
      <c r="AK1136" s="1563"/>
      <c r="AL1136" s="1563"/>
      <c r="AM1136" s="1563"/>
      <c r="AN1136" s="1563"/>
      <c r="AO1136" s="1563"/>
      <c r="AP1136" s="1563"/>
      <c r="AQ1136" s="1563"/>
      <c r="AR1136" s="1236"/>
      <c r="AS1136" s="1400"/>
      <c r="AT1136" s="1284"/>
      <c r="AU1136" s="1409"/>
      <c r="AV1136" s="1409"/>
      <c r="AW1136" s="1409"/>
      <c r="AX1136" s="1409"/>
      <c r="AY1136" s="1409"/>
      <c r="AZ1136" s="1409"/>
      <c r="BA1136" s="1409"/>
      <c r="BB1136" s="1263"/>
      <c r="BC1136" s="1263"/>
      <c r="BD1136" s="1263"/>
      <c r="BE1136" s="1263"/>
    </row>
    <row r="1137" spans="1:57" s="369" customFormat="1" x14ac:dyDescent="0.2">
      <c r="A1137" s="411"/>
      <c r="B1137" s="315"/>
      <c r="C1137" s="321"/>
      <c r="D1137" s="1410"/>
      <c r="E1137" s="1410"/>
      <c r="F1137" s="1410"/>
      <c r="G1137" s="1410"/>
      <c r="H1137" s="1410"/>
      <c r="I1137" s="1410"/>
      <c r="J1137" s="1410"/>
      <c r="K1137" s="1410"/>
      <c r="L1137" s="1410"/>
      <c r="M1137" s="1410"/>
      <c r="N1137" s="1410"/>
      <c r="O1137" s="1410"/>
      <c r="P1137" s="1410"/>
      <c r="Q1137" s="1410"/>
      <c r="R1137" s="1410"/>
      <c r="S1137" s="1410"/>
      <c r="T1137" s="1410"/>
      <c r="U1137" s="1410"/>
      <c r="V1137" s="1410"/>
      <c r="W1137" s="1410"/>
      <c r="X1137" s="1410"/>
      <c r="Y1137" s="1416"/>
      <c r="Z1137" s="1440"/>
      <c r="AA1137" s="1440"/>
      <c r="AB1137" s="1440"/>
      <c r="AC1137" s="1440"/>
      <c r="AD1137" s="1263"/>
      <c r="AE1137" s="1263"/>
      <c r="AF1137" s="1263"/>
      <c r="AG1137" s="1263"/>
      <c r="AH1137" s="1263"/>
      <c r="AI1137" s="1410"/>
      <c r="AJ1137" s="1410"/>
      <c r="AK1137" s="1410"/>
      <c r="AL1137" s="1410"/>
      <c r="AM1137" s="1410"/>
      <c r="AN1137" s="1410"/>
      <c r="AO1137" s="1410"/>
      <c r="AP1137" s="1410"/>
      <c r="AQ1137" s="1410"/>
      <c r="AR1137" s="1236"/>
      <c r="AS1137" s="1400"/>
      <c r="AT1137" s="1284"/>
      <c r="AU1137" s="1263"/>
      <c r="AV1137" s="1263"/>
      <c r="AW1137" s="1263"/>
      <c r="AX1137" s="1263"/>
      <c r="AY1137" s="1263"/>
      <c r="AZ1137" s="1263"/>
      <c r="BA1137" s="1263"/>
      <c r="BB1137" s="1263"/>
      <c r="BC1137" s="1263"/>
      <c r="BD1137" s="1263"/>
      <c r="BE1137" s="1263"/>
    </row>
    <row r="1138" spans="1:57" s="369" customFormat="1" x14ac:dyDescent="0.2">
      <c r="A1138" s="411"/>
      <c r="B1138" s="315"/>
      <c r="C1138" s="321"/>
      <c r="D1138" s="1410"/>
      <c r="E1138" s="1410"/>
      <c r="F1138" s="1410"/>
      <c r="G1138" s="1410"/>
      <c r="H1138" s="1410"/>
      <c r="I1138" s="1410"/>
      <c r="J1138" s="1410"/>
      <c r="K1138" s="1410"/>
      <c r="L1138" s="1410"/>
      <c r="M1138" s="1410"/>
      <c r="N1138" s="1410"/>
      <c r="O1138" s="1410"/>
      <c r="P1138" s="1410"/>
      <c r="Q1138" s="1410"/>
      <c r="R1138" s="1410"/>
      <c r="S1138" s="1410"/>
      <c r="T1138" s="1410"/>
      <c r="U1138" s="1410"/>
      <c r="V1138" s="1410"/>
      <c r="W1138" s="1410"/>
      <c r="X1138" s="1410"/>
      <c r="Y1138" s="1416"/>
      <c r="Z1138" s="1440"/>
      <c r="AA1138" s="1440"/>
      <c r="AB1138" s="1440"/>
      <c r="AC1138" s="1440"/>
      <c r="AD1138" s="1263"/>
      <c r="AE1138" s="1263"/>
      <c r="AF1138" s="1263"/>
      <c r="AG1138" s="1263"/>
      <c r="AH1138" s="1263"/>
      <c r="AI1138" s="1410"/>
      <c r="AJ1138" s="1410"/>
      <c r="AK1138" s="1410"/>
      <c r="AL1138" s="1410"/>
      <c r="AM1138" s="1410"/>
      <c r="AN1138" s="1410"/>
      <c r="AO1138" s="1410"/>
      <c r="AP1138" s="1410"/>
      <c r="AQ1138" s="1410"/>
      <c r="AR1138" s="1236"/>
      <c r="AS1138" s="1400"/>
      <c r="AT1138" s="1284"/>
      <c r="AU1138" s="1263"/>
      <c r="AV1138" s="1263"/>
      <c r="AW1138" s="1263"/>
      <c r="AX1138" s="1263"/>
      <c r="AY1138" s="1263"/>
      <c r="AZ1138" s="1263"/>
      <c r="BA1138" s="1263"/>
      <c r="BB1138" s="1263"/>
      <c r="BC1138" s="1263"/>
      <c r="BD1138" s="1263"/>
      <c r="BE1138" s="1263"/>
    </row>
    <row r="1139" spans="1:57" s="342" customFormat="1" x14ac:dyDescent="0.2">
      <c r="A1139" s="830"/>
      <c r="B1139" s="705"/>
      <c r="C1139" s="706"/>
      <c r="D1139" s="1265"/>
      <c r="E1139" s="1265"/>
      <c r="F1139" s="1265"/>
      <c r="G1139" s="1265"/>
      <c r="H1139" s="1265"/>
      <c r="I1139" s="1547"/>
      <c r="J1139" s="1468"/>
      <c r="K1139" s="1547"/>
      <c r="L1139" s="1468"/>
      <c r="M1139" s="1547"/>
      <c r="N1139" s="1547"/>
      <c r="O1139" s="1547"/>
      <c r="P1139" s="1468"/>
      <c r="Q1139" s="1547"/>
      <c r="R1139" s="1547"/>
      <c r="S1139" s="1547"/>
      <c r="T1139" s="1547"/>
      <c r="U1139" s="1547"/>
      <c r="V1139" s="1547"/>
      <c r="W1139" s="1547"/>
      <c r="X1139" s="1547"/>
      <c r="Y1139" s="1547"/>
      <c r="Z1139" s="1547"/>
      <c r="AA1139" s="1547"/>
      <c r="AB1139" s="1547"/>
      <c r="AC1139" s="1547"/>
      <c r="AD1139" s="1547"/>
      <c r="AE1139" s="1547"/>
      <c r="AF1139" s="1547"/>
      <c r="AG1139" s="1547"/>
      <c r="AH1139" s="1547"/>
      <c r="AI1139" s="1265"/>
      <c r="AJ1139" s="1265"/>
      <c r="AK1139" s="1265"/>
      <c r="AL1139" s="1265"/>
      <c r="AM1139" s="1265"/>
      <c r="AN1139" s="1265"/>
      <c r="AO1139" s="1265"/>
      <c r="AP1139" s="1265"/>
      <c r="AQ1139" s="1265"/>
      <c r="AR1139" s="1236"/>
      <c r="AS1139" s="1547"/>
      <c r="AT1139" s="1265"/>
      <c r="AU1139" s="1265"/>
      <c r="AV1139" s="1265"/>
      <c r="AW1139" s="1265"/>
      <c r="AX1139" s="1265"/>
      <c r="AY1139" s="1265"/>
      <c r="AZ1139" s="1547"/>
      <c r="BA1139" s="1468"/>
      <c r="BB1139" s="1547"/>
      <c r="BC1139" s="1468"/>
      <c r="BD1139" s="1468"/>
      <c r="BE1139" s="1547"/>
    </row>
    <row r="1140" spans="1:57" s="342" customFormat="1" x14ac:dyDescent="0.2">
      <c r="A1140" s="830"/>
      <c r="B1140" s="523"/>
      <c r="C1140" s="412"/>
      <c r="D1140" s="1554"/>
      <c r="E1140" s="1423"/>
      <c r="F1140" s="1423"/>
      <c r="G1140" s="1423"/>
      <c r="H1140" s="1423"/>
      <c r="I1140" s="1423"/>
      <c r="J1140" s="1423"/>
      <c r="K1140" s="1423"/>
      <c r="L1140" s="1423"/>
      <c r="M1140" s="1423"/>
      <c r="N1140" s="1423"/>
      <c r="O1140" s="1423"/>
      <c r="P1140" s="1423"/>
      <c r="Q1140" s="1423"/>
      <c r="R1140" s="1423"/>
      <c r="S1140" s="1423"/>
      <c r="T1140" s="1423"/>
      <c r="U1140" s="1423"/>
      <c r="V1140" s="1423"/>
      <c r="W1140" s="1423"/>
      <c r="X1140" s="1423"/>
      <c r="Y1140" s="1423"/>
      <c r="Z1140" s="1263"/>
      <c r="AA1140" s="1263"/>
      <c r="AB1140" s="1494"/>
      <c r="AC1140" s="1263"/>
      <c r="AD1140" s="1263"/>
      <c r="AE1140" s="1263"/>
      <c r="AF1140" s="1263"/>
      <c r="AG1140" s="1263"/>
      <c r="AH1140" s="1263"/>
      <c r="AI1140" s="1263"/>
      <c r="AJ1140" s="1263"/>
      <c r="AK1140" s="1263"/>
      <c r="AL1140" s="1263"/>
      <c r="AM1140" s="1263"/>
      <c r="AN1140" s="1263"/>
      <c r="AO1140" s="1263"/>
      <c r="AP1140" s="1263"/>
      <c r="AQ1140" s="1263"/>
      <c r="AR1140" s="1236"/>
      <c r="AS1140" s="1440"/>
      <c r="AT1140" s="1416"/>
      <c r="AU1140" s="1263"/>
      <c r="AV1140" s="1267"/>
      <c r="AW1140" s="1267"/>
      <c r="AX1140" s="1267"/>
      <c r="AY1140" s="1267"/>
      <c r="AZ1140" s="1267"/>
      <c r="BA1140" s="1267"/>
      <c r="BB1140" s="1263"/>
      <c r="BC1140" s="1263"/>
      <c r="BD1140" s="1263"/>
      <c r="BE1140" s="1263"/>
    </row>
    <row r="1141" spans="1:57" s="342" customFormat="1" x14ac:dyDescent="0.2">
      <c r="A1141" s="830"/>
      <c r="B1141" s="412"/>
      <c r="C1141" s="412"/>
      <c r="D1141" s="1554"/>
      <c r="E1141" s="1554"/>
      <c r="F1141" s="1554"/>
      <c r="G1141" s="1554"/>
      <c r="H1141" s="1554"/>
      <c r="I1141" s="1554"/>
      <c r="J1141" s="1554"/>
      <c r="K1141" s="1554"/>
      <c r="L1141" s="1554"/>
      <c r="M1141" s="1554"/>
      <c r="N1141" s="1554"/>
      <c r="O1141" s="1554"/>
      <c r="P1141" s="1554"/>
      <c r="Q1141" s="1554"/>
      <c r="R1141" s="1554"/>
      <c r="S1141" s="1554"/>
      <c r="T1141" s="1554"/>
      <c r="U1141" s="1554"/>
      <c r="V1141" s="1554"/>
      <c r="W1141" s="1554"/>
      <c r="X1141" s="1554"/>
      <c r="Y1141" s="1554"/>
      <c r="Z1141" s="1409"/>
      <c r="AA1141" s="1409"/>
      <c r="AB1141" s="1409"/>
      <c r="AC1141" s="1409"/>
      <c r="AD1141" s="1409"/>
      <c r="AE1141" s="1409"/>
      <c r="AF1141" s="1409"/>
      <c r="AG1141" s="1409"/>
      <c r="AH1141" s="1409"/>
      <c r="AI1141" s="1263"/>
      <c r="AJ1141" s="1263"/>
      <c r="AK1141" s="1263"/>
      <c r="AL1141" s="1263"/>
      <c r="AM1141" s="1263"/>
      <c r="AN1141" s="1263"/>
      <c r="AO1141" s="1263"/>
      <c r="AP1141" s="1263"/>
      <c r="AQ1141" s="1263"/>
      <c r="AR1141" s="1236"/>
      <c r="AS1141" s="1416"/>
      <c r="AT1141" s="1416"/>
      <c r="AU1141" s="1236"/>
      <c r="AV1141" s="1236"/>
      <c r="AW1141" s="1236"/>
      <c r="AX1141" s="1236"/>
      <c r="AY1141" s="1236"/>
      <c r="AZ1141" s="1301"/>
      <c r="BA1141" s="1301"/>
      <c r="BB1141" s="1263"/>
      <c r="BC1141" s="1263"/>
      <c r="BD1141" s="1263"/>
      <c r="BE1141" s="1263"/>
    </row>
    <row r="1142" spans="1:57" s="342" customFormat="1" x14ac:dyDescent="0.2">
      <c r="A1142" s="830"/>
      <c r="B1142" s="412"/>
      <c r="C1142" s="730"/>
      <c r="D1142" s="1363"/>
      <c r="E1142" s="1363"/>
      <c r="F1142" s="1363"/>
      <c r="G1142" s="1363"/>
      <c r="H1142" s="1363"/>
      <c r="I1142" s="1363"/>
      <c r="J1142" s="1363"/>
      <c r="K1142" s="1363"/>
      <c r="L1142" s="1363"/>
      <c r="M1142" s="1363"/>
      <c r="N1142" s="1363"/>
      <c r="O1142" s="1363"/>
      <c r="P1142" s="1363"/>
      <c r="Q1142" s="1363"/>
      <c r="R1142" s="1363"/>
      <c r="S1142" s="1363"/>
      <c r="T1142" s="1363"/>
      <c r="U1142" s="1363"/>
      <c r="V1142" s="1363"/>
      <c r="W1142" s="1363"/>
      <c r="X1142" s="1363"/>
      <c r="Y1142" s="1363"/>
      <c r="Z1142" s="1409"/>
      <c r="AA1142" s="1409"/>
      <c r="AB1142" s="1409"/>
      <c r="AC1142" s="1409"/>
      <c r="AD1142" s="1409"/>
      <c r="AE1142" s="1409"/>
      <c r="AF1142" s="1409"/>
      <c r="AG1142" s="1409"/>
      <c r="AH1142" s="1409"/>
      <c r="AI1142" s="1263"/>
      <c r="AJ1142" s="1263"/>
      <c r="AK1142" s="1263"/>
      <c r="AL1142" s="1263"/>
      <c r="AM1142" s="1263"/>
      <c r="AN1142" s="1263"/>
      <c r="AO1142" s="1263"/>
      <c r="AP1142" s="1263"/>
      <c r="AQ1142" s="1263"/>
      <c r="AR1142" s="1236"/>
      <c r="AS1142" s="1416"/>
      <c r="AT1142" s="1555"/>
      <c r="AU1142" s="1236"/>
      <c r="AV1142" s="1236"/>
      <c r="AW1142" s="1236"/>
      <c r="AX1142" s="1236"/>
      <c r="AY1142" s="1236"/>
      <c r="AZ1142" s="1301"/>
      <c r="BA1142" s="1301"/>
      <c r="BB1142" s="1263"/>
      <c r="BC1142" s="1263"/>
      <c r="BD1142" s="1263"/>
      <c r="BE1142" s="1263"/>
    </row>
    <row r="1143" spans="1:57" s="342" customFormat="1" x14ac:dyDescent="0.2">
      <c r="A1143" s="830"/>
      <c r="B1143" s="412"/>
      <c r="C1143" s="412"/>
      <c r="D1143" s="1263"/>
      <c r="E1143" s="1263"/>
      <c r="F1143" s="1263"/>
      <c r="G1143" s="1263"/>
      <c r="H1143" s="1263"/>
      <c r="I1143" s="1263"/>
      <c r="J1143" s="1263"/>
      <c r="K1143" s="1263"/>
      <c r="L1143" s="1263"/>
      <c r="M1143" s="1263"/>
      <c r="N1143" s="1263"/>
      <c r="O1143" s="1263"/>
      <c r="P1143" s="1263"/>
      <c r="Q1143" s="1263"/>
      <c r="R1143" s="1263"/>
      <c r="S1143" s="1263"/>
      <c r="T1143" s="1263"/>
      <c r="U1143" s="1263"/>
      <c r="V1143" s="1263"/>
      <c r="W1143" s="1263"/>
      <c r="X1143" s="1263"/>
      <c r="Y1143" s="1263"/>
      <c r="Z1143" s="1409"/>
      <c r="AA1143" s="1409"/>
      <c r="AB1143" s="1409"/>
      <c r="AC1143" s="1409"/>
      <c r="AD1143" s="1409"/>
      <c r="AE1143" s="1409"/>
      <c r="AF1143" s="1409"/>
      <c r="AG1143" s="1409"/>
      <c r="AH1143" s="1409"/>
      <c r="AI1143" s="1263"/>
      <c r="AJ1143" s="1263"/>
      <c r="AK1143" s="1263"/>
      <c r="AL1143" s="1263"/>
      <c r="AM1143" s="1263"/>
      <c r="AN1143" s="1263"/>
      <c r="AO1143" s="1263"/>
      <c r="AP1143" s="1263"/>
      <c r="AQ1143" s="1263"/>
      <c r="AR1143" s="1236"/>
      <c r="AS1143" s="1416"/>
      <c r="AT1143" s="1416"/>
      <c r="AU1143" s="1410"/>
      <c r="AV1143" s="1410"/>
      <c r="AW1143" s="1410"/>
      <c r="AX1143" s="1410"/>
      <c r="AY1143" s="1410"/>
      <c r="AZ1143" s="1291"/>
      <c r="BA1143" s="1291"/>
      <c r="BB1143" s="1263"/>
      <c r="BC1143" s="1263"/>
      <c r="BD1143" s="1263"/>
      <c r="BE1143" s="1263"/>
    </row>
    <row r="1144" spans="1:57" s="342" customFormat="1" x14ac:dyDescent="0.2">
      <c r="A1144" s="830"/>
      <c r="B1144" s="412"/>
      <c r="C1144" s="730"/>
      <c r="D1144" s="1267"/>
      <c r="E1144" s="1267"/>
      <c r="F1144" s="1267"/>
      <c r="G1144" s="1267"/>
      <c r="H1144" s="1267"/>
      <c r="I1144" s="1267"/>
      <c r="J1144" s="1267"/>
      <c r="K1144" s="1267"/>
      <c r="L1144" s="1267"/>
      <c r="M1144" s="1267"/>
      <c r="N1144" s="1267"/>
      <c r="O1144" s="1267"/>
      <c r="P1144" s="1267"/>
      <c r="Q1144" s="1267"/>
      <c r="R1144" s="1267"/>
      <c r="S1144" s="1267"/>
      <c r="T1144" s="1267"/>
      <c r="U1144" s="1267"/>
      <c r="V1144" s="1267"/>
      <c r="W1144" s="1267"/>
      <c r="X1144" s="1267"/>
      <c r="Y1144" s="1267"/>
      <c r="Z1144" s="1409"/>
      <c r="AA1144" s="1409"/>
      <c r="AB1144" s="1409"/>
      <c r="AC1144" s="1409"/>
      <c r="AD1144" s="1409"/>
      <c r="AE1144" s="1409"/>
      <c r="AF1144" s="1409"/>
      <c r="AG1144" s="1409"/>
      <c r="AH1144" s="1409"/>
      <c r="AI1144" s="1263"/>
      <c r="AJ1144" s="1263"/>
      <c r="AK1144" s="1263"/>
      <c r="AL1144" s="1263"/>
      <c r="AM1144" s="1263"/>
      <c r="AN1144" s="1263"/>
      <c r="AO1144" s="1263"/>
      <c r="AP1144" s="1263"/>
      <c r="AQ1144" s="1263"/>
      <c r="AR1144" s="1236"/>
      <c r="AS1144" s="1416"/>
      <c r="AT1144" s="1555"/>
      <c r="AU1144" s="1267"/>
      <c r="AV1144" s="1267"/>
      <c r="AW1144" s="1267"/>
      <c r="AX1144" s="1267"/>
      <c r="AY1144" s="1267"/>
      <c r="AZ1144" s="1267"/>
      <c r="BA1144" s="1267"/>
      <c r="BB1144" s="1263"/>
      <c r="BC1144" s="1263"/>
      <c r="BD1144" s="1263"/>
      <c r="BE1144" s="1263"/>
    </row>
    <row r="1145" spans="1:57" s="342" customFormat="1" x14ac:dyDescent="0.2">
      <c r="A1145" s="830"/>
      <c r="B1145" s="735"/>
      <c r="C1145" s="736"/>
      <c r="D1145" s="1564"/>
      <c r="E1145" s="1564"/>
      <c r="F1145" s="1564"/>
      <c r="G1145" s="1564"/>
      <c r="H1145" s="1564"/>
      <c r="I1145" s="1564"/>
      <c r="J1145" s="1564"/>
      <c r="K1145" s="1564"/>
      <c r="L1145" s="1564"/>
      <c r="M1145" s="1564"/>
      <c r="N1145" s="1564"/>
      <c r="O1145" s="1564"/>
      <c r="P1145" s="1564"/>
      <c r="Q1145" s="1564"/>
      <c r="R1145" s="1564"/>
      <c r="S1145" s="1564"/>
      <c r="T1145" s="1564"/>
      <c r="U1145" s="1564"/>
      <c r="V1145" s="1564"/>
      <c r="W1145" s="1564"/>
      <c r="X1145" s="1564"/>
      <c r="Y1145" s="1564"/>
      <c r="Z1145" s="1409"/>
      <c r="AA1145" s="1409"/>
      <c r="AB1145" s="1409"/>
      <c r="AC1145" s="1409"/>
      <c r="AD1145" s="1409"/>
      <c r="AE1145" s="1409"/>
      <c r="AF1145" s="1409"/>
      <c r="AG1145" s="1409"/>
      <c r="AH1145" s="1409"/>
      <c r="AI1145" s="1263"/>
      <c r="AJ1145" s="1263"/>
      <c r="AK1145" s="1263"/>
      <c r="AL1145" s="1263"/>
      <c r="AM1145" s="1263"/>
      <c r="AN1145" s="1263"/>
      <c r="AO1145" s="1263"/>
      <c r="AP1145" s="1263"/>
      <c r="AQ1145" s="1263"/>
      <c r="AR1145" s="1236"/>
      <c r="AS1145" s="1560"/>
      <c r="AT1145" s="1553"/>
      <c r="AU1145" s="1409"/>
      <c r="AV1145" s="1409"/>
      <c r="AW1145" s="1409"/>
      <c r="AX1145" s="1409"/>
      <c r="AY1145" s="1409"/>
      <c r="AZ1145" s="1447"/>
      <c r="BA1145" s="1447"/>
      <c r="BB1145" s="1263"/>
      <c r="BC1145" s="1263"/>
      <c r="BD1145" s="1263"/>
      <c r="BE1145" s="1263"/>
    </row>
    <row r="1146" spans="1:57" s="342" customFormat="1" x14ac:dyDescent="0.2">
      <c r="A1146" s="830"/>
      <c r="B1146" s="735"/>
      <c r="C1146" s="736"/>
      <c r="D1146" s="1263"/>
      <c r="E1146" s="1263"/>
      <c r="F1146" s="1263"/>
      <c r="G1146" s="1263"/>
      <c r="H1146" s="1263"/>
      <c r="I1146" s="1409"/>
      <c r="J1146" s="1358"/>
      <c r="K1146" s="1409"/>
      <c r="L1146" s="1358"/>
      <c r="M1146" s="1409"/>
      <c r="N1146" s="1409"/>
      <c r="O1146" s="1409"/>
      <c r="P1146" s="1358"/>
      <c r="Q1146" s="1409"/>
      <c r="R1146" s="1409"/>
      <c r="S1146" s="1409"/>
      <c r="T1146" s="1409"/>
      <c r="U1146" s="1409"/>
      <c r="V1146" s="1409"/>
      <c r="W1146" s="1409"/>
      <c r="X1146" s="1409"/>
      <c r="Y1146" s="1409"/>
      <c r="Z1146" s="1409"/>
      <c r="AA1146" s="1409"/>
      <c r="AB1146" s="1409"/>
      <c r="AC1146" s="1409"/>
      <c r="AD1146" s="1409"/>
      <c r="AE1146" s="1409"/>
      <c r="AF1146" s="1409"/>
      <c r="AG1146" s="1409"/>
      <c r="AH1146" s="1409"/>
      <c r="AI1146" s="1263"/>
      <c r="AJ1146" s="1263"/>
      <c r="AK1146" s="1263"/>
      <c r="AL1146" s="1263"/>
      <c r="AM1146" s="1263"/>
      <c r="AN1146" s="1263"/>
      <c r="AO1146" s="1263"/>
      <c r="AP1146" s="1263"/>
      <c r="AQ1146" s="1263"/>
      <c r="AR1146" s="1236"/>
      <c r="AS1146" s="1560"/>
      <c r="AT1146" s="1553"/>
      <c r="AU1146" s="1236"/>
      <c r="AV1146" s="1236"/>
      <c r="AW1146" s="1236"/>
      <c r="AX1146" s="1236"/>
      <c r="AY1146" s="1236"/>
      <c r="AZ1146" s="1236"/>
      <c r="BA1146" s="1236"/>
      <c r="BB1146" s="1263"/>
      <c r="BC1146" s="1263"/>
      <c r="BD1146" s="1263"/>
      <c r="BE1146" s="1263"/>
    </row>
    <row r="1147" spans="1:57" s="342" customFormat="1" x14ac:dyDescent="0.2">
      <c r="A1147" s="830"/>
      <c r="B1147" s="315"/>
      <c r="C1147" s="523"/>
      <c r="D1147" s="1554"/>
      <c r="E1147" s="1554"/>
      <c r="F1147" s="1554"/>
      <c r="G1147" s="1554"/>
      <c r="H1147" s="1554"/>
      <c r="I1147" s="1554"/>
      <c r="J1147" s="1554"/>
      <c r="K1147" s="1554"/>
      <c r="L1147" s="1554"/>
      <c r="M1147" s="1554"/>
      <c r="N1147" s="1554"/>
      <c r="O1147" s="1554"/>
      <c r="P1147" s="1554"/>
      <c r="Q1147" s="1554"/>
      <c r="R1147" s="1554"/>
      <c r="S1147" s="1554"/>
      <c r="T1147" s="1554"/>
      <c r="U1147" s="1554"/>
      <c r="V1147" s="1554"/>
      <c r="W1147" s="1554"/>
      <c r="X1147" s="1554"/>
      <c r="Y1147" s="1554"/>
      <c r="Z1147" s="1409"/>
      <c r="AA1147" s="1409"/>
      <c r="AB1147" s="1409"/>
      <c r="AC1147" s="1409"/>
      <c r="AD1147" s="1409"/>
      <c r="AE1147" s="1409"/>
      <c r="AF1147" s="1409"/>
      <c r="AG1147" s="1409"/>
      <c r="AH1147" s="1409"/>
      <c r="AI1147" s="1263"/>
      <c r="AJ1147" s="1263"/>
      <c r="AK1147" s="1263"/>
      <c r="AL1147" s="1263"/>
      <c r="AM1147" s="1263"/>
      <c r="AN1147" s="1263"/>
      <c r="AO1147" s="1263"/>
      <c r="AP1147" s="1263"/>
      <c r="AQ1147" s="1263"/>
      <c r="AR1147" s="1236"/>
      <c r="AS1147" s="1400"/>
      <c r="AT1147" s="1440"/>
      <c r="AU1147" s="1267"/>
      <c r="AV1147" s="1267"/>
      <c r="AW1147" s="1267"/>
      <c r="AX1147" s="1267"/>
      <c r="AY1147" s="1267"/>
      <c r="AZ1147" s="1267"/>
      <c r="BA1147" s="1267"/>
      <c r="BB1147" s="1263"/>
      <c r="BC1147" s="1263"/>
      <c r="BD1147" s="1263"/>
      <c r="BE1147" s="1263"/>
    </row>
    <row r="1148" spans="1:57" s="342" customFormat="1" x14ac:dyDescent="0.2">
      <c r="A1148" s="830"/>
      <c r="B1148" s="315"/>
      <c r="C1148" s="523"/>
      <c r="D1148" s="1240"/>
      <c r="E1148" s="1240"/>
      <c r="F1148" s="1240"/>
      <c r="G1148" s="1240"/>
      <c r="H1148" s="1240"/>
      <c r="I1148" s="1240"/>
      <c r="J1148" s="1260"/>
      <c r="K1148" s="1240"/>
      <c r="L1148" s="1260"/>
      <c r="M1148" s="1240"/>
      <c r="N1148" s="1240"/>
      <c r="O1148" s="1240"/>
      <c r="P1148" s="1260"/>
      <c r="Q1148" s="1240"/>
      <c r="R1148" s="1240"/>
      <c r="S1148" s="1240"/>
      <c r="T1148" s="1240"/>
      <c r="U1148" s="1240"/>
      <c r="V1148" s="1240"/>
      <c r="W1148" s="1240"/>
      <c r="X1148" s="1240"/>
      <c r="Y1148" s="1240"/>
      <c r="Z1148" s="1409"/>
      <c r="AA1148" s="1409"/>
      <c r="AB1148" s="1409"/>
      <c r="AC1148" s="1409"/>
      <c r="AD1148" s="1409"/>
      <c r="AE1148" s="1409"/>
      <c r="AF1148" s="1409"/>
      <c r="AG1148" s="1409"/>
      <c r="AH1148" s="1409"/>
      <c r="AI1148" s="1263"/>
      <c r="AJ1148" s="1263"/>
      <c r="AK1148" s="1263"/>
      <c r="AL1148" s="1263"/>
      <c r="AM1148" s="1263"/>
      <c r="AN1148" s="1263"/>
      <c r="AO1148" s="1263"/>
      <c r="AP1148" s="1263"/>
      <c r="AQ1148" s="1263"/>
      <c r="AR1148" s="1236"/>
      <c r="AS1148" s="1400"/>
      <c r="AT1148" s="1440"/>
      <c r="AU1148" s="1263"/>
      <c r="AV1148" s="1409"/>
      <c r="AW1148" s="1409"/>
      <c r="AX1148" s="1409"/>
      <c r="AY1148" s="1263"/>
      <c r="AZ1148" s="1263"/>
      <c r="BA1148" s="1263"/>
      <c r="BB1148" s="1263"/>
      <c r="BC1148" s="1263"/>
      <c r="BD1148" s="1263"/>
      <c r="BE1148" s="1263"/>
    </row>
    <row r="1149" spans="1:57" s="342" customFormat="1" x14ac:dyDescent="0.2">
      <c r="A1149" s="830"/>
      <c r="B1149" s="315"/>
      <c r="C1149" s="523"/>
      <c r="D1149" s="1554"/>
      <c r="E1149" s="1554"/>
      <c r="F1149" s="1554"/>
      <c r="G1149" s="1554"/>
      <c r="H1149" s="1554"/>
      <c r="I1149" s="1554"/>
      <c r="J1149" s="1554"/>
      <c r="K1149" s="1554"/>
      <c r="L1149" s="1554"/>
      <c r="M1149" s="1554"/>
      <c r="N1149" s="1554"/>
      <c r="O1149" s="1554"/>
      <c r="P1149" s="1554"/>
      <c r="Q1149" s="1554"/>
      <c r="R1149" s="1554"/>
      <c r="S1149" s="1554"/>
      <c r="T1149" s="1554"/>
      <c r="U1149" s="1554"/>
      <c r="V1149" s="1554"/>
      <c r="W1149" s="1554"/>
      <c r="X1149" s="1554"/>
      <c r="Y1149" s="1554"/>
      <c r="Z1149" s="1409"/>
      <c r="AA1149" s="1409"/>
      <c r="AB1149" s="1409"/>
      <c r="AC1149" s="1409"/>
      <c r="AD1149" s="1409"/>
      <c r="AE1149" s="1409"/>
      <c r="AF1149" s="1409"/>
      <c r="AG1149" s="1409"/>
      <c r="AH1149" s="1409"/>
      <c r="AI1149" s="1263"/>
      <c r="AJ1149" s="1263"/>
      <c r="AK1149" s="1263"/>
      <c r="AL1149" s="1263"/>
      <c r="AM1149" s="1263"/>
      <c r="AN1149" s="1263"/>
      <c r="AO1149" s="1263"/>
      <c r="AP1149" s="1263"/>
      <c r="AQ1149" s="1263"/>
      <c r="AR1149" s="1236"/>
      <c r="AS1149" s="1400"/>
      <c r="AT1149" s="1440"/>
      <c r="AU1149" s="1236"/>
      <c r="AV1149" s="1236"/>
      <c r="AW1149" s="1236"/>
      <c r="AX1149" s="1236"/>
      <c r="AY1149" s="1236"/>
      <c r="AZ1149" s="1236"/>
      <c r="BA1149" s="1236"/>
      <c r="BB1149" s="1263"/>
      <c r="BC1149" s="1263"/>
      <c r="BD1149" s="1263"/>
      <c r="BE1149" s="1263"/>
    </row>
    <row r="1150" spans="1:57" s="342" customFormat="1" x14ac:dyDescent="0.2">
      <c r="A1150" s="830"/>
      <c r="B1150" s="412"/>
      <c r="C1150" s="523"/>
      <c r="D1150" s="1267"/>
      <c r="E1150" s="1267"/>
      <c r="F1150" s="1267"/>
      <c r="G1150" s="1267"/>
      <c r="H1150" s="1267"/>
      <c r="I1150" s="1447"/>
      <c r="J1150" s="1293"/>
      <c r="K1150" s="1447"/>
      <c r="L1150" s="1293"/>
      <c r="M1150" s="1447"/>
      <c r="N1150" s="1447"/>
      <c r="O1150" s="1447"/>
      <c r="P1150" s="1293"/>
      <c r="Q1150" s="1447"/>
      <c r="R1150" s="1447"/>
      <c r="S1150" s="1447"/>
      <c r="T1150" s="1447"/>
      <c r="U1150" s="1447"/>
      <c r="V1150" s="1447"/>
      <c r="W1150" s="1447"/>
      <c r="X1150" s="1447"/>
      <c r="Y1150" s="1447"/>
      <c r="Z1150" s="1409"/>
      <c r="AA1150" s="1409"/>
      <c r="AB1150" s="1409"/>
      <c r="AC1150" s="1409"/>
      <c r="AD1150" s="1409"/>
      <c r="AE1150" s="1409"/>
      <c r="AF1150" s="1409"/>
      <c r="AG1150" s="1409"/>
      <c r="AH1150" s="1409"/>
      <c r="AI1150" s="1263"/>
      <c r="AJ1150" s="1263"/>
      <c r="AK1150" s="1263"/>
      <c r="AL1150" s="1263"/>
      <c r="AM1150" s="1263"/>
      <c r="AN1150" s="1263"/>
      <c r="AO1150" s="1263"/>
      <c r="AP1150" s="1263"/>
      <c r="AQ1150" s="1263"/>
      <c r="AR1150" s="1236"/>
      <c r="AS1150" s="1416"/>
      <c r="AT1150" s="1440"/>
      <c r="AU1150" s="1409"/>
      <c r="AV1150" s="1409"/>
      <c r="AW1150" s="1409"/>
      <c r="AX1150" s="1513"/>
      <c r="AY1150" s="1409"/>
      <c r="AZ1150" s="1409"/>
      <c r="BA1150" s="1263"/>
      <c r="BB1150" s="1263"/>
      <c r="BC1150" s="1263"/>
      <c r="BD1150" s="1263"/>
      <c r="BE1150" s="1263"/>
    </row>
    <row r="1151" spans="1:57" s="342" customFormat="1" x14ac:dyDescent="0.2">
      <c r="A1151" s="830"/>
      <c r="B1151" s="315"/>
      <c r="C1151" s="321"/>
      <c r="D1151" s="1291"/>
      <c r="E1151" s="1291"/>
      <c r="F1151" s="1291"/>
      <c r="G1151" s="1291"/>
      <c r="H1151" s="1291"/>
      <c r="I1151" s="1291"/>
      <c r="J1151" s="1291"/>
      <c r="K1151" s="1291"/>
      <c r="L1151" s="1291"/>
      <c r="M1151" s="1291"/>
      <c r="N1151" s="1291"/>
      <c r="O1151" s="1291"/>
      <c r="P1151" s="1291"/>
      <c r="Q1151" s="1291"/>
      <c r="R1151" s="1291"/>
      <c r="S1151" s="1291"/>
      <c r="T1151" s="1291"/>
      <c r="U1151" s="1291"/>
      <c r="V1151" s="1291"/>
      <c r="W1151" s="1291"/>
      <c r="X1151" s="1291"/>
      <c r="Y1151" s="1291"/>
      <c r="Z1151" s="1409"/>
      <c r="AA1151" s="1409"/>
      <c r="AB1151" s="1409"/>
      <c r="AC1151" s="1409"/>
      <c r="AD1151" s="1409"/>
      <c r="AE1151" s="1409"/>
      <c r="AF1151" s="1409"/>
      <c r="AG1151" s="1409"/>
      <c r="AH1151" s="1409"/>
      <c r="AI1151" s="1263"/>
      <c r="AJ1151" s="1263"/>
      <c r="AK1151" s="1263"/>
      <c r="AL1151" s="1263"/>
      <c r="AM1151" s="1263"/>
      <c r="AN1151" s="1263"/>
      <c r="AO1151" s="1263"/>
      <c r="AP1151" s="1263"/>
      <c r="AQ1151" s="1263"/>
      <c r="AR1151" s="1236"/>
      <c r="AS1151" s="1400"/>
      <c r="AT1151" s="1284"/>
      <c r="AU1151" s="1409"/>
      <c r="AV1151" s="1409"/>
      <c r="AW1151" s="1409"/>
      <c r="AX1151" s="1409"/>
      <c r="AY1151" s="1409"/>
      <c r="AZ1151" s="1409"/>
      <c r="BA1151" s="1409"/>
      <c r="BB1151" s="1263"/>
      <c r="BC1151" s="1263"/>
      <c r="BD1151" s="1263"/>
      <c r="BE1151" s="1263"/>
    </row>
    <row r="1152" spans="1:57" s="342" customFormat="1" x14ac:dyDescent="0.2">
      <c r="A1152" s="830"/>
      <c r="B1152" s="315"/>
      <c r="C1152" s="321"/>
      <c r="D1152" s="1291"/>
      <c r="E1152" s="1291"/>
      <c r="F1152" s="1291"/>
      <c r="G1152" s="1291"/>
      <c r="H1152" s="1291"/>
      <c r="I1152" s="1291"/>
      <c r="J1152" s="1291"/>
      <c r="K1152" s="1291"/>
      <c r="L1152" s="1291"/>
      <c r="M1152" s="1291"/>
      <c r="N1152" s="1291"/>
      <c r="O1152" s="1291"/>
      <c r="P1152" s="1291"/>
      <c r="Q1152" s="1291"/>
      <c r="R1152" s="1291"/>
      <c r="S1152" s="1291"/>
      <c r="T1152" s="1291"/>
      <c r="U1152" s="1291"/>
      <c r="V1152" s="1291"/>
      <c r="W1152" s="1291"/>
      <c r="X1152" s="1291"/>
      <c r="Y1152" s="1291"/>
      <c r="Z1152" s="1409"/>
      <c r="AA1152" s="1409"/>
      <c r="AB1152" s="1409"/>
      <c r="AC1152" s="1409"/>
      <c r="AD1152" s="1409"/>
      <c r="AE1152" s="1409"/>
      <c r="AF1152" s="1409"/>
      <c r="AG1152" s="1409"/>
      <c r="AH1152" s="1409"/>
      <c r="AI1152" s="1263"/>
      <c r="AJ1152" s="1263"/>
      <c r="AK1152" s="1263"/>
      <c r="AL1152" s="1263"/>
      <c r="AM1152" s="1263"/>
      <c r="AN1152" s="1263"/>
      <c r="AO1152" s="1263"/>
      <c r="AP1152" s="1263"/>
      <c r="AQ1152" s="1263"/>
      <c r="AR1152" s="1236"/>
      <c r="AS1152" s="1400"/>
      <c r="AT1152" s="1284"/>
      <c r="AU1152" s="1409"/>
      <c r="AV1152" s="1409"/>
      <c r="AW1152" s="1409"/>
      <c r="AX1152" s="1513"/>
      <c r="AY1152" s="1409"/>
      <c r="AZ1152" s="1409"/>
      <c r="BA1152" s="1263"/>
      <c r="BB1152" s="1263"/>
      <c r="BC1152" s="1263"/>
      <c r="BD1152" s="1263"/>
      <c r="BE1152" s="1263"/>
    </row>
    <row r="1153" spans="1:57" s="342" customFormat="1" x14ac:dyDescent="0.2">
      <c r="A1153" s="830"/>
      <c r="B1153" s="315"/>
      <c r="C1153" s="321"/>
      <c r="D1153" s="1291"/>
      <c r="E1153" s="1291"/>
      <c r="F1153" s="1291"/>
      <c r="G1153" s="1291"/>
      <c r="H1153" s="1291"/>
      <c r="I1153" s="1291"/>
      <c r="J1153" s="1291"/>
      <c r="K1153" s="1291"/>
      <c r="L1153" s="1291"/>
      <c r="M1153" s="1291"/>
      <c r="N1153" s="1291"/>
      <c r="O1153" s="1291"/>
      <c r="P1153" s="1291"/>
      <c r="Q1153" s="1291"/>
      <c r="R1153" s="1291"/>
      <c r="S1153" s="1291"/>
      <c r="T1153" s="1291"/>
      <c r="U1153" s="1291"/>
      <c r="V1153" s="1291"/>
      <c r="W1153" s="1291"/>
      <c r="X1153" s="1409"/>
      <c r="Y1153" s="1409"/>
      <c r="Z1153" s="1409"/>
      <c r="AA1153" s="1409"/>
      <c r="AB1153" s="1409"/>
      <c r="AC1153" s="1409"/>
      <c r="AD1153" s="1409"/>
      <c r="AE1153" s="1409"/>
      <c r="AF1153" s="1409"/>
      <c r="AG1153" s="1409"/>
      <c r="AH1153" s="1409"/>
      <c r="AI1153" s="1263"/>
      <c r="AJ1153" s="1263"/>
      <c r="AK1153" s="1263"/>
      <c r="AL1153" s="1263"/>
      <c r="AM1153" s="1263"/>
      <c r="AN1153" s="1263"/>
      <c r="AO1153" s="1263"/>
      <c r="AP1153" s="1263"/>
      <c r="AQ1153" s="1263"/>
      <c r="AR1153" s="1236"/>
      <c r="AS1153" s="1400"/>
      <c r="AT1153" s="1284"/>
      <c r="AU1153" s="1409"/>
      <c r="AV1153" s="1409"/>
      <c r="AW1153" s="1409"/>
      <c r="AX1153" s="1409"/>
      <c r="AY1153" s="1409"/>
      <c r="AZ1153" s="1409"/>
      <c r="BA1153" s="1409"/>
      <c r="BB1153" s="1263"/>
      <c r="BC1153" s="1263"/>
      <c r="BD1153" s="1263"/>
      <c r="BE1153" s="1263"/>
    </row>
    <row r="1154" spans="1:57" s="342" customFormat="1" x14ac:dyDescent="0.2">
      <c r="A1154" s="830"/>
      <c r="B1154" s="705"/>
      <c r="C1154" s="706"/>
      <c r="D1154" s="1462"/>
      <c r="E1154" s="1462"/>
      <c r="F1154" s="1462"/>
      <c r="G1154" s="1462"/>
      <c r="H1154" s="1462"/>
      <c r="I1154" s="1462"/>
      <c r="J1154" s="1462"/>
      <c r="K1154" s="1462"/>
      <c r="L1154" s="1462"/>
      <c r="M1154" s="1462"/>
      <c r="N1154" s="1462"/>
      <c r="O1154" s="1462"/>
      <c r="P1154" s="1462"/>
      <c r="Q1154" s="1462"/>
      <c r="R1154" s="1462"/>
      <c r="S1154" s="1462"/>
      <c r="T1154" s="1462"/>
      <c r="U1154" s="1462"/>
      <c r="V1154" s="1462"/>
      <c r="W1154" s="1462"/>
      <c r="X1154" s="1547"/>
      <c r="Y1154" s="1547"/>
      <c r="Z1154" s="1547"/>
      <c r="AA1154" s="1547"/>
      <c r="AB1154" s="1547"/>
      <c r="AC1154" s="1547"/>
      <c r="AD1154" s="1547"/>
      <c r="AE1154" s="1547"/>
      <c r="AF1154" s="1547"/>
      <c r="AG1154" s="1547"/>
      <c r="AH1154" s="1547"/>
      <c r="AI1154" s="1265"/>
      <c r="AJ1154" s="1265"/>
      <c r="AK1154" s="1265"/>
      <c r="AL1154" s="1265"/>
      <c r="AM1154" s="1265"/>
      <c r="AN1154" s="1265"/>
      <c r="AO1154" s="1265"/>
      <c r="AP1154" s="1265"/>
      <c r="AQ1154" s="1265"/>
      <c r="AR1154" s="1236"/>
      <c r="AS1154" s="1547"/>
      <c r="AT1154" s="1265"/>
      <c r="AU1154" s="1265"/>
      <c r="AV1154" s="1265"/>
      <c r="AW1154" s="1265"/>
      <c r="AX1154" s="1265"/>
      <c r="AY1154" s="1265"/>
      <c r="AZ1154" s="1547"/>
      <c r="BA1154" s="1468"/>
      <c r="BB1154" s="1547"/>
      <c r="BC1154" s="1468"/>
      <c r="BD1154" s="1468"/>
      <c r="BE1154" s="1547"/>
    </row>
    <row r="1155" spans="1:57" s="342" customFormat="1" x14ac:dyDescent="0.2">
      <c r="A1155" s="830"/>
      <c r="B1155" s="523"/>
      <c r="C1155" s="736"/>
      <c r="D1155" s="1554"/>
      <c r="E1155" s="1423"/>
      <c r="F1155" s="1423"/>
      <c r="G1155" s="1423"/>
      <c r="H1155" s="1423"/>
      <c r="I1155" s="1423"/>
      <c r="J1155" s="1423"/>
      <c r="K1155" s="1423"/>
      <c r="L1155" s="1423"/>
      <c r="M1155" s="1423"/>
      <c r="N1155" s="1423"/>
      <c r="O1155" s="1423"/>
      <c r="P1155" s="1423"/>
      <c r="Q1155" s="1423"/>
      <c r="R1155" s="1423"/>
      <c r="S1155" s="1423"/>
      <c r="T1155" s="1423"/>
      <c r="U1155" s="1423"/>
      <c r="V1155" s="1423"/>
      <c r="W1155" s="1423"/>
      <c r="X1155" s="1423"/>
      <c r="Y1155" s="1423"/>
      <c r="Z1155" s="1409"/>
      <c r="AA1155" s="1409"/>
      <c r="AB1155" s="1409"/>
      <c r="AC1155" s="1409"/>
      <c r="AD1155" s="1409"/>
      <c r="AE1155" s="1409"/>
      <c r="AF1155" s="1409"/>
      <c r="AG1155" s="1409"/>
      <c r="AH1155" s="1409"/>
      <c r="AI1155" s="1263"/>
      <c r="AJ1155" s="1263"/>
      <c r="AK1155" s="1263"/>
      <c r="AL1155" s="1263"/>
      <c r="AM1155" s="1263"/>
      <c r="AN1155" s="1263"/>
      <c r="AO1155" s="1263"/>
      <c r="AP1155" s="1263"/>
      <c r="AQ1155" s="1263"/>
      <c r="AR1155" s="1236"/>
      <c r="AS1155" s="1440"/>
      <c r="AT1155" s="1553"/>
      <c r="AU1155" s="1263"/>
      <c r="AV1155" s="1267"/>
      <c r="AW1155" s="1267"/>
      <c r="AX1155" s="1267"/>
      <c r="AY1155" s="1267"/>
      <c r="AZ1155" s="1267"/>
      <c r="BA1155" s="1267"/>
      <c r="BB1155" s="1263"/>
      <c r="BC1155" s="1263"/>
      <c r="BD1155" s="1263"/>
      <c r="BE1155" s="1263"/>
    </row>
    <row r="1156" spans="1:57" s="342" customFormat="1" x14ac:dyDescent="0.2">
      <c r="A1156" s="830"/>
      <c r="B1156" s="412"/>
      <c r="C1156" s="412"/>
      <c r="D1156" s="1554"/>
      <c r="E1156" s="1554"/>
      <c r="F1156" s="1554"/>
      <c r="G1156" s="1554"/>
      <c r="H1156" s="1554"/>
      <c r="I1156" s="1554"/>
      <c r="J1156" s="1554"/>
      <c r="K1156" s="1554"/>
      <c r="L1156" s="1554"/>
      <c r="M1156" s="1554"/>
      <c r="N1156" s="1554"/>
      <c r="O1156" s="1554"/>
      <c r="P1156" s="1554"/>
      <c r="Q1156" s="1554"/>
      <c r="R1156" s="1554"/>
      <c r="S1156" s="1554"/>
      <c r="T1156" s="1554"/>
      <c r="U1156" s="1554"/>
      <c r="V1156" s="1554"/>
      <c r="W1156" s="1554"/>
      <c r="X1156" s="1554"/>
      <c r="Y1156" s="1554"/>
      <c r="Z1156" s="1409"/>
      <c r="AA1156" s="1409"/>
      <c r="AB1156" s="1409"/>
      <c r="AC1156" s="1409"/>
      <c r="AD1156" s="1409"/>
      <c r="AE1156" s="1409"/>
      <c r="AF1156" s="1409"/>
      <c r="AG1156" s="1409"/>
      <c r="AH1156" s="1409"/>
      <c r="AI1156" s="1263"/>
      <c r="AJ1156" s="1263"/>
      <c r="AK1156" s="1263"/>
      <c r="AL1156" s="1263"/>
      <c r="AM1156" s="1263"/>
      <c r="AN1156" s="1263"/>
      <c r="AO1156" s="1263"/>
      <c r="AP1156" s="1263"/>
      <c r="AQ1156" s="1263"/>
      <c r="AR1156" s="1236"/>
      <c r="AS1156" s="1416"/>
      <c r="AT1156" s="1416"/>
      <c r="AU1156" s="1236"/>
      <c r="AV1156" s="1236"/>
      <c r="AW1156" s="1236"/>
      <c r="AX1156" s="1236"/>
      <c r="AY1156" s="1236"/>
      <c r="AZ1156" s="1301"/>
      <c r="BA1156" s="1301"/>
      <c r="BB1156" s="1263"/>
      <c r="BC1156" s="1263"/>
      <c r="BD1156" s="1263"/>
      <c r="BE1156" s="1263"/>
    </row>
    <row r="1157" spans="1:57" s="342" customFormat="1" x14ac:dyDescent="0.2">
      <c r="A1157" s="830"/>
      <c r="B1157" s="412"/>
      <c r="C1157" s="730"/>
      <c r="D1157" s="1363"/>
      <c r="E1157" s="1363"/>
      <c r="F1157" s="1363"/>
      <c r="G1157" s="1363"/>
      <c r="H1157" s="1363"/>
      <c r="I1157" s="1363"/>
      <c r="J1157" s="1363"/>
      <c r="K1157" s="1363"/>
      <c r="L1157" s="1363"/>
      <c r="M1157" s="1363"/>
      <c r="N1157" s="1363"/>
      <c r="O1157" s="1363"/>
      <c r="P1157" s="1363"/>
      <c r="Q1157" s="1363"/>
      <c r="R1157" s="1363"/>
      <c r="S1157" s="1363"/>
      <c r="T1157" s="1363"/>
      <c r="U1157" s="1363"/>
      <c r="V1157" s="1363"/>
      <c r="W1157" s="1363"/>
      <c r="X1157" s="1363"/>
      <c r="Y1157" s="1363"/>
      <c r="Z1157" s="1409"/>
      <c r="AA1157" s="1409"/>
      <c r="AB1157" s="1409"/>
      <c r="AC1157" s="1409"/>
      <c r="AD1157" s="1409"/>
      <c r="AE1157" s="1409"/>
      <c r="AF1157" s="1409"/>
      <c r="AG1157" s="1409"/>
      <c r="AH1157" s="1409"/>
      <c r="AI1157" s="1263"/>
      <c r="AJ1157" s="1263"/>
      <c r="AK1157" s="1263"/>
      <c r="AL1157" s="1263"/>
      <c r="AM1157" s="1263"/>
      <c r="AN1157" s="1263"/>
      <c r="AO1157" s="1263"/>
      <c r="AP1157" s="1263"/>
      <c r="AQ1157" s="1263"/>
      <c r="AR1157" s="1236"/>
      <c r="AS1157" s="1416"/>
      <c r="AT1157" s="1555"/>
      <c r="AU1157" s="1236"/>
      <c r="AV1157" s="1236"/>
      <c r="AW1157" s="1236"/>
      <c r="AX1157" s="1236"/>
      <c r="AY1157" s="1236"/>
      <c r="AZ1157" s="1301"/>
      <c r="BA1157" s="1301"/>
      <c r="BB1157" s="1263"/>
      <c r="BC1157" s="1263"/>
      <c r="BD1157" s="1263"/>
      <c r="BE1157" s="1263"/>
    </row>
    <row r="1158" spans="1:57" s="342" customFormat="1" x14ac:dyDescent="0.2">
      <c r="A1158" s="830"/>
      <c r="B1158" s="412"/>
      <c r="C1158" s="412"/>
      <c r="D1158" s="1291"/>
      <c r="E1158" s="1291"/>
      <c r="F1158" s="1291"/>
      <c r="G1158" s="1291"/>
      <c r="H1158" s="1291"/>
      <c r="I1158" s="1291"/>
      <c r="J1158" s="1291"/>
      <c r="K1158" s="1291"/>
      <c r="L1158" s="1291"/>
      <c r="M1158" s="1291"/>
      <c r="N1158" s="1291"/>
      <c r="O1158" s="1291"/>
      <c r="P1158" s="1291"/>
      <c r="Q1158" s="1291"/>
      <c r="R1158" s="1291"/>
      <c r="S1158" s="1291"/>
      <c r="T1158" s="1291"/>
      <c r="U1158" s="1291"/>
      <c r="V1158" s="1291"/>
      <c r="W1158" s="1291"/>
      <c r="X1158" s="1291"/>
      <c r="Y1158" s="1291"/>
      <c r="Z1158" s="1409"/>
      <c r="AA1158" s="1409"/>
      <c r="AB1158" s="1409"/>
      <c r="AC1158" s="1409"/>
      <c r="AD1158" s="1409"/>
      <c r="AE1158" s="1409"/>
      <c r="AF1158" s="1409"/>
      <c r="AG1158" s="1409"/>
      <c r="AH1158" s="1409"/>
      <c r="AI1158" s="1263"/>
      <c r="AJ1158" s="1263"/>
      <c r="AK1158" s="1263"/>
      <c r="AL1158" s="1263"/>
      <c r="AM1158" s="1263"/>
      <c r="AN1158" s="1263"/>
      <c r="AO1158" s="1263"/>
      <c r="AP1158" s="1263"/>
      <c r="AQ1158" s="1263"/>
      <c r="AR1158" s="1236"/>
      <c r="AS1158" s="1416"/>
      <c r="AT1158" s="1416"/>
      <c r="AU1158" s="1410"/>
      <c r="AV1158" s="1410"/>
      <c r="AW1158" s="1410"/>
      <c r="AX1158" s="1410"/>
      <c r="AY1158" s="1410"/>
      <c r="AZ1158" s="1291"/>
      <c r="BA1158" s="1291"/>
      <c r="BB1158" s="1263"/>
      <c r="BC1158" s="1263"/>
      <c r="BD1158" s="1263"/>
      <c r="BE1158" s="1263"/>
    </row>
    <row r="1159" spans="1:57" s="342" customFormat="1" x14ac:dyDescent="0.2">
      <c r="A1159" s="830"/>
      <c r="B1159" s="412"/>
      <c r="C1159" s="730"/>
      <c r="D1159" s="1565"/>
      <c r="E1159" s="1565"/>
      <c r="F1159" s="1565"/>
      <c r="G1159" s="1565"/>
      <c r="H1159" s="1565"/>
      <c r="I1159" s="1565"/>
      <c r="J1159" s="1565"/>
      <c r="K1159" s="1565"/>
      <c r="L1159" s="1565"/>
      <c r="M1159" s="1565"/>
      <c r="N1159" s="1565"/>
      <c r="O1159" s="1565"/>
      <c r="P1159" s="1565"/>
      <c r="Q1159" s="1565"/>
      <c r="R1159" s="1565"/>
      <c r="S1159" s="1565"/>
      <c r="T1159" s="1565"/>
      <c r="U1159" s="1565"/>
      <c r="V1159" s="1565"/>
      <c r="W1159" s="1565"/>
      <c r="X1159" s="1565"/>
      <c r="Y1159" s="1565"/>
      <c r="Z1159" s="1409"/>
      <c r="AA1159" s="1409"/>
      <c r="AB1159" s="1409"/>
      <c r="AC1159" s="1409"/>
      <c r="AD1159" s="1409"/>
      <c r="AE1159" s="1409"/>
      <c r="AF1159" s="1409"/>
      <c r="AG1159" s="1409"/>
      <c r="AH1159" s="1409"/>
      <c r="AI1159" s="1263"/>
      <c r="AJ1159" s="1263"/>
      <c r="AK1159" s="1263"/>
      <c r="AL1159" s="1263"/>
      <c r="AM1159" s="1263"/>
      <c r="AN1159" s="1263"/>
      <c r="AO1159" s="1263"/>
      <c r="AP1159" s="1263"/>
      <c r="AQ1159" s="1263"/>
      <c r="AR1159" s="1236"/>
      <c r="AS1159" s="1416"/>
      <c r="AT1159" s="1555"/>
      <c r="AU1159" s="1267"/>
      <c r="AV1159" s="1267"/>
      <c r="AW1159" s="1267"/>
      <c r="AX1159" s="1267"/>
      <c r="AY1159" s="1267"/>
      <c r="AZ1159" s="1267"/>
      <c r="BA1159" s="1267"/>
      <c r="BB1159" s="1263"/>
      <c r="BC1159" s="1263"/>
      <c r="BD1159" s="1263"/>
      <c r="BE1159" s="1263"/>
    </row>
    <row r="1160" spans="1:57" s="342" customFormat="1" x14ac:dyDescent="0.2">
      <c r="A1160" s="830"/>
      <c r="B1160" s="735"/>
      <c r="C1160" s="736"/>
      <c r="D1160" s="1510"/>
      <c r="E1160" s="1510"/>
      <c r="F1160" s="1510"/>
      <c r="G1160" s="1510"/>
      <c r="H1160" s="1510"/>
      <c r="I1160" s="1510"/>
      <c r="J1160" s="1510"/>
      <c r="K1160" s="1510"/>
      <c r="L1160" s="1510"/>
      <c r="M1160" s="1510"/>
      <c r="N1160" s="1510"/>
      <c r="O1160" s="1510"/>
      <c r="P1160" s="1510"/>
      <c r="Q1160" s="1510"/>
      <c r="R1160" s="1510"/>
      <c r="S1160" s="1510"/>
      <c r="T1160" s="1510"/>
      <c r="U1160" s="1510"/>
      <c r="V1160" s="1510"/>
      <c r="W1160" s="1510"/>
      <c r="X1160" s="1510"/>
      <c r="Y1160" s="1510"/>
      <c r="Z1160" s="1409"/>
      <c r="AA1160" s="1409"/>
      <c r="AB1160" s="1409"/>
      <c r="AC1160" s="1409"/>
      <c r="AD1160" s="1409"/>
      <c r="AE1160" s="1409"/>
      <c r="AF1160" s="1409"/>
      <c r="AG1160" s="1409"/>
      <c r="AH1160" s="1409"/>
      <c r="AI1160" s="1263"/>
      <c r="AJ1160" s="1263"/>
      <c r="AK1160" s="1263"/>
      <c r="AL1160" s="1263"/>
      <c r="AM1160" s="1263"/>
      <c r="AN1160" s="1263"/>
      <c r="AO1160" s="1263"/>
      <c r="AP1160" s="1263"/>
      <c r="AQ1160" s="1263"/>
      <c r="AR1160" s="1236"/>
      <c r="AS1160" s="1560"/>
      <c r="AT1160" s="1553"/>
      <c r="AU1160" s="1409"/>
      <c r="AV1160" s="1409"/>
      <c r="AW1160" s="1409"/>
      <c r="AX1160" s="1409"/>
      <c r="AY1160" s="1409"/>
      <c r="AZ1160" s="1447"/>
      <c r="BA1160" s="1447"/>
      <c r="BB1160" s="1263"/>
      <c r="BC1160" s="1263"/>
      <c r="BD1160" s="1263"/>
      <c r="BE1160" s="1263"/>
    </row>
    <row r="1161" spans="1:57" s="342" customFormat="1" x14ac:dyDescent="0.2">
      <c r="A1161" s="830"/>
      <c r="B1161" s="735"/>
      <c r="C1161" s="736"/>
      <c r="D1161" s="1291"/>
      <c r="E1161" s="1291"/>
      <c r="F1161" s="1291"/>
      <c r="G1161" s="1291"/>
      <c r="H1161" s="1291"/>
      <c r="I1161" s="1291"/>
      <c r="J1161" s="1291"/>
      <c r="K1161" s="1291"/>
      <c r="L1161" s="1291"/>
      <c r="M1161" s="1291"/>
      <c r="N1161" s="1291"/>
      <c r="O1161" s="1291"/>
      <c r="P1161" s="1291"/>
      <c r="Q1161" s="1291"/>
      <c r="R1161" s="1291"/>
      <c r="S1161" s="1291"/>
      <c r="T1161" s="1291"/>
      <c r="U1161" s="1291"/>
      <c r="V1161" s="1291"/>
      <c r="W1161" s="1291"/>
      <c r="X1161" s="1291"/>
      <c r="Y1161" s="1291"/>
      <c r="Z1161" s="1409"/>
      <c r="AA1161" s="1409"/>
      <c r="AB1161" s="1409"/>
      <c r="AC1161" s="1409"/>
      <c r="AD1161" s="1409"/>
      <c r="AE1161" s="1409"/>
      <c r="AF1161" s="1409"/>
      <c r="AG1161" s="1409"/>
      <c r="AH1161" s="1409"/>
      <c r="AI1161" s="1263"/>
      <c r="AJ1161" s="1263"/>
      <c r="AK1161" s="1263"/>
      <c r="AL1161" s="1263"/>
      <c r="AM1161" s="1263"/>
      <c r="AN1161" s="1263"/>
      <c r="AO1161" s="1263"/>
      <c r="AP1161" s="1263"/>
      <c r="AQ1161" s="1263"/>
      <c r="AR1161" s="1236"/>
      <c r="AS1161" s="1560"/>
      <c r="AT1161" s="1553"/>
      <c r="AU1161" s="1236"/>
      <c r="AV1161" s="1236"/>
      <c r="AW1161" s="1236"/>
      <c r="AX1161" s="1236"/>
      <c r="AY1161" s="1236"/>
      <c r="AZ1161" s="1236"/>
      <c r="BA1161" s="1236"/>
      <c r="BB1161" s="1263"/>
      <c r="BC1161" s="1263"/>
      <c r="BD1161" s="1263"/>
      <c r="BE1161" s="1263"/>
    </row>
    <row r="1162" spans="1:57" s="342" customFormat="1" x14ac:dyDescent="0.2">
      <c r="A1162" s="830"/>
      <c r="B1162" s="315"/>
      <c r="C1162" s="523"/>
      <c r="D1162" s="1554"/>
      <c r="E1162" s="1554"/>
      <c r="F1162" s="1554"/>
      <c r="G1162" s="1554"/>
      <c r="H1162" s="1554"/>
      <c r="I1162" s="1554"/>
      <c r="J1162" s="1554"/>
      <c r="K1162" s="1554"/>
      <c r="L1162" s="1554"/>
      <c r="M1162" s="1554"/>
      <c r="N1162" s="1554"/>
      <c r="O1162" s="1554"/>
      <c r="P1162" s="1554"/>
      <c r="Q1162" s="1554"/>
      <c r="R1162" s="1554"/>
      <c r="S1162" s="1554"/>
      <c r="T1162" s="1554"/>
      <c r="U1162" s="1554"/>
      <c r="V1162" s="1554"/>
      <c r="W1162" s="1554"/>
      <c r="X1162" s="1554"/>
      <c r="Y1162" s="1554"/>
      <c r="Z1162" s="1409"/>
      <c r="AA1162" s="1409"/>
      <c r="AB1162" s="1409"/>
      <c r="AC1162" s="1409"/>
      <c r="AD1162" s="1409"/>
      <c r="AE1162" s="1409"/>
      <c r="AF1162" s="1409"/>
      <c r="AG1162" s="1409"/>
      <c r="AH1162" s="1409"/>
      <c r="AI1162" s="1263"/>
      <c r="AJ1162" s="1263"/>
      <c r="AK1162" s="1263"/>
      <c r="AL1162" s="1263"/>
      <c r="AM1162" s="1263"/>
      <c r="AN1162" s="1263"/>
      <c r="AO1162" s="1263"/>
      <c r="AP1162" s="1263"/>
      <c r="AQ1162" s="1263"/>
      <c r="AR1162" s="1236"/>
      <c r="AS1162" s="1400"/>
      <c r="AT1162" s="1440"/>
      <c r="AU1162" s="1267"/>
      <c r="AV1162" s="1267"/>
      <c r="AW1162" s="1267"/>
      <c r="AX1162" s="1267"/>
      <c r="AY1162" s="1267"/>
      <c r="AZ1162" s="1267"/>
      <c r="BA1162" s="1267"/>
      <c r="BB1162" s="1263"/>
      <c r="BC1162" s="1263"/>
      <c r="BD1162" s="1263"/>
      <c r="BE1162" s="1263"/>
    </row>
    <row r="1163" spans="1:57" s="342" customFormat="1" x14ac:dyDescent="0.2">
      <c r="A1163" s="830"/>
      <c r="B1163" s="315"/>
      <c r="C1163" s="523"/>
      <c r="D1163" s="1291"/>
      <c r="E1163" s="1291"/>
      <c r="F1163" s="1291"/>
      <c r="G1163" s="1291"/>
      <c r="H1163" s="1291"/>
      <c r="I1163" s="1291"/>
      <c r="J1163" s="1291"/>
      <c r="K1163" s="1291"/>
      <c r="L1163" s="1291"/>
      <c r="M1163" s="1291"/>
      <c r="N1163" s="1291"/>
      <c r="O1163" s="1291"/>
      <c r="P1163" s="1291"/>
      <c r="Q1163" s="1291"/>
      <c r="R1163" s="1291"/>
      <c r="S1163" s="1291"/>
      <c r="T1163" s="1291"/>
      <c r="U1163" s="1291"/>
      <c r="V1163" s="1291"/>
      <c r="W1163" s="1291"/>
      <c r="X1163" s="1291"/>
      <c r="Y1163" s="1291"/>
      <c r="Z1163" s="1409"/>
      <c r="AA1163" s="1409"/>
      <c r="AB1163" s="1409"/>
      <c r="AC1163" s="1409"/>
      <c r="AD1163" s="1409"/>
      <c r="AE1163" s="1409"/>
      <c r="AF1163" s="1409"/>
      <c r="AG1163" s="1409"/>
      <c r="AH1163" s="1409"/>
      <c r="AI1163" s="1263"/>
      <c r="AJ1163" s="1263"/>
      <c r="AK1163" s="1263"/>
      <c r="AL1163" s="1263"/>
      <c r="AM1163" s="1263"/>
      <c r="AN1163" s="1263"/>
      <c r="AO1163" s="1263"/>
      <c r="AP1163" s="1263"/>
      <c r="AQ1163" s="1263"/>
      <c r="AR1163" s="1236"/>
      <c r="AS1163" s="1400"/>
      <c r="AT1163" s="1440"/>
      <c r="AU1163" s="1263"/>
      <c r="AV1163" s="1409"/>
      <c r="AW1163" s="1409"/>
      <c r="AX1163" s="1409"/>
      <c r="AY1163" s="1263"/>
      <c r="AZ1163" s="1263"/>
      <c r="BA1163" s="1263"/>
      <c r="BB1163" s="1263"/>
      <c r="BC1163" s="1263"/>
      <c r="BD1163" s="1263"/>
      <c r="BE1163" s="1263"/>
    </row>
    <row r="1164" spans="1:57" s="342" customFormat="1" x14ac:dyDescent="0.2">
      <c r="A1164" s="830"/>
      <c r="B1164" s="315"/>
      <c r="C1164" s="523"/>
      <c r="D1164" s="1554"/>
      <c r="E1164" s="1554"/>
      <c r="F1164" s="1554"/>
      <c r="G1164" s="1554"/>
      <c r="H1164" s="1554"/>
      <c r="I1164" s="1554"/>
      <c r="J1164" s="1554"/>
      <c r="K1164" s="1554"/>
      <c r="L1164" s="1554"/>
      <c r="M1164" s="1554"/>
      <c r="N1164" s="1554"/>
      <c r="O1164" s="1554"/>
      <c r="P1164" s="1554"/>
      <c r="Q1164" s="1554"/>
      <c r="R1164" s="1554"/>
      <c r="S1164" s="1554"/>
      <c r="T1164" s="1554"/>
      <c r="U1164" s="1554"/>
      <c r="V1164" s="1554"/>
      <c r="W1164" s="1554"/>
      <c r="X1164" s="1554"/>
      <c r="Y1164" s="1554"/>
      <c r="Z1164" s="1409"/>
      <c r="AA1164" s="1409"/>
      <c r="AB1164" s="1409"/>
      <c r="AC1164" s="1409"/>
      <c r="AD1164" s="1409"/>
      <c r="AE1164" s="1409"/>
      <c r="AF1164" s="1409"/>
      <c r="AG1164" s="1409"/>
      <c r="AH1164" s="1409"/>
      <c r="AI1164" s="1263"/>
      <c r="AJ1164" s="1263"/>
      <c r="AK1164" s="1263"/>
      <c r="AL1164" s="1263"/>
      <c r="AM1164" s="1263"/>
      <c r="AN1164" s="1263"/>
      <c r="AO1164" s="1263"/>
      <c r="AP1164" s="1263"/>
      <c r="AQ1164" s="1263"/>
      <c r="AR1164" s="1236"/>
      <c r="AS1164" s="1400"/>
      <c r="AT1164" s="1440"/>
      <c r="AU1164" s="1236"/>
      <c r="AV1164" s="1236"/>
      <c r="AW1164" s="1236"/>
      <c r="AX1164" s="1236"/>
      <c r="AY1164" s="1236"/>
      <c r="AZ1164" s="1236"/>
      <c r="BA1164" s="1236"/>
      <c r="BB1164" s="1263"/>
      <c r="BC1164" s="1263"/>
      <c r="BD1164" s="1263"/>
      <c r="BE1164" s="1263"/>
    </row>
    <row r="1165" spans="1:57" s="342" customFormat="1" x14ac:dyDescent="0.2">
      <c r="A1165" s="830"/>
      <c r="B1165" s="412"/>
      <c r="C1165" s="523"/>
      <c r="D1165" s="1291"/>
      <c r="E1165" s="1291"/>
      <c r="F1165" s="1291"/>
      <c r="G1165" s="1291"/>
      <c r="H1165" s="1291"/>
      <c r="I1165" s="1291"/>
      <c r="J1165" s="1291"/>
      <c r="K1165" s="1291"/>
      <c r="L1165" s="1291"/>
      <c r="M1165" s="1291"/>
      <c r="N1165" s="1291"/>
      <c r="O1165" s="1291"/>
      <c r="P1165" s="1291"/>
      <c r="Q1165" s="1291"/>
      <c r="R1165" s="1291"/>
      <c r="S1165" s="1291"/>
      <c r="T1165" s="1291"/>
      <c r="U1165" s="1291"/>
      <c r="V1165" s="1291"/>
      <c r="W1165" s="1291"/>
      <c r="X1165" s="1291"/>
      <c r="Y1165" s="1291"/>
      <c r="Z1165" s="1409"/>
      <c r="AA1165" s="1409"/>
      <c r="AB1165" s="1409"/>
      <c r="AC1165" s="1409"/>
      <c r="AD1165" s="1409"/>
      <c r="AE1165" s="1409"/>
      <c r="AF1165" s="1409"/>
      <c r="AG1165" s="1409"/>
      <c r="AH1165" s="1409"/>
      <c r="AI1165" s="1263"/>
      <c r="AJ1165" s="1263"/>
      <c r="AK1165" s="1263"/>
      <c r="AL1165" s="1263"/>
      <c r="AM1165" s="1263"/>
      <c r="AN1165" s="1263"/>
      <c r="AO1165" s="1263"/>
      <c r="AP1165" s="1263"/>
      <c r="AQ1165" s="1263"/>
      <c r="AR1165" s="1236"/>
      <c r="AS1165" s="1416"/>
      <c r="AT1165" s="1440"/>
      <c r="AU1165" s="1409"/>
      <c r="AV1165" s="1409"/>
      <c r="AW1165" s="1409"/>
      <c r="AX1165" s="1513"/>
      <c r="AY1165" s="1409"/>
      <c r="AZ1165" s="1409"/>
      <c r="BA1165" s="1263"/>
      <c r="BB1165" s="1263"/>
      <c r="BC1165" s="1263"/>
      <c r="BD1165" s="1263"/>
      <c r="BE1165" s="1263"/>
    </row>
    <row r="1166" spans="1:57" s="342" customFormat="1" x14ac:dyDescent="0.2">
      <c r="A1166" s="830"/>
      <c r="B1166" s="315"/>
      <c r="C1166" s="321"/>
      <c r="D1166" s="1291"/>
      <c r="E1166" s="1291"/>
      <c r="F1166" s="1291"/>
      <c r="G1166" s="1291"/>
      <c r="H1166" s="1291"/>
      <c r="I1166" s="1291"/>
      <c r="J1166" s="1291"/>
      <c r="K1166" s="1291"/>
      <c r="L1166" s="1291"/>
      <c r="M1166" s="1291"/>
      <c r="N1166" s="1291"/>
      <c r="O1166" s="1291"/>
      <c r="P1166" s="1291"/>
      <c r="Q1166" s="1291"/>
      <c r="R1166" s="1291"/>
      <c r="S1166" s="1291"/>
      <c r="T1166" s="1291"/>
      <c r="U1166" s="1291"/>
      <c r="V1166" s="1291"/>
      <c r="W1166" s="1291"/>
      <c r="X1166" s="1291"/>
      <c r="Y1166" s="1291"/>
      <c r="Z1166" s="1409"/>
      <c r="AA1166" s="1409"/>
      <c r="AB1166" s="1409"/>
      <c r="AC1166" s="1409"/>
      <c r="AD1166" s="1409"/>
      <c r="AE1166" s="1409"/>
      <c r="AF1166" s="1409"/>
      <c r="AG1166" s="1409"/>
      <c r="AH1166" s="1409"/>
      <c r="AI1166" s="1263"/>
      <c r="AJ1166" s="1263"/>
      <c r="AK1166" s="1263"/>
      <c r="AL1166" s="1263"/>
      <c r="AM1166" s="1263"/>
      <c r="AN1166" s="1263"/>
      <c r="AO1166" s="1263"/>
      <c r="AP1166" s="1263"/>
      <c r="AQ1166" s="1263"/>
      <c r="AR1166" s="1236"/>
      <c r="AS1166" s="1400"/>
      <c r="AT1166" s="1284"/>
      <c r="AU1166" s="1409"/>
      <c r="AV1166" s="1409"/>
      <c r="AW1166" s="1409"/>
      <c r="AX1166" s="1409"/>
      <c r="AY1166" s="1409"/>
      <c r="AZ1166" s="1409"/>
      <c r="BA1166" s="1409"/>
      <c r="BB1166" s="1263"/>
      <c r="BC1166" s="1263"/>
      <c r="BD1166" s="1263"/>
      <c r="BE1166" s="1263"/>
    </row>
    <row r="1167" spans="1:57" s="342" customFormat="1" x14ac:dyDescent="0.2">
      <c r="A1167" s="830"/>
      <c r="B1167" s="315"/>
      <c r="C1167" s="321"/>
      <c r="D1167" s="1291"/>
      <c r="E1167" s="1291"/>
      <c r="F1167" s="1291"/>
      <c r="G1167" s="1291"/>
      <c r="H1167" s="1291"/>
      <c r="I1167" s="1291"/>
      <c r="J1167" s="1291"/>
      <c r="K1167" s="1291"/>
      <c r="L1167" s="1291"/>
      <c r="M1167" s="1291"/>
      <c r="N1167" s="1291"/>
      <c r="O1167" s="1291"/>
      <c r="P1167" s="1291"/>
      <c r="Q1167" s="1291"/>
      <c r="R1167" s="1291"/>
      <c r="S1167" s="1291"/>
      <c r="T1167" s="1291"/>
      <c r="U1167" s="1291"/>
      <c r="V1167" s="1291"/>
      <c r="W1167" s="1291"/>
      <c r="X1167" s="1409"/>
      <c r="Y1167" s="1409"/>
      <c r="Z1167" s="1409"/>
      <c r="AA1167" s="1409"/>
      <c r="AB1167" s="1409"/>
      <c r="AC1167" s="1409"/>
      <c r="AD1167" s="1409"/>
      <c r="AE1167" s="1409"/>
      <c r="AF1167" s="1409"/>
      <c r="AG1167" s="1409"/>
      <c r="AH1167" s="1409"/>
      <c r="AI1167" s="1263"/>
      <c r="AJ1167" s="1263"/>
      <c r="AK1167" s="1263"/>
      <c r="AL1167" s="1263"/>
      <c r="AM1167" s="1263"/>
      <c r="AN1167" s="1263"/>
      <c r="AO1167" s="1263"/>
      <c r="AP1167" s="1263"/>
      <c r="AQ1167" s="1263"/>
      <c r="AR1167" s="1236"/>
      <c r="AS1167" s="1400"/>
      <c r="AT1167" s="1284"/>
      <c r="AU1167" s="1409"/>
      <c r="AV1167" s="1409"/>
      <c r="AW1167" s="1409"/>
      <c r="AX1167" s="1409"/>
      <c r="AY1167" s="1409"/>
      <c r="AZ1167" s="1409"/>
      <c r="BA1167" s="1409"/>
      <c r="BB1167" s="1263"/>
      <c r="BC1167" s="1263"/>
      <c r="BD1167" s="1263"/>
      <c r="BE1167" s="1263"/>
    </row>
    <row r="1168" spans="1:57" s="342" customFormat="1" x14ac:dyDescent="0.2">
      <c r="A1168" s="830"/>
      <c r="B1168" s="315"/>
      <c r="C1168" s="321"/>
      <c r="D1168" s="1291"/>
      <c r="E1168" s="1291"/>
      <c r="F1168" s="1291"/>
      <c r="G1168" s="1291"/>
      <c r="H1168" s="1291"/>
      <c r="I1168" s="1291"/>
      <c r="J1168" s="1291"/>
      <c r="K1168" s="1291"/>
      <c r="L1168" s="1291"/>
      <c r="M1168" s="1291"/>
      <c r="N1168" s="1291"/>
      <c r="O1168" s="1291"/>
      <c r="P1168" s="1291"/>
      <c r="Q1168" s="1291"/>
      <c r="R1168" s="1291"/>
      <c r="S1168" s="1291"/>
      <c r="T1168" s="1291"/>
      <c r="U1168" s="1291"/>
      <c r="V1168" s="1291"/>
      <c r="W1168" s="1291"/>
      <c r="X1168" s="1409"/>
      <c r="Y1168" s="1409"/>
      <c r="Z1168" s="1409"/>
      <c r="AA1168" s="1409"/>
      <c r="AB1168" s="1409"/>
      <c r="AC1168" s="1409"/>
      <c r="AD1168" s="1409"/>
      <c r="AE1168" s="1409"/>
      <c r="AF1168" s="1409"/>
      <c r="AG1168" s="1409"/>
      <c r="AH1168" s="1409"/>
      <c r="AI1168" s="1263"/>
      <c r="AJ1168" s="1263"/>
      <c r="AK1168" s="1263"/>
      <c r="AL1168" s="1263"/>
      <c r="AM1168" s="1263"/>
      <c r="AN1168" s="1263"/>
      <c r="AO1168" s="1263"/>
      <c r="AP1168" s="1263"/>
      <c r="AQ1168" s="1263"/>
      <c r="AR1168" s="1236"/>
      <c r="AS1168" s="1400"/>
      <c r="AT1168" s="1284"/>
      <c r="AU1168" s="1409"/>
      <c r="AV1168" s="1263"/>
      <c r="AW1168" s="1263"/>
      <c r="AX1168" s="1263"/>
      <c r="AY1168" s="1263"/>
      <c r="AZ1168" s="1263"/>
      <c r="BA1168" s="1263"/>
      <c r="BB1168" s="1263"/>
      <c r="BC1168" s="1263"/>
      <c r="BD1168" s="1263"/>
      <c r="BE1168" s="1263"/>
    </row>
    <row r="1169" spans="1:64" s="342" customFormat="1" x14ac:dyDescent="0.2">
      <c r="A1169" s="830"/>
      <c r="B1169" s="705"/>
      <c r="C1169" s="706"/>
      <c r="D1169" s="1265"/>
      <c r="E1169" s="1265"/>
      <c r="F1169" s="1265"/>
      <c r="G1169" s="1265"/>
      <c r="H1169" s="1265"/>
      <c r="I1169" s="1547"/>
      <c r="J1169" s="1468"/>
      <c r="K1169" s="1547"/>
      <c r="L1169" s="1468"/>
      <c r="M1169" s="1547"/>
      <c r="N1169" s="1547"/>
      <c r="O1169" s="1547"/>
      <c r="P1169" s="1468"/>
      <c r="Q1169" s="1547"/>
      <c r="R1169" s="1547"/>
      <c r="S1169" s="1547"/>
      <c r="T1169" s="1547"/>
      <c r="U1169" s="1547"/>
      <c r="V1169" s="1547"/>
      <c r="W1169" s="1547"/>
      <c r="X1169" s="1547"/>
      <c r="Y1169" s="1547"/>
      <c r="Z1169" s="1547"/>
      <c r="AA1169" s="1547"/>
      <c r="AB1169" s="1547"/>
      <c r="AC1169" s="1547"/>
      <c r="AD1169" s="1547"/>
      <c r="AE1169" s="1547"/>
      <c r="AF1169" s="1547"/>
      <c r="AG1169" s="1547"/>
      <c r="AH1169" s="1547"/>
      <c r="AI1169" s="1265"/>
      <c r="AJ1169" s="1265"/>
      <c r="AK1169" s="1265"/>
      <c r="AL1169" s="1265"/>
      <c r="AM1169" s="1265"/>
      <c r="AN1169" s="1265"/>
      <c r="AO1169" s="1265"/>
      <c r="AP1169" s="1265"/>
      <c r="AQ1169" s="1265"/>
      <c r="AR1169" s="1236"/>
      <c r="AS1169" s="1547"/>
      <c r="AT1169" s="1265"/>
      <c r="AU1169" s="1265"/>
      <c r="AV1169" s="1265"/>
      <c r="AW1169" s="1265"/>
      <c r="AX1169" s="1265"/>
      <c r="AY1169" s="1265"/>
      <c r="AZ1169" s="1547"/>
      <c r="BA1169" s="1468"/>
      <c r="BB1169" s="1547"/>
      <c r="BC1169" s="1468"/>
      <c r="BD1169" s="1468"/>
      <c r="BE1169" s="1547"/>
      <c r="BF1169" s="720"/>
      <c r="BG1169" s="720"/>
      <c r="BH1169" s="723"/>
      <c r="BI1169" s="712"/>
      <c r="BJ1169" s="712"/>
      <c r="BK1169" s="712"/>
      <c r="BL1169" s="712"/>
    </row>
    <row r="1170" spans="1:64" s="342" customFormat="1" x14ac:dyDescent="0.2">
      <c r="A1170" s="830"/>
      <c r="B1170" s="755"/>
      <c r="D1170" s="1274"/>
      <c r="E1170" s="1274"/>
      <c r="F1170" s="1274"/>
      <c r="G1170" s="1274"/>
      <c r="H1170" s="1274"/>
      <c r="I1170" s="1274"/>
      <c r="J1170" s="1274"/>
      <c r="K1170" s="1274"/>
      <c r="L1170" s="1274"/>
      <c r="M1170" s="1274"/>
      <c r="N1170" s="1274"/>
      <c r="O1170" s="1274"/>
      <c r="P1170" s="1274"/>
      <c r="Q1170" s="1274"/>
      <c r="R1170" s="1274"/>
      <c r="S1170" s="1274"/>
      <c r="T1170" s="1274"/>
      <c r="U1170" s="1274"/>
      <c r="V1170" s="1274"/>
      <c r="W1170" s="1274"/>
      <c r="X1170" s="1274"/>
      <c r="Y1170" s="1274"/>
      <c r="Z1170" s="1409"/>
      <c r="AA1170" s="1409"/>
      <c r="AB1170" s="1409"/>
      <c r="AC1170" s="1409"/>
      <c r="AD1170" s="1409"/>
      <c r="AE1170" s="1409"/>
      <c r="AF1170" s="1409"/>
      <c r="AG1170" s="1409"/>
      <c r="AH1170" s="1409"/>
      <c r="AI1170" s="1263"/>
      <c r="AJ1170" s="1263"/>
      <c r="AK1170" s="1263"/>
      <c r="AL1170" s="1263"/>
      <c r="AM1170" s="1263"/>
      <c r="AN1170" s="1263"/>
      <c r="AO1170" s="1263"/>
      <c r="AP1170" s="1263"/>
      <c r="AQ1170" s="1263"/>
      <c r="AR1170" s="1236"/>
      <c r="AS1170" s="1263"/>
      <c r="AT1170" s="1263"/>
      <c r="AU1170" s="1274"/>
      <c r="AV1170" s="1274"/>
      <c r="AW1170" s="1274"/>
      <c r="AX1170" s="1274"/>
      <c r="AY1170" s="1274"/>
      <c r="AZ1170" s="1274"/>
      <c r="BA1170" s="1274"/>
      <c r="BB1170" s="1263"/>
      <c r="BC1170" s="1263"/>
      <c r="BD1170" s="1263"/>
      <c r="BE1170" s="1263"/>
    </row>
    <row r="1171" spans="1:64" s="342" customFormat="1" x14ac:dyDescent="0.2">
      <c r="A1171" s="830"/>
      <c r="B1171" s="755"/>
      <c r="D1171" s="1274"/>
      <c r="E1171" s="1274"/>
      <c r="F1171" s="1274"/>
      <c r="G1171" s="1274"/>
      <c r="H1171" s="1274"/>
      <c r="I1171" s="1274"/>
      <c r="J1171" s="1274"/>
      <c r="K1171" s="1274"/>
      <c r="L1171" s="1274"/>
      <c r="M1171" s="1274"/>
      <c r="N1171" s="1274"/>
      <c r="O1171" s="1274"/>
      <c r="P1171" s="1274"/>
      <c r="Q1171" s="1274"/>
      <c r="R1171" s="1274"/>
      <c r="S1171" s="1274"/>
      <c r="T1171" s="1274"/>
      <c r="U1171" s="1274"/>
      <c r="V1171" s="1274"/>
      <c r="W1171" s="1274"/>
      <c r="X1171" s="1274"/>
      <c r="Y1171" s="1274"/>
      <c r="Z1171" s="1409"/>
      <c r="AA1171" s="1409"/>
      <c r="AB1171" s="1409"/>
      <c r="AC1171" s="1409"/>
      <c r="AD1171" s="1409"/>
      <c r="AE1171" s="1409"/>
      <c r="AF1171" s="1409"/>
      <c r="AG1171" s="1409"/>
      <c r="AH1171" s="1409"/>
      <c r="AI1171" s="1263"/>
      <c r="AJ1171" s="1263"/>
      <c r="AK1171" s="1263"/>
      <c r="AL1171" s="1263"/>
      <c r="AM1171" s="1263"/>
      <c r="AN1171" s="1263"/>
      <c r="AO1171" s="1263"/>
      <c r="AP1171" s="1263"/>
      <c r="AQ1171" s="1263"/>
      <c r="AR1171" s="1236"/>
      <c r="AS1171" s="1263"/>
      <c r="AT1171" s="1263"/>
      <c r="AU1171" s="1274"/>
      <c r="AV1171" s="1274"/>
      <c r="AW1171" s="1274"/>
      <c r="AX1171" s="1274"/>
      <c r="AY1171" s="1274"/>
      <c r="AZ1171" s="1274"/>
      <c r="BA1171" s="1274"/>
      <c r="BB1171" s="1263"/>
      <c r="BC1171" s="1263"/>
      <c r="BD1171" s="1263"/>
      <c r="BE1171" s="1263"/>
    </row>
    <row r="1172" spans="1:64" s="342" customFormat="1" x14ac:dyDescent="0.2">
      <c r="A1172" s="830"/>
      <c r="D1172" s="1274"/>
      <c r="E1172" s="1274"/>
      <c r="F1172" s="1274"/>
      <c r="G1172" s="1274"/>
      <c r="H1172" s="1274"/>
      <c r="I1172" s="1274"/>
      <c r="J1172" s="1274"/>
      <c r="K1172" s="1274"/>
      <c r="L1172" s="1274"/>
      <c r="M1172" s="1274"/>
      <c r="N1172" s="1274"/>
      <c r="O1172" s="1274"/>
      <c r="P1172" s="1274"/>
      <c r="Q1172" s="1274"/>
      <c r="R1172" s="1274"/>
      <c r="S1172" s="1274"/>
      <c r="T1172" s="1274"/>
      <c r="U1172" s="1274"/>
      <c r="V1172" s="1274"/>
      <c r="W1172" s="1274"/>
      <c r="X1172" s="1274"/>
      <c r="Y1172" s="1274"/>
      <c r="Z1172" s="1274"/>
      <c r="AA1172" s="1274"/>
      <c r="AB1172" s="1274"/>
      <c r="AC1172" s="1274"/>
      <c r="AD1172" s="1274"/>
      <c r="AE1172" s="1274"/>
      <c r="AF1172" s="1274"/>
      <c r="AG1172" s="1274"/>
      <c r="AH1172" s="1274"/>
      <c r="AI1172" s="1274"/>
      <c r="AJ1172" s="1274"/>
      <c r="AK1172" s="1274"/>
      <c r="AL1172" s="1274"/>
      <c r="AM1172" s="1274"/>
      <c r="AN1172" s="1274"/>
      <c r="AO1172" s="1274"/>
      <c r="AP1172" s="1274"/>
      <c r="AQ1172" s="1274"/>
      <c r="AR1172" s="1236"/>
      <c r="AS1172" s="1263"/>
      <c r="AT1172" s="1263"/>
      <c r="AU1172" s="1274"/>
      <c r="AV1172" s="1274"/>
      <c r="AW1172" s="1274"/>
      <c r="AX1172" s="1274"/>
      <c r="AY1172" s="1274"/>
      <c r="AZ1172" s="1274"/>
      <c r="BA1172" s="1274"/>
      <c r="BB1172" s="1274"/>
      <c r="BC1172" s="1274"/>
      <c r="BD1172" s="1274"/>
      <c r="BE1172" s="1274"/>
    </row>
    <row r="1173" spans="1:64" s="550" customFormat="1" x14ac:dyDescent="0.2">
      <c r="A1173" s="829"/>
      <c r="B1173" s="735"/>
      <c r="C1173" s="735"/>
      <c r="D1173" s="1560"/>
      <c r="E1173" s="1562"/>
      <c r="F1173" s="1562"/>
      <c r="G1173" s="1562"/>
      <c r="H1173" s="1562"/>
      <c r="I1173" s="1562"/>
      <c r="J1173" s="1562"/>
      <c r="K1173" s="1562"/>
      <c r="L1173" s="1562"/>
      <c r="M1173" s="1562"/>
      <c r="N1173" s="1562"/>
      <c r="O1173" s="1562"/>
      <c r="P1173" s="1562"/>
      <c r="Q1173" s="1562"/>
      <c r="R1173" s="1562"/>
      <c r="S1173" s="1562"/>
      <c r="T1173" s="1562"/>
      <c r="U1173" s="1562"/>
      <c r="V1173" s="1562"/>
      <c r="W1173" s="1562"/>
      <c r="X1173" s="1562"/>
      <c r="Y1173" s="1562"/>
      <c r="Z1173" s="1263"/>
      <c r="AA1173" s="1562"/>
      <c r="AB1173" s="1263"/>
      <c r="AC1173" s="1562"/>
      <c r="AD1173" s="1566"/>
      <c r="AE1173" s="1566"/>
      <c r="AF1173" s="1566"/>
      <c r="AG1173" s="1566"/>
      <c r="AH1173" s="1566"/>
      <c r="AI1173" s="1562"/>
      <c r="AJ1173" s="1562"/>
      <c r="AK1173" s="1562"/>
      <c r="AL1173" s="1562"/>
      <c r="AM1173" s="1562"/>
      <c r="AN1173" s="1562"/>
      <c r="AO1173" s="1562"/>
      <c r="AP1173" s="1562"/>
      <c r="AQ1173" s="1562"/>
      <c r="AR1173" s="1236"/>
      <c r="AS1173" s="1560"/>
      <c r="AT1173" s="1560"/>
      <c r="AU1173" s="1263"/>
      <c r="AV1173" s="1513"/>
      <c r="AW1173" s="1262"/>
      <c r="AX1173" s="1513"/>
      <c r="AY1173" s="1263"/>
      <c r="AZ1173" s="1409"/>
      <c r="BA1173" s="1409"/>
      <c r="BB1173" s="1409"/>
      <c r="BC1173" s="1409"/>
      <c r="BD1173" s="1409"/>
      <c r="BE1173" s="1409"/>
    </row>
    <row r="1174" spans="1:64" s="550" customFormat="1" x14ac:dyDescent="0.2">
      <c r="A1174" s="829"/>
      <c r="B1174" s="735"/>
      <c r="C1174" s="735"/>
      <c r="D1174" s="1560"/>
      <c r="E1174" s="1562"/>
      <c r="F1174" s="1562"/>
      <c r="G1174" s="1562"/>
      <c r="H1174" s="1562"/>
      <c r="I1174" s="1562"/>
      <c r="J1174" s="1562"/>
      <c r="K1174" s="1562"/>
      <c r="L1174" s="1562"/>
      <c r="M1174" s="1562"/>
      <c r="N1174" s="1562"/>
      <c r="O1174" s="1562"/>
      <c r="P1174" s="1562"/>
      <c r="Q1174" s="1562"/>
      <c r="R1174" s="1562"/>
      <c r="S1174" s="1562"/>
      <c r="T1174" s="1562"/>
      <c r="U1174" s="1562"/>
      <c r="V1174" s="1562"/>
      <c r="W1174" s="1562"/>
      <c r="X1174" s="1562"/>
      <c r="Y1174" s="1560"/>
      <c r="Z1174" s="1263"/>
      <c r="AA1174" s="1562"/>
      <c r="AB1174" s="1263"/>
      <c r="AC1174" s="1562"/>
      <c r="AD1174" s="1566"/>
      <c r="AE1174" s="1566"/>
      <c r="AF1174" s="1566"/>
      <c r="AG1174" s="1566"/>
      <c r="AH1174" s="1566"/>
      <c r="AI1174" s="1562"/>
      <c r="AJ1174" s="1562"/>
      <c r="AK1174" s="1562"/>
      <c r="AL1174" s="1562"/>
      <c r="AM1174" s="1562"/>
      <c r="AN1174" s="1562"/>
      <c r="AO1174" s="1562"/>
      <c r="AP1174" s="1562"/>
      <c r="AQ1174" s="1562"/>
      <c r="AR1174" s="1236"/>
      <c r="AS1174" s="1560"/>
      <c r="AT1174" s="1560"/>
      <c r="AU1174" s="1263"/>
      <c r="AV1174" s="1513"/>
      <c r="AW1174" s="1262"/>
      <c r="AX1174" s="1513"/>
      <c r="AY1174" s="1263"/>
      <c r="AZ1174" s="1409"/>
      <c r="BA1174" s="1409"/>
      <c r="BB1174" s="1409"/>
      <c r="BC1174" s="1409"/>
      <c r="BD1174" s="1409"/>
      <c r="BE1174" s="1409"/>
    </row>
    <row r="1175" spans="1:64" s="342" customFormat="1" x14ac:dyDescent="0.2">
      <c r="A1175" s="830"/>
      <c r="B1175" s="705"/>
      <c r="C1175" s="706"/>
      <c r="D1175" s="1265"/>
      <c r="E1175" s="1265"/>
      <c r="F1175" s="1265"/>
      <c r="G1175" s="1265"/>
      <c r="H1175" s="1265"/>
      <c r="I1175" s="1547"/>
      <c r="J1175" s="1468"/>
      <c r="K1175" s="1547"/>
      <c r="L1175" s="1468"/>
      <c r="M1175" s="1547"/>
      <c r="N1175" s="1547"/>
      <c r="O1175" s="1547"/>
      <c r="P1175" s="1468"/>
      <c r="Q1175" s="1547"/>
      <c r="R1175" s="1547"/>
      <c r="S1175" s="1547"/>
      <c r="T1175" s="1547"/>
      <c r="U1175" s="1547"/>
      <c r="V1175" s="1547"/>
      <c r="W1175" s="1547"/>
      <c r="X1175" s="1547"/>
      <c r="Y1175" s="1547"/>
      <c r="Z1175" s="1547"/>
      <c r="AA1175" s="1547"/>
      <c r="AB1175" s="1547"/>
      <c r="AC1175" s="1547"/>
      <c r="AD1175" s="1547"/>
      <c r="AE1175" s="1547"/>
      <c r="AF1175" s="1547"/>
      <c r="AG1175" s="1547"/>
      <c r="AH1175" s="1547"/>
      <c r="AI1175" s="1265"/>
      <c r="AJ1175" s="1265"/>
      <c r="AK1175" s="1265"/>
      <c r="AL1175" s="1265"/>
      <c r="AM1175" s="1265"/>
      <c r="AN1175" s="1265"/>
      <c r="AO1175" s="1265"/>
      <c r="AP1175" s="1265"/>
      <c r="AQ1175" s="1265"/>
      <c r="AR1175" s="1236"/>
      <c r="AS1175" s="1547"/>
      <c r="AT1175" s="1265"/>
      <c r="AU1175" s="1265"/>
      <c r="AV1175" s="1265"/>
      <c r="AW1175" s="1265"/>
      <c r="AX1175" s="1265"/>
      <c r="AY1175" s="1265"/>
      <c r="AZ1175" s="1547"/>
      <c r="BA1175" s="1468"/>
      <c r="BB1175" s="1547"/>
      <c r="BC1175" s="1468"/>
      <c r="BD1175" s="1468"/>
      <c r="BE1175" s="1547"/>
      <c r="BF1175" s="720"/>
      <c r="BG1175" s="720"/>
      <c r="BH1175" s="723"/>
      <c r="BI1175" s="712"/>
      <c r="BJ1175" s="712"/>
      <c r="BK1175" s="712"/>
      <c r="BL1175" s="712"/>
    </row>
    <row r="1176" spans="1:64" s="550" customFormat="1" x14ac:dyDescent="0.2">
      <c r="A1176" s="829"/>
      <c r="B1176" s="735"/>
      <c r="C1176" s="735"/>
      <c r="D1176" s="1560"/>
      <c r="E1176" s="1562"/>
      <c r="F1176" s="1562"/>
      <c r="G1176" s="1562"/>
      <c r="H1176" s="1562"/>
      <c r="I1176" s="1562"/>
      <c r="J1176" s="1562"/>
      <c r="K1176" s="1562"/>
      <c r="L1176" s="1562"/>
      <c r="M1176" s="1562"/>
      <c r="N1176" s="1562"/>
      <c r="O1176" s="1562"/>
      <c r="P1176" s="1562"/>
      <c r="Q1176" s="1562"/>
      <c r="R1176" s="1562"/>
      <c r="S1176" s="1562"/>
      <c r="T1176" s="1562"/>
      <c r="U1176" s="1562"/>
      <c r="V1176" s="1562"/>
      <c r="W1176" s="1562"/>
      <c r="X1176" s="1562"/>
      <c r="Y1176" s="1560"/>
      <c r="Z1176" s="1263"/>
      <c r="AA1176" s="1562"/>
      <c r="AB1176" s="1263"/>
      <c r="AC1176" s="1562"/>
      <c r="AD1176" s="1566"/>
      <c r="AE1176" s="1566"/>
      <c r="AF1176" s="1566"/>
      <c r="AG1176" s="1566"/>
      <c r="AH1176" s="1566"/>
      <c r="AI1176" s="1562"/>
      <c r="AJ1176" s="1562"/>
      <c r="AK1176" s="1562"/>
      <c r="AL1176" s="1562"/>
      <c r="AM1176" s="1562"/>
      <c r="AN1176" s="1562"/>
      <c r="AO1176" s="1562"/>
      <c r="AP1176" s="1562"/>
      <c r="AQ1176" s="1562"/>
      <c r="AR1176" s="1236"/>
      <c r="AS1176" s="1560"/>
      <c r="AT1176" s="1560"/>
      <c r="AU1176" s="1263"/>
      <c r="AV1176" s="1513"/>
      <c r="AW1176" s="1262"/>
      <c r="AX1176" s="1513"/>
      <c r="AY1176" s="1263"/>
      <c r="AZ1176" s="1409"/>
      <c r="BA1176" s="1409"/>
      <c r="BB1176" s="1409"/>
      <c r="BC1176" s="1409"/>
      <c r="BD1176" s="1409"/>
      <c r="BE1176" s="1409"/>
    </row>
    <row r="1177" spans="1:64" s="369" customFormat="1" x14ac:dyDescent="0.2">
      <c r="A1177" s="411"/>
      <c r="B1177" s="85"/>
      <c r="C1177" s="757"/>
      <c r="D1177" s="1340"/>
      <c r="E1177" s="1340"/>
      <c r="F1177" s="1340"/>
      <c r="G1177" s="1340"/>
      <c r="H1177" s="1340"/>
      <c r="I1177" s="1340"/>
      <c r="J1177" s="1340"/>
      <c r="K1177" s="1340"/>
      <c r="L1177" s="1340"/>
      <c r="M1177" s="1340"/>
      <c r="N1177" s="1340"/>
      <c r="O1177" s="1340"/>
      <c r="P1177" s="1340"/>
      <c r="Q1177" s="1340"/>
      <c r="R1177" s="1340"/>
      <c r="S1177" s="1340"/>
      <c r="T1177" s="1340"/>
      <c r="U1177" s="1340"/>
      <c r="V1177" s="1340"/>
      <c r="W1177" s="1340"/>
      <c r="X1177" s="1263"/>
      <c r="Y1177" s="1358"/>
      <c r="Z1177" s="1262"/>
      <c r="AA1177" s="1340"/>
      <c r="AB1177" s="1262"/>
      <c r="AC1177" s="1340"/>
      <c r="AD1177" s="1262"/>
      <c r="AE1177" s="1262"/>
      <c r="AF1177" s="1262"/>
      <c r="AG1177" s="1262"/>
      <c r="AH1177" s="1262"/>
      <c r="AI1177" s="1340"/>
      <c r="AJ1177" s="1340"/>
      <c r="AK1177" s="1340"/>
      <c r="AL1177" s="1340"/>
      <c r="AM1177" s="1340"/>
      <c r="AN1177" s="1340"/>
      <c r="AO1177" s="1340"/>
      <c r="AP1177" s="1340"/>
      <c r="AQ1177" s="1340"/>
      <c r="AR1177" s="1236"/>
      <c r="AS1177" s="1567"/>
      <c r="AT1177" s="1284"/>
      <c r="AU1177" s="1409"/>
      <c r="AV1177" s="1340"/>
      <c r="AW1177" s="1263"/>
      <c r="AX1177" s="1259"/>
      <c r="AY1177" s="1263"/>
      <c r="AZ1177" s="1263"/>
      <c r="BA1177" s="1263"/>
      <c r="BB1177" s="1263"/>
      <c r="BC1177" s="1263"/>
      <c r="BD1177" s="1263"/>
      <c r="BE1177" s="1263"/>
    </row>
    <row r="1178" spans="1:64" s="369" customFormat="1" x14ac:dyDescent="0.2">
      <c r="A1178" s="842"/>
      <c r="B1178" s="321"/>
      <c r="C1178" s="321"/>
      <c r="D1178" s="1304"/>
      <c r="E1178" s="1304"/>
      <c r="F1178" s="1304"/>
      <c r="G1178" s="1304"/>
      <c r="H1178" s="1304"/>
      <c r="I1178" s="1304"/>
      <c r="J1178" s="1304"/>
      <c r="K1178" s="1304"/>
      <c r="L1178" s="1304"/>
      <c r="M1178" s="1304"/>
      <c r="N1178" s="1304"/>
      <c r="O1178" s="1304"/>
      <c r="P1178" s="1304"/>
      <c r="Q1178" s="1304"/>
      <c r="R1178" s="1304"/>
      <c r="S1178" s="1304"/>
      <c r="T1178" s="1304"/>
      <c r="U1178" s="1304"/>
      <c r="V1178" s="1304"/>
      <c r="W1178" s="1304"/>
      <c r="X1178" s="1304"/>
      <c r="Y1178" s="1304"/>
      <c r="Z1178" s="1304"/>
      <c r="AA1178" s="1304"/>
      <c r="AB1178" s="1304"/>
      <c r="AC1178" s="1304"/>
      <c r="AD1178" s="1304"/>
      <c r="AE1178" s="1304"/>
      <c r="AF1178" s="1304"/>
      <c r="AG1178" s="1304"/>
      <c r="AH1178" s="1304"/>
      <c r="AI1178" s="1304"/>
      <c r="AJ1178" s="1304"/>
      <c r="AK1178" s="1304"/>
      <c r="AL1178" s="1304"/>
      <c r="AM1178" s="1304"/>
      <c r="AN1178" s="1304"/>
      <c r="AO1178" s="1304"/>
      <c r="AP1178" s="1304"/>
      <c r="AQ1178" s="1304"/>
      <c r="AR1178" s="1236"/>
      <c r="AS1178" s="1284"/>
      <c r="AT1178" s="1284"/>
      <c r="AU1178" s="1301"/>
      <c r="AV1178" s="1301"/>
      <c r="AW1178" s="1301"/>
      <c r="AX1178" s="1301"/>
      <c r="AY1178" s="1301"/>
      <c r="AZ1178" s="1267"/>
      <c r="BA1178" s="1267"/>
      <c r="BB1178" s="1304"/>
      <c r="BC1178" s="1304"/>
      <c r="BD1178" s="1304"/>
      <c r="BE1178" s="1304"/>
    </row>
    <row r="1179" spans="1:64" s="369" customFormat="1" x14ac:dyDescent="0.2">
      <c r="A1179" s="842"/>
      <c r="B1179" s="757"/>
      <c r="C1179" s="321"/>
      <c r="D1179" s="1263"/>
      <c r="E1179" s="1263"/>
      <c r="F1179" s="1263"/>
      <c r="G1179" s="1263"/>
      <c r="H1179" s="1263"/>
      <c r="I1179" s="1263"/>
      <c r="J1179" s="1263"/>
      <c r="K1179" s="1263"/>
      <c r="L1179" s="1263"/>
      <c r="M1179" s="1263"/>
      <c r="N1179" s="1263"/>
      <c r="O1179" s="1263"/>
      <c r="P1179" s="1263"/>
      <c r="Q1179" s="1263"/>
      <c r="R1179" s="1263"/>
      <c r="S1179" s="1263"/>
      <c r="T1179" s="1263"/>
      <c r="U1179" s="1263"/>
      <c r="V1179" s="1263"/>
      <c r="W1179" s="1263"/>
      <c r="X1179" s="1263"/>
      <c r="Y1179" s="1263"/>
      <c r="Z1179" s="1263"/>
      <c r="AA1179" s="1263"/>
      <c r="AB1179" s="1263"/>
      <c r="AC1179" s="1263"/>
      <c r="AD1179" s="1263"/>
      <c r="AE1179" s="1263"/>
      <c r="AF1179" s="1263"/>
      <c r="AG1179" s="1263"/>
      <c r="AH1179" s="1263"/>
      <c r="AI1179" s="1263"/>
      <c r="AJ1179" s="1263"/>
      <c r="AK1179" s="1263"/>
      <c r="AL1179" s="1263"/>
      <c r="AM1179" s="1263"/>
      <c r="AN1179" s="1263"/>
      <c r="AO1179" s="1263"/>
      <c r="AP1179" s="1263"/>
      <c r="AQ1179" s="1263"/>
      <c r="AR1179" s="1236"/>
      <c r="AS1179" s="1284"/>
      <c r="AT1179" s="1284"/>
      <c r="AU1179" s="1301"/>
      <c r="AV1179" s="1301"/>
      <c r="AW1179" s="1301"/>
      <c r="AX1179" s="1301"/>
      <c r="AY1179" s="1301"/>
      <c r="AZ1179" s="1267"/>
      <c r="BA1179" s="1267"/>
      <c r="BB1179" s="1263"/>
      <c r="BC1179" s="1263"/>
      <c r="BD1179" s="1263"/>
      <c r="BE1179" s="1263"/>
    </row>
    <row r="1180" spans="1:64" s="145" customFormat="1" x14ac:dyDescent="0.2">
      <c r="A1180" s="843"/>
      <c r="B1180" s="46"/>
      <c r="C1180" s="179"/>
      <c r="D1180" s="1320"/>
      <c r="E1180" s="1320"/>
      <c r="F1180" s="1320"/>
      <c r="G1180" s="1320"/>
      <c r="H1180" s="1320"/>
      <c r="I1180" s="1320"/>
      <c r="J1180" s="1320"/>
      <c r="K1180" s="1320"/>
      <c r="L1180" s="1320"/>
      <c r="M1180" s="1320"/>
      <c r="N1180" s="1320"/>
      <c r="O1180" s="1320"/>
      <c r="P1180" s="1320"/>
      <c r="Q1180" s="1320"/>
      <c r="R1180" s="1320"/>
      <c r="S1180" s="1320"/>
      <c r="T1180" s="1320"/>
      <c r="U1180" s="1320"/>
      <c r="V1180" s="1320"/>
      <c r="W1180" s="1320"/>
      <c r="X1180" s="1320"/>
      <c r="Y1180" s="1320"/>
      <c r="Z1180" s="1320"/>
      <c r="AA1180" s="1320"/>
      <c r="AB1180" s="1320"/>
      <c r="AC1180" s="1320"/>
      <c r="AD1180" s="1320"/>
      <c r="AE1180" s="1320"/>
      <c r="AF1180" s="1320"/>
      <c r="AG1180" s="1320"/>
      <c r="AH1180" s="1320"/>
      <c r="AI1180" s="1320"/>
      <c r="AJ1180" s="1320"/>
      <c r="AK1180" s="1320"/>
      <c r="AL1180" s="1320"/>
      <c r="AM1180" s="1320"/>
      <c r="AN1180" s="1320"/>
      <c r="AO1180" s="1320"/>
      <c r="AP1180" s="1320"/>
      <c r="AQ1180" s="1320"/>
      <c r="AR1180" s="1236"/>
      <c r="AS1180" s="1248"/>
      <c r="AT1180" s="1284"/>
      <c r="AU1180" s="1320"/>
      <c r="AV1180" s="1320"/>
      <c r="AW1180" s="1320"/>
      <c r="AX1180" s="1320"/>
      <c r="AY1180" s="1320"/>
      <c r="AZ1180" s="1320"/>
      <c r="BA1180" s="1320"/>
      <c r="BB1180" s="1320"/>
      <c r="BC1180" s="1320"/>
      <c r="BD1180" s="1320"/>
      <c r="BE1180" s="1320"/>
    </row>
    <row r="1181" spans="1:64" s="369" customFormat="1" x14ac:dyDescent="0.2">
      <c r="A1181" s="842"/>
      <c r="B1181" s="322"/>
      <c r="C1181" s="321"/>
      <c r="D1181" s="1303"/>
      <c r="E1181" s="1303"/>
      <c r="F1181" s="1303"/>
      <c r="G1181" s="1303"/>
      <c r="H1181" s="1303"/>
      <c r="I1181" s="1303"/>
      <c r="J1181" s="1303"/>
      <c r="K1181" s="1303"/>
      <c r="L1181" s="1303"/>
      <c r="M1181" s="1303"/>
      <c r="N1181" s="1303"/>
      <c r="O1181" s="1303"/>
      <c r="P1181" s="1303"/>
      <c r="Q1181" s="1303"/>
      <c r="R1181" s="1303"/>
      <c r="S1181" s="1303"/>
      <c r="T1181" s="1303"/>
      <c r="U1181" s="1303"/>
      <c r="V1181" s="1303"/>
      <c r="W1181" s="1303"/>
      <c r="X1181" s="1303"/>
      <c r="Y1181" s="1303"/>
      <c r="Z1181" s="1262"/>
      <c r="AA1181" s="1262"/>
      <c r="AB1181" s="1262"/>
      <c r="AC1181" s="1262"/>
      <c r="AD1181" s="1262"/>
      <c r="AE1181" s="1262"/>
      <c r="AF1181" s="1262"/>
      <c r="AG1181" s="1262"/>
      <c r="AH1181" s="1262"/>
      <c r="AI1181" s="1262"/>
      <c r="AJ1181" s="1262"/>
      <c r="AK1181" s="1262"/>
      <c r="AL1181" s="1262"/>
      <c r="AM1181" s="1262"/>
      <c r="AN1181" s="1262"/>
      <c r="AO1181" s="1262"/>
      <c r="AP1181" s="1262"/>
      <c r="AQ1181" s="1262"/>
      <c r="AR1181" s="1236"/>
      <c r="AS1181" s="1248"/>
      <c r="AT1181" s="1284"/>
      <c r="AU1181" s="1320"/>
      <c r="AV1181" s="1320"/>
      <c r="AW1181" s="1320"/>
      <c r="AX1181" s="1320"/>
      <c r="AY1181" s="1320"/>
      <c r="AZ1181" s="1320"/>
      <c r="BA1181" s="1320"/>
      <c r="BB1181" s="1263"/>
      <c r="BC1181" s="1263"/>
      <c r="BD1181" s="1263"/>
      <c r="BE1181" s="1263"/>
    </row>
    <row r="1182" spans="1:64" s="369" customFormat="1" x14ac:dyDescent="0.2">
      <c r="A1182" s="411"/>
      <c r="B1182" s="85"/>
      <c r="C1182" s="757"/>
      <c r="D1182" s="1303"/>
      <c r="E1182" s="1303"/>
      <c r="F1182" s="1303"/>
      <c r="G1182" s="1303"/>
      <c r="H1182" s="1303"/>
      <c r="I1182" s="1303"/>
      <c r="J1182" s="1303"/>
      <c r="K1182" s="1303"/>
      <c r="L1182" s="1303"/>
      <c r="M1182" s="1303"/>
      <c r="N1182" s="1303"/>
      <c r="O1182" s="1303"/>
      <c r="P1182" s="1303"/>
      <c r="Q1182" s="1303"/>
      <c r="R1182" s="1303"/>
      <c r="S1182" s="1303"/>
      <c r="T1182" s="1303"/>
      <c r="U1182" s="1303"/>
      <c r="V1182" s="1303"/>
      <c r="W1182" s="1303"/>
      <c r="X1182" s="1303"/>
      <c r="Y1182" s="1303"/>
      <c r="Z1182" s="1262"/>
      <c r="AA1182" s="1291"/>
      <c r="AB1182" s="1262"/>
      <c r="AC1182" s="1291"/>
      <c r="AD1182" s="1262"/>
      <c r="AE1182" s="1262"/>
      <c r="AF1182" s="1262"/>
      <c r="AG1182" s="1262"/>
      <c r="AH1182" s="1262"/>
      <c r="AI1182" s="1291"/>
      <c r="AJ1182" s="1291"/>
      <c r="AK1182" s="1291"/>
      <c r="AL1182" s="1291"/>
      <c r="AM1182" s="1291"/>
      <c r="AN1182" s="1291"/>
      <c r="AO1182" s="1291"/>
      <c r="AP1182" s="1291"/>
      <c r="AQ1182" s="1291"/>
      <c r="AR1182" s="1236"/>
      <c r="AS1182" s="1567"/>
      <c r="AT1182" s="1284"/>
      <c r="AU1182" s="1409"/>
      <c r="AV1182" s="1291"/>
      <c r="AW1182" s="1263"/>
      <c r="AX1182" s="1262"/>
      <c r="AY1182" s="1263"/>
      <c r="AZ1182" s="1263"/>
      <c r="BA1182" s="1263"/>
      <c r="BB1182" s="1263"/>
      <c r="BC1182" s="1263"/>
      <c r="BD1182" s="1263"/>
      <c r="BE1182" s="1263"/>
    </row>
    <row r="1183" spans="1:64" s="369" customFormat="1" x14ac:dyDescent="0.2">
      <c r="A1183" s="411"/>
      <c r="B1183" s="85"/>
      <c r="C1183" s="757"/>
      <c r="D1183" s="1304"/>
      <c r="E1183" s="1304"/>
      <c r="F1183" s="1304"/>
      <c r="G1183" s="1304"/>
      <c r="H1183" s="1304"/>
      <c r="I1183" s="1304"/>
      <c r="J1183" s="1304"/>
      <c r="K1183" s="1304"/>
      <c r="L1183" s="1304"/>
      <c r="M1183" s="1304"/>
      <c r="N1183" s="1304"/>
      <c r="O1183" s="1304"/>
      <c r="P1183" s="1304"/>
      <c r="Q1183" s="1304"/>
      <c r="R1183" s="1304"/>
      <c r="S1183" s="1304"/>
      <c r="T1183" s="1304"/>
      <c r="U1183" s="1304"/>
      <c r="V1183" s="1304"/>
      <c r="W1183" s="1304"/>
      <c r="X1183" s="1304"/>
      <c r="Y1183" s="1304"/>
      <c r="Z1183" s="1263"/>
      <c r="AA1183" s="1263"/>
      <c r="AB1183" s="1263"/>
      <c r="AC1183" s="1263"/>
      <c r="AD1183" s="1263"/>
      <c r="AE1183" s="1263"/>
      <c r="AF1183" s="1263"/>
      <c r="AG1183" s="1263"/>
      <c r="AH1183" s="1263"/>
      <c r="AI1183" s="1263"/>
      <c r="AJ1183" s="1263"/>
      <c r="AK1183" s="1263"/>
      <c r="AL1183" s="1263"/>
      <c r="AM1183" s="1263"/>
      <c r="AN1183" s="1263"/>
      <c r="AO1183" s="1263"/>
      <c r="AP1183" s="1263"/>
      <c r="AQ1183" s="1263"/>
      <c r="AR1183" s="1236"/>
      <c r="AS1183" s="1567"/>
      <c r="AT1183" s="1284"/>
      <c r="AU1183" s="1301"/>
      <c r="AV1183" s="1301"/>
      <c r="AW1183" s="1301"/>
      <c r="AX1183" s="1301"/>
      <c r="AY1183" s="1301"/>
      <c r="AZ1183" s="1267"/>
      <c r="BA1183" s="1267"/>
      <c r="BB1183" s="1263"/>
      <c r="BC1183" s="1263"/>
      <c r="BD1183" s="1263"/>
      <c r="BE1183" s="1263"/>
    </row>
    <row r="1184" spans="1:64" s="369" customFormat="1" x14ac:dyDescent="0.2">
      <c r="A1184" s="411"/>
      <c r="B1184" s="86"/>
      <c r="C1184" s="757"/>
      <c r="D1184" s="1304"/>
      <c r="E1184" s="1304"/>
      <c r="F1184" s="1304"/>
      <c r="G1184" s="1304"/>
      <c r="H1184" s="1304"/>
      <c r="I1184" s="1304"/>
      <c r="J1184" s="1304"/>
      <c r="K1184" s="1304"/>
      <c r="L1184" s="1304"/>
      <c r="M1184" s="1304"/>
      <c r="N1184" s="1304"/>
      <c r="O1184" s="1304"/>
      <c r="P1184" s="1304"/>
      <c r="Q1184" s="1304"/>
      <c r="R1184" s="1304"/>
      <c r="S1184" s="1304"/>
      <c r="T1184" s="1304"/>
      <c r="U1184" s="1304"/>
      <c r="V1184" s="1304"/>
      <c r="W1184" s="1304"/>
      <c r="X1184" s="1304"/>
      <c r="Y1184" s="1304"/>
      <c r="Z1184" s="1267"/>
      <c r="AA1184" s="1267"/>
      <c r="AB1184" s="1267"/>
      <c r="AC1184" s="1267"/>
      <c r="AD1184" s="1267"/>
      <c r="AE1184" s="1267"/>
      <c r="AF1184" s="1267"/>
      <c r="AG1184" s="1267"/>
      <c r="AH1184" s="1267"/>
      <c r="AI1184" s="1267"/>
      <c r="AJ1184" s="1267"/>
      <c r="AK1184" s="1267"/>
      <c r="AL1184" s="1267"/>
      <c r="AM1184" s="1267"/>
      <c r="AN1184" s="1267"/>
      <c r="AO1184" s="1267"/>
      <c r="AP1184" s="1267"/>
      <c r="AQ1184" s="1267"/>
      <c r="AR1184" s="1236"/>
      <c r="AS1184" s="1568"/>
      <c r="AT1184" s="1284"/>
      <c r="AU1184" s="1301"/>
      <c r="AV1184" s="1301"/>
      <c r="AW1184" s="1301"/>
      <c r="AX1184" s="1301"/>
      <c r="AY1184" s="1301"/>
      <c r="AZ1184" s="1267"/>
      <c r="BA1184" s="1267"/>
      <c r="BB1184" s="1267"/>
      <c r="BC1184" s="1267"/>
      <c r="BD1184" s="1267"/>
      <c r="BE1184" s="1267"/>
    </row>
    <row r="1185" spans="1:57" s="145" customFormat="1" x14ac:dyDescent="0.2">
      <c r="A1185" s="831"/>
      <c r="B1185" s="180"/>
      <c r="C1185" s="179"/>
      <c r="D1185" s="1320"/>
      <c r="E1185" s="1320"/>
      <c r="F1185" s="1320"/>
      <c r="G1185" s="1320"/>
      <c r="H1185" s="1320"/>
      <c r="I1185" s="1320"/>
      <c r="J1185" s="1320"/>
      <c r="K1185" s="1320"/>
      <c r="L1185" s="1320"/>
      <c r="M1185" s="1320"/>
      <c r="N1185" s="1320"/>
      <c r="O1185" s="1320"/>
      <c r="P1185" s="1320"/>
      <c r="Q1185" s="1320"/>
      <c r="R1185" s="1320"/>
      <c r="S1185" s="1320"/>
      <c r="T1185" s="1320"/>
      <c r="U1185" s="1320"/>
      <c r="V1185" s="1320"/>
      <c r="W1185" s="1320"/>
      <c r="X1185" s="1320"/>
      <c r="Y1185" s="1320"/>
      <c r="Z1185" s="1467"/>
      <c r="AA1185" s="1467"/>
      <c r="AB1185" s="1467"/>
      <c r="AC1185" s="1467"/>
      <c r="AD1185" s="1467"/>
      <c r="AE1185" s="1467"/>
      <c r="AF1185" s="1467"/>
      <c r="AG1185" s="1467"/>
      <c r="AH1185" s="1467"/>
      <c r="AI1185" s="1467"/>
      <c r="AJ1185" s="1467"/>
      <c r="AK1185" s="1467"/>
      <c r="AL1185" s="1467"/>
      <c r="AM1185" s="1467"/>
      <c r="AN1185" s="1467"/>
      <c r="AO1185" s="1467"/>
      <c r="AP1185" s="1467"/>
      <c r="AQ1185" s="1467"/>
      <c r="AR1185" s="1236"/>
      <c r="AS1185" s="1568"/>
      <c r="AT1185" s="1284"/>
      <c r="AU1185" s="1320"/>
      <c r="AV1185" s="1320"/>
      <c r="AW1185" s="1320"/>
      <c r="AX1185" s="1320"/>
      <c r="AY1185" s="1320"/>
      <c r="AZ1185" s="1320"/>
      <c r="BA1185" s="1320"/>
      <c r="BB1185" s="1467"/>
      <c r="BC1185" s="1467"/>
      <c r="BD1185" s="1467"/>
      <c r="BE1185" s="1467"/>
    </row>
    <row r="1186" spans="1:57" s="369" customFormat="1" hidden="1" outlineLevel="1" x14ac:dyDescent="0.2">
      <c r="A1186" s="411"/>
      <c r="B1186" s="86"/>
      <c r="C1186" s="757"/>
      <c r="D1186" s="1303"/>
      <c r="E1186" s="1303"/>
      <c r="F1186" s="1303"/>
      <c r="G1186" s="1303"/>
      <c r="H1186" s="1303"/>
      <c r="I1186" s="1303"/>
      <c r="J1186" s="1303"/>
      <c r="K1186" s="1303"/>
      <c r="L1186" s="1303"/>
      <c r="M1186" s="1303"/>
      <c r="N1186" s="1303"/>
      <c r="O1186" s="1303"/>
      <c r="P1186" s="1303"/>
      <c r="Q1186" s="1303"/>
      <c r="R1186" s="1303"/>
      <c r="S1186" s="1303"/>
      <c r="T1186" s="1303"/>
      <c r="U1186" s="1303"/>
      <c r="V1186" s="1303"/>
      <c r="W1186" s="1303"/>
      <c r="X1186" s="1303"/>
      <c r="Y1186" s="1303"/>
      <c r="Z1186" s="1262"/>
      <c r="AA1186" s="1291"/>
      <c r="AB1186" s="1262"/>
      <c r="AC1186" s="1291"/>
      <c r="AD1186" s="1262"/>
      <c r="AE1186" s="1262"/>
      <c r="AF1186" s="1262"/>
      <c r="AG1186" s="1262"/>
      <c r="AH1186" s="1262"/>
      <c r="AI1186" s="1262"/>
      <c r="AJ1186" s="1262"/>
      <c r="AK1186" s="1262"/>
      <c r="AL1186" s="1262"/>
      <c r="AM1186" s="1262"/>
      <c r="AN1186" s="1262"/>
      <c r="AO1186" s="1262"/>
      <c r="AP1186" s="1262"/>
      <c r="AQ1186" s="1262"/>
      <c r="AR1186" s="1236"/>
      <c r="AS1186" s="1568"/>
      <c r="AT1186" s="1284"/>
      <c r="AU1186" s="1236"/>
      <c r="AV1186" s="1236"/>
      <c r="AW1186" s="1236"/>
      <c r="AX1186" s="1236"/>
      <c r="AY1186" s="1236"/>
      <c r="AZ1186" s="1263"/>
      <c r="BA1186" s="1263"/>
      <c r="BB1186" s="1263"/>
      <c r="BC1186" s="1263"/>
      <c r="BD1186" s="1263"/>
      <c r="BE1186" s="1263"/>
    </row>
    <row r="1187" spans="1:57" s="369" customFormat="1" hidden="1" outlineLevel="1" x14ac:dyDescent="0.2">
      <c r="A1187" s="411"/>
      <c r="B1187" s="765"/>
      <c r="C1187" s="363"/>
      <c r="D1187" s="1260"/>
      <c r="E1187" s="1260"/>
      <c r="F1187" s="1260"/>
      <c r="G1187" s="1260"/>
      <c r="H1187" s="1260"/>
      <c r="I1187" s="1260"/>
      <c r="J1187" s="1260"/>
      <c r="K1187" s="1260"/>
      <c r="L1187" s="1260"/>
      <c r="M1187" s="1260"/>
      <c r="N1187" s="1260"/>
      <c r="O1187" s="1260"/>
      <c r="P1187" s="1260"/>
      <c r="Q1187" s="1260"/>
      <c r="R1187" s="1260"/>
      <c r="S1187" s="1260"/>
      <c r="T1187" s="1260"/>
      <c r="U1187" s="1260"/>
      <c r="V1187" s="1260"/>
      <c r="W1187" s="1260"/>
      <c r="X1187" s="1260"/>
      <c r="Y1187" s="1260"/>
      <c r="Z1187" s="1262"/>
      <c r="AA1187" s="1291"/>
      <c r="AB1187" s="1262"/>
      <c r="AC1187" s="1291"/>
      <c r="AD1187" s="1262"/>
      <c r="AE1187" s="1262"/>
      <c r="AF1187" s="1262"/>
      <c r="AG1187" s="1262"/>
      <c r="AH1187" s="1262"/>
      <c r="AI1187" s="1258"/>
      <c r="AJ1187" s="1258"/>
      <c r="AK1187" s="1258"/>
      <c r="AL1187" s="1258"/>
      <c r="AM1187" s="1258"/>
      <c r="AN1187" s="1258"/>
      <c r="AO1187" s="1258"/>
      <c r="AP1187" s="1258"/>
      <c r="AQ1187" s="1258"/>
      <c r="AR1187" s="1236"/>
      <c r="AS1187" s="1342"/>
      <c r="AT1187" s="1448"/>
      <c r="AU1187" s="1236"/>
      <c r="AV1187" s="1236"/>
      <c r="AW1187" s="1236"/>
      <c r="AX1187" s="1236"/>
      <c r="AY1187" s="1236"/>
      <c r="AZ1187" s="1236"/>
      <c r="BA1187" s="1236"/>
      <c r="BB1187" s="1263"/>
      <c r="BC1187" s="1263"/>
      <c r="BD1187" s="1263"/>
      <c r="BE1187" s="1263"/>
    </row>
    <row r="1188" spans="1:57" s="369" customFormat="1" hidden="1" outlineLevel="1" x14ac:dyDescent="0.2">
      <c r="A1188" s="411"/>
      <c r="B1188" s="765"/>
      <c r="C1188" s="757"/>
      <c r="D1188" s="1260"/>
      <c r="E1188" s="1260"/>
      <c r="F1188" s="1260"/>
      <c r="G1188" s="1260"/>
      <c r="H1188" s="1260"/>
      <c r="I1188" s="1260"/>
      <c r="J1188" s="1260"/>
      <c r="K1188" s="1260"/>
      <c r="L1188" s="1260"/>
      <c r="M1188" s="1260"/>
      <c r="N1188" s="1260"/>
      <c r="O1188" s="1260"/>
      <c r="P1188" s="1260"/>
      <c r="Q1188" s="1260"/>
      <c r="R1188" s="1260"/>
      <c r="S1188" s="1260"/>
      <c r="T1188" s="1260"/>
      <c r="U1188" s="1260"/>
      <c r="V1188" s="1260"/>
      <c r="W1188" s="1260"/>
      <c r="X1188" s="1260"/>
      <c r="Y1188" s="1260"/>
      <c r="Z1188" s="1301"/>
      <c r="AA1188" s="1301"/>
      <c r="AB1188" s="1301"/>
      <c r="AC1188" s="1301"/>
      <c r="AD1188" s="1301"/>
      <c r="AE1188" s="1301"/>
      <c r="AF1188" s="1301"/>
      <c r="AG1188" s="1301"/>
      <c r="AH1188" s="1301"/>
      <c r="AI1188" s="1301"/>
      <c r="AJ1188" s="1301"/>
      <c r="AK1188" s="1301"/>
      <c r="AL1188" s="1301"/>
      <c r="AM1188" s="1301"/>
      <c r="AN1188" s="1301"/>
      <c r="AO1188" s="1301"/>
      <c r="AP1188" s="1301"/>
      <c r="AQ1188" s="1301"/>
      <c r="AR1188" s="1236"/>
      <c r="AS1188" s="1342"/>
      <c r="AT1188" s="1284"/>
      <c r="AU1188" s="1301"/>
      <c r="AV1188" s="1301"/>
      <c r="AW1188" s="1301"/>
      <c r="AX1188" s="1301"/>
      <c r="AY1188" s="1301"/>
      <c r="AZ1188" s="1267"/>
      <c r="BA1188" s="1267"/>
      <c r="BB1188" s="1301"/>
      <c r="BC1188" s="1301"/>
      <c r="BD1188" s="1301"/>
      <c r="BE1188" s="1301"/>
    </row>
    <row r="1189" spans="1:57" s="369" customFormat="1" hidden="1" outlineLevel="1" x14ac:dyDescent="0.2">
      <c r="A1189" s="411"/>
      <c r="B1189" s="765"/>
      <c r="C1189" s="757"/>
      <c r="D1189" s="1260"/>
      <c r="E1189" s="1260"/>
      <c r="F1189" s="1260"/>
      <c r="G1189" s="1260"/>
      <c r="H1189" s="1260"/>
      <c r="I1189" s="1260"/>
      <c r="J1189" s="1260"/>
      <c r="K1189" s="1260"/>
      <c r="L1189" s="1260"/>
      <c r="M1189" s="1260"/>
      <c r="N1189" s="1260"/>
      <c r="O1189" s="1260"/>
      <c r="P1189" s="1260"/>
      <c r="Q1189" s="1260"/>
      <c r="R1189" s="1260"/>
      <c r="S1189" s="1260"/>
      <c r="T1189" s="1260"/>
      <c r="U1189" s="1260"/>
      <c r="V1189" s="1260"/>
      <c r="W1189" s="1260"/>
      <c r="X1189" s="1260"/>
      <c r="Y1189" s="1260"/>
      <c r="Z1189" s="1236"/>
      <c r="AA1189" s="1236"/>
      <c r="AB1189" s="1236"/>
      <c r="AC1189" s="1236"/>
      <c r="AD1189" s="1236"/>
      <c r="AE1189" s="1236"/>
      <c r="AF1189" s="1236"/>
      <c r="AG1189" s="1236"/>
      <c r="AH1189" s="1236"/>
      <c r="AI1189" s="1236"/>
      <c r="AJ1189" s="1236"/>
      <c r="AK1189" s="1236"/>
      <c r="AL1189" s="1236"/>
      <c r="AM1189" s="1236"/>
      <c r="AN1189" s="1236"/>
      <c r="AO1189" s="1236"/>
      <c r="AP1189" s="1236"/>
      <c r="AQ1189" s="1236"/>
      <c r="AR1189" s="1236"/>
      <c r="AS1189" s="1342"/>
      <c r="AT1189" s="1284"/>
      <c r="AU1189" s="1301"/>
      <c r="AV1189" s="1301"/>
      <c r="AW1189" s="1301"/>
      <c r="AX1189" s="1301"/>
      <c r="AY1189" s="1301"/>
      <c r="AZ1189" s="1267"/>
      <c r="BA1189" s="1267"/>
      <c r="BB1189" s="1236"/>
      <c r="BC1189" s="1236"/>
      <c r="BD1189" s="1236"/>
      <c r="BE1189" s="1236"/>
    </row>
    <row r="1190" spans="1:57" s="369" customFormat="1" hidden="1" outlineLevel="1" x14ac:dyDescent="0.2">
      <c r="A1190" s="411"/>
      <c r="B1190" s="765"/>
      <c r="C1190" s="757"/>
      <c r="D1190" s="1260"/>
      <c r="E1190" s="1260"/>
      <c r="F1190" s="1260"/>
      <c r="G1190" s="1260"/>
      <c r="H1190" s="1260"/>
      <c r="I1190" s="1260"/>
      <c r="J1190" s="1260"/>
      <c r="K1190" s="1260"/>
      <c r="L1190" s="1260"/>
      <c r="M1190" s="1260"/>
      <c r="N1190" s="1260"/>
      <c r="O1190" s="1260"/>
      <c r="P1190" s="1260"/>
      <c r="Q1190" s="1260"/>
      <c r="R1190" s="1260"/>
      <c r="S1190" s="1260"/>
      <c r="T1190" s="1260"/>
      <c r="U1190" s="1260"/>
      <c r="V1190" s="1260"/>
      <c r="W1190" s="1260"/>
      <c r="X1190" s="1260"/>
      <c r="Y1190" s="1260"/>
      <c r="Z1190" s="1236"/>
      <c r="AA1190" s="1236"/>
      <c r="AB1190" s="1236"/>
      <c r="AC1190" s="1236"/>
      <c r="AD1190" s="1236"/>
      <c r="AE1190" s="1236"/>
      <c r="AF1190" s="1236"/>
      <c r="AG1190" s="1236"/>
      <c r="AH1190" s="1236"/>
      <c r="AI1190" s="1236"/>
      <c r="AJ1190" s="1236"/>
      <c r="AK1190" s="1236"/>
      <c r="AL1190" s="1236"/>
      <c r="AM1190" s="1236"/>
      <c r="AN1190" s="1236"/>
      <c r="AO1190" s="1236"/>
      <c r="AP1190" s="1236"/>
      <c r="AQ1190" s="1236"/>
      <c r="AR1190" s="1236"/>
      <c r="AS1190" s="1342"/>
      <c r="AT1190" s="1284"/>
      <c r="AU1190" s="1236"/>
      <c r="AV1190" s="1236"/>
      <c r="AW1190" s="1236"/>
      <c r="AX1190" s="1236"/>
      <c r="AY1190" s="1236"/>
      <c r="AZ1190" s="1263"/>
      <c r="BA1190" s="1263"/>
      <c r="BB1190" s="1236"/>
      <c r="BC1190" s="1236"/>
      <c r="BD1190" s="1236"/>
      <c r="BE1190" s="1236"/>
    </row>
    <row r="1191" spans="1:57" s="369" customFormat="1" hidden="1" outlineLevel="1" x14ac:dyDescent="0.2">
      <c r="A1191" s="411"/>
      <c r="B1191" s="765"/>
      <c r="C1191" s="363"/>
      <c r="D1191" s="1260"/>
      <c r="E1191" s="1260"/>
      <c r="F1191" s="1260"/>
      <c r="G1191" s="1260"/>
      <c r="H1191" s="1260"/>
      <c r="I1191" s="1260"/>
      <c r="J1191" s="1260"/>
      <c r="K1191" s="1260"/>
      <c r="L1191" s="1260"/>
      <c r="M1191" s="1260"/>
      <c r="N1191" s="1260"/>
      <c r="O1191" s="1260"/>
      <c r="P1191" s="1260"/>
      <c r="Q1191" s="1260"/>
      <c r="R1191" s="1260"/>
      <c r="S1191" s="1260"/>
      <c r="T1191" s="1260"/>
      <c r="U1191" s="1260"/>
      <c r="V1191" s="1260"/>
      <c r="W1191" s="1260"/>
      <c r="X1191" s="1260"/>
      <c r="Y1191" s="1260"/>
      <c r="Z1191" s="1236"/>
      <c r="AA1191" s="1236"/>
      <c r="AB1191" s="1236"/>
      <c r="AC1191" s="1236"/>
      <c r="AD1191" s="1236"/>
      <c r="AE1191" s="1236"/>
      <c r="AF1191" s="1236"/>
      <c r="AG1191" s="1236"/>
      <c r="AH1191" s="1236"/>
      <c r="AI1191" s="1236"/>
      <c r="AJ1191" s="1236"/>
      <c r="AK1191" s="1236"/>
      <c r="AL1191" s="1236"/>
      <c r="AM1191" s="1236"/>
      <c r="AN1191" s="1236"/>
      <c r="AO1191" s="1236"/>
      <c r="AP1191" s="1236"/>
      <c r="AQ1191" s="1236"/>
      <c r="AR1191" s="1236"/>
      <c r="AS1191" s="1342"/>
      <c r="AT1191" s="1448"/>
      <c r="AU1191" s="1236"/>
      <c r="AV1191" s="1236"/>
      <c r="AW1191" s="1236"/>
      <c r="AX1191" s="1236"/>
      <c r="AY1191" s="1236"/>
      <c r="AZ1191" s="1263"/>
      <c r="BA1191" s="1263"/>
      <c r="BB1191" s="1236"/>
      <c r="BC1191" s="1236"/>
      <c r="BD1191" s="1236"/>
      <c r="BE1191" s="1236"/>
    </row>
    <row r="1192" spans="1:57" s="369" customFormat="1" hidden="1" outlineLevel="1" x14ac:dyDescent="0.2">
      <c r="A1192" s="411"/>
      <c r="B1192" s="765"/>
      <c r="C1192" s="757"/>
      <c r="D1192" s="1303"/>
      <c r="E1192" s="1303"/>
      <c r="F1192" s="1303"/>
      <c r="G1192" s="1303"/>
      <c r="H1192" s="1303"/>
      <c r="I1192" s="1303"/>
      <c r="J1192" s="1303"/>
      <c r="K1192" s="1303"/>
      <c r="L1192" s="1303"/>
      <c r="M1192" s="1303"/>
      <c r="N1192" s="1303"/>
      <c r="O1192" s="1303"/>
      <c r="P1192" s="1303"/>
      <c r="Q1192" s="1303"/>
      <c r="R1192" s="1303"/>
      <c r="S1192" s="1303"/>
      <c r="T1192" s="1303"/>
      <c r="U1192" s="1303"/>
      <c r="V1192" s="1303"/>
      <c r="W1192" s="1303"/>
      <c r="X1192" s="1303"/>
      <c r="Y1192" s="1303"/>
      <c r="Z1192" s="1301"/>
      <c r="AA1192" s="1301"/>
      <c r="AB1192" s="1301"/>
      <c r="AC1192" s="1301"/>
      <c r="AD1192" s="1301"/>
      <c r="AE1192" s="1301"/>
      <c r="AF1192" s="1301"/>
      <c r="AG1192" s="1301"/>
      <c r="AH1192" s="1301"/>
      <c r="AI1192" s="1301"/>
      <c r="AJ1192" s="1301"/>
      <c r="AK1192" s="1301"/>
      <c r="AL1192" s="1301"/>
      <c r="AM1192" s="1301"/>
      <c r="AN1192" s="1301"/>
      <c r="AO1192" s="1301"/>
      <c r="AP1192" s="1301"/>
      <c r="AQ1192" s="1301"/>
      <c r="AR1192" s="1236"/>
      <c r="AS1192" s="1342"/>
      <c r="AT1192" s="1284"/>
      <c r="AU1192" s="1301"/>
      <c r="AV1192" s="1301"/>
      <c r="AW1192" s="1301"/>
      <c r="AX1192" s="1301"/>
      <c r="AY1192" s="1301"/>
      <c r="AZ1192" s="1267"/>
      <c r="BA1192" s="1267"/>
      <c r="BB1192" s="1301"/>
      <c r="BC1192" s="1301"/>
      <c r="BD1192" s="1301"/>
      <c r="BE1192" s="1301"/>
    </row>
    <row r="1193" spans="1:57" s="369" customFormat="1" hidden="1" outlineLevel="1" x14ac:dyDescent="0.2">
      <c r="A1193" s="411"/>
      <c r="B1193" s="765"/>
      <c r="C1193" s="757"/>
      <c r="D1193" s="1260"/>
      <c r="E1193" s="1260"/>
      <c r="F1193" s="1260"/>
      <c r="G1193" s="1260"/>
      <c r="H1193" s="1260"/>
      <c r="I1193" s="1260"/>
      <c r="J1193" s="1260"/>
      <c r="K1193" s="1260"/>
      <c r="L1193" s="1260"/>
      <c r="M1193" s="1260"/>
      <c r="N1193" s="1260"/>
      <c r="O1193" s="1260"/>
      <c r="P1193" s="1260"/>
      <c r="Q1193" s="1260"/>
      <c r="R1193" s="1260"/>
      <c r="S1193" s="1260"/>
      <c r="T1193" s="1260"/>
      <c r="U1193" s="1260"/>
      <c r="V1193" s="1260"/>
      <c r="W1193" s="1260"/>
      <c r="X1193" s="1260"/>
      <c r="Y1193" s="1260"/>
      <c r="Z1193" s="1236"/>
      <c r="AA1193" s="1236"/>
      <c r="AB1193" s="1236"/>
      <c r="AC1193" s="1236"/>
      <c r="AD1193" s="1236"/>
      <c r="AE1193" s="1236"/>
      <c r="AF1193" s="1236"/>
      <c r="AG1193" s="1236"/>
      <c r="AH1193" s="1236"/>
      <c r="AI1193" s="1236"/>
      <c r="AJ1193" s="1236"/>
      <c r="AK1193" s="1236"/>
      <c r="AL1193" s="1236"/>
      <c r="AM1193" s="1236"/>
      <c r="AN1193" s="1236"/>
      <c r="AO1193" s="1236"/>
      <c r="AP1193" s="1236"/>
      <c r="AQ1193" s="1236"/>
      <c r="AR1193" s="1236"/>
      <c r="AS1193" s="1342"/>
      <c r="AT1193" s="1284"/>
      <c r="AU1193" s="1301"/>
      <c r="AV1193" s="1301"/>
      <c r="AW1193" s="1301"/>
      <c r="AX1193" s="1301"/>
      <c r="AY1193" s="1301"/>
      <c r="AZ1193" s="1267"/>
      <c r="BA1193" s="1267"/>
      <c r="BB1193" s="1236"/>
      <c r="BC1193" s="1236"/>
      <c r="BD1193" s="1236"/>
      <c r="BE1193" s="1236"/>
    </row>
    <row r="1194" spans="1:57" s="369" customFormat="1" hidden="1" outlineLevel="1" x14ac:dyDescent="0.2">
      <c r="A1194" s="411"/>
      <c r="B1194" s="765"/>
      <c r="C1194" s="757"/>
      <c r="D1194" s="1260"/>
      <c r="E1194" s="1260"/>
      <c r="F1194" s="1260"/>
      <c r="G1194" s="1260"/>
      <c r="H1194" s="1260"/>
      <c r="I1194" s="1260"/>
      <c r="J1194" s="1260"/>
      <c r="K1194" s="1260"/>
      <c r="L1194" s="1260"/>
      <c r="M1194" s="1260"/>
      <c r="N1194" s="1260"/>
      <c r="O1194" s="1260"/>
      <c r="P1194" s="1260"/>
      <c r="Q1194" s="1260"/>
      <c r="R1194" s="1260"/>
      <c r="S1194" s="1260"/>
      <c r="T1194" s="1260"/>
      <c r="U1194" s="1260"/>
      <c r="V1194" s="1260"/>
      <c r="W1194" s="1260"/>
      <c r="X1194" s="1260"/>
      <c r="Y1194" s="1260"/>
      <c r="Z1194" s="1236"/>
      <c r="AA1194" s="1236"/>
      <c r="AB1194" s="1236"/>
      <c r="AC1194" s="1236"/>
      <c r="AD1194" s="1236"/>
      <c r="AE1194" s="1236"/>
      <c r="AF1194" s="1236"/>
      <c r="AG1194" s="1236"/>
      <c r="AH1194" s="1236"/>
      <c r="AI1194" s="1236"/>
      <c r="AJ1194" s="1236"/>
      <c r="AK1194" s="1236"/>
      <c r="AL1194" s="1236"/>
      <c r="AM1194" s="1236"/>
      <c r="AN1194" s="1236"/>
      <c r="AO1194" s="1236"/>
      <c r="AP1194" s="1236"/>
      <c r="AQ1194" s="1236"/>
      <c r="AR1194" s="1236"/>
      <c r="AS1194" s="1342"/>
      <c r="AT1194" s="1284"/>
      <c r="AU1194" s="1236"/>
      <c r="AV1194" s="1236"/>
      <c r="AW1194" s="1236"/>
      <c r="AX1194" s="1236"/>
      <c r="AY1194" s="1236"/>
      <c r="AZ1194" s="1263"/>
      <c r="BA1194" s="1263"/>
      <c r="BB1194" s="1236"/>
      <c r="BC1194" s="1236"/>
      <c r="BD1194" s="1236"/>
      <c r="BE1194" s="1236"/>
    </row>
    <row r="1195" spans="1:57" s="369" customFormat="1" hidden="1" outlineLevel="1" x14ac:dyDescent="0.2">
      <c r="A1195" s="411"/>
      <c r="B1195" s="765"/>
      <c r="C1195" s="363"/>
      <c r="D1195" s="1260"/>
      <c r="E1195" s="1260"/>
      <c r="F1195" s="1260"/>
      <c r="G1195" s="1260"/>
      <c r="H1195" s="1260"/>
      <c r="I1195" s="1260"/>
      <c r="J1195" s="1260"/>
      <c r="K1195" s="1260"/>
      <c r="L1195" s="1260"/>
      <c r="M1195" s="1260"/>
      <c r="N1195" s="1260"/>
      <c r="O1195" s="1260"/>
      <c r="P1195" s="1260"/>
      <c r="Q1195" s="1260"/>
      <c r="R1195" s="1260"/>
      <c r="S1195" s="1260"/>
      <c r="T1195" s="1260"/>
      <c r="U1195" s="1260"/>
      <c r="V1195" s="1260"/>
      <c r="W1195" s="1260"/>
      <c r="X1195" s="1260"/>
      <c r="Y1195" s="1260"/>
      <c r="Z1195" s="1236"/>
      <c r="AA1195" s="1236"/>
      <c r="AB1195" s="1236"/>
      <c r="AC1195" s="1236"/>
      <c r="AD1195" s="1236"/>
      <c r="AE1195" s="1236"/>
      <c r="AF1195" s="1236"/>
      <c r="AG1195" s="1236"/>
      <c r="AH1195" s="1236"/>
      <c r="AI1195" s="1236"/>
      <c r="AJ1195" s="1236"/>
      <c r="AK1195" s="1236"/>
      <c r="AL1195" s="1236"/>
      <c r="AM1195" s="1236"/>
      <c r="AN1195" s="1236"/>
      <c r="AO1195" s="1236"/>
      <c r="AP1195" s="1236"/>
      <c r="AQ1195" s="1236"/>
      <c r="AR1195" s="1236"/>
      <c r="AS1195" s="1342"/>
      <c r="AT1195" s="1448"/>
      <c r="AU1195" s="1236"/>
      <c r="AV1195" s="1236"/>
      <c r="AW1195" s="1236"/>
      <c r="AX1195" s="1236"/>
      <c r="AY1195" s="1236"/>
      <c r="AZ1195" s="1263"/>
      <c r="BA1195" s="1263"/>
      <c r="BB1195" s="1236"/>
      <c r="BC1195" s="1236"/>
      <c r="BD1195" s="1236"/>
      <c r="BE1195" s="1236"/>
    </row>
    <row r="1196" spans="1:57" s="369" customFormat="1" hidden="1" outlineLevel="1" x14ac:dyDescent="0.2">
      <c r="A1196" s="411"/>
      <c r="B1196" s="765"/>
      <c r="C1196" s="757"/>
      <c r="D1196" s="1303"/>
      <c r="E1196" s="1303"/>
      <c r="F1196" s="1303"/>
      <c r="G1196" s="1303"/>
      <c r="H1196" s="1303"/>
      <c r="I1196" s="1303"/>
      <c r="J1196" s="1303"/>
      <c r="K1196" s="1303"/>
      <c r="L1196" s="1303"/>
      <c r="M1196" s="1303"/>
      <c r="N1196" s="1303"/>
      <c r="O1196" s="1303"/>
      <c r="P1196" s="1303"/>
      <c r="Q1196" s="1303"/>
      <c r="R1196" s="1303"/>
      <c r="S1196" s="1303"/>
      <c r="T1196" s="1303"/>
      <c r="U1196" s="1303"/>
      <c r="V1196" s="1303"/>
      <c r="W1196" s="1303"/>
      <c r="X1196" s="1303"/>
      <c r="Y1196" s="1303"/>
      <c r="Z1196" s="1301"/>
      <c r="AA1196" s="1301"/>
      <c r="AB1196" s="1301"/>
      <c r="AC1196" s="1301"/>
      <c r="AD1196" s="1301"/>
      <c r="AE1196" s="1301"/>
      <c r="AF1196" s="1301"/>
      <c r="AG1196" s="1301"/>
      <c r="AH1196" s="1301"/>
      <c r="AI1196" s="1301"/>
      <c r="AJ1196" s="1301"/>
      <c r="AK1196" s="1301"/>
      <c r="AL1196" s="1301"/>
      <c r="AM1196" s="1301"/>
      <c r="AN1196" s="1301"/>
      <c r="AO1196" s="1301"/>
      <c r="AP1196" s="1301"/>
      <c r="AQ1196" s="1301"/>
      <c r="AR1196" s="1236"/>
      <c r="AS1196" s="1342"/>
      <c r="AT1196" s="1284"/>
      <c r="AU1196" s="1301"/>
      <c r="AV1196" s="1301"/>
      <c r="AW1196" s="1301"/>
      <c r="AX1196" s="1301"/>
      <c r="AY1196" s="1301"/>
      <c r="AZ1196" s="1267"/>
      <c r="BA1196" s="1267"/>
      <c r="BB1196" s="1301"/>
      <c r="BC1196" s="1301"/>
      <c r="BD1196" s="1301"/>
      <c r="BE1196" s="1301"/>
    </row>
    <row r="1197" spans="1:57" s="369" customFormat="1" hidden="1" outlineLevel="1" x14ac:dyDescent="0.2">
      <c r="A1197" s="411"/>
      <c r="B1197" s="765"/>
      <c r="C1197" s="757"/>
      <c r="D1197" s="1260"/>
      <c r="E1197" s="1260"/>
      <c r="F1197" s="1260"/>
      <c r="G1197" s="1260"/>
      <c r="H1197" s="1260"/>
      <c r="I1197" s="1260"/>
      <c r="J1197" s="1260"/>
      <c r="K1197" s="1260"/>
      <c r="L1197" s="1260"/>
      <c r="M1197" s="1260"/>
      <c r="N1197" s="1260"/>
      <c r="O1197" s="1260"/>
      <c r="P1197" s="1260"/>
      <c r="Q1197" s="1260"/>
      <c r="R1197" s="1260"/>
      <c r="S1197" s="1260"/>
      <c r="T1197" s="1260"/>
      <c r="U1197" s="1260"/>
      <c r="V1197" s="1260"/>
      <c r="W1197" s="1260"/>
      <c r="X1197" s="1260"/>
      <c r="Y1197" s="1260"/>
      <c r="Z1197" s="1236"/>
      <c r="AA1197" s="1236"/>
      <c r="AB1197" s="1236"/>
      <c r="AC1197" s="1236"/>
      <c r="AD1197" s="1236"/>
      <c r="AE1197" s="1236"/>
      <c r="AF1197" s="1236"/>
      <c r="AG1197" s="1236"/>
      <c r="AH1197" s="1236"/>
      <c r="AI1197" s="1236"/>
      <c r="AJ1197" s="1236"/>
      <c r="AK1197" s="1236"/>
      <c r="AL1197" s="1236"/>
      <c r="AM1197" s="1236"/>
      <c r="AN1197" s="1236"/>
      <c r="AO1197" s="1236"/>
      <c r="AP1197" s="1236"/>
      <c r="AQ1197" s="1236"/>
      <c r="AR1197" s="1236"/>
      <c r="AS1197" s="1342"/>
      <c r="AT1197" s="1284"/>
      <c r="AU1197" s="1301"/>
      <c r="AV1197" s="1301"/>
      <c r="AW1197" s="1301"/>
      <c r="AX1197" s="1301"/>
      <c r="AY1197" s="1301"/>
      <c r="AZ1197" s="1267"/>
      <c r="BA1197" s="1267"/>
      <c r="BB1197" s="1236"/>
      <c r="BC1197" s="1236"/>
      <c r="BD1197" s="1236"/>
      <c r="BE1197" s="1236"/>
    </row>
    <row r="1198" spans="1:57" s="369" customFormat="1" collapsed="1" x14ac:dyDescent="0.2">
      <c r="A1198" s="411"/>
      <c r="B1198" s="765"/>
      <c r="C1198" s="757"/>
      <c r="D1198" s="1260"/>
      <c r="E1198" s="1260"/>
      <c r="F1198" s="1260"/>
      <c r="G1198" s="1260"/>
      <c r="H1198" s="1260"/>
      <c r="I1198" s="1260"/>
      <c r="J1198" s="1260"/>
      <c r="K1198" s="1260"/>
      <c r="L1198" s="1260"/>
      <c r="M1198" s="1260"/>
      <c r="N1198" s="1260"/>
      <c r="O1198" s="1260"/>
      <c r="P1198" s="1260"/>
      <c r="Q1198" s="1260"/>
      <c r="R1198" s="1260"/>
      <c r="S1198" s="1260"/>
      <c r="T1198" s="1260"/>
      <c r="U1198" s="1260"/>
      <c r="V1198" s="1260"/>
      <c r="W1198" s="1260"/>
      <c r="X1198" s="1260"/>
      <c r="Y1198" s="1260"/>
      <c r="Z1198" s="1262"/>
      <c r="AA1198" s="1291"/>
      <c r="AB1198" s="1262"/>
      <c r="AC1198" s="1291"/>
      <c r="AD1198" s="1262"/>
      <c r="AE1198" s="1262"/>
      <c r="AF1198" s="1262"/>
      <c r="AG1198" s="1262"/>
      <c r="AH1198" s="1262"/>
      <c r="AI1198" s="1262"/>
      <c r="AJ1198" s="1262"/>
      <c r="AK1198" s="1262"/>
      <c r="AL1198" s="1262"/>
      <c r="AM1198" s="1262"/>
      <c r="AN1198" s="1262"/>
      <c r="AO1198" s="1262"/>
      <c r="AP1198" s="1262"/>
      <c r="AQ1198" s="1262"/>
      <c r="AR1198" s="1236"/>
      <c r="AS1198" s="1342"/>
      <c r="AT1198" s="1284"/>
      <c r="AU1198" s="1236"/>
      <c r="AV1198" s="1236"/>
      <c r="AW1198" s="1236"/>
      <c r="AX1198" s="1236"/>
      <c r="AY1198" s="1236"/>
      <c r="AZ1198" s="1263"/>
      <c r="BA1198" s="1263"/>
      <c r="BB1198" s="1263"/>
      <c r="BC1198" s="1263"/>
      <c r="BD1198" s="1263"/>
      <c r="BE1198" s="1263"/>
    </row>
    <row r="1199" spans="1:57" s="369" customFormat="1" x14ac:dyDescent="0.2">
      <c r="A1199" s="411"/>
      <c r="B1199" s="85"/>
      <c r="C1199" s="757"/>
      <c r="D1199" s="1303"/>
      <c r="E1199" s="1303"/>
      <c r="F1199" s="1303"/>
      <c r="G1199" s="1303"/>
      <c r="H1199" s="1303"/>
      <c r="I1199" s="1303"/>
      <c r="J1199" s="1303"/>
      <c r="K1199" s="1303"/>
      <c r="L1199" s="1303"/>
      <c r="M1199" s="1303"/>
      <c r="N1199" s="1303"/>
      <c r="O1199" s="1303"/>
      <c r="P1199" s="1303"/>
      <c r="Q1199" s="1303"/>
      <c r="R1199" s="1303"/>
      <c r="S1199" s="1303"/>
      <c r="T1199" s="1303"/>
      <c r="U1199" s="1303"/>
      <c r="V1199" s="1303"/>
      <c r="W1199" s="1303"/>
      <c r="X1199" s="1303"/>
      <c r="Y1199" s="1303"/>
      <c r="Z1199" s="1262"/>
      <c r="AA1199" s="1291"/>
      <c r="AB1199" s="1262"/>
      <c r="AC1199" s="1291"/>
      <c r="AD1199" s="1262"/>
      <c r="AE1199" s="1262"/>
      <c r="AF1199" s="1262"/>
      <c r="AG1199" s="1262"/>
      <c r="AH1199" s="1262"/>
      <c r="AI1199" s="1291"/>
      <c r="AJ1199" s="1291"/>
      <c r="AK1199" s="1291"/>
      <c r="AL1199" s="1291"/>
      <c r="AM1199" s="1291"/>
      <c r="AN1199" s="1291"/>
      <c r="AO1199" s="1291"/>
      <c r="AP1199" s="1291"/>
      <c r="AQ1199" s="1291"/>
      <c r="AR1199" s="1236"/>
      <c r="AS1199" s="1567"/>
      <c r="AT1199" s="1284"/>
      <c r="AU1199" s="1236"/>
      <c r="AV1199" s="1236"/>
      <c r="AW1199" s="1236"/>
      <c r="AX1199" s="1236"/>
      <c r="AY1199" s="1236"/>
      <c r="AZ1199" s="1263"/>
      <c r="BA1199" s="1263"/>
      <c r="BB1199" s="1263"/>
      <c r="BC1199" s="1263"/>
      <c r="BD1199" s="1263"/>
      <c r="BE1199" s="1263"/>
    </row>
    <row r="1200" spans="1:57" s="369" customFormat="1" x14ac:dyDescent="0.2">
      <c r="A1200" s="411"/>
      <c r="B1200" s="85"/>
      <c r="C1200" s="757"/>
      <c r="D1200" s="1304"/>
      <c r="E1200" s="1304"/>
      <c r="F1200" s="1304"/>
      <c r="G1200" s="1304"/>
      <c r="H1200" s="1304"/>
      <c r="I1200" s="1304"/>
      <c r="J1200" s="1304"/>
      <c r="K1200" s="1304"/>
      <c r="L1200" s="1304"/>
      <c r="M1200" s="1304"/>
      <c r="N1200" s="1304"/>
      <c r="O1200" s="1304"/>
      <c r="P1200" s="1304"/>
      <c r="Q1200" s="1304"/>
      <c r="R1200" s="1304"/>
      <c r="S1200" s="1304"/>
      <c r="T1200" s="1304"/>
      <c r="U1200" s="1304"/>
      <c r="V1200" s="1304"/>
      <c r="W1200" s="1304"/>
      <c r="X1200" s="1304"/>
      <c r="Y1200" s="1304"/>
      <c r="Z1200" s="1263"/>
      <c r="AA1200" s="1263"/>
      <c r="AB1200" s="1263"/>
      <c r="AC1200" s="1263"/>
      <c r="AD1200" s="1263"/>
      <c r="AE1200" s="1263"/>
      <c r="AF1200" s="1263"/>
      <c r="AG1200" s="1263"/>
      <c r="AH1200" s="1263"/>
      <c r="AI1200" s="1263"/>
      <c r="AJ1200" s="1263"/>
      <c r="AK1200" s="1263"/>
      <c r="AL1200" s="1263"/>
      <c r="AM1200" s="1263"/>
      <c r="AN1200" s="1263"/>
      <c r="AO1200" s="1263"/>
      <c r="AP1200" s="1263"/>
      <c r="AQ1200" s="1263"/>
      <c r="AR1200" s="1236"/>
      <c r="AS1200" s="1567"/>
      <c r="AT1200" s="1284"/>
      <c r="AU1200" s="1301"/>
      <c r="AV1200" s="1301"/>
      <c r="AW1200" s="1301"/>
      <c r="AX1200" s="1301"/>
      <c r="AY1200" s="1301"/>
      <c r="AZ1200" s="1267"/>
      <c r="BA1200" s="1267"/>
      <c r="BB1200" s="1263"/>
      <c r="BC1200" s="1263"/>
      <c r="BD1200" s="1263"/>
      <c r="BE1200" s="1263"/>
    </row>
    <row r="1201" spans="1:57" s="369" customFormat="1" x14ac:dyDescent="0.2">
      <c r="A1201" s="411"/>
      <c r="B1201" s="86"/>
      <c r="C1201" s="757"/>
      <c r="D1201" s="1304"/>
      <c r="E1201" s="1304"/>
      <c r="F1201" s="1304"/>
      <c r="G1201" s="1304"/>
      <c r="H1201" s="1304"/>
      <c r="I1201" s="1304"/>
      <c r="J1201" s="1304"/>
      <c r="K1201" s="1304"/>
      <c r="L1201" s="1304"/>
      <c r="M1201" s="1304"/>
      <c r="N1201" s="1304"/>
      <c r="O1201" s="1304"/>
      <c r="P1201" s="1304"/>
      <c r="Q1201" s="1304"/>
      <c r="R1201" s="1304"/>
      <c r="S1201" s="1304"/>
      <c r="T1201" s="1304"/>
      <c r="U1201" s="1304"/>
      <c r="V1201" s="1304"/>
      <c r="W1201" s="1304"/>
      <c r="X1201" s="1304"/>
      <c r="Y1201" s="1304"/>
      <c r="Z1201" s="1267"/>
      <c r="AA1201" s="1267"/>
      <c r="AB1201" s="1267"/>
      <c r="AC1201" s="1267"/>
      <c r="AD1201" s="1267"/>
      <c r="AE1201" s="1267"/>
      <c r="AF1201" s="1267"/>
      <c r="AG1201" s="1267"/>
      <c r="AH1201" s="1267"/>
      <c r="AI1201" s="1267"/>
      <c r="AJ1201" s="1267"/>
      <c r="AK1201" s="1267"/>
      <c r="AL1201" s="1267"/>
      <c r="AM1201" s="1267"/>
      <c r="AN1201" s="1267"/>
      <c r="AO1201" s="1267"/>
      <c r="AP1201" s="1267"/>
      <c r="AQ1201" s="1267"/>
      <c r="AR1201" s="1236"/>
      <c r="AS1201" s="1568"/>
      <c r="AT1201" s="1284"/>
      <c r="AU1201" s="1301"/>
      <c r="AV1201" s="1301"/>
      <c r="AW1201" s="1301"/>
      <c r="AX1201" s="1301"/>
      <c r="AY1201" s="1301"/>
      <c r="AZ1201" s="1267"/>
      <c r="BA1201" s="1267"/>
      <c r="BB1201" s="1267"/>
      <c r="BC1201" s="1267"/>
      <c r="BD1201" s="1267"/>
      <c r="BE1201" s="1267"/>
    </row>
    <row r="1202" spans="1:57" s="145" customFormat="1" x14ac:dyDescent="0.2">
      <c r="A1202" s="831"/>
      <c r="B1202" s="180"/>
      <c r="C1202" s="179"/>
      <c r="D1202" s="1320"/>
      <c r="E1202" s="1320"/>
      <c r="F1202" s="1320"/>
      <c r="G1202" s="1320"/>
      <c r="H1202" s="1320"/>
      <c r="I1202" s="1320"/>
      <c r="J1202" s="1320"/>
      <c r="K1202" s="1320"/>
      <c r="L1202" s="1320"/>
      <c r="M1202" s="1320"/>
      <c r="N1202" s="1320"/>
      <c r="O1202" s="1320"/>
      <c r="P1202" s="1320"/>
      <c r="Q1202" s="1320"/>
      <c r="R1202" s="1320"/>
      <c r="S1202" s="1320"/>
      <c r="T1202" s="1320"/>
      <c r="U1202" s="1320"/>
      <c r="V1202" s="1320"/>
      <c r="W1202" s="1320"/>
      <c r="X1202" s="1320"/>
      <c r="Y1202" s="1320"/>
      <c r="Z1202" s="1449"/>
      <c r="AA1202" s="1449"/>
      <c r="AB1202" s="1449"/>
      <c r="AC1202" s="1449"/>
      <c r="AD1202" s="1449"/>
      <c r="AE1202" s="1449"/>
      <c r="AF1202" s="1449"/>
      <c r="AG1202" s="1449"/>
      <c r="AH1202" s="1449"/>
      <c r="AI1202" s="1449"/>
      <c r="AJ1202" s="1449"/>
      <c r="AK1202" s="1449"/>
      <c r="AL1202" s="1449"/>
      <c r="AM1202" s="1449"/>
      <c r="AN1202" s="1449"/>
      <c r="AO1202" s="1449"/>
      <c r="AP1202" s="1449"/>
      <c r="AQ1202" s="1449"/>
      <c r="AR1202" s="1236"/>
      <c r="AS1202" s="1568"/>
      <c r="AT1202" s="1284"/>
      <c r="AU1202" s="1320"/>
      <c r="AV1202" s="1320"/>
      <c r="AW1202" s="1320"/>
      <c r="AX1202" s="1320"/>
      <c r="AY1202" s="1320"/>
      <c r="AZ1202" s="1320"/>
      <c r="BA1202" s="1320"/>
      <c r="BB1202" s="1449"/>
      <c r="BC1202" s="1449"/>
      <c r="BD1202" s="1449"/>
      <c r="BE1202" s="1449"/>
    </row>
    <row r="1203" spans="1:57" s="369" customFormat="1" hidden="1" outlineLevel="1" x14ac:dyDescent="0.2">
      <c r="A1203" s="411"/>
      <c r="B1203" s="86"/>
      <c r="C1203" s="757"/>
      <c r="D1203" s="1303"/>
      <c r="E1203" s="1303"/>
      <c r="F1203" s="1303"/>
      <c r="G1203" s="1303"/>
      <c r="H1203" s="1303"/>
      <c r="I1203" s="1303"/>
      <c r="J1203" s="1303"/>
      <c r="K1203" s="1303"/>
      <c r="L1203" s="1303"/>
      <c r="M1203" s="1303"/>
      <c r="N1203" s="1303"/>
      <c r="O1203" s="1303"/>
      <c r="P1203" s="1303"/>
      <c r="Q1203" s="1303"/>
      <c r="R1203" s="1303"/>
      <c r="S1203" s="1303"/>
      <c r="T1203" s="1303"/>
      <c r="U1203" s="1303"/>
      <c r="V1203" s="1303"/>
      <c r="W1203" s="1303"/>
      <c r="X1203" s="1303"/>
      <c r="Y1203" s="1303"/>
      <c r="Z1203" s="1262"/>
      <c r="AA1203" s="1291"/>
      <c r="AB1203" s="1262"/>
      <c r="AC1203" s="1291"/>
      <c r="AD1203" s="1262"/>
      <c r="AE1203" s="1262"/>
      <c r="AF1203" s="1262"/>
      <c r="AG1203" s="1262"/>
      <c r="AH1203" s="1262"/>
      <c r="AI1203" s="1262"/>
      <c r="AJ1203" s="1262"/>
      <c r="AK1203" s="1262"/>
      <c r="AL1203" s="1262"/>
      <c r="AM1203" s="1262"/>
      <c r="AN1203" s="1262"/>
      <c r="AO1203" s="1262"/>
      <c r="AP1203" s="1262"/>
      <c r="AQ1203" s="1262"/>
      <c r="AR1203" s="1236"/>
      <c r="AS1203" s="1568"/>
      <c r="AT1203" s="1284"/>
      <c r="AU1203" s="1236"/>
      <c r="AV1203" s="1236"/>
      <c r="AW1203" s="1236"/>
      <c r="AX1203" s="1236"/>
      <c r="AY1203" s="1236"/>
      <c r="AZ1203" s="1263"/>
      <c r="BA1203" s="1263"/>
      <c r="BB1203" s="1263"/>
      <c r="BC1203" s="1263"/>
      <c r="BD1203" s="1263"/>
      <c r="BE1203" s="1263"/>
    </row>
    <row r="1204" spans="1:57" s="369" customFormat="1" hidden="1" outlineLevel="1" x14ac:dyDescent="0.2">
      <c r="A1204" s="411"/>
      <c r="B1204" s="765"/>
      <c r="C1204" s="363"/>
      <c r="D1204" s="1260"/>
      <c r="E1204" s="1260"/>
      <c r="F1204" s="1260"/>
      <c r="G1204" s="1260"/>
      <c r="H1204" s="1260"/>
      <c r="I1204" s="1260"/>
      <c r="J1204" s="1260"/>
      <c r="K1204" s="1260"/>
      <c r="L1204" s="1260"/>
      <c r="M1204" s="1260"/>
      <c r="N1204" s="1260"/>
      <c r="O1204" s="1260"/>
      <c r="P1204" s="1260"/>
      <c r="Q1204" s="1260"/>
      <c r="R1204" s="1260"/>
      <c r="S1204" s="1260"/>
      <c r="T1204" s="1260"/>
      <c r="U1204" s="1260"/>
      <c r="V1204" s="1260"/>
      <c r="W1204" s="1260"/>
      <c r="X1204" s="1260"/>
      <c r="Y1204" s="1260"/>
      <c r="Z1204" s="1262"/>
      <c r="AA1204" s="1291"/>
      <c r="AB1204" s="1262"/>
      <c r="AC1204" s="1291"/>
      <c r="AD1204" s="1262"/>
      <c r="AE1204" s="1262"/>
      <c r="AF1204" s="1262"/>
      <c r="AG1204" s="1262"/>
      <c r="AH1204" s="1262"/>
      <c r="AI1204" s="1258"/>
      <c r="AJ1204" s="1258"/>
      <c r="AK1204" s="1258"/>
      <c r="AL1204" s="1258"/>
      <c r="AM1204" s="1258"/>
      <c r="AN1204" s="1258"/>
      <c r="AO1204" s="1258"/>
      <c r="AP1204" s="1258"/>
      <c r="AQ1204" s="1258"/>
      <c r="AR1204" s="1236"/>
      <c r="AS1204" s="1342"/>
      <c r="AT1204" s="1448"/>
      <c r="AU1204" s="1236"/>
      <c r="AV1204" s="1236"/>
      <c r="AW1204" s="1236"/>
      <c r="AX1204" s="1236"/>
      <c r="AY1204" s="1236"/>
      <c r="AZ1204" s="1263"/>
      <c r="BA1204" s="1263"/>
      <c r="BB1204" s="1263"/>
      <c r="BC1204" s="1263"/>
      <c r="BD1204" s="1263"/>
      <c r="BE1204" s="1263"/>
    </row>
    <row r="1205" spans="1:57" s="369" customFormat="1" hidden="1" outlineLevel="1" x14ac:dyDescent="0.2">
      <c r="A1205" s="411"/>
      <c r="B1205" s="765"/>
      <c r="C1205" s="757"/>
      <c r="D1205" s="1260"/>
      <c r="E1205" s="1260"/>
      <c r="F1205" s="1260"/>
      <c r="G1205" s="1260"/>
      <c r="H1205" s="1260"/>
      <c r="I1205" s="1260"/>
      <c r="J1205" s="1260"/>
      <c r="K1205" s="1260"/>
      <c r="L1205" s="1260"/>
      <c r="M1205" s="1260"/>
      <c r="N1205" s="1260"/>
      <c r="O1205" s="1260"/>
      <c r="P1205" s="1260"/>
      <c r="Q1205" s="1260"/>
      <c r="R1205" s="1260"/>
      <c r="S1205" s="1260"/>
      <c r="T1205" s="1260"/>
      <c r="U1205" s="1260"/>
      <c r="V1205" s="1260"/>
      <c r="W1205" s="1260"/>
      <c r="X1205" s="1260"/>
      <c r="Y1205" s="1260"/>
      <c r="Z1205" s="1301"/>
      <c r="AA1205" s="1301"/>
      <c r="AB1205" s="1301"/>
      <c r="AC1205" s="1301"/>
      <c r="AD1205" s="1301"/>
      <c r="AE1205" s="1301"/>
      <c r="AF1205" s="1301"/>
      <c r="AG1205" s="1301"/>
      <c r="AH1205" s="1301"/>
      <c r="AI1205" s="1301"/>
      <c r="AJ1205" s="1301"/>
      <c r="AK1205" s="1301"/>
      <c r="AL1205" s="1301"/>
      <c r="AM1205" s="1301"/>
      <c r="AN1205" s="1301"/>
      <c r="AO1205" s="1301"/>
      <c r="AP1205" s="1301"/>
      <c r="AQ1205" s="1301"/>
      <c r="AR1205" s="1236"/>
      <c r="AS1205" s="1342"/>
      <c r="AT1205" s="1284"/>
      <c r="AU1205" s="1301"/>
      <c r="AV1205" s="1301"/>
      <c r="AW1205" s="1301"/>
      <c r="AX1205" s="1301"/>
      <c r="AY1205" s="1301"/>
      <c r="AZ1205" s="1267"/>
      <c r="BA1205" s="1267"/>
      <c r="BB1205" s="1301"/>
      <c r="BC1205" s="1301"/>
      <c r="BD1205" s="1301"/>
      <c r="BE1205" s="1301"/>
    </row>
    <row r="1206" spans="1:57" s="369" customFormat="1" hidden="1" outlineLevel="1" x14ac:dyDescent="0.2">
      <c r="A1206" s="411"/>
      <c r="B1206" s="765"/>
      <c r="C1206" s="757"/>
      <c r="D1206" s="1260"/>
      <c r="E1206" s="1260"/>
      <c r="F1206" s="1260"/>
      <c r="G1206" s="1260"/>
      <c r="H1206" s="1260"/>
      <c r="I1206" s="1260"/>
      <c r="J1206" s="1260"/>
      <c r="K1206" s="1260"/>
      <c r="L1206" s="1260"/>
      <c r="M1206" s="1260"/>
      <c r="N1206" s="1260"/>
      <c r="O1206" s="1260"/>
      <c r="P1206" s="1260"/>
      <c r="Q1206" s="1260"/>
      <c r="R1206" s="1260"/>
      <c r="S1206" s="1260"/>
      <c r="T1206" s="1260"/>
      <c r="U1206" s="1260"/>
      <c r="V1206" s="1260"/>
      <c r="W1206" s="1260"/>
      <c r="X1206" s="1260"/>
      <c r="Y1206" s="1260"/>
      <c r="Z1206" s="1263"/>
      <c r="AA1206" s="1263"/>
      <c r="AB1206" s="1263"/>
      <c r="AC1206" s="1263"/>
      <c r="AD1206" s="1263"/>
      <c r="AE1206" s="1263"/>
      <c r="AF1206" s="1263"/>
      <c r="AG1206" s="1263"/>
      <c r="AH1206" s="1263"/>
      <c r="AI1206" s="1263"/>
      <c r="AJ1206" s="1263"/>
      <c r="AK1206" s="1263"/>
      <c r="AL1206" s="1263"/>
      <c r="AM1206" s="1263"/>
      <c r="AN1206" s="1263"/>
      <c r="AO1206" s="1263"/>
      <c r="AP1206" s="1263"/>
      <c r="AQ1206" s="1263"/>
      <c r="AR1206" s="1236"/>
      <c r="AS1206" s="1342"/>
      <c r="AT1206" s="1284"/>
      <c r="AU1206" s="1301"/>
      <c r="AV1206" s="1301"/>
      <c r="AW1206" s="1301"/>
      <c r="AX1206" s="1301"/>
      <c r="AY1206" s="1301"/>
      <c r="AZ1206" s="1267"/>
      <c r="BA1206" s="1267"/>
      <c r="BB1206" s="1236"/>
      <c r="BC1206" s="1236"/>
      <c r="BD1206" s="1236"/>
      <c r="BE1206" s="1236"/>
    </row>
    <row r="1207" spans="1:57" s="369" customFormat="1" hidden="1" outlineLevel="1" x14ac:dyDescent="0.2">
      <c r="A1207" s="411"/>
      <c r="B1207" s="765"/>
      <c r="C1207" s="757"/>
      <c r="D1207" s="1260"/>
      <c r="E1207" s="1260"/>
      <c r="F1207" s="1260"/>
      <c r="G1207" s="1260"/>
      <c r="H1207" s="1260"/>
      <c r="I1207" s="1260"/>
      <c r="J1207" s="1260"/>
      <c r="K1207" s="1260"/>
      <c r="L1207" s="1260"/>
      <c r="M1207" s="1260"/>
      <c r="N1207" s="1260"/>
      <c r="O1207" s="1260"/>
      <c r="P1207" s="1260"/>
      <c r="Q1207" s="1260"/>
      <c r="R1207" s="1260"/>
      <c r="S1207" s="1260"/>
      <c r="T1207" s="1260"/>
      <c r="U1207" s="1260"/>
      <c r="V1207" s="1260"/>
      <c r="W1207" s="1260"/>
      <c r="X1207" s="1260"/>
      <c r="Y1207" s="1260"/>
      <c r="Z1207" s="1262"/>
      <c r="AA1207" s="1291"/>
      <c r="AB1207" s="1262"/>
      <c r="AC1207" s="1291"/>
      <c r="AD1207" s="1262"/>
      <c r="AE1207" s="1262"/>
      <c r="AF1207" s="1262"/>
      <c r="AG1207" s="1262"/>
      <c r="AH1207" s="1262"/>
      <c r="AI1207" s="1262"/>
      <c r="AJ1207" s="1262"/>
      <c r="AK1207" s="1262"/>
      <c r="AL1207" s="1262"/>
      <c r="AM1207" s="1262"/>
      <c r="AN1207" s="1262"/>
      <c r="AO1207" s="1262"/>
      <c r="AP1207" s="1262"/>
      <c r="AQ1207" s="1262"/>
      <c r="AR1207" s="1236"/>
      <c r="AS1207" s="1342"/>
      <c r="AT1207" s="1284"/>
      <c r="AU1207" s="1409"/>
      <c r="AV1207" s="1291"/>
      <c r="AW1207" s="1263"/>
      <c r="AX1207" s="1262"/>
      <c r="AY1207" s="1263"/>
      <c r="AZ1207" s="1263"/>
      <c r="BA1207" s="1263"/>
      <c r="BB1207" s="1263"/>
      <c r="BC1207" s="1263"/>
      <c r="BD1207" s="1263"/>
      <c r="BE1207" s="1263"/>
    </row>
    <row r="1208" spans="1:57" s="369" customFormat="1" hidden="1" outlineLevel="1" x14ac:dyDescent="0.2">
      <c r="A1208" s="411"/>
      <c r="B1208" s="765"/>
      <c r="C1208" s="363"/>
      <c r="D1208" s="1260"/>
      <c r="E1208" s="1260"/>
      <c r="F1208" s="1260"/>
      <c r="G1208" s="1260"/>
      <c r="H1208" s="1260"/>
      <c r="I1208" s="1260"/>
      <c r="J1208" s="1260"/>
      <c r="K1208" s="1260"/>
      <c r="L1208" s="1260"/>
      <c r="M1208" s="1260"/>
      <c r="N1208" s="1260"/>
      <c r="O1208" s="1260"/>
      <c r="P1208" s="1260"/>
      <c r="Q1208" s="1260"/>
      <c r="R1208" s="1260"/>
      <c r="S1208" s="1260"/>
      <c r="T1208" s="1260"/>
      <c r="U1208" s="1260"/>
      <c r="V1208" s="1260"/>
      <c r="W1208" s="1260"/>
      <c r="X1208" s="1260"/>
      <c r="Y1208" s="1260"/>
      <c r="Z1208" s="1262"/>
      <c r="AA1208" s="1291"/>
      <c r="AB1208" s="1262"/>
      <c r="AC1208" s="1291"/>
      <c r="AD1208" s="1262"/>
      <c r="AE1208" s="1262"/>
      <c r="AF1208" s="1262"/>
      <c r="AG1208" s="1262"/>
      <c r="AH1208" s="1262"/>
      <c r="AI1208" s="1258"/>
      <c r="AJ1208" s="1258"/>
      <c r="AK1208" s="1258"/>
      <c r="AL1208" s="1258"/>
      <c r="AM1208" s="1258"/>
      <c r="AN1208" s="1258"/>
      <c r="AO1208" s="1258"/>
      <c r="AP1208" s="1258"/>
      <c r="AQ1208" s="1258"/>
      <c r="AR1208" s="1236"/>
      <c r="AS1208" s="1342"/>
      <c r="AT1208" s="1448"/>
      <c r="AU1208" s="1236"/>
      <c r="AV1208" s="1236"/>
      <c r="AW1208" s="1236"/>
      <c r="AX1208" s="1236"/>
      <c r="AY1208" s="1236"/>
      <c r="AZ1208" s="1263"/>
      <c r="BA1208" s="1263"/>
      <c r="BB1208" s="1263"/>
      <c r="BC1208" s="1263"/>
      <c r="BD1208" s="1263"/>
      <c r="BE1208" s="1263"/>
    </row>
    <row r="1209" spans="1:57" s="369" customFormat="1" hidden="1" outlineLevel="1" x14ac:dyDescent="0.2">
      <c r="A1209" s="411"/>
      <c r="B1209" s="765"/>
      <c r="C1209" s="757"/>
      <c r="D1209" s="1260"/>
      <c r="E1209" s="1260"/>
      <c r="F1209" s="1260"/>
      <c r="G1209" s="1260"/>
      <c r="H1209" s="1260"/>
      <c r="I1209" s="1260"/>
      <c r="J1209" s="1260"/>
      <c r="K1209" s="1260"/>
      <c r="L1209" s="1260"/>
      <c r="M1209" s="1260"/>
      <c r="N1209" s="1260"/>
      <c r="O1209" s="1260"/>
      <c r="P1209" s="1260"/>
      <c r="Q1209" s="1260"/>
      <c r="R1209" s="1260"/>
      <c r="S1209" s="1260"/>
      <c r="T1209" s="1260"/>
      <c r="U1209" s="1260"/>
      <c r="V1209" s="1260"/>
      <c r="W1209" s="1260"/>
      <c r="X1209" s="1260"/>
      <c r="Y1209" s="1260"/>
      <c r="Z1209" s="1301"/>
      <c r="AA1209" s="1301"/>
      <c r="AB1209" s="1301"/>
      <c r="AC1209" s="1301"/>
      <c r="AD1209" s="1301"/>
      <c r="AE1209" s="1301"/>
      <c r="AF1209" s="1301"/>
      <c r="AG1209" s="1301"/>
      <c r="AH1209" s="1301"/>
      <c r="AI1209" s="1301"/>
      <c r="AJ1209" s="1301"/>
      <c r="AK1209" s="1301"/>
      <c r="AL1209" s="1301"/>
      <c r="AM1209" s="1301"/>
      <c r="AN1209" s="1301"/>
      <c r="AO1209" s="1301"/>
      <c r="AP1209" s="1301"/>
      <c r="AQ1209" s="1301"/>
      <c r="AR1209" s="1236"/>
      <c r="AS1209" s="1342"/>
      <c r="AT1209" s="1284"/>
      <c r="AU1209" s="1301"/>
      <c r="AV1209" s="1301"/>
      <c r="AW1209" s="1301"/>
      <c r="AX1209" s="1301"/>
      <c r="AY1209" s="1301"/>
      <c r="AZ1209" s="1267"/>
      <c r="BA1209" s="1267"/>
      <c r="BB1209" s="1301"/>
      <c r="BC1209" s="1301"/>
      <c r="BD1209" s="1301"/>
      <c r="BE1209" s="1301"/>
    </row>
    <row r="1210" spans="1:57" s="369" customFormat="1" hidden="1" outlineLevel="1" x14ac:dyDescent="0.2">
      <c r="A1210" s="411"/>
      <c r="B1210" s="765"/>
      <c r="C1210" s="757"/>
      <c r="D1210" s="1260"/>
      <c r="E1210" s="1260"/>
      <c r="F1210" s="1260"/>
      <c r="G1210" s="1260"/>
      <c r="H1210" s="1260"/>
      <c r="I1210" s="1260"/>
      <c r="J1210" s="1260"/>
      <c r="K1210" s="1260"/>
      <c r="L1210" s="1260"/>
      <c r="M1210" s="1260"/>
      <c r="N1210" s="1260"/>
      <c r="O1210" s="1260"/>
      <c r="P1210" s="1260"/>
      <c r="Q1210" s="1260"/>
      <c r="R1210" s="1260"/>
      <c r="S1210" s="1260"/>
      <c r="T1210" s="1260"/>
      <c r="U1210" s="1260"/>
      <c r="V1210" s="1260"/>
      <c r="W1210" s="1260"/>
      <c r="X1210" s="1260"/>
      <c r="Y1210" s="1260"/>
      <c r="Z1210" s="1263"/>
      <c r="AA1210" s="1263"/>
      <c r="AB1210" s="1263"/>
      <c r="AC1210" s="1263"/>
      <c r="AD1210" s="1263"/>
      <c r="AE1210" s="1263"/>
      <c r="AF1210" s="1263"/>
      <c r="AG1210" s="1263"/>
      <c r="AH1210" s="1263"/>
      <c r="AI1210" s="1263"/>
      <c r="AJ1210" s="1263"/>
      <c r="AK1210" s="1263"/>
      <c r="AL1210" s="1263"/>
      <c r="AM1210" s="1263"/>
      <c r="AN1210" s="1263"/>
      <c r="AO1210" s="1263"/>
      <c r="AP1210" s="1263"/>
      <c r="AQ1210" s="1263"/>
      <c r="AR1210" s="1236"/>
      <c r="AS1210" s="1342"/>
      <c r="AT1210" s="1284"/>
      <c r="AU1210" s="1301"/>
      <c r="AV1210" s="1301"/>
      <c r="AW1210" s="1301"/>
      <c r="AX1210" s="1301"/>
      <c r="AY1210" s="1301"/>
      <c r="AZ1210" s="1267"/>
      <c r="BA1210" s="1267"/>
      <c r="BB1210" s="1236"/>
      <c r="BC1210" s="1236"/>
      <c r="BD1210" s="1236"/>
      <c r="BE1210" s="1236"/>
    </row>
    <row r="1211" spans="1:57" s="369" customFormat="1" collapsed="1" x14ac:dyDescent="0.2">
      <c r="A1211" s="411"/>
      <c r="B1211" s="765"/>
      <c r="C1211" s="757"/>
      <c r="D1211" s="1260"/>
      <c r="E1211" s="1260"/>
      <c r="F1211" s="1260"/>
      <c r="G1211" s="1260"/>
      <c r="H1211" s="1260"/>
      <c r="I1211" s="1260"/>
      <c r="J1211" s="1260"/>
      <c r="K1211" s="1260"/>
      <c r="L1211" s="1260"/>
      <c r="M1211" s="1260"/>
      <c r="N1211" s="1260"/>
      <c r="O1211" s="1260"/>
      <c r="P1211" s="1260"/>
      <c r="Q1211" s="1260"/>
      <c r="R1211" s="1260"/>
      <c r="S1211" s="1260"/>
      <c r="T1211" s="1260"/>
      <c r="U1211" s="1260"/>
      <c r="V1211" s="1260"/>
      <c r="W1211" s="1260"/>
      <c r="X1211" s="1263"/>
      <c r="Y1211" s="1263"/>
      <c r="Z1211" s="1262"/>
      <c r="AA1211" s="1291"/>
      <c r="AB1211" s="1262"/>
      <c r="AC1211" s="1291"/>
      <c r="AD1211" s="1262"/>
      <c r="AE1211" s="1262"/>
      <c r="AF1211" s="1262"/>
      <c r="AG1211" s="1262"/>
      <c r="AH1211" s="1262"/>
      <c r="AI1211" s="1262"/>
      <c r="AJ1211" s="1262"/>
      <c r="AK1211" s="1262"/>
      <c r="AL1211" s="1262"/>
      <c r="AM1211" s="1262"/>
      <c r="AN1211" s="1262"/>
      <c r="AO1211" s="1262"/>
      <c r="AP1211" s="1262"/>
      <c r="AQ1211" s="1262"/>
      <c r="AR1211" s="1236"/>
      <c r="AS1211" s="1342"/>
      <c r="AT1211" s="1284"/>
      <c r="AU1211" s="1409"/>
      <c r="AV1211" s="1291"/>
      <c r="AW1211" s="1263"/>
      <c r="AX1211" s="1262"/>
      <c r="AY1211" s="1263"/>
      <c r="AZ1211" s="1263"/>
      <c r="BA1211" s="1263"/>
      <c r="BB1211" s="1263"/>
      <c r="BC1211" s="1263"/>
      <c r="BD1211" s="1263"/>
      <c r="BE1211" s="1263"/>
    </row>
    <row r="1212" spans="1:57" s="369" customFormat="1" x14ac:dyDescent="0.2">
      <c r="A1212" s="411"/>
      <c r="B1212" s="85"/>
      <c r="C1212" s="757"/>
      <c r="D1212" s="1303"/>
      <c r="E1212" s="1303"/>
      <c r="F1212" s="1303"/>
      <c r="G1212" s="1303"/>
      <c r="H1212" s="1303"/>
      <c r="I1212" s="1303"/>
      <c r="J1212" s="1303"/>
      <c r="K1212" s="1303"/>
      <c r="L1212" s="1303"/>
      <c r="M1212" s="1303"/>
      <c r="N1212" s="1303"/>
      <c r="O1212" s="1303"/>
      <c r="P1212" s="1303"/>
      <c r="Q1212" s="1303"/>
      <c r="R1212" s="1303"/>
      <c r="S1212" s="1303"/>
      <c r="T1212" s="1303"/>
      <c r="U1212" s="1303"/>
      <c r="V1212" s="1303"/>
      <c r="W1212" s="1303"/>
      <c r="X1212" s="1263"/>
      <c r="Y1212" s="1263"/>
      <c r="Z1212" s="1262"/>
      <c r="AA1212" s="1291"/>
      <c r="AB1212" s="1262"/>
      <c r="AC1212" s="1291"/>
      <c r="AD1212" s="1262"/>
      <c r="AE1212" s="1262"/>
      <c r="AF1212" s="1262"/>
      <c r="AG1212" s="1262"/>
      <c r="AH1212" s="1262"/>
      <c r="AI1212" s="1291"/>
      <c r="AJ1212" s="1291"/>
      <c r="AK1212" s="1291"/>
      <c r="AL1212" s="1291"/>
      <c r="AM1212" s="1291"/>
      <c r="AN1212" s="1291"/>
      <c r="AO1212" s="1291"/>
      <c r="AP1212" s="1291"/>
      <c r="AQ1212" s="1291"/>
      <c r="AR1212" s="1236"/>
      <c r="AS1212" s="1567"/>
      <c r="AT1212" s="1284"/>
      <c r="AU1212" s="1236"/>
      <c r="AV1212" s="1236"/>
      <c r="AW1212" s="1236"/>
      <c r="AX1212" s="1236"/>
      <c r="AY1212" s="1236"/>
      <c r="AZ1212" s="1263"/>
      <c r="BA1212" s="1263"/>
      <c r="BB1212" s="1263"/>
      <c r="BC1212" s="1263"/>
      <c r="BD1212" s="1263"/>
      <c r="BE1212" s="1263"/>
    </row>
    <row r="1213" spans="1:57" s="369" customFormat="1" x14ac:dyDescent="0.2">
      <c r="A1213" s="411"/>
      <c r="B1213" s="85"/>
      <c r="C1213" s="757"/>
      <c r="D1213" s="1304"/>
      <c r="E1213" s="1304"/>
      <c r="F1213" s="1304"/>
      <c r="G1213" s="1304"/>
      <c r="H1213" s="1304"/>
      <c r="I1213" s="1304"/>
      <c r="J1213" s="1304"/>
      <c r="K1213" s="1304"/>
      <c r="L1213" s="1304"/>
      <c r="M1213" s="1304"/>
      <c r="N1213" s="1304"/>
      <c r="O1213" s="1304"/>
      <c r="P1213" s="1304"/>
      <c r="Q1213" s="1304"/>
      <c r="R1213" s="1304"/>
      <c r="S1213" s="1304"/>
      <c r="T1213" s="1304"/>
      <c r="U1213" s="1304"/>
      <c r="V1213" s="1304"/>
      <c r="W1213" s="1304"/>
      <c r="X1213" s="1304"/>
      <c r="Y1213" s="1304"/>
      <c r="Z1213" s="1263"/>
      <c r="AA1213" s="1263"/>
      <c r="AB1213" s="1263"/>
      <c r="AC1213" s="1263"/>
      <c r="AD1213" s="1263"/>
      <c r="AE1213" s="1263"/>
      <c r="AF1213" s="1263"/>
      <c r="AG1213" s="1263"/>
      <c r="AH1213" s="1263"/>
      <c r="AI1213" s="1263"/>
      <c r="AJ1213" s="1263"/>
      <c r="AK1213" s="1263"/>
      <c r="AL1213" s="1263"/>
      <c r="AM1213" s="1263"/>
      <c r="AN1213" s="1263"/>
      <c r="AO1213" s="1263"/>
      <c r="AP1213" s="1263"/>
      <c r="AQ1213" s="1263"/>
      <c r="AR1213" s="1236"/>
      <c r="AS1213" s="1567"/>
      <c r="AT1213" s="1284"/>
      <c r="AU1213" s="1301"/>
      <c r="AV1213" s="1301"/>
      <c r="AW1213" s="1301"/>
      <c r="AX1213" s="1301"/>
      <c r="AY1213" s="1301"/>
      <c r="AZ1213" s="1267"/>
      <c r="BA1213" s="1267"/>
      <c r="BB1213" s="1263"/>
      <c r="BC1213" s="1263"/>
      <c r="BD1213" s="1263"/>
      <c r="BE1213" s="1263"/>
    </row>
    <row r="1214" spans="1:57" s="369" customFormat="1" x14ac:dyDescent="0.2">
      <c r="A1214" s="411"/>
      <c r="B1214" s="86"/>
      <c r="C1214" s="757"/>
      <c r="D1214" s="1304"/>
      <c r="E1214" s="1304"/>
      <c r="F1214" s="1304"/>
      <c r="G1214" s="1304"/>
      <c r="H1214" s="1304"/>
      <c r="I1214" s="1304"/>
      <c r="J1214" s="1304"/>
      <c r="K1214" s="1304"/>
      <c r="L1214" s="1304"/>
      <c r="M1214" s="1304"/>
      <c r="N1214" s="1304"/>
      <c r="O1214" s="1304"/>
      <c r="P1214" s="1304"/>
      <c r="Q1214" s="1304"/>
      <c r="R1214" s="1304"/>
      <c r="S1214" s="1304"/>
      <c r="T1214" s="1304"/>
      <c r="U1214" s="1304"/>
      <c r="V1214" s="1304"/>
      <c r="W1214" s="1304"/>
      <c r="X1214" s="1304"/>
      <c r="Y1214" s="1304"/>
      <c r="Z1214" s="1267"/>
      <c r="AA1214" s="1267"/>
      <c r="AB1214" s="1267"/>
      <c r="AC1214" s="1267"/>
      <c r="AD1214" s="1267"/>
      <c r="AE1214" s="1267"/>
      <c r="AF1214" s="1267"/>
      <c r="AG1214" s="1267"/>
      <c r="AH1214" s="1267"/>
      <c r="AI1214" s="1267"/>
      <c r="AJ1214" s="1267"/>
      <c r="AK1214" s="1267"/>
      <c r="AL1214" s="1267"/>
      <c r="AM1214" s="1267"/>
      <c r="AN1214" s="1267"/>
      <c r="AO1214" s="1267"/>
      <c r="AP1214" s="1267"/>
      <c r="AQ1214" s="1267"/>
      <c r="AR1214" s="1236"/>
      <c r="AS1214" s="1568"/>
      <c r="AT1214" s="1284"/>
      <c r="AU1214" s="1301"/>
      <c r="AV1214" s="1301"/>
      <c r="AW1214" s="1301"/>
      <c r="AX1214" s="1301"/>
      <c r="AY1214" s="1301"/>
      <c r="AZ1214" s="1267"/>
      <c r="BA1214" s="1267"/>
      <c r="BB1214" s="1267"/>
      <c r="BC1214" s="1267"/>
      <c r="BD1214" s="1267"/>
      <c r="BE1214" s="1267"/>
    </row>
    <row r="1215" spans="1:57" s="369" customFormat="1" x14ac:dyDescent="0.2">
      <c r="A1215" s="411"/>
      <c r="B1215" s="86"/>
      <c r="C1215" s="179"/>
      <c r="D1215" s="1320"/>
      <c r="E1215" s="1320"/>
      <c r="F1215" s="1320"/>
      <c r="G1215" s="1320"/>
      <c r="H1215" s="1320"/>
      <c r="I1215" s="1320"/>
      <c r="J1215" s="1320"/>
      <c r="K1215" s="1320"/>
      <c r="L1215" s="1320"/>
      <c r="M1215" s="1320"/>
      <c r="N1215" s="1320"/>
      <c r="O1215" s="1320"/>
      <c r="P1215" s="1320"/>
      <c r="Q1215" s="1320"/>
      <c r="R1215" s="1320"/>
      <c r="S1215" s="1320"/>
      <c r="T1215" s="1320"/>
      <c r="U1215" s="1320"/>
      <c r="V1215" s="1320"/>
      <c r="W1215" s="1320"/>
      <c r="X1215" s="1320"/>
      <c r="Y1215" s="1320"/>
      <c r="Z1215" s="1449"/>
      <c r="AA1215" s="1449"/>
      <c r="AB1215" s="1449"/>
      <c r="AC1215" s="1449"/>
      <c r="AD1215" s="1449"/>
      <c r="AE1215" s="1449"/>
      <c r="AF1215" s="1449"/>
      <c r="AG1215" s="1449"/>
      <c r="AH1215" s="1449"/>
      <c r="AI1215" s="1449"/>
      <c r="AJ1215" s="1449"/>
      <c r="AK1215" s="1449"/>
      <c r="AL1215" s="1449"/>
      <c r="AM1215" s="1449"/>
      <c r="AN1215" s="1449"/>
      <c r="AO1215" s="1449"/>
      <c r="AP1215" s="1449"/>
      <c r="AQ1215" s="1449"/>
      <c r="AR1215" s="1236"/>
      <c r="AS1215" s="1568"/>
      <c r="AT1215" s="1284"/>
      <c r="AU1215" s="1320"/>
      <c r="AV1215" s="1320"/>
      <c r="AW1215" s="1320"/>
      <c r="AX1215" s="1320"/>
      <c r="AY1215" s="1320"/>
      <c r="AZ1215" s="1320"/>
      <c r="BA1215" s="1320"/>
      <c r="BB1215" s="1449"/>
      <c r="BC1215" s="1449"/>
      <c r="BD1215" s="1449"/>
      <c r="BE1215" s="1449"/>
    </row>
    <row r="1216" spans="1:57" s="369" customFormat="1" hidden="1" outlineLevel="1" x14ac:dyDescent="0.2">
      <c r="A1216" s="411"/>
      <c r="B1216" s="86"/>
      <c r="C1216" s="757"/>
      <c r="D1216" s="1303"/>
      <c r="E1216" s="1303"/>
      <c r="F1216" s="1303"/>
      <c r="G1216" s="1303"/>
      <c r="H1216" s="1303"/>
      <c r="I1216" s="1303"/>
      <c r="J1216" s="1303"/>
      <c r="K1216" s="1303"/>
      <c r="L1216" s="1303"/>
      <c r="M1216" s="1303"/>
      <c r="N1216" s="1303"/>
      <c r="O1216" s="1303"/>
      <c r="P1216" s="1303"/>
      <c r="Q1216" s="1303"/>
      <c r="R1216" s="1303"/>
      <c r="S1216" s="1303"/>
      <c r="T1216" s="1303"/>
      <c r="U1216" s="1303"/>
      <c r="V1216" s="1303"/>
      <c r="W1216" s="1303"/>
      <c r="X1216" s="1303"/>
      <c r="Y1216" s="1303"/>
      <c r="Z1216" s="1262"/>
      <c r="AA1216" s="1291"/>
      <c r="AB1216" s="1262"/>
      <c r="AC1216" s="1291"/>
      <c r="AD1216" s="1262"/>
      <c r="AE1216" s="1262"/>
      <c r="AF1216" s="1262"/>
      <c r="AG1216" s="1262"/>
      <c r="AH1216" s="1262"/>
      <c r="AI1216" s="1262"/>
      <c r="AJ1216" s="1262"/>
      <c r="AK1216" s="1262"/>
      <c r="AL1216" s="1262"/>
      <c r="AM1216" s="1262"/>
      <c r="AN1216" s="1262"/>
      <c r="AO1216" s="1262"/>
      <c r="AP1216" s="1262"/>
      <c r="AQ1216" s="1262"/>
      <c r="AR1216" s="1236"/>
      <c r="AS1216" s="1568"/>
      <c r="AT1216" s="1284"/>
      <c r="AU1216" s="1236"/>
      <c r="AV1216" s="1236"/>
      <c r="AW1216" s="1236"/>
      <c r="AX1216" s="1236"/>
      <c r="AY1216" s="1236"/>
      <c r="AZ1216" s="1263"/>
      <c r="BA1216" s="1263"/>
      <c r="BB1216" s="1263"/>
      <c r="BC1216" s="1263"/>
      <c r="BD1216" s="1263"/>
      <c r="BE1216" s="1263"/>
    </row>
    <row r="1217" spans="1:57" s="369" customFormat="1" hidden="1" outlineLevel="1" x14ac:dyDescent="0.2">
      <c r="A1217" s="411"/>
      <c r="B1217" s="765"/>
      <c r="C1217" s="363"/>
      <c r="D1217" s="1260"/>
      <c r="E1217" s="1260"/>
      <c r="F1217" s="1260"/>
      <c r="G1217" s="1260"/>
      <c r="H1217" s="1260"/>
      <c r="I1217" s="1260"/>
      <c r="J1217" s="1260"/>
      <c r="K1217" s="1260"/>
      <c r="L1217" s="1260"/>
      <c r="M1217" s="1260"/>
      <c r="N1217" s="1260"/>
      <c r="O1217" s="1260"/>
      <c r="P1217" s="1260"/>
      <c r="Q1217" s="1260"/>
      <c r="R1217" s="1260"/>
      <c r="S1217" s="1260"/>
      <c r="T1217" s="1260"/>
      <c r="U1217" s="1260"/>
      <c r="V1217" s="1260"/>
      <c r="W1217" s="1260"/>
      <c r="X1217" s="1260"/>
      <c r="Y1217" s="1260"/>
      <c r="Z1217" s="1262"/>
      <c r="AA1217" s="1291"/>
      <c r="AB1217" s="1262"/>
      <c r="AC1217" s="1291"/>
      <c r="AD1217" s="1262"/>
      <c r="AE1217" s="1262"/>
      <c r="AF1217" s="1262"/>
      <c r="AG1217" s="1262"/>
      <c r="AH1217" s="1262"/>
      <c r="AI1217" s="1258"/>
      <c r="AJ1217" s="1258"/>
      <c r="AK1217" s="1258"/>
      <c r="AL1217" s="1258"/>
      <c r="AM1217" s="1258"/>
      <c r="AN1217" s="1258"/>
      <c r="AO1217" s="1258"/>
      <c r="AP1217" s="1258"/>
      <c r="AQ1217" s="1258"/>
      <c r="AR1217" s="1236"/>
      <c r="AS1217" s="1342"/>
      <c r="AT1217" s="1448"/>
      <c r="AU1217" s="1301"/>
      <c r="AV1217" s="1301"/>
      <c r="AW1217" s="1301"/>
      <c r="AX1217" s="1301"/>
      <c r="AY1217" s="1301"/>
      <c r="AZ1217" s="1267"/>
      <c r="BA1217" s="1267"/>
      <c r="BB1217" s="1263"/>
      <c r="BC1217" s="1263"/>
      <c r="BD1217" s="1263"/>
      <c r="BE1217" s="1263"/>
    </row>
    <row r="1218" spans="1:57" s="369" customFormat="1" hidden="1" outlineLevel="1" x14ac:dyDescent="0.2">
      <c r="A1218" s="411"/>
      <c r="B1218" s="765"/>
      <c r="C1218" s="757"/>
      <c r="D1218" s="1260"/>
      <c r="E1218" s="1260"/>
      <c r="F1218" s="1260"/>
      <c r="G1218" s="1260"/>
      <c r="H1218" s="1260"/>
      <c r="I1218" s="1260"/>
      <c r="J1218" s="1260"/>
      <c r="K1218" s="1260"/>
      <c r="L1218" s="1260"/>
      <c r="M1218" s="1260"/>
      <c r="N1218" s="1260"/>
      <c r="O1218" s="1260"/>
      <c r="P1218" s="1260"/>
      <c r="Q1218" s="1260"/>
      <c r="R1218" s="1260"/>
      <c r="S1218" s="1260"/>
      <c r="T1218" s="1260"/>
      <c r="U1218" s="1260"/>
      <c r="V1218" s="1260"/>
      <c r="W1218" s="1260"/>
      <c r="X1218" s="1260"/>
      <c r="Y1218" s="1260"/>
      <c r="Z1218" s="1267"/>
      <c r="AA1218" s="1267"/>
      <c r="AB1218" s="1267"/>
      <c r="AC1218" s="1267"/>
      <c r="AD1218" s="1267"/>
      <c r="AE1218" s="1267"/>
      <c r="AF1218" s="1267"/>
      <c r="AG1218" s="1267"/>
      <c r="AH1218" s="1267"/>
      <c r="AI1218" s="1267"/>
      <c r="AJ1218" s="1267"/>
      <c r="AK1218" s="1267"/>
      <c r="AL1218" s="1267"/>
      <c r="AM1218" s="1267"/>
      <c r="AN1218" s="1267"/>
      <c r="AO1218" s="1267"/>
      <c r="AP1218" s="1267"/>
      <c r="AQ1218" s="1267"/>
      <c r="AR1218" s="1236"/>
      <c r="AS1218" s="1342"/>
      <c r="AT1218" s="1284"/>
      <c r="AU1218" s="1301"/>
      <c r="AV1218" s="1301"/>
      <c r="AW1218" s="1301"/>
      <c r="AX1218" s="1301"/>
      <c r="AY1218" s="1301"/>
      <c r="AZ1218" s="1267"/>
      <c r="BA1218" s="1267"/>
      <c r="BB1218" s="1267"/>
      <c r="BC1218" s="1267"/>
      <c r="BD1218" s="1267"/>
      <c r="BE1218" s="1267"/>
    </row>
    <row r="1219" spans="1:57" s="369" customFormat="1" hidden="1" outlineLevel="1" x14ac:dyDescent="0.2">
      <c r="A1219" s="411"/>
      <c r="B1219" s="765"/>
      <c r="C1219" s="757"/>
      <c r="D1219" s="1260"/>
      <c r="E1219" s="1260"/>
      <c r="F1219" s="1260"/>
      <c r="G1219" s="1260"/>
      <c r="H1219" s="1260"/>
      <c r="I1219" s="1260"/>
      <c r="J1219" s="1260"/>
      <c r="K1219" s="1260"/>
      <c r="L1219" s="1260"/>
      <c r="M1219" s="1260"/>
      <c r="N1219" s="1260"/>
      <c r="O1219" s="1260"/>
      <c r="P1219" s="1260"/>
      <c r="Q1219" s="1260"/>
      <c r="R1219" s="1260"/>
      <c r="S1219" s="1260"/>
      <c r="T1219" s="1260"/>
      <c r="U1219" s="1260"/>
      <c r="V1219" s="1260"/>
      <c r="W1219" s="1260"/>
      <c r="X1219" s="1260"/>
      <c r="Y1219" s="1260"/>
      <c r="Z1219" s="1263"/>
      <c r="AA1219" s="1263"/>
      <c r="AB1219" s="1263"/>
      <c r="AC1219" s="1263"/>
      <c r="AD1219" s="1263"/>
      <c r="AE1219" s="1263"/>
      <c r="AF1219" s="1263"/>
      <c r="AG1219" s="1263"/>
      <c r="AH1219" s="1263"/>
      <c r="AI1219" s="1263"/>
      <c r="AJ1219" s="1263"/>
      <c r="AK1219" s="1263"/>
      <c r="AL1219" s="1263"/>
      <c r="AM1219" s="1263"/>
      <c r="AN1219" s="1263"/>
      <c r="AO1219" s="1263"/>
      <c r="AP1219" s="1263"/>
      <c r="AQ1219" s="1263"/>
      <c r="AR1219" s="1236"/>
      <c r="AS1219" s="1342"/>
      <c r="AT1219" s="1284"/>
      <c r="AU1219" s="1301"/>
      <c r="AV1219" s="1301"/>
      <c r="AW1219" s="1301"/>
      <c r="AX1219" s="1301"/>
      <c r="AY1219" s="1301"/>
      <c r="AZ1219" s="1267"/>
      <c r="BA1219" s="1267"/>
      <c r="BB1219" s="1236"/>
      <c r="BC1219" s="1236"/>
      <c r="BD1219" s="1236"/>
      <c r="BE1219" s="1236"/>
    </row>
    <row r="1220" spans="1:57" s="369" customFormat="1" hidden="1" outlineLevel="1" x14ac:dyDescent="0.2">
      <c r="A1220" s="411"/>
      <c r="B1220" s="765"/>
      <c r="C1220" s="757"/>
      <c r="D1220" s="1260"/>
      <c r="E1220" s="1260"/>
      <c r="F1220" s="1260"/>
      <c r="G1220" s="1260"/>
      <c r="H1220" s="1260"/>
      <c r="I1220" s="1260"/>
      <c r="J1220" s="1260"/>
      <c r="K1220" s="1260"/>
      <c r="L1220" s="1260"/>
      <c r="M1220" s="1260"/>
      <c r="N1220" s="1260"/>
      <c r="O1220" s="1260"/>
      <c r="P1220" s="1260"/>
      <c r="Q1220" s="1260"/>
      <c r="R1220" s="1260"/>
      <c r="S1220" s="1260"/>
      <c r="T1220" s="1260"/>
      <c r="U1220" s="1260"/>
      <c r="V1220" s="1260"/>
      <c r="W1220" s="1260"/>
      <c r="X1220" s="1260"/>
      <c r="Y1220" s="1260"/>
      <c r="Z1220" s="1262"/>
      <c r="AA1220" s="1291"/>
      <c r="AB1220" s="1262"/>
      <c r="AC1220" s="1291"/>
      <c r="AD1220" s="1262"/>
      <c r="AE1220" s="1262"/>
      <c r="AF1220" s="1262"/>
      <c r="AG1220" s="1262"/>
      <c r="AH1220" s="1262"/>
      <c r="AI1220" s="1262"/>
      <c r="AJ1220" s="1262"/>
      <c r="AK1220" s="1262"/>
      <c r="AL1220" s="1262"/>
      <c r="AM1220" s="1262"/>
      <c r="AN1220" s="1262"/>
      <c r="AO1220" s="1262"/>
      <c r="AP1220" s="1262"/>
      <c r="AQ1220" s="1262"/>
      <c r="AR1220" s="1236"/>
      <c r="AS1220" s="1342"/>
      <c r="AT1220" s="1284"/>
      <c r="AU1220" s="1409"/>
      <c r="AV1220" s="1291"/>
      <c r="AW1220" s="1263"/>
      <c r="AX1220" s="1262"/>
      <c r="AY1220" s="1263"/>
      <c r="AZ1220" s="1263"/>
      <c r="BA1220" s="1263"/>
      <c r="BB1220" s="1263"/>
      <c r="BC1220" s="1263"/>
      <c r="BD1220" s="1263"/>
      <c r="BE1220" s="1263"/>
    </row>
    <row r="1221" spans="1:57" s="369" customFormat="1" hidden="1" outlineLevel="1" x14ac:dyDescent="0.2">
      <c r="A1221" s="411"/>
      <c r="B1221" s="765"/>
      <c r="C1221" s="363"/>
      <c r="D1221" s="1260"/>
      <c r="E1221" s="1260"/>
      <c r="F1221" s="1260"/>
      <c r="G1221" s="1260"/>
      <c r="H1221" s="1260"/>
      <c r="I1221" s="1260"/>
      <c r="J1221" s="1260"/>
      <c r="K1221" s="1260"/>
      <c r="L1221" s="1260"/>
      <c r="M1221" s="1260"/>
      <c r="N1221" s="1260"/>
      <c r="O1221" s="1260"/>
      <c r="P1221" s="1260"/>
      <c r="Q1221" s="1260"/>
      <c r="R1221" s="1260"/>
      <c r="S1221" s="1260"/>
      <c r="T1221" s="1260"/>
      <c r="U1221" s="1260"/>
      <c r="V1221" s="1260"/>
      <c r="W1221" s="1260"/>
      <c r="X1221" s="1260"/>
      <c r="Y1221" s="1260"/>
      <c r="Z1221" s="1262"/>
      <c r="AA1221" s="1291"/>
      <c r="AB1221" s="1262"/>
      <c r="AC1221" s="1291"/>
      <c r="AD1221" s="1262"/>
      <c r="AE1221" s="1262"/>
      <c r="AF1221" s="1262"/>
      <c r="AG1221" s="1262"/>
      <c r="AH1221" s="1262"/>
      <c r="AI1221" s="1258"/>
      <c r="AJ1221" s="1258"/>
      <c r="AK1221" s="1258"/>
      <c r="AL1221" s="1258"/>
      <c r="AM1221" s="1258"/>
      <c r="AN1221" s="1258"/>
      <c r="AO1221" s="1258"/>
      <c r="AP1221" s="1258"/>
      <c r="AQ1221" s="1258"/>
      <c r="AR1221" s="1236"/>
      <c r="AS1221" s="1342"/>
      <c r="AT1221" s="1448"/>
      <c r="AU1221" s="1409"/>
      <c r="AV1221" s="1291"/>
      <c r="AW1221" s="1263"/>
      <c r="AX1221" s="1262"/>
      <c r="AY1221" s="1263"/>
      <c r="AZ1221" s="1263"/>
      <c r="BA1221" s="1263"/>
      <c r="BB1221" s="1263"/>
      <c r="BC1221" s="1263"/>
      <c r="BD1221" s="1263"/>
      <c r="BE1221" s="1263"/>
    </row>
    <row r="1222" spans="1:57" s="369" customFormat="1" hidden="1" outlineLevel="1" x14ac:dyDescent="0.2">
      <c r="A1222" s="411"/>
      <c r="B1222" s="765"/>
      <c r="C1222" s="757"/>
      <c r="D1222" s="1260"/>
      <c r="E1222" s="1260"/>
      <c r="F1222" s="1260"/>
      <c r="G1222" s="1260"/>
      <c r="H1222" s="1260"/>
      <c r="I1222" s="1260"/>
      <c r="J1222" s="1260"/>
      <c r="K1222" s="1260"/>
      <c r="L1222" s="1260"/>
      <c r="M1222" s="1260"/>
      <c r="N1222" s="1260"/>
      <c r="O1222" s="1260"/>
      <c r="P1222" s="1260"/>
      <c r="Q1222" s="1260"/>
      <c r="R1222" s="1260"/>
      <c r="S1222" s="1260"/>
      <c r="T1222" s="1260"/>
      <c r="U1222" s="1260"/>
      <c r="V1222" s="1260"/>
      <c r="W1222" s="1260"/>
      <c r="X1222" s="1260"/>
      <c r="Y1222" s="1260"/>
      <c r="Z1222" s="1267"/>
      <c r="AA1222" s="1267"/>
      <c r="AB1222" s="1267"/>
      <c r="AC1222" s="1267"/>
      <c r="AD1222" s="1267"/>
      <c r="AE1222" s="1267"/>
      <c r="AF1222" s="1267"/>
      <c r="AG1222" s="1267"/>
      <c r="AH1222" s="1267"/>
      <c r="AI1222" s="1267"/>
      <c r="AJ1222" s="1267"/>
      <c r="AK1222" s="1267"/>
      <c r="AL1222" s="1267"/>
      <c r="AM1222" s="1267"/>
      <c r="AN1222" s="1267"/>
      <c r="AO1222" s="1267"/>
      <c r="AP1222" s="1267"/>
      <c r="AQ1222" s="1267"/>
      <c r="AR1222" s="1236"/>
      <c r="AS1222" s="1342"/>
      <c r="AT1222" s="1284"/>
      <c r="AU1222" s="1301"/>
      <c r="AV1222" s="1301"/>
      <c r="AW1222" s="1301"/>
      <c r="AX1222" s="1301"/>
      <c r="AY1222" s="1301"/>
      <c r="AZ1222" s="1267"/>
      <c r="BA1222" s="1267"/>
      <c r="BB1222" s="1267"/>
      <c r="BC1222" s="1267"/>
      <c r="BD1222" s="1267"/>
      <c r="BE1222" s="1267"/>
    </row>
    <row r="1223" spans="1:57" s="369" customFormat="1" hidden="1" outlineLevel="1" x14ac:dyDescent="0.2">
      <c r="A1223" s="411"/>
      <c r="B1223" s="765"/>
      <c r="C1223" s="757"/>
      <c r="D1223" s="1260"/>
      <c r="E1223" s="1260"/>
      <c r="F1223" s="1260"/>
      <c r="G1223" s="1260"/>
      <c r="H1223" s="1260"/>
      <c r="I1223" s="1260"/>
      <c r="J1223" s="1260"/>
      <c r="K1223" s="1260"/>
      <c r="L1223" s="1260"/>
      <c r="M1223" s="1260"/>
      <c r="N1223" s="1260"/>
      <c r="O1223" s="1260"/>
      <c r="P1223" s="1260"/>
      <c r="Q1223" s="1260"/>
      <c r="R1223" s="1260"/>
      <c r="S1223" s="1260"/>
      <c r="T1223" s="1260"/>
      <c r="U1223" s="1260"/>
      <c r="V1223" s="1260"/>
      <c r="W1223" s="1260"/>
      <c r="X1223" s="1260"/>
      <c r="Y1223" s="1260"/>
      <c r="Z1223" s="1263"/>
      <c r="AA1223" s="1263"/>
      <c r="AB1223" s="1263"/>
      <c r="AC1223" s="1263"/>
      <c r="AD1223" s="1263"/>
      <c r="AE1223" s="1263"/>
      <c r="AF1223" s="1263"/>
      <c r="AG1223" s="1263"/>
      <c r="AH1223" s="1263"/>
      <c r="AI1223" s="1263"/>
      <c r="AJ1223" s="1263"/>
      <c r="AK1223" s="1263"/>
      <c r="AL1223" s="1263"/>
      <c r="AM1223" s="1263"/>
      <c r="AN1223" s="1263"/>
      <c r="AO1223" s="1263"/>
      <c r="AP1223" s="1263"/>
      <c r="AQ1223" s="1263"/>
      <c r="AR1223" s="1236"/>
      <c r="AS1223" s="1342"/>
      <c r="AT1223" s="1284"/>
      <c r="AU1223" s="1301"/>
      <c r="AV1223" s="1301"/>
      <c r="AW1223" s="1301"/>
      <c r="AX1223" s="1301"/>
      <c r="AY1223" s="1301"/>
      <c r="AZ1223" s="1267"/>
      <c r="BA1223" s="1267"/>
      <c r="BB1223" s="1236"/>
      <c r="BC1223" s="1236"/>
      <c r="BD1223" s="1236"/>
      <c r="BE1223" s="1236"/>
    </row>
    <row r="1224" spans="1:57" s="369" customFormat="1" collapsed="1" x14ac:dyDescent="0.2">
      <c r="A1224" s="411"/>
      <c r="B1224" s="765"/>
      <c r="C1224" s="362"/>
      <c r="D1224" s="1260"/>
      <c r="E1224" s="1260"/>
      <c r="F1224" s="1260"/>
      <c r="G1224" s="1260"/>
      <c r="H1224" s="1260"/>
      <c r="I1224" s="1260"/>
      <c r="J1224" s="1260"/>
      <c r="K1224" s="1260"/>
      <c r="L1224" s="1260"/>
      <c r="M1224" s="1260"/>
      <c r="N1224" s="1260"/>
      <c r="O1224" s="1260"/>
      <c r="P1224" s="1260"/>
      <c r="Q1224" s="1260"/>
      <c r="R1224" s="1260"/>
      <c r="S1224" s="1260"/>
      <c r="T1224" s="1260"/>
      <c r="U1224" s="1260"/>
      <c r="V1224" s="1260"/>
      <c r="W1224" s="1260"/>
      <c r="X1224" s="1260"/>
      <c r="Y1224" s="1260"/>
      <c r="Z1224" s="1262"/>
      <c r="AA1224" s="1291"/>
      <c r="AB1224" s="1262"/>
      <c r="AC1224" s="1291"/>
      <c r="AD1224" s="1262"/>
      <c r="AE1224" s="1262"/>
      <c r="AF1224" s="1262"/>
      <c r="AG1224" s="1262"/>
      <c r="AH1224" s="1262"/>
      <c r="AI1224" s="1258"/>
      <c r="AJ1224" s="1258"/>
      <c r="AK1224" s="1258"/>
      <c r="AL1224" s="1258"/>
      <c r="AM1224" s="1258"/>
      <c r="AN1224" s="1258"/>
      <c r="AO1224" s="1258"/>
      <c r="AP1224" s="1258"/>
      <c r="AQ1224" s="1258"/>
      <c r="AR1224" s="1236"/>
      <c r="AS1224" s="1342"/>
      <c r="AT1224" s="1400"/>
      <c r="AU1224" s="1409"/>
      <c r="AV1224" s="1291"/>
      <c r="AW1224" s="1263"/>
      <c r="AX1224" s="1262"/>
      <c r="AY1224" s="1263"/>
      <c r="AZ1224" s="1263"/>
      <c r="BA1224" s="1263"/>
      <c r="BB1224" s="1263"/>
      <c r="BC1224" s="1263"/>
      <c r="BD1224" s="1263"/>
      <c r="BE1224" s="1263"/>
    </row>
    <row r="1225" spans="1:57" s="369" customFormat="1" x14ac:dyDescent="0.2">
      <c r="A1225" s="411"/>
      <c r="B1225" s="765"/>
      <c r="C1225" s="362"/>
      <c r="D1225" s="1284"/>
      <c r="E1225" s="1284"/>
      <c r="F1225" s="1284"/>
      <c r="G1225" s="1284"/>
      <c r="H1225" s="1284"/>
      <c r="I1225" s="1284"/>
      <c r="J1225" s="1284"/>
      <c r="K1225" s="1284"/>
      <c r="L1225" s="1284"/>
      <c r="M1225" s="1284"/>
      <c r="N1225" s="1284"/>
      <c r="O1225" s="1284"/>
      <c r="P1225" s="1284"/>
      <c r="Q1225" s="1284"/>
      <c r="R1225" s="1284"/>
      <c r="S1225" s="1284"/>
      <c r="T1225" s="1284"/>
      <c r="U1225" s="1284"/>
      <c r="V1225" s="1284"/>
      <c r="W1225" s="1284"/>
      <c r="X1225" s="1284"/>
      <c r="Y1225" s="1284"/>
      <c r="Z1225" s="1284"/>
      <c r="AA1225" s="1284"/>
      <c r="AB1225" s="1284"/>
      <c r="AC1225" s="1284"/>
      <c r="AD1225" s="1284"/>
      <c r="AE1225" s="1284"/>
      <c r="AF1225" s="1284"/>
      <c r="AG1225" s="1284"/>
      <c r="AH1225" s="1284"/>
      <c r="AI1225" s="1284"/>
      <c r="AJ1225" s="1284"/>
      <c r="AK1225" s="1284"/>
      <c r="AL1225" s="1284"/>
      <c r="AM1225" s="1284"/>
      <c r="AN1225" s="1284"/>
      <c r="AO1225" s="1284"/>
      <c r="AP1225" s="1284"/>
      <c r="AQ1225" s="1284"/>
      <c r="AR1225" s="1236"/>
      <c r="AS1225" s="1342"/>
      <c r="AT1225" s="1400"/>
      <c r="AU1225" s="1284"/>
      <c r="AV1225" s="1284"/>
      <c r="AW1225" s="1284"/>
      <c r="AX1225" s="1284"/>
      <c r="AY1225" s="1284"/>
      <c r="AZ1225" s="1284"/>
      <c r="BA1225" s="1284"/>
      <c r="BB1225" s="1284"/>
      <c r="BC1225" s="1284"/>
      <c r="BD1225" s="1284"/>
      <c r="BE1225" s="1284"/>
    </row>
    <row r="1226" spans="1:57" s="369" customFormat="1" x14ac:dyDescent="0.2">
      <c r="A1226" s="411"/>
      <c r="B1226" s="765"/>
      <c r="C1226" s="362"/>
      <c r="D1226" s="1300"/>
      <c r="E1226" s="1300"/>
      <c r="F1226" s="1300"/>
      <c r="G1226" s="1300"/>
      <c r="H1226" s="1300"/>
      <c r="I1226" s="1300"/>
      <c r="J1226" s="1300"/>
      <c r="K1226" s="1300"/>
      <c r="L1226" s="1300"/>
      <c r="M1226" s="1300"/>
      <c r="N1226" s="1300"/>
      <c r="O1226" s="1300"/>
      <c r="P1226" s="1300"/>
      <c r="Q1226" s="1300"/>
      <c r="R1226" s="1300"/>
      <c r="S1226" s="1300"/>
      <c r="T1226" s="1300"/>
      <c r="U1226" s="1300"/>
      <c r="V1226" s="1300"/>
      <c r="W1226" s="1300"/>
      <c r="X1226" s="1300"/>
      <c r="Y1226" s="1300"/>
      <c r="Z1226" s="1300"/>
      <c r="AA1226" s="1300"/>
      <c r="AB1226" s="1300"/>
      <c r="AC1226" s="1300"/>
      <c r="AD1226" s="1300"/>
      <c r="AE1226" s="1300"/>
      <c r="AF1226" s="1300"/>
      <c r="AG1226" s="1300"/>
      <c r="AH1226" s="1300"/>
      <c r="AI1226" s="1300"/>
      <c r="AJ1226" s="1300"/>
      <c r="AK1226" s="1300"/>
      <c r="AL1226" s="1300"/>
      <c r="AM1226" s="1300"/>
      <c r="AN1226" s="1300"/>
      <c r="AO1226" s="1300"/>
      <c r="AP1226" s="1300"/>
      <c r="AQ1226" s="1300"/>
      <c r="AR1226" s="1236"/>
      <c r="AS1226" s="1342"/>
      <c r="AT1226" s="1400"/>
      <c r="AU1226" s="1300"/>
      <c r="AV1226" s="1300"/>
      <c r="AW1226" s="1300"/>
      <c r="AX1226" s="1300"/>
      <c r="AY1226" s="1300"/>
      <c r="AZ1226" s="1300"/>
      <c r="BA1226" s="1300"/>
      <c r="BB1226" s="1300"/>
      <c r="BC1226" s="1300"/>
      <c r="BD1226" s="1300"/>
      <c r="BE1226" s="1300"/>
    </row>
    <row r="1227" spans="1:57" s="369" customFormat="1" x14ac:dyDescent="0.2">
      <c r="A1227" s="411"/>
      <c r="B1227" s="765"/>
      <c r="C1227" s="362"/>
      <c r="D1227" s="1300"/>
      <c r="E1227" s="1300"/>
      <c r="F1227" s="1300"/>
      <c r="G1227" s="1300"/>
      <c r="H1227" s="1300"/>
      <c r="I1227" s="1300"/>
      <c r="J1227" s="1300"/>
      <c r="K1227" s="1300"/>
      <c r="L1227" s="1300"/>
      <c r="M1227" s="1300"/>
      <c r="N1227" s="1300"/>
      <c r="O1227" s="1300"/>
      <c r="P1227" s="1300"/>
      <c r="Q1227" s="1300"/>
      <c r="R1227" s="1300"/>
      <c r="S1227" s="1300"/>
      <c r="T1227" s="1300"/>
      <c r="U1227" s="1300"/>
      <c r="V1227" s="1300"/>
      <c r="W1227" s="1300"/>
      <c r="X1227" s="1300"/>
      <c r="Y1227" s="1300"/>
      <c r="Z1227" s="1300"/>
      <c r="AA1227" s="1300"/>
      <c r="AB1227" s="1300"/>
      <c r="AC1227" s="1300"/>
      <c r="AD1227" s="1300"/>
      <c r="AE1227" s="1300"/>
      <c r="AF1227" s="1300"/>
      <c r="AG1227" s="1300"/>
      <c r="AH1227" s="1300"/>
      <c r="AI1227" s="1300"/>
      <c r="AJ1227" s="1300"/>
      <c r="AK1227" s="1300"/>
      <c r="AL1227" s="1300"/>
      <c r="AM1227" s="1300"/>
      <c r="AN1227" s="1300"/>
      <c r="AO1227" s="1300"/>
      <c r="AP1227" s="1300"/>
      <c r="AQ1227" s="1300"/>
      <c r="AR1227" s="1236"/>
      <c r="AS1227" s="1342"/>
      <c r="AT1227" s="1400"/>
      <c r="AU1227" s="1300"/>
      <c r="AV1227" s="1300"/>
      <c r="AW1227" s="1300"/>
      <c r="AX1227" s="1300"/>
      <c r="AY1227" s="1300"/>
      <c r="AZ1227" s="1300"/>
      <c r="BA1227" s="1300"/>
      <c r="BB1227" s="1300"/>
      <c r="BC1227" s="1300"/>
      <c r="BD1227" s="1300"/>
      <c r="BE1227" s="1300"/>
    </row>
    <row r="1228" spans="1:57" s="369" customFormat="1" x14ac:dyDescent="0.2">
      <c r="A1228" s="411"/>
      <c r="B1228" s="765"/>
      <c r="C1228" s="362"/>
      <c r="D1228" s="1300"/>
      <c r="E1228" s="1300"/>
      <c r="F1228" s="1300"/>
      <c r="G1228" s="1300"/>
      <c r="H1228" s="1300"/>
      <c r="I1228" s="1300"/>
      <c r="J1228" s="1300"/>
      <c r="K1228" s="1300"/>
      <c r="L1228" s="1300"/>
      <c r="M1228" s="1300"/>
      <c r="N1228" s="1300"/>
      <c r="O1228" s="1260"/>
      <c r="P1228" s="1260"/>
      <c r="Q1228" s="1260"/>
      <c r="R1228" s="1260"/>
      <c r="S1228" s="1260"/>
      <c r="T1228" s="1260"/>
      <c r="U1228" s="1260"/>
      <c r="V1228" s="1260"/>
      <c r="W1228" s="1260"/>
      <c r="X1228" s="1260"/>
      <c r="Y1228" s="1260"/>
      <c r="Z1228" s="1262"/>
      <c r="AA1228" s="1291"/>
      <c r="AB1228" s="1262"/>
      <c r="AC1228" s="1291"/>
      <c r="AD1228" s="1262"/>
      <c r="AE1228" s="1262"/>
      <c r="AF1228" s="1262"/>
      <c r="AG1228" s="1262"/>
      <c r="AH1228" s="1262"/>
      <c r="AI1228" s="1258"/>
      <c r="AJ1228" s="1258"/>
      <c r="AK1228" s="1258"/>
      <c r="AL1228" s="1258"/>
      <c r="AM1228" s="1258"/>
      <c r="AN1228" s="1258"/>
      <c r="AO1228" s="1258"/>
      <c r="AP1228" s="1258"/>
      <c r="AQ1228" s="1258"/>
      <c r="AR1228" s="1236"/>
      <c r="AS1228" s="1342"/>
      <c r="AT1228" s="1400"/>
      <c r="AU1228" s="1409"/>
      <c r="AV1228" s="1291"/>
      <c r="AW1228" s="1263"/>
      <c r="AX1228" s="1262"/>
      <c r="AY1228" s="1263"/>
      <c r="AZ1228" s="1263"/>
      <c r="BA1228" s="1263"/>
      <c r="BB1228" s="1263"/>
      <c r="BC1228" s="1263"/>
      <c r="BD1228" s="1263"/>
      <c r="BE1228" s="1263"/>
    </row>
    <row r="1229" spans="1:57" s="369" customFormat="1" x14ac:dyDescent="0.2">
      <c r="A1229" s="411"/>
      <c r="B1229" s="85"/>
      <c r="C1229" s="757"/>
      <c r="D1229" s="1260"/>
      <c r="E1229" s="1260"/>
      <c r="F1229" s="1260"/>
      <c r="G1229" s="1260"/>
      <c r="H1229" s="1260"/>
      <c r="I1229" s="1260"/>
      <c r="J1229" s="1260"/>
      <c r="K1229" s="1260"/>
      <c r="L1229" s="1260"/>
      <c r="M1229" s="1260"/>
      <c r="N1229" s="1260"/>
      <c r="O1229" s="1260"/>
      <c r="P1229" s="1260"/>
      <c r="Q1229" s="1260"/>
      <c r="R1229" s="1260"/>
      <c r="S1229" s="1260"/>
      <c r="T1229" s="1260"/>
      <c r="U1229" s="1260"/>
      <c r="V1229" s="1260"/>
      <c r="W1229" s="1260"/>
      <c r="X1229" s="1260"/>
      <c r="Y1229" s="1260"/>
      <c r="Z1229" s="1262"/>
      <c r="AA1229" s="1258"/>
      <c r="AB1229" s="1262"/>
      <c r="AC1229" s="1258"/>
      <c r="AD1229" s="1262"/>
      <c r="AE1229" s="1262"/>
      <c r="AF1229" s="1262"/>
      <c r="AG1229" s="1262"/>
      <c r="AH1229" s="1262"/>
      <c r="AI1229" s="1258"/>
      <c r="AJ1229" s="1258"/>
      <c r="AK1229" s="1258"/>
      <c r="AL1229" s="1258"/>
      <c r="AM1229" s="1258"/>
      <c r="AN1229" s="1258"/>
      <c r="AO1229" s="1258"/>
      <c r="AP1229" s="1258"/>
      <c r="AQ1229" s="1258"/>
      <c r="AR1229" s="1236"/>
      <c r="AS1229" s="1567"/>
      <c r="AT1229" s="1284"/>
      <c r="AU1229" s="1284"/>
      <c r="AV1229" s="1284"/>
      <c r="AW1229" s="1284"/>
      <c r="AX1229" s="1284"/>
      <c r="AY1229" s="1284"/>
      <c r="AZ1229" s="1284"/>
      <c r="BA1229" s="1284"/>
      <c r="BB1229" s="1263"/>
      <c r="BC1229" s="1263"/>
      <c r="BD1229" s="1263"/>
      <c r="BE1229" s="1263"/>
    </row>
    <row r="1230" spans="1:57" s="369" customFormat="1" x14ac:dyDescent="0.2">
      <c r="A1230" s="411"/>
      <c r="B1230" s="362"/>
      <c r="C1230" s="757"/>
      <c r="D1230" s="1300"/>
      <c r="E1230" s="1300"/>
      <c r="F1230" s="1300"/>
      <c r="G1230" s="1300"/>
      <c r="H1230" s="1300"/>
      <c r="I1230" s="1300"/>
      <c r="J1230" s="1300"/>
      <c r="K1230" s="1300"/>
      <c r="L1230" s="1300"/>
      <c r="M1230" s="1300"/>
      <c r="N1230" s="1300"/>
      <c r="O1230" s="1300"/>
      <c r="P1230" s="1300"/>
      <c r="Q1230" s="1300"/>
      <c r="R1230" s="1300"/>
      <c r="S1230" s="1300"/>
      <c r="T1230" s="1300"/>
      <c r="U1230" s="1300"/>
      <c r="V1230" s="1300"/>
      <c r="W1230" s="1300"/>
      <c r="X1230" s="1300"/>
      <c r="Y1230" s="1300"/>
      <c r="Z1230" s="1263"/>
      <c r="AA1230" s="1263"/>
      <c r="AB1230" s="1263"/>
      <c r="AC1230" s="1263"/>
      <c r="AD1230" s="1263"/>
      <c r="AE1230" s="1263"/>
      <c r="AF1230" s="1263"/>
      <c r="AG1230" s="1263"/>
      <c r="AH1230" s="1263"/>
      <c r="AI1230" s="1263"/>
      <c r="AJ1230" s="1263"/>
      <c r="AK1230" s="1263"/>
      <c r="AL1230" s="1263"/>
      <c r="AM1230" s="1263"/>
      <c r="AN1230" s="1263"/>
      <c r="AO1230" s="1263"/>
      <c r="AP1230" s="1263"/>
      <c r="AQ1230" s="1263"/>
      <c r="AR1230" s="1236"/>
      <c r="AS1230" s="1400"/>
      <c r="AT1230" s="1284"/>
      <c r="AU1230" s="1301"/>
      <c r="AV1230" s="1301"/>
      <c r="AW1230" s="1301"/>
      <c r="AX1230" s="1301"/>
      <c r="AY1230" s="1301"/>
      <c r="AZ1230" s="1267"/>
      <c r="BA1230" s="1267"/>
      <c r="BB1230" s="1263"/>
      <c r="BC1230" s="1263"/>
      <c r="BD1230" s="1263"/>
      <c r="BE1230" s="1263"/>
    </row>
    <row r="1231" spans="1:57" s="369" customFormat="1" x14ac:dyDescent="0.2">
      <c r="A1231" s="842"/>
      <c r="B1231" s="757"/>
      <c r="C1231" s="321"/>
      <c r="D1231" s="1300"/>
      <c r="E1231" s="1300"/>
      <c r="F1231" s="1300"/>
      <c r="G1231" s="1300"/>
      <c r="H1231" s="1300"/>
      <c r="I1231" s="1300"/>
      <c r="J1231" s="1300"/>
      <c r="K1231" s="1300"/>
      <c r="L1231" s="1300"/>
      <c r="M1231" s="1300"/>
      <c r="N1231" s="1300"/>
      <c r="O1231" s="1300"/>
      <c r="P1231" s="1300"/>
      <c r="Q1231" s="1300"/>
      <c r="R1231" s="1300"/>
      <c r="S1231" s="1300"/>
      <c r="T1231" s="1300"/>
      <c r="U1231" s="1300"/>
      <c r="V1231" s="1300"/>
      <c r="W1231" s="1300"/>
      <c r="X1231" s="1300"/>
      <c r="Y1231" s="1300"/>
      <c r="Z1231" s="1263"/>
      <c r="AA1231" s="1263"/>
      <c r="AB1231" s="1263"/>
      <c r="AC1231" s="1263"/>
      <c r="AD1231" s="1263"/>
      <c r="AE1231" s="1263"/>
      <c r="AF1231" s="1263"/>
      <c r="AG1231" s="1263"/>
      <c r="AH1231" s="1263"/>
      <c r="AI1231" s="1263"/>
      <c r="AJ1231" s="1263"/>
      <c r="AK1231" s="1263"/>
      <c r="AL1231" s="1263"/>
      <c r="AM1231" s="1263"/>
      <c r="AN1231" s="1263"/>
      <c r="AO1231" s="1263"/>
      <c r="AP1231" s="1263"/>
      <c r="AQ1231" s="1263"/>
      <c r="AR1231" s="1236"/>
      <c r="AS1231" s="1284"/>
      <c r="AT1231" s="1284"/>
      <c r="AU1231" s="1301"/>
      <c r="AV1231" s="1301"/>
      <c r="AW1231" s="1301"/>
      <c r="AX1231" s="1301"/>
      <c r="AY1231" s="1301"/>
      <c r="AZ1231" s="1267"/>
      <c r="BA1231" s="1267"/>
      <c r="BB1231" s="1263"/>
      <c r="BC1231" s="1263"/>
      <c r="BD1231" s="1263"/>
      <c r="BE1231" s="1263"/>
    </row>
    <row r="1232" spans="1:57" s="72" customFormat="1" x14ac:dyDescent="0.2">
      <c r="A1232" s="844"/>
      <c r="B1232" s="181"/>
      <c r="C1232" s="182"/>
      <c r="D1232" s="1412"/>
      <c r="E1232" s="1412"/>
      <c r="F1232" s="1412"/>
      <c r="G1232" s="1412"/>
      <c r="H1232" s="1412"/>
      <c r="I1232" s="1412"/>
      <c r="J1232" s="1412"/>
      <c r="K1232" s="1412"/>
      <c r="L1232" s="1412"/>
      <c r="M1232" s="1412"/>
      <c r="N1232" s="1412"/>
      <c r="O1232" s="1412"/>
      <c r="P1232" s="1412"/>
      <c r="Q1232" s="1412"/>
      <c r="R1232" s="1412"/>
      <c r="S1232" s="1412"/>
      <c r="T1232" s="1412"/>
      <c r="U1232" s="1412"/>
      <c r="V1232" s="1412"/>
      <c r="W1232" s="1412"/>
      <c r="X1232" s="1412"/>
      <c r="Y1232" s="1412"/>
      <c r="Z1232" s="1449"/>
      <c r="AA1232" s="1449"/>
      <c r="AB1232" s="1449"/>
      <c r="AC1232" s="1449"/>
      <c r="AD1232" s="1449"/>
      <c r="AE1232" s="1449"/>
      <c r="AF1232" s="1449"/>
      <c r="AG1232" s="1449"/>
      <c r="AH1232" s="1449"/>
      <c r="AI1232" s="1449"/>
      <c r="AJ1232" s="1449"/>
      <c r="AK1232" s="1449"/>
      <c r="AL1232" s="1449"/>
      <c r="AM1232" s="1449"/>
      <c r="AN1232" s="1449"/>
      <c r="AO1232" s="1449"/>
      <c r="AP1232" s="1449"/>
      <c r="AQ1232" s="1449"/>
      <c r="AR1232" s="1236"/>
      <c r="AS1232" s="1250"/>
      <c r="AT1232" s="1569"/>
      <c r="AU1232" s="1320"/>
      <c r="AV1232" s="1320"/>
      <c r="AW1232" s="1320"/>
      <c r="AX1232" s="1320"/>
      <c r="AY1232" s="1320"/>
      <c r="AZ1232" s="1320"/>
      <c r="BA1232" s="1320"/>
      <c r="BB1232" s="1449"/>
      <c r="BC1232" s="1449"/>
      <c r="BD1232" s="1449"/>
      <c r="BE1232" s="1449"/>
    </row>
    <row r="1233" spans="1:57" s="369" customFormat="1" x14ac:dyDescent="0.2">
      <c r="A1233" s="411"/>
      <c r="B1233" s="179"/>
      <c r="C1233" s="363"/>
      <c r="D1233" s="1421"/>
      <c r="E1233" s="1421"/>
      <c r="F1233" s="1421"/>
      <c r="G1233" s="1421"/>
      <c r="H1233" s="1421"/>
      <c r="I1233" s="1421"/>
      <c r="J1233" s="1421"/>
      <c r="K1233" s="1421"/>
      <c r="L1233" s="1421"/>
      <c r="M1233" s="1421"/>
      <c r="N1233" s="1421"/>
      <c r="O1233" s="1421"/>
      <c r="P1233" s="1421"/>
      <c r="Q1233" s="1421"/>
      <c r="R1233" s="1421"/>
      <c r="S1233" s="1421"/>
      <c r="T1233" s="1421"/>
      <c r="U1233" s="1421"/>
      <c r="V1233" s="1421"/>
      <c r="W1233" s="1421"/>
      <c r="X1233" s="1421"/>
      <c r="Y1233" s="1421"/>
      <c r="Z1233" s="1262"/>
      <c r="AA1233" s="1311"/>
      <c r="AB1233" s="1262"/>
      <c r="AC1233" s="1311"/>
      <c r="AD1233" s="1262"/>
      <c r="AE1233" s="1262"/>
      <c r="AF1233" s="1262"/>
      <c r="AG1233" s="1262"/>
      <c r="AH1233" s="1262"/>
      <c r="AI1233" s="1311"/>
      <c r="AJ1233" s="1311"/>
      <c r="AK1233" s="1311"/>
      <c r="AL1233" s="1311"/>
      <c r="AM1233" s="1311"/>
      <c r="AN1233" s="1311"/>
      <c r="AO1233" s="1311"/>
      <c r="AP1233" s="1311"/>
      <c r="AQ1233" s="1311"/>
      <c r="AR1233" s="1236"/>
      <c r="AS1233" s="1284"/>
      <c r="AT1233" s="1448"/>
      <c r="AU1233" s="1409"/>
      <c r="AV1233" s="1258"/>
      <c r="AW1233" s="1267"/>
      <c r="AX1233" s="1258"/>
      <c r="AY1233" s="1263"/>
      <c r="AZ1233" s="1263"/>
      <c r="BA1233" s="1263"/>
      <c r="BB1233" s="1263"/>
      <c r="BC1233" s="1263"/>
      <c r="BD1233" s="1263"/>
      <c r="BE1233" s="1263"/>
    </row>
    <row r="1234" spans="1:57" s="369" customFormat="1" x14ac:dyDescent="0.2">
      <c r="A1234" s="411"/>
      <c r="B1234" s="85"/>
      <c r="C1234" s="757"/>
      <c r="D1234" s="1303"/>
      <c r="E1234" s="1303"/>
      <c r="F1234" s="1303"/>
      <c r="G1234" s="1303"/>
      <c r="H1234" s="1303"/>
      <c r="I1234" s="1303"/>
      <c r="J1234" s="1303"/>
      <c r="K1234" s="1303"/>
      <c r="L1234" s="1303"/>
      <c r="M1234" s="1303"/>
      <c r="N1234" s="1303"/>
      <c r="O1234" s="1303"/>
      <c r="P1234" s="1303"/>
      <c r="Q1234" s="1303"/>
      <c r="R1234" s="1303"/>
      <c r="S1234" s="1303"/>
      <c r="T1234" s="1303"/>
      <c r="U1234" s="1303"/>
      <c r="V1234" s="1303"/>
      <c r="W1234" s="1303"/>
      <c r="X1234" s="1303"/>
      <c r="Y1234" s="1303"/>
      <c r="Z1234" s="1262"/>
      <c r="AA1234" s="1291"/>
      <c r="AB1234" s="1262"/>
      <c r="AC1234" s="1291"/>
      <c r="AD1234" s="1262"/>
      <c r="AE1234" s="1262"/>
      <c r="AF1234" s="1262"/>
      <c r="AG1234" s="1262"/>
      <c r="AH1234" s="1262"/>
      <c r="AI1234" s="1291"/>
      <c r="AJ1234" s="1291"/>
      <c r="AK1234" s="1291"/>
      <c r="AL1234" s="1291"/>
      <c r="AM1234" s="1291"/>
      <c r="AN1234" s="1291"/>
      <c r="AO1234" s="1291"/>
      <c r="AP1234" s="1291"/>
      <c r="AQ1234" s="1291"/>
      <c r="AR1234" s="1236"/>
      <c r="AS1234" s="1567"/>
      <c r="AT1234" s="1284"/>
      <c r="AU1234" s="1236"/>
      <c r="AV1234" s="1236"/>
      <c r="AW1234" s="1236"/>
      <c r="AX1234" s="1236"/>
      <c r="AY1234" s="1236"/>
      <c r="AZ1234" s="1263"/>
      <c r="BA1234" s="1263"/>
      <c r="BB1234" s="1263"/>
      <c r="BC1234" s="1263"/>
      <c r="BD1234" s="1263"/>
      <c r="BE1234" s="1263"/>
    </row>
    <row r="1235" spans="1:57" s="369" customFormat="1" x14ac:dyDescent="0.2">
      <c r="A1235" s="411"/>
      <c r="B1235" s="362"/>
      <c r="C1235" s="757"/>
      <c r="D1235" s="1304"/>
      <c r="E1235" s="1304"/>
      <c r="F1235" s="1304"/>
      <c r="G1235" s="1304"/>
      <c r="H1235" s="1304"/>
      <c r="I1235" s="1304"/>
      <c r="J1235" s="1304"/>
      <c r="K1235" s="1304"/>
      <c r="L1235" s="1304"/>
      <c r="M1235" s="1304"/>
      <c r="N1235" s="1304"/>
      <c r="O1235" s="1304"/>
      <c r="P1235" s="1304"/>
      <c r="Q1235" s="1304"/>
      <c r="R1235" s="1304"/>
      <c r="S1235" s="1304"/>
      <c r="T1235" s="1304"/>
      <c r="U1235" s="1304"/>
      <c r="V1235" s="1304"/>
      <c r="W1235" s="1304"/>
      <c r="X1235" s="1304"/>
      <c r="Y1235" s="1304"/>
      <c r="Z1235" s="1263"/>
      <c r="AA1235" s="1263"/>
      <c r="AB1235" s="1263"/>
      <c r="AC1235" s="1263"/>
      <c r="AD1235" s="1263"/>
      <c r="AE1235" s="1263"/>
      <c r="AF1235" s="1263"/>
      <c r="AG1235" s="1263"/>
      <c r="AH1235" s="1263"/>
      <c r="AI1235" s="1263"/>
      <c r="AJ1235" s="1263"/>
      <c r="AK1235" s="1263"/>
      <c r="AL1235" s="1263"/>
      <c r="AM1235" s="1263"/>
      <c r="AN1235" s="1263"/>
      <c r="AO1235" s="1263"/>
      <c r="AP1235" s="1263"/>
      <c r="AQ1235" s="1263"/>
      <c r="AR1235" s="1236"/>
      <c r="AS1235" s="1400"/>
      <c r="AT1235" s="1284"/>
      <c r="AU1235" s="1301"/>
      <c r="AV1235" s="1301"/>
      <c r="AW1235" s="1301"/>
      <c r="AX1235" s="1301"/>
      <c r="AY1235" s="1301"/>
      <c r="AZ1235" s="1267"/>
      <c r="BA1235" s="1267"/>
      <c r="BB1235" s="1263"/>
      <c r="BC1235" s="1263"/>
      <c r="BD1235" s="1263"/>
      <c r="BE1235" s="1263"/>
    </row>
    <row r="1236" spans="1:57" s="369" customFormat="1" x14ac:dyDescent="0.2">
      <c r="A1236" s="411"/>
      <c r="B1236" s="768"/>
      <c r="C1236" s="757"/>
      <c r="D1236" s="1304"/>
      <c r="E1236" s="1304"/>
      <c r="F1236" s="1304"/>
      <c r="G1236" s="1304"/>
      <c r="H1236" s="1304"/>
      <c r="I1236" s="1304"/>
      <c r="J1236" s="1304"/>
      <c r="K1236" s="1304"/>
      <c r="L1236" s="1304"/>
      <c r="M1236" s="1304"/>
      <c r="N1236" s="1304"/>
      <c r="O1236" s="1304"/>
      <c r="P1236" s="1304"/>
      <c r="Q1236" s="1304"/>
      <c r="R1236" s="1304"/>
      <c r="S1236" s="1304"/>
      <c r="T1236" s="1304"/>
      <c r="U1236" s="1304"/>
      <c r="V1236" s="1304"/>
      <c r="W1236" s="1304"/>
      <c r="X1236" s="1304"/>
      <c r="Y1236" s="1304"/>
      <c r="Z1236" s="1267"/>
      <c r="AA1236" s="1267"/>
      <c r="AB1236" s="1267"/>
      <c r="AC1236" s="1267"/>
      <c r="AD1236" s="1267"/>
      <c r="AE1236" s="1267"/>
      <c r="AF1236" s="1267"/>
      <c r="AG1236" s="1267"/>
      <c r="AH1236" s="1267"/>
      <c r="AI1236" s="1267"/>
      <c r="AJ1236" s="1267"/>
      <c r="AK1236" s="1267"/>
      <c r="AL1236" s="1267"/>
      <c r="AM1236" s="1267"/>
      <c r="AN1236" s="1267"/>
      <c r="AO1236" s="1267"/>
      <c r="AP1236" s="1267"/>
      <c r="AQ1236" s="1267"/>
      <c r="AR1236" s="1236"/>
      <c r="AS1236" s="1284"/>
      <c r="AT1236" s="1284"/>
      <c r="AU1236" s="1301"/>
      <c r="AV1236" s="1301"/>
      <c r="AW1236" s="1301"/>
      <c r="AX1236" s="1301"/>
      <c r="AY1236" s="1301"/>
      <c r="AZ1236" s="1267"/>
      <c r="BA1236" s="1267"/>
      <c r="BB1236" s="1267"/>
      <c r="BC1236" s="1267"/>
      <c r="BD1236" s="1267"/>
      <c r="BE1236" s="1267"/>
    </row>
    <row r="1237" spans="1:57" s="369" customFormat="1" x14ac:dyDescent="0.2">
      <c r="A1237" s="411"/>
      <c r="B1237" s="181"/>
      <c r="C1237" s="757"/>
      <c r="D1237" s="1320"/>
      <c r="E1237" s="1320"/>
      <c r="F1237" s="1320"/>
      <c r="G1237" s="1320"/>
      <c r="H1237" s="1320"/>
      <c r="I1237" s="1320"/>
      <c r="J1237" s="1320"/>
      <c r="K1237" s="1320"/>
      <c r="L1237" s="1320"/>
      <c r="M1237" s="1320"/>
      <c r="N1237" s="1320"/>
      <c r="O1237" s="1320"/>
      <c r="P1237" s="1320"/>
      <c r="Q1237" s="1320"/>
      <c r="R1237" s="1320"/>
      <c r="S1237" s="1320"/>
      <c r="T1237" s="1320"/>
      <c r="U1237" s="1320"/>
      <c r="V1237" s="1320"/>
      <c r="W1237" s="1320"/>
      <c r="X1237" s="1320"/>
      <c r="Y1237" s="1320"/>
      <c r="Z1237" s="1449"/>
      <c r="AA1237" s="1449"/>
      <c r="AB1237" s="1449"/>
      <c r="AC1237" s="1449"/>
      <c r="AD1237" s="1449"/>
      <c r="AE1237" s="1449"/>
      <c r="AF1237" s="1449"/>
      <c r="AG1237" s="1449"/>
      <c r="AH1237" s="1449"/>
      <c r="AI1237" s="1449"/>
      <c r="AJ1237" s="1449"/>
      <c r="AK1237" s="1449"/>
      <c r="AL1237" s="1449"/>
      <c r="AM1237" s="1449"/>
      <c r="AN1237" s="1449"/>
      <c r="AO1237" s="1449"/>
      <c r="AP1237" s="1449"/>
      <c r="AQ1237" s="1449"/>
      <c r="AR1237" s="1236"/>
      <c r="AS1237" s="1250"/>
      <c r="AT1237" s="1284"/>
      <c r="AU1237" s="1320"/>
      <c r="AV1237" s="1320"/>
      <c r="AW1237" s="1320"/>
      <c r="AX1237" s="1320"/>
      <c r="AY1237" s="1320"/>
      <c r="AZ1237" s="1320"/>
      <c r="BA1237" s="1320"/>
      <c r="BB1237" s="1449"/>
      <c r="BC1237" s="1449"/>
      <c r="BD1237" s="1449"/>
      <c r="BE1237" s="1449"/>
    </row>
    <row r="1238" spans="1:57" s="369" customFormat="1" ht="12" thickBot="1" x14ac:dyDescent="0.25">
      <c r="A1238" s="411"/>
      <c r="B1238" s="321"/>
      <c r="C1238" s="363"/>
      <c r="D1238" s="1284"/>
      <c r="E1238" s="1311"/>
      <c r="F1238" s="1311"/>
      <c r="G1238" s="1311"/>
      <c r="H1238" s="1311"/>
      <c r="I1238" s="1311"/>
      <c r="J1238" s="1311"/>
      <c r="K1238" s="1311"/>
      <c r="L1238" s="1311"/>
      <c r="M1238" s="1311"/>
      <c r="N1238" s="1311"/>
      <c r="O1238" s="1311"/>
      <c r="P1238" s="1311"/>
      <c r="Q1238" s="1311"/>
      <c r="R1238" s="1311"/>
      <c r="S1238" s="1311"/>
      <c r="T1238" s="1311"/>
      <c r="U1238" s="1311"/>
      <c r="V1238" s="1311"/>
      <c r="W1238" s="1311"/>
      <c r="X1238" s="1311"/>
      <c r="Y1238" s="1311"/>
      <c r="Z1238" s="1262"/>
      <c r="AA1238" s="1311"/>
      <c r="AB1238" s="1262"/>
      <c r="AC1238" s="1311"/>
      <c r="AD1238" s="1262"/>
      <c r="AE1238" s="1262"/>
      <c r="AF1238" s="1262"/>
      <c r="AG1238" s="1262"/>
      <c r="AH1238" s="1262"/>
      <c r="AI1238" s="1311"/>
      <c r="AJ1238" s="1311"/>
      <c r="AK1238" s="1311"/>
      <c r="AL1238" s="1311"/>
      <c r="AM1238" s="1311"/>
      <c r="AN1238" s="1311"/>
      <c r="AO1238" s="1311"/>
      <c r="AP1238" s="1311"/>
      <c r="AQ1238" s="1311"/>
      <c r="AR1238" s="1236"/>
      <c r="AS1238" s="1284"/>
      <c r="AT1238" s="1448"/>
      <c r="AU1238" s="1263"/>
      <c r="AV1238" s="1311"/>
      <c r="AW1238" s="1263"/>
      <c r="AX1238" s="1311"/>
      <c r="AY1238" s="1263"/>
      <c r="AZ1238" s="1263"/>
      <c r="BA1238" s="1263"/>
      <c r="BB1238" s="1263"/>
      <c r="BC1238" s="1263"/>
      <c r="BD1238" s="1263"/>
      <c r="BE1238" s="1263"/>
    </row>
    <row r="1239" spans="1:57" s="369" customFormat="1" x14ac:dyDescent="0.2">
      <c r="A1239" s="411"/>
      <c r="B1239" s="769"/>
      <c r="C1239" s="770"/>
      <c r="D1239" s="1570"/>
      <c r="E1239" s="1570"/>
      <c r="F1239" s="1570"/>
      <c r="G1239" s="1570"/>
      <c r="H1239" s="1570"/>
      <c r="I1239" s="1570"/>
      <c r="J1239" s="1570"/>
      <c r="K1239" s="1570"/>
      <c r="L1239" s="1570"/>
      <c r="M1239" s="1570"/>
      <c r="N1239" s="1570"/>
      <c r="O1239" s="1570"/>
      <c r="P1239" s="1570"/>
      <c r="Q1239" s="1570"/>
      <c r="R1239" s="1570"/>
      <c r="S1239" s="1570"/>
      <c r="T1239" s="1570"/>
      <c r="U1239" s="1570"/>
      <c r="V1239" s="1570"/>
      <c r="W1239" s="1570"/>
      <c r="X1239" s="1570"/>
      <c r="Y1239" s="1570"/>
      <c r="Z1239" s="1570"/>
      <c r="AA1239" s="1570"/>
      <c r="AB1239" s="1570"/>
      <c r="AC1239" s="1570"/>
      <c r="AD1239" s="1570"/>
      <c r="AE1239" s="1570"/>
      <c r="AF1239" s="1570"/>
      <c r="AG1239" s="1570"/>
      <c r="AH1239" s="1570"/>
      <c r="AI1239" s="1570"/>
      <c r="AJ1239" s="1447"/>
      <c r="AK1239" s="1447"/>
      <c r="AL1239" s="1447"/>
      <c r="AM1239" s="1447"/>
      <c r="AN1239" s="1447"/>
      <c r="AO1239" s="1447"/>
      <c r="AP1239" s="1447"/>
      <c r="AQ1239" s="1447"/>
      <c r="AR1239" s="1236"/>
      <c r="AS1239" s="1571"/>
      <c r="AT1239" s="1572"/>
      <c r="AU1239" s="1570"/>
      <c r="AV1239" s="1570"/>
      <c r="AW1239" s="1570"/>
      <c r="AX1239" s="1570"/>
      <c r="AY1239" s="1570"/>
      <c r="AZ1239" s="1570"/>
      <c r="BA1239" s="1570"/>
      <c r="BB1239" s="1570"/>
      <c r="BC1239" s="1570"/>
      <c r="BD1239" s="1570"/>
      <c r="BE1239" s="1570"/>
    </row>
    <row r="1240" spans="1:57" s="369" customFormat="1" ht="12" thickBot="1" x14ac:dyDescent="0.25">
      <c r="A1240" s="411"/>
      <c r="B1240" s="772"/>
      <c r="C1240" s="773"/>
      <c r="D1240" s="1573"/>
      <c r="E1240" s="1573"/>
      <c r="F1240" s="1573"/>
      <c r="G1240" s="1573"/>
      <c r="H1240" s="1573"/>
      <c r="I1240" s="1573"/>
      <c r="J1240" s="1573"/>
      <c r="K1240" s="1573"/>
      <c r="L1240" s="1573"/>
      <c r="M1240" s="1573"/>
      <c r="N1240" s="1573"/>
      <c r="O1240" s="1573"/>
      <c r="P1240" s="1573"/>
      <c r="Q1240" s="1573"/>
      <c r="R1240" s="1573"/>
      <c r="S1240" s="1573"/>
      <c r="T1240" s="1573"/>
      <c r="U1240" s="1573"/>
      <c r="V1240" s="1573"/>
      <c r="W1240" s="1573"/>
      <c r="X1240" s="1573"/>
      <c r="Y1240" s="1573"/>
      <c r="Z1240" s="1573"/>
      <c r="AA1240" s="1573"/>
      <c r="AB1240" s="1573"/>
      <c r="AC1240" s="1573"/>
      <c r="AD1240" s="1573"/>
      <c r="AE1240" s="1573"/>
      <c r="AF1240" s="1573"/>
      <c r="AG1240" s="1573"/>
      <c r="AH1240" s="1573"/>
      <c r="AI1240" s="1573"/>
      <c r="AJ1240" s="1447"/>
      <c r="AK1240" s="1447"/>
      <c r="AL1240" s="1447"/>
      <c r="AM1240" s="1447"/>
      <c r="AN1240" s="1447"/>
      <c r="AO1240" s="1447"/>
      <c r="AP1240" s="1447"/>
      <c r="AQ1240" s="1447"/>
      <c r="AR1240" s="1236"/>
      <c r="AS1240" s="1574"/>
      <c r="AT1240" s="1575"/>
      <c r="AU1240" s="1573"/>
      <c r="AV1240" s="1573"/>
      <c r="AW1240" s="1573"/>
      <c r="AX1240" s="1573"/>
      <c r="AY1240" s="1573"/>
      <c r="AZ1240" s="1573"/>
      <c r="BA1240" s="1573"/>
      <c r="BB1240" s="1573"/>
      <c r="BC1240" s="1573"/>
      <c r="BD1240" s="1573"/>
      <c r="BE1240" s="1573"/>
    </row>
    <row r="1241" spans="1:57" s="369" customFormat="1" x14ac:dyDescent="0.2">
      <c r="A1241" s="411"/>
      <c r="B1241" s="321"/>
      <c r="C1241" s="321"/>
      <c r="D1241" s="1284"/>
      <c r="E1241" s="1284"/>
      <c r="F1241" s="1284"/>
      <c r="G1241" s="1284"/>
      <c r="H1241" s="1284"/>
      <c r="I1241" s="1284"/>
      <c r="J1241" s="1284"/>
      <c r="K1241" s="1284"/>
      <c r="L1241" s="1284"/>
      <c r="M1241" s="1284"/>
      <c r="N1241" s="1284"/>
      <c r="O1241" s="1284"/>
      <c r="P1241" s="1284"/>
      <c r="Q1241" s="1284"/>
      <c r="R1241" s="1284"/>
      <c r="S1241" s="1284"/>
      <c r="T1241" s="1284"/>
      <c r="U1241" s="1284"/>
      <c r="V1241" s="1284"/>
      <c r="W1241" s="1284"/>
      <c r="X1241" s="1263"/>
      <c r="Y1241" s="1263"/>
      <c r="Z1241" s="1263"/>
      <c r="AA1241" s="1263"/>
      <c r="AB1241" s="1263"/>
      <c r="AC1241" s="1263"/>
      <c r="AD1241" s="1263"/>
      <c r="AE1241" s="1263"/>
      <c r="AF1241" s="1263"/>
      <c r="AG1241" s="1263"/>
      <c r="AH1241" s="1263"/>
      <c r="AI1241" s="1263"/>
      <c r="AJ1241" s="1263"/>
      <c r="AK1241" s="1263"/>
      <c r="AL1241" s="1263"/>
      <c r="AM1241" s="1263"/>
      <c r="AN1241" s="1263"/>
      <c r="AO1241" s="1263"/>
      <c r="AP1241" s="1263"/>
      <c r="AQ1241" s="1263"/>
      <c r="AR1241" s="1236"/>
      <c r="AS1241" s="1284"/>
      <c r="AT1241" s="1284"/>
      <c r="AU1241" s="1236"/>
      <c r="AV1241" s="1236"/>
      <c r="AW1241" s="1236"/>
      <c r="AX1241" s="1236"/>
      <c r="AY1241" s="1236"/>
      <c r="AZ1241" s="1263"/>
      <c r="BA1241" s="1263"/>
      <c r="BB1241" s="1263"/>
      <c r="BC1241" s="1263"/>
      <c r="BD1241" s="1263"/>
      <c r="BE1241" s="1263"/>
    </row>
    <row r="1242" spans="1:57" s="342" customFormat="1" x14ac:dyDescent="0.2">
      <c r="A1242" s="830"/>
      <c r="B1242" s="705"/>
      <c r="C1242" s="706"/>
      <c r="D1242" s="1265"/>
      <c r="E1242" s="1265"/>
      <c r="F1242" s="1265"/>
      <c r="G1242" s="1265"/>
      <c r="H1242" s="1265"/>
      <c r="I1242" s="1547"/>
      <c r="J1242" s="1468"/>
      <c r="K1242" s="1547"/>
      <c r="L1242" s="1468"/>
      <c r="M1242" s="1547"/>
      <c r="N1242" s="1547"/>
      <c r="O1242" s="1547"/>
      <c r="P1242" s="1468"/>
      <c r="Q1242" s="1547"/>
      <c r="R1242" s="1547"/>
      <c r="S1242" s="1547"/>
      <c r="T1242" s="1547"/>
      <c r="U1242" s="1547"/>
      <c r="V1242" s="1547"/>
      <c r="W1242" s="1547"/>
      <c r="X1242" s="1547"/>
      <c r="Y1242" s="1547"/>
      <c r="Z1242" s="1547"/>
      <c r="AA1242" s="1547"/>
      <c r="AB1242" s="1547"/>
      <c r="AC1242" s="1547"/>
      <c r="AD1242" s="1547"/>
      <c r="AE1242" s="1547"/>
      <c r="AF1242" s="1547"/>
      <c r="AG1242" s="1547"/>
      <c r="AH1242" s="1547"/>
      <c r="AI1242" s="1265"/>
      <c r="AJ1242" s="1265"/>
      <c r="AK1242" s="1265"/>
      <c r="AL1242" s="1265"/>
      <c r="AM1242" s="1265"/>
      <c r="AN1242" s="1265"/>
      <c r="AO1242" s="1265"/>
      <c r="AP1242" s="1265"/>
      <c r="AQ1242" s="1265"/>
      <c r="AR1242" s="1236"/>
      <c r="AS1242" s="1547"/>
      <c r="AT1242" s="1265"/>
      <c r="AU1242" s="1265"/>
      <c r="AV1242" s="1265"/>
      <c r="AW1242" s="1265"/>
      <c r="AX1242" s="1265"/>
      <c r="AY1242" s="1265"/>
      <c r="AZ1242" s="1265"/>
      <c r="BA1242" s="1265"/>
      <c r="BB1242" s="1265"/>
      <c r="BC1242" s="1265"/>
      <c r="BD1242" s="1265"/>
      <c r="BE1242" s="1547"/>
    </row>
    <row r="1243" spans="1:57" s="369" customFormat="1" x14ac:dyDescent="0.2">
      <c r="A1243" s="411"/>
      <c r="B1243" s="321"/>
      <c r="C1243" s="321"/>
      <c r="D1243" s="1284"/>
      <c r="E1243" s="1284"/>
      <c r="F1243" s="1284"/>
      <c r="G1243" s="1284"/>
      <c r="H1243" s="1284"/>
      <c r="I1243" s="1284"/>
      <c r="J1243" s="1284"/>
      <c r="K1243" s="1284"/>
      <c r="L1243" s="1284"/>
      <c r="M1243" s="1284"/>
      <c r="N1243" s="1284"/>
      <c r="O1243" s="1284"/>
      <c r="P1243" s="1284"/>
      <c r="Q1243" s="1284"/>
      <c r="R1243" s="1284"/>
      <c r="S1243" s="1284"/>
      <c r="T1243" s="1284"/>
      <c r="U1243" s="1284"/>
      <c r="V1243" s="1284"/>
      <c r="W1243" s="1284"/>
      <c r="X1243" s="1263"/>
      <c r="Y1243" s="1263"/>
      <c r="Z1243" s="1263"/>
      <c r="AA1243" s="1263"/>
      <c r="AB1243" s="1263"/>
      <c r="AC1243" s="1263"/>
      <c r="AD1243" s="1263"/>
      <c r="AE1243" s="1263"/>
      <c r="AF1243" s="1263"/>
      <c r="AG1243" s="1263"/>
      <c r="AH1243" s="1263"/>
      <c r="AI1243" s="1263"/>
      <c r="AJ1243" s="1263"/>
      <c r="AK1243" s="1263"/>
      <c r="AL1243" s="1263"/>
      <c r="AM1243" s="1263"/>
      <c r="AN1243" s="1263"/>
      <c r="AO1243" s="1263"/>
      <c r="AP1243" s="1263"/>
      <c r="AQ1243" s="1263"/>
      <c r="AR1243" s="1236"/>
      <c r="AS1243" s="1284"/>
      <c r="AT1243" s="1284"/>
      <c r="AU1243" s="1412"/>
      <c r="AV1243" s="1412"/>
      <c r="AW1243" s="1412"/>
      <c r="AX1243" s="1412"/>
      <c r="AY1243" s="1412"/>
      <c r="AZ1243" s="1412"/>
      <c r="BA1243" s="1412"/>
      <c r="BB1243" s="1263"/>
      <c r="BC1243" s="1263"/>
      <c r="BD1243" s="1263"/>
      <c r="BE1243" s="1263"/>
    </row>
    <row r="1244" spans="1:57" s="369" customFormat="1" x14ac:dyDescent="0.2">
      <c r="A1244" s="411"/>
      <c r="B1244" s="154"/>
      <c r="C1244" s="321"/>
      <c r="D1244" s="1284"/>
      <c r="E1244" s="1284"/>
      <c r="F1244" s="1284"/>
      <c r="G1244" s="1284"/>
      <c r="H1244" s="1284"/>
      <c r="I1244" s="1284"/>
      <c r="J1244" s="1284"/>
      <c r="K1244" s="1284"/>
      <c r="L1244" s="1284"/>
      <c r="M1244" s="1284"/>
      <c r="N1244" s="1284"/>
      <c r="O1244" s="1284"/>
      <c r="P1244" s="1284"/>
      <c r="Q1244" s="1284"/>
      <c r="R1244" s="1284"/>
      <c r="S1244" s="1284"/>
      <c r="T1244" s="1284"/>
      <c r="U1244" s="1284"/>
      <c r="V1244" s="1284"/>
      <c r="W1244" s="1284"/>
      <c r="X1244" s="1263"/>
      <c r="Y1244" s="1263"/>
      <c r="Z1244" s="1263"/>
      <c r="AA1244" s="1263"/>
      <c r="AB1244" s="1263"/>
      <c r="AC1244" s="1263"/>
      <c r="AD1244" s="1263"/>
      <c r="AE1244" s="1263"/>
      <c r="AF1244" s="1263"/>
      <c r="AG1244" s="1263"/>
      <c r="AH1244" s="1263"/>
      <c r="AI1244" s="1263"/>
      <c r="AJ1244" s="1263"/>
      <c r="AK1244" s="1263"/>
      <c r="AL1244" s="1263"/>
      <c r="AM1244" s="1263"/>
      <c r="AN1244" s="1263"/>
      <c r="AO1244" s="1263"/>
      <c r="AP1244" s="1263"/>
      <c r="AQ1244" s="1263"/>
      <c r="AR1244" s="1236"/>
      <c r="AS1244" s="1478"/>
      <c r="AT1244" s="1284"/>
      <c r="AU1244" s="1263"/>
      <c r="AV1244" s="1311"/>
      <c r="AW1244" s="1263"/>
      <c r="AX1244" s="1311"/>
      <c r="AY1244" s="1263"/>
      <c r="AZ1244" s="1263"/>
      <c r="BA1244" s="1263"/>
      <c r="BB1244" s="1263"/>
      <c r="BC1244" s="1263"/>
      <c r="BD1244" s="1263"/>
      <c r="BE1244" s="1263"/>
    </row>
    <row r="1245" spans="1:57" s="369" customFormat="1" x14ac:dyDescent="0.2">
      <c r="A1245" s="411"/>
      <c r="B1245" s="154"/>
      <c r="C1245" s="321"/>
      <c r="D1245" s="1284"/>
      <c r="E1245" s="1284"/>
      <c r="F1245" s="1284"/>
      <c r="G1245" s="1284"/>
      <c r="H1245" s="1284"/>
      <c r="I1245" s="1284"/>
      <c r="J1245" s="1284"/>
      <c r="K1245" s="1284"/>
      <c r="L1245" s="1284"/>
      <c r="M1245" s="1284"/>
      <c r="N1245" s="1284"/>
      <c r="O1245" s="1284"/>
      <c r="P1245" s="1284"/>
      <c r="Q1245" s="1284"/>
      <c r="R1245" s="1284"/>
      <c r="S1245" s="1284"/>
      <c r="T1245" s="1284"/>
      <c r="U1245" s="1284"/>
      <c r="V1245" s="1284"/>
      <c r="W1245" s="1284"/>
      <c r="X1245" s="1284"/>
      <c r="Y1245" s="1263"/>
      <c r="Z1245" s="1263"/>
      <c r="AA1245" s="1263"/>
      <c r="AB1245" s="1263"/>
      <c r="AC1245" s="1263"/>
      <c r="AD1245" s="1263"/>
      <c r="AE1245" s="1263"/>
      <c r="AF1245" s="1263"/>
      <c r="AG1245" s="1263"/>
      <c r="AH1245" s="1263"/>
      <c r="AI1245" s="1263"/>
      <c r="AJ1245" s="1263"/>
      <c r="AK1245" s="1263"/>
      <c r="AL1245" s="1263"/>
      <c r="AM1245" s="1263"/>
      <c r="AN1245" s="1263"/>
      <c r="AO1245" s="1263"/>
      <c r="AP1245" s="1263"/>
      <c r="AQ1245" s="1263"/>
      <c r="AR1245" s="1236"/>
      <c r="AS1245" s="1478"/>
      <c r="AT1245" s="1284"/>
      <c r="AU1245" s="1447"/>
      <c r="AV1245" s="1447"/>
      <c r="AW1245" s="1447"/>
      <c r="AX1245" s="1447"/>
      <c r="AY1245" s="1447"/>
      <c r="AZ1245" s="1447"/>
      <c r="BA1245" s="1447"/>
      <c r="BB1245" s="1263"/>
      <c r="BC1245" s="1263"/>
      <c r="BD1245" s="1263"/>
      <c r="BE1245" s="1263"/>
    </row>
    <row r="1246" spans="1:57" s="369" customFormat="1" x14ac:dyDescent="0.2">
      <c r="A1246" s="411"/>
      <c r="B1246" s="363"/>
      <c r="C1246" s="321"/>
      <c r="D1246" s="1284"/>
      <c r="E1246" s="1284"/>
      <c r="F1246" s="1284"/>
      <c r="G1246" s="1284"/>
      <c r="H1246" s="1284"/>
      <c r="I1246" s="1284"/>
      <c r="J1246" s="1284"/>
      <c r="K1246" s="1284"/>
      <c r="L1246" s="1284"/>
      <c r="M1246" s="1284"/>
      <c r="N1246" s="1284"/>
      <c r="O1246" s="1284"/>
      <c r="P1246" s="1284"/>
      <c r="Q1246" s="1284"/>
      <c r="R1246" s="1284"/>
      <c r="S1246" s="1284"/>
      <c r="T1246" s="1284"/>
      <c r="U1246" s="1284"/>
      <c r="V1246" s="1284"/>
      <c r="W1246" s="1284"/>
      <c r="X1246" s="1284"/>
      <c r="Y1246" s="1263"/>
      <c r="Z1246" s="1263"/>
      <c r="AA1246" s="1263"/>
      <c r="AB1246" s="1263"/>
      <c r="AC1246" s="1263"/>
      <c r="AD1246" s="1263"/>
      <c r="AE1246" s="1263"/>
      <c r="AF1246" s="1263"/>
      <c r="AG1246" s="1263"/>
      <c r="AH1246" s="1263"/>
      <c r="AI1246" s="1263"/>
      <c r="AJ1246" s="1263"/>
      <c r="AK1246" s="1263"/>
      <c r="AL1246" s="1263"/>
      <c r="AM1246" s="1263"/>
      <c r="AN1246" s="1263"/>
      <c r="AO1246" s="1263"/>
      <c r="AP1246" s="1263"/>
      <c r="AQ1246" s="1263"/>
      <c r="AR1246" s="1236"/>
      <c r="AS1246" s="1448"/>
      <c r="AT1246" s="1284"/>
      <c r="AU1246" s="1274"/>
      <c r="AV1246" s="1447"/>
      <c r="AW1246" s="1447"/>
      <c r="AX1246" s="1447"/>
      <c r="AY1246" s="1447"/>
      <c r="AZ1246" s="1447"/>
      <c r="BA1246" s="1447"/>
      <c r="BB1246" s="1263"/>
      <c r="BC1246" s="1263"/>
      <c r="BD1246" s="1263"/>
      <c r="BE1246" s="1263"/>
    </row>
    <row r="1247" spans="1:57" s="369" customFormat="1" x14ac:dyDescent="0.2">
      <c r="A1247" s="411"/>
      <c r="B1247" s="362"/>
      <c r="C1247" s="321"/>
      <c r="D1247" s="1249"/>
      <c r="E1247" s="1249"/>
      <c r="F1247" s="1249"/>
      <c r="G1247" s="1249"/>
      <c r="H1247" s="1249"/>
      <c r="I1247" s="1249"/>
      <c r="J1247" s="1249"/>
      <c r="K1247" s="1249"/>
      <c r="L1247" s="1249"/>
      <c r="M1247" s="1249"/>
      <c r="N1247" s="1249"/>
      <c r="O1247" s="1249"/>
      <c r="P1247" s="1249"/>
      <c r="Q1247" s="1249"/>
      <c r="R1247" s="1249"/>
      <c r="S1247" s="1249"/>
      <c r="T1247" s="1249"/>
      <c r="U1247" s="1249"/>
      <c r="V1247" s="1249"/>
      <c r="W1247" s="1249"/>
      <c r="X1247" s="1249"/>
      <c r="Y1247" s="1249"/>
      <c r="Z1247" s="1362"/>
      <c r="AA1247" s="1362"/>
      <c r="AB1247" s="1362"/>
      <c r="AC1247" s="1362"/>
      <c r="AD1247" s="1362"/>
      <c r="AE1247" s="1362"/>
      <c r="AF1247" s="1362"/>
      <c r="AG1247" s="1362"/>
      <c r="AH1247" s="1362"/>
      <c r="AI1247" s="1362"/>
      <c r="AJ1247" s="1362"/>
      <c r="AK1247" s="1362"/>
      <c r="AL1247" s="1362"/>
      <c r="AM1247" s="1362"/>
      <c r="AN1247" s="1362"/>
      <c r="AO1247" s="1362"/>
      <c r="AP1247" s="1362"/>
      <c r="AQ1247" s="1362"/>
      <c r="AR1247" s="1236"/>
      <c r="AS1247" s="1400"/>
      <c r="AT1247" s="1284"/>
      <c r="AU1247" s="1249"/>
      <c r="AV1247" s="1249"/>
      <c r="AW1247" s="1249"/>
      <c r="AX1247" s="1249"/>
      <c r="AY1247" s="1249"/>
      <c r="AZ1247" s="1249"/>
      <c r="BA1247" s="1249"/>
      <c r="BB1247" s="1362"/>
      <c r="BC1247" s="1362"/>
      <c r="BD1247" s="1362"/>
      <c r="BE1247" s="1362"/>
    </row>
    <row r="1248" spans="1:57" s="369" customFormat="1" x14ac:dyDescent="0.2">
      <c r="A1248" s="411"/>
      <c r="B1248" s="362"/>
      <c r="C1248" s="321"/>
      <c r="D1248" s="1249"/>
      <c r="E1248" s="1249"/>
      <c r="F1248" s="1249"/>
      <c r="G1248" s="1249"/>
      <c r="H1248" s="1249"/>
      <c r="I1248" s="1249"/>
      <c r="J1248" s="1249"/>
      <c r="K1248" s="1249"/>
      <c r="L1248" s="1249"/>
      <c r="M1248" s="1249"/>
      <c r="N1248" s="1249"/>
      <c r="O1248" s="1249"/>
      <c r="P1248" s="1249"/>
      <c r="Q1248" s="1249"/>
      <c r="R1248" s="1249"/>
      <c r="S1248" s="1249"/>
      <c r="T1248" s="1249"/>
      <c r="U1248" s="1249"/>
      <c r="V1248" s="1249"/>
      <c r="W1248" s="1249"/>
      <c r="X1248" s="1249"/>
      <c r="Y1248" s="1249"/>
      <c r="Z1248" s="1362"/>
      <c r="AA1248" s="1362"/>
      <c r="AB1248" s="1362"/>
      <c r="AC1248" s="1362"/>
      <c r="AD1248" s="1362"/>
      <c r="AE1248" s="1362"/>
      <c r="AF1248" s="1362"/>
      <c r="AG1248" s="1362"/>
      <c r="AH1248" s="1362"/>
      <c r="AI1248" s="1362"/>
      <c r="AJ1248" s="1362"/>
      <c r="AK1248" s="1362"/>
      <c r="AL1248" s="1362"/>
      <c r="AM1248" s="1362"/>
      <c r="AN1248" s="1362"/>
      <c r="AO1248" s="1362"/>
      <c r="AP1248" s="1362"/>
      <c r="AQ1248" s="1362"/>
      <c r="AR1248" s="1236"/>
      <c r="AS1248" s="1400"/>
      <c r="AT1248" s="1284"/>
      <c r="AU1248" s="1249"/>
      <c r="AV1248" s="1249"/>
      <c r="AW1248" s="1249"/>
      <c r="AX1248" s="1249"/>
      <c r="AY1248" s="1249"/>
      <c r="AZ1248" s="1249"/>
      <c r="BA1248" s="1249"/>
      <c r="BB1248" s="1362"/>
      <c r="BC1248" s="1362"/>
      <c r="BD1248" s="1362"/>
      <c r="BE1248" s="1362"/>
    </row>
    <row r="1249" spans="1:57" s="369" customFormat="1" x14ac:dyDescent="0.2">
      <c r="A1249" s="830"/>
      <c r="B1249" s="562"/>
      <c r="D1249" s="1274"/>
      <c r="E1249" s="1274"/>
      <c r="F1249" s="1274"/>
      <c r="G1249" s="1274"/>
      <c r="H1249" s="1274"/>
      <c r="I1249" s="1274"/>
      <c r="J1249" s="1274"/>
      <c r="K1249" s="1274"/>
      <c r="L1249" s="1274"/>
      <c r="M1249" s="1274"/>
      <c r="N1249" s="1274"/>
      <c r="O1249" s="1274"/>
      <c r="P1249" s="1274"/>
      <c r="Q1249" s="1274"/>
      <c r="R1249" s="1274"/>
      <c r="S1249" s="1274"/>
      <c r="T1249" s="1274"/>
      <c r="U1249" s="1274"/>
      <c r="V1249" s="1274"/>
      <c r="W1249" s="1274"/>
      <c r="X1249" s="1274"/>
      <c r="Y1249" s="1274"/>
      <c r="Z1249" s="1362"/>
      <c r="AA1249" s="1362"/>
      <c r="AB1249" s="1362"/>
      <c r="AC1249" s="1362"/>
      <c r="AD1249" s="1362"/>
      <c r="AE1249" s="1362"/>
      <c r="AF1249" s="1362"/>
      <c r="AG1249" s="1362"/>
      <c r="AH1249" s="1362"/>
      <c r="AI1249" s="1362"/>
      <c r="AJ1249" s="1362"/>
      <c r="AK1249" s="1362"/>
      <c r="AL1249" s="1362"/>
      <c r="AM1249" s="1362"/>
      <c r="AN1249" s="1362"/>
      <c r="AO1249" s="1362"/>
      <c r="AP1249" s="1362"/>
      <c r="AQ1249" s="1362"/>
      <c r="AR1249" s="1236"/>
      <c r="AS1249" s="1410"/>
      <c r="AT1249" s="1263"/>
      <c r="AU1249" s="1274"/>
      <c r="AV1249" s="1274"/>
      <c r="AW1249" s="1274"/>
      <c r="AX1249" s="1274"/>
      <c r="AY1249" s="1274"/>
      <c r="AZ1249" s="1274"/>
      <c r="BA1249" s="1274"/>
      <c r="BB1249" s="1362"/>
      <c r="BC1249" s="1362"/>
      <c r="BD1249" s="1362"/>
      <c r="BE1249" s="1362"/>
    </row>
    <row r="1250" spans="1:57" s="369" customFormat="1" x14ac:dyDescent="0.2">
      <c r="A1250" s="411"/>
      <c r="B1250" s="765"/>
      <c r="C1250" s="363"/>
      <c r="D1250" s="1341"/>
      <c r="E1250" s="1341"/>
      <c r="F1250" s="1341"/>
      <c r="G1250" s="1341"/>
      <c r="H1250" s="1341"/>
      <c r="I1250" s="1341"/>
      <c r="J1250" s="1341"/>
      <c r="K1250" s="1341"/>
      <c r="L1250" s="1341"/>
      <c r="M1250" s="1341"/>
      <c r="N1250" s="1341"/>
      <c r="O1250" s="1341"/>
      <c r="P1250" s="1341"/>
      <c r="Q1250" s="1341"/>
      <c r="R1250" s="1341"/>
      <c r="S1250" s="1341"/>
      <c r="T1250" s="1341"/>
      <c r="U1250" s="1341"/>
      <c r="V1250" s="1341"/>
      <c r="W1250" s="1341"/>
      <c r="X1250" s="1341"/>
      <c r="Y1250" s="1341"/>
      <c r="Z1250" s="1341"/>
      <c r="AA1250" s="1341"/>
      <c r="AB1250" s="1341"/>
      <c r="AC1250" s="1341"/>
      <c r="AD1250" s="1341"/>
      <c r="AE1250" s="1341"/>
      <c r="AF1250" s="1341"/>
      <c r="AG1250" s="1341"/>
      <c r="AH1250" s="1341"/>
      <c r="AI1250" s="1341"/>
      <c r="AJ1250" s="1341"/>
      <c r="AK1250" s="1341"/>
      <c r="AL1250" s="1341"/>
      <c r="AM1250" s="1341"/>
      <c r="AN1250" s="1341"/>
      <c r="AO1250" s="1341"/>
      <c r="AP1250" s="1341"/>
      <c r="AQ1250" s="1341"/>
      <c r="AR1250" s="1236"/>
      <c r="AS1250" s="1342"/>
      <c r="AT1250" s="1448"/>
      <c r="AU1250" s="1341"/>
      <c r="AV1250" s="1341"/>
      <c r="AW1250" s="1341"/>
      <c r="AX1250" s="1341"/>
      <c r="AY1250" s="1341"/>
      <c r="AZ1250" s="1341"/>
      <c r="BA1250" s="1341"/>
      <c r="BB1250" s="1341"/>
      <c r="BC1250" s="1341"/>
      <c r="BD1250" s="1341"/>
      <c r="BE1250" s="1341"/>
    </row>
    <row r="1251" spans="1:57" s="369" customFormat="1" x14ac:dyDescent="0.2">
      <c r="A1251" s="411"/>
      <c r="B1251" s="765"/>
      <c r="C1251" s="362"/>
      <c r="D1251" s="1249"/>
      <c r="E1251" s="1249"/>
      <c r="F1251" s="1249"/>
      <c r="G1251" s="1249"/>
      <c r="H1251" s="1249"/>
      <c r="I1251" s="1249"/>
      <c r="J1251" s="1249"/>
      <c r="K1251" s="1249"/>
      <c r="L1251" s="1249"/>
      <c r="M1251" s="1249"/>
      <c r="N1251" s="1249"/>
      <c r="O1251" s="1249"/>
      <c r="P1251" s="1249"/>
      <c r="Q1251" s="1249"/>
      <c r="R1251" s="1249"/>
      <c r="S1251" s="1249"/>
      <c r="T1251" s="1249"/>
      <c r="U1251" s="1249"/>
      <c r="V1251" s="1249"/>
      <c r="W1251" s="1249"/>
      <c r="X1251" s="1249"/>
      <c r="Y1251" s="1249"/>
      <c r="Z1251" s="1263"/>
      <c r="AA1251" s="1263"/>
      <c r="AB1251" s="1263"/>
      <c r="AC1251" s="1263"/>
      <c r="AD1251" s="1263"/>
      <c r="AE1251" s="1263"/>
      <c r="AF1251" s="1263"/>
      <c r="AG1251" s="1263"/>
      <c r="AH1251" s="1263"/>
      <c r="AI1251" s="1263"/>
      <c r="AJ1251" s="1263"/>
      <c r="AK1251" s="1263"/>
      <c r="AL1251" s="1263"/>
      <c r="AM1251" s="1263"/>
      <c r="AN1251" s="1263"/>
      <c r="AO1251" s="1263"/>
      <c r="AP1251" s="1263"/>
      <c r="AQ1251" s="1263"/>
      <c r="AR1251" s="1236"/>
      <c r="AS1251" s="1342"/>
      <c r="AT1251" s="1400"/>
      <c r="AU1251" s="1249"/>
      <c r="AV1251" s="1249"/>
      <c r="AW1251" s="1249"/>
      <c r="AX1251" s="1249"/>
      <c r="AY1251" s="1249"/>
      <c r="AZ1251" s="1249"/>
      <c r="BA1251" s="1249"/>
      <c r="BB1251" s="1263"/>
      <c r="BC1251" s="1263"/>
      <c r="BD1251" s="1263"/>
      <c r="BE1251" s="1263"/>
    </row>
    <row r="1252" spans="1:57" s="369" customFormat="1" x14ac:dyDescent="0.2">
      <c r="A1252" s="411"/>
      <c r="B1252" s="363"/>
      <c r="C1252" s="321"/>
      <c r="D1252" s="1284"/>
      <c r="E1252" s="1284"/>
      <c r="F1252" s="1284"/>
      <c r="G1252" s="1284"/>
      <c r="H1252" s="1284"/>
      <c r="I1252" s="1284"/>
      <c r="J1252" s="1284"/>
      <c r="K1252" s="1284"/>
      <c r="L1252" s="1284"/>
      <c r="M1252" s="1284"/>
      <c r="N1252" s="1284"/>
      <c r="O1252" s="1284"/>
      <c r="P1252" s="1284"/>
      <c r="Q1252" s="1284"/>
      <c r="R1252" s="1284"/>
      <c r="S1252" s="1284"/>
      <c r="T1252" s="1284"/>
      <c r="U1252" s="1284"/>
      <c r="V1252" s="1284"/>
      <c r="W1252" s="1284"/>
      <c r="X1252" s="1284"/>
      <c r="Y1252" s="1284"/>
      <c r="Z1252" s="1284"/>
      <c r="AA1252" s="1284"/>
      <c r="AB1252" s="1284"/>
      <c r="AC1252" s="1284"/>
      <c r="AD1252" s="1284"/>
      <c r="AE1252" s="1284"/>
      <c r="AF1252" s="1284"/>
      <c r="AG1252" s="1284"/>
      <c r="AH1252" s="1284"/>
      <c r="AI1252" s="1284"/>
      <c r="AJ1252" s="1284"/>
      <c r="AK1252" s="1284"/>
      <c r="AL1252" s="1284"/>
      <c r="AM1252" s="1284"/>
      <c r="AN1252" s="1284"/>
      <c r="AO1252" s="1284"/>
      <c r="AP1252" s="1284"/>
      <c r="AQ1252" s="1284"/>
      <c r="AR1252" s="1236"/>
      <c r="AS1252" s="1448"/>
      <c r="AT1252" s="1284"/>
      <c r="AU1252" s="1284"/>
      <c r="AV1252" s="1284"/>
      <c r="AW1252" s="1284"/>
      <c r="AX1252" s="1284"/>
      <c r="AY1252" s="1284"/>
      <c r="AZ1252" s="1284"/>
      <c r="BA1252" s="1284"/>
      <c r="BB1252" s="1284"/>
      <c r="BC1252" s="1284"/>
      <c r="BD1252" s="1284"/>
      <c r="BE1252" s="1284"/>
    </row>
    <row r="1253" spans="1:57" s="369" customFormat="1" x14ac:dyDescent="0.2">
      <c r="A1253" s="411"/>
      <c r="B1253" s="362"/>
      <c r="C1253" s="321"/>
      <c r="D1253" s="1249"/>
      <c r="E1253" s="1249"/>
      <c r="F1253" s="1249"/>
      <c r="G1253" s="1249"/>
      <c r="H1253" s="1249"/>
      <c r="I1253" s="1249"/>
      <c r="J1253" s="1249"/>
      <c r="K1253" s="1249"/>
      <c r="L1253" s="1249"/>
      <c r="M1253" s="1249"/>
      <c r="N1253" s="1249"/>
      <c r="O1253" s="1249"/>
      <c r="P1253" s="1249"/>
      <c r="Q1253" s="1249"/>
      <c r="R1253" s="1249"/>
      <c r="S1253" s="1249"/>
      <c r="T1253" s="1249"/>
      <c r="U1253" s="1249"/>
      <c r="V1253" s="1249"/>
      <c r="W1253" s="1249"/>
      <c r="X1253" s="1249"/>
      <c r="Y1253" s="1249"/>
      <c r="Z1253" s="1362"/>
      <c r="AA1253" s="1362"/>
      <c r="AB1253" s="1362"/>
      <c r="AC1253" s="1362"/>
      <c r="AD1253" s="1362"/>
      <c r="AE1253" s="1362"/>
      <c r="AF1253" s="1362"/>
      <c r="AG1253" s="1362"/>
      <c r="AH1253" s="1362"/>
      <c r="AI1253" s="1362"/>
      <c r="AJ1253" s="1362"/>
      <c r="AK1253" s="1362"/>
      <c r="AL1253" s="1362"/>
      <c r="AM1253" s="1362"/>
      <c r="AN1253" s="1362"/>
      <c r="AO1253" s="1362"/>
      <c r="AP1253" s="1362"/>
      <c r="AQ1253" s="1362"/>
      <c r="AR1253" s="1236"/>
      <c r="AS1253" s="1400"/>
      <c r="AT1253" s="1284"/>
      <c r="AU1253" s="1249"/>
      <c r="AV1253" s="1249"/>
      <c r="AW1253" s="1249"/>
      <c r="AX1253" s="1249"/>
      <c r="AY1253" s="1249"/>
      <c r="AZ1253" s="1249"/>
      <c r="BA1253" s="1249"/>
      <c r="BB1253" s="1362"/>
      <c r="BC1253" s="1362"/>
      <c r="BD1253" s="1362"/>
      <c r="BE1253" s="1362"/>
    </row>
    <row r="1254" spans="1:57" s="369" customFormat="1" x14ac:dyDescent="0.2">
      <c r="A1254" s="411"/>
      <c r="B1254" s="362"/>
      <c r="C1254" s="321"/>
      <c r="D1254" s="1249"/>
      <c r="E1254" s="1249"/>
      <c r="F1254" s="1249"/>
      <c r="G1254" s="1249"/>
      <c r="H1254" s="1249"/>
      <c r="I1254" s="1249"/>
      <c r="J1254" s="1249"/>
      <c r="K1254" s="1249"/>
      <c r="L1254" s="1249"/>
      <c r="M1254" s="1249"/>
      <c r="N1254" s="1249"/>
      <c r="O1254" s="1249"/>
      <c r="P1254" s="1249"/>
      <c r="Q1254" s="1249"/>
      <c r="R1254" s="1249"/>
      <c r="S1254" s="1249"/>
      <c r="T1254" s="1249"/>
      <c r="U1254" s="1249"/>
      <c r="V1254" s="1249"/>
      <c r="W1254" s="1249"/>
      <c r="X1254" s="1249"/>
      <c r="Y1254" s="1249"/>
      <c r="Z1254" s="1362"/>
      <c r="AA1254" s="1362"/>
      <c r="AB1254" s="1362"/>
      <c r="AC1254" s="1362"/>
      <c r="AD1254" s="1362"/>
      <c r="AE1254" s="1362"/>
      <c r="AF1254" s="1362"/>
      <c r="AG1254" s="1362"/>
      <c r="AH1254" s="1362"/>
      <c r="AI1254" s="1362"/>
      <c r="AJ1254" s="1362"/>
      <c r="AK1254" s="1362"/>
      <c r="AL1254" s="1362"/>
      <c r="AM1254" s="1362"/>
      <c r="AN1254" s="1362"/>
      <c r="AO1254" s="1362"/>
      <c r="AP1254" s="1362"/>
      <c r="AQ1254" s="1362"/>
      <c r="AR1254" s="1236"/>
      <c r="AS1254" s="1400"/>
      <c r="AT1254" s="1284"/>
      <c r="AU1254" s="1249"/>
      <c r="AV1254" s="1249"/>
      <c r="AW1254" s="1249"/>
      <c r="AX1254" s="1249"/>
      <c r="AY1254" s="1249"/>
      <c r="AZ1254" s="1249"/>
      <c r="BA1254" s="1249"/>
      <c r="BB1254" s="1362"/>
      <c r="BC1254" s="1362"/>
      <c r="BD1254" s="1362"/>
      <c r="BE1254" s="1362"/>
    </row>
    <row r="1255" spans="1:57" s="369" customFormat="1" x14ac:dyDescent="0.2">
      <c r="A1255" s="411"/>
      <c r="B1255" s="321"/>
      <c r="C1255" s="363"/>
      <c r="D1255" s="1341"/>
      <c r="E1255" s="1341"/>
      <c r="F1255" s="1341"/>
      <c r="G1255" s="1341"/>
      <c r="H1255" s="1341"/>
      <c r="I1255" s="1341"/>
      <c r="J1255" s="1341"/>
      <c r="K1255" s="1341"/>
      <c r="L1255" s="1341"/>
      <c r="M1255" s="1341"/>
      <c r="N1255" s="1341"/>
      <c r="O1255" s="1341"/>
      <c r="P1255" s="1341"/>
      <c r="Q1255" s="1341"/>
      <c r="R1255" s="1341"/>
      <c r="S1255" s="1341"/>
      <c r="T1255" s="1341"/>
      <c r="U1255" s="1341"/>
      <c r="V1255" s="1341"/>
      <c r="W1255" s="1341"/>
      <c r="X1255" s="1341"/>
      <c r="Y1255" s="1341"/>
      <c r="Z1255" s="1341"/>
      <c r="AA1255" s="1341"/>
      <c r="AB1255" s="1341"/>
      <c r="AC1255" s="1341"/>
      <c r="AD1255" s="1341"/>
      <c r="AE1255" s="1341"/>
      <c r="AF1255" s="1341"/>
      <c r="AG1255" s="1341"/>
      <c r="AH1255" s="1341"/>
      <c r="AI1255" s="1341"/>
      <c r="AJ1255" s="1341"/>
      <c r="AK1255" s="1341"/>
      <c r="AL1255" s="1341"/>
      <c r="AM1255" s="1341"/>
      <c r="AN1255" s="1341"/>
      <c r="AO1255" s="1341"/>
      <c r="AP1255" s="1341"/>
      <c r="AQ1255" s="1341"/>
      <c r="AR1255" s="1236"/>
      <c r="AS1255" s="1284"/>
      <c r="AT1255" s="1448"/>
      <c r="AU1255" s="1341"/>
      <c r="AV1255" s="1341"/>
      <c r="AW1255" s="1341"/>
      <c r="AX1255" s="1341"/>
      <c r="AY1255" s="1341"/>
      <c r="AZ1255" s="1341"/>
      <c r="BA1255" s="1341"/>
      <c r="BB1255" s="1341"/>
      <c r="BC1255" s="1341"/>
      <c r="BD1255" s="1341"/>
      <c r="BE1255" s="1341"/>
    </row>
    <row r="1256" spans="1:57" s="369" customFormat="1" x14ac:dyDescent="0.2">
      <c r="A1256" s="411"/>
      <c r="B1256" s="321"/>
      <c r="C1256" s="362"/>
      <c r="D1256" s="1249"/>
      <c r="E1256" s="1249"/>
      <c r="F1256" s="1249"/>
      <c r="G1256" s="1249"/>
      <c r="H1256" s="1249"/>
      <c r="I1256" s="1249"/>
      <c r="J1256" s="1249"/>
      <c r="K1256" s="1249"/>
      <c r="L1256" s="1249"/>
      <c r="M1256" s="1249"/>
      <c r="N1256" s="1249"/>
      <c r="O1256" s="1249"/>
      <c r="P1256" s="1249"/>
      <c r="Q1256" s="1249"/>
      <c r="R1256" s="1249"/>
      <c r="S1256" s="1249"/>
      <c r="T1256" s="1249"/>
      <c r="U1256" s="1249"/>
      <c r="V1256" s="1249"/>
      <c r="W1256" s="1249"/>
      <c r="X1256" s="1249"/>
      <c r="Y1256" s="1249"/>
      <c r="Z1256" s="1284"/>
      <c r="AA1256" s="1284"/>
      <c r="AB1256" s="1284"/>
      <c r="AC1256" s="1284"/>
      <c r="AD1256" s="1284"/>
      <c r="AE1256" s="1284"/>
      <c r="AF1256" s="1284"/>
      <c r="AG1256" s="1284"/>
      <c r="AH1256" s="1284"/>
      <c r="AI1256" s="1284"/>
      <c r="AJ1256" s="1284"/>
      <c r="AK1256" s="1284"/>
      <c r="AL1256" s="1284"/>
      <c r="AM1256" s="1284"/>
      <c r="AN1256" s="1284"/>
      <c r="AO1256" s="1284"/>
      <c r="AP1256" s="1284"/>
      <c r="AQ1256" s="1284"/>
      <c r="AR1256" s="1236"/>
      <c r="AS1256" s="1284"/>
      <c r="AT1256" s="1400"/>
      <c r="AU1256" s="1249"/>
      <c r="AV1256" s="1249"/>
      <c r="AW1256" s="1249"/>
      <c r="AX1256" s="1249"/>
      <c r="AY1256" s="1249"/>
      <c r="AZ1256" s="1249"/>
      <c r="BA1256" s="1249"/>
      <c r="BB1256" s="1284"/>
      <c r="BC1256" s="1284"/>
      <c r="BD1256" s="1284"/>
      <c r="BE1256" s="1284"/>
    </row>
    <row r="1257" spans="1:57" s="369" customFormat="1" x14ac:dyDescent="0.2">
      <c r="A1257" s="411"/>
      <c r="B1257" s="363"/>
      <c r="C1257" s="321"/>
      <c r="D1257" s="1284"/>
      <c r="E1257" s="1284"/>
      <c r="F1257" s="1284"/>
      <c r="G1257" s="1284"/>
      <c r="H1257" s="1284"/>
      <c r="I1257" s="1284"/>
      <c r="J1257" s="1284"/>
      <c r="K1257" s="1284"/>
      <c r="L1257" s="1284"/>
      <c r="M1257" s="1284"/>
      <c r="N1257" s="1284"/>
      <c r="O1257" s="1284"/>
      <c r="P1257" s="1284"/>
      <c r="Q1257" s="1284"/>
      <c r="R1257" s="1284"/>
      <c r="S1257" s="1284"/>
      <c r="T1257" s="1284"/>
      <c r="U1257" s="1284"/>
      <c r="V1257" s="1284"/>
      <c r="W1257" s="1284"/>
      <c r="X1257" s="1284"/>
      <c r="Y1257" s="1284"/>
      <c r="Z1257" s="1284"/>
      <c r="AA1257" s="1284"/>
      <c r="AB1257" s="1284"/>
      <c r="AC1257" s="1284"/>
      <c r="AD1257" s="1284"/>
      <c r="AE1257" s="1284"/>
      <c r="AF1257" s="1284"/>
      <c r="AG1257" s="1284"/>
      <c r="AH1257" s="1284"/>
      <c r="AI1257" s="1284"/>
      <c r="AJ1257" s="1284"/>
      <c r="AK1257" s="1284"/>
      <c r="AL1257" s="1284"/>
      <c r="AM1257" s="1284"/>
      <c r="AN1257" s="1284"/>
      <c r="AO1257" s="1284"/>
      <c r="AP1257" s="1284"/>
      <c r="AQ1257" s="1284"/>
      <c r="AR1257" s="1236"/>
      <c r="AS1257" s="1448"/>
      <c r="AT1257" s="1284"/>
      <c r="AU1257" s="1284"/>
      <c r="AV1257" s="1284"/>
      <c r="AW1257" s="1284"/>
      <c r="AX1257" s="1284"/>
      <c r="AY1257" s="1284"/>
      <c r="AZ1257" s="1284"/>
      <c r="BA1257" s="1284"/>
      <c r="BB1257" s="1284"/>
      <c r="BC1257" s="1284"/>
      <c r="BD1257" s="1284"/>
      <c r="BE1257" s="1284"/>
    </row>
    <row r="1258" spans="1:57" s="369" customFormat="1" x14ac:dyDescent="0.2">
      <c r="A1258" s="411"/>
      <c r="B1258" s="362"/>
      <c r="C1258" s="321"/>
      <c r="D1258" s="1249"/>
      <c r="E1258" s="1249"/>
      <c r="F1258" s="1249"/>
      <c r="G1258" s="1249"/>
      <c r="H1258" s="1249"/>
      <c r="I1258" s="1249"/>
      <c r="J1258" s="1249"/>
      <c r="K1258" s="1249"/>
      <c r="L1258" s="1249"/>
      <c r="M1258" s="1249"/>
      <c r="N1258" s="1249"/>
      <c r="O1258" s="1249"/>
      <c r="P1258" s="1249"/>
      <c r="Q1258" s="1249"/>
      <c r="R1258" s="1249"/>
      <c r="S1258" s="1249"/>
      <c r="T1258" s="1249"/>
      <c r="U1258" s="1249"/>
      <c r="V1258" s="1249"/>
      <c r="W1258" s="1249"/>
      <c r="X1258" s="1249"/>
      <c r="Y1258" s="1249"/>
      <c r="Z1258" s="1362"/>
      <c r="AA1258" s="1362"/>
      <c r="AB1258" s="1362"/>
      <c r="AC1258" s="1362"/>
      <c r="AD1258" s="1362"/>
      <c r="AE1258" s="1362"/>
      <c r="AF1258" s="1362"/>
      <c r="AG1258" s="1362"/>
      <c r="AH1258" s="1362"/>
      <c r="AI1258" s="1362"/>
      <c r="AJ1258" s="1362"/>
      <c r="AK1258" s="1362"/>
      <c r="AL1258" s="1362"/>
      <c r="AM1258" s="1362"/>
      <c r="AN1258" s="1362"/>
      <c r="AO1258" s="1362"/>
      <c r="AP1258" s="1362"/>
      <c r="AQ1258" s="1362"/>
      <c r="AR1258" s="1236"/>
      <c r="AS1258" s="1400"/>
      <c r="AT1258" s="1284"/>
      <c r="AU1258" s="1249"/>
      <c r="AV1258" s="1249"/>
      <c r="AW1258" s="1249"/>
      <c r="AX1258" s="1249"/>
      <c r="AY1258" s="1249"/>
      <c r="AZ1258" s="1249"/>
      <c r="BA1258" s="1249"/>
      <c r="BB1258" s="1362"/>
      <c r="BC1258" s="1362"/>
      <c r="BD1258" s="1362"/>
      <c r="BE1258" s="1362"/>
    </row>
    <row r="1259" spans="1:57" s="369" customFormat="1" x14ac:dyDescent="0.2">
      <c r="A1259" s="411"/>
      <c r="B1259" s="362"/>
      <c r="C1259" s="321"/>
      <c r="D1259" s="1249"/>
      <c r="E1259" s="1249"/>
      <c r="F1259" s="1249"/>
      <c r="G1259" s="1249"/>
      <c r="H1259" s="1249"/>
      <c r="I1259" s="1249"/>
      <c r="J1259" s="1249"/>
      <c r="K1259" s="1249"/>
      <c r="L1259" s="1249"/>
      <c r="M1259" s="1249"/>
      <c r="N1259" s="1249"/>
      <c r="O1259" s="1249"/>
      <c r="P1259" s="1249"/>
      <c r="Q1259" s="1249"/>
      <c r="R1259" s="1249"/>
      <c r="S1259" s="1249"/>
      <c r="T1259" s="1249"/>
      <c r="U1259" s="1249"/>
      <c r="V1259" s="1249"/>
      <c r="W1259" s="1249"/>
      <c r="X1259" s="1249"/>
      <c r="Y1259" s="1249"/>
      <c r="Z1259" s="1362"/>
      <c r="AA1259" s="1362"/>
      <c r="AB1259" s="1362"/>
      <c r="AC1259" s="1362"/>
      <c r="AD1259" s="1362"/>
      <c r="AE1259" s="1362"/>
      <c r="AF1259" s="1362"/>
      <c r="AG1259" s="1362"/>
      <c r="AH1259" s="1362"/>
      <c r="AI1259" s="1362"/>
      <c r="AJ1259" s="1362"/>
      <c r="AK1259" s="1362"/>
      <c r="AL1259" s="1362"/>
      <c r="AM1259" s="1362"/>
      <c r="AN1259" s="1362"/>
      <c r="AO1259" s="1362"/>
      <c r="AP1259" s="1362"/>
      <c r="AQ1259" s="1362"/>
      <c r="AR1259" s="1236"/>
      <c r="AS1259" s="1400"/>
      <c r="AT1259" s="1284"/>
      <c r="AU1259" s="1249"/>
      <c r="AV1259" s="1249"/>
      <c r="AW1259" s="1249"/>
      <c r="AX1259" s="1249"/>
      <c r="AY1259" s="1249"/>
      <c r="AZ1259" s="1249"/>
      <c r="BA1259" s="1249"/>
      <c r="BB1259" s="1362"/>
      <c r="BC1259" s="1362"/>
      <c r="BD1259" s="1362"/>
      <c r="BE1259" s="1362"/>
    </row>
    <row r="1260" spans="1:57" s="369" customFormat="1" x14ac:dyDescent="0.2">
      <c r="A1260" s="411"/>
      <c r="B1260" s="321"/>
      <c r="C1260" s="363"/>
      <c r="D1260" s="1341"/>
      <c r="E1260" s="1341"/>
      <c r="F1260" s="1341"/>
      <c r="G1260" s="1341"/>
      <c r="H1260" s="1341"/>
      <c r="I1260" s="1341"/>
      <c r="J1260" s="1341"/>
      <c r="K1260" s="1341"/>
      <c r="L1260" s="1341"/>
      <c r="M1260" s="1341"/>
      <c r="N1260" s="1341"/>
      <c r="O1260" s="1341"/>
      <c r="P1260" s="1341"/>
      <c r="Q1260" s="1341"/>
      <c r="R1260" s="1341"/>
      <c r="S1260" s="1341"/>
      <c r="T1260" s="1341"/>
      <c r="U1260" s="1341"/>
      <c r="V1260" s="1341"/>
      <c r="W1260" s="1341"/>
      <c r="X1260" s="1341"/>
      <c r="Y1260" s="1341"/>
      <c r="Z1260" s="1341"/>
      <c r="AA1260" s="1341"/>
      <c r="AB1260" s="1341"/>
      <c r="AC1260" s="1341"/>
      <c r="AD1260" s="1341"/>
      <c r="AE1260" s="1341"/>
      <c r="AF1260" s="1341"/>
      <c r="AG1260" s="1341"/>
      <c r="AH1260" s="1341"/>
      <c r="AI1260" s="1341"/>
      <c r="AJ1260" s="1341"/>
      <c r="AK1260" s="1341"/>
      <c r="AL1260" s="1341"/>
      <c r="AM1260" s="1341"/>
      <c r="AN1260" s="1341"/>
      <c r="AO1260" s="1341"/>
      <c r="AP1260" s="1341"/>
      <c r="AQ1260" s="1341"/>
      <c r="AR1260" s="1236"/>
      <c r="AS1260" s="1284"/>
      <c r="AT1260" s="1448"/>
      <c r="AU1260" s="1341"/>
      <c r="AV1260" s="1341"/>
      <c r="AW1260" s="1341"/>
      <c r="AX1260" s="1341"/>
      <c r="AY1260" s="1341"/>
      <c r="AZ1260" s="1341"/>
      <c r="BA1260" s="1341"/>
      <c r="BB1260" s="1341"/>
      <c r="BC1260" s="1341"/>
      <c r="BD1260" s="1341"/>
      <c r="BE1260" s="1341"/>
    </row>
    <row r="1261" spans="1:57" s="369" customFormat="1" x14ac:dyDescent="0.2">
      <c r="A1261" s="411"/>
      <c r="B1261" s="321"/>
      <c r="C1261" s="321"/>
      <c r="D1261" s="1284"/>
      <c r="E1261" s="1284"/>
      <c r="F1261" s="1284"/>
      <c r="G1261" s="1284"/>
      <c r="H1261" s="1284"/>
      <c r="I1261" s="1284"/>
      <c r="J1261" s="1284"/>
      <c r="K1261" s="1284"/>
      <c r="L1261" s="1284"/>
      <c r="M1261" s="1284"/>
      <c r="N1261" s="1284"/>
      <c r="O1261" s="1284"/>
      <c r="P1261" s="1284"/>
      <c r="Q1261" s="1284"/>
      <c r="R1261" s="1284"/>
      <c r="S1261" s="1284"/>
      <c r="T1261" s="1284"/>
      <c r="U1261" s="1284"/>
      <c r="V1261" s="1284"/>
      <c r="W1261" s="1284"/>
      <c r="X1261" s="1284"/>
      <c r="Y1261" s="1284"/>
      <c r="Z1261" s="1284"/>
      <c r="AA1261" s="1284"/>
      <c r="AB1261" s="1284"/>
      <c r="AC1261" s="1284"/>
      <c r="AD1261" s="1284"/>
      <c r="AE1261" s="1284"/>
      <c r="AF1261" s="1284"/>
      <c r="AG1261" s="1284"/>
      <c r="AH1261" s="1284"/>
      <c r="AI1261" s="1284"/>
      <c r="AJ1261" s="1284"/>
      <c r="AK1261" s="1284"/>
      <c r="AL1261" s="1284"/>
      <c r="AM1261" s="1284"/>
      <c r="AN1261" s="1284"/>
      <c r="AO1261" s="1284"/>
      <c r="AP1261" s="1284"/>
      <c r="AQ1261" s="1284"/>
      <c r="AR1261" s="1236"/>
      <c r="AS1261" s="1284"/>
      <c r="AT1261" s="1284"/>
      <c r="AU1261" s="1284"/>
      <c r="AV1261" s="1284"/>
      <c r="AW1261" s="1284"/>
      <c r="AX1261" s="1284"/>
      <c r="AY1261" s="1284"/>
      <c r="AZ1261" s="1284"/>
      <c r="BA1261" s="1284"/>
      <c r="BB1261" s="1284"/>
      <c r="BC1261" s="1284"/>
      <c r="BD1261" s="1284"/>
      <c r="BE1261" s="1284"/>
    </row>
    <row r="1262" spans="1:57" s="369" customFormat="1" x14ac:dyDescent="0.2">
      <c r="A1262" s="411"/>
      <c r="B1262" s="321"/>
      <c r="C1262" s="321"/>
      <c r="D1262" s="1249"/>
      <c r="E1262" s="1249"/>
      <c r="F1262" s="1249"/>
      <c r="G1262" s="1249"/>
      <c r="H1262" s="1249"/>
      <c r="I1262" s="1249"/>
      <c r="J1262" s="1249"/>
      <c r="K1262" s="1249"/>
      <c r="L1262" s="1249"/>
      <c r="M1262" s="1249"/>
      <c r="N1262" s="1249"/>
      <c r="O1262" s="1249"/>
      <c r="P1262" s="1249"/>
      <c r="Q1262" s="1249"/>
      <c r="R1262" s="1249"/>
      <c r="S1262" s="1249"/>
      <c r="T1262" s="1249"/>
      <c r="U1262" s="1249"/>
      <c r="V1262" s="1249"/>
      <c r="W1262" s="1249"/>
      <c r="X1262" s="1249"/>
      <c r="Y1262" s="1249"/>
      <c r="Z1262" s="1249"/>
      <c r="AA1262" s="1249"/>
      <c r="AB1262" s="1249"/>
      <c r="AC1262" s="1249"/>
      <c r="AD1262" s="1249"/>
      <c r="AE1262" s="1249"/>
      <c r="AF1262" s="1249"/>
      <c r="AG1262" s="1249"/>
      <c r="AH1262" s="1249"/>
      <c r="AI1262" s="1249"/>
      <c r="AJ1262" s="1249"/>
      <c r="AK1262" s="1249"/>
      <c r="AL1262" s="1249"/>
      <c r="AM1262" s="1249"/>
      <c r="AN1262" s="1249"/>
      <c r="AO1262" s="1249"/>
      <c r="AP1262" s="1249"/>
      <c r="AQ1262" s="1249"/>
      <c r="AR1262" s="1236"/>
      <c r="AS1262" s="1284"/>
      <c r="AT1262" s="1284"/>
      <c r="AU1262" s="1249"/>
      <c r="AV1262" s="1249"/>
      <c r="AW1262" s="1249"/>
      <c r="AX1262" s="1249"/>
      <c r="AY1262" s="1249"/>
      <c r="AZ1262" s="1249"/>
      <c r="BA1262" s="1249"/>
      <c r="BB1262" s="1249"/>
      <c r="BC1262" s="1249"/>
      <c r="BD1262" s="1249"/>
      <c r="BE1262" s="1249"/>
    </row>
    <row r="1263" spans="1:57" s="369" customFormat="1" x14ac:dyDescent="0.2">
      <c r="A1263" s="411"/>
      <c r="B1263" s="362"/>
      <c r="C1263" s="321"/>
      <c r="D1263" s="1284"/>
      <c r="E1263" s="1284"/>
      <c r="F1263" s="1284"/>
      <c r="G1263" s="1284"/>
      <c r="H1263" s="1284"/>
      <c r="I1263" s="1284"/>
      <c r="J1263" s="1284"/>
      <c r="K1263" s="1284"/>
      <c r="L1263" s="1284"/>
      <c r="M1263" s="1284"/>
      <c r="N1263" s="1284"/>
      <c r="O1263" s="1284"/>
      <c r="P1263" s="1284"/>
      <c r="Q1263" s="1284"/>
      <c r="R1263" s="1284"/>
      <c r="S1263" s="1284"/>
      <c r="T1263" s="1284"/>
      <c r="U1263" s="1284"/>
      <c r="V1263" s="1284"/>
      <c r="W1263" s="1284"/>
      <c r="X1263" s="1284"/>
      <c r="Y1263" s="1284"/>
      <c r="Z1263" s="1284"/>
      <c r="AA1263" s="1284"/>
      <c r="AB1263" s="1284"/>
      <c r="AC1263" s="1284"/>
      <c r="AD1263" s="1284"/>
      <c r="AE1263" s="1284"/>
      <c r="AF1263" s="1284"/>
      <c r="AG1263" s="1284"/>
      <c r="AH1263" s="1284"/>
      <c r="AI1263" s="1284"/>
      <c r="AJ1263" s="1284"/>
      <c r="AK1263" s="1284"/>
      <c r="AL1263" s="1284"/>
      <c r="AM1263" s="1284"/>
      <c r="AN1263" s="1284"/>
      <c r="AO1263" s="1284"/>
      <c r="AP1263" s="1284"/>
      <c r="AQ1263" s="1284"/>
      <c r="AR1263" s="1236"/>
      <c r="AS1263" s="1400"/>
      <c r="AT1263" s="1284"/>
      <c r="AU1263" s="1284"/>
      <c r="AV1263" s="1284"/>
      <c r="AW1263" s="1284"/>
      <c r="AX1263" s="1284"/>
      <c r="AY1263" s="1284"/>
      <c r="AZ1263" s="1284"/>
      <c r="BA1263" s="1284"/>
      <c r="BB1263" s="1284"/>
      <c r="BC1263" s="1284"/>
      <c r="BD1263" s="1284"/>
      <c r="BE1263" s="1284"/>
    </row>
    <row r="1264" spans="1:57" s="369" customFormat="1" x14ac:dyDescent="0.2">
      <c r="A1264" s="411"/>
      <c r="B1264" s="321"/>
      <c r="C1264" s="321"/>
      <c r="D1264" s="1249"/>
      <c r="E1264" s="1249"/>
      <c r="F1264" s="1249"/>
      <c r="G1264" s="1249"/>
      <c r="H1264" s="1249"/>
      <c r="I1264" s="1249"/>
      <c r="J1264" s="1249"/>
      <c r="K1264" s="1249"/>
      <c r="L1264" s="1249"/>
      <c r="M1264" s="1249"/>
      <c r="N1264" s="1249"/>
      <c r="O1264" s="1249"/>
      <c r="P1264" s="1249"/>
      <c r="Q1264" s="1249"/>
      <c r="R1264" s="1249"/>
      <c r="S1264" s="1249"/>
      <c r="T1264" s="1249"/>
      <c r="U1264" s="1249"/>
      <c r="V1264" s="1249"/>
      <c r="W1264" s="1249"/>
      <c r="X1264" s="1249"/>
      <c r="Y1264" s="1249"/>
      <c r="Z1264" s="1249"/>
      <c r="AA1264" s="1249"/>
      <c r="AB1264" s="1249"/>
      <c r="AC1264" s="1249"/>
      <c r="AD1264" s="1249"/>
      <c r="AE1264" s="1249"/>
      <c r="AF1264" s="1249"/>
      <c r="AG1264" s="1249"/>
      <c r="AH1264" s="1249"/>
      <c r="AI1264" s="1249"/>
      <c r="AJ1264" s="1249"/>
      <c r="AK1264" s="1249"/>
      <c r="AL1264" s="1249"/>
      <c r="AM1264" s="1249"/>
      <c r="AN1264" s="1249"/>
      <c r="AO1264" s="1249"/>
      <c r="AP1264" s="1249"/>
      <c r="AQ1264" s="1249"/>
      <c r="AR1264" s="1236"/>
      <c r="AS1264" s="1284"/>
      <c r="AT1264" s="1284"/>
      <c r="AU1264" s="1249"/>
      <c r="AV1264" s="1249"/>
      <c r="AW1264" s="1249"/>
      <c r="AX1264" s="1249"/>
      <c r="AY1264" s="1249"/>
      <c r="AZ1264" s="1249"/>
      <c r="BA1264" s="1249"/>
      <c r="BB1264" s="1249"/>
      <c r="BC1264" s="1249"/>
      <c r="BD1264" s="1249"/>
      <c r="BE1264" s="1249"/>
    </row>
    <row r="1265" spans="1:69" s="369" customFormat="1" x14ac:dyDescent="0.2">
      <c r="A1265" s="411"/>
      <c r="B1265" s="321"/>
      <c r="C1265" s="321"/>
      <c r="D1265" s="1249"/>
      <c r="E1265" s="1249"/>
      <c r="F1265" s="1249"/>
      <c r="G1265" s="1249"/>
      <c r="H1265" s="1249"/>
      <c r="I1265" s="1249"/>
      <c r="J1265" s="1249"/>
      <c r="K1265" s="1249"/>
      <c r="L1265" s="1249"/>
      <c r="M1265" s="1249"/>
      <c r="N1265" s="1249"/>
      <c r="O1265" s="1249"/>
      <c r="P1265" s="1249"/>
      <c r="Q1265" s="1249"/>
      <c r="R1265" s="1249"/>
      <c r="S1265" s="1249"/>
      <c r="T1265" s="1249"/>
      <c r="U1265" s="1249"/>
      <c r="V1265" s="1249"/>
      <c r="W1265" s="1249"/>
      <c r="X1265" s="1249"/>
      <c r="Y1265" s="1249"/>
      <c r="Z1265" s="1249"/>
      <c r="AA1265" s="1249"/>
      <c r="AB1265" s="1249"/>
      <c r="AC1265" s="1249"/>
      <c r="AD1265" s="1249"/>
      <c r="AE1265" s="1249"/>
      <c r="AF1265" s="1249"/>
      <c r="AG1265" s="1249"/>
      <c r="AH1265" s="1249"/>
      <c r="AI1265" s="1249"/>
      <c r="AJ1265" s="1249"/>
      <c r="AK1265" s="1249"/>
      <c r="AL1265" s="1249"/>
      <c r="AM1265" s="1249"/>
      <c r="AN1265" s="1249"/>
      <c r="AO1265" s="1249"/>
      <c r="AP1265" s="1249"/>
      <c r="AQ1265" s="1249"/>
      <c r="AR1265" s="1236"/>
      <c r="AS1265" s="1284"/>
      <c r="AT1265" s="1284"/>
      <c r="AU1265" s="1249"/>
      <c r="AV1265" s="1249"/>
      <c r="AW1265" s="1249"/>
      <c r="AX1265" s="1249"/>
      <c r="AY1265" s="1249"/>
      <c r="AZ1265" s="1249"/>
      <c r="BA1265" s="1249"/>
      <c r="BB1265" s="1249"/>
      <c r="BC1265" s="1249"/>
      <c r="BD1265" s="1249"/>
      <c r="BE1265" s="1249"/>
    </row>
    <row r="1266" spans="1:69" s="369" customFormat="1" x14ac:dyDescent="0.2">
      <c r="A1266" s="411"/>
      <c r="B1266" s="321"/>
      <c r="C1266" s="318"/>
      <c r="D1266" s="1341"/>
      <c r="E1266" s="1341"/>
      <c r="F1266" s="1341"/>
      <c r="G1266" s="1341"/>
      <c r="H1266" s="1341"/>
      <c r="I1266" s="1341"/>
      <c r="J1266" s="1341"/>
      <c r="K1266" s="1341"/>
      <c r="L1266" s="1341"/>
      <c r="M1266" s="1341"/>
      <c r="N1266" s="1341"/>
      <c r="O1266" s="1341"/>
      <c r="P1266" s="1341"/>
      <c r="Q1266" s="1341"/>
      <c r="R1266" s="1341"/>
      <c r="S1266" s="1341"/>
      <c r="T1266" s="1341"/>
      <c r="U1266" s="1341"/>
      <c r="V1266" s="1341"/>
      <c r="W1266" s="1341"/>
      <c r="X1266" s="1341"/>
      <c r="Y1266" s="1341"/>
      <c r="Z1266" s="1362"/>
      <c r="AA1266" s="1362"/>
      <c r="AB1266" s="1362"/>
      <c r="AC1266" s="1362"/>
      <c r="AD1266" s="1362"/>
      <c r="AE1266" s="1362"/>
      <c r="AF1266" s="1362"/>
      <c r="AG1266" s="1362"/>
      <c r="AH1266" s="1362"/>
      <c r="AI1266" s="1362"/>
      <c r="AJ1266" s="1362"/>
      <c r="AK1266" s="1362"/>
      <c r="AL1266" s="1362"/>
      <c r="AM1266" s="1362"/>
      <c r="AN1266" s="1362"/>
      <c r="AO1266" s="1362"/>
      <c r="AP1266" s="1362"/>
      <c r="AQ1266" s="1362"/>
      <c r="AR1266" s="1236"/>
      <c r="AS1266" s="1284"/>
      <c r="AT1266" s="1342"/>
      <c r="AU1266" s="1341"/>
      <c r="AV1266" s="1341"/>
      <c r="AW1266" s="1341"/>
      <c r="AX1266" s="1341"/>
      <c r="AY1266" s="1341"/>
      <c r="AZ1266" s="1341"/>
      <c r="BA1266" s="1341"/>
      <c r="BB1266" s="1362"/>
      <c r="BC1266" s="1362"/>
      <c r="BD1266" s="1362"/>
      <c r="BE1266" s="1362"/>
    </row>
    <row r="1267" spans="1:69" s="369" customFormat="1" x14ac:dyDescent="0.2">
      <c r="A1267" s="411"/>
      <c r="B1267" s="321"/>
      <c r="C1267" s="321"/>
      <c r="D1267" s="1284"/>
      <c r="E1267" s="1284"/>
      <c r="F1267" s="1284"/>
      <c r="G1267" s="1284"/>
      <c r="H1267" s="1284"/>
      <c r="I1267" s="1284"/>
      <c r="J1267" s="1284"/>
      <c r="K1267" s="1284"/>
      <c r="L1267" s="1284"/>
      <c r="M1267" s="1284"/>
      <c r="N1267" s="1284"/>
      <c r="O1267" s="1284"/>
      <c r="P1267" s="1284"/>
      <c r="Q1267" s="1284"/>
      <c r="R1267" s="1284"/>
      <c r="S1267" s="1284"/>
      <c r="T1267" s="1284"/>
      <c r="U1267" s="1284"/>
      <c r="V1267" s="1284"/>
      <c r="W1267" s="1284"/>
      <c r="X1267" s="1284"/>
      <c r="Y1267" s="1284"/>
      <c r="Z1267" s="1284"/>
      <c r="AA1267" s="1284"/>
      <c r="AB1267" s="1284"/>
      <c r="AC1267" s="1284"/>
      <c r="AD1267" s="1284"/>
      <c r="AE1267" s="1284"/>
      <c r="AF1267" s="1284"/>
      <c r="AG1267" s="1284"/>
      <c r="AH1267" s="1284"/>
      <c r="AI1267" s="1284"/>
      <c r="AJ1267" s="1284"/>
      <c r="AK1267" s="1284"/>
      <c r="AL1267" s="1284"/>
      <c r="AM1267" s="1284"/>
      <c r="AN1267" s="1284"/>
      <c r="AO1267" s="1284"/>
      <c r="AP1267" s="1284"/>
      <c r="AQ1267" s="1284"/>
      <c r="AR1267" s="1236"/>
      <c r="AS1267" s="1284"/>
      <c r="AT1267" s="1284"/>
      <c r="AU1267" s="1284"/>
      <c r="AV1267" s="1284"/>
      <c r="AW1267" s="1284"/>
      <c r="AX1267" s="1284"/>
      <c r="AY1267" s="1284"/>
      <c r="AZ1267" s="1284"/>
      <c r="BA1267" s="1284"/>
      <c r="BB1267" s="1284"/>
      <c r="BC1267" s="1284"/>
      <c r="BD1267" s="1284"/>
      <c r="BE1267" s="1284"/>
    </row>
    <row r="1268" spans="1:69" s="369" customFormat="1" x14ac:dyDescent="0.2">
      <c r="A1268" s="411"/>
      <c r="B1268" s="321"/>
      <c r="C1268" s="321"/>
      <c r="D1268" s="1284"/>
      <c r="E1268" s="1284"/>
      <c r="F1268" s="1284"/>
      <c r="G1268" s="1284"/>
      <c r="H1268" s="1284"/>
      <c r="I1268" s="1284"/>
      <c r="J1268" s="1284"/>
      <c r="K1268" s="1284"/>
      <c r="L1268" s="1284"/>
      <c r="M1268" s="1284"/>
      <c r="N1268" s="1284"/>
      <c r="O1268" s="1284"/>
      <c r="P1268" s="1284"/>
      <c r="Q1268" s="1284"/>
      <c r="R1268" s="1284"/>
      <c r="S1268" s="1284"/>
      <c r="T1268" s="1284"/>
      <c r="U1268" s="1284"/>
      <c r="V1268" s="1284"/>
      <c r="W1268" s="1284"/>
      <c r="X1268" s="1284"/>
      <c r="Y1268" s="1284"/>
      <c r="Z1268" s="1284"/>
      <c r="AA1268" s="1284"/>
      <c r="AB1268" s="1284"/>
      <c r="AC1268" s="1284"/>
      <c r="AD1268" s="1284"/>
      <c r="AE1268" s="1284"/>
      <c r="AF1268" s="1284"/>
      <c r="AG1268" s="1284"/>
      <c r="AH1268" s="1284"/>
      <c r="AI1268" s="1284"/>
      <c r="AJ1268" s="1284"/>
      <c r="AK1268" s="1284"/>
      <c r="AL1268" s="1284"/>
      <c r="AM1268" s="1284"/>
      <c r="AN1268" s="1284"/>
      <c r="AO1268" s="1284"/>
      <c r="AP1268" s="1284"/>
      <c r="AQ1268" s="1284"/>
      <c r="AR1268" s="1236"/>
      <c r="AS1268" s="1284"/>
      <c r="AT1268" s="1284"/>
      <c r="AU1268" s="1284"/>
      <c r="AV1268" s="1284"/>
      <c r="AW1268" s="1284"/>
      <c r="AX1268" s="1284"/>
      <c r="AY1268" s="1284"/>
      <c r="AZ1268" s="1284"/>
      <c r="BA1268" s="1284"/>
      <c r="BB1268" s="1284"/>
      <c r="BC1268" s="1284"/>
      <c r="BD1268" s="1284"/>
      <c r="BE1268" s="1284"/>
    </row>
    <row r="1269" spans="1:69" s="550" customFormat="1" x14ac:dyDescent="0.2">
      <c r="A1269" s="829"/>
      <c r="B1269" s="85"/>
      <c r="C1269" s="318"/>
      <c r="D1269" s="1341"/>
      <c r="E1269" s="1341"/>
      <c r="F1269" s="1341"/>
      <c r="G1269" s="1341"/>
      <c r="H1269" s="1341"/>
      <c r="I1269" s="1341"/>
      <c r="J1269" s="1341"/>
      <c r="K1269" s="1341"/>
      <c r="L1269" s="1341"/>
      <c r="M1269" s="1341"/>
      <c r="N1269" s="1341"/>
      <c r="O1269" s="1341"/>
      <c r="P1269" s="1341"/>
      <c r="Q1269" s="1341"/>
      <c r="R1269" s="1341"/>
      <c r="S1269" s="1341"/>
      <c r="T1269" s="1341"/>
      <c r="U1269" s="1341"/>
      <c r="V1269" s="1341"/>
      <c r="W1269" s="1341"/>
      <c r="X1269" s="1341"/>
      <c r="Y1269" s="1341"/>
      <c r="Z1269" s="1429"/>
      <c r="AA1269" s="1429"/>
      <c r="AB1269" s="1429"/>
      <c r="AC1269" s="1429"/>
      <c r="AD1269" s="1429"/>
      <c r="AE1269" s="1429"/>
      <c r="AF1269" s="1429"/>
      <c r="AG1269" s="1429"/>
      <c r="AH1269" s="1429"/>
      <c r="AI1269" s="1429"/>
      <c r="AJ1269" s="1429"/>
      <c r="AK1269" s="1429"/>
      <c r="AL1269" s="1429"/>
      <c r="AM1269" s="1429"/>
      <c r="AN1269" s="1429"/>
      <c r="AO1269" s="1429"/>
      <c r="AP1269" s="1429"/>
      <c r="AQ1269" s="1429"/>
      <c r="AR1269" s="1236"/>
      <c r="AS1269" s="1567"/>
      <c r="AT1269" s="1342"/>
      <c r="AU1269" s="1341"/>
      <c r="AV1269" s="1341"/>
      <c r="AW1269" s="1341"/>
      <c r="AX1269" s="1341"/>
      <c r="AY1269" s="1341"/>
      <c r="AZ1269" s="1341"/>
      <c r="BA1269" s="1341"/>
      <c r="BB1269" s="1429"/>
      <c r="BC1269" s="1429"/>
      <c r="BD1269" s="1429"/>
      <c r="BE1269" s="1429"/>
    </row>
    <row r="1270" spans="1:69" s="369" customFormat="1" x14ac:dyDescent="0.2">
      <c r="A1270" s="411"/>
      <c r="B1270" s="321"/>
      <c r="C1270" s="321"/>
      <c r="D1270" s="1284"/>
      <c r="E1270" s="1284"/>
      <c r="F1270" s="1284"/>
      <c r="G1270" s="1284"/>
      <c r="H1270" s="1284"/>
      <c r="I1270" s="1284"/>
      <c r="J1270" s="1284"/>
      <c r="K1270" s="1284"/>
      <c r="L1270" s="1284"/>
      <c r="M1270" s="1284"/>
      <c r="N1270" s="1284"/>
      <c r="O1270" s="1284"/>
      <c r="P1270" s="1284"/>
      <c r="Q1270" s="1284"/>
      <c r="R1270" s="1284"/>
      <c r="S1270" s="1284"/>
      <c r="T1270" s="1284"/>
      <c r="U1270" s="1284"/>
      <c r="V1270" s="1284"/>
      <c r="W1270" s="1284"/>
      <c r="X1270" s="1284"/>
      <c r="Y1270" s="1284"/>
      <c r="Z1270" s="1435"/>
      <c r="AA1270" s="1435"/>
      <c r="AB1270" s="1435"/>
      <c r="AC1270" s="1435"/>
      <c r="AD1270" s="1435"/>
      <c r="AE1270" s="1435"/>
      <c r="AF1270" s="1435"/>
      <c r="AG1270" s="1435"/>
      <c r="AH1270" s="1435"/>
      <c r="AI1270" s="1435"/>
      <c r="AJ1270" s="1435"/>
      <c r="AK1270" s="1435"/>
      <c r="AL1270" s="1435"/>
      <c r="AM1270" s="1435"/>
      <c r="AN1270" s="1435"/>
      <c r="AO1270" s="1435"/>
      <c r="AP1270" s="1435"/>
      <c r="AQ1270" s="1435"/>
      <c r="AR1270" s="1236"/>
      <c r="AS1270" s="1284"/>
      <c r="AT1270" s="1284"/>
      <c r="AU1270" s="1284"/>
      <c r="AV1270" s="1284"/>
      <c r="AW1270" s="1284"/>
      <c r="AX1270" s="1284"/>
      <c r="AY1270" s="1284"/>
      <c r="AZ1270" s="1284"/>
      <c r="BA1270" s="1284"/>
      <c r="BB1270" s="1435"/>
      <c r="BC1270" s="1435"/>
      <c r="BD1270" s="1435"/>
      <c r="BE1270" s="1435"/>
    </row>
    <row r="1271" spans="1:69" s="550" customFormat="1" x14ac:dyDescent="0.2">
      <c r="A1271" s="829"/>
      <c r="B1271" s="85"/>
      <c r="C1271" s="318"/>
      <c r="D1271" s="1341"/>
      <c r="E1271" s="1341"/>
      <c r="F1271" s="1341"/>
      <c r="G1271" s="1341"/>
      <c r="H1271" s="1341"/>
      <c r="I1271" s="1341"/>
      <c r="J1271" s="1341"/>
      <c r="K1271" s="1341"/>
      <c r="L1271" s="1341"/>
      <c r="M1271" s="1341"/>
      <c r="N1271" s="1341"/>
      <c r="O1271" s="1341"/>
      <c r="P1271" s="1341"/>
      <c r="Q1271" s="1341"/>
      <c r="R1271" s="1341"/>
      <c r="S1271" s="1341"/>
      <c r="T1271" s="1341"/>
      <c r="U1271" s="1341"/>
      <c r="V1271" s="1341"/>
      <c r="W1271" s="1341"/>
      <c r="X1271" s="1341"/>
      <c r="Y1271" s="1341"/>
      <c r="Z1271" s="1429"/>
      <c r="AA1271" s="1429"/>
      <c r="AB1271" s="1429"/>
      <c r="AC1271" s="1429"/>
      <c r="AD1271" s="1429"/>
      <c r="AE1271" s="1429"/>
      <c r="AF1271" s="1429"/>
      <c r="AG1271" s="1429"/>
      <c r="AH1271" s="1429"/>
      <c r="AI1271" s="1429"/>
      <c r="AJ1271" s="1429"/>
      <c r="AK1271" s="1429"/>
      <c r="AL1271" s="1429"/>
      <c r="AM1271" s="1429"/>
      <c r="AN1271" s="1429"/>
      <c r="AO1271" s="1429"/>
      <c r="AP1271" s="1429"/>
      <c r="AQ1271" s="1429"/>
      <c r="AR1271" s="1236"/>
      <c r="AS1271" s="1567"/>
      <c r="AT1271" s="1342"/>
      <c r="AU1271" s="1341"/>
      <c r="AV1271" s="1341"/>
      <c r="AW1271" s="1341"/>
      <c r="AX1271" s="1341"/>
      <c r="AY1271" s="1341"/>
      <c r="AZ1271" s="1341"/>
      <c r="BA1271" s="1341"/>
      <c r="BB1271" s="1429"/>
      <c r="BC1271" s="1429"/>
      <c r="BD1271" s="1429"/>
      <c r="BE1271" s="1429"/>
    </row>
    <row r="1272" spans="1:69" s="369" customFormat="1" ht="12" thickBot="1" x14ac:dyDescent="0.25">
      <c r="A1272" s="411"/>
      <c r="B1272" s="321"/>
      <c r="C1272" s="321"/>
      <c r="D1272" s="1284"/>
      <c r="E1272" s="1284"/>
      <c r="F1272" s="1284"/>
      <c r="G1272" s="1284"/>
      <c r="H1272" s="1284"/>
      <c r="I1272" s="1284"/>
      <c r="J1272" s="1284"/>
      <c r="K1272" s="1284"/>
      <c r="L1272" s="1284"/>
      <c r="M1272" s="1284"/>
      <c r="N1272" s="1284"/>
      <c r="O1272" s="1284"/>
      <c r="P1272" s="1284"/>
      <c r="Q1272" s="1284"/>
      <c r="R1272" s="1284"/>
      <c r="S1272" s="1284"/>
      <c r="T1272" s="1284"/>
      <c r="U1272" s="1284"/>
      <c r="V1272" s="1284"/>
      <c r="W1272" s="1284"/>
      <c r="X1272" s="1284"/>
      <c r="Y1272" s="1284"/>
      <c r="Z1272" s="1284"/>
      <c r="AA1272" s="1284"/>
      <c r="AB1272" s="1284"/>
      <c r="AC1272" s="1284"/>
      <c r="AD1272" s="1284"/>
      <c r="AE1272" s="1284"/>
      <c r="AF1272" s="1284"/>
      <c r="AG1272" s="1284"/>
      <c r="AH1272" s="1284"/>
      <c r="AI1272" s="1284"/>
      <c r="AJ1272" s="1284"/>
      <c r="AK1272" s="1284"/>
      <c r="AL1272" s="1284"/>
      <c r="AM1272" s="1284"/>
      <c r="AN1272" s="1284"/>
      <c r="AO1272" s="1284"/>
      <c r="AP1272" s="1284"/>
      <c r="AQ1272" s="1284"/>
      <c r="AR1272" s="1236"/>
      <c r="AS1272" s="1284"/>
      <c r="AT1272" s="1284"/>
      <c r="AU1272" s="1284"/>
      <c r="AV1272" s="1284"/>
      <c r="AW1272" s="1284"/>
      <c r="AX1272" s="1284"/>
      <c r="AY1272" s="1284"/>
      <c r="AZ1272" s="1284"/>
      <c r="BA1272" s="1284"/>
      <c r="BB1272" s="1284"/>
      <c r="BC1272" s="1284"/>
      <c r="BD1272" s="1284"/>
      <c r="BE1272" s="1284"/>
    </row>
    <row r="1273" spans="1:69" s="369" customFormat="1" ht="12" thickBot="1" x14ac:dyDescent="0.25">
      <c r="A1273" s="411"/>
      <c r="B1273" s="779"/>
      <c r="C1273" s="780"/>
      <c r="D1273" s="1576"/>
      <c r="E1273" s="1576"/>
      <c r="F1273" s="1576"/>
      <c r="G1273" s="1576"/>
      <c r="H1273" s="1576"/>
      <c r="I1273" s="1576"/>
      <c r="J1273" s="1576"/>
      <c r="K1273" s="1576"/>
      <c r="L1273" s="1576"/>
      <c r="M1273" s="1576"/>
      <c r="N1273" s="1576"/>
      <c r="O1273" s="1576"/>
      <c r="P1273" s="1576"/>
      <c r="Q1273" s="1576"/>
      <c r="R1273" s="1576"/>
      <c r="S1273" s="1576"/>
      <c r="T1273" s="1576"/>
      <c r="U1273" s="1576"/>
      <c r="V1273" s="1576"/>
      <c r="W1273" s="1576"/>
      <c r="X1273" s="1576"/>
      <c r="Y1273" s="1576"/>
      <c r="Z1273" s="1576"/>
      <c r="AA1273" s="1576"/>
      <c r="AB1273" s="1576"/>
      <c r="AC1273" s="1576"/>
      <c r="AD1273" s="1576"/>
      <c r="AE1273" s="1576"/>
      <c r="AF1273" s="1576"/>
      <c r="AG1273" s="1576"/>
      <c r="AH1273" s="1576"/>
      <c r="AI1273" s="1576"/>
      <c r="AJ1273" s="1471"/>
      <c r="AK1273" s="1471"/>
      <c r="AL1273" s="1471"/>
      <c r="AM1273" s="1471"/>
      <c r="AN1273" s="1471"/>
      <c r="AO1273" s="1471"/>
      <c r="AP1273" s="1471"/>
      <c r="AQ1273" s="1471"/>
      <c r="AR1273" s="1236"/>
      <c r="AS1273" s="1577"/>
      <c r="AT1273" s="1578"/>
      <c r="AU1273" s="1576"/>
      <c r="AV1273" s="1576"/>
      <c r="AW1273" s="1576"/>
      <c r="AX1273" s="1576"/>
      <c r="AY1273" s="1576"/>
      <c r="AZ1273" s="1576"/>
      <c r="BA1273" s="1576"/>
      <c r="BB1273" s="1576"/>
      <c r="BC1273" s="1576"/>
      <c r="BD1273" s="1576"/>
      <c r="BE1273" s="1576"/>
    </row>
    <row r="1274" spans="1:69" s="369" customFormat="1" x14ac:dyDescent="0.2">
      <c r="A1274" s="411"/>
      <c r="B1274" s="321"/>
      <c r="C1274" s="321"/>
      <c r="D1274" s="1284"/>
      <c r="E1274" s="1284"/>
      <c r="F1274" s="1284"/>
      <c r="G1274" s="1284"/>
      <c r="H1274" s="1284"/>
      <c r="I1274" s="1284"/>
      <c r="J1274" s="1284"/>
      <c r="K1274" s="1284"/>
      <c r="L1274" s="1284"/>
      <c r="M1274" s="1284"/>
      <c r="N1274" s="1284"/>
      <c r="O1274" s="1284"/>
      <c r="P1274" s="1284"/>
      <c r="Q1274" s="1284"/>
      <c r="R1274" s="1284"/>
      <c r="S1274" s="1284"/>
      <c r="T1274" s="1284"/>
      <c r="U1274" s="1284"/>
      <c r="V1274" s="1284"/>
      <c r="W1274" s="1284"/>
      <c r="X1274" s="1284"/>
      <c r="Y1274" s="1284"/>
      <c r="Z1274" s="1284"/>
      <c r="AA1274" s="1284"/>
      <c r="AB1274" s="1284"/>
      <c r="AC1274" s="1284"/>
      <c r="AD1274" s="1284"/>
      <c r="AE1274" s="1284"/>
      <c r="AF1274" s="1284"/>
      <c r="AG1274" s="1284"/>
      <c r="AH1274" s="1284"/>
      <c r="AI1274" s="1284"/>
      <c r="AJ1274" s="1284"/>
      <c r="AK1274" s="1284"/>
      <c r="AL1274" s="1284"/>
      <c r="AM1274" s="1284"/>
      <c r="AN1274" s="1284"/>
      <c r="AO1274" s="1284"/>
      <c r="AP1274" s="1284"/>
      <c r="AQ1274" s="1284"/>
      <c r="AR1274" s="1236"/>
      <c r="AS1274" s="1284"/>
      <c r="AT1274" s="1284"/>
      <c r="AU1274" s="1263"/>
      <c r="AV1274" s="1263"/>
      <c r="AW1274" s="1263"/>
      <c r="AX1274" s="1263"/>
      <c r="AY1274" s="1263"/>
      <c r="AZ1274" s="1263"/>
      <c r="BA1274" s="1263"/>
      <c r="BB1274" s="1263"/>
      <c r="BC1274" s="1263"/>
      <c r="BD1274" s="1263"/>
      <c r="BE1274" s="1263"/>
    </row>
    <row r="1275" spans="1:69" s="369" customFormat="1" x14ac:dyDescent="0.2">
      <c r="A1275" s="411"/>
      <c r="B1275" s="321"/>
      <c r="C1275" s="321"/>
      <c r="D1275" s="1284"/>
      <c r="E1275" s="1284"/>
      <c r="F1275" s="1284"/>
      <c r="G1275" s="1284"/>
      <c r="H1275" s="1284"/>
      <c r="I1275" s="1284"/>
      <c r="J1275" s="1284"/>
      <c r="K1275" s="1284"/>
      <c r="L1275" s="1284"/>
      <c r="M1275" s="1284"/>
      <c r="N1275" s="1284"/>
      <c r="O1275" s="1284"/>
      <c r="P1275" s="1284"/>
      <c r="Q1275" s="1284"/>
      <c r="R1275" s="1284"/>
      <c r="S1275" s="1284"/>
      <c r="T1275" s="1284"/>
      <c r="U1275" s="1284"/>
      <c r="V1275" s="1284"/>
      <c r="W1275" s="1284"/>
      <c r="X1275" s="1284"/>
      <c r="Y1275" s="1284"/>
      <c r="Z1275" s="1284"/>
      <c r="AA1275" s="1284"/>
      <c r="AB1275" s="1284"/>
      <c r="AC1275" s="1284"/>
      <c r="AD1275" s="1284"/>
      <c r="AE1275" s="1284"/>
      <c r="AF1275" s="1284"/>
      <c r="AG1275" s="1284"/>
      <c r="AH1275" s="1284"/>
      <c r="AI1275" s="1284"/>
      <c r="AJ1275" s="1284"/>
      <c r="AK1275" s="1284"/>
      <c r="AL1275" s="1284"/>
      <c r="AM1275" s="1284"/>
      <c r="AN1275" s="1284"/>
      <c r="AO1275" s="1284"/>
      <c r="AP1275" s="1284"/>
      <c r="AQ1275" s="1284"/>
      <c r="AR1275" s="1236"/>
      <c r="AS1275" s="1284"/>
      <c r="AT1275" s="1284"/>
      <c r="AU1275" s="1263"/>
      <c r="AV1275" s="1263"/>
      <c r="AW1275" s="1263"/>
      <c r="AX1275" s="1263"/>
      <c r="AY1275" s="1263"/>
      <c r="AZ1275" s="1263"/>
      <c r="BA1275" s="1263"/>
      <c r="BB1275" s="1263"/>
      <c r="BC1275" s="1263"/>
      <c r="BD1275" s="1263"/>
      <c r="BE1275" s="1263"/>
    </row>
    <row r="1276" spans="1:69" s="342" customFormat="1" x14ac:dyDescent="0.2">
      <c r="A1276" s="830"/>
      <c r="B1276" s="705"/>
      <c r="C1276" s="706"/>
      <c r="D1276" s="1265"/>
      <c r="E1276" s="1265"/>
      <c r="F1276" s="1265"/>
      <c r="G1276" s="1265"/>
      <c r="H1276" s="1265"/>
      <c r="I1276" s="1547"/>
      <c r="J1276" s="1468"/>
      <c r="K1276" s="1547"/>
      <c r="L1276" s="1468"/>
      <c r="M1276" s="1547"/>
      <c r="N1276" s="1547"/>
      <c r="O1276" s="1547"/>
      <c r="P1276" s="1468"/>
      <c r="Q1276" s="1547"/>
      <c r="R1276" s="1547"/>
      <c r="S1276" s="1547"/>
      <c r="T1276" s="1547"/>
      <c r="U1276" s="1547"/>
      <c r="V1276" s="1547"/>
      <c r="W1276" s="1547"/>
      <c r="X1276" s="1547"/>
      <c r="Y1276" s="1547"/>
      <c r="Z1276" s="1547"/>
      <c r="AA1276" s="1547"/>
      <c r="AB1276" s="1547"/>
      <c r="AC1276" s="1547"/>
      <c r="AD1276" s="1547"/>
      <c r="AE1276" s="1547"/>
      <c r="AF1276" s="1547"/>
      <c r="AG1276" s="1547"/>
      <c r="AH1276" s="1547"/>
      <c r="AI1276" s="1265"/>
      <c r="AJ1276" s="1265"/>
      <c r="AK1276" s="1265"/>
      <c r="AL1276" s="1265"/>
      <c r="AM1276" s="1265"/>
      <c r="AN1276" s="1265"/>
      <c r="AO1276" s="1265"/>
      <c r="AP1276" s="1265"/>
      <c r="AQ1276" s="1265"/>
      <c r="AR1276" s="1236"/>
      <c r="AS1276" s="1547"/>
      <c r="AT1276" s="1265"/>
      <c r="AU1276" s="1265"/>
      <c r="AV1276" s="1265"/>
      <c r="AW1276" s="1265"/>
      <c r="AX1276" s="1265"/>
      <c r="AY1276" s="1265"/>
      <c r="AZ1276" s="1547"/>
      <c r="BA1276" s="1468"/>
      <c r="BB1276" s="1547"/>
      <c r="BC1276" s="1468"/>
      <c r="BD1276" s="1468"/>
      <c r="BE1276" s="1547"/>
      <c r="BF1276" s="720"/>
      <c r="BG1276" s="720"/>
      <c r="BH1276" s="723"/>
      <c r="BI1276" s="712"/>
      <c r="BJ1276" s="712"/>
      <c r="BK1276" s="712"/>
      <c r="BL1276" s="712"/>
    </row>
    <row r="1277" spans="1:69" s="369" customFormat="1" x14ac:dyDescent="0.2">
      <c r="A1277" s="411"/>
      <c r="B1277" s="321"/>
      <c r="C1277" s="321"/>
      <c r="D1277" s="1303"/>
      <c r="E1277" s="1303"/>
      <c r="F1277" s="1303"/>
      <c r="G1277" s="1303"/>
      <c r="H1277" s="1303"/>
      <c r="I1277" s="1303"/>
      <c r="J1277" s="1303"/>
      <c r="K1277" s="1303"/>
      <c r="L1277" s="1303"/>
      <c r="M1277" s="1303"/>
      <c r="N1277" s="1303"/>
      <c r="O1277" s="1303"/>
      <c r="P1277" s="1303"/>
      <c r="Q1277" s="1303"/>
      <c r="R1277" s="1303"/>
      <c r="S1277" s="1303"/>
      <c r="T1277" s="1303"/>
      <c r="U1277" s="1303"/>
      <c r="V1277" s="1303"/>
      <c r="W1277" s="1303"/>
      <c r="X1277" s="1303"/>
      <c r="Y1277" s="1303"/>
      <c r="Z1277" s="1284"/>
      <c r="AA1277" s="1284"/>
      <c r="AB1277" s="1284"/>
      <c r="AC1277" s="1284"/>
      <c r="AD1277" s="1284"/>
      <c r="AE1277" s="1284"/>
      <c r="AF1277" s="1284"/>
      <c r="AG1277" s="1284"/>
      <c r="AH1277" s="1284"/>
      <c r="AI1277" s="1284"/>
      <c r="AJ1277" s="1284"/>
      <c r="AK1277" s="1284"/>
      <c r="AL1277" s="1284"/>
      <c r="AM1277" s="1284"/>
      <c r="AN1277" s="1284"/>
      <c r="AO1277" s="1284"/>
      <c r="AP1277" s="1284"/>
      <c r="AQ1277" s="1284"/>
      <c r="AR1277" s="1236"/>
      <c r="AS1277" s="1284"/>
      <c r="AT1277" s="1284"/>
      <c r="AU1277" s="1263"/>
      <c r="AV1277" s="1263"/>
      <c r="AW1277" s="1263"/>
      <c r="AX1277" s="1263"/>
      <c r="AY1277" s="1263"/>
      <c r="AZ1277" s="1284"/>
      <c r="BA1277" s="1284"/>
      <c r="BB1277" s="1284"/>
      <c r="BC1277" s="1284"/>
      <c r="BD1277" s="1284"/>
      <c r="BE1277" s="1284"/>
    </row>
    <row r="1278" spans="1:69" s="369" customFormat="1" x14ac:dyDescent="0.2">
      <c r="A1278" s="411"/>
      <c r="B1278" s="321"/>
      <c r="C1278" s="321"/>
      <c r="D1278" s="1303"/>
      <c r="E1278" s="1303"/>
      <c r="F1278" s="1303"/>
      <c r="G1278" s="1303"/>
      <c r="H1278" s="1303"/>
      <c r="I1278" s="1303"/>
      <c r="J1278" s="1303"/>
      <c r="K1278" s="1303"/>
      <c r="L1278" s="1303"/>
      <c r="M1278" s="1303"/>
      <c r="N1278" s="1303"/>
      <c r="O1278" s="1303"/>
      <c r="P1278" s="1303"/>
      <c r="Q1278" s="1303"/>
      <c r="R1278" s="1303"/>
      <c r="S1278" s="1303"/>
      <c r="T1278" s="1303"/>
      <c r="U1278" s="1303"/>
      <c r="V1278" s="1303"/>
      <c r="W1278" s="1303"/>
      <c r="X1278" s="1303"/>
      <c r="Y1278" s="1303"/>
      <c r="Z1278" s="1270"/>
      <c r="AA1278" s="1270"/>
      <c r="AB1278" s="1270"/>
      <c r="AC1278" s="1270"/>
      <c r="AD1278" s="1270"/>
      <c r="AE1278" s="1270"/>
      <c r="AF1278" s="1270"/>
      <c r="AG1278" s="1270"/>
      <c r="AH1278" s="1270"/>
      <c r="AI1278" s="1270"/>
      <c r="AJ1278" s="1263"/>
      <c r="AK1278" s="1263"/>
      <c r="AL1278" s="1263"/>
      <c r="AM1278" s="1263"/>
      <c r="AN1278" s="1263"/>
      <c r="AO1278" s="1263"/>
      <c r="AP1278" s="1263"/>
      <c r="AQ1278" s="1263"/>
      <c r="AR1278" s="1236"/>
      <c r="AS1278" s="1284"/>
      <c r="AT1278" s="1284"/>
      <c r="AU1278" s="1263"/>
      <c r="AV1278" s="1263"/>
      <c r="AW1278" s="1263"/>
      <c r="AX1278" s="1263"/>
      <c r="AY1278" s="1263"/>
      <c r="AZ1278" s="1270"/>
      <c r="BA1278" s="1270"/>
      <c r="BB1278" s="1270"/>
      <c r="BC1278" s="1270"/>
      <c r="BD1278" s="1270"/>
      <c r="BE1278" s="1270"/>
    </row>
    <row r="1279" spans="1:69" s="550" customFormat="1" x14ac:dyDescent="0.2">
      <c r="A1279" s="829"/>
      <c r="B1279" s="318"/>
      <c r="C1279" s="318"/>
      <c r="D1279" s="1579"/>
      <c r="E1279" s="1579"/>
      <c r="F1279" s="1579"/>
      <c r="G1279" s="1579"/>
      <c r="H1279" s="1579"/>
      <c r="I1279" s="1579"/>
      <c r="J1279" s="1579"/>
      <c r="K1279" s="1579"/>
      <c r="L1279" s="1579"/>
      <c r="M1279" s="1579"/>
      <c r="N1279" s="1579"/>
      <c r="O1279" s="1579"/>
      <c r="P1279" s="1579"/>
      <c r="Q1279" s="1579"/>
      <c r="R1279" s="1579"/>
      <c r="S1279" s="1579"/>
      <c r="T1279" s="1579"/>
      <c r="U1279" s="1579"/>
      <c r="V1279" s="1579"/>
      <c r="W1279" s="1579"/>
      <c r="X1279" s="1579"/>
      <c r="Y1279" s="1579"/>
      <c r="Z1279" s="1579"/>
      <c r="AA1279" s="1579"/>
      <c r="AB1279" s="1579"/>
      <c r="AC1279" s="1579"/>
      <c r="AD1279" s="1579"/>
      <c r="AE1279" s="1579"/>
      <c r="AF1279" s="1579"/>
      <c r="AG1279" s="1579"/>
      <c r="AH1279" s="1579"/>
      <c r="AI1279" s="1579"/>
      <c r="AJ1279" s="1447"/>
      <c r="AK1279" s="1447"/>
      <c r="AL1279" s="1447"/>
      <c r="AM1279" s="1447"/>
      <c r="AN1279" s="1447"/>
      <c r="AO1279" s="1447"/>
      <c r="AP1279" s="1447"/>
      <c r="AQ1279" s="1447"/>
      <c r="AR1279" s="1236"/>
      <c r="AS1279" s="1342"/>
      <c r="AT1279" s="1342"/>
      <c r="AU1279" s="1579"/>
      <c r="AV1279" s="1579"/>
      <c r="AW1279" s="1579"/>
      <c r="AX1279" s="1579"/>
      <c r="AY1279" s="1579"/>
      <c r="AZ1279" s="1342"/>
      <c r="BA1279" s="1342"/>
      <c r="BB1279" s="1579"/>
      <c r="BC1279" s="1579"/>
      <c r="BD1279" s="1579"/>
      <c r="BE1279" s="1579"/>
      <c r="BM1279" s="238"/>
      <c r="BN1279" s="238"/>
      <c r="BO1279" s="238"/>
      <c r="BP1279" s="238"/>
      <c r="BQ1279" s="238"/>
    </row>
    <row r="1280" spans="1:69" s="369" customFormat="1" x14ac:dyDescent="0.2">
      <c r="A1280" s="411"/>
      <c r="B1280" s="321"/>
      <c r="C1280" s="321"/>
      <c r="D1280" s="1303"/>
      <c r="E1280" s="1303"/>
      <c r="F1280" s="1303"/>
      <c r="G1280" s="1303"/>
      <c r="H1280" s="1303"/>
      <c r="I1280" s="1303"/>
      <c r="J1280" s="1303"/>
      <c r="K1280" s="1303"/>
      <c r="L1280" s="1303"/>
      <c r="M1280" s="1303"/>
      <c r="N1280" s="1303"/>
      <c r="O1280" s="1303"/>
      <c r="P1280" s="1303"/>
      <c r="Q1280" s="1303"/>
      <c r="R1280" s="1303"/>
      <c r="S1280" s="1303"/>
      <c r="T1280" s="1303"/>
      <c r="U1280" s="1303"/>
      <c r="V1280" s="1303"/>
      <c r="W1280" s="1303"/>
      <c r="X1280" s="1303"/>
      <c r="Y1280" s="1303"/>
      <c r="Z1280" s="1270"/>
      <c r="AA1280" s="1270"/>
      <c r="AB1280" s="1270"/>
      <c r="AC1280" s="1270"/>
      <c r="AD1280" s="1270"/>
      <c r="AE1280" s="1270"/>
      <c r="AF1280" s="1270"/>
      <c r="AG1280" s="1270"/>
      <c r="AH1280" s="1270"/>
      <c r="AI1280" s="1270"/>
      <c r="AJ1280" s="1263"/>
      <c r="AK1280" s="1263"/>
      <c r="AL1280" s="1263"/>
      <c r="AM1280" s="1263"/>
      <c r="AN1280" s="1263"/>
      <c r="AO1280" s="1263"/>
      <c r="AP1280" s="1263"/>
      <c r="AQ1280" s="1263"/>
      <c r="AR1280" s="1236"/>
      <c r="AS1280" s="1284"/>
      <c r="AT1280" s="1284"/>
      <c r="AU1280" s="1263"/>
      <c r="AV1280" s="1263"/>
      <c r="AW1280" s="1263"/>
      <c r="AX1280" s="1263"/>
      <c r="AY1280" s="1263"/>
      <c r="AZ1280" s="1270"/>
      <c r="BA1280" s="1270"/>
      <c r="BB1280" s="1270"/>
      <c r="BC1280" s="1270"/>
      <c r="BD1280" s="1270"/>
      <c r="BE1280" s="1270"/>
    </row>
    <row r="1281" spans="1:69" s="550" customFormat="1" ht="12" thickBot="1" x14ac:dyDescent="0.25">
      <c r="A1281" s="829"/>
      <c r="B1281" s="318"/>
      <c r="C1281" s="318"/>
      <c r="D1281" s="1580"/>
      <c r="E1281" s="1580"/>
      <c r="F1281" s="1580"/>
      <c r="G1281" s="1580"/>
      <c r="H1281" s="1580"/>
      <c r="I1281" s="1580"/>
      <c r="J1281" s="1580"/>
      <c r="K1281" s="1580"/>
      <c r="L1281" s="1580"/>
      <c r="M1281" s="1580"/>
      <c r="N1281" s="1580"/>
      <c r="O1281" s="1580"/>
      <c r="P1281" s="1580"/>
      <c r="Q1281" s="1580"/>
      <c r="R1281" s="1580"/>
      <c r="S1281" s="1580"/>
      <c r="T1281" s="1580"/>
      <c r="U1281" s="1580"/>
      <c r="V1281" s="1580"/>
      <c r="W1281" s="1580"/>
      <c r="X1281" s="1580"/>
      <c r="Y1281" s="1580"/>
      <c r="Z1281" s="1343"/>
      <c r="AA1281" s="1343"/>
      <c r="AB1281" s="1343"/>
      <c r="AC1281" s="1343"/>
      <c r="AD1281" s="1343"/>
      <c r="AE1281" s="1343"/>
      <c r="AF1281" s="1343"/>
      <c r="AG1281" s="1343"/>
      <c r="AH1281" s="1343"/>
      <c r="AI1281" s="1343"/>
      <c r="AJ1281" s="1263"/>
      <c r="AK1281" s="1263"/>
      <c r="AL1281" s="1263"/>
      <c r="AM1281" s="1263"/>
      <c r="AN1281" s="1263"/>
      <c r="AO1281" s="1263"/>
      <c r="AP1281" s="1263"/>
      <c r="AQ1281" s="1263"/>
      <c r="AR1281" s="1236"/>
      <c r="AS1281" s="1342"/>
      <c r="AT1281" s="1342"/>
      <c r="AU1281" s="1580"/>
      <c r="AV1281" s="1580"/>
      <c r="AW1281" s="1580"/>
      <c r="AX1281" s="1580"/>
      <c r="AY1281" s="1580"/>
      <c r="AZ1281" s="1343"/>
      <c r="BA1281" s="1343"/>
      <c r="BB1281" s="1343"/>
      <c r="BC1281" s="1343"/>
      <c r="BD1281" s="1343"/>
      <c r="BE1281" s="1343"/>
    </row>
    <row r="1282" spans="1:69" s="369" customFormat="1" ht="12" thickTop="1" x14ac:dyDescent="0.2">
      <c r="A1282" s="411"/>
      <c r="B1282" s="321"/>
      <c r="C1282" s="321"/>
      <c r="D1282" s="1284"/>
      <c r="E1282" s="1284"/>
      <c r="F1282" s="1284"/>
      <c r="G1282" s="1284"/>
      <c r="H1282" s="1284"/>
      <c r="I1282" s="1284"/>
      <c r="J1282" s="1284"/>
      <c r="K1282" s="1284"/>
      <c r="L1282" s="1284"/>
      <c r="M1282" s="1284"/>
      <c r="N1282" s="1284"/>
      <c r="O1282" s="1284"/>
      <c r="P1282" s="1284"/>
      <c r="Q1282" s="1284"/>
      <c r="R1282" s="1284"/>
      <c r="S1282" s="1284"/>
      <c r="T1282" s="1284"/>
      <c r="U1282" s="1284"/>
      <c r="V1282" s="1284"/>
      <c r="W1282" s="1284"/>
      <c r="X1282" s="1284"/>
      <c r="Y1282" s="1284"/>
      <c r="Z1282" s="1284"/>
      <c r="AA1282" s="1284"/>
      <c r="AB1282" s="1284"/>
      <c r="AC1282" s="1284"/>
      <c r="AD1282" s="1284"/>
      <c r="AE1282" s="1284"/>
      <c r="AF1282" s="1284"/>
      <c r="AG1282" s="1284"/>
      <c r="AH1282" s="1284"/>
      <c r="AI1282" s="1284"/>
      <c r="AJ1282" s="1284"/>
      <c r="AK1282" s="1284"/>
      <c r="AL1282" s="1284"/>
      <c r="AM1282" s="1284"/>
      <c r="AN1282" s="1284"/>
      <c r="AO1282" s="1284"/>
      <c r="AP1282" s="1284"/>
      <c r="AQ1282" s="1284"/>
      <c r="AR1282" s="1236"/>
      <c r="AS1282" s="1284"/>
      <c r="AT1282" s="1284"/>
      <c r="AU1282" s="1263"/>
      <c r="AV1282" s="1263"/>
      <c r="AW1282" s="1263"/>
      <c r="AX1282" s="1263"/>
      <c r="AY1282" s="1263"/>
      <c r="AZ1282" s="1284"/>
      <c r="BA1282" s="1284"/>
      <c r="BB1282" s="1284"/>
      <c r="BC1282" s="1284"/>
      <c r="BD1282" s="1284"/>
      <c r="BE1282" s="1284"/>
    </row>
    <row r="1283" spans="1:69" s="369" customFormat="1" x14ac:dyDescent="0.2">
      <c r="A1283" s="411"/>
      <c r="B1283" s="321"/>
      <c r="C1283" s="321"/>
      <c r="D1283" s="1249"/>
      <c r="E1283" s="1249"/>
      <c r="F1283" s="1249"/>
      <c r="G1283" s="1249"/>
      <c r="H1283" s="1249"/>
      <c r="I1283" s="1249"/>
      <c r="J1283" s="1249"/>
      <c r="K1283" s="1249"/>
      <c r="L1283" s="1249"/>
      <c r="M1283" s="1249"/>
      <c r="N1283" s="1249"/>
      <c r="O1283" s="1249"/>
      <c r="P1283" s="1249"/>
      <c r="Q1283" s="1249"/>
      <c r="R1283" s="1249"/>
      <c r="S1283" s="1249"/>
      <c r="T1283" s="1249"/>
      <c r="U1283" s="1249"/>
      <c r="V1283" s="1249"/>
      <c r="W1283" s="1249"/>
      <c r="X1283" s="1249"/>
      <c r="Y1283" s="1249"/>
      <c r="Z1283" s="1429"/>
      <c r="AA1283" s="1429"/>
      <c r="AB1283" s="1429"/>
      <c r="AC1283" s="1429"/>
      <c r="AD1283" s="1429"/>
      <c r="AE1283" s="1429"/>
      <c r="AF1283" s="1429"/>
      <c r="AG1283" s="1429"/>
      <c r="AH1283" s="1429"/>
      <c r="AI1283" s="1429"/>
      <c r="AJ1283" s="1429"/>
      <c r="AK1283" s="1429"/>
      <c r="AL1283" s="1429"/>
      <c r="AM1283" s="1429"/>
      <c r="AN1283" s="1429"/>
      <c r="AO1283" s="1429"/>
      <c r="AP1283" s="1429"/>
      <c r="AQ1283" s="1429"/>
      <c r="AR1283" s="1236"/>
      <c r="AS1283" s="1284"/>
      <c r="AT1283" s="1284"/>
      <c r="AU1283" s="1249"/>
      <c r="AV1283" s="1249"/>
      <c r="AW1283" s="1249"/>
      <c r="AX1283" s="1249"/>
      <c r="AY1283" s="1249"/>
      <c r="AZ1283" s="1249"/>
      <c r="BA1283" s="1249"/>
      <c r="BB1283" s="1429"/>
      <c r="BC1283" s="1429"/>
      <c r="BD1283" s="1429"/>
      <c r="BE1283" s="1429"/>
    </row>
    <row r="1284" spans="1:69" s="369" customFormat="1" x14ac:dyDescent="0.2">
      <c r="A1284" s="411"/>
      <c r="B1284" s="321"/>
      <c r="C1284" s="321"/>
      <c r="D1284" s="1581"/>
      <c r="E1284" s="1581"/>
      <c r="F1284" s="1581"/>
      <c r="G1284" s="1581"/>
      <c r="H1284" s="1581"/>
      <c r="I1284" s="1581"/>
      <c r="J1284" s="1581"/>
      <c r="K1284" s="1581"/>
      <c r="L1284" s="1581"/>
      <c r="M1284" s="1581"/>
      <c r="N1284" s="1581"/>
      <c r="O1284" s="1581"/>
      <c r="P1284" s="1581"/>
      <c r="Q1284" s="1581"/>
      <c r="R1284" s="1581"/>
      <c r="S1284" s="1581"/>
      <c r="T1284" s="1581"/>
      <c r="U1284" s="1581"/>
      <c r="V1284" s="1581"/>
      <c r="W1284" s="1581"/>
      <c r="X1284" s="1581"/>
      <c r="Y1284" s="1581"/>
      <c r="Z1284" s="1263"/>
      <c r="AA1284" s="1263"/>
      <c r="AB1284" s="1263"/>
      <c r="AC1284" s="1263"/>
      <c r="AD1284" s="1263"/>
      <c r="AE1284" s="1263"/>
      <c r="AF1284" s="1263"/>
      <c r="AG1284" s="1263"/>
      <c r="AH1284" s="1263"/>
      <c r="AI1284" s="1263"/>
      <c r="AJ1284" s="1263"/>
      <c r="AK1284" s="1263"/>
      <c r="AL1284" s="1263"/>
      <c r="AM1284" s="1263"/>
      <c r="AN1284" s="1263"/>
      <c r="AO1284" s="1263"/>
      <c r="AP1284" s="1263"/>
      <c r="AQ1284" s="1263"/>
      <c r="AR1284" s="1236"/>
      <c r="AS1284" s="1284"/>
      <c r="AT1284" s="1284"/>
      <c r="AU1284" s="1263"/>
      <c r="AV1284" s="1263"/>
      <c r="AW1284" s="1263"/>
      <c r="AX1284" s="1263"/>
      <c r="AY1284" s="1263"/>
      <c r="AZ1284" s="1263"/>
      <c r="BA1284" s="1263"/>
      <c r="BB1284" s="1263"/>
      <c r="BC1284" s="1263"/>
      <c r="BD1284" s="1263"/>
      <c r="BE1284" s="1263"/>
    </row>
    <row r="1285" spans="1:69" s="369" customFormat="1" x14ac:dyDescent="0.2">
      <c r="A1285" s="411"/>
      <c r="B1285" s="321"/>
      <c r="C1285" s="321"/>
      <c r="D1285" s="1284"/>
      <c r="E1285" s="1284"/>
      <c r="F1285" s="1284"/>
      <c r="G1285" s="1284"/>
      <c r="H1285" s="1284"/>
      <c r="I1285" s="1284"/>
      <c r="J1285" s="1284"/>
      <c r="K1285" s="1284"/>
      <c r="L1285" s="1284"/>
      <c r="M1285" s="1284"/>
      <c r="N1285" s="1284"/>
      <c r="O1285" s="1284"/>
      <c r="P1285" s="1284"/>
      <c r="Q1285" s="1284"/>
      <c r="R1285" s="1284"/>
      <c r="S1285" s="1284"/>
      <c r="T1285" s="1284"/>
      <c r="U1285" s="1284"/>
      <c r="V1285" s="1284"/>
      <c r="W1285" s="1284"/>
      <c r="X1285" s="1284"/>
      <c r="Y1285" s="1284"/>
      <c r="Z1285" s="1263"/>
      <c r="AA1285" s="1263"/>
      <c r="AB1285" s="1263"/>
      <c r="AC1285" s="1263"/>
      <c r="AD1285" s="1263"/>
      <c r="AE1285" s="1263"/>
      <c r="AF1285" s="1263"/>
      <c r="AG1285" s="1263"/>
      <c r="AH1285" s="1263"/>
      <c r="AI1285" s="1263"/>
      <c r="AJ1285" s="1263"/>
      <c r="AK1285" s="1263"/>
      <c r="AL1285" s="1263"/>
      <c r="AM1285" s="1263"/>
      <c r="AN1285" s="1263"/>
      <c r="AO1285" s="1263"/>
      <c r="AP1285" s="1263"/>
      <c r="AQ1285" s="1263"/>
      <c r="AR1285" s="1236"/>
      <c r="AS1285" s="1284"/>
      <c r="AT1285" s="1284"/>
      <c r="AU1285" s="1263"/>
      <c r="AV1285" s="1263"/>
      <c r="AW1285" s="1263"/>
      <c r="AX1285" s="1263"/>
      <c r="AY1285" s="1263"/>
      <c r="AZ1285" s="1263"/>
      <c r="BA1285" s="1263"/>
      <c r="BB1285" s="1263"/>
      <c r="BC1285" s="1263"/>
      <c r="BD1285" s="1263"/>
      <c r="BE1285" s="1263"/>
    </row>
    <row r="1286" spans="1:69" s="369" customFormat="1" x14ac:dyDescent="0.2">
      <c r="A1286" s="411"/>
      <c r="B1286" s="321"/>
      <c r="C1286" s="321"/>
      <c r="D1286" s="1249"/>
      <c r="E1286" s="1249"/>
      <c r="F1286" s="1249"/>
      <c r="G1286" s="1249"/>
      <c r="H1286" s="1249"/>
      <c r="I1286" s="1249"/>
      <c r="J1286" s="1249"/>
      <c r="K1286" s="1249"/>
      <c r="L1286" s="1249"/>
      <c r="M1286" s="1249"/>
      <c r="N1286" s="1249"/>
      <c r="O1286" s="1249"/>
      <c r="P1286" s="1249"/>
      <c r="Q1286" s="1249"/>
      <c r="R1286" s="1249"/>
      <c r="S1286" s="1249"/>
      <c r="T1286" s="1249"/>
      <c r="U1286" s="1249"/>
      <c r="V1286" s="1249"/>
      <c r="W1286" s="1249"/>
      <c r="X1286" s="1249"/>
      <c r="Y1286" s="1249"/>
      <c r="Z1286" s="1263"/>
      <c r="AA1286" s="1263"/>
      <c r="AB1286" s="1263"/>
      <c r="AC1286" s="1263"/>
      <c r="AD1286" s="1263"/>
      <c r="AE1286" s="1263"/>
      <c r="AF1286" s="1263"/>
      <c r="AG1286" s="1263"/>
      <c r="AH1286" s="1263"/>
      <c r="AI1286" s="1263"/>
      <c r="AJ1286" s="1263"/>
      <c r="AK1286" s="1263"/>
      <c r="AL1286" s="1263"/>
      <c r="AM1286" s="1263"/>
      <c r="AN1286" s="1263"/>
      <c r="AO1286" s="1263"/>
      <c r="AP1286" s="1263"/>
      <c r="AQ1286" s="1263"/>
      <c r="AR1286" s="1236"/>
      <c r="AS1286" s="1284"/>
      <c r="AT1286" s="1284"/>
      <c r="AU1286" s="1249"/>
      <c r="AV1286" s="1249"/>
      <c r="AW1286" s="1249"/>
      <c r="AX1286" s="1249"/>
      <c r="AY1286" s="1249"/>
      <c r="AZ1286" s="1263"/>
      <c r="BA1286" s="1263"/>
      <c r="BB1286" s="1263"/>
      <c r="BC1286" s="1263"/>
      <c r="BD1286" s="1263"/>
      <c r="BE1286" s="1263"/>
    </row>
    <row r="1287" spans="1:69" s="369" customFormat="1" x14ac:dyDescent="0.2">
      <c r="A1287" s="411"/>
      <c r="B1287" s="321"/>
      <c r="C1287" s="321"/>
      <c r="D1287" s="1284"/>
      <c r="E1287" s="1284"/>
      <c r="F1287" s="1284"/>
      <c r="G1287" s="1284"/>
      <c r="H1287" s="1284"/>
      <c r="I1287" s="1284"/>
      <c r="J1287" s="1284"/>
      <c r="K1287" s="1284"/>
      <c r="L1287" s="1284"/>
      <c r="M1287" s="1284"/>
      <c r="N1287" s="1284"/>
      <c r="O1287" s="1284"/>
      <c r="P1287" s="1284"/>
      <c r="Q1287" s="1284"/>
      <c r="R1287" s="1284"/>
      <c r="S1287" s="1284"/>
      <c r="T1287" s="1284"/>
      <c r="U1287" s="1284"/>
      <c r="V1287" s="1284"/>
      <c r="W1287" s="1284"/>
      <c r="X1287" s="1284"/>
      <c r="Y1287" s="1284"/>
      <c r="Z1287" s="1284"/>
      <c r="AA1287" s="1284"/>
      <c r="AB1287" s="1284"/>
      <c r="AC1287" s="1284"/>
      <c r="AD1287" s="1284"/>
      <c r="AE1287" s="1284"/>
      <c r="AF1287" s="1284"/>
      <c r="AG1287" s="1284"/>
      <c r="AH1287" s="1284"/>
      <c r="AI1287" s="1284"/>
      <c r="AJ1287" s="1284"/>
      <c r="AK1287" s="1284"/>
      <c r="AL1287" s="1284"/>
      <c r="AM1287" s="1284"/>
      <c r="AN1287" s="1284"/>
      <c r="AO1287" s="1284"/>
      <c r="AP1287" s="1284"/>
      <c r="AQ1287" s="1284"/>
      <c r="AR1287" s="1236"/>
      <c r="AS1287" s="1284"/>
      <c r="AT1287" s="1284"/>
      <c r="AU1287" s="1263"/>
      <c r="AV1287" s="1263"/>
      <c r="AW1287" s="1263"/>
      <c r="AX1287" s="1263"/>
      <c r="AY1287" s="1263"/>
      <c r="AZ1287" s="1263"/>
      <c r="BA1287" s="1263"/>
      <c r="BB1287" s="1263"/>
      <c r="BC1287" s="1263"/>
      <c r="BD1287" s="1263"/>
      <c r="BE1287" s="1263"/>
    </row>
    <row r="1288" spans="1:69" x14ac:dyDescent="0.2">
      <c r="B1288" s="13"/>
      <c r="C1288" s="13"/>
      <c r="D1288" s="1369"/>
      <c r="E1288" s="1369"/>
      <c r="F1288" s="1369"/>
      <c r="G1288" s="1369"/>
      <c r="H1288" s="1369"/>
      <c r="I1288" s="1369"/>
      <c r="J1288" s="1369"/>
      <c r="K1288" s="1369"/>
      <c r="L1288" s="1369"/>
      <c r="M1288" s="1369"/>
      <c r="N1288" s="1369"/>
      <c r="O1288" s="1369"/>
      <c r="P1288" s="1369"/>
      <c r="Q1288" s="1369"/>
      <c r="R1288" s="1369"/>
      <c r="S1288" s="1369"/>
      <c r="T1288" s="1369"/>
      <c r="U1288" s="1369"/>
      <c r="V1288" s="1369"/>
      <c r="W1288" s="1369"/>
      <c r="X1288" s="1369"/>
      <c r="Y1288" s="1369"/>
      <c r="Z1288" s="1369"/>
      <c r="AA1288" s="1369"/>
      <c r="AB1288" s="1369"/>
      <c r="AC1288" s="1369"/>
      <c r="AD1288" s="1369"/>
      <c r="AE1288" s="1369"/>
      <c r="AF1288" s="1369"/>
      <c r="AG1288" s="1369"/>
      <c r="AH1288" s="1369"/>
      <c r="AI1288" s="1369"/>
      <c r="AJ1288" s="1369"/>
      <c r="AK1288" s="1369"/>
      <c r="AL1288" s="1369"/>
      <c r="AM1288" s="1369"/>
      <c r="AN1288" s="1369"/>
      <c r="AO1288" s="1369"/>
      <c r="AP1288" s="1369"/>
      <c r="AQ1288" s="1369"/>
      <c r="AR1288" s="1236"/>
      <c r="AS1288" s="1370"/>
      <c r="AT1288" s="1370"/>
      <c r="AU1288" s="1369"/>
      <c r="AV1288" s="1369"/>
      <c r="AW1288" s="1369"/>
      <c r="AX1288" s="1369"/>
      <c r="AY1288" s="1369"/>
      <c r="AZ1288" s="1369"/>
      <c r="BA1288" s="1369"/>
      <c r="BB1288" s="1369"/>
      <c r="BC1288" s="1369"/>
      <c r="BD1288" s="1369"/>
      <c r="BE1288" s="1369"/>
      <c r="BF1288" s="15"/>
      <c r="BG1288" s="15"/>
      <c r="BH1288" s="15"/>
      <c r="BI1288" s="15"/>
      <c r="BJ1288" s="15"/>
      <c r="BK1288" s="15"/>
      <c r="BL1288" s="15"/>
    </row>
    <row r="1289" spans="1:69" x14ac:dyDescent="0.2">
      <c r="B1289" s="35"/>
      <c r="D1289" s="1329"/>
      <c r="E1289" s="1329"/>
      <c r="F1289" s="1329"/>
      <c r="G1289" s="1329"/>
      <c r="H1289" s="1329"/>
      <c r="I1289" s="1329"/>
      <c r="J1289" s="1329"/>
      <c r="K1289" s="1329"/>
      <c r="L1289" s="1329"/>
      <c r="M1289" s="1329"/>
      <c r="N1289" s="1329"/>
      <c r="O1289" s="1329"/>
      <c r="P1289" s="1329"/>
      <c r="Q1289" s="1329"/>
      <c r="R1289" s="1329"/>
      <c r="S1289" s="1329"/>
      <c r="T1289" s="1329"/>
      <c r="U1289" s="1329"/>
      <c r="V1289" s="1329"/>
      <c r="W1289" s="1329"/>
      <c r="X1289" s="407"/>
      <c r="Y1289" s="407"/>
      <c r="Z1289" s="407"/>
      <c r="AA1289" s="407"/>
      <c r="AB1289" s="407"/>
      <c r="AC1289" s="407"/>
      <c r="AD1289" s="407"/>
      <c r="AE1289" s="407"/>
      <c r="AF1289" s="407"/>
      <c r="AG1289" s="407"/>
      <c r="AH1289" s="407"/>
      <c r="AI1289" s="407"/>
      <c r="AJ1289" s="407"/>
      <c r="AK1289" s="407"/>
      <c r="AL1289" s="407"/>
      <c r="AM1289" s="407"/>
      <c r="AN1289" s="407"/>
      <c r="AO1289" s="407"/>
      <c r="AP1289" s="407"/>
      <c r="AQ1289" s="407"/>
      <c r="AR1289" s="1236"/>
      <c r="AS1289" s="407"/>
      <c r="AT1289" s="407"/>
      <c r="AU1289" s="1236"/>
      <c r="AV1289" s="1236"/>
      <c r="AW1289" s="1236"/>
      <c r="AX1289" s="1236"/>
      <c r="AY1289" s="1236"/>
      <c r="AZ1289" s="1236"/>
      <c r="BA1289" s="1236"/>
      <c r="BB1289" s="1236"/>
      <c r="BC1289" s="1236"/>
      <c r="BD1289" s="1236"/>
      <c r="BE1289" s="1236"/>
    </row>
    <row r="1290" spans="1:69" x14ac:dyDescent="0.2">
      <c r="B1290" s="65"/>
      <c r="C1290" s="90"/>
      <c r="D1290" s="1238"/>
      <c r="E1290" s="1329"/>
      <c r="F1290" s="1329"/>
      <c r="G1290" s="1329"/>
      <c r="H1290" s="1329"/>
      <c r="I1290" s="1329"/>
      <c r="J1290" s="1329"/>
      <c r="K1290" s="1329"/>
      <c r="L1290" s="1329"/>
      <c r="M1290" s="1329"/>
      <c r="N1290" s="1329"/>
      <c r="O1290" s="1329"/>
      <c r="P1290" s="1329"/>
      <c r="Q1290" s="1329"/>
      <c r="R1290" s="1329"/>
      <c r="S1290" s="1329"/>
      <c r="T1290" s="1329"/>
      <c r="U1290" s="1329"/>
      <c r="V1290" s="1329"/>
      <c r="W1290" s="1329"/>
      <c r="X1290" s="1329"/>
      <c r="Y1290" s="407"/>
      <c r="Z1290" s="407"/>
      <c r="AA1290" s="407"/>
      <c r="AB1290" s="407"/>
      <c r="AC1290" s="407"/>
      <c r="AD1290" s="407"/>
      <c r="AE1290" s="407"/>
      <c r="AF1290" s="407"/>
      <c r="AG1290" s="407"/>
      <c r="AH1290" s="407"/>
      <c r="AI1290" s="407"/>
      <c r="AJ1290" s="407"/>
      <c r="AK1290" s="407"/>
      <c r="AL1290" s="407"/>
      <c r="AM1290" s="407"/>
      <c r="AN1290" s="407"/>
      <c r="AO1290" s="407"/>
      <c r="AP1290" s="407"/>
      <c r="AQ1290" s="407"/>
      <c r="AR1290" s="1236"/>
      <c r="AS1290" s="1329"/>
      <c r="AT1290" s="1238"/>
      <c r="AU1290" s="1236"/>
      <c r="AV1290" s="1236"/>
      <c r="AW1290" s="1236"/>
      <c r="AX1290" s="1236"/>
      <c r="AY1290" s="1236"/>
      <c r="AZ1290" s="1236"/>
      <c r="BA1290" s="1236"/>
      <c r="BB1290" s="1236"/>
      <c r="BC1290" s="1236"/>
      <c r="BD1290" s="1236"/>
      <c r="BE1290" s="1236"/>
    </row>
    <row r="1291" spans="1:69" x14ac:dyDescent="0.2">
      <c r="B1291" s="90"/>
      <c r="D1291" s="1344"/>
      <c r="E1291" s="407"/>
      <c r="F1291" s="407"/>
      <c r="G1291" s="407"/>
      <c r="H1291" s="407"/>
      <c r="I1291" s="407"/>
      <c r="J1291" s="407"/>
      <c r="K1291" s="407"/>
      <c r="L1291" s="407"/>
      <c r="M1291" s="407"/>
      <c r="N1291" s="407"/>
      <c r="O1291" s="407"/>
      <c r="P1291" s="407"/>
      <c r="Q1291" s="407"/>
      <c r="R1291" s="407"/>
      <c r="S1291" s="407"/>
      <c r="T1291" s="407"/>
      <c r="U1291" s="407"/>
      <c r="V1291" s="407"/>
      <c r="W1291" s="407"/>
      <c r="X1291" s="407"/>
      <c r="Y1291" s="407"/>
      <c r="Z1291" s="407"/>
      <c r="AA1291" s="407"/>
      <c r="AB1291" s="407"/>
      <c r="AC1291" s="407"/>
      <c r="AD1291" s="407"/>
      <c r="AE1291" s="407"/>
      <c r="AF1291" s="407"/>
      <c r="AG1291" s="407"/>
      <c r="AH1291" s="407"/>
      <c r="AI1291" s="407"/>
      <c r="AJ1291" s="407"/>
      <c r="AK1291" s="407"/>
      <c r="AL1291" s="407"/>
      <c r="AM1291" s="407"/>
      <c r="AN1291" s="407"/>
      <c r="AO1291" s="407"/>
      <c r="AP1291" s="407"/>
      <c r="AQ1291" s="407"/>
      <c r="AR1291" s="1236"/>
      <c r="AS1291" s="1238"/>
      <c r="AT1291" s="407"/>
      <c r="AU1291" s="1263"/>
      <c r="AV1291" s="1263"/>
      <c r="AW1291" s="1263"/>
      <c r="AX1291" s="1263"/>
      <c r="AY1291" s="1263"/>
      <c r="AZ1291" s="1263"/>
      <c r="BA1291" s="1263"/>
      <c r="BB1291" s="407"/>
      <c r="BC1291" s="407"/>
      <c r="BD1291" s="407"/>
      <c r="BE1291" s="407"/>
    </row>
    <row r="1292" spans="1:69" x14ac:dyDescent="0.2">
      <c r="B1292" s="90"/>
      <c r="C1292" s="90"/>
      <c r="D1292" s="1287"/>
      <c r="E1292" s="1287"/>
      <c r="F1292" s="1287"/>
      <c r="G1292" s="1287"/>
      <c r="H1292" s="1287"/>
      <c r="I1292" s="1287"/>
      <c r="J1292" s="1287"/>
      <c r="K1292" s="1287"/>
      <c r="L1292" s="1287"/>
      <c r="M1292" s="1287"/>
      <c r="N1292" s="1287"/>
      <c r="O1292" s="1287"/>
      <c r="P1292" s="1287"/>
      <c r="Q1292" s="1287"/>
      <c r="R1292" s="1287"/>
      <c r="S1292" s="1287"/>
      <c r="T1292" s="1287"/>
      <c r="U1292" s="1287"/>
      <c r="V1292" s="1287"/>
      <c r="W1292" s="1287"/>
      <c r="X1292" s="1287"/>
      <c r="Y1292" s="1287"/>
      <c r="Z1292" s="1287"/>
      <c r="AA1292" s="1287"/>
      <c r="AB1292" s="1287"/>
      <c r="AC1292" s="1287"/>
      <c r="AD1292" s="1287"/>
      <c r="AE1292" s="1287"/>
      <c r="AF1292" s="1287"/>
      <c r="AG1292" s="1287"/>
      <c r="AH1292" s="1287"/>
      <c r="AI1292" s="1287"/>
      <c r="AJ1292" s="1287"/>
      <c r="AK1292" s="1287"/>
      <c r="AL1292" s="1287"/>
      <c r="AM1292" s="1287"/>
      <c r="AN1292" s="1287"/>
      <c r="AO1292" s="1287"/>
      <c r="AP1292" s="1287"/>
      <c r="AQ1292" s="1287"/>
      <c r="AR1292" s="1236"/>
      <c r="AS1292" s="1238"/>
      <c r="AT1292" s="1238"/>
      <c r="AU1292" s="1236"/>
      <c r="AV1292" s="1236"/>
      <c r="AW1292" s="1236"/>
      <c r="AX1292" s="1236"/>
      <c r="AY1292" s="1236"/>
      <c r="AZ1292" s="1236"/>
      <c r="BA1292" s="1236"/>
      <c r="BB1292" s="1287"/>
      <c r="BC1292" s="1287"/>
      <c r="BD1292" s="1287"/>
      <c r="BE1292" s="1287"/>
    </row>
    <row r="1293" spans="1:69" x14ac:dyDescent="0.2">
      <c r="B1293" s="90"/>
      <c r="C1293" s="90"/>
      <c r="D1293" s="1287"/>
      <c r="E1293" s="1287"/>
      <c r="F1293" s="1287"/>
      <c r="G1293" s="1287"/>
      <c r="H1293" s="1287"/>
      <c r="I1293" s="1287"/>
      <c r="J1293" s="1287"/>
      <c r="K1293" s="1287"/>
      <c r="L1293" s="1287"/>
      <c r="M1293" s="1287"/>
      <c r="N1293" s="1287"/>
      <c r="O1293" s="1287"/>
      <c r="P1293" s="1287"/>
      <c r="Q1293" s="1287"/>
      <c r="R1293" s="1287"/>
      <c r="S1293" s="1287"/>
      <c r="T1293" s="1287"/>
      <c r="U1293" s="1287"/>
      <c r="V1293" s="1287"/>
      <c r="W1293" s="1287"/>
      <c r="X1293" s="1287"/>
      <c r="Y1293" s="1287"/>
      <c r="Z1293" s="1287"/>
      <c r="AA1293" s="1287"/>
      <c r="AB1293" s="1287"/>
      <c r="AC1293" s="1287"/>
      <c r="AD1293" s="1287"/>
      <c r="AE1293" s="1287"/>
      <c r="AF1293" s="1287"/>
      <c r="AG1293" s="1287"/>
      <c r="AH1293" s="1287"/>
      <c r="AI1293" s="1287"/>
      <c r="AJ1293" s="1287"/>
      <c r="AK1293" s="1287"/>
      <c r="AL1293" s="1287"/>
      <c r="AM1293" s="1287"/>
      <c r="AN1293" s="1287"/>
      <c r="AO1293" s="1287"/>
      <c r="AP1293" s="1287"/>
      <c r="AQ1293" s="1287"/>
      <c r="AR1293" s="1236"/>
      <c r="AS1293" s="1238"/>
      <c r="AT1293" s="1238"/>
      <c r="AU1293" s="1236"/>
      <c r="AV1293" s="1236"/>
      <c r="AW1293" s="1236"/>
      <c r="AX1293" s="1236"/>
      <c r="AY1293" s="1236"/>
      <c r="AZ1293" s="1236"/>
      <c r="BA1293" s="1236"/>
      <c r="BB1293" s="1287"/>
      <c r="BC1293" s="1287"/>
      <c r="BD1293" s="1287"/>
      <c r="BE1293" s="1287"/>
      <c r="BM1293" s="238"/>
      <c r="BN1293" s="238"/>
      <c r="BO1293" s="238"/>
      <c r="BP1293" s="238"/>
      <c r="BQ1293" s="238"/>
    </row>
    <row r="1294" spans="1:69" x14ac:dyDescent="0.2">
      <c r="B1294" s="90"/>
      <c r="C1294" s="90"/>
      <c r="D1294" s="1287"/>
      <c r="E1294" s="1287"/>
      <c r="F1294" s="1287"/>
      <c r="G1294" s="1287"/>
      <c r="H1294" s="1287"/>
      <c r="I1294" s="1287"/>
      <c r="J1294" s="1287"/>
      <c r="K1294" s="1287"/>
      <c r="L1294" s="1287"/>
      <c r="M1294" s="1287"/>
      <c r="N1294" s="1287"/>
      <c r="O1294" s="1287"/>
      <c r="P1294" s="1287"/>
      <c r="Q1294" s="1287"/>
      <c r="R1294" s="1287"/>
      <c r="S1294" s="1287"/>
      <c r="T1294" s="1287"/>
      <c r="U1294" s="1287"/>
      <c r="V1294" s="1287"/>
      <c r="W1294" s="1287"/>
      <c r="X1294" s="1287"/>
      <c r="Y1294" s="1287"/>
      <c r="Z1294" s="1287"/>
      <c r="AA1294" s="1287"/>
      <c r="AB1294" s="1287"/>
      <c r="AC1294" s="1287"/>
      <c r="AD1294" s="1287"/>
      <c r="AE1294" s="1287"/>
      <c r="AF1294" s="1287"/>
      <c r="AG1294" s="1287"/>
      <c r="AH1294" s="1287"/>
      <c r="AI1294" s="1287"/>
      <c r="AJ1294" s="1287"/>
      <c r="AK1294" s="1287"/>
      <c r="AL1294" s="1287"/>
      <c r="AM1294" s="1287"/>
      <c r="AN1294" s="1287"/>
      <c r="AO1294" s="1287"/>
      <c r="AP1294" s="1287"/>
      <c r="AQ1294" s="1287"/>
      <c r="AR1294" s="1236"/>
      <c r="AS1294" s="1238"/>
      <c r="AT1294" s="1238"/>
      <c r="AU1294" s="1236"/>
      <c r="AV1294" s="1236"/>
      <c r="AW1294" s="1236"/>
      <c r="AX1294" s="1236"/>
      <c r="AY1294" s="1236"/>
      <c r="AZ1294" s="1236"/>
      <c r="BA1294" s="1236"/>
      <c r="BB1294" s="1287"/>
      <c r="BC1294" s="1287"/>
      <c r="BD1294" s="1287"/>
      <c r="BE1294" s="1287"/>
      <c r="BM1294" s="238"/>
      <c r="BN1294" s="238"/>
      <c r="BO1294" s="238"/>
      <c r="BP1294" s="238"/>
      <c r="BQ1294" s="238"/>
    </row>
    <row r="1295" spans="1:69" x14ac:dyDescent="0.2">
      <c r="B1295" s="90"/>
      <c r="C1295" s="90"/>
      <c r="D1295" s="1287"/>
      <c r="E1295" s="1287"/>
      <c r="F1295" s="1287"/>
      <c r="G1295" s="1287"/>
      <c r="H1295" s="1287"/>
      <c r="I1295" s="1287"/>
      <c r="J1295" s="1287"/>
      <c r="K1295" s="1287"/>
      <c r="L1295" s="1287"/>
      <c r="M1295" s="1287"/>
      <c r="N1295" s="1287"/>
      <c r="O1295" s="1287"/>
      <c r="P1295" s="1287"/>
      <c r="Q1295" s="1287"/>
      <c r="R1295" s="1287"/>
      <c r="S1295" s="1287"/>
      <c r="T1295" s="1287"/>
      <c r="U1295" s="1287"/>
      <c r="V1295" s="1287"/>
      <c r="W1295" s="1287"/>
      <c r="X1295" s="1287"/>
      <c r="Y1295" s="1287"/>
      <c r="Z1295" s="1582"/>
      <c r="AA1295" s="1582"/>
      <c r="AB1295" s="1582"/>
      <c r="AC1295" s="1582"/>
      <c r="AD1295" s="1582"/>
      <c r="AE1295" s="1582"/>
      <c r="AF1295" s="1582"/>
      <c r="AG1295" s="1582"/>
      <c r="AH1295" s="1582"/>
      <c r="AI1295" s="1582"/>
      <c r="AJ1295" s="1582"/>
      <c r="AK1295" s="1582"/>
      <c r="AL1295" s="1582"/>
      <c r="AM1295" s="1582"/>
      <c r="AN1295" s="1582"/>
      <c r="AO1295" s="1582"/>
      <c r="AP1295" s="1582"/>
      <c r="AQ1295" s="1582"/>
      <c r="AR1295" s="1236"/>
      <c r="AS1295" s="1238"/>
      <c r="AT1295" s="1238"/>
      <c r="AU1295" s="1236"/>
      <c r="AV1295" s="1236"/>
      <c r="AW1295" s="1236"/>
      <c r="AX1295" s="1236"/>
      <c r="AY1295" s="1236"/>
      <c r="AZ1295" s="1236"/>
      <c r="BA1295" s="1236"/>
      <c r="BB1295" s="1582"/>
      <c r="BC1295" s="1582"/>
      <c r="BD1295" s="1582"/>
      <c r="BE1295" s="1582"/>
      <c r="BM1295" s="238"/>
      <c r="BN1295" s="238"/>
      <c r="BO1295" s="238"/>
      <c r="BP1295" s="238"/>
      <c r="BQ1295" s="238"/>
    </row>
    <row r="1296" spans="1:69" x14ac:dyDescent="0.2">
      <c r="B1296" s="90"/>
      <c r="C1296" s="90"/>
      <c r="D1296" s="1289"/>
      <c r="E1296" s="1289"/>
      <c r="F1296" s="1289"/>
      <c r="G1296" s="1289"/>
      <c r="H1296" s="1289"/>
      <c r="I1296" s="1289"/>
      <c r="J1296" s="1289"/>
      <c r="K1296" s="1289"/>
      <c r="L1296" s="1289"/>
      <c r="M1296" s="1289"/>
      <c r="N1296" s="1289"/>
      <c r="O1296" s="1289"/>
      <c r="P1296" s="1289"/>
      <c r="Q1296" s="1289"/>
      <c r="R1296" s="1289"/>
      <c r="S1296" s="1289"/>
      <c r="T1296" s="1289"/>
      <c r="U1296" s="1289"/>
      <c r="V1296" s="1289"/>
      <c r="W1296" s="1289"/>
      <c r="X1296" s="1289"/>
      <c r="Y1296" s="1289"/>
      <c r="Z1296" s="1583"/>
      <c r="AA1296" s="1583"/>
      <c r="AB1296" s="1583"/>
      <c r="AC1296" s="1583"/>
      <c r="AD1296" s="1583"/>
      <c r="AE1296" s="1583"/>
      <c r="AF1296" s="1583"/>
      <c r="AG1296" s="1583"/>
      <c r="AH1296" s="1583"/>
      <c r="AI1296" s="1583"/>
      <c r="AJ1296" s="1748"/>
      <c r="AK1296" s="1748"/>
      <c r="AL1296" s="1748"/>
      <c r="AM1296" s="1748"/>
      <c r="AN1296" s="1748"/>
      <c r="AO1296" s="1748"/>
      <c r="AP1296" s="1748"/>
      <c r="AQ1296" s="1748"/>
      <c r="AR1296" s="1236"/>
      <c r="AS1296" s="1238"/>
      <c r="AT1296" s="1238"/>
      <c r="AU1296" s="1246"/>
      <c r="AV1296" s="1246"/>
      <c r="AW1296" s="1246"/>
      <c r="AX1296" s="1246"/>
      <c r="AY1296" s="1246"/>
      <c r="AZ1296" s="1246"/>
      <c r="BA1296" s="1246"/>
      <c r="BB1296" s="1583"/>
      <c r="BC1296" s="1583"/>
      <c r="BD1296" s="1583"/>
      <c r="BE1296" s="1583"/>
      <c r="BM1296" s="391"/>
      <c r="BN1296" s="391"/>
      <c r="BO1296" s="391"/>
      <c r="BP1296" s="391"/>
      <c r="BQ1296" s="391"/>
    </row>
    <row r="1297" spans="1:57" x14ac:dyDescent="0.2">
      <c r="A1297" s="70"/>
      <c r="B1297" s="91"/>
      <c r="D1297" s="1256"/>
      <c r="E1297" s="1256"/>
      <c r="F1297" s="1256"/>
      <c r="G1297" s="1256"/>
      <c r="H1297" s="1256"/>
      <c r="I1297" s="1256"/>
      <c r="J1297" s="1256"/>
      <c r="K1297" s="1256"/>
      <c r="L1297" s="1256"/>
      <c r="M1297" s="1256"/>
      <c r="N1297" s="1256"/>
      <c r="O1297" s="1256"/>
      <c r="P1297" s="1256"/>
      <c r="Q1297" s="1256"/>
      <c r="R1297" s="1256"/>
      <c r="S1297" s="1256"/>
      <c r="T1297" s="1256"/>
      <c r="U1297" s="1256"/>
      <c r="V1297" s="1256"/>
      <c r="W1297" s="1256"/>
      <c r="X1297" s="1256"/>
      <c r="Y1297" s="1256"/>
      <c r="Z1297" s="1256"/>
      <c r="AA1297" s="1256"/>
      <c r="AB1297" s="1256"/>
      <c r="AC1297" s="1256"/>
      <c r="AD1297" s="1256"/>
      <c r="AE1297" s="1256"/>
      <c r="AF1297" s="1256"/>
      <c r="AG1297" s="1256"/>
      <c r="AH1297" s="1256"/>
      <c r="AI1297" s="1256"/>
      <c r="AJ1297" s="1256"/>
      <c r="AK1297" s="1256"/>
      <c r="AL1297" s="1256"/>
      <c r="AM1297" s="1256"/>
      <c r="AN1297" s="1256"/>
      <c r="AO1297" s="1256"/>
      <c r="AP1297" s="1256"/>
      <c r="AQ1297" s="1256"/>
      <c r="AR1297" s="1236"/>
      <c r="AS1297" s="1584"/>
      <c r="AT1297" s="407"/>
      <c r="AU1297" s="1263"/>
      <c r="AV1297" s="1263"/>
      <c r="AW1297" s="1263"/>
      <c r="AX1297" s="1263"/>
      <c r="AY1297" s="1263"/>
      <c r="AZ1297" s="1263"/>
      <c r="BA1297" s="1263"/>
      <c r="BB1297" s="1256"/>
      <c r="BC1297" s="1256"/>
      <c r="BD1297" s="1256"/>
      <c r="BE1297" s="1256"/>
    </row>
    <row r="1298" spans="1:57" x14ac:dyDescent="0.2">
      <c r="A1298" s="70"/>
      <c r="B1298" s="91"/>
      <c r="D1298" s="1257"/>
      <c r="E1298" s="1257"/>
      <c r="F1298" s="1257"/>
      <c r="G1298" s="1257"/>
      <c r="H1298" s="1257"/>
      <c r="I1298" s="1257"/>
      <c r="J1298" s="1257"/>
      <c r="K1298" s="1257"/>
      <c r="L1298" s="1257"/>
      <c r="M1298" s="1257"/>
      <c r="N1298" s="1257"/>
      <c r="O1298" s="1257"/>
      <c r="P1298" s="1257"/>
      <c r="Q1298" s="1257"/>
      <c r="R1298" s="1257"/>
      <c r="S1298" s="1257"/>
      <c r="T1298" s="1257"/>
      <c r="U1298" s="1257"/>
      <c r="V1298" s="1257"/>
      <c r="W1298" s="1257"/>
      <c r="X1298" s="1257"/>
      <c r="Y1298" s="1257"/>
      <c r="Z1298" s="1257"/>
      <c r="AA1298" s="1257"/>
      <c r="AB1298" s="1257"/>
      <c r="AC1298" s="1257"/>
      <c r="AD1298" s="1257"/>
      <c r="AE1298" s="1257"/>
      <c r="AF1298" s="1257"/>
      <c r="AG1298" s="1257"/>
      <c r="AH1298" s="1257"/>
      <c r="AI1298" s="1257"/>
      <c r="AJ1298" s="1338"/>
      <c r="AK1298" s="1338"/>
      <c r="AL1298" s="1338"/>
      <c r="AM1298" s="1338"/>
      <c r="AN1298" s="1338"/>
      <c r="AO1298" s="1338"/>
      <c r="AP1298" s="1338"/>
      <c r="AQ1298" s="1338"/>
      <c r="AR1298" s="1236"/>
      <c r="AS1298" s="1584"/>
      <c r="AT1298" s="407"/>
      <c r="AU1298" s="1270"/>
      <c r="AV1298" s="1270"/>
      <c r="AW1298" s="1270"/>
      <c r="AX1298" s="1270"/>
      <c r="AY1298" s="1270"/>
      <c r="AZ1298" s="1270"/>
      <c r="BA1298" s="1270"/>
      <c r="BB1298" s="1257"/>
      <c r="BC1298" s="1257"/>
      <c r="BD1298" s="1257"/>
      <c r="BE1298" s="1257"/>
    </row>
    <row r="1299" spans="1:57" x14ac:dyDescent="0.2">
      <c r="A1299" s="70"/>
      <c r="B1299" s="91"/>
      <c r="D1299" s="1256"/>
      <c r="E1299" s="1256"/>
      <c r="F1299" s="1256"/>
      <c r="G1299" s="1256"/>
      <c r="H1299" s="1256"/>
      <c r="I1299" s="1256"/>
      <c r="J1299" s="1256"/>
      <c r="K1299" s="1256"/>
      <c r="L1299" s="1256"/>
      <c r="M1299" s="1256"/>
      <c r="N1299" s="1256"/>
      <c r="O1299" s="1256"/>
      <c r="P1299" s="1256"/>
      <c r="Q1299" s="1256"/>
      <c r="R1299" s="1256"/>
      <c r="S1299" s="1256"/>
      <c r="T1299" s="1256"/>
      <c r="U1299" s="1256"/>
      <c r="V1299" s="1256"/>
      <c r="W1299" s="1256"/>
      <c r="X1299" s="1256"/>
      <c r="Y1299" s="1256"/>
      <c r="Z1299" s="1256"/>
      <c r="AA1299" s="1256"/>
      <c r="AB1299" s="1256"/>
      <c r="AC1299" s="1256"/>
      <c r="AD1299" s="1256"/>
      <c r="AE1299" s="1256"/>
      <c r="AF1299" s="1256"/>
      <c r="AG1299" s="1256"/>
      <c r="AH1299" s="1256"/>
      <c r="AI1299" s="1256"/>
      <c r="AJ1299" s="1256"/>
      <c r="AK1299" s="1256"/>
      <c r="AL1299" s="1256"/>
      <c r="AM1299" s="1256"/>
      <c r="AN1299" s="1256"/>
      <c r="AO1299" s="1256"/>
      <c r="AP1299" s="1256"/>
      <c r="AQ1299" s="1256"/>
      <c r="AR1299" s="1236"/>
      <c r="AS1299" s="1584"/>
      <c r="AT1299" s="407"/>
      <c r="AU1299" s="1263"/>
      <c r="AV1299" s="1263"/>
      <c r="AW1299" s="1263"/>
      <c r="AX1299" s="1263"/>
      <c r="AY1299" s="1263"/>
      <c r="AZ1299" s="1263"/>
      <c r="BA1299" s="1263"/>
      <c r="BB1299" s="1256"/>
      <c r="BC1299" s="1256"/>
      <c r="BD1299" s="1256"/>
      <c r="BE1299" s="1256"/>
    </row>
    <row r="1300" spans="1:57" x14ac:dyDescent="0.2">
      <c r="A1300" s="70"/>
      <c r="B1300" s="35"/>
      <c r="D1300" s="1329"/>
      <c r="E1300" s="1329"/>
      <c r="F1300" s="1329"/>
      <c r="G1300" s="1329"/>
      <c r="H1300" s="1329"/>
      <c r="I1300" s="1329"/>
      <c r="J1300" s="1329"/>
      <c r="K1300" s="1329"/>
      <c r="L1300" s="1329"/>
      <c r="M1300" s="1329"/>
      <c r="N1300" s="1329"/>
      <c r="O1300" s="1329"/>
      <c r="P1300" s="1329"/>
      <c r="Q1300" s="1329"/>
      <c r="R1300" s="1329"/>
      <c r="S1300" s="1329"/>
      <c r="T1300" s="1329"/>
      <c r="U1300" s="1329"/>
      <c r="V1300" s="1329"/>
      <c r="W1300" s="1329"/>
      <c r="X1300" s="1329"/>
      <c r="Y1300" s="1329"/>
      <c r="Z1300" s="407"/>
      <c r="AA1300" s="407"/>
      <c r="AB1300" s="407"/>
      <c r="AC1300" s="407"/>
      <c r="AD1300" s="407"/>
      <c r="AE1300" s="407"/>
      <c r="AF1300" s="407"/>
      <c r="AG1300" s="407"/>
      <c r="AH1300" s="407"/>
      <c r="AI1300" s="407"/>
      <c r="AJ1300" s="407"/>
      <c r="AK1300" s="407"/>
      <c r="AL1300" s="407"/>
      <c r="AM1300" s="407"/>
      <c r="AN1300" s="407"/>
      <c r="AO1300" s="407"/>
      <c r="AP1300" s="407"/>
      <c r="AQ1300" s="407"/>
      <c r="AR1300" s="1236"/>
      <c r="AS1300" s="407"/>
      <c r="AT1300" s="407"/>
      <c r="AU1300" s="1236"/>
      <c r="AV1300" s="1236"/>
      <c r="AW1300" s="1236"/>
      <c r="AX1300" s="1236"/>
      <c r="AY1300" s="1236"/>
      <c r="AZ1300" s="1236"/>
      <c r="BA1300" s="1236"/>
      <c r="BB1300" s="407"/>
      <c r="BC1300" s="407"/>
      <c r="BD1300" s="407"/>
      <c r="BE1300" s="407"/>
    </row>
    <row r="1301" spans="1:57" x14ac:dyDescent="0.2">
      <c r="A1301" s="70"/>
      <c r="B1301" s="110"/>
      <c r="D1301" s="1329"/>
      <c r="E1301" s="1329"/>
      <c r="F1301" s="1329"/>
      <c r="G1301" s="1329"/>
      <c r="H1301" s="1329"/>
      <c r="I1301" s="1329"/>
      <c r="J1301" s="1329"/>
      <c r="K1301" s="1329"/>
      <c r="L1301" s="1329"/>
      <c r="M1301" s="1329"/>
      <c r="N1301" s="1329"/>
      <c r="O1301" s="1329"/>
      <c r="P1301" s="1329"/>
      <c r="Q1301" s="1329"/>
      <c r="R1301" s="1329"/>
      <c r="S1301" s="1329"/>
      <c r="T1301" s="1329"/>
      <c r="U1301" s="1329"/>
      <c r="V1301" s="1329"/>
      <c r="W1301" s="1329"/>
      <c r="X1301" s="1329"/>
      <c r="Y1301" s="1329"/>
      <c r="Z1301" s="407"/>
      <c r="AA1301" s="407"/>
      <c r="AB1301" s="407"/>
      <c r="AC1301" s="407"/>
      <c r="AD1301" s="407"/>
      <c r="AE1301" s="407"/>
      <c r="AF1301" s="407"/>
      <c r="AG1301" s="407"/>
      <c r="AH1301" s="407"/>
      <c r="AI1301" s="407"/>
      <c r="AJ1301" s="407"/>
      <c r="AK1301" s="407"/>
      <c r="AL1301" s="407"/>
      <c r="AM1301" s="407"/>
      <c r="AN1301" s="407"/>
      <c r="AO1301" s="407"/>
      <c r="AP1301" s="407"/>
      <c r="AQ1301" s="407"/>
      <c r="AR1301" s="1236"/>
      <c r="AS1301" s="1484"/>
      <c r="AT1301" s="407"/>
      <c r="AU1301" s="1236"/>
      <c r="AV1301" s="1236"/>
      <c r="AW1301" s="1236"/>
      <c r="AX1301" s="1236"/>
      <c r="AY1301" s="1236"/>
      <c r="AZ1301" s="1236"/>
      <c r="BA1301" s="1236"/>
      <c r="BB1301" s="407"/>
      <c r="BC1301" s="407"/>
      <c r="BD1301" s="407"/>
      <c r="BE1301" s="407"/>
    </row>
    <row r="1302" spans="1:57" x14ac:dyDescent="0.2">
      <c r="A1302" s="70"/>
      <c r="B1302" s="35"/>
      <c r="D1302" s="407"/>
      <c r="E1302" s="407"/>
      <c r="F1302" s="407"/>
      <c r="G1302" s="407"/>
      <c r="H1302" s="407"/>
      <c r="I1302" s="407"/>
      <c r="J1302" s="407"/>
      <c r="K1302" s="407"/>
      <c r="L1302" s="407"/>
      <c r="M1302" s="407"/>
      <c r="N1302" s="407"/>
      <c r="O1302" s="407"/>
      <c r="P1302" s="407"/>
      <c r="Q1302" s="407"/>
      <c r="R1302" s="407"/>
      <c r="S1302" s="407"/>
      <c r="T1302" s="407"/>
      <c r="U1302" s="407"/>
      <c r="V1302" s="407"/>
      <c r="W1302" s="407"/>
      <c r="X1302" s="407"/>
      <c r="Y1302" s="407"/>
      <c r="Z1302" s="407"/>
      <c r="AA1302" s="407"/>
      <c r="AB1302" s="407"/>
      <c r="AC1302" s="407"/>
      <c r="AD1302" s="407"/>
      <c r="AE1302" s="407"/>
      <c r="AF1302" s="407"/>
      <c r="AG1302" s="407"/>
      <c r="AH1302" s="407"/>
      <c r="AI1302" s="407"/>
      <c r="AJ1302" s="407"/>
      <c r="AK1302" s="407"/>
      <c r="AL1302" s="407"/>
      <c r="AM1302" s="407"/>
      <c r="AN1302" s="407"/>
      <c r="AO1302" s="407"/>
      <c r="AP1302" s="407"/>
      <c r="AQ1302" s="407"/>
      <c r="AR1302" s="1236"/>
      <c r="AS1302" s="407"/>
      <c r="AT1302" s="407"/>
      <c r="AU1302" s="1263"/>
      <c r="AV1302" s="1263"/>
      <c r="AW1302" s="1263"/>
      <c r="AX1302" s="1263"/>
      <c r="AY1302" s="1263"/>
      <c r="AZ1302" s="1263"/>
      <c r="BA1302" s="1263"/>
      <c r="BB1302" s="407"/>
      <c r="BC1302" s="407"/>
      <c r="BD1302" s="407"/>
      <c r="BE1302" s="407"/>
    </row>
    <row r="1303" spans="1:57" x14ac:dyDescent="0.2">
      <c r="A1303" s="70"/>
      <c r="B1303" s="334"/>
      <c r="D1303" s="1256"/>
      <c r="E1303" s="1256"/>
      <c r="F1303" s="1256"/>
      <c r="G1303" s="1256"/>
      <c r="H1303" s="1256"/>
      <c r="I1303" s="1256"/>
      <c r="J1303" s="1256"/>
      <c r="K1303" s="1256"/>
      <c r="L1303" s="1256"/>
      <c r="M1303" s="1256"/>
      <c r="N1303" s="1256"/>
      <c r="O1303" s="1256"/>
      <c r="P1303" s="1256"/>
      <c r="Q1303" s="1256"/>
      <c r="R1303" s="1256"/>
      <c r="S1303" s="1256"/>
      <c r="T1303" s="1256"/>
      <c r="U1303" s="1256"/>
      <c r="V1303" s="1256"/>
      <c r="W1303" s="1256"/>
      <c r="X1303" s="1256"/>
      <c r="Y1303" s="1256"/>
      <c r="Z1303" s="1256"/>
      <c r="AA1303" s="1256"/>
      <c r="AB1303" s="1256"/>
      <c r="AC1303" s="1256"/>
      <c r="AD1303" s="1256"/>
      <c r="AE1303" s="1256"/>
      <c r="AF1303" s="1256"/>
      <c r="AG1303" s="1256"/>
      <c r="AH1303" s="1256"/>
      <c r="AI1303" s="1256"/>
      <c r="AJ1303" s="1256"/>
      <c r="AK1303" s="1256"/>
      <c r="AL1303" s="1256"/>
      <c r="AM1303" s="1256"/>
      <c r="AN1303" s="1256"/>
      <c r="AO1303" s="1256"/>
      <c r="AP1303" s="1256"/>
      <c r="AQ1303" s="1256"/>
      <c r="AR1303" s="1236"/>
      <c r="AS1303" s="1410"/>
      <c r="AT1303" s="407"/>
      <c r="AU1303" s="1256"/>
      <c r="AV1303" s="1256"/>
      <c r="AW1303" s="1256"/>
      <c r="AX1303" s="1256"/>
      <c r="AY1303" s="1256"/>
      <c r="AZ1303" s="1256"/>
      <c r="BA1303" s="1256"/>
      <c r="BB1303" s="1256"/>
      <c r="BC1303" s="1256"/>
      <c r="BD1303" s="1256"/>
      <c r="BE1303" s="1256"/>
    </row>
    <row r="1304" spans="1:57" x14ac:dyDescent="0.2">
      <c r="A1304" s="70"/>
      <c r="B1304" s="35"/>
      <c r="D1304" s="1329"/>
      <c r="E1304" s="1329"/>
      <c r="F1304" s="1329"/>
      <c r="G1304" s="1329"/>
      <c r="H1304" s="1329"/>
      <c r="I1304" s="1329"/>
      <c r="J1304" s="1329"/>
      <c r="K1304" s="1329"/>
      <c r="L1304" s="1329"/>
      <c r="M1304" s="1329"/>
      <c r="N1304" s="1329"/>
      <c r="O1304" s="1329"/>
      <c r="P1304" s="1329"/>
      <c r="Q1304" s="1329"/>
      <c r="R1304" s="1329"/>
      <c r="S1304" s="1329"/>
      <c r="T1304" s="1329"/>
      <c r="U1304" s="1329"/>
      <c r="V1304" s="1329"/>
      <c r="W1304" s="1329"/>
      <c r="X1304" s="1329"/>
      <c r="Y1304" s="1329"/>
      <c r="Z1304" s="407"/>
      <c r="AA1304" s="407"/>
      <c r="AB1304" s="407"/>
      <c r="AC1304" s="407"/>
      <c r="AD1304" s="407"/>
      <c r="AE1304" s="407"/>
      <c r="AF1304" s="407"/>
      <c r="AG1304" s="407"/>
      <c r="AH1304" s="407"/>
      <c r="AI1304" s="407"/>
      <c r="AJ1304" s="407"/>
      <c r="AK1304" s="407"/>
      <c r="AL1304" s="407"/>
      <c r="AM1304" s="407"/>
      <c r="AN1304" s="407"/>
      <c r="AO1304" s="407"/>
      <c r="AP1304" s="407"/>
      <c r="AQ1304" s="407"/>
      <c r="AR1304" s="1236"/>
      <c r="AS1304" s="407"/>
      <c r="AT1304" s="407"/>
      <c r="AU1304" s="1236"/>
      <c r="AV1304" s="1236"/>
      <c r="AW1304" s="1236"/>
      <c r="AX1304" s="1236"/>
      <c r="AY1304" s="1236"/>
      <c r="AZ1304" s="1236"/>
      <c r="BA1304" s="1236"/>
      <c r="BB1304" s="407"/>
      <c r="BC1304" s="407"/>
      <c r="BD1304" s="407"/>
      <c r="BE1304" s="407"/>
    </row>
    <row r="1305" spans="1:57" x14ac:dyDescent="0.2">
      <c r="A1305" s="70"/>
      <c r="B1305" s="110"/>
      <c r="D1305" s="1329"/>
      <c r="E1305" s="1329"/>
      <c r="F1305" s="1329"/>
      <c r="G1305" s="1329"/>
      <c r="H1305" s="1329"/>
      <c r="I1305" s="1329"/>
      <c r="J1305" s="1329"/>
      <c r="K1305" s="1329"/>
      <c r="L1305" s="1329"/>
      <c r="M1305" s="1329"/>
      <c r="N1305" s="1329"/>
      <c r="O1305" s="1329"/>
      <c r="P1305" s="1329"/>
      <c r="Q1305" s="1329"/>
      <c r="R1305" s="1329"/>
      <c r="S1305" s="1329"/>
      <c r="T1305" s="1329"/>
      <c r="U1305" s="1329"/>
      <c r="V1305" s="1329"/>
      <c r="W1305" s="1329"/>
      <c r="X1305" s="1329"/>
      <c r="Y1305" s="1329"/>
      <c r="Z1305" s="407"/>
      <c r="AA1305" s="407"/>
      <c r="AB1305" s="407"/>
      <c r="AC1305" s="407"/>
      <c r="AD1305" s="407"/>
      <c r="AE1305" s="407"/>
      <c r="AF1305" s="407"/>
      <c r="AG1305" s="407"/>
      <c r="AH1305" s="407"/>
      <c r="AI1305" s="407"/>
      <c r="AJ1305" s="407"/>
      <c r="AK1305" s="407"/>
      <c r="AL1305" s="407"/>
      <c r="AM1305" s="407"/>
      <c r="AN1305" s="407"/>
      <c r="AO1305" s="407"/>
      <c r="AP1305" s="407"/>
      <c r="AQ1305" s="407"/>
      <c r="AR1305" s="1236"/>
      <c r="AS1305" s="1484"/>
      <c r="AT1305" s="407"/>
      <c r="AU1305" s="1236"/>
      <c r="AV1305" s="1236"/>
      <c r="AW1305" s="1236"/>
      <c r="AX1305" s="1236"/>
      <c r="AY1305" s="1236"/>
      <c r="AZ1305" s="1236"/>
      <c r="BA1305" s="1236"/>
      <c r="BB1305" s="407"/>
      <c r="BC1305" s="407"/>
      <c r="BD1305" s="407"/>
      <c r="BE1305" s="407"/>
    </row>
    <row r="1306" spans="1:57" x14ac:dyDescent="0.2">
      <c r="A1306" s="70"/>
      <c r="B1306" s="334"/>
      <c r="C1306" s="369"/>
      <c r="D1306" s="1247"/>
      <c r="E1306" s="1247"/>
      <c r="F1306" s="1247"/>
      <c r="G1306" s="1247"/>
      <c r="H1306" s="1247"/>
      <c r="I1306" s="1247"/>
      <c r="J1306" s="1247"/>
      <c r="K1306" s="1247"/>
      <c r="L1306" s="1247"/>
      <c r="M1306" s="1247"/>
      <c r="N1306" s="1247"/>
      <c r="O1306" s="1247"/>
      <c r="P1306" s="1247"/>
      <c r="Q1306" s="1247"/>
      <c r="R1306" s="1247"/>
      <c r="S1306" s="1247"/>
      <c r="T1306" s="1247"/>
      <c r="U1306" s="1247"/>
      <c r="V1306" s="1247"/>
      <c r="W1306" s="1247"/>
      <c r="X1306" s="1247"/>
      <c r="Y1306" s="1247"/>
      <c r="Z1306" s="1247"/>
      <c r="AA1306" s="1247"/>
      <c r="AB1306" s="1247"/>
      <c r="AC1306" s="1247"/>
      <c r="AD1306" s="1247"/>
      <c r="AE1306" s="1247"/>
      <c r="AF1306" s="1247"/>
      <c r="AG1306" s="1247"/>
      <c r="AH1306" s="1247"/>
      <c r="AI1306" s="1247"/>
      <c r="AJ1306" s="1247"/>
      <c r="AK1306" s="1247"/>
      <c r="AL1306" s="1247"/>
      <c r="AM1306" s="1247"/>
      <c r="AN1306" s="1247"/>
      <c r="AO1306" s="1247"/>
      <c r="AP1306" s="1247"/>
      <c r="AQ1306" s="1247"/>
      <c r="AR1306" s="1236"/>
      <c r="AS1306" s="1410"/>
      <c r="AT1306" s="1263"/>
      <c r="AU1306" s="1263"/>
      <c r="AV1306" s="1263"/>
      <c r="AW1306" s="1263"/>
      <c r="AX1306" s="1263"/>
      <c r="AY1306" s="1263"/>
      <c r="AZ1306" s="1263"/>
      <c r="BA1306" s="1263"/>
      <c r="BB1306" s="1247"/>
      <c r="BC1306" s="1247"/>
      <c r="BD1306" s="1247"/>
      <c r="BE1306" s="1247"/>
    </row>
    <row r="1307" spans="1:57" x14ac:dyDescent="0.2">
      <c r="A1307" s="70"/>
      <c r="B1307" s="334"/>
      <c r="C1307" s="369"/>
      <c r="D1307" s="1436"/>
      <c r="E1307" s="1436"/>
      <c r="F1307" s="1436"/>
      <c r="G1307" s="1436"/>
      <c r="H1307" s="1436"/>
      <c r="I1307" s="1436"/>
      <c r="J1307" s="1436"/>
      <c r="K1307" s="1436"/>
      <c r="L1307" s="1436"/>
      <c r="M1307" s="1436"/>
      <c r="N1307" s="1436"/>
      <c r="O1307" s="1436"/>
      <c r="P1307" s="1436"/>
      <c r="Q1307" s="1436"/>
      <c r="R1307" s="1436"/>
      <c r="S1307" s="1436"/>
      <c r="T1307" s="1436"/>
      <c r="U1307" s="1436"/>
      <c r="V1307" s="1436"/>
      <c r="W1307" s="1436"/>
      <c r="X1307" s="1436"/>
      <c r="Y1307" s="1436"/>
      <c r="Z1307" s="1436"/>
      <c r="AA1307" s="1436"/>
      <c r="AB1307" s="1436"/>
      <c r="AC1307" s="1436"/>
      <c r="AD1307" s="1436"/>
      <c r="AE1307" s="1436"/>
      <c r="AF1307" s="1436"/>
      <c r="AG1307" s="1436"/>
      <c r="AH1307" s="1436"/>
      <c r="AI1307" s="1436"/>
      <c r="AJ1307" s="1436"/>
      <c r="AK1307" s="1436"/>
      <c r="AL1307" s="1436"/>
      <c r="AM1307" s="1436"/>
      <c r="AN1307" s="1436"/>
      <c r="AO1307" s="1436"/>
      <c r="AP1307" s="1436"/>
      <c r="AQ1307" s="1436"/>
      <c r="AR1307" s="1236"/>
      <c r="AS1307" s="1410"/>
      <c r="AT1307" s="1263"/>
      <c r="AU1307" s="1236"/>
      <c r="AV1307" s="1236"/>
      <c r="AW1307" s="1236"/>
      <c r="AX1307" s="1236"/>
      <c r="AY1307" s="1236"/>
      <c r="AZ1307" s="1236"/>
      <c r="BA1307" s="1236"/>
      <c r="BB1307" s="1436"/>
      <c r="BC1307" s="1436"/>
      <c r="BD1307" s="1436"/>
      <c r="BE1307" s="1436"/>
    </row>
    <row r="1308" spans="1:57" x14ac:dyDescent="0.2">
      <c r="A1308" s="70"/>
      <c r="B1308" s="334"/>
      <c r="C1308" s="369"/>
      <c r="D1308" s="1247"/>
      <c r="E1308" s="1247"/>
      <c r="F1308" s="1247"/>
      <c r="G1308" s="1247"/>
      <c r="H1308" s="1247"/>
      <c r="I1308" s="1247"/>
      <c r="J1308" s="1247"/>
      <c r="K1308" s="1247"/>
      <c r="L1308" s="1247"/>
      <c r="M1308" s="1247"/>
      <c r="N1308" s="1247"/>
      <c r="O1308" s="1247"/>
      <c r="P1308" s="1247"/>
      <c r="Q1308" s="1247"/>
      <c r="R1308" s="1247"/>
      <c r="S1308" s="1247"/>
      <c r="T1308" s="1247"/>
      <c r="U1308" s="1247"/>
      <c r="V1308" s="1247"/>
      <c r="W1308" s="1247"/>
      <c r="X1308" s="1247"/>
      <c r="Y1308" s="1247"/>
      <c r="Z1308" s="1247"/>
      <c r="AA1308" s="1247"/>
      <c r="AB1308" s="1247"/>
      <c r="AC1308" s="1247"/>
      <c r="AD1308" s="1247"/>
      <c r="AE1308" s="1247"/>
      <c r="AF1308" s="1247"/>
      <c r="AG1308" s="1247"/>
      <c r="AH1308" s="1247"/>
      <c r="AI1308" s="1247"/>
      <c r="AJ1308" s="1247"/>
      <c r="AK1308" s="1247"/>
      <c r="AL1308" s="1247"/>
      <c r="AM1308" s="1247"/>
      <c r="AN1308" s="1247"/>
      <c r="AO1308" s="1247"/>
      <c r="AP1308" s="1247"/>
      <c r="AQ1308" s="1247"/>
      <c r="AR1308" s="1236"/>
      <c r="AS1308" s="1410"/>
      <c r="AT1308" s="1263"/>
      <c r="AU1308" s="1263"/>
      <c r="AV1308" s="1263"/>
      <c r="AW1308" s="1263"/>
      <c r="AX1308" s="1263"/>
      <c r="AY1308" s="1263"/>
      <c r="AZ1308" s="1263"/>
      <c r="BA1308" s="1263"/>
      <c r="BB1308" s="1247"/>
      <c r="BC1308" s="1247"/>
      <c r="BD1308" s="1247"/>
      <c r="BE1308" s="1247"/>
    </row>
    <row r="1309" spans="1:57" x14ac:dyDescent="0.2">
      <c r="A1309" s="70"/>
      <c r="B1309" s="369"/>
      <c r="C1309" s="369"/>
      <c r="D1309" s="1247"/>
      <c r="E1309" s="1247"/>
      <c r="F1309" s="1247"/>
      <c r="G1309" s="1247"/>
      <c r="H1309" s="1247"/>
      <c r="I1309" s="1247"/>
      <c r="J1309" s="1247"/>
      <c r="K1309" s="1247"/>
      <c r="L1309" s="1247"/>
      <c r="M1309" s="1247"/>
      <c r="N1309" s="1247"/>
      <c r="O1309" s="1247"/>
      <c r="P1309" s="1247"/>
      <c r="Q1309" s="1247"/>
      <c r="R1309" s="1247"/>
      <c r="S1309" s="1247"/>
      <c r="T1309" s="1247"/>
      <c r="U1309" s="1247"/>
      <c r="V1309" s="1247"/>
      <c r="W1309" s="1247"/>
      <c r="X1309" s="1247"/>
      <c r="Y1309" s="1247"/>
      <c r="Z1309" s="1247"/>
      <c r="AA1309" s="1247"/>
      <c r="AB1309" s="1247"/>
      <c r="AC1309" s="1247"/>
      <c r="AD1309" s="1247"/>
      <c r="AE1309" s="1247"/>
      <c r="AF1309" s="1247"/>
      <c r="AG1309" s="1247"/>
      <c r="AH1309" s="1247"/>
      <c r="AI1309" s="1247"/>
      <c r="AJ1309" s="1247"/>
      <c r="AK1309" s="1247"/>
      <c r="AL1309" s="1247"/>
      <c r="AM1309" s="1247"/>
      <c r="AN1309" s="1247"/>
      <c r="AO1309" s="1247"/>
      <c r="AP1309" s="1247"/>
      <c r="AQ1309" s="1247"/>
      <c r="AR1309" s="1236"/>
      <c r="AS1309" s="1263"/>
      <c r="AT1309" s="1263"/>
      <c r="AU1309" s="1263"/>
      <c r="AV1309" s="1263"/>
      <c r="AW1309" s="1263"/>
      <c r="AX1309" s="1263"/>
      <c r="AY1309" s="1263"/>
      <c r="AZ1309" s="1263"/>
      <c r="BA1309" s="1263"/>
      <c r="BB1309" s="1247"/>
      <c r="BC1309" s="1247"/>
      <c r="BD1309" s="1247"/>
      <c r="BE1309" s="1247"/>
    </row>
    <row r="1310" spans="1:57" x14ac:dyDescent="0.2">
      <c r="A1310" s="70"/>
      <c r="B1310" s="369"/>
      <c r="C1310" s="785"/>
      <c r="D1310" s="1253"/>
      <c r="E1310" s="1253"/>
      <c r="F1310" s="1253"/>
      <c r="G1310" s="1253"/>
      <c r="H1310" s="1253"/>
      <c r="I1310" s="1253"/>
      <c r="J1310" s="1253"/>
      <c r="K1310" s="1253"/>
      <c r="L1310" s="1253"/>
      <c r="M1310" s="1253"/>
      <c r="N1310" s="1253"/>
      <c r="O1310" s="1253"/>
      <c r="P1310" s="1253"/>
      <c r="Q1310" s="1253"/>
      <c r="R1310" s="1253"/>
      <c r="S1310" s="1253"/>
      <c r="T1310" s="1253"/>
      <c r="U1310" s="1253"/>
      <c r="V1310" s="1253"/>
      <c r="W1310" s="1253"/>
      <c r="X1310" s="1253"/>
      <c r="Y1310" s="1253"/>
      <c r="Z1310" s="1582"/>
      <c r="AA1310" s="1582"/>
      <c r="AB1310" s="1582"/>
      <c r="AC1310" s="1582"/>
      <c r="AD1310" s="1582"/>
      <c r="AE1310" s="1582"/>
      <c r="AF1310" s="1582"/>
      <c r="AG1310" s="1582"/>
      <c r="AH1310" s="1582"/>
      <c r="AI1310" s="1582"/>
      <c r="AJ1310" s="1582"/>
      <c r="AK1310" s="1582"/>
      <c r="AL1310" s="1582"/>
      <c r="AM1310" s="1582"/>
      <c r="AN1310" s="1582"/>
      <c r="AO1310" s="1582"/>
      <c r="AP1310" s="1582"/>
      <c r="AQ1310" s="1582"/>
      <c r="AR1310" s="1236"/>
      <c r="AS1310" s="1263"/>
      <c r="AT1310" s="1492"/>
      <c r="AU1310" s="1263"/>
      <c r="AV1310" s="1263"/>
      <c r="AW1310" s="1263"/>
      <c r="AX1310" s="1263"/>
      <c r="AY1310" s="1263"/>
      <c r="AZ1310" s="1263"/>
      <c r="BA1310" s="1263"/>
      <c r="BB1310" s="1582"/>
      <c r="BC1310" s="1582"/>
      <c r="BD1310" s="1582"/>
      <c r="BE1310" s="1582"/>
    </row>
    <row r="1311" spans="1:57" x14ac:dyDescent="0.2">
      <c r="A1311" s="70"/>
      <c r="B1311" s="369"/>
      <c r="C1311" s="785"/>
      <c r="D1311" s="1408"/>
      <c r="E1311" s="1408"/>
      <c r="F1311" s="1408"/>
      <c r="G1311" s="1408"/>
      <c r="H1311" s="1408"/>
      <c r="I1311" s="1408"/>
      <c r="J1311" s="1408"/>
      <c r="K1311" s="1408"/>
      <c r="L1311" s="1408"/>
      <c r="M1311" s="1408"/>
      <c r="N1311" s="1408"/>
      <c r="O1311" s="1408"/>
      <c r="P1311" s="1408"/>
      <c r="Q1311" s="1408"/>
      <c r="R1311" s="1408"/>
      <c r="S1311" s="1408"/>
      <c r="T1311" s="1408"/>
      <c r="U1311" s="1408"/>
      <c r="V1311" s="1408"/>
      <c r="W1311" s="1408"/>
      <c r="X1311" s="1408"/>
      <c r="Y1311" s="1408"/>
      <c r="Z1311" s="1583"/>
      <c r="AA1311" s="1583"/>
      <c r="AB1311" s="1583"/>
      <c r="AC1311" s="1583"/>
      <c r="AD1311" s="1583"/>
      <c r="AE1311" s="1583"/>
      <c r="AF1311" s="1583"/>
      <c r="AG1311" s="1583"/>
      <c r="AH1311" s="1583"/>
      <c r="AI1311" s="1583"/>
      <c r="AJ1311" s="1748"/>
      <c r="AK1311" s="1748"/>
      <c r="AL1311" s="1748"/>
      <c r="AM1311" s="1748"/>
      <c r="AN1311" s="1748"/>
      <c r="AO1311" s="1748"/>
      <c r="AP1311" s="1748"/>
      <c r="AQ1311" s="1748"/>
      <c r="AR1311" s="1236"/>
      <c r="AS1311" s="1263"/>
      <c r="AT1311" s="1492"/>
      <c r="AU1311" s="1270"/>
      <c r="AV1311" s="1270"/>
      <c r="AW1311" s="1270"/>
      <c r="AX1311" s="1270"/>
      <c r="AY1311" s="1270"/>
      <c r="AZ1311" s="1270"/>
      <c r="BA1311" s="1270"/>
      <c r="BB1311" s="1583"/>
      <c r="BC1311" s="1583"/>
      <c r="BD1311" s="1583"/>
      <c r="BE1311" s="1583"/>
    </row>
    <row r="1312" spans="1:57" x14ac:dyDescent="0.2">
      <c r="A1312" s="70"/>
      <c r="B1312" s="369"/>
      <c r="C1312" s="369"/>
      <c r="D1312" s="1439"/>
      <c r="E1312" s="1439"/>
      <c r="F1312" s="1439"/>
      <c r="G1312" s="1439"/>
      <c r="H1312" s="1439"/>
      <c r="I1312" s="1439"/>
      <c r="J1312" s="1439"/>
      <c r="K1312" s="1439"/>
      <c r="L1312" s="1439"/>
      <c r="M1312" s="1439"/>
      <c r="N1312" s="1439"/>
      <c r="O1312" s="1439"/>
      <c r="P1312" s="1439"/>
      <c r="Q1312" s="1439"/>
      <c r="R1312" s="1439"/>
      <c r="S1312" s="1439"/>
      <c r="T1312" s="1439"/>
      <c r="U1312" s="1439"/>
      <c r="V1312" s="1439"/>
      <c r="W1312" s="1439"/>
      <c r="X1312" s="1439"/>
      <c r="Y1312" s="1439"/>
      <c r="Z1312" s="1439"/>
      <c r="AA1312" s="1439"/>
      <c r="AB1312" s="1439"/>
      <c r="AC1312" s="1439"/>
      <c r="AD1312" s="1439"/>
      <c r="AE1312" s="1439"/>
      <c r="AF1312" s="1439"/>
      <c r="AG1312" s="1439"/>
      <c r="AH1312" s="1439"/>
      <c r="AI1312" s="1439"/>
      <c r="AJ1312" s="1267"/>
      <c r="AK1312" s="1267"/>
      <c r="AL1312" s="1267"/>
      <c r="AM1312" s="1267"/>
      <c r="AN1312" s="1267"/>
      <c r="AO1312" s="1267"/>
      <c r="AP1312" s="1267"/>
      <c r="AQ1312" s="1267"/>
      <c r="AR1312" s="1236"/>
      <c r="AS1312" s="1263"/>
      <c r="AT1312" s="1263"/>
      <c r="AU1312" s="1267"/>
      <c r="AV1312" s="1267"/>
      <c r="AW1312" s="1267"/>
      <c r="AX1312" s="1267"/>
      <c r="AY1312" s="1267"/>
      <c r="AZ1312" s="1267"/>
      <c r="BA1312" s="1267"/>
      <c r="BB1312" s="1439"/>
      <c r="BC1312" s="1439"/>
      <c r="BD1312" s="1439"/>
      <c r="BE1312" s="1439"/>
    </row>
    <row r="1313" spans="1:69" x14ac:dyDescent="0.2">
      <c r="A1313" s="70"/>
      <c r="B1313" s="369"/>
      <c r="C1313" s="369"/>
      <c r="D1313" s="1267"/>
      <c r="E1313" s="1267"/>
      <c r="F1313" s="1267"/>
      <c r="G1313" s="1267"/>
      <c r="H1313" s="1267"/>
      <c r="I1313" s="1267"/>
      <c r="J1313" s="1267"/>
      <c r="K1313" s="1267"/>
      <c r="L1313" s="1267"/>
      <c r="M1313" s="1267"/>
      <c r="N1313" s="1267"/>
      <c r="O1313" s="1267"/>
      <c r="P1313" s="1267"/>
      <c r="Q1313" s="1267"/>
      <c r="R1313" s="1267"/>
      <c r="S1313" s="1267"/>
      <c r="T1313" s="1267"/>
      <c r="U1313" s="1267"/>
      <c r="V1313" s="1267"/>
      <c r="W1313" s="1267"/>
      <c r="X1313" s="1267"/>
      <c r="Y1313" s="1267"/>
      <c r="Z1313" s="1267"/>
      <c r="AA1313" s="1267"/>
      <c r="AB1313" s="1267"/>
      <c r="AC1313" s="1267"/>
      <c r="AD1313" s="1267"/>
      <c r="AE1313" s="1267"/>
      <c r="AF1313" s="1267"/>
      <c r="AG1313" s="1267"/>
      <c r="AH1313" s="1267"/>
      <c r="AI1313" s="1267"/>
      <c r="AJ1313" s="1267"/>
      <c r="AK1313" s="1267"/>
      <c r="AL1313" s="1267"/>
      <c r="AM1313" s="1267"/>
      <c r="AN1313" s="1267"/>
      <c r="AO1313" s="1267"/>
      <c r="AP1313" s="1267"/>
      <c r="AQ1313" s="1267"/>
      <c r="AR1313" s="1236"/>
      <c r="AS1313" s="1263"/>
      <c r="AT1313" s="1263"/>
      <c r="AU1313" s="1301"/>
      <c r="AV1313" s="1301"/>
      <c r="AW1313" s="1301"/>
      <c r="AX1313" s="1301"/>
      <c r="AY1313" s="1301"/>
      <c r="AZ1313" s="1301"/>
      <c r="BA1313" s="1301"/>
      <c r="BB1313" s="1267"/>
      <c r="BC1313" s="1267"/>
      <c r="BD1313" s="1267"/>
      <c r="BE1313" s="1267"/>
    </row>
    <row r="1314" spans="1:69" x14ac:dyDescent="0.2">
      <c r="A1314" s="70"/>
      <c r="B1314" s="369"/>
      <c r="C1314" s="369"/>
      <c r="D1314" s="1267"/>
      <c r="E1314" s="1267"/>
      <c r="F1314" s="1267"/>
      <c r="G1314" s="1267"/>
      <c r="H1314" s="1267"/>
      <c r="I1314" s="1267"/>
      <c r="J1314" s="1267"/>
      <c r="K1314" s="1267"/>
      <c r="L1314" s="1267"/>
      <c r="M1314" s="1267"/>
      <c r="N1314" s="1267"/>
      <c r="O1314" s="1267"/>
      <c r="P1314" s="1267"/>
      <c r="Q1314" s="1267"/>
      <c r="R1314" s="1267"/>
      <c r="S1314" s="1267"/>
      <c r="T1314" s="1267"/>
      <c r="U1314" s="1267"/>
      <c r="V1314" s="1267"/>
      <c r="W1314" s="1267"/>
      <c r="X1314" s="1267"/>
      <c r="Y1314" s="1267"/>
      <c r="Z1314" s="1267"/>
      <c r="AA1314" s="1267"/>
      <c r="AB1314" s="1267"/>
      <c r="AC1314" s="1267"/>
      <c r="AD1314" s="1267"/>
      <c r="AE1314" s="1267"/>
      <c r="AF1314" s="1267"/>
      <c r="AG1314" s="1267"/>
      <c r="AH1314" s="1267"/>
      <c r="AI1314" s="1267"/>
      <c r="AJ1314" s="1267"/>
      <c r="AK1314" s="1267"/>
      <c r="AL1314" s="1267"/>
      <c r="AM1314" s="1267"/>
      <c r="AN1314" s="1267"/>
      <c r="AO1314" s="1267"/>
      <c r="AP1314" s="1267"/>
      <c r="AQ1314" s="1267"/>
      <c r="AR1314" s="1236"/>
      <c r="AS1314" s="1263"/>
      <c r="AT1314" s="1263"/>
      <c r="AU1314" s="1236"/>
      <c r="AV1314" s="1236"/>
      <c r="AW1314" s="1236"/>
      <c r="AX1314" s="1236"/>
      <c r="AY1314" s="1236"/>
      <c r="AZ1314" s="1236"/>
      <c r="BA1314" s="1236"/>
      <c r="BB1314" s="1267"/>
      <c r="BC1314" s="1267"/>
      <c r="BD1314" s="1267"/>
      <c r="BE1314" s="1267"/>
    </row>
    <row r="1315" spans="1:69" x14ac:dyDescent="0.2">
      <c r="A1315" s="70"/>
      <c r="B1315" s="334"/>
      <c r="C1315" s="382"/>
      <c r="D1315" s="1267"/>
      <c r="E1315" s="1267"/>
      <c r="F1315" s="1267"/>
      <c r="G1315" s="1267"/>
      <c r="H1315" s="1267"/>
      <c r="I1315" s="1267"/>
      <c r="J1315" s="1267"/>
      <c r="K1315" s="1267"/>
      <c r="L1315" s="1267"/>
      <c r="M1315" s="1267"/>
      <c r="N1315" s="1267"/>
      <c r="O1315" s="1267"/>
      <c r="P1315" s="1267"/>
      <c r="Q1315" s="1267"/>
      <c r="R1315" s="1267"/>
      <c r="S1315" s="1267"/>
      <c r="T1315" s="1267"/>
      <c r="U1315" s="1267"/>
      <c r="V1315" s="1267"/>
      <c r="W1315" s="1267"/>
      <c r="X1315" s="1267"/>
      <c r="Y1315" s="1267"/>
      <c r="Z1315" s="1267"/>
      <c r="AA1315" s="1267"/>
      <c r="AB1315" s="1267"/>
      <c r="AC1315" s="1267"/>
      <c r="AD1315" s="1267"/>
      <c r="AE1315" s="1267"/>
      <c r="AF1315" s="1267"/>
      <c r="AG1315" s="1267"/>
      <c r="AH1315" s="1267"/>
      <c r="AI1315" s="1267"/>
      <c r="AJ1315" s="1267"/>
      <c r="AK1315" s="1267"/>
      <c r="AL1315" s="1267"/>
      <c r="AM1315" s="1267"/>
      <c r="AN1315" s="1267"/>
      <c r="AO1315" s="1267"/>
      <c r="AP1315" s="1267"/>
      <c r="AQ1315" s="1267"/>
      <c r="AR1315" s="1236"/>
      <c r="AS1315" s="1410"/>
      <c r="AT1315" s="1308"/>
      <c r="AU1315" s="1267"/>
      <c r="AV1315" s="1267"/>
      <c r="AW1315" s="1267"/>
      <c r="AX1315" s="1267"/>
      <c r="AY1315" s="1267"/>
      <c r="AZ1315" s="1267"/>
      <c r="BA1315" s="1267"/>
      <c r="BB1315" s="1267"/>
      <c r="BC1315" s="1267"/>
      <c r="BD1315" s="1267"/>
      <c r="BE1315" s="1267"/>
    </row>
    <row r="1316" spans="1:69" x14ac:dyDescent="0.2">
      <c r="A1316" s="70"/>
      <c r="B1316" s="35"/>
      <c r="D1316" s="1329"/>
      <c r="E1316" s="1329"/>
      <c r="F1316" s="1329"/>
      <c r="G1316" s="1329"/>
      <c r="H1316" s="1329"/>
      <c r="I1316" s="1329"/>
      <c r="J1316" s="1329"/>
      <c r="K1316" s="1329"/>
      <c r="L1316" s="1329"/>
      <c r="M1316" s="1329"/>
      <c r="N1316" s="1329"/>
      <c r="O1316" s="1329"/>
      <c r="P1316" s="1329"/>
      <c r="Q1316" s="1329"/>
      <c r="R1316" s="1329"/>
      <c r="S1316" s="1329"/>
      <c r="T1316" s="1329"/>
      <c r="U1316" s="1329"/>
      <c r="V1316" s="1329"/>
      <c r="W1316" s="1329"/>
      <c r="X1316" s="1329"/>
      <c r="Y1316" s="1329"/>
      <c r="Z1316" s="407"/>
      <c r="AA1316" s="407"/>
      <c r="AB1316" s="407"/>
      <c r="AC1316" s="407"/>
      <c r="AD1316" s="407"/>
      <c r="AE1316" s="407"/>
      <c r="AF1316" s="407"/>
      <c r="AG1316" s="407"/>
      <c r="AH1316" s="407"/>
      <c r="AI1316" s="407"/>
      <c r="AJ1316" s="407"/>
      <c r="AK1316" s="407"/>
      <c r="AL1316" s="407"/>
      <c r="AM1316" s="407"/>
      <c r="AN1316" s="407"/>
      <c r="AO1316" s="407"/>
      <c r="AP1316" s="407"/>
      <c r="AQ1316" s="407"/>
      <c r="AR1316" s="1236"/>
      <c r="AS1316" s="407"/>
      <c r="AT1316" s="407"/>
      <c r="AU1316" s="1236"/>
      <c r="AV1316" s="1236"/>
      <c r="AW1316" s="1236"/>
      <c r="AX1316" s="1236"/>
      <c r="AY1316" s="1236"/>
      <c r="AZ1316" s="1236"/>
      <c r="BA1316" s="1236"/>
      <c r="BB1316" s="407"/>
      <c r="BC1316" s="407"/>
      <c r="BD1316" s="407"/>
      <c r="BE1316" s="407"/>
    </row>
    <row r="1317" spans="1:69" x14ac:dyDescent="0.2">
      <c r="A1317" s="70"/>
      <c r="B1317" s="65"/>
      <c r="D1317" s="1329"/>
      <c r="E1317" s="1329"/>
      <c r="F1317" s="1329"/>
      <c r="G1317" s="1329"/>
      <c r="H1317" s="1329"/>
      <c r="I1317" s="1329"/>
      <c r="J1317" s="1329"/>
      <c r="K1317" s="1329"/>
      <c r="L1317" s="1329"/>
      <c r="M1317" s="1329"/>
      <c r="N1317" s="1329"/>
      <c r="O1317" s="1329"/>
      <c r="P1317" s="1329"/>
      <c r="Q1317" s="1329"/>
      <c r="R1317" s="1329"/>
      <c r="S1317" s="1329"/>
      <c r="T1317" s="1329"/>
      <c r="U1317" s="1329"/>
      <c r="V1317" s="1329"/>
      <c r="W1317" s="1329"/>
      <c r="X1317" s="1329"/>
      <c r="Y1317" s="1329"/>
      <c r="Z1317" s="407"/>
      <c r="AA1317" s="407"/>
      <c r="AB1317" s="407"/>
      <c r="AC1317" s="407"/>
      <c r="AD1317" s="407"/>
      <c r="AE1317" s="407"/>
      <c r="AF1317" s="407"/>
      <c r="AG1317" s="407"/>
      <c r="AH1317" s="407"/>
      <c r="AI1317" s="407"/>
      <c r="AJ1317" s="407"/>
      <c r="AK1317" s="407"/>
      <c r="AL1317" s="407"/>
      <c r="AM1317" s="407"/>
      <c r="AN1317" s="407"/>
      <c r="AO1317" s="407"/>
      <c r="AP1317" s="407"/>
      <c r="AQ1317" s="407"/>
      <c r="AR1317" s="1236"/>
      <c r="AS1317" s="1329"/>
      <c r="AT1317" s="407"/>
      <c r="AU1317" s="1236"/>
      <c r="AV1317" s="1236"/>
      <c r="AW1317" s="1236"/>
      <c r="AX1317" s="1236"/>
      <c r="AY1317" s="1236"/>
      <c r="AZ1317" s="1236"/>
      <c r="BA1317" s="1236"/>
      <c r="BB1317" s="407"/>
      <c r="BC1317" s="407"/>
      <c r="BD1317" s="407"/>
      <c r="BE1317" s="407"/>
    </row>
    <row r="1318" spans="1:69" x14ac:dyDescent="0.2">
      <c r="A1318" s="70"/>
      <c r="B1318" s="90"/>
      <c r="D1318" s="1240"/>
      <c r="E1318" s="407"/>
      <c r="F1318" s="407"/>
      <c r="G1318" s="407"/>
      <c r="H1318" s="407"/>
      <c r="I1318" s="407"/>
      <c r="J1318" s="407"/>
      <c r="K1318" s="407"/>
      <c r="L1318" s="407"/>
      <c r="M1318" s="407"/>
      <c r="N1318" s="407"/>
      <c r="O1318" s="407"/>
      <c r="P1318" s="407"/>
      <c r="Q1318" s="407"/>
      <c r="R1318" s="407"/>
      <c r="S1318" s="407"/>
      <c r="T1318" s="407"/>
      <c r="U1318" s="407"/>
      <c r="V1318" s="407"/>
      <c r="W1318" s="407"/>
      <c r="X1318" s="407"/>
      <c r="Y1318" s="407"/>
      <c r="Z1318" s="407"/>
      <c r="AA1318" s="407"/>
      <c r="AB1318" s="407"/>
      <c r="AC1318" s="407"/>
      <c r="AD1318" s="407"/>
      <c r="AE1318" s="407"/>
      <c r="AF1318" s="407"/>
      <c r="AG1318" s="407"/>
      <c r="AH1318" s="407"/>
      <c r="AI1318" s="407"/>
      <c r="AJ1318" s="407"/>
      <c r="AK1318" s="407"/>
      <c r="AL1318" s="407"/>
      <c r="AM1318" s="407"/>
      <c r="AN1318" s="407"/>
      <c r="AO1318" s="407"/>
      <c r="AP1318" s="407"/>
      <c r="AQ1318" s="407"/>
      <c r="AR1318" s="1236"/>
      <c r="AS1318" s="1238"/>
      <c r="AT1318" s="407"/>
      <c r="AU1318" s="1263"/>
      <c r="AV1318" s="1263"/>
      <c r="AW1318" s="1263"/>
      <c r="AX1318" s="1263"/>
      <c r="AY1318" s="1263"/>
      <c r="AZ1318" s="1263"/>
      <c r="BA1318" s="1263"/>
      <c r="BB1318" s="407"/>
      <c r="BC1318" s="407"/>
      <c r="BD1318" s="407"/>
      <c r="BE1318" s="407"/>
    </row>
    <row r="1319" spans="1:69" x14ac:dyDescent="0.2">
      <c r="A1319" s="70"/>
      <c r="B1319" s="35"/>
      <c r="C1319" s="90"/>
      <c r="D1319" s="1253"/>
      <c r="E1319" s="1253"/>
      <c r="F1319" s="1253"/>
      <c r="G1319" s="1253"/>
      <c r="H1319" s="1253"/>
      <c r="I1319" s="1253"/>
      <c r="J1319" s="1253"/>
      <c r="K1319" s="1253"/>
      <c r="L1319" s="1253"/>
      <c r="M1319" s="1253"/>
      <c r="N1319" s="1253"/>
      <c r="O1319" s="1253"/>
      <c r="P1319" s="1253"/>
      <c r="Q1319" s="1253"/>
      <c r="R1319" s="1253"/>
      <c r="S1319" s="1253"/>
      <c r="T1319" s="1253"/>
      <c r="U1319" s="1253"/>
      <c r="V1319" s="1253"/>
      <c r="W1319" s="1253"/>
      <c r="X1319" s="1253"/>
      <c r="Y1319" s="1253"/>
      <c r="Z1319" s="1585"/>
      <c r="AA1319" s="1585"/>
      <c r="AB1319" s="1585"/>
      <c r="AC1319" s="1585"/>
      <c r="AD1319" s="1585"/>
      <c r="AE1319" s="1585"/>
      <c r="AF1319" s="1585"/>
      <c r="AG1319" s="1585"/>
      <c r="AH1319" s="1585"/>
      <c r="AI1319" s="1585"/>
      <c r="AJ1319" s="1585"/>
      <c r="AK1319" s="1585"/>
      <c r="AL1319" s="1585"/>
      <c r="AM1319" s="1585"/>
      <c r="AN1319" s="1585"/>
      <c r="AO1319" s="1585"/>
      <c r="AP1319" s="1585"/>
      <c r="AQ1319" s="1585"/>
      <c r="AR1319" s="1236"/>
      <c r="AS1319" s="407"/>
      <c r="AT1319" s="1238"/>
      <c r="AU1319" s="1236"/>
      <c r="AV1319" s="1236"/>
      <c r="AW1319" s="1236"/>
      <c r="AX1319" s="1236"/>
      <c r="AY1319" s="1236"/>
      <c r="AZ1319" s="1236"/>
      <c r="BA1319" s="1236"/>
      <c r="BB1319" s="1585"/>
      <c r="BC1319" s="1585"/>
      <c r="BD1319" s="1585"/>
      <c r="BE1319" s="1585"/>
    </row>
    <row r="1320" spans="1:69" x14ac:dyDescent="0.2">
      <c r="A1320" s="70"/>
      <c r="B1320" s="35"/>
      <c r="C1320" s="90"/>
      <c r="D1320" s="1307"/>
      <c r="E1320" s="1307"/>
      <c r="F1320" s="1307"/>
      <c r="G1320" s="1307"/>
      <c r="H1320" s="1307"/>
      <c r="I1320" s="1307"/>
      <c r="J1320" s="1307"/>
      <c r="K1320" s="1307"/>
      <c r="L1320" s="1307"/>
      <c r="M1320" s="1307"/>
      <c r="N1320" s="1307"/>
      <c r="O1320" s="1307"/>
      <c r="P1320" s="1307"/>
      <c r="Q1320" s="1307"/>
      <c r="R1320" s="1307"/>
      <c r="S1320" s="1307"/>
      <c r="T1320" s="1307"/>
      <c r="U1320" s="1307"/>
      <c r="V1320" s="1307"/>
      <c r="W1320" s="1307"/>
      <c r="X1320" s="1307"/>
      <c r="Y1320" s="1307"/>
      <c r="Z1320" s="1557"/>
      <c r="AA1320" s="1557"/>
      <c r="AB1320" s="1557"/>
      <c r="AC1320" s="1557"/>
      <c r="AD1320" s="1557"/>
      <c r="AE1320" s="1557"/>
      <c r="AF1320" s="1557"/>
      <c r="AG1320" s="1557"/>
      <c r="AH1320" s="1557"/>
      <c r="AI1320" s="1557"/>
      <c r="AJ1320" s="1241"/>
      <c r="AK1320" s="1241"/>
      <c r="AL1320" s="1241"/>
      <c r="AM1320" s="1241"/>
      <c r="AN1320" s="1241"/>
      <c r="AO1320" s="1241"/>
      <c r="AP1320" s="1241"/>
      <c r="AQ1320" s="1241"/>
      <c r="AR1320" s="1236"/>
      <c r="AS1320" s="407"/>
      <c r="AT1320" s="1238"/>
      <c r="AU1320" s="1246"/>
      <c r="AV1320" s="1246"/>
      <c r="AW1320" s="1246"/>
      <c r="AX1320" s="1246"/>
      <c r="AY1320" s="1246"/>
      <c r="AZ1320" s="1246"/>
      <c r="BA1320" s="1246"/>
      <c r="BB1320" s="1557"/>
      <c r="BC1320" s="1557"/>
      <c r="BD1320" s="1557"/>
      <c r="BE1320" s="1557"/>
    </row>
    <row r="1321" spans="1:69" x14ac:dyDescent="0.2">
      <c r="A1321" s="70"/>
      <c r="B1321" s="90"/>
      <c r="D1321" s="1240"/>
      <c r="E1321" s="1240"/>
      <c r="F1321" s="1240"/>
      <c r="G1321" s="1240"/>
      <c r="H1321" s="1240"/>
      <c r="I1321" s="1240"/>
      <c r="J1321" s="1240"/>
      <c r="K1321" s="1240"/>
      <c r="L1321" s="1240"/>
      <c r="M1321" s="1240"/>
      <c r="N1321" s="1240"/>
      <c r="O1321" s="1240"/>
      <c r="P1321" s="1240"/>
      <c r="Q1321" s="1240"/>
      <c r="R1321" s="1240"/>
      <c r="S1321" s="1240"/>
      <c r="T1321" s="1240"/>
      <c r="U1321" s="1240"/>
      <c r="V1321" s="1240"/>
      <c r="W1321" s="1240"/>
      <c r="X1321" s="1240"/>
      <c r="Y1321" s="1240"/>
      <c r="Z1321" s="407"/>
      <c r="AA1321" s="407"/>
      <c r="AB1321" s="407"/>
      <c r="AC1321" s="407"/>
      <c r="AD1321" s="407"/>
      <c r="AE1321" s="407"/>
      <c r="AF1321" s="407"/>
      <c r="AG1321" s="407"/>
      <c r="AH1321" s="407"/>
      <c r="AI1321" s="407"/>
      <c r="AJ1321" s="407"/>
      <c r="AK1321" s="407"/>
      <c r="AL1321" s="407"/>
      <c r="AM1321" s="407"/>
      <c r="AN1321" s="407"/>
      <c r="AO1321" s="407"/>
      <c r="AP1321" s="407"/>
      <c r="AQ1321" s="407"/>
      <c r="AR1321" s="1236"/>
      <c r="AS1321" s="1238"/>
      <c r="AT1321" s="407"/>
      <c r="AU1321" s="1263"/>
      <c r="AV1321" s="1263"/>
      <c r="AW1321" s="1263"/>
      <c r="AX1321" s="1263"/>
      <c r="AY1321" s="1263"/>
      <c r="AZ1321" s="1263"/>
      <c r="BA1321" s="1263"/>
      <c r="BB1321" s="407"/>
      <c r="BC1321" s="407"/>
      <c r="BD1321" s="407"/>
      <c r="BE1321" s="407"/>
      <c r="BM1321" s="238"/>
      <c r="BN1321" s="238"/>
      <c r="BO1321" s="238"/>
      <c r="BP1321" s="238"/>
      <c r="BQ1321" s="238"/>
    </row>
    <row r="1322" spans="1:69" x14ac:dyDescent="0.2">
      <c r="A1322" s="70"/>
      <c r="B1322" s="35"/>
      <c r="C1322" s="90"/>
      <c r="D1322" s="1329"/>
      <c r="E1322" s="1329"/>
      <c r="F1322" s="1329"/>
      <c r="G1322" s="1329"/>
      <c r="H1322" s="1329"/>
      <c r="I1322" s="1329"/>
      <c r="J1322" s="1329"/>
      <c r="K1322" s="1329"/>
      <c r="L1322" s="1329"/>
      <c r="M1322" s="1329"/>
      <c r="N1322" s="1329"/>
      <c r="O1322" s="1329"/>
      <c r="P1322" s="1329"/>
      <c r="Q1322" s="1329"/>
      <c r="R1322" s="1329"/>
      <c r="S1322" s="1329"/>
      <c r="T1322" s="1329"/>
      <c r="U1322" s="1329"/>
      <c r="V1322" s="1329"/>
      <c r="W1322" s="1329"/>
      <c r="X1322" s="1329"/>
      <c r="Y1322" s="1329"/>
      <c r="Z1322" s="407"/>
      <c r="AA1322" s="407"/>
      <c r="AB1322" s="407"/>
      <c r="AC1322" s="407"/>
      <c r="AD1322" s="407"/>
      <c r="AE1322" s="407"/>
      <c r="AF1322" s="407"/>
      <c r="AG1322" s="407"/>
      <c r="AH1322" s="407"/>
      <c r="AI1322" s="407"/>
      <c r="AJ1322" s="407"/>
      <c r="AK1322" s="407"/>
      <c r="AL1322" s="407"/>
      <c r="AM1322" s="407"/>
      <c r="AN1322" s="407"/>
      <c r="AO1322" s="407"/>
      <c r="AP1322" s="407"/>
      <c r="AQ1322" s="407"/>
      <c r="AR1322" s="1236"/>
      <c r="AS1322" s="407"/>
      <c r="AT1322" s="1238"/>
      <c r="AU1322" s="1236"/>
      <c r="AV1322" s="1236"/>
      <c r="AW1322" s="1236"/>
      <c r="AX1322" s="1236"/>
      <c r="AY1322" s="1236"/>
      <c r="AZ1322" s="1236"/>
      <c r="BA1322" s="1236"/>
      <c r="BB1322" s="407"/>
      <c r="BC1322" s="407"/>
      <c r="BD1322" s="407"/>
      <c r="BE1322" s="407"/>
    </row>
    <row r="1323" spans="1:69" x14ac:dyDescent="0.2">
      <c r="A1323" s="70"/>
      <c r="B1323" s="65"/>
      <c r="D1323" s="1329"/>
      <c r="E1323" s="1329"/>
      <c r="F1323" s="1329"/>
      <c r="G1323" s="1329"/>
      <c r="H1323" s="1329"/>
      <c r="I1323" s="1329"/>
      <c r="J1323" s="1329"/>
      <c r="K1323" s="1329"/>
      <c r="L1323" s="1329"/>
      <c r="M1323" s="1329"/>
      <c r="N1323" s="1329"/>
      <c r="O1323" s="1329"/>
      <c r="P1323" s="1329"/>
      <c r="Q1323" s="1329"/>
      <c r="R1323" s="1329"/>
      <c r="S1323" s="1329"/>
      <c r="T1323" s="1329"/>
      <c r="U1323" s="1329"/>
      <c r="V1323" s="1329"/>
      <c r="W1323" s="1329"/>
      <c r="X1323" s="1329"/>
      <c r="Y1323" s="1329"/>
      <c r="Z1323" s="407"/>
      <c r="AA1323" s="407"/>
      <c r="AB1323" s="407"/>
      <c r="AC1323" s="407"/>
      <c r="AD1323" s="407"/>
      <c r="AE1323" s="407"/>
      <c r="AF1323" s="407"/>
      <c r="AG1323" s="407"/>
      <c r="AH1323" s="407"/>
      <c r="AI1323" s="407"/>
      <c r="AJ1323" s="407"/>
      <c r="AK1323" s="407"/>
      <c r="AL1323" s="407"/>
      <c r="AM1323" s="407"/>
      <c r="AN1323" s="407"/>
      <c r="AO1323" s="407"/>
      <c r="AP1323" s="407"/>
      <c r="AQ1323" s="407"/>
      <c r="AR1323" s="1236"/>
      <c r="AS1323" s="1329"/>
      <c r="AT1323" s="407"/>
      <c r="AU1323" s="1236"/>
      <c r="AV1323" s="1236"/>
      <c r="AW1323" s="1236"/>
      <c r="AX1323" s="1236"/>
      <c r="AY1323" s="1236"/>
      <c r="AZ1323" s="1236"/>
      <c r="BA1323" s="1236"/>
      <c r="BB1323" s="407"/>
      <c r="BC1323" s="407"/>
      <c r="BD1323" s="407"/>
      <c r="BE1323" s="407"/>
    </row>
    <row r="1324" spans="1:69" x14ac:dyDescent="0.2">
      <c r="A1324" s="70"/>
      <c r="B1324" s="35"/>
      <c r="D1324" s="1240"/>
      <c r="E1324" s="1240"/>
      <c r="F1324" s="1240"/>
      <c r="G1324" s="1240"/>
      <c r="H1324" s="1240"/>
      <c r="I1324" s="1240"/>
      <c r="J1324" s="1240"/>
      <c r="K1324" s="1240"/>
      <c r="L1324" s="1240"/>
      <c r="M1324" s="1240"/>
      <c r="N1324" s="1240"/>
      <c r="O1324" s="1240"/>
      <c r="P1324" s="1240"/>
      <c r="Q1324" s="1240"/>
      <c r="R1324" s="1240"/>
      <c r="S1324" s="1240"/>
      <c r="T1324" s="1240"/>
      <c r="U1324" s="1240"/>
      <c r="V1324" s="1240"/>
      <c r="W1324" s="1240"/>
      <c r="X1324" s="1240"/>
      <c r="Y1324" s="1240"/>
      <c r="Z1324" s="407"/>
      <c r="AA1324" s="407"/>
      <c r="AB1324" s="407"/>
      <c r="AC1324" s="407"/>
      <c r="AD1324" s="407"/>
      <c r="AE1324" s="407"/>
      <c r="AF1324" s="407"/>
      <c r="AG1324" s="407"/>
      <c r="AH1324" s="407"/>
      <c r="AI1324" s="407"/>
      <c r="AJ1324" s="407"/>
      <c r="AK1324" s="407"/>
      <c r="AL1324" s="407"/>
      <c r="AM1324" s="407"/>
      <c r="AN1324" s="407"/>
      <c r="AO1324" s="407"/>
      <c r="AP1324" s="407"/>
      <c r="AQ1324" s="407"/>
      <c r="AR1324" s="1236"/>
      <c r="AS1324" s="407"/>
      <c r="AT1324" s="407"/>
      <c r="AU1324" s="1301"/>
      <c r="AV1324" s="1301"/>
      <c r="AW1324" s="1301"/>
      <c r="AX1324" s="1301"/>
      <c r="AY1324" s="1301"/>
      <c r="AZ1324" s="1301"/>
      <c r="BA1324" s="1301"/>
      <c r="BB1324" s="407"/>
      <c r="BC1324" s="407"/>
      <c r="BD1324" s="407"/>
      <c r="BE1324" s="407"/>
      <c r="BM1324" s="238"/>
      <c r="BN1324" s="238"/>
      <c r="BO1324" s="238"/>
      <c r="BP1324" s="238"/>
      <c r="BQ1324" s="238"/>
    </row>
    <row r="1325" spans="1:69" x14ac:dyDescent="0.2">
      <c r="A1325" s="70"/>
      <c r="B1325" s="35"/>
      <c r="D1325" s="407"/>
      <c r="E1325" s="407"/>
      <c r="F1325" s="407"/>
      <c r="G1325" s="407"/>
      <c r="H1325" s="407"/>
      <c r="I1325" s="407"/>
      <c r="J1325" s="407"/>
      <c r="K1325" s="407"/>
      <c r="L1325" s="407"/>
      <c r="M1325" s="407"/>
      <c r="N1325" s="407"/>
      <c r="O1325" s="407"/>
      <c r="P1325" s="407"/>
      <c r="Q1325" s="407"/>
      <c r="R1325" s="407"/>
      <c r="S1325" s="407"/>
      <c r="T1325" s="407"/>
      <c r="U1325" s="407"/>
      <c r="V1325" s="407"/>
      <c r="W1325" s="407"/>
      <c r="X1325" s="407"/>
      <c r="Y1325" s="407"/>
      <c r="Z1325" s="407"/>
      <c r="AA1325" s="407"/>
      <c r="AB1325" s="407"/>
      <c r="AC1325" s="407"/>
      <c r="AD1325" s="407"/>
      <c r="AE1325" s="407"/>
      <c r="AF1325" s="407"/>
      <c r="AG1325" s="407"/>
      <c r="AH1325" s="407"/>
      <c r="AI1325" s="407"/>
      <c r="AJ1325" s="407"/>
      <c r="AK1325" s="407"/>
      <c r="AL1325" s="407"/>
      <c r="AM1325" s="407"/>
      <c r="AN1325" s="407"/>
      <c r="AO1325" s="407"/>
      <c r="AP1325" s="407"/>
      <c r="AQ1325" s="407"/>
      <c r="AR1325" s="1236"/>
      <c r="AS1325" s="407"/>
      <c r="AT1325" s="407"/>
      <c r="AU1325" s="1263"/>
      <c r="AV1325" s="1263"/>
      <c r="AW1325" s="1263"/>
      <c r="AX1325" s="1263"/>
      <c r="AY1325" s="1263"/>
      <c r="AZ1325" s="1263"/>
      <c r="BA1325" s="1263"/>
      <c r="BB1325" s="407"/>
      <c r="BC1325" s="407"/>
      <c r="BD1325" s="407"/>
      <c r="BE1325" s="407"/>
    </row>
    <row r="1326" spans="1:69" x14ac:dyDescent="0.2">
      <c r="A1326" s="70"/>
      <c r="B1326" s="35"/>
      <c r="D1326" s="1240"/>
      <c r="E1326" s="1240"/>
      <c r="F1326" s="1240"/>
      <c r="G1326" s="1240"/>
      <c r="H1326" s="1240"/>
      <c r="I1326" s="1240"/>
      <c r="J1326" s="1240"/>
      <c r="K1326" s="1240"/>
      <c r="L1326" s="1240"/>
      <c r="M1326" s="1240"/>
      <c r="N1326" s="1240"/>
      <c r="O1326" s="1240"/>
      <c r="P1326" s="1240"/>
      <c r="Q1326" s="1240"/>
      <c r="R1326" s="1240"/>
      <c r="S1326" s="1240"/>
      <c r="T1326" s="1240"/>
      <c r="U1326" s="1240"/>
      <c r="V1326" s="1240"/>
      <c r="W1326" s="1240"/>
      <c r="X1326" s="1240"/>
      <c r="Y1326" s="1240"/>
      <c r="Z1326" s="407"/>
      <c r="AA1326" s="407"/>
      <c r="AB1326" s="407"/>
      <c r="AC1326" s="407"/>
      <c r="AD1326" s="407"/>
      <c r="AE1326" s="407"/>
      <c r="AF1326" s="407"/>
      <c r="AG1326" s="407"/>
      <c r="AH1326" s="407"/>
      <c r="AI1326" s="407"/>
      <c r="AJ1326" s="407"/>
      <c r="AK1326" s="407"/>
      <c r="AL1326" s="407"/>
      <c r="AM1326" s="407"/>
      <c r="AN1326" s="407"/>
      <c r="AO1326" s="407"/>
      <c r="AP1326" s="407"/>
      <c r="AQ1326" s="407"/>
      <c r="AR1326" s="1236"/>
      <c r="AS1326" s="407"/>
      <c r="AT1326" s="407"/>
      <c r="AU1326" s="1301"/>
      <c r="AV1326" s="1301"/>
      <c r="AW1326" s="1301"/>
      <c r="AX1326" s="1301"/>
      <c r="AY1326" s="1301"/>
      <c r="AZ1326" s="1301"/>
      <c r="BA1326" s="1301"/>
      <c r="BB1326" s="407"/>
      <c r="BC1326" s="407"/>
      <c r="BD1326" s="407"/>
      <c r="BE1326" s="407"/>
      <c r="BM1326" s="238"/>
      <c r="BN1326" s="238"/>
      <c r="BO1326" s="238"/>
      <c r="BP1326" s="238"/>
      <c r="BQ1326" s="238"/>
    </row>
    <row r="1327" spans="1:69" x14ac:dyDescent="0.2">
      <c r="A1327" s="70"/>
      <c r="B1327" s="35"/>
      <c r="D1327" s="1329"/>
      <c r="E1327" s="1329"/>
      <c r="F1327" s="1329"/>
      <c r="G1327" s="1329"/>
      <c r="H1327" s="1329"/>
      <c r="I1327" s="1329"/>
      <c r="J1327" s="1329"/>
      <c r="K1327" s="1329"/>
      <c r="L1327" s="1329"/>
      <c r="M1327" s="1329"/>
      <c r="N1327" s="1329"/>
      <c r="O1327" s="1329"/>
      <c r="P1327" s="1329"/>
      <c r="Q1327" s="1329"/>
      <c r="R1327" s="1329"/>
      <c r="S1327" s="1329"/>
      <c r="T1327" s="1329"/>
      <c r="U1327" s="1329"/>
      <c r="V1327" s="1329"/>
      <c r="W1327" s="1329"/>
      <c r="X1327" s="1329"/>
      <c r="Y1327" s="1329"/>
      <c r="Z1327" s="407"/>
      <c r="AA1327" s="407"/>
      <c r="AB1327" s="407"/>
      <c r="AC1327" s="407"/>
      <c r="AD1327" s="407"/>
      <c r="AE1327" s="407"/>
      <c r="AF1327" s="407"/>
      <c r="AG1327" s="407"/>
      <c r="AH1327" s="407"/>
      <c r="AI1327" s="407"/>
      <c r="AJ1327" s="407"/>
      <c r="AK1327" s="407"/>
      <c r="AL1327" s="407"/>
      <c r="AM1327" s="407"/>
      <c r="AN1327" s="407"/>
      <c r="AO1327" s="407"/>
      <c r="AP1327" s="407"/>
      <c r="AQ1327" s="407"/>
      <c r="AR1327" s="1236"/>
      <c r="AS1327" s="407"/>
      <c r="AT1327" s="407"/>
      <c r="AU1327" s="1236"/>
      <c r="AV1327" s="1236"/>
      <c r="AW1327" s="1236"/>
      <c r="AX1327" s="1236"/>
      <c r="AY1327" s="1236"/>
      <c r="AZ1327" s="1236"/>
      <c r="BA1327" s="1236"/>
      <c r="BB1327" s="407"/>
      <c r="BC1327" s="407"/>
      <c r="BD1327" s="407"/>
      <c r="BE1327" s="407"/>
    </row>
    <row r="1328" spans="1:69" x14ac:dyDescent="0.2">
      <c r="A1328" s="70"/>
      <c r="B1328" s="65"/>
      <c r="D1328" s="1329"/>
      <c r="E1328" s="1329"/>
      <c r="F1328" s="1329"/>
      <c r="G1328" s="1329"/>
      <c r="H1328" s="1329"/>
      <c r="I1328" s="1329"/>
      <c r="J1328" s="1329"/>
      <c r="K1328" s="1329"/>
      <c r="L1328" s="1329"/>
      <c r="M1328" s="1329"/>
      <c r="N1328" s="1329"/>
      <c r="O1328" s="1329"/>
      <c r="P1328" s="1329"/>
      <c r="Q1328" s="1329"/>
      <c r="R1328" s="1329"/>
      <c r="S1328" s="1329"/>
      <c r="T1328" s="1329"/>
      <c r="U1328" s="1329"/>
      <c r="V1328" s="1329"/>
      <c r="W1328" s="1329"/>
      <c r="X1328" s="1329"/>
      <c r="Y1328" s="1329"/>
      <c r="Z1328" s="407"/>
      <c r="AA1328" s="407"/>
      <c r="AB1328" s="407"/>
      <c r="AC1328" s="407"/>
      <c r="AD1328" s="407"/>
      <c r="AE1328" s="407"/>
      <c r="AF1328" s="407"/>
      <c r="AG1328" s="407"/>
      <c r="AH1328" s="407"/>
      <c r="AI1328" s="407"/>
      <c r="AJ1328" s="407"/>
      <c r="AK1328" s="407"/>
      <c r="AL1328" s="407"/>
      <c r="AM1328" s="407"/>
      <c r="AN1328" s="407"/>
      <c r="AO1328" s="407"/>
      <c r="AP1328" s="407"/>
      <c r="AQ1328" s="407"/>
      <c r="AR1328" s="1236"/>
      <c r="AS1328" s="1329"/>
      <c r="AT1328" s="407"/>
      <c r="AU1328" s="1236"/>
      <c r="AV1328" s="1236"/>
      <c r="AW1328" s="1236"/>
      <c r="AX1328" s="1236"/>
      <c r="AY1328" s="1236"/>
      <c r="AZ1328" s="1236"/>
      <c r="BA1328" s="1236"/>
      <c r="BB1328" s="407"/>
      <c r="BC1328" s="407"/>
      <c r="BD1328" s="407"/>
      <c r="BE1328" s="407"/>
    </row>
    <row r="1329" spans="1:69" x14ac:dyDescent="0.2">
      <c r="A1329" s="70"/>
      <c r="B1329" s="35"/>
      <c r="D1329" s="1267"/>
      <c r="E1329" s="1267"/>
      <c r="F1329" s="1267"/>
      <c r="G1329" s="1267"/>
      <c r="H1329" s="1267"/>
      <c r="I1329" s="1267"/>
      <c r="J1329" s="1267"/>
      <c r="K1329" s="1267"/>
      <c r="L1329" s="1267"/>
      <c r="M1329" s="1267"/>
      <c r="N1329" s="1267"/>
      <c r="O1329" s="1267"/>
      <c r="P1329" s="1267"/>
      <c r="Q1329" s="1267"/>
      <c r="R1329" s="1267"/>
      <c r="S1329" s="1267"/>
      <c r="T1329" s="1267"/>
      <c r="U1329" s="1267"/>
      <c r="V1329" s="1267"/>
      <c r="W1329" s="1267"/>
      <c r="X1329" s="1267"/>
      <c r="Y1329" s="1267"/>
      <c r="Z1329" s="1267"/>
      <c r="AA1329" s="1267"/>
      <c r="AB1329" s="1267"/>
      <c r="AC1329" s="1267"/>
      <c r="AD1329" s="1267"/>
      <c r="AE1329" s="1267"/>
      <c r="AF1329" s="1267"/>
      <c r="AG1329" s="1267"/>
      <c r="AH1329" s="1267"/>
      <c r="AI1329" s="1267"/>
      <c r="AJ1329" s="1267"/>
      <c r="AK1329" s="1267"/>
      <c r="AL1329" s="1267"/>
      <c r="AM1329" s="1267"/>
      <c r="AN1329" s="1267"/>
      <c r="AO1329" s="1267"/>
      <c r="AP1329" s="1267"/>
      <c r="AQ1329" s="1267"/>
      <c r="AR1329" s="1236"/>
      <c r="AS1329" s="407"/>
      <c r="AT1329" s="407"/>
      <c r="AU1329" s="1236"/>
      <c r="AV1329" s="1236"/>
      <c r="AW1329" s="1236"/>
      <c r="AX1329" s="1236"/>
      <c r="AY1329" s="1236"/>
      <c r="AZ1329" s="1236"/>
      <c r="BA1329" s="1236"/>
      <c r="BB1329" s="1267"/>
      <c r="BC1329" s="1267"/>
      <c r="BD1329" s="1267"/>
      <c r="BE1329" s="1267"/>
    </row>
    <row r="1330" spans="1:69" x14ac:dyDescent="0.2">
      <c r="A1330" s="70"/>
      <c r="B1330" s="35"/>
      <c r="D1330" s="1344"/>
      <c r="E1330" s="1344"/>
      <c r="F1330" s="1344"/>
      <c r="G1330" s="1344"/>
      <c r="H1330" s="1344"/>
      <c r="I1330" s="1344"/>
      <c r="J1330" s="1344"/>
      <c r="K1330" s="1344"/>
      <c r="L1330" s="1344"/>
      <c r="M1330" s="1344"/>
      <c r="N1330" s="1344"/>
      <c r="O1330" s="1344"/>
      <c r="P1330" s="1344"/>
      <c r="Q1330" s="1344"/>
      <c r="R1330" s="1344"/>
      <c r="S1330" s="1344"/>
      <c r="T1330" s="1344"/>
      <c r="U1330" s="1344"/>
      <c r="V1330" s="1344"/>
      <c r="W1330" s="1344"/>
      <c r="X1330" s="1344"/>
      <c r="Y1330" s="1344"/>
      <c r="Z1330" s="1429"/>
      <c r="AA1330" s="1429"/>
      <c r="AB1330" s="1429"/>
      <c r="AC1330" s="1429"/>
      <c r="AD1330" s="1429"/>
      <c r="AE1330" s="1429"/>
      <c r="AF1330" s="1429"/>
      <c r="AG1330" s="1429"/>
      <c r="AH1330" s="1429"/>
      <c r="AI1330" s="1429"/>
      <c r="AJ1330" s="1429"/>
      <c r="AK1330" s="1429"/>
      <c r="AL1330" s="1429"/>
      <c r="AM1330" s="1429"/>
      <c r="AN1330" s="1429"/>
      <c r="AO1330" s="1429"/>
      <c r="AP1330" s="1429"/>
      <c r="AQ1330" s="1429"/>
      <c r="AR1330" s="1236"/>
      <c r="AS1330" s="407"/>
      <c r="AT1330" s="407"/>
      <c r="AU1330" s="1236"/>
      <c r="AV1330" s="1236"/>
      <c r="AW1330" s="1236"/>
      <c r="AX1330" s="1236"/>
      <c r="AY1330" s="1236"/>
      <c r="AZ1330" s="1236"/>
      <c r="BA1330" s="1236"/>
      <c r="BB1330" s="1429"/>
      <c r="BC1330" s="1429"/>
      <c r="BD1330" s="1429"/>
      <c r="BE1330" s="1429"/>
      <c r="BM1330" s="238"/>
      <c r="BN1330" s="238"/>
      <c r="BO1330" s="238"/>
      <c r="BP1330" s="238"/>
      <c r="BQ1330" s="238"/>
    </row>
    <row r="1331" spans="1:69" x14ac:dyDescent="0.2">
      <c r="A1331" s="70"/>
      <c r="B1331" s="35"/>
      <c r="D1331" s="1329"/>
      <c r="E1331" s="1329"/>
      <c r="F1331" s="1329"/>
      <c r="G1331" s="1329"/>
      <c r="H1331" s="1329"/>
      <c r="I1331" s="1329"/>
      <c r="J1331" s="1329"/>
      <c r="K1331" s="1329"/>
      <c r="L1331" s="1329"/>
      <c r="M1331" s="1329"/>
      <c r="N1331" s="1329"/>
      <c r="O1331" s="1329"/>
      <c r="P1331" s="1329"/>
      <c r="Q1331" s="1329"/>
      <c r="R1331" s="1329"/>
      <c r="S1331" s="1329"/>
      <c r="T1331" s="1329"/>
      <c r="U1331" s="1329"/>
      <c r="V1331" s="1329"/>
      <c r="W1331" s="1329"/>
      <c r="X1331" s="1329"/>
      <c r="Y1331" s="1329"/>
      <c r="Z1331" s="407"/>
      <c r="AA1331" s="407"/>
      <c r="AB1331" s="407"/>
      <c r="AC1331" s="407"/>
      <c r="AD1331" s="407"/>
      <c r="AE1331" s="407"/>
      <c r="AF1331" s="407"/>
      <c r="AG1331" s="407"/>
      <c r="AH1331" s="407"/>
      <c r="AI1331" s="407"/>
      <c r="AJ1331" s="407"/>
      <c r="AK1331" s="407"/>
      <c r="AL1331" s="407"/>
      <c r="AM1331" s="407"/>
      <c r="AN1331" s="407"/>
      <c r="AO1331" s="407"/>
      <c r="AP1331" s="407"/>
      <c r="AQ1331" s="407"/>
      <c r="AR1331" s="1236"/>
      <c r="AS1331" s="407"/>
      <c r="AT1331" s="407"/>
      <c r="AU1331" s="1236"/>
      <c r="AV1331" s="1236"/>
      <c r="AW1331" s="1236"/>
      <c r="AX1331" s="1236"/>
      <c r="AY1331" s="1236"/>
      <c r="AZ1331" s="1236"/>
      <c r="BA1331" s="1236"/>
      <c r="BB1331" s="407"/>
      <c r="BC1331" s="407"/>
      <c r="BD1331" s="407"/>
      <c r="BE1331" s="407"/>
    </row>
    <row r="1332" spans="1:69" x14ac:dyDescent="0.2">
      <c r="A1332" s="70"/>
      <c r="B1332" s="65"/>
      <c r="D1332" s="1329"/>
      <c r="E1332" s="1329"/>
      <c r="F1332" s="1329"/>
      <c r="G1332" s="1329"/>
      <c r="H1332" s="1329"/>
      <c r="I1332" s="1329"/>
      <c r="J1332" s="1329"/>
      <c r="K1332" s="1329"/>
      <c r="L1332" s="1329"/>
      <c r="M1332" s="1329"/>
      <c r="N1332" s="1329"/>
      <c r="O1332" s="1329"/>
      <c r="P1332" s="1329"/>
      <c r="Q1332" s="1329"/>
      <c r="R1332" s="1329"/>
      <c r="S1332" s="1329"/>
      <c r="T1332" s="1329"/>
      <c r="U1332" s="1329"/>
      <c r="V1332" s="1329"/>
      <c r="W1332" s="1329"/>
      <c r="X1332" s="1329"/>
      <c r="Y1332" s="1329"/>
      <c r="Z1332" s="407"/>
      <c r="AA1332" s="407"/>
      <c r="AB1332" s="407"/>
      <c r="AC1332" s="407"/>
      <c r="AD1332" s="407"/>
      <c r="AE1332" s="407"/>
      <c r="AF1332" s="407"/>
      <c r="AG1332" s="407"/>
      <c r="AH1332" s="407"/>
      <c r="AI1332" s="407"/>
      <c r="AJ1332" s="407"/>
      <c r="AK1332" s="407"/>
      <c r="AL1332" s="407"/>
      <c r="AM1332" s="407"/>
      <c r="AN1332" s="407"/>
      <c r="AO1332" s="407"/>
      <c r="AP1332" s="407"/>
      <c r="AQ1332" s="407"/>
      <c r="AR1332" s="1236"/>
      <c r="AS1332" s="1329"/>
      <c r="AT1332" s="407"/>
      <c r="AU1332" s="1236"/>
      <c r="AV1332" s="1236"/>
      <c r="AW1332" s="1236"/>
      <c r="AX1332" s="1236"/>
      <c r="AY1332" s="1236"/>
      <c r="AZ1332" s="1236"/>
      <c r="BA1332" s="1236"/>
      <c r="BB1332" s="407"/>
      <c r="BC1332" s="407"/>
      <c r="BD1332" s="407"/>
      <c r="BE1332" s="407"/>
    </row>
    <row r="1333" spans="1:69" x14ac:dyDescent="0.2">
      <c r="A1333" s="70"/>
      <c r="B1333" s="35"/>
      <c r="D1333" s="1253"/>
      <c r="E1333" s="1253"/>
      <c r="F1333" s="1253"/>
      <c r="G1333" s="1253"/>
      <c r="H1333" s="1253"/>
      <c r="I1333" s="1253"/>
      <c r="J1333" s="1253"/>
      <c r="K1333" s="1253"/>
      <c r="L1333" s="1253"/>
      <c r="M1333" s="1253"/>
      <c r="N1333" s="1253"/>
      <c r="O1333" s="1253"/>
      <c r="P1333" s="1253"/>
      <c r="Q1333" s="1253"/>
      <c r="R1333" s="1253"/>
      <c r="S1333" s="1253"/>
      <c r="T1333" s="1253"/>
      <c r="U1333" s="1253"/>
      <c r="V1333" s="1253"/>
      <c r="W1333" s="1253"/>
      <c r="X1333" s="1253"/>
      <c r="Y1333" s="1253"/>
      <c r="Z1333" s="1256"/>
      <c r="AA1333" s="1256"/>
      <c r="AB1333" s="1256"/>
      <c r="AC1333" s="1256"/>
      <c r="AD1333" s="1256"/>
      <c r="AE1333" s="1256"/>
      <c r="AF1333" s="1256"/>
      <c r="AG1333" s="1256"/>
      <c r="AH1333" s="1256"/>
      <c r="AI1333" s="1256"/>
      <c r="AJ1333" s="1256"/>
      <c r="AK1333" s="1256"/>
      <c r="AL1333" s="1256"/>
      <c r="AM1333" s="1256"/>
      <c r="AN1333" s="1256"/>
      <c r="AO1333" s="1256"/>
      <c r="AP1333" s="1256"/>
      <c r="AQ1333" s="1256"/>
      <c r="AR1333" s="1236"/>
      <c r="AS1333" s="407"/>
      <c r="AT1333" s="407"/>
      <c r="AU1333" s="1236"/>
      <c r="AV1333" s="1236"/>
      <c r="AW1333" s="1236"/>
      <c r="AX1333" s="1236"/>
      <c r="AY1333" s="1236"/>
      <c r="AZ1333" s="1236"/>
      <c r="BA1333" s="1236"/>
      <c r="BB1333" s="1256"/>
      <c r="BC1333" s="1256"/>
      <c r="BD1333" s="1256"/>
      <c r="BE1333" s="1256"/>
    </row>
    <row r="1334" spans="1:69" x14ac:dyDescent="0.2">
      <c r="A1334" s="70"/>
      <c r="B1334" s="35"/>
      <c r="D1334" s="1287"/>
      <c r="E1334" s="1287"/>
      <c r="F1334" s="1287"/>
      <c r="G1334" s="1287"/>
      <c r="H1334" s="1287"/>
      <c r="I1334" s="1287"/>
      <c r="J1334" s="1287"/>
      <c r="K1334" s="1287"/>
      <c r="L1334" s="1287"/>
      <c r="M1334" s="1287"/>
      <c r="N1334" s="1287"/>
      <c r="O1334" s="1287"/>
      <c r="P1334" s="1287"/>
      <c r="Q1334" s="1287"/>
      <c r="R1334" s="1287"/>
      <c r="S1334" s="1287"/>
      <c r="T1334" s="1287"/>
      <c r="U1334" s="1287"/>
      <c r="V1334" s="1287"/>
      <c r="W1334" s="1287"/>
      <c r="X1334" s="1287"/>
      <c r="Y1334" s="1287"/>
      <c r="Z1334" s="1287"/>
      <c r="AA1334" s="1287"/>
      <c r="AB1334" s="1287"/>
      <c r="AC1334" s="1287"/>
      <c r="AD1334" s="1287"/>
      <c r="AE1334" s="1287"/>
      <c r="AF1334" s="1287"/>
      <c r="AG1334" s="1287"/>
      <c r="AH1334" s="1287"/>
      <c r="AI1334" s="1287"/>
      <c r="AJ1334" s="1287"/>
      <c r="AK1334" s="1287"/>
      <c r="AL1334" s="1287"/>
      <c r="AM1334" s="1287"/>
      <c r="AN1334" s="1287"/>
      <c r="AO1334" s="1287"/>
      <c r="AP1334" s="1287"/>
      <c r="AQ1334" s="1287"/>
      <c r="AR1334" s="1236"/>
      <c r="AS1334" s="407"/>
      <c r="AT1334" s="407"/>
      <c r="AU1334" s="1236"/>
      <c r="AV1334" s="1236"/>
      <c r="AW1334" s="1236"/>
      <c r="AX1334" s="1236"/>
      <c r="AY1334" s="1236"/>
      <c r="AZ1334" s="1236"/>
      <c r="BA1334" s="1236"/>
      <c r="BB1334" s="1287"/>
      <c r="BC1334" s="1287"/>
      <c r="BD1334" s="1287"/>
      <c r="BE1334" s="1287"/>
    </row>
    <row r="1335" spans="1:69" x14ac:dyDescent="0.2">
      <c r="A1335" s="70"/>
      <c r="B1335" s="35"/>
      <c r="D1335" s="1344"/>
      <c r="E1335" s="1344"/>
      <c r="F1335" s="1344"/>
      <c r="G1335" s="1344"/>
      <c r="H1335" s="1344"/>
      <c r="I1335" s="1238"/>
      <c r="J1335" s="1238"/>
      <c r="K1335" s="1238"/>
      <c r="L1335" s="1238"/>
      <c r="M1335" s="1238"/>
      <c r="N1335" s="1238"/>
      <c r="O1335" s="1238"/>
      <c r="P1335" s="1238"/>
      <c r="Q1335" s="1238"/>
      <c r="R1335" s="1238"/>
      <c r="S1335" s="1238"/>
      <c r="T1335" s="1238"/>
      <c r="U1335" s="1238"/>
      <c r="V1335" s="1238"/>
      <c r="W1335" s="1238"/>
      <c r="X1335" s="1238"/>
      <c r="Y1335" s="1238"/>
      <c r="Z1335" s="1381"/>
      <c r="AA1335" s="1381"/>
      <c r="AB1335" s="1381"/>
      <c r="AC1335" s="1381"/>
      <c r="AD1335" s="1381"/>
      <c r="AE1335" s="1381"/>
      <c r="AF1335" s="1381"/>
      <c r="AG1335" s="1381"/>
      <c r="AH1335" s="1381"/>
      <c r="AI1335" s="1381"/>
      <c r="AJ1335" s="1381"/>
      <c r="AK1335" s="1381"/>
      <c r="AL1335" s="1381"/>
      <c r="AM1335" s="1381"/>
      <c r="AN1335" s="1381"/>
      <c r="AO1335" s="1381"/>
      <c r="AP1335" s="1381"/>
      <c r="AQ1335" s="1381"/>
      <c r="AR1335" s="1236"/>
      <c r="AS1335" s="407"/>
      <c r="AT1335" s="407"/>
      <c r="AU1335" s="1263"/>
      <c r="AV1335" s="1238"/>
      <c r="AW1335" s="1238"/>
      <c r="AX1335" s="1238"/>
      <c r="AY1335" s="1238"/>
      <c r="AZ1335" s="1238"/>
      <c r="BA1335" s="1238"/>
      <c r="BB1335" s="1381"/>
      <c r="BC1335" s="1381"/>
      <c r="BD1335" s="1381"/>
      <c r="BE1335" s="1381"/>
    </row>
    <row r="1336" spans="1:69" x14ac:dyDescent="0.2">
      <c r="A1336" s="70"/>
      <c r="B1336" s="35"/>
      <c r="D1336" s="1250"/>
      <c r="E1336" s="1250"/>
      <c r="F1336" s="1250"/>
      <c r="G1336" s="1250"/>
      <c r="H1336" s="1287"/>
      <c r="I1336" s="1287"/>
      <c r="J1336" s="1287"/>
      <c r="K1336" s="1287"/>
      <c r="L1336" s="1287"/>
      <c r="M1336" s="1287"/>
      <c r="N1336" s="1287"/>
      <c r="O1336" s="1287"/>
      <c r="P1336" s="1287"/>
      <c r="Q1336" s="1287"/>
      <c r="R1336" s="1287"/>
      <c r="S1336" s="1287"/>
      <c r="T1336" s="1287"/>
      <c r="U1336" s="1287"/>
      <c r="V1336" s="1287"/>
      <c r="W1336" s="1287"/>
      <c r="X1336" s="1287"/>
      <c r="Y1336" s="1287"/>
      <c r="Z1336" s="1287"/>
      <c r="AA1336" s="1287"/>
      <c r="AB1336" s="1287"/>
      <c r="AC1336" s="1287"/>
      <c r="AD1336" s="1287"/>
      <c r="AE1336" s="1287"/>
      <c r="AF1336" s="1287"/>
      <c r="AG1336" s="1287"/>
      <c r="AH1336" s="1287"/>
      <c r="AI1336" s="1287"/>
      <c r="AJ1336" s="1287"/>
      <c r="AK1336" s="1287"/>
      <c r="AL1336" s="1287"/>
      <c r="AM1336" s="1287"/>
      <c r="AN1336" s="1287"/>
      <c r="AO1336" s="1287"/>
      <c r="AP1336" s="1287"/>
      <c r="AQ1336" s="1287"/>
      <c r="AR1336" s="1236"/>
      <c r="AS1336" s="407"/>
      <c r="AT1336" s="407"/>
      <c r="AU1336" s="1287"/>
      <c r="AV1336" s="1287"/>
      <c r="AW1336" s="1287"/>
      <c r="AX1336" s="1287"/>
      <c r="AY1336" s="1287"/>
      <c r="AZ1336" s="1287"/>
      <c r="BA1336" s="1287"/>
      <c r="BB1336" s="1287"/>
      <c r="BC1336" s="1287"/>
      <c r="BD1336" s="1287"/>
      <c r="BE1336" s="1287"/>
    </row>
    <row r="1337" spans="1:69" x14ac:dyDescent="0.2">
      <c r="A1337" s="70"/>
      <c r="B1337" s="63"/>
      <c r="C1337" s="15"/>
      <c r="D1337" s="1345"/>
      <c r="E1337" s="1345"/>
      <c r="F1337" s="1345"/>
      <c r="G1337" s="1345"/>
      <c r="H1337" s="1345"/>
      <c r="I1337" s="1345"/>
      <c r="J1337" s="1345"/>
      <c r="K1337" s="1345"/>
      <c r="L1337" s="1345"/>
      <c r="M1337" s="1345"/>
      <c r="N1337" s="1345"/>
      <c r="O1337" s="1345"/>
      <c r="P1337" s="1345"/>
      <c r="Q1337" s="1345"/>
      <c r="R1337" s="1345"/>
      <c r="S1337" s="1345"/>
      <c r="T1337" s="1345"/>
      <c r="U1337" s="1345"/>
      <c r="V1337" s="1345"/>
      <c r="W1337" s="1345"/>
      <c r="X1337" s="1345"/>
      <c r="Y1337" s="1345"/>
      <c r="Z1337" s="1250"/>
      <c r="AA1337" s="1250"/>
      <c r="AB1337" s="1250"/>
      <c r="AC1337" s="1250"/>
      <c r="AD1337" s="1250"/>
      <c r="AE1337" s="1250"/>
      <c r="AF1337" s="1250"/>
      <c r="AG1337" s="1250"/>
      <c r="AH1337" s="1250"/>
      <c r="AI1337" s="1250"/>
      <c r="AJ1337" s="1250"/>
      <c r="AK1337" s="1250"/>
      <c r="AL1337" s="1250"/>
      <c r="AM1337" s="1250"/>
      <c r="AN1337" s="1250"/>
      <c r="AO1337" s="1250"/>
      <c r="AP1337" s="1250"/>
      <c r="AQ1337" s="1250"/>
      <c r="AR1337" s="1236"/>
      <c r="AS1337" s="1250"/>
      <c r="AT1337" s="1250"/>
      <c r="AU1337" s="1236"/>
      <c r="AV1337" s="1236"/>
      <c r="AW1337" s="1236"/>
      <c r="AX1337" s="1236"/>
      <c r="AY1337" s="1236"/>
      <c r="AZ1337" s="1236"/>
      <c r="BA1337" s="1236"/>
      <c r="BB1337" s="1250"/>
      <c r="BC1337" s="1250"/>
      <c r="BD1337" s="1250"/>
      <c r="BE1337" s="1250"/>
    </row>
    <row r="1338" spans="1:69" x14ac:dyDescent="0.2">
      <c r="A1338" s="70"/>
      <c r="B1338" s="35"/>
      <c r="D1338" s="1242"/>
      <c r="E1338" s="1242"/>
      <c r="F1338" s="1242"/>
      <c r="G1338" s="1242"/>
      <c r="H1338" s="1242"/>
      <c r="I1338" s="1242"/>
      <c r="J1338" s="1242"/>
      <c r="K1338" s="1242"/>
      <c r="L1338" s="1242"/>
      <c r="M1338" s="1242"/>
      <c r="N1338" s="1242"/>
      <c r="O1338" s="1242"/>
      <c r="P1338" s="1242"/>
      <c r="Q1338" s="1242"/>
      <c r="R1338" s="1242"/>
      <c r="S1338" s="1242"/>
      <c r="T1338" s="1242"/>
      <c r="U1338" s="1242"/>
      <c r="V1338" s="1242"/>
      <c r="W1338" s="1242"/>
      <c r="X1338" s="1242"/>
      <c r="Y1338" s="1242"/>
      <c r="Z1338" s="1242"/>
      <c r="AA1338" s="1242"/>
      <c r="AB1338" s="1242"/>
      <c r="AC1338" s="1242"/>
      <c r="AD1338" s="1242"/>
      <c r="AE1338" s="1242"/>
      <c r="AF1338" s="1242"/>
      <c r="AG1338" s="1242"/>
      <c r="AH1338" s="1242"/>
      <c r="AI1338" s="1242"/>
      <c r="AJ1338" s="1242"/>
      <c r="AK1338" s="1242"/>
      <c r="AL1338" s="1242"/>
      <c r="AM1338" s="1242"/>
      <c r="AN1338" s="1242"/>
      <c r="AO1338" s="1242"/>
      <c r="AP1338" s="1242"/>
      <c r="AQ1338" s="1242"/>
      <c r="AR1338" s="1236"/>
      <c r="AS1338" s="407"/>
      <c r="AT1338" s="407"/>
      <c r="AU1338" s="1242"/>
      <c r="AV1338" s="1242"/>
      <c r="AW1338" s="1242"/>
      <c r="AX1338" s="1242"/>
      <c r="AY1338" s="1242"/>
      <c r="AZ1338" s="1242"/>
      <c r="BA1338" s="1242"/>
      <c r="BB1338" s="1242"/>
      <c r="BC1338" s="1242"/>
      <c r="BD1338" s="1242"/>
      <c r="BE1338" s="1242"/>
    </row>
    <row r="1339" spans="1:69" x14ac:dyDescent="0.2">
      <c r="A1339" s="70"/>
      <c r="B1339" s="35"/>
      <c r="D1339" s="1242"/>
      <c r="E1339" s="1242"/>
      <c r="F1339" s="1242"/>
      <c r="G1339" s="1242"/>
      <c r="H1339" s="1242"/>
      <c r="I1339" s="1242"/>
      <c r="J1339" s="1242"/>
      <c r="K1339" s="1242"/>
      <c r="L1339" s="1242"/>
      <c r="M1339" s="1242"/>
      <c r="N1339" s="1242"/>
      <c r="O1339" s="1242"/>
      <c r="P1339" s="1242"/>
      <c r="Q1339" s="1242"/>
      <c r="R1339" s="1242"/>
      <c r="S1339" s="1242"/>
      <c r="T1339" s="1242"/>
      <c r="U1339" s="1242"/>
      <c r="V1339" s="1242"/>
      <c r="W1339" s="1242"/>
      <c r="X1339" s="1242"/>
      <c r="Y1339" s="1242"/>
      <c r="Z1339" s="1242"/>
      <c r="AA1339" s="1242"/>
      <c r="AB1339" s="1242"/>
      <c r="AC1339" s="1242"/>
      <c r="AD1339" s="1242"/>
      <c r="AE1339" s="1242"/>
      <c r="AF1339" s="1242"/>
      <c r="AG1339" s="1242"/>
      <c r="AH1339" s="1242"/>
      <c r="AI1339" s="1242"/>
      <c r="AJ1339" s="1242"/>
      <c r="AK1339" s="1242"/>
      <c r="AL1339" s="1242"/>
      <c r="AM1339" s="1242"/>
      <c r="AN1339" s="1242"/>
      <c r="AO1339" s="1242"/>
      <c r="AP1339" s="1242"/>
      <c r="AQ1339" s="1242"/>
      <c r="AR1339" s="1236"/>
      <c r="AS1339" s="407"/>
      <c r="AT1339" s="407"/>
      <c r="AU1339" s="1242"/>
      <c r="AV1339" s="1242"/>
      <c r="AW1339" s="1242"/>
      <c r="AX1339" s="1242"/>
      <c r="AY1339" s="1242"/>
      <c r="AZ1339" s="1242"/>
      <c r="BA1339" s="1242"/>
      <c r="BB1339" s="1242"/>
      <c r="BC1339" s="1242"/>
      <c r="BD1339" s="1242"/>
      <c r="BE1339" s="1242"/>
    </row>
    <row r="1340" spans="1:69" x14ac:dyDescent="0.2">
      <c r="A1340" s="70"/>
      <c r="B1340" s="35"/>
      <c r="D1340" s="1329"/>
      <c r="E1340" s="1329"/>
      <c r="F1340" s="1329"/>
      <c r="G1340" s="1329"/>
      <c r="H1340" s="1329"/>
      <c r="I1340" s="1329"/>
      <c r="J1340" s="1329"/>
      <c r="K1340" s="1329"/>
      <c r="L1340" s="1329"/>
      <c r="M1340" s="1329"/>
      <c r="N1340" s="1329"/>
      <c r="O1340" s="1329"/>
      <c r="P1340" s="1329"/>
      <c r="Q1340" s="1329"/>
      <c r="R1340" s="1329"/>
      <c r="S1340" s="1329"/>
      <c r="T1340" s="1329"/>
      <c r="U1340" s="1329"/>
      <c r="V1340" s="1329"/>
      <c r="W1340" s="1329"/>
      <c r="X1340" s="1329"/>
      <c r="Y1340" s="1329"/>
      <c r="Z1340" s="407"/>
      <c r="AA1340" s="407"/>
      <c r="AB1340" s="407"/>
      <c r="AC1340" s="407"/>
      <c r="AD1340" s="407"/>
      <c r="AE1340" s="407"/>
      <c r="AF1340" s="407"/>
      <c r="AG1340" s="407"/>
      <c r="AH1340" s="407"/>
      <c r="AI1340" s="407"/>
      <c r="AJ1340" s="407"/>
      <c r="AK1340" s="407"/>
      <c r="AL1340" s="407"/>
      <c r="AM1340" s="407"/>
      <c r="AN1340" s="407"/>
      <c r="AO1340" s="407"/>
      <c r="AP1340" s="407"/>
      <c r="AQ1340" s="407"/>
      <c r="AR1340" s="1236"/>
      <c r="AS1340" s="407"/>
      <c r="AT1340" s="407"/>
      <c r="AU1340" s="1236"/>
      <c r="AV1340" s="1236"/>
      <c r="AW1340" s="1236"/>
      <c r="AX1340" s="1236"/>
      <c r="AY1340" s="1236"/>
      <c r="AZ1340" s="1236"/>
      <c r="BA1340" s="1236"/>
      <c r="BB1340" s="407"/>
      <c r="BC1340" s="407"/>
      <c r="BD1340" s="407"/>
      <c r="BE1340" s="407"/>
    </row>
    <row r="1341" spans="1:69" x14ac:dyDescent="0.2">
      <c r="A1341" s="70"/>
      <c r="B1341" s="65"/>
      <c r="D1341" s="1329"/>
      <c r="E1341" s="1329"/>
      <c r="F1341" s="1329"/>
      <c r="G1341" s="1329"/>
      <c r="H1341" s="1329"/>
      <c r="I1341" s="1329"/>
      <c r="J1341" s="1329"/>
      <c r="K1341" s="1329"/>
      <c r="L1341" s="1329"/>
      <c r="M1341" s="1329"/>
      <c r="N1341" s="1329"/>
      <c r="O1341" s="1329"/>
      <c r="P1341" s="1329"/>
      <c r="Q1341" s="1329"/>
      <c r="R1341" s="1329"/>
      <c r="S1341" s="1329"/>
      <c r="T1341" s="1329"/>
      <c r="U1341" s="1329"/>
      <c r="V1341" s="1329"/>
      <c r="W1341" s="1329"/>
      <c r="X1341" s="1329"/>
      <c r="Y1341" s="1329"/>
      <c r="Z1341" s="407"/>
      <c r="AA1341" s="407"/>
      <c r="AB1341" s="407"/>
      <c r="AC1341" s="407"/>
      <c r="AD1341" s="407"/>
      <c r="AE1341" s="407"/>
      <c r="AF1341" s="407"/>
      <c r="AG1341" s="407"/>
      <c r="AH1341" s="407"/>
      <c r="AI1341" s="407"/>
      <c r="AJ1341" s="407"/>
      <c r="AK1341" s="407"/>
      <c r="AL1341" s="407"/>
      <c r="AM1341" s="407"/>
      <c r="AN1341" s="407"/>
      <c r="AO1341" s="407"/>
      <c r="AP1341" s="407"/>
      <c r="AQ1341" s="407"/>
      <c r="AR1341" s="1236"/>
      <c r="AS1341" s="1329"/>
      <c r="AT1341" s="407"/>
      <c r="AU1341" s="1236"/>
      <c r="AV1341" s="1236"/>
      <c r="AW1341" s="1236"/>
      <c r="AX1341" s="1236"/>
      <c r="AY1341" s="1236"/>
      <c r="AZ1341" s="1236"/>
      <c r="BA1341" s="1236"/>
      <c r="BB1341" s="407"/>
      <c r="BC1341" s="407"/>
      <c r="BD1341" s="407"/>
      <c r="BE1341" s="407"/>
    </row>
    <row r="1342" spans="1:69" x14ac:dyDescent="0.2">
      <c r="A1342" s="70"/>
      <c r="B1342" s="109"/>
      <c r="C1342" s="109"/>
      <c r="D1342" s="1242"/>
      <c r="E1342" s="1242"/>
      <c r="F1342" s="1242"/>
      <c r="G1342" s="1242"/>
      <c r="H1342" s="1242"/>
      <c r="I1342" s="1242"/>
      <c r="J1342" s="1242"/>
      <c r="K1342" s="1242"/>
      <c r="L1342" s="1242"/>
      <c r="M1342" s="1242"/>
      <c r="N1342" s="1242"/>
      <c r="O1342" s="1242"/>
      <c r="P1342" s="1242"/>
      <c r="Q1342" s="1242"/>
      <c r="R1342" s="1242"/>
      <c r="S1342" s="1242"/>
      <c r="T1342" s="1242"/>
      <c r="U1342" s="1242"/>
      <c r="V1342" s="1242"/>
      <c r="W1342" s="1242"/>
      <c r="X1342" s="1242"/>
      <c r="Y1342" s="1242"/>
      <c r="Z1342" s="1242"/>
      <c r="AA1342" s="1242"/>
      <c r="AB1342" s="1242"/>
      <c r="AC1342" s="1242"/>
      <c r="AD1342" s="1242"/>
      <c r="AE1342" s="1242"/>
      <c r="AF1342" s="1242"/>
      <c r="AG1342" s="1242"/>
      <c r="AH1342" s="1242"/>
      <c r="AI1342" s="1242"/>
      <c r="AJ1342" s="1242"/>
      <c r="AK1342" s="1242"/>
      <c r="AL1342" s="1242"/>
      <c r="AM1342" s="1242"/>
      <c r="AN1342" s="1242"/>
      <c r="AO1342" s="1242"/>
      <c r="AP1342" s="1242"/>
      <c r="AQ1342" s="1242"/>
      <c r="AR1342" s="1236"/>
      <c r="AS1342" s="1243"/>
      <c r="AT1342" s="1243"/>
      <c r="AU1342" s="1242"/>
      <c r="AV1342" s="1242"/>
      <c r="AW1342" s="1242"/>
      <c r="AX1342" s="1242"/>
      <c r="AY1342" s="1242"/>
      <c r="AZ1342" s="1242"/>
      <c r="BA1342" s="1242"/>
      <c r="BB1342" s="1242"/>
      <c r="BC1342" s="1242"/>
      <c r="BD1342" s="1242"/>
      <c r="BE1342" s="1242"/>
    </row>
    <row r="1343" spans="1:69" x14ac:dyDescent="0.2">
      <c r="A1343" s="70"/>
      <c r="B1343" s="133"/>
      <c r="C1343" s="133"/>
      <c r="D1343" s="1244"/>
      <c r="E1343" s="1244"/>
      <c r="F1343" s="1244"/>
      <c r="G1343" s="1244"/>
      <c r="H1343" s="1244"/>
      <c r="I1343" s="1244"/>
      <c r="J1343" s="1244"/>
      <c r="K1343" s="1244"/>
      <c r="L1343" s="1244"/>
      <c r="M1343" s="1244"/>
      <c r="N1343" s="1244"/>
      <c r="O1343" s="1244"/>
      <c r="P1343" s="1244"/>
      <c r="Q1343" s="1244"/>
      <c r="R1343" s="1244"/>
      <c r="S1343" s="1244"/>
      <c r="T1343" s="1244"/>
      <c r="U1343" s="1244"/>
      <c r="V1343" s="1244"/>
      <c r="W1343" s="1244"/>
      <c r="X1343" s="1244"/>
      <c r="Y1343" s="1244"/>
      <c r="Z1343" s="1244"/>
      <c r="AA1343" s="1244"/>
      <c r="AB1343" s="1244"/>
      <c r="AC1343" s="1244"/>
      <c r="AD1343" s="1244"/>
      <c r="AE1343" s="1244"/>
      <c r="AF1343" s="1244"/>
      <c r="AG1343" s="1244"/>
      <c r="AH1343" s="1244"/>
      <c r="AI1343" s="1244"/>
      <c r="AJ1343" s="1339"/>
      <c r="AK1343" s="1339"/>
      <c r="AL1343" s="1339"/>
      <c r="AM1343" s="1339"/>
      <c r="AN1343" s="1339"/>
      <c r="AO1343" s="1339"/>
      <c r="AP1343" s="1339"/>
      <c r="AQ1343" s="1339"/>
      <c r="AR1343" s="1236"/>
      <c r="AS1343" s="1412"/>
      <c r="AT1343" s="1412"/>
      <c r="AU1343" s="1244"/>
      <c r="AV1343" s="1244"/>
      <c r="AW1343" s="1244"/>
      <c r="AX1343" s="1244"/>
      <c r="AY1343" s="1244"/>
      <c r="AZ1343" s="1244"/>
      <c r="BA1343" s="1244"/>
      <c r="BB1343" s="1244"/>
      <c r="BC1343" s="1244"/>
      <c r="BD1343" s="1244"/>
      <c r="BE1343" s="1244"/>
    </row>
    <row r="1344" spans="1:69" x14ac:dyDescent="0.2">
      <c r="A1344" s="70"/>
      <c r="B1344" s="120"/>
      <c r="C1344" s="120"/>
      <c r="D1344" s="1242"/>
      <c r="E1344" s="1242"/>
      <c r="F1344" s="1242"/>
      <c r="G1344" s="1242"/>
      <c r="H1344" s="1242"/>
      <c r="I1344" s="1242"/>
      <c r="J1344" s="1242"/>
      <c r="K1344" s="1242"/>
      <c r="L1344" s="1242"/>
      <c r="M1344" s="1242"/>
      <c r="N1344" s="1242"/>
      <c r="O1344" s="1242"/>
      <c r="P1344" s="1242"/>
      <c r="Q1344" s="1242"/>
      <c r="R1344" s="1242"/>
      <c r="S1344" s="1242"/>
      <c r="T1344" s="1242"/>
      <c r="U1344" s="1242"/>
      <c r="V1344" s="1242"/>
      <c r="W1344" s="1242"/>
      <c r="X1344" s="1242"/>
      <c r="Y1344" s="1242"/>
      <c r="Z1344" s="1242"/>
      <c r="AA1344" s="1242"/>
      <c r="AB1344" s="1242"/>
      <c r="AC1344" s="1242"/>
      <c r="AD1344" s="1242"/>
      <c r="AE1344" s="1242"/>
      <c r="AF1344" s="1242"/>
      <c r="AG1344" s="1242"/>
      <c r="AH1344" s="1242"/>
      <c r="AI1344" s="1242"/>
      <c r="AJ1344" s="1242"/>
      <c r="AK1344" s="1242"/>
      <c r="AL1344" s="1242"/>
      <c r="AM1344" s="1242"/>
      <c r="AN1344" s="1242"/>
      <c r="AO1344" s="1242"/>
      <c r="AP1344" s="1242"/>
      <c r="AQ1344" s="1242"/>
      <c r="AR1344" s="1236"/>
      <c r="AS1344" s="1586"/>
      <c r="AT1344" s="1586"/>
      <c r="AU1344" s="1242"/>
      <c r="AV1344" s="1242"/>
      <c r="AW1344" s="1242"/>
      <c r="AX1344" s="1242"/>
      <c r="AY1344" s="1242"/>
      <c r="AZ1344" s="1242"/>
      <c r="BA1344" s="1242"/>
      <c r="BB1344" s="1242"/>
      <c r="BC1344" s="1242"/>
      <c r="BD1344" s="1242"/>
      <c r="BE1344" s="1242"/>
    </row>
    <row r="1345" spans="1:57" x14ac:dyDescent="0.2">
      <c r="B1345" s="71"/>
      <c r="C1345" s="133"/>
      <c r="D1345" s="1244"/>
      <c r="E1345" s="1244"/>
      <c r="F1345" s="1244"/>
      <c r="G1345" s="1244"/>
      <c r="H1345" s="1244"/>
      <c r="I1345" s="1244"/>
      <c r="J1345" s="1244"/>
      <c r="K1345" s="1244"/>
      <c r="L1345" s="1244"/>
      <c r="M1345" s="1244"/>
      <c r="N1345" s="1244"/>
      <c r="O1345" s="1244"/>
      <c r="P1345" s="1244"/>
      <c r="Q1345" s="1244"/>
      <c r="R1345" s="1244"/>
      <c r="S1345" s="1244"/>
      <c r="T1345" s="1244"/>
      <c r="U1345" s="1244"/>
      <c r="V1345" s="1244"/>
      <c r="W1345" s="1244"/>
      <c r="X1345" s="1244"/>
      <c r="Y1345" s="1244"/>
      <c r="Z1345" s="1244"/>
      <c r="AA1345" s="1244"/>
      <c r="AB1345" s="1244"/>
      <c r="AC1345" s="1244"/>
      <c r="AD1345" s="1244"/>
      <c r="AE1345" s="1244"/>
      <c r="AF1345" s="1244"/>
      <c r="AG1345" s="1244"/>
      <c r="AH1345" s="1244"/>
      <c r="AI1345" s="1244"/>
      <c r="AJ1345" s="1339"/>
      <c r="AK1345" s="1339"/>
      <c r="AL1345" s="1339"/>
      <c r="AM1345" s="1339"/>
      <c r="AN1345" s="1339"/>
      <c r="AO1345" s="1339"/>
      <c r="AP1345" s="1339"/>
      <c r="AQ1345" s="1339"/>
      <c r="AR1345" s="1236"/>
      <c r="AS1345" s="1318"/>
      <c r="AT1345" s="1412"/>
      <c r="AU1345" s="1244"/>
      <c r="AV1345" s="1244"/>
      <c r="AW1345" s="1244"/>
      <c r="AX1345" s="1244"/>
      <c r="AY1345" s="1244"/>
      <c r="AZ1345" s="1244"/>
      <c r="BA1345" s="1244"/>
      <c r="BB1345" s="1244"/>
      <c r="BC1345" s="1244"/>
      <c r="BD1345" s="1244"/>
      <c r="BE1345" s="1244"/>
    </row>
    <row r="1346" spans="1:57" x14ac:dyDescent="0.2">
      <c r="B1346" s="120"/>
      <c r="C1346" s="120"/>
      <c r="D1346" s="1242"/>
      <c r="E1346" s="1242"/>
      <c r="F1346" s="1242"/>
      <c r="G1346" s="1242"/>
      <c r="H1346" s="1242"/>
      <c r="I1346" s="1242"/>
      <c r="J1346" s="1242"/>
      <c r="K1346" s="1242"/>
      <c r="L1346" s="1242"/>
      <c r="M1346" s="1242"/>
      <c r="N1346" s="1242"/>
      <c r="O1346" s="1242"/>
      <c r="P1346" s="1242"/>
      <c r="Q1346" s="1242"/>
      <c r="R1346" s="1242"/>
      <c r="S1346" s="1242"/>
      <c r="T1346" s="1242"/>
      <c r="U1346" s="1242"/>
      <c r="V1346" s="1242"/>
      <c r="W1346" s="1242"/>
      <c r="X1346" s="1242"/>
      <c r="Y1346" s="1242"/>
      <c r="Z1346" s="1242"/>
      <c r="AA1346" s="1242"/>
      <c r="AB1346" s="1242"/>
      <c r="AC1346" s="1242"/>
      <c r="AD1346" s="1242"/>
      <c r="AE1346" s="1242"/>
      <c r="AF1346" s="1242"/>
      <c r="AG1346" s="1242"/>
      <c r="AH1346" s="1242"/>
      <c r="AI1346" s="1242"/>
      <c r="AJ1346" s="1242"/>
      <c r="AK1346" s="1242"/>
      <c r="AL1346" s="1242"/>
      <c r="AM1346" s="1242"/>
      <c r="AN1346" s="1242"/>
      <c r="AO1346" s="1242"/>
      <c r="AP1346" s="1242"/>
      <c r="AQ1346" s="1242"/>
      <c r="AR1346" s="1236"/>
      <c r="AS1346" s="1586"/>
      <c r="AT1346" s="1586"/>
      <c r="AU1346" s="1242"/>
      <c r="AV1346" s="1242"/>
      <c r="AW1346" s="1242"/>
      <c r="AX1346" s="1242"/>
      <c r="AY1346" s="1242"/>
      <c r="AZ1346" s="1242"/>
      <c r="BA1346" s="1242"/>
      <c r="BB1346" s="1242"/>
      <c r="BC1346" s="1242"/>
      <c r="BD1346" s="1242"/>
      <c r="BE1346" s="1242"/>
    </row>
    <row r="1347" spans="1:57" x14ac:dyDescent="0.2">
      <c r="B1347" s="120"/>
      <c r="C1347" s="120"/>
      <c r="D1347" s="1244"/>
      <c r="E1347" s="1244"/>
      <c r="F1347" s="1244"/>
      <c r="G1347" s="1244"/>
      <c r="H1347" s="1244"/>
      <c r="I1347" s="1244"/>
      <c r="J1347" s="1244"/>
      <c r="K1347" s="1244"/>
      <c r="L1347" s="1244"/>
      <c r="M1347" s="1244"/>
      <c r="N1347" s="1244"/>
      <c r="O1347" s="1244"/>
      <c r="P1347" s="1244"/>
      <c r="Q1347" s="1244"/>
      <c r="R1347" s="1244"/>
      <c r="S1347" s="1244"/>
      <c r="T1347" s="1244"/>
      <c r="U1347" s="1244"/>
      <c r="V1347" s="1244"/>
      <c r="W1347" s="1244"/>
      <c r="X1347" s="1244"/>
      <c r="Y1347" s="1244"/>
      <c r="Z1347" s="1244"/>
      <c r="AA1347" s="1244"/>
      <c r="AB1347" s="1244"/>
      <c r="AC1347" s="1244"/>
      <c r="AD1347" s="1244"/>
      <c r="AE1347" s="1244"/>
      <c r="AF1347" s="1244"/>
      <c r="AG1347" s="1244"/>
      <c r="AH1347" s="1244"/>
      <c r="AI1347" s="1244"/>
      <c r="AJ1347" s="1339"/>
      <c r="AK1347" s="1339"/>
      <c r="AL1347" s="1339"/>
      <c r="AM1347" s="1339"/>
      <c r="AN1347" s="1339"/>
      <c r="AO1347" s="1339"/>
      <c r="AP1347" s="1339"/>
      <c r="AQ1347" s="1339"/>
      <c r="AR1347" s="1236"/>
      <c r="AS1347" s="1586"/>
      <c r="AT1347" s="1586"/>
      <c r="AU1347" s="1244"/>
      <c r="AV1347" s="1244"/>
      <c r="AW1347" s="1244"/>
      <c r="AX1347" s="1244"/>
      <c r="AY1347" s="1244"/>
      <c r="AZ1347" s="1244"/>
      <c r="BA1347" s="1244"/>
      <c r="BB1347" s="1244"/>
      <c r="BC1347" s="1244"/>
      <c r="BD1347" s="1244"/>
      <c r="BE1347" s="1244"/>
    </row>
    <row r="1348" spans="1:57" x14ac:dyDescent="0.2">
      <c r="B1348" s="120"/>
      <c r="C1348" s="120"/>
      <c r="D1348" s="407"/>
      <c r="E1348" s="407"/>
      <c r="F1348" s="407"/>
      <c r="G1348" s="407"/>
      <c r="H1348" s="407"/>
      <c r="I1348" s="407"/>
      <c r="J1348" s="407"/>
      <c r="K1348" s="407"/>
      <c r="L1348" s="407"/>
      <c r="M1348" s="407"/>
      <c r="N1348" s="407"/>
      <c r="O1348" s="407"/>
      <c r="P1348" s="407"/>
      <c r="Q1348" s="407"/>
      <c r="R1348" s="407"/>
      <c r="S1348" s="407"/>
      <c r="T1348" s="407"/>
      <c r="U1348" s="407"/>
      <c r="V1348" s="407"/>
      <c r="W1348" s="407"/>
      <c r="X1348" s="407"/>
      <c r="Y1348" s="407"/>
      <c r="Z1348" s="407"/>
      <c r="AA1348" s="407"/>
      <c r="AB1348" s="407"/>
      <c r="AC1348" s="407"/>
      <c r="AD1348" s="407"/>
      <c r="AE1348" s="407"/>
      <c r="AF1348" s="407"/>
      <c r="AG1348" s="407"/>
      <c r="AH1348" s="407"/>
      <c r="AI1348" s="407"/>
      <c r="AJ1348" s="407"/>
      <c r="AK1348" s="407"/>
      <c r="AL1348" s="407"/>
      <c r="AM1348" s="407"/>
      <c r="AN1348" s="407"/>
      <c r="AO1348" s="407"/>
      <c r="AP1348" s="407"/>
      <c r="AQ1348" s="407"/>
      <c r="AR1348" s="1236"/>
      <c r="AS1348" s="1586"/>
      <c r="AT1348" s="1586"/>
      <c r="AU1348" s="407"/>
      <c r="AV1348" s="407"/>
      <c r="AW1348" s="407"/>
      <c r="AX1348" s="407"/>
      <c r="AY1348" s="407"/>
      <c r="AZ1348" s="407"/>
      <c r="BA1348" s="407"/>
      <c r="BB1348" s="407"/>
      <c r="BC1348" s="407"/>
      <c r="BD1348" s="407"/>
      <c r="BE1348" s="407"/>
    </row>
    <row r="1349" spans="1:57" x14ac:dyDescent="0.2">
      <c r="B1349" s="35"/>
      <c r="D1349" s="1329"/>
      <c r="E1349" s="1329"/>
      <c r="F1349" s="1329"/>
      <c r="G1349" s="1329"/>
      <c r="H1349" s="1329"/>
      <c r="I1349" s="1329"/>
      <c r="J1349" s="1329"/>
      <c r="K1349" s="1329"/>
      <c r="L1349" s="1329"/>
      <c r="M1349" s="1329"/>
      <c r="N1349" s="1329"/>
      <c r="O1349" s="1329"/>
      <c r="P1349" s="1329"/>
      <c r="Q1349" s="1329"/>
      <c r="R1349" s="1329"/>
      <c r="S1349" s="1329"/>
      <c r="T1349" s="1329"/>
      <c r="U1349" s="1329"/>
      <c r="V1349" s="1329"/>
      <c r="W1349" s="1329"/>
      <c r="X1349" s="1329"/>
      <c r="Y1349" s="1329"/>
      <c r="Z1349" s="1329"/>
      <c r="AA1349" s="1329"/>
      <c r="AB1349" s="1329"/>
      <c r="AC1349" s="1329"/>
      <c r="AD1349" s="1329"/>
      <c r="AE1349" s="1329"/>
      <c r="AF1349" s="1329"/>
      <c r="AG1349" s="1329"/>
      <c r="AH1349" s="1329"/>
      <c r="AI1349" s="1329"/>
      <c r="AJ1349" s="1329"/>
      <c r="AK1349" s="1329"/>
      <c r="AL1349" s="1329"/>
      <c r="AM1349" s="1329"/>
      <c r="AN1349" s="1329"/>
      <c r="AO1349" s="1329"/>
      <c r="AP1349" s="1329"/>
      <c r="AQ1349" s="1329"/>
      <c r="AR1349" s="1236"/>
      <c r="AS1349" s="407"/>
      <c r="AT1349" s="407"/>
      <c r="AU1349" s="1236"/>
      <c r="AV1349" s="1236"/>
      <c r="AW1349" s="1236"/>
      <c r="AX1349" s="1236"/>
      <c r="AY1349" s="1236"/>
      <c r="AZ1349" s="1236"/>
      <c r="BA1349" s="1236"/>
      <c r="BB1349" s="1329"/>
      <c r="BC1349" s="1329"/>
      <c r="BD1349" s="1329"/>
      <c r="BE1349" s="1329"/>
    </row>
    <row r="1350" spans="1:57" x14ac:dyDescent="0.2">
      <c r="B1350" s="65"/>
      <c r="D1350" s="1329"/>
      <c r="E1350" s="1329"/>
      <c r="F1350" s="1329"/>
      <c r="G1350" s="1329"/>
      <c r="H1350" s="1329"/>
      <c r="I1350" s="1329"/>
      <c r="J1350" s="1329"/>
      <c r="K1350" s="1329"/>
      <c r="L1350" s="1329"/>
      <c r="M1350" s="1329"/>
      <c r="N1350" s="1329"/>
      <c r="O1350" s="1329"/>
      <c r="P1350" s="1329"/>
      <c r="Q1350" s="1329"/>
      <c r="R1350" s="1329"/>
      <c r="S1350" s="1329"/>
      <c r="T1350" s="1329"/>
      <c r="U1350" s="1329"/>
      <c r="V1350" s="1329"/>
      <c r="W1350" s="1329"/>
      <c r="X1350" s="1329"/>
      <c r="Y1350" s="1329"/>
      <c r="Z1350" s="1329"/>
      <c r="AA1350" s="1329"/>
      <c r="AB1350" s="1329"/>
      <c r="AC1350" s="1329"/>
      <c r="AD1350" s="1329"/>
      <c r="AE1350" s="1329"/>
      <c r="AF1350" s="1329"/>
      <c r="AG1350" s="1329"/>
      <c r="AH1350" s="1329"/>
      <c r="AI1350" s="1329"/>
      <c r="AJ1350" s="1329"/>
      <c r="AK1350" s="1329"/>
      <c r="AL1350" s="1329"/>
      <c r="AM1350" s="1329"/>
      <c r="AN1350" s="1329"/>
      <c r="AO1350" s="1329"/>
      <c r="AP1350" s="1329"/>
      <c r="AQ1350" s="1329"/>
      <c r="AR1350" s="1236"/>
      <c r="AS1350" s="1329"/>
      <c r="AT1350" s="407"/>
      <c r="AU1350" s="1236"/>
      <c r="AV1350" s="1236"/>
      <c r="AW1350" s="1236"/>
      <c r="AX1350" s="1236"/>
      <c r="AY1350" s="1236"/>
      <c r="AZ1350" s="1236"/>
      <c r="BA1350" s="1236"/>
      <c r="BB1350" s="1329"/>
      <c r="BC1350" s="1329"/>
      <c r="BD1350" s="1329"/>
      <c r="BE1350" s="1329"/>
    </row>
    <row r="1351" spans="1:57" x14ac:dyDescent="0.2">
      <c r="B1351" s="35"/>
      <c r="D1351" s="1242"/>
      <c r="E1351" s="1242"/>
      <c r="F1351" s="1242"/>
      <c r="G1351" s="1242"/>
      <c r="H1351" s="1242"/>
      <c r="I1351" s="1242"/>
      <c r="J1351" s="1242"/>
      <c r="K1351" s="1242"/>
      <c r="L1351" s="1242"/>
      <c r="M1351" s="1242"/>
      <c r="N1351" s="1242"/>
      <c r="O1351" s="1242"/>
      <c r="P1351" s="1242"/>
      <c r="Q1351" s="1242"/>
      <c r="R1351" s="1242"/>
      <c r="S1351" s="1242"/>
      <c r="T1351" s="1242"/>
      <c r="U1351" s="1242"/>
      <c r="V1351" s="1242"/>
      <c r="W1351" s="1242"/>
      <c r="X1351" s="1242"/>
      <c r="Y1351" s="1242"/>
      <c r="Z1351" s="1242"/>
      <c r="AA1351" s="1242"/>
      <c r="AB1351" s="1242"/>
      <c r="AC1351" s="1242"/>
      <c r="AD1351" s="1242"/>
      <c r="AE1351" s="1242"/>
      <c r="AF1351" s="1242"/>
      <c r="AG1351" s="1242"/>
      <c r="AH1351" s="1242"/>
      <c r="AI1351" s="1242"/>
      <c r="AJ1351" s="1242"/>
      <c r="AK1351" s="1242"/>
      <c r="AL1351" s="1242"/>
      <c r="AM1351" s="1242"/>
      <c r="AN1351" s="1242"/>
      <c r="AO1351" s="1242"/>
      <c r="AP1351" s="1242"/>
      <c r="AQ1351" s="1242"/>
      <c r="AR1351" s="1236"/>
      <c r="AS1351" s="407"/>
      <c r="AT1351" s="407"/>
      <c r="AU1351" s="1242"/>
      <c r="AV1351" s="1242"/>
      <c r="AW1351" s="1242"/>
      <c r="AX1351" s="1242"/>
      <c r="AY1351" s="1242"/>
      <c r="AZ1351" s="1242"/>
      <c r="BA1351" s="1242"/>
      <c r="BB1351" s="1242"/>
      <c r="BC1351" s="1242"/>
      <c r="BD1351" s="1242"/>
      <c r="BE1351" s="1242"/>
    </row>
    <row r="1352" spans="1:57" x14ac:dyDescent="0.2">
      <c r="B1352" s="35"/>
      <c r="D1352" s="1242"/>
      <c r="E1352" s="1242"/>
      <c r="F1352" s="1242"/>
      <c r="G1352" s="1242"/>
      <c r="H1352" s="1242"/>
      <c r="I1352" s="1242"/>
      <c r="J1352" s="1242"/>
      <c r="K1352" s="1242"/>
      <c r="L1352" s="1242"/>
      <c r="M1352" s="1242"/>
      <c r="N1352" s="1242"/>
      <c r="O1352" s="1242"/>
      <c r="P1352" s="1242"/>
      <c r="Q1352" s="1242"/>
      <c r="R1352" s="1242"/>
      <c r="S1352" s="1242"/>
      <c r="T1352" s="1242"/>
      <c r="U1352" s="1242"/>
      <c r="V1352" s="1242"/>
      <c r="W1352" s="1242"/>
      <c r="X1352" s="1242"/>
      <c r="Y1352" s="1242"/>
      <c r="Z1352" s="1242"/>
      <c r="AA1352" s="1242"/>
      <c r="AB1352" s="1242"/>
      <c r="AC1352" s="1242"/>
      <c r="AD1352" s="1242"/>
      <c r="AE1352" s="1242"/>
      <c r="AF1352" s="1242"/>
      <c r="AG1352" s="1242"/>
      <c r="AH1352" s="1242"/>
      <c r="AI1352" s="1242"/>
      <c r="AJ1352" s="1242"/>
      <c r="AK1352" s="1242"/>
      <c r="AL1352" s="1242"/>
      <c r="AM1352" s="1242"/>
      <c r="AN1352" s="1242"/>
      <c r="AO1352" s="1242"/>
      <c r="AP1352" s="1242"/>
      <c r="AQ1352" s="1242"/>
      <c r="AR1352" s="1236"/>
      <c r="AS1352" s="407"/>
      <c r="AT1352" s="407"/>
      <c r="AU1352" s="1242"/>
      <c r="AV1352" s="1242"/>
      <c r="AW1352" s="1242"/>
      <c r="AX1352" s="1242"/>
      <c r="AY1352" s="1242"/>
      <c r="AZ1352" s="1242"/>
      <c r="BA1352" s="1242"/>
      <c r="BB1352" s="1242"/>
      <c r="BC1352" s="1242"/>
      <c r="BD1352" s="1242"/>
      <c r="BE1352" s="1242"/>
    </row>
    <row r="1353" spans="1:57" x14ac:dyDescent="0.2">
      <c r="B1353" s="35"/>
      <c r="D1353" s="1242"/>
      <c r="E1353" s="1242"/>
      <c r="F1353" s="1242"/>
      <c r="G1353" s="1242"/>
      <c r="H1353" s="1242"/>
      <c r="I1353" s="1242"/>
      <c r="J1353" s="1242"/>
      <c r="K1353" s="1242"/>
      <c r="L1353" s="1242"/>
      <c r="M1353" s="1242"/>
      <c r="N1353" s="1242"/>
      <c r="O1353" s="1242"/>
      <c r="P1353" s="1242"/>
      <c r="Q1353" s="1242"/>
      <c r="R1353" s="1242"/>
      <c r="S1353" s="1242"/>
      <c r="T1353" s="1242"/>
      <c r="U1353" s="1242"/>
      <c r="V1353" s="1242"/>
      <c r="W1353" s="1242"/>
      <c r="X1353" s="1242"/>
      <c r="Y1353" s="1242"/>
      <c r="Z1353" s="1242"/>
      <c r="AA1353" s="1242"/>
      <c r="AB1353" s="1242"/>
      <c r="AC1353" s="1242"/>
      <c r="AD1353" s="1242"/>
      <c r="AE1353" s="1242"/>
      <c r="AF1353" s="1242"/>
      <c r="AG1353" s="1242"/>
      <c r="AH1353" s="1242"/>
      <c r="AI1353" s="1242"/>
      <c r="AJ1353" s="1242"/>
      <c r="AK1353" s="1242"/>
      <c r="AL1353" s="1242"/>
      <c r="AM1353" s="1242"/>
      <c r="AN1353" s="1242"/>
      <c r="AO1353" s="1242"/>
      <c r="AP1353" s="1242"/>
      <c r="AQ1353" s="1242"/>
      <c r="AR1353" s="1236"/>
      <c r="AS1353" s="407"/>
      <c r="AT1353" s="407"/>
      <c r="AU1353" s="1242"/>
      <c r="AV1353" s="1242"/>
      <c r="AW1353" s="1242"/>
      <c r="AX1353" s="1242"/>
      <c r="AY1353" s="1242"/>
      <c r="AZ1353" s="1242"/>
      <c r="BA1353" s="1242"/>
      <c r="BB1353" s="1242"/>
      <c r="BC1353" s="1242"/>
      <c r="BD1353" s="1242"/>
      <c r="BE1353" s="1242"/>
    </row>
    <row r="1354" spans="1:57" x14ac:dyDescent="0.2">
      <c r="B1354" s="35"/>
      <c r="D1354" s="1242"/>
      <c r="E1354" s="1242"/>
      <c r="F1354" s="1242"/>
      <c r="G1354" s="1242"/>
      <c r="H1354" s="1242"/>
      <c r="I1354" s="1242"/>
      <c r="J1354" s="1242"/>
      <c r="K1354" s="1242"/>
      <c r="L1354" s="1242"/>
      <c r="M1354" s="1242"/>
      <c r="N1354" s="1242"/>
      <c r="O1354" s="1242"/>
      <c r="P1354" s="1242"/>
      <c r="Q1354" s="1242"/>
      <c r="R1354" s="1242"/>
      <c r="S1354" s="1242"/>
      <c r="T1354" s="1242"/>
      <c r="U1354" s="1242"/>
      <c r="V1354" s="1242"/>
      <c r="W1354" s="1242"/>
      <c r="X1354" s="1242"/>
      <c r="Y1354" s="1242"/>
      <c r="Z1354" s="1242"/>
      <c r="AA1354" s="1242"/>
      <c r="AB1354" s="1242"/>
      <c r="AC1354" s="1242"/>
      <c r="AD1354" s="1242"/>
      <c r="AE1354" s="1242"/>
      <c r="AF1354" s="1242"/>
      <c r="AG1354" s="1242"/>
      <c r="AH1354" s="1242"/>
      <c r="AI1354" s="1242"/>
      <c r="AJ1354" s="1242"/>
      <c r="AK1354" s="1242"/>
      <c r="AL1354" s="1242"/>
      <c r="AM1354" s="1242"/>
      <c r="AN1354" s="1242"/>
      <c r="AO1354" s="1242"/>
      <c r="AP1354" s="1242"/>
      <c r="AQ1354" s="1242"/>
      <c r="AR1354" s="1236"/>
      <c r="AS1354" s="407"/>
      <c r="AT1354" s="407"/>
      <c r="AU1354" s="1242"/>
      <c r="AV1354" s="1242"/>
      <c r="AW1354" s="1242"/>
      <c r="AX1354" s="1242"/>
      <c r="AY1354" s="1242"/>
      <c r="AZ1354" s="1242"/>
      <c r="BA1354" s="1242"/>
      <c r="BB1354" s="1242"/>
      <c r="BC1354" s="1242"/>
      <c r="BD1354" s="1242"/>
      <c r="BE1354" s="1242"/>
    </row>
    <row r="1355" spans="1:57" x14ac:dyDescent="0.2">
      <c r="B1355" s="35"/>
      <c r="D1355" s="1242"/>
      <c r="E1355" s="1242"/>
      <c r="F1355" s="1242"/>
      <c r="G1355" s="1242"/>
      <c r="H1355" s="1242"/>
      <c r="I1355" s="1242"/>
      <c r="J1355" s="1242"/>
      <c r="K1355" s="1242"/>
      <c r="L1355" s="1242"/>
      <c r="M1355" s="1242"/>
      <c r="N1355" s="1242"/>
      <c r="O1355" s="1242"/>
      <c r="P1355" s="1242"/>
      <c r="Q1355" s="1242"/>
      <c r="R1355" s="1242"/>
      <c r="S1355" s="1242"/>
      <c r="T1355" s="1242"/>
      <c r="U1355" s="1242"/>
      <c r="V1355" s="1242"/>
      <c r="W1355" s="1242"/>
      <c r="X1355" s="407"/>
      <c r="Y1355" s="407"/>
      <c r="Z1355" s="407"/>
      <c r="AA1355" s="407"/>
      <c r="AB1355" s="407"/>
      <c r="AC1355" s="407"/>
      <c r="AD1355" s="407"/>
      <c r="AE1355" s="407"/>
      <c r="AF1355" s="407"/>
      <c r="AG1355" s="407"/>
      <c r="AH1355" s="407"/>
      <c r="AI1355" s="407"/>
      <c r="AJ1355" s="407"/>
      <c r="AK1355" s="407"/>
      <c r="AL1355" s="407"/>
      <c r="AM1355" s="407"/>
      <c r="AN1355" s="407"/>
      <c r="AO1355" s="407"/>
      <c r="AP1355" s="407"/>
      <c r="AQ1355" s="407"/>
      <c r="AR1355" s="1236"/>
      <c r="AS1355" s="407"/>
      <c r="AT1355" s="407"/>
      <c r="AU1355" s="1242"/>
      <c r="AV1355" s="1242"/>
      <c r="AW1355" s="1242"/>
      <c r="AX1355" s="1242"/>
      <c r="AY1355" s="1242"/>
      <c r="AZ1355" s="1242"/>
      <c r="BA1355" s="1242"/>
      <c r="BB1355" s="407"/>
      <c r="BC1355" s="407"/>
      <c r="BD1355" s="407"/>
      <c r="BE1355" s="407"/>
    </row>
    <row r="1356" spans="1:57" x14ac:dyDescent="0.2">
      <c r="B1356" s="35"/>
      <c r="D1356" s="1329"/>
      <c r="E1356" s="1329"/>
      <c r="F1356" s="1329"/>
      <c r="G1356" s="1329"/>
      <c r="H1356" s="1329"/>
      <c r="I1356" s="1329"/>
      <c r="J1356" s="1329"/>
      <c r="K1356" s="1329"/>
      <c r="L1356" s="1329"/>
      <c r="M1356" s="1329"/>
      <c r="N1356" s="1329"/>
      <c r="O1356" s="1329"/>
      <c r="P1356" s="1329"/>
      <c r="Q1356" s="1329"/>
      <c r="R1356" s="1329"/>
      <c r="S1356" s="1329"/>
      <c r="T1356" s="1329"/>
      <c r="U1356" s="1329"/>
      <c r="V1356" s="1329"/>
      <c r="W1356" s="1329"/>
      <c r="X1356" s="407"/>
      <c r="Y1356" s="407"/>
      <c r="Z1356" s="407"/>
      <c r="AA1356" s="407"/>
      <c r="AB1356" s="407"/>
      <c r="AC1356" s="407"/>
      <c r="AD1356" s="407"/>
      <c r="AE1356" s="407"/>
      <c r="AF1356" s="407"/>
      <c r="AG1356" s="407"/>
      <c r="AH1356" s="407"/>
      <c r="AI1356" s="407"/>
      <c r="AJ1356" s="407"/>
      <c r="AK1356" s="407"/>
      <c r="AL1356" s="407"/>
      <c r="AM1356" s="407"/>
      <c r="AN1356" s="407"/>
      <c r="AO1356" s="407"/>
      <c r="AP1356" s="407"/>
      <c r="AQ1356" s="407"/>
      <c r="AR1356" s="1236"/>
      <c r="AS1356" s="407"/>
      <c r="AT1356" s="407"/>
      <c r="AU1356" s="1236"/>
      <c r="AV1356" s="1236"/>
      <c r="AW1356" s="1236"/>
      <c r="AX1356" s="1236"/>
      <c r="AY1356" s="1236"/>
      <c r="AZ1356" s="1236"/>
      <c r="BA1356" s="1236"/>
      <c r="BB1356" s="1236"/>
      <c r="BC1356" s="1236"/>
      <c r="BD1356" s="1236"/>
      <c r="BE1356" s="1236"/>
    </row>
    <row r="1357" spans="1:57" x14ac:dyDescent="0.2">
      <c r="B1357" s="13"/>
      <c r="C1357" s="13"/>
      <c r="D1357" s="1369"/>
      <c r="E1357" s="1369"/>
      <c r="F1357" s="1369"/>
      <c r="G1357" s="1369"/>
      <c r="H1357" s="1369"/>
      <c r="I1357" s="1369"/>
      <c r="J1357" s="1369"/>
      <c r="K1357" s="1369"/>
      <c r="L1357" s="1369"/>
      <c r="M1357" s="1369"/>
      <c r="N1357" s="1369"/>
      <c r="O1357" s="1369"/>
      <c r="P1357" s="1369"/>
      <c r="Q1357" s="1369"/>
      <c r="R1357" s="1369"/>
      <c r="S1357" s="1369"/>
      <c r="T1357" s="1369"/>
      <c r="U1357" s="1369"/>
      <c r="V1357" s="1369"/>
      <c r="W1357" s="1369"/>
      <c r="X1357" s="1369"/>
      <c r="Y1357" s="1369"/>
      <c r="Z1357" s="1369"/>
      <c r="AA1357" s="1369"/>
      <c r="AB1357" s="1369"/>
      <c r="AC1357" s="1369"/>
      <c r="AD1357" s="1369"/>
      <c r="AE1357" s="1369"/>
      <c r="AF1357" s="1369"/>
      <c r="AG1357" s="1369"/>
      <c r="AH1357" s="1369"/>
      <c r="AI1357" s="1369"/>
      <c r="AJ1357" s="1369"/>
      <c r="AK1357" s="1369"/>
      <c r="AL1357" s="1369"/>
      <c r="AM1357" s="1369"/>
      <c r="AN1357" s="1369"/>
      <c r="AO1357" s="1369"/>
      <c r="AP1357" s="1369"/>
      <c r="AQ1357" s="1369"/>
      <c r="AR1357" s="1236"/>
      <c r="AS1357" s="1370"/>
      <c r="AT1357" s="1370"/>
      <c r="AU1357" s="1370"/>
      <c r="AV1357" s="1370"/>
      <c r="AW1357" s="1370"/>
      <c r="AX1357" s="1370"/>
      <c r="AY1357" s="1370"/>
      <c r="AZ1357" s="1370"/>
      <c r="BA1357" s="1370"/>
      <c r="BB1357" s="1370"/>
      <c r="BC1357" s="1370"/>
      <c r="BD1357" s="1370"/>
      <c r="BE1357" s="1370"/>
    </row>
    <row r="1358" spans="1:57" x14ac:dyDescent="0.2">
      <c r="B1358" s="16"/>
      <c r="C1358" s="16"/>
      <c r="D1358" s="1329"/>
      <c r="E1358" s="1329"/>
      <c r="F1358" s="1329"/>
      <c r="G1358" s="1329"/>
      <c r="H1358" s="1329"/>
      <c r="I1358" s="1329"/>
      <c r="J1358" s="1329"/>
      <c r="K1358" s="1329"/>
      <c r="L1358" s="1329"/>
      <c r="M1358" s="1329"/>
      <c r="N1358" s="1329"/>
      <c r="O1358" s="1329"/>
      <c r="P1358" s="1329"/>
      <c r="Q1358" s="1329"/>
      <c r="R1358" s="1329"/>
      <c r="S1358" s="1329"/>
      <c r="T1358" s="1329"/>
      <c r="U1358" s="1329"/>
      <c r="V1358" s="1329"/>
      <c r="W1358" s="1329"/>
      <c r="X1358" s="1250"/>
      <c r="Y1358" s="1250"/>
      <c r="Z1358" s="1250"/>
      <c r="AA1358" s="1250"/>
      <c r="AB1358" s="1250"/>
      <c r="AC1358" s="1250"/>
      <c r="AD1358" s="1250"/>
      <c r="AE1358" s="1250"/>
      <c r="AF1358" s="1250"/>
      <c r="AG1358" s="1250"/>
      <c r="AH1358" s="1250"/>
      <c r="AI1358" s="1250"/>
      <c r="AJ1358" s="1250"/>
      <c r="AK1358" s="1250"/>
      <c r="AL1358" s="1250"/>
      <c r="AM1358" s="1250"/>
      <c r="AN1358" s="1250"/>
      <c r="AO1358" s="1250"/>
      <c r="AP1358" s="1250"/>
      <c r="AQ1358" s="1250"/>
      <c r="AR1358" s="1236"/>
      <c r="AS1358" s="1371"/>
      <c r="AT1358" s="1371"/>
      <c r="AU1358" s="1236"/>
      <c r="AV1358" s="1236"/>
      <c r="AW1358" s="1236"/>
      <c r="AX1358" s="1236"/>
      <c r="AY1358" s="1236"/>
      <c r="AZ1358" s="1236"/>
      <c r="BA1358" s="1236"/>
      <c r="BB1358" s="1236"/>
      <c r="BC1358" s="1236"/>
      <c r="BD1358" s="1236"/>
      <c r="BE1358" s="1236"/>
    </row>
    <row r="1359" spans="1:57" s="382" customFormat="1" x14ac:dyDescent="0.2">
      <c r="A1359" s="837"/>
      <c r="B1359" s="87"/>
      <c r="C1359" s="674"/>
      <c r="D1359" s="1308"/>
      <c r="E1359" s="1262"/>
      <c r="F1359" s="1262"/>
      <c r="G1359" s="1262"/>
      <c r="H1359" s="1262"/>
      <c r="I1359" s="1262"/>
      <c r="J1359" s="1262"/>
      <c r="K1359" s="1262"/>
      <c r="L1359" s="1262"/>
      <c r="M1359" s="1262"/>
      <c r="N1359" s="1262"/>
      <c r="O1359" s="1262"/>
      <c r="P1359" s="1262"/>
      <c r="Q1359" s="1262"/>
      <c r="R1359" s="1262"/>
      <c r="S1359" s="1262"/>
      <c r="T1359" s="1262"/>
      <c r="U1359" s="1262"/>
      <c r="V1359" s="1262"/>
      <c r="W1359" s="1262"/>
      <c r="X1359" s="1262"/>
      <c r="Y1359" s="1262"/>
      <c r="Z1359" s="1263"/>
      <c r="AA1359" s="1262"/>
      <c r="AB1359" s="1263"/>
      <c r="AC1359" s="1262"/>
      <c r="AD1359" s="1277"/>
      <c r="AE1359" s="1277"/>
      <c r="AF1359" s="1277"/>
      <c r="AG1359" s="1277"/>
      <c r="AH1359" s="1277"/>
      <c r="AI1359" s="1262"/>
      <c r="AJ1359" s="1262"/>
      <c r="AK1359" s="1262"/>
      <c r="AL1359" s="1262"/>
      <c r="AM1359" s="1262"/>
      <c r="AN1359" s="1262"/>
      <c r="AO1359" s="1262"/>
      <c r="AP1359" s="1262"/>
      <c r="AQ1359" s="1262"/>
      <c r="AR1359" s="1236"/>
      <c r="AS1359" s="1587"/>
      <c r="AT1359" s="1336"/>
      <c r="AU1359" s="1277"/>
      <c r="AV1359" s="1262"/>
      <c r="AW1359" s="1263"/>
      <c r="AX1359" s="1263"/>
      <c r="AY1359" s="1308"/>
      <c r="AZ1359" s="1447"/>
      <c r="BA1359" s="1308"/>
      <c r="BB1359" s="1308"/>
      <c r="BC1359" s="1308"/>
      <c r="BD1359" s="1308"/>
      <c r="BE1359" s="1308"/>
    </row>
    <row r="1360" spans="1:57" s="382" customFormat="1" x14ac:dyDescent="0.2">
      <c r="A1360" s="837"/>
      <c r="B1360" s="334"/>
      <c r="C1360" s="321"/>
      <c r="D1360" s="1308"/>
      <c r="E1360" s="1262"/>
      <c r="F1360" s="1262"/>
      <c r="G1360" s="1260"/>
      <c r="H1360" s="1346"/>
      <c r="I1360" s="1346"/>
      <c r="J1360" s="1346"/>
      <c r="K1360" s="1346"/>
      <c r="L1360" s="1346"/>
      <c r="M1360" s="1346"/>
      <c r="N1360" s="1346"/>
      <c r="O1360" s="1346"/>
      <c r="P1360" s="1346"/>
      <c r="Q1360" s="1346"/>
      <c r="R1360" s="1346"/>
      <c r="S1360" s="1346"/>
      <c r="T1360" s="1346"/>
      <c r="U1360" s="1346"/>
      <c r="V1360" s="1346"/>
      <c r="W1360" s="1346"/>
      <c r="X1360" s="1346"/>
      <c r="Y1360" s="1346"/>
      <c r="Z1360" s="1258"/>
      <c r="AA1360" s="1258"/>
      <c r="AB1360" s="1258"/>
      <c r="AC1360" s="1258"/>
      <c r="AD1360" s="1258"/>
      <c r="AE1360" s="1258"/>
      <c r="AF1360" s="1258"/>
      <c r="AG1360" s="1258"/>
      <c r="AH1360" s="1258"/>
      <c r="AI1360" s="1258"/>
      <c r="AJ1360" s="1258"/>
      <c r="AK1360" s="1258"/>
      <c r="AL1360" s="1258"/>
      <c r="AM1360" s="1258"/>
      <c r="AN1360" s="1258"/>
      <c r="AO1360" s="1258"/>
      <c r="AP1360" s="1258"/>
      <c r="AQ1360" s="1258"/>
      <c r="AR1360" s="1236"/>
      <c r="AS1360" s="1410"/>
      <c r="AT1360" s="1284"/>
      <c r="AU1360" s="1263"/>
      <c r="AV1360" s="1263"/>
      <c r="AW1360" s="1263"/>
      <c r="AX1360" s="1263"/>
      <c r="AY1360" s="1263"/>
      <c r="AZ1360" s="1267"/>
      <c r="BA1360" s="1267"/>
      <c r="BB1360" s="1258"/>
      <c r="BC1360" s="1258"/>
      <c r="BD1360" s="1258"/>
      <c r="BE1360" s="1258"/>
    </row>
    <row r="1361" spans="1:69" s="369" customFormat="1" x14ac:dyDescent="0.2">
      <c r="A1361" s="411"/>
      <c r="B1361" s="321"/>
      <c r="C1361" s="321"/>
      <c r="D1361" s="1284"/>
      <c r="E1361" s="1284"/>
      <c r="F1361" s="1284"/>
      <c r="G1361" s="1260"/>
      <c r="H1361" s="1346"/>
      <c r="I1361" s="1346"/>
      <c r="J1361" s="1346"/>
      <c r="K1361" s="1346"/>
      <c r="L1361" s="1346"/>
      <c r="M1361" s="1346"/>
      <c r="N1361" s="1346"/>
      <c r="O1361" s="1346"/>
      <c r="P1361" s="1346"/>
      <c r="Q1361" s="1346"/>
      <c r="R1361" s="1346"/>
      <c r="S1361" s="1346"/>
      <c r="T1361" s="1346"/>
      <c r="U1361" s="1346"/>
      <c r="V1361" s="1346"/>
      <c r="W1361" s="1346"/>
      <c r="X1361" s="1346"/>
      <c r="Y1361" s="1346"/>
      <c r="Z1361" s="1284"/>
      <c r="AA1361" s="1284"/>
      <c r="AB1361" s="1284"/>
      <c r="AC1361" s="1284"/>
      <c r="AD1361" s="1284"/>
      <c r="AE1361" s="1284"/>
      <c r="AF1361" s="1284"/>
      <c r="AG1361" s="1284"/>
      <c r="AH1361" s="1284"/>
      <c r="AI1361" s="1284"/>
      <c r="AJ1361" s="1284"/>
      <c r="AK1361" s="1284"/>
      <c r="AL1361" s="1284"/>
      <c r="AM1361" s="1284"/>
      <c r="AN1361" s="1284"/>
      <c r="AO1361" s="1284"/>
      <c r="AP1361" s="1284"/>
      <c r="AQ1361" s="1284"/>
      <c r="AR1361" s="1236"/>
      <c r="AS1361" s="1284"/>
      <c r="AT1361" s="1284"/>
      <c r="AU1361" s="1263"/>
      <c r="AV1361" s="1263"/>
      <c r="AW1361" s="1263"/>
      <c r="AX1361" s="1263"/>
      <c r="AY1361" s="1263"/>
      <c r="AZ1361" s="1267"/>
      <c r="BA1361" s="1267"/>
      <c r="BB1361" s="1284"/>
      <c r="BC1361" s="1284"/>
      <c r="BD1361" s="1284"/>
      <c r="BE1361" s="1284"/>
    </row>
    <row r="1362" spans="1:69" s="369" customFormat="1" x14ac:dyDescent="0.2">
      <c r="A1362" s="411"/>
      <c r="B1362" s="321"/>
      <c r="C1362" s="321"/>
      <c r="D1362" s="1284"/>
      <c r="E1362" s="1284"/>
      <c r="F1362" s="1284"/>
      <c r="G1362" s="1260"/>
      <c r="H1362" s="1253"/>
      <c r="I1362" s="1253"/>
      <c r="J1362" s="1253"/>
      <c r="K1362" s="1253"/>
      <c r="L1362" s="1253"/>
      <c r="M1362" s="1253"/>
      <c r="N1362" s="1253"/>
      <c r="O1362" s="1253"/>
      <c r="P1362" s="1253"/>
      <c r="Q1362" s="1253"/>
      <c r="R1362" s="1253"/>
      <c r="S1362" s="1253"/>
      <c r="T1362" s="1253"/>
      <c r="U1362" s="1253"/>
      <c r="V1362" s="1253"/>
      <c r="W1362" s="1253"/>
      <c r="X1362" s="1253"/>
      <c r="Y1362" s="1253"/>
      <c r="Z1362" s="1263"/>
      <c r="AA1362" s="1262"/>
      <c r="AB1362" s="1263"/>
      <c r="AC1362" s="1262"/>
      <c r="AD1362" s="1262"/>
      <c r="AE1362" s="1262"/>
      <c r="AF1362" s="1262"/>
      <c r="AG1362" s="1262"/>
      <c r="AH1362" s="1262"/>
      <c r="AI1362" s="1262"/>
      <c r="AJ1362" s="1262"/>
      <c r="AK1362" s="1262"/>
      <c r="AL1362" s="1262"/>
      <c r="AM1362" s="1262"/>
      <c r="AN1362" s="1262"/>
      <c r="AO1362" s="1262"/>
      <c r="AP1362" s="1262"/>
      <c r="AQ1362" s="1262"/>
      <c r="AR1362" s="1236"/>
      <c r="AS1362" s="1284"/>
      <c r="AT1362" s="1284"/>
      <c r="AU1362" s="1262"/>
      <c r="AV1362" s="1262"/>
      <c r="AW1362" s="1263"/>
      <c r="AX1362" s="1263"/>
      <c r="AY1362" s="1308"/>
      <c r="AZ1362" s="1447"/>
      <c r="BA1362" s="1263"/>
      <c r="BB1362" s="1262"/>
      <c r="BC1362" s="1262"/>
      <c r="BD1362" s="1262"/>
      <c r="BE1362" s="1262"/>
    </row>
    <row r="1363" spans="1:69" s="369" customFormat="1" x14ac:dyDescent="0.2">
      <c r="A1363" s="411"/>
      <c r="B1363" s="321"/>
      <c r="C1363" s="321"/>
      <c r="D1363" s="1284"/>
      <c r="E1363" s="1284"/>
      <c r="F1363" s="1284"/>
      <c r="G1363" s="1260"/>
      <c r="H1363" s="1253"/>
      <c r="I1363" s="1253"/>
      <c r="J1363" s="1253"/>
      <c r="K1363" s="1253"/>
      <c r="L1363" s="1253"/>
      <c r="M1363" s="1253"/>
      <c r="N1363" s="1253"/>
      <c r="O1363" s="1253"/>
      <c r="P1363" s="1253"/>
      <c r="Q1363" s="1253"/>
      <c r="R1363" s="1253"/>
      <c r="S1363" s="1253"/>
      <c r="T1363" s="1253"/>
      <c r="U1363" s="1253"/>
      <c r="V1363" s="1253"/>
      <c r="W1363" s="1253"/>
      <c r="X1363" s="1253"/>
      <c r="Y1363" s="1253"/>
      <c r="Z1363" s="1263"/>
      <c r="AA1363" s="1262"/>
      <c r="AB1363" s="1263"/>
      <c r="AC1363" s="1262"/>
      <c r="AD1363" s="1262"/>
      <c r="AE1363" s="1262"/>
      <c r="AF1363" s="1262"/>
      <c r="AG1363" s="1262"/>
      <c r="AH1363" s="1262"/>
      <c r="AI1363" s="1262"/>
      <c r="AJ1363" s="1262"/>
      <c r="AK1363" s="1262"/>
      <c r="AL1363" s="1262"/>
      <c r="AM1363" s="1262"/>
      <c r="AN1363" s="1262"/>
      <c r="AO1363" s="1262"/>
      <c r="AP1363" s="1262"/>
      <c r="AQ1363" s="1262"/>
      <c r="AR1363" s="1236"/>
      <c r="AS1363" s="1284"/>
      <c r="AT1363" s="1284"/>
      <c r="AU1363" s="1262"/>
      <c r="AV1363" s="1262"/>
      <c r="AW1363" s="1263"/>
      <c r="AX1363" s="1263"/>
      <c r="AY1363" s="1308"/>
      <c r="AZ1363" s="1447"/>
      <c r="BA1363" s="1263"/>
      <c r="BB1363" s="1262"/>
      <c r="BC1363" s="1262"/>
      <c r="BD1363" s="1262"/>
      <c r="BE1363" s="1262"/>
    </row>
    <row r="1364" spans="1:69" s="369" customFormat="1" x14ac:dyDescent="0.2">
      <c r="A1364" s="411"/>
      <c r="B1364" s="321"/>
      <c r="C1364" s="321"/>
      <c r="D1364" s="1284"/>
      <c r="E1364" s="1284"/>
      <c r="F1364" s="1284"/>
      <c r="G1364" s="1260"/>
      <c r="H1364" s="1347"/>
      <c r="I1364" s="1347"/>
      <c r="J1364" s="1347"/>
      <c r="K1364" s="1347"/>
      <c r="L1364" s="1347"/>
      <c r="M1364" s="1347"/>
      <c r="N1364" s="1347"/>
      <c r="O1364" s="1347"/>
      <c r="P1364" s="1347"/>
      <c r="Q1364" s="1347"/>
      <c r="R1364" s="1347"/>
      <c r="S1364" s="1347"/>
      <c r="T1364" s="1347"/>
      <c r="U1364" s="1347"/>
      <c r="V1364" s="1347"/>
      <c r="W1364" s="1347"/>
      <c r="X1364" s="1347"/>
      <c r="Y1364" s="1347"/>
      <c r="Z1364" s="1588"/>
      <c r="AA1364" s="1588"/>
      <c r="AB1364" s="1588"/>
      <c r="AC1364" s="1588"/>
      <c r="AD1364" s="1588"/>
      <c r="AE1364" s="1588"/>
      <c r="AF1364" s="1588"/>
      <c r="AG1364" s="1588"/>
      <c r="AH1364" s="1588"/>
      <c r="AI1364" s="1588"/>
      <c r="AJ1364" s="1588"/>
      <c r="AK1364" s="1588"/>
      <c r="AL1364" s="1588"/>
      <c r="AM1364" s="1588"/>
      <c r="AN1364" s="1588"/>
      <c r="AO1364" s="1588"/>
      <c r="AP1364" s="1588"/>
      <c r="AQ1364" s="1588"/>
      <c r="AR1364" s="1236"/>
      <c r="AS1364" s="1284"/>
      <c r="AT1364" s="1284"/>
      <c r="AU1364" s="1263"/>
      <c r="AV1364" s="1263"/>
      <c r="AW1364" s="1263"/>
      <c r="AX1364" s="1263"/>
      <c r="AY1364" s="1263"/>
      <c r="AZ1364" s="1267"/>
      <c r="BA1364" s="1267"/>
      <c r="BB1364" s="1588"/>
      <c r="BC1364" s="1588"/>
      <c r="BD1364" s="1588"/>
      <c r="BE1364" s="1588"/>
    </row>
    <row r="1365" spans="1:69" s="369" customFormat="1" x14ac:dyDescent="0.2">
      <c r="A1365" s="411"/>
      <c r="B1365" s="321"/>
      <c r="C1365" s="321"/>
      <c r="D1365" s="1284"/>
      <c r="E1365" s="1284"/>
      <c r="F1365" s="1284"/>
      <c r="G1365" s="1260"/>
      <c r="H1365" s="1347"/>
      <c r="I1365" s="1347"/>
      <c r="J1365" s="1347"/>
      <c r="K1365" s="1347"/>
      <c r="L1365" s="1347"/>
      <c r="M1365" s="1347"/>
      <c r="N1365" s="1347"/>
      <c r="O1365" s="1347"/>
      <c r="P1365" s="1347"/>
      <c r="Q1365" s="1347"/>
      <c r="R1365" s="1347"/>
      <c r="S1365" s="1347"/>
      <c r="T1365" s="1347"/>
      <c r="U1365" s="1347"/>
      <c r="V1365" s="1347"/>
      <c r="W1365" s="1347"/>
      <c r="X1365" s="1347"/>
      <c r="Y1365" s="1347"/>
      <c r="Z1365" s="1588"/>
      <c r="AA1365" s="1588"/>
      <c r="AB1365" s="1588"/>
      <c r="AC1365" s="1588"/>
      <c r="AD1365" s="1588"/>
      <c r="AE1365" s="1588"/>
      <c r="AF1365" s="1588"/>
      <c r="AG1365" s="1588"/>
      <c r="AH1365" s="1588"/>
      <c r="AI1365" s="1588"/>
      <c r="AJ1365" s="1588"/>
      <c r="AK1365" s="1588"/>
      <c r="AL1365" s="1588"/>
      <c r="AM1365" s="1588"/>
      <c r="AN1365" s="1588"/>
      <c r="AO1365" s="1588"/>
      <c r="AP1365" s="1588"/>
      <c r="AQ1365" s="1588"/>
      <c r="AR1365" s="1236"/>
      <c r="AS1365" s="1284"/>
      <c r="AT1365" s="1284"/>
      <c r="AU1365" s="1263"/>
      <c r="AV1365" s="1263"/>
      <c r="AW1365" s="1263"/>
      <c r="AX1365" s="1263"/>
      <c r="AY1365" s="1263"/>
      <c r="AZ1365" s="1267"/>
      <c r="BA1365" s="1267"/>
      <c r="BB1365" s="1588"/>
      <c r="BC1365" s="1588"/>
      <c r="BD1365" s="1588"/>
      <c r="BE1365" s="1588"/>
    </row>
    <row r="1366" spans="1:69" s="369" customFormat="1" x14ac:dyDescent="0.2">
      <c r="A1366" s="411"/>
      <c r="B1366" s="321"/>
      <c r="C1366" s="321"/>
      <c r="D1366" s="1284"/>
      <c r="E1366" s="1284"/>
      <c r="F1366" s="1284"/>
      <c r="G1366" s="1260"/>
      <c r="H1366" s="1347"/>
      <c r="I1366" s="1347"/>
      <c r="J1366" s="1347"/>
      <c r="K1366" s="1347"/>
      <c r="L1366" s="1347"/>
      <c r="M1366" s="1347"/>
      <c r="N1366" s="1347"/>
      <c r="O1366" s="1347"/>
      <c r="P1366" s="1347"/>
      <c r="Q1366" s="1347"/>
      <c r="R1366" s="1347"/>
      <c r="S1366" s="1347"/>
      <c r="T1366" s="1347"/>
      <c r="U1366" s="1347"/>
      <c r="V1366" s="1347"/>
      <c r="W1366" s="1347"/>
      <c r="X1366" s="1347"/>
      <c r="Y1366" s="1347"/>
      <c r="Z1366" s="1284"/>
      <c r="AA1366" s="1284"/>
      <c r="AB1366" s="1284"/>
      <c r="AC1366" s="1284"/>
      <c r="AD1366" s="1284"/>
      <c r="AE1366" s="1284"/>
      <c r="AF1366" s="1284"/>
      <c r="AG1366" s="1284"/>
      <c r="AH1366" s="1284"/>
      <c r="AI1366" s="1284"/>
      <c r="AJ1366" s="1284"/>
      <c r="AK1366" s="1284"/>
      <c r="AL1366" s="1284"/>
      <c r="AM1366" s="1284"/>
      <c r="AN1366" s="1284"/>
      <c r="AO1366" s="1284"/>
      <c r="AP1366" s="1284"/>
      <c r="AQ1366" s="1284"/>
      <c r="AR1366" s="1236"/>
      <c r="AS1366" s="1284"/>
      <c r="AT1366" s="1284"/>
      <c r="AU1366" s="1263"/>
      <c r="AV1366" s="1263"/>
      <c r="AW1366" s="1263"/>
      <c r="AX1366" s="1263"/>
      <c r="AY1366" s="1263"/>
      <c r="AZ1366" s="1267"/>
      <c r="BA1366" s="1267"/>
      <c r="BB1366" s="1284"/>
      <c r="BC1366" s="1284"/>
      <c r="BD1366" s="1284"/>
      <c r="BE1366" s="1284"/>
    </row>
    <row r="1367" spans="1:69" s="369" customFormat="1" x14ac:dyDescent="0.2">
      <c r="A1367" s="411"/>
      <c r="B1367" s="321"/>
      <c r="C1367" s="321"/>
      <c r="D1367" s="1284"/>
      <c r="E1367" s="1284"/>
      <c r="F1367" s="1284"/>
      <c r="G1367" s="1260"/>
      <c r="H1367" s="1347"/>
      <c r="I1367" s="1347"/>
      <c r="J1367" s="1347"/>
      <c r="K1367" s="1347"/>
      <c r="L1367" s="1347"/>
      <c r="M1367" s="1347"/>
      <c r="N1367" s="1347"/>
      <c r="O1367" s="1347"/>
      <c r="P1367" s="1347"/>
      <c r="Q1367" s="1347"/>
      <c r="R1367" s="1347"/>
      <c r="S1367" s="1347"/>
      <c r="T1367" s="1347"/>
      <c r="U1367" s="1347"/>
      <c r="V1367" s="1347"/>
      <c r="W1367" s="1347"/>
      <c r="X1367" s="1347"/>
      <c r="Y1367" s="1347"/>
      <c r="Z1367" s="1284"/>
      <c r="AA1367" s="1284"/>
      <c r="AB1367" s="1284"/>
      <c r="AC1367" s="1284"/>
      <c r="AD1367" s="1284"/>
      <c r="AE1367" s="1284"/>
      <c r="AF1367" s="1284"/>
      <c r="AG1367" s="1284"/>
      <c r="AH1367" s="1284"/>
      <c r="AI1367" s="1284"/>
      <c r="AJ1367" s="1284"/>
      <c r="AK1367" s="1284"/>
      <c r="AL1367" s="1284"/>
      <c r="AM1367" s="1284"/>
      <c r="AN1367" s="1284"/>
      <c r="AO1367" s="1284"/>
      <c r="AP1367" s="1284"/>
      <c r="AQ1367" s="1284"/>
      <c r="AR1367" s="1236"/>
      <c r="AS1367" s="1284"/>
      <c r="AT1367" s="1284"/>
      <c r="AU1367" s="1263"/>
      <c r="AV1367" s="1263"/>
      <c r="AW1367" s="1263"/>
      <c r="AX1367" s="1263"/>
      <c r="AY1367" s="1263"/>
      <c r="AZ1367" s="1267"/>
      <c r="BA1367" s="1267"/>
      <c r="BB1367" s="1284"/>
      <c r="BC1367" s="1284"/>
      <c r="BD1367" s="1284"/>
      <c r="BE1367" s="1284"/>
    </row>
    <row r="1368" spans="1:69" s="369" customFormat="1" x14ac:dyDescent="0.2">
      <c r="A1368" s="411"/>
      <c r="B1368" s="321"/>
      <c r="C1368" s="1217"/>
      <c r="D1368" s="1284"/>
      <c r="E1368" s="1284"/>
      <c r="F1368" s="1284"/>
      <c r="G1368" s="1260"/>
      <c r="H1368" s="1347"/>
      <c r="I1368" s="1347"/>
      <c r="J1368" s="1347"/>
      <c r="K1368" s="1347"/>
      <c r="L1368" s="1347"/>
      <c r="M1368" s="1347"/>
      <c r="N1368" s="1347"/>
      <c r="O1368" s="1347"/>
      <c r="P1368" s="1347"/>
      <c r="Q1368" s="1347"/>
      <c r="R1368" s="1347"/>
      <c r="S1368" s="1347"/>
      <c r="T1368" s="1347"/>
      <c r="U1368" s="1347"/>
      <c r="V1368" s="1347"/>
      <c r="W1368" s="1347"/>
      <c r="X1368" s="1347"/>
      <c r="Y1368" s="1347"/>
      <c r="Z1368" s="1588"/>
      <c r="AA1368" s="1588"/>
      <c r="AB1368" s="1588"/>
      <c r="AC1368" s="1588"/>
      <c r="AD1368" s="1588"/>
      <c r="AE1368" s="1588"/>
      <c r="AF1368" s="1588"/>
      <c r="AG1368" s="1588"/>
      <c r="AH1368" s="1588"/>
      <c r="AI1368" s="1588"/>
      <c r="AJ1368" s="1588"/>
      <c r="AK1368" s="1588"/>
      <c r="AL1368" s="1588"/>
      <c r="AM1368" s="1588"/>
      <c r="AN1368" s="1588"/>
      <c r="AO1368" s="1588"/>
      <c r="AP1368" s="1588"/>
      <c r="AQ1368" s="1588"/>
      <c r="AR1368" s="1236"/>
      <c r="AS1368" s="1284"/>
      <c r="AT1368" s="407"/>
      <c r="AU1368" s="1263"/>
      <c r="AV1368" s="1263"/>
      <c r="AW1368" s="1263"/>
      <c r="AX1368" s="1263"/>
      <c r="AY1368" s="1263"/>
      <c r="AZ1368" s="1267"/>
      <c r="BA1368" s="1267"/>
      <c r="BB1368" s="1588"/>
      <c r="BC1368" s="1588"/>
      <c r="BD1368" s="1588"/>
      <c r="BE1368" s="1588"/>
    </row>
    <row r="1369" spans="1:69" s="369" customFormat="1" x14ac:dyDescent="0.2">
      <c r="A1369" s="411"/>
      <c r="B1369" s="321"/>
      <c r="C1369" s="1217"/>
      <c r="D1369" s="1284"/>
      <c r="E1369" s="1284"/>
      <c r="F1369" s="1284"/>
      <c r="G1369" s="1260"/>
      <c r="H1369" s="1347"/>
      <c r="I1369" s="1347"/>
      <c r="J1369" s="1347"/>
      <c r="K1369" s="1347"/>
      <c r="L1369" s="1347"/>
      <c r="M1369" s="1347"/>
      <c r="N1369" s="1347"/>
      <c r="O1369" s="1347"/>
      <c r="P1369" s="1347"/>
      <c r="Q1369" s="1347"/>
      <c r="R1369" s="1347"/>
      <c r="S1369" s="1347"/>
      <c r="T1369" s="1347"/>
      <c r="U1369" s="1347"/>
      <c r="V1369" s="1347"/>
      <c r="W1369" s="1347"/>
      <c r="X1369" s="1347"/>
      <c r="Y1369" s="1347"/>
      <c r="Z1369" s="1284"/>
      <c r="AA1369" s="1284"/>
      <c r="AB1369" s="1284"/>
      <c r="AC1369" s="1284"/>
      <c r="AD1369" s="1284"/>
      <c r="AE1369" s="1284"/>
      <c r="AF1369" s="1284"/>
      <c r="AG1369" s="1284"/>
      <c r="AH1369" s="1284"/>
      <c r="AI1369" s="1284"/>
      <c r="AJ1369" s="1284"/>
      <c r="AK1369" s="1284"/>
      <c r="AL1369" s="1284"/>
      <c r="AM1369" s="1284"/>
      <c r="AN1369" s="1284"/>
      <c r="AO1369" s="1284"/>
      <c r="AP1369" s="1284"/>
      <c r="AQ1369" s="1284"/>
      <c r="AR1369" s="1236"/>
      <c r="AS1369" s="1284"/>
      <c r="AT1369" s="407"/>
      <c r="AU1369" s="1263"/>
      <c r="AV1369" s="1263"/>
      <c r="AW1369" s="1263"/>
      <c r="AX1369" s="1263"/>
      <c r="AY1369" s="1263"/>
      <c r="AZ1369" s="1267"/>
      <c r="BA1369" s="1267"/>
      <c r="BB1369" s="1284"/>
      <c r="BC1369" s="1284"/>
      <c r="BD1369" s="1284"/>
      <c r="BE1369" s="1284"/>
    </row>
    <row r="1370" spans="1:69" s="369" customFormat="1" x14ac:dyDescent="0.2">
      <c r="A1370" s="411"/>
      <c r="C1370" s="25"/>
      <c r="D1370" s="1270"/>
      <c r="E1370" s="1270"/>
      <c r="F1370" s="1270"/>
      <c r="G1370" s="1348"/>
      <c r="H1370" s="1348"/>
      <c r="I1370" s="1348"/>
      <c r="J1370" s="1348"/>
      <c r="K1370" s="1348"/>
      <c r="L1370" s="1348"/>
      <c r="M1370" s="1348"/>
      <c r="N1370" s="1348"/>
      <c r="O1370" s="1348"/>
      <c r="P1370" s="1348"/>
      <c r="Q1370" s="1348"/>
      <c r="R1370" s="1348"/>
      <c r="S1370" s="1348"/>
      <c r="T1370" s="1348"/>
      <c r="U1370" s="1348"/>
      <c r="V1370" s="1348"/>
      <c r="W1370" s="1348"/>
      <c r="X1370" s="1348"/>
      <c r="Y1370" s="1348"/>
      <c r="Z1370" s="1270"/>
      <c r="AA1370" s="1270"/>
      <c r="AB1370" s="1270"/>
      <c r="AC1370" s="1270"/>
      <c r="AD1370" s="1270"/>
      <c r="AE1370" s="1270"/>
      <c r="AF1370" s="1270"/>
      <c r="AG1370" s="1270"/>
      <c r="AH1370" s="1270"/>
      <c r="AI1370" s="1270"/>
      <c r="AJ1370" s="1263"/>
      <c r="AK1370" s="1263"/>
      <c r="AL1370" s="1263"/>
      <c r="AM1370" s="1263"/>
      <c r="AN1370" s="1263"/>
      <c r="AO1370" s="1263"/>
      <c r="AP1370" s="1263"/>
      <c r="AQ1370" s="1263"/>
      <c r="AR1370" s="1236"/>
      <c r="AS1370" s="1263"/>
      <c r="AT1370" s="1307"/>
      <c r="AU1370" s="1270"/>
      <c r="AV1370" s="1270"/>
      <c r="AW1370" s="1270"/>
      <c r="AX1370" s="1270"/>
      <c r="AY1370" s="1270"/>
      <c r="AZ1370" s="1401"/>
      <c r="BA1370" s="1401"/>
      <c r="BB1370" s="1270"/>
      <c r="BC1370" s="1270"/>
      <c r="BD1370" s="1270"/>
      <c r="BE1370" s="1270"/>
    </row>
    <row r="1371" spans="1:69" s="369" customFormat="1" x14ac:dyDescent="0.2">
      <c r="A1371" s="411"/>
      <c r="B1371" s="345"/>
      <c r="C1371" s="1217"/>
      <c r="D1371" s="1284"/>
      <c r="E1371" s="1284"/>
      <c r="F1371" s="1284"/>
      <c r="G1371" s="1258"/>
      <c r="H1371" s="1258"/>
      <c r="I1371" s="1258"/>
      <c r="J1371" s="1258"/>
      <c r="K1371" s="1258"/>
      <c r="L1371" s="1258"/>
      <c r="M1371" s="1258"/>
      <c r="N1371" s="1258"/>
      <c r="O1371" s="1258"/>
      <c r="P1371" s="1258"/>
      <c r="Q1371" s="1258"/>
      <c r="R1371" s="1258"/>
      <c r="S1371" s="1258"/>
      <c r="T1371" s="1258"/>
      <c r="U1371" s="1258"/>
      <c r="V1371" s="1258"/>
      <c r="W1371" s="1258"/>
      <c r="X1371" s="1258"/>
      <c r="Y1371" s="1258"/>
      <c r="Z1371" s="1258"/>
      <c r="AA1371" s="1258"/>
      <c r="AB1371" s="1258"/>
      <c r="AC1371" s="1258"/>
      <c r="AD1371" s="1258"/>
      <c r="AE1371" s="1258"/>
      <c r="AF1371" s="1258"/>
      <c r="AG1371" s="1258"/>
      <c r="AH1371" s="1258"/>
      <c r="AI1371" s="1258"/>
      <c r="AJ1371" s="1258"/>
      <c r="AK1371" s="1258"/>
      <c r="AL1371" s="1258"/>
      <c r="AM1371" s="1258"/>
      <c r="AN1371" s="1258"/>
      <c r="AO1371" s="1258"/>
      <c r="AP1371" s="1258"/>
      <c r="AQ1371" s="1258"/>
      <c r="AR1371" s="1236"/>
      <c r="AS1371" s="1409"/>
      <c r="AT1371" s="407"/>
      <c r="AU1371" s="1258"/>
      <c r="AV1371" s="1258"/>
      <c r="AW1371" s="1258"/>
      <c r="AX1371" s="1258"/>
      <c r="AY1371" s="1258"/>
      <c r="AZ1371" s="1258"/>
      <c r="BA1371" s="1258"/>
      <c r="BB1371" s="1258"/>
      <c r="BC1371" s="1258"/>
      <c r="BD1371" s="1258"/>
      <c r="BE1371" s="1258"/>
      <c r="BM1371" s="238"/>
      <c r="BN1371" s="238"/>
      <c r="BO1371" s="238"/>
      <c r="BP1371" s="238"/>
      <c r="BQ1371" s="238"/>
    </row>
    <row r="1372" spans="1:69" s="369" customFormat="1" x14ac:dyDescent="0.2">
      <c r="A1372" s="411"/>
      <c r="B1372" s="345"/>
      <c r="C1372" s="1217"/>
      <c r="D1372" s="1284"/>
      <c r="E1372" s="1284"/>
      <c r="F1372" s="1284"/>
      <c r="G1372" s="1258"/>
      <c r="H1372" s="1258"/>
      <c r="I1372" s="1258"/>
      <c r="J1372" s="1258"/>
      <c r="K1372" s="1258"/>
      <c r="L1372" s="1258"/>
      <c r="M1372" s="1258"/>
      <c r="N1372" s="1258"/>
      <c r="O1372" s="1258"/>
      <c r="P1372" s="1258"/>
      <c r="Q1372" s="1258"/>
      <c r="R1372" s="1258"/>
      <c r="S1372" s="1258"/>
      <c r="T1372" s="1258"/>
      <c r="U1372" s="1258"/>
      <c r="V1372" s="1258"/>
      <c r="W1372" s="1258"/>
      <c r="X1372" s="1258"/>
      <c r="Y1372" s="1258"/>
      <c r="Z1372" s="1263"/>
      <c r="AA1372" s="1262"/>
      <c r="AB1372" s="1263"/>
      <c r="AC1372" s="1262"/>
      <c r="AD1372" s="1262"/>
      <c r="AE1372" s="1262"/>
      <c r="AF1372" s="1262"/>
      <c r="AG1372" s="1262"/>
      <c r="AH1372" s="1262"/>
      <c r="AI1372" s="1262"/>
      <c r="AJ1372" s="1262"/>
      <c r="AK1372" s="1262"/>
      <c r="AL1372" s="1262"/>
      <c r="AM1372" s="1262"/>
      <c r="AN1372" s="1262"/>
      <c r="AO1372" s="1262"/>
      <c r="AP1372" s="1262"/>
      <c r="AQ1372" s="1262"/>
      <c r="AR1372" s="1236"/>
      <c r="AS1372" s="1409"/>
      <c r="AT1372" s="407"/>
      <c r="AU1372" s="1262"/>
      <c r="AV1372" s="1262"/>
      <c r="AW1372" s="1263"/>
      <c r="AX1372" s="1263"/>
      <c r="AY1372" s="1308"/>
      <c r="AZ1372" s="1447"/>
      <c r="BA1372" s="1263"/>
      <c r="BB1372" s="1262"/>
      <c r="BC1372" s="1262"/>
      <c r="BD1372" s="1262"/>
      <c r="BE1372" s="1262"/>
    </row>
    <row r="1373" spans="1:69" s="369" customFormat="1" x14ac:dyDescent="0.2">
      <c r="A1373" s="411"/>
      <c r="B1373" s="345"/>
      <c r="C1373" s="1217"/>
      <c r="D1373" s="1284"/>
      <c r="E1373" s="1284"/>
      <c r="F1373" s="1284"/>
      <c r="G1373" s="1258"/>
      <c r="H1373" s="1258"/>
      <c r="I1373" s="1258"/>
      <c r="J1373" s="1258"/>
      <c r="K1373" s="1258"/>
      <c r="L1373" s="1258"/>
      <c r="M1373" s="1258"/>
      <c r="N1373" s="1258"/>
      <c r="O1373" s="1258"/>
      <c r="P1373" s="1258"/>
      <c r="Q1373" s="1258"/>
      <c r="R1373" s="1258"/>
      <c r="S1373" s="1258"/>
      <c r="T1373" s="1258"/>
      <c r="U1373" s="1258"/>
      <c r="V1373" s="1258"/>
      <c r="W1373" s="1258"/>
      <c r="X1373" s="1258"/>
      <c r="Y1373" s="1258"/>
      <c r="Z1373" s="1263"/>
      <c r="AA1373" s="1262"/>
      <c r="AB1373" s="1263"/>
      <c r="AC1373" s="1262"/>
      <c r="AD1373" s="1262"/>
      <c r="AE1373" s="1262"/>
      <c r="AF1373" s="1262"/>
      <c r="AG1373" s="1262"/>
      <c r="AH1373" s="1262"/>
      <c r="AI1373" s="1262"/>
      <c r="AJ1373" s="1262"/>
      <c r="AK1373" s="1262"/>
      <c r="AL1373" s="1262"/>
      <c r="AM1373" s="1262"/>
      <c r="AN1373" s="1262"/>
      <c r="AO1373" s="1262"/>
      <c r="AP1373" s="1262"/>
      <c r="AQ1373" s="1262"/>
      <c r="AR1373" s="1236"/>
      <c r="AS1373" s="1409"/>
      <c r="AT1373" s="407"/>
      <c r="AU1373" s="1262"/>
      <c r="AV1373" s="1262"/>
      <c r="AW1373" s="1263"/>
      <c r="AX1373" s="1263"/>
      <c r="AY1373" s="1308"/>
      <c r="AZ1373" s="1447"/>
      <c r="BA1373" s="1263"/>
      <c r="BB1373" s="1262"/>
      <c r="BC1373" s="1262"/>
      <c r="BD1373" s="1262"/>
      <c r="BE1373" s="1262"/>
    </row>
    <row r="1374" spans="1:69" s="369" customFormat="1" x14ac:dyDescent="0.2">
      <c r="A1374" s="411"/>
      <c r="B1374" s="342"/>
      <c r="C1374" s="1217"/>
      <c r="D1374" s="1284"/>
      <c r="E1374" s="1284"/>
      <c r="F1374" s="1284"/>
      <c r="G1374" s="1284"/>
      <c r="H1374" s="1284"/>
      <c r="I1374" s="1284"/>
      <c r="J1374" s="1284"/>
      <c r="K1374" s="1284"/>
      <c r="L1374" s="1284"/>
      <c r="M1374" s="1284"/>
      <c r="N1374" s="1284"/>
      <c r="O1374" s="1284"/>
      <c r="P1374" s="1284"/>
      <c r="Q1374" s="1284"/>
      <c r="R1374" s="1284"/>
      <c r="S1374" s="1284"/>
      <c r="T1374" s="1284"/>
      <c r="U1374" s="1284"/>
      <c r="V1374" s="1284"/>
      <c r="W1374" s="1284"/>
      <c r="X1374" s="1284"/>
      <c r="Y1374" s="1284"/>
      <c r="Z1374" s="1284"/>
      <c r="AA1374" s="1284"/>
      <c r="AB1374" s="1284"/>
      <c r="AC1374" s="1284"/>
      <c r="AD1374" s="1284"/>
      <c r="AE1374" s="1284"/>
      <c r="AF1374" s="1284"/>
      <c r="AG1374" s="1284"/>
      <c r="AH1374" s="1284"/>
      <c r="AI1374" s="1284"/>
      <c r="AJ1374" s="1284"/>
      <c r="AK1374" s="1284"/>
      <c r="AL1374" s="1284"/>
      <c r="AM1374" s="1284"/>
      <c r="AN1374" s="1284"/>
      <c r="AO1374" s="1284"/>
      <c r="AP1374" s="1284"/>
      <c r="AQ1374" s="1284"/>
      <c r="AR1374" s="1236"/>
      <c r="AS1374" s="1263"/>
      <c r="AT1374" s="407"/>
      <c r="AU1374" s="1263"/>
      <c r="AV1374" s="1263"/>
      <c r="AW1374" s="1263"/>
      <c r="AX1374" s="1263"/>
      <c r="AY1374" s="1263"/>
      <c r="AZ1374" s="1267"/>
      <c r="BA1374" s="1267"/>
      <c r="BB1374" s="1284"/>
      <c r="BC1374" s="1284"/>
      <c r="BD1374" s="1284"/>
      <c r="BE1374" s="1284"/>
    </row>
    <row r="1375" spans="1:69" s="369" customFormat="1" x14ac:dyDescent="0.2">
      <c r="A1375" s="411"/>
      <c r="B1375" s="342"/>
      <c r="C1375" s="1217"/>
      <c r="D1375" s="1284"/>
      <c r="E1375" s="1284"/>
      <c r="F1375" s="1284"/>
      <c r="G1375" s="1284"/>
      <c r="H1375" s="1284"/>
      <c r="I1375" s="1284"/>
      <c r="J1375" s="1284"/>
      <c r="K1375" s="1284"/>
      <c r="L1375" s="1284"/>
      <c r="M1375" s="1284"/>
      <c r="N1375" s="1284"/>
      <c r="O1375" s="1284"/>
      <c r="P1375" s="1284"/>
      <c r="Q1375" s="1284"/>
      <c r="R1375" s="1284"/>
      <c r="S1375" s="1284"/>
      <c r="T1375" s="1284"/>
      <c r="U1375" s="1284"/>
      <c r="V1375" s="1284"/>
      <c r="W1375" s="1284"/>
      <c r="X1375" s="1284"/>
      <c r="Y1375" s="1284"/>
      <c r="Z1375" s="1588"/>
      <c r="AA1375" s="1588"/>
      <c r="AB1375" s="1588"/>
      <c r="AC1375" s="1588"/>
      <c r="AD1375" s="1588"/>
      <c r="AE1375" s="1588"/>
      <c r="AF1375" s="1588"/>
      <c r="AG1375" s="1588"/>
      <c r="AH1375" s="1588"/>
      <c r="AI1375" s="1588"/>
      <c r="AJ1375" s="1588"/>
      <c r="AK1375" s="1588"/>
      <c r="AL1375" s="1588"/>
      <c r="AM1375" s="1588"/>
      <c r="AN1375" s="1588"/>
      <c r="AO1375" s="1588"/>
      <c r="AP1375" s="1588"/>
      <c r="AQ1375" s="1588"/>
      <c r="AR1375" s="1236"/>
      <c r="AS1375" s="1263"/>
      <c r="AT1375" s="407"/>
      <c r="AU1375" s="1263"/>
      <c r="AV1375" s="1263"/>
      <c r="AW1375" s="1263"/>
      <c r="AX1375" s="1263"/>
      <c r="AY1375" s="1263"/>
      <c r="AZ1375" s="1267"/>
      <c r="BA1375" s="1267"/>
      <c r="BB1375" s="1588"/>
      <c r="BC1375" s="1588"/>
      <c r="BD1375" s="1588"/>
      <c r="BE1375" s="1588"/>
    </row>
    <row r="1376" spans="1:69" s="369" customFormat="1" x14ac:dyDescent="0.2">
      <c r="A1376" s="411"/>
      <c r="B1376" s="345"/>
      <c r="C1376" s="1217"/>
      <c r="D1376" s="1284"/>
      <c r="E1376" s="1284"/>
      <c r="F1376" s="1284"/>
      <c r="G1376" s="1258"/>
      <c r="H1376" s="1258"/>
      <c r="I1376" s="1258"/>
      <c r="J1376" s="1258"/>
      <c r="K1376" s="1258"/>
      <c r="L1376" s="1258"/>
      <c r="M1376" s="1258"/>
      <c r="N1376" s="1258"/>
      <c r="O1376" s="1258"/>
      <c r="P1376" s="1258"/>
      <c r="Q1376" s="1258"/>
      <c r="R1376" s="1258"/>
      <c r="S1376" s="1258"/>
      <c r="T1376" s="1258"/>
      <c r="U1376" s="1258"/>
      <c r="V1376" s="1258"/>
      <c r="W1376" s="1258"/>
      <c r="X1376" s="1258"/>
      <c r="Y1376" s="1258"/>
      <c r="Z1376" s="1263"/>
      <c r="AA1376" s="1262"/>
      <c r="AB1376" s="1263"/>
      <c r="AC1376" s="1262"/>
      <c r="AD1376" s="1262"/>
      <c r="AE1376" s="1262"/>
      <c r="AF1376" s="1262"/>
      <c r="AG1376" s="1262"/>
      <c r="AH1376" s="1262"/>
      <c r="AI1376" s="1262"/>
      <c r="AJ1376" s="1262"/>
      <c r="AK1376" s="1262"/>
      <c r="AL1376" s="1262"/>
      <c r="AM1376" s="1262"/>
      <c r="AN1376" s="1262"/>
      <c r="AO1376" s="1262"/>
      <c r="AP1376" s="1262"/>
      <c r="AQ1376" s="1262"/>
      <c r="AR1376" s="1236"/>
      <c r="AS1376" s="1409"/>
      <c r="AT1376" s="407"/>
      <c r="AU1376" s="1262"/>
      <c r="AV1376" s="1262"/>
      <c r="AW1376" s="1263"/>
      <c r="AX1376" s="1263"/>
      <c r="AY1376" s="1308"/>
      <c r="AZ1376" s="1447"/>
      <c r="BA1376" s="1263"/>
      <c r="BB1376" s="1262"/>
      <c r="BC1376" s="1262"/>
      <c r="BD1376" s="1262"/>
      <c r="BE1376" s="1262"/>
    </row>
    <row r="1377" spans="1:69" s="369" customFormat="1" x14ac:dyDescent="0.2">
      <c r="A1377" s="411"/>
      <c r="B1377" s="342"/>
      <c r="C1377" s="1217"/>
      <c r="D1377" s="1284"/>
      <c r="E1377" s="1284"/>
      <c r="F1377" s="1284"/>
      <c r="G1377" s="1258"/>
      <c r="H1377" s="1258"/>
      <c r="I1377" s="1258"/>
      <c r="J1377" s="1258"/>
      <c r="K1377" s="1258"/>
      <c r="L1377" s="1258"/>
      <c r="M1377" s="1258"/>
      <c r="N1377" s="1258"/>
      <c r="O1377" s="1258"/>
      <c r="P1377" s="1258"/>
      <c r="Q1377" s="1258"/>
      <c r="R1377" s="1258"/>
      <c r="S1377" s="1258"/>
      <c r="T1377" s="1258"/>
      <c r="U1377" s="1258"/>
      <c r="V1377" s="1258"/>
      <c r="W1377" s="1258"/>
      <c r="X1377" s="1258"/>
      <c r="Y1377" s="1258"/>
      <c r="Z1377" s="1284"/>
      <c r="AA1377" s="1284"/>
      <c r="AB1377" s="1284"/>
      <c r="AC1377" s="1284"/>
      <c r="AD1377" s="1284"/>
      <c r="AE1377" s="1284"/>
      <c r="AF1377" s="1284"/>
      <c r="AG1377" s="1284"/>
      <c r="AH1377" s="1284"/>
      <c r="AI1377" s="1284"/>
      <c r="AJ1377" s="1284"/>
      <c r="AK1377" s="1284"/>
      <c r="AL1377" s="1284"/>
      <c r="AM1377" s="1284"/>
      <c r="AN1377" s="1284"/>
      <c r="AO1377" s="1284"/>
      <c r="AP1377" s="1284"/>
      <c r="AQ1377" s="1284"/>
      <c r="AR1377" s="1236"/>
      <c r="AS1377" s="1263"/>
      <c r="AT1377" s="407"/>
      <c r="AU1377" s="1263"/>
      <c r="AV1377" s="1263"/>
      <c r="AW1377" s="1263"/>
      <c r="AX1377" s="1263"/>
      <c r="AY1377" s="1263"/>
      <c r="AZ1377" s="1267"/>
      <c r="BA1377" s="1267"/>
      <c r="BB1377" s="1284"/>
      <c r="BC1377" s="1284"/>
      <c r="BD1377" s="1284"/>
      <c r="BE1377" s="1284"/>
    </row>
    <row r="1378" spans="1:69" s="369" customFormat="1" x14ac:dyDescent="0.2">
      <c r="A1378" s="411"/>
      <c r="B1378" s="342"/>
      <c r="C1378" s="1217"/>
      <c r="D1378" s="1284"/>
      <c r="E1378" s="1284"/>
      <c r="F1378" s="1284"/>
      <c r="G1378" s="1258"/>
      <c r="H1378" s="1258"/>
      <c r="I1378" s="1258"/>
      <c r="J1378" s="1258"/>
      <c r="K1378" s="1258"/>
      <c r="L1378" s="1258"/>
      <c r="M1378" s="1258"/>
      <c r="N1378" s="1258"/>
      <c r="O1378" s="1258"/>
      <c r="P1378" s="1258"/>
      <c r="Q1378" s="1258"/>
      <c r="R1378" s="1258"/>
      <c r="S1378" s="1258"/>
      <c r="T1378" s="1258"/>
      <c r="U1378" s="1258"/>
      <c r="V1378" s="1258"/>
      <c r="W1378" s="1258"/>
      <c r="X1378" s="1258"/>
      <c r="Y1378" s="1258"/>
      <c r="Z1378" s="1258"/>
      <c r="AA1378" s="1258"/>
      <c r="AB1378" s="1258"/>
      <c r="AC1378" s="1258"/>
      <c r="AD1378" s="1258"/>
      <c r="AE1378" s="1258"/>
      <c r="AF1378" s="1258"/>
      <c r="AG1378" s="1258"/>
      <c r="AH1378" s="1258"/>
      <c r="AI1378" s="1258"/>
      <c r="AJ1378" s="1258"/>
      <c r="AK1378" s="1258"/>
      <c r="AL1378" s="1258"/>
      <c r="AM1378" s="1258"/>
      <c r="AN1378" s="1258"/>
      <c r="AO1378" s="1258"/>
      <c r="AP1378" s="1258"/>
      <c r="AQ1378" s="1258"/>
      <c r="AR1378" s="1236"/>
      <c r="AS1378" s="1263"/>
      <c r="AT1378" s="407"/>
      <c r="AU1378" s="1263"/>
      <c r="AV1378" s="1263"/>
      <c r="AW1378" s="1263"/>
      <c r="AX1378" s="1263"/>
      <c r="AY1378" s="1263"/>
      <c r="AZ1378" s="1267"/>
      <c r="BA1378" s="1267"/>
      <c r="BB1378" s="1258"/>
      <c r="BC1378" s="1258"/>
      <c r="BD1378" s="1258"/>
      <c r="BE1378" s="1258"/>
    </row>
    <row r="1379" spans="1:69" s="369" customFormat="1" x14ac:dyDescent="0.2">
      <c r="A1379" s="411"/>
      <c r="B1379" s="342"/>
      <c r="C1379" s="1217"/>
      <c r="D1379" s="1284"/>
      <c r="E1379" s="1284"/>
      <c r="F1379" s="1284"/>
      <c r="G1379" s="1261"/>
      <c r="H1379" s="1261"/>
      <c r="I1379" s="1261"/>
      <c r="J1379" s="1261"/>
      <c r="K1379" s="1261"/>
      <c r="L1379" s="1261"/>
      <c r="M1379" s="1261"/>
      <c r="N1379" s="1261"/>
      <c r="O1379" s="1261"/>
      <c r="P1379" s="1261"/>
      <c r="Q1379" s="1261"/>
      <c r="R1379" s="1261"/>
      <c r="S1379" s="1261"/>
      <c r="T1379" s="1261"/>
      <c r="U1379" s="1261"/>
      <c r="V1379" s="1261"/>
      <c r="W1379" s="1261"/>
      <c r="X1379" s="1261"/>
      <c r="Y1379" s="1261"/>
      <c r="Z1379" s="1589"/>
      <c r="AA1379" s="1589"/>
      <c r="AB1379" s="1589"/>
      <c r="AC1379" s="1589"/>
      <c r="AD1379" s="1589"/>
      <c r="AE1379" s="1589"/>
      <c r="AF1379" s="1589"/>
      <c r="AG1379" s="1589"/>
      <c r="AH1379" s="1589"/>
      <c r="AI1379" s="1589"/>
      <c r="AJ1379" s="1589"/>
      <c r="AK1379" s="1589"/>
      <c r="AL1379" s="1589"/>
      <c r="AM1379" s="1589"/>
      <c r="AN1379" s="1589"/>
      <c r="AO1379" s="1589"/>
      <c r="AP1379" s="1589"/>
      <c r="AQ1379" s="1589"/>
      <c r="AR1379" s="1236"/>
      <c r="AS1379" s="1263"/>
      <c r="AT1379" s="407"/>
      <c r="AU1379" s="1261"/>
      <c r="AV1379" s="1261"/>
      <c r="AW1379" s="1261"/>
      <c r="AX1379" s="1261"/>
      <c r="AY1379" s="1261"/>
      <c r="AZ1379" s="1261"/>
      <c r="BA1379" s="1261"/>
      <c r="BB1379" s="1589"/>
      <c r="BC1379" s="1589"/>
      <c r="BD1379" s="1589"/>
      <c r="BE1379" s="1589"/>
    </row>
    <row r="1380" spans="1:69" s="369" customFormat="1" x14ac:dyDescent="0.2">
      <c r="A1380" s="411"/>
      <c r="B1380" s="342"/>
      <c r="C1380" s="15"/>
      <c r="D1380" s="1284"/>
      <c r="E1380" s="1284"/>
      <c r="F1380" s="1284"/>
      <c r="G1380" s="1261"/>
      <c r="H1380" s="1261"/>
      <c r="I1380" s="1261"/>
      <c r="J1380" s="1261"/>
      <c r="K1380" s="1261"/>
      <c r="L1380" s="1261"/>
      <c r="M1380" s="1261"/>
      <c r="N1380" s="1261"/>
      <c r="O1380" s="1261"/>
      <c r="P1380" s="1261"/>
      <c r="Q1380" s="1261"/>
      <c r="R1380" s="1261"/>
      <c r="S1380" s="1261"/>
      <c r="T1380" s="1261"/>
      <c r="U1380" s="1261"/>
      <c r="V1380" s="1261"/>
      <c r="W1380" s="1261"/>
      <c r="X1380" s="1261"/>
      <c r="Y1380" s="1261"/>
      <c r="Z1380" s="1261"/>
      <c r="AA1380" s="1261"/>
      <c r="AB1380" s="1261"/>
      <c r="AC1380" s="1261"/>
      <c r="AD1380" s="1261"/>
      <c r="AE1380" s="1261"/>
      <c r="AF1380" s="1261"/>
      <c r="AG1380" s="1261"/>
      <c r="AH1380" s="1261"/>
      <c r="AI1380" s="1261"/>
      <c r="AJ1380" s="1261"/>
      <c r="AK1380" s="1261"/>
      <c r="AL1380" s="1261"/>
      <c r="AM1380" s="1261"/>
      <c r="AN1380" s="1261"/>
      <c r="AO1380" s="1261"/>
      <c r="AP1380" s="1261"/>
      <c r="AQ1380" s="1261"/>
      <c r="AR1380" s="1236"/>
      <c r="AS1380" s="1263"/>
      <c r="AT1380" s="1250"/>
      <c r="AU1380" s="1261"/>
      <c r="AV1380" s="1261"/>
      <c r="AW1380" s="1261"/>
      <c r="AX1380" s="1261"/>
      <c r="AY1380" s="1261"/>
      <c r="AZ1380" s="1261"/>
      <c r="BA1380" s="1261"/>
      <c r="BB1380" s="1261"/>
      <c r="BC1380" s="1261"/>
      <c r="BD1380" s="1261"/>
      <c r="BE1380" s="1261"/>
    </row>
    <row r="1381" spans="1:69" s="369" customFormat="1" x14ac:dyDescent="0.2">
      <c r="A1381" s="411"/>
      <c r="B1381" s="345"/>
      <c r="C1381" s="1217"/>
      <c r="D1381" s="1284"/>
      <c r="E1381" s="1284"/>
      <c r="F1381" s="1284"/>
      <c r="G1381" s="1258"/>
      <c r="H1381" s="1258"/>
      <c r="I1381" s="1258"/>
      <c r="J1381" s="1258"/>
      <c r="K1381" s="1258"/>
      <c r="L1381" s="1258"/>
      <c r="M1381" s="1258"/>
      <c r="N1381" s="1258"/>
      <c r="O1381" s="1258"/>
      <c r="P1381" s="1258"/>
      <c r="Q1381" s="1258"/>
      <c r="R1381" s="1258"/>
      <c r="S1381" s="1258"/>
      <c r="T1381" s="1258"/>
      <c r="U1381" s="1258"/>
      <c r="V1381" s="1258"/>
      <c r="W1381" s="1258"/>
      <c r="X1381" s="1284"/>
      <c r="Y1381" s="1284"/>
      <c r="Z1381" s="1263"/>
      <c r="AA1381" s="1262"/>
      <c r="AB1381" s="1263"/>
      <c r="AC1381" s="1262"/>
      <c r="AD1381" s="1262"/>
      <c r="AE1381" s="1262"/>
      <c r="AF1381" s="1262"/>
      <c r="AG1381" s="1262"/>
      <c r="AH1381" s="1262"/>
      <c r="AI1381" s="1262"/>
      <c r="AJ1381" s="1262"/>
      <c r="AK1381" s="1262"/>
      <c r="AL1381" s="1262"/>
      <c r="AM1381" s="1262"/>
      <c r="AN1381" s="1262"/>
      <c r="AO1381" s="1262"/>
      <c r="AP1381" s="1262"/>
      <c r="AQ1381" s="1262"/>
      <c r="AR1381" s="1236"/>
      <c r="AS1381" s="1409"/>
      <c r="AT1381" s="407"/>
      <c r="AU1381" s="1262"/>
      <c r="AV1381" s="1262"/>
      <c r="AW1381" s="1263"/>
      <c r="AX1381" s="1263"/>
      <c r="AY1381" s="1308"/>
      <c r="AZ1381" s="1447"/>
      <c r="BA1381" s="1263"/>
      <c r="BB1381" s="1262"/>
      <c r="BC1381" s="1262"/>
      <c r="BD1381" s="1262"/>
      <c r="BE1381" s="1262"/>
    </row>
    <row r="1382" spans="1:69" s="799" customFormat="1" x14ac:dyDescent="0.2">
      <c r="A1382" s="411"/>
      <c r="B1382" s="341"/>
      <c r="C1382" s="323"/>
      <c r="D1382" s="1590"/>
      <c r="E1382" s="1590"/>
      <c r="F1382" s="1590"/>
      <c r="G1382" s="1349"/>
      <c r="H1382" s="1349"/>
      <c r="I1382" s="1349"/>
      <c r="J1382" s="1349"/>
      <c r="K1382" s="1349"/>
      <c r="L1382" s="1349"/>
      <c r="M1382" s="1349"/>
      <c r="N1382" s="1349"/>
      <c r="O1382" s="1349"/>
      <c r="P1382" s="1349"/>
      <c r="Q1382" s="1349"/>
      <c r="R1382" s="1349"/>
      <c r="S1382" s="1349"/>
      <c r="T1382" s="1349"/>
      <c r="U1382" s="1349"/>
      <c r="V1382" s="1349"/>
      <c r="W1382" s="1349"/>
      <c r="X1382" s="1590"/>
      <c r="Y1382" s="1590"/>
      <c r="Z1382" s="1350"/>
      <c r="AA1382" s="1351"/>
      <c r="AB1382" s="1350"/>
      <c r="AC1382" s="1351"/>
      <c r="AD1382" s="1351"/>
      <c r="AE1382" s="1351"/>
      <c r="AF1382" s="1351"/>
      <c r="AG1382" s="1351"/>
      <c r="AH1382" s="1351"/>
      <c r="AI1382" s="1351"/>
      <c r="AJ1382" s="1351"/>
      <c r="AK1382" s="1351"/>
      <c r="AL1382" s="1351"/>
      <c r="AM1382" s="1351"/>
      <c r="AN1382" s="1351"/>
      <c r="AO1382" s="1351"/>
      <c r="AP1382" s="1351"/>
      <c r="AQ1382" s="1351"/>
      <c r="AR1382" s="1236"/>
      <c r="AS1382" s="1591"/>
      <c r="AT1382" s="1592"/>
      <c r="AU1382" s="1351"/>
      <c r="AV1382" s="1351"/>
      <c r="AW1382" s="1350"/>
      <c r="AX1382" s="1350"/>
      <c r="AY1382" s="1593"/>
      <c r="AZ1382" s="1594"/>
      <c r="BA1382" s="1350"/>
      <c r="BB1382" s="1351"/>
      <c r="BC1382" s="1351"/>
      <c r="BD1382" s="1351"/>
      <c r="BE1382" s="1351"/>
      <c r="BF1382" s="369"/>
      <c r="BG1382" s="369"/>
      <c r="BH1382" s="369"/>
      <c r="BI1382" s="369"/>
      <c r="BJ1382" s="369"/>
      <c r="BK1382" s="369"/>
      <c r="BL1382" s="369"/>
    </row>
    <row r="1383" spans="1:69" s="369" customFormat="1" x14ac:dyDescent="0.2">
      <c r="A1383" s="411"/>
      <c r="B1383" s="346"/>
      <c r="C1383" s="1217"/>
      <c r="D1383" s="1284"/>
      <c r="E1383" s="1284"/>
      <c r="F1383" s="1284"/>
      <c r="G1383" s="1258"/>
      <c r="H1383" s="1258"/>
      <c r="I1383" s="1258"/>
      <c r="J1383" s="1258"/>
      <c r="K1383" s="1258"/>
      <c r="L1383" s="1258"/>
      <c r="M1383" s="1258"/>
      <c r="N1383" s="1258"/>
      <c r="O1383" s="1258"/>
      <c r="P1383" s="1258"/>
      <c r="Q1383" s="1258"/>
      <c r="R1383" s="1258"/>
      <c r="S1383" s="1258"/>
      <c r="T1383" s="1258"/>
      <c r="U1383" s="1258"/>
      <c r="V1383" s="1258"/>
      <c r="W1383" s="1258"/>
      <c r="X1383" s="1258"/>
      <c r="Y1383" s="1258"/>
      <c r="Z1383" s="1258"/>
      <c r="AA1383" s="1258"/>
      <c r="AB1383" s="1258"/>
      <c r="AC1383" s="1258"/>
      <c r="AD1383" s="1258"/>
      <c r="AE1383" s="1258"/>
      <c r="AF1383" s="1258"/>
      <c r="AG1383" s="1258"/>
      <c r="AH1383" s="1258"/>
      <c r="AI1383" s="1258"/>
      <c r="AJ1383" s="1258"/>
      <c r="AK1383" s="1258"/>
      <c r="AL1383" s="1258"/>
      <c r="AM1383" s="1258"/>
      <c r="AN1383" s="1258"/>
      <c r="AO1383" s="1258"/>
      <c r="AP1383" s="1258"/>
      <c r="AQ1383" s="1258"/>
      <c r="AR1383" s="1236"/>
      <c r="AS1383" s="1519"/>
      <c r="AT1383" s="407"/>
      <c r="AU1383" s="1263"/>
      <c r="AV1383" s="1263"/>
      <c r="AW1383" s="1263"/>
      <c r="AX1383" s="1263"/>
      <c r="AY1383" s="1263"/>
      <c r="AZ1383" s="1267"/>
      <c r="BA1383" s="1267"/>
      <c r="BB1383" s="1258"/>
      <c r="BC1383" s="1258"/>
      <c r="BD1383" s="1258"/>
      <c r="BE1383" s="1258"/>
    </row>
    <row r="1384" spans="1:69" s="369" customFormat="1" x14ac:dyDescent="0.2">
      <c r="A1384" s="411"/>
      <c r="B1384" s="346"/>
      <c r="C1384" s="1217"/>
      <c r="D1384" s="1284"/>
      <c r="E1384" s="1284"/>
      <c r="F1384" s="1284"/>
      <c r="G1384" s="1258"/>
      <c r="H1384" s="1258"/>
      <c r="I1384" s="1258"/>
      <c r="J1384" s="1258"/>
      <c r="K1384" s="1258"/>
      <c r="L1384" s="1258"/>
      <c r="M1384" s="1258"/>
      <c r="N1384" s="1258"/>
      <c r="O1384" s="1258"/>
      <c r="P1384" s="1258"/>
      <c r="Q1384" s="1258"/>
      <c r="R1384" s="1258"/>
      <c r="S1384" s="1258"/>
      <c r="T1384" s="1258"/>
      <c r="U1384" s="1258"/>
      <c r="V1384" s="1258"/>
      <c r="W1384" s="1258"/>
      <c r="X1384" s="1258"/>
      <c r="Y1384" s="1258"/>
      <c r="Z1384" s="1258"/>
      <c r="AA1384" s="1258"/>
      <c r="AB1384" s="1258"/>
      <c r="AC1384" s="1258"/>
      <c r="AD1384" s="1258"/>
      <c r="AE1384" s="1258"/>
      <c r="AF1384" s="1258"/>
      <c r="AG1384" s="1258"/>
      <c r="AH1384" s="1258"/>
      <c r="AI1384" s="1258"/>
      <c r="AJ1384" s="1258"/>
      <c r="AK1384" s="1258"/>
      <c r="AL1384" s="1258"/>
      <c r="AM1384" s="1258"/>
      <c r="AN1384" s="1258"/>
      <c r="AO1384" s="1258"/>
      <c r="AP1384" s="1258"/>
      <c r="AQ1384" s="1258"/>
      <c r="AR1384" s="1236"/>
      <c r="AS1384" s="1519"/>
      <c r="AT1384" s="407"/>
      <c r="AU1384" s="1263"/>
      <c r="AV1384" s="1263"/>
      <c r="AW1384" s="1263"/>
      <c r="AX1384" s="1263"/>
      <c r="AY1384" s="1263"/>
      <c r="AZ1384" s="1267"/>
      <c r="BA1384" s="1267"/>
      <c r="BB1384" s="1258"/>
      <c r="BC1384" s="1258"/>
      <c r="BD1384" s="1258"/>
      <c r="BE1384" s="1258"/>
      <c r="BM1384" s="238"/>
      <c r="BN1384" s="238"/>
      <c r="BO1384" s="238"/>
      <c r="BP1384" s="238"/>
      <c r="BQ1384" s="238"/>
    </row>
    <row r="1385" spans="1:69" s="369" customFormat="1" x14ac:dyDescent="0.2">
      <c r="A1385" s="411"/>
      <c r="B1385" s="346"/>
      <c r="C1385" s="1217"/>
      <c r="D1385" s="1284"/>
      <c r="E1385" s="1284"/>
      <c r="F1385" s="1284"/>
      <c r="G1385" s="1284"/>
      <c r="H1385" s="1284"/>
      <c r="I1385" s="1284"/>
      <c r="J1385" s="1284"/>
      <c r="K1385" s="1284"/>
      <c r="L1385" s="1284"/>
      <c r="M1385" s="1284"/>
      <c r="N1385" s="1284"/>
      <c r="O1385" s="1284"/>
      <c r="P1385" s="1284"/>
      <c r="Q1385" s="1284"/>
      <c r="R1385" s="1284"/>
      <c r="S1385" s="1284"/>
      <c r="T1385" s="1284"/>
      <c r="U1385" s="1284"/>
      <c r="V1385" s="1284"/>
      <c r="W1385" s="1284"/>
      <c r="X1385" s="1284"/>
      <c r="Y1385" s="1284"/>
      <c r="Z1385" s="1284"/>
      <c r="AA1385" s="1284"/>
      <c r="AB1385" s="1284"/>
      <c r="AC1385" s="1284"/>
      <c r="AD1385" s="1284"/>
      <c r="AE1385" s="1284"/>
      <c r="AF1385" s="1284"/>
      <c r="AG1385" s="1284"/>
      <c r="AH1385" s="1284"/>
      <c r="AI1385" s="1284"/>
      <c r="AJ1385" s="1284"/>
      <c r="AK1385" s="1284"/>
      <c r="AL1385" s="1284"/>
      <c r="AM1385" s="1284"/>
      <c r="AN1385" s="1284"/>
      <c r="AO1385" s="1284"/>
      <c r="AP1385" s="1284"/>
      <c r="AQ1385" s="1284"/>
      <c r="AR1385" s="1236"/>
      <c r="AS1385" s="1519"/>
      <c r="AT1385" s="407"/>
      <c r="AU1385" s="1263"/>
      <c r="AV1385" s="1263"/>
      <c r="AW1385" s="1263"/>
      <c r="AX1385" s="1263"/>
      <c r="AY1385" s="1263"/>
      <c r="AZ1385" s="1267"/>
      <c r="BA1385" s="1267"/>
      <c r="BB1385" s="1284"/>
      <c r="BC1385" s="1284"/>
      <c r="BD1385" s="1284"/>
      <c r="BE1385" s="1284"/>
      <c r="BM1385" s="238"/>
      <c r="BN1385" s="238"/>
      <c r="BO1385" s="238"/>
      <c r="BP1385" s="238"/>
      <c r="BQ1385" s="238"/>
    </row>
    <row r="1386" spans="1:69" s="369" customFormat="1" x14ac:dyDescent="0.2">
      <c r="A1386" s="411"/>
      <c r="B1386" s="87"/>
      <c r="C1386" s="1217"/>
      <c r="D1386" s="1284"/>
      <c r="E1386" s="1284"/>
      <c r="F1386" s="1284"/>
      <c r="G1386" s="1258"/>
      <c r="H1386" s="1258"/>
      <c r="I1386" s="1258"/>
      <c r="J1386" s="1258"/>
      <c r="K1386" s="1258"/>
      <c r="L1386" s="1258"/>
      <c r="M1386" s="1258"/>
      <c r="N1386" s="1258"/>
      <c r="O1386" s="1258"/>
      <c r="P1386" s="1258"/>
      <c r="Q1386" s="1258"/>
      <c r="R1386" s="1258"/>
      <c r="S1386" s="1258"/>
      <c r="T1386" s="1258"/>
      <c r="U1386" s="1258"/>
      <c r="V1386" s="1258"/>
      <c r="W1386" s="1258"/>
      <c r="X1386" s="1258"/>
      <c r="Y1386" s="1258"/>
      <c r="Z1386" s="1284"/>
      <c r="AA1386" s="1284"/>
      <c r="AB1386" s="1284"/>
      <c r="AC1386" s="1284"/>
      <c r="AD1386" s="1284"/>
      <c r="AE1386" s="1284"/>
      <c r="AF1386" s="1284"/>
      <c r="AG1386" s="1284"/>
      <c r="AH1386" s="1284"/>
      <c r="AI1386" s="1284"/>
      <c r="AJ1386" s="1284"/>
      <c r="AK1386" s="1284"/>
      <c r="AL1386" s="1284"/>
      <c r="AM1386" s="1284"/>
      <c r="AN1386" s="1284"/>
      <c r="AO1386" s="1284"/>
      <c r="AP1386" s="1284"/>
      <c r="AQ1386" s="1284"/>
      <c r="AR1386" s="1236"/>
      <c r="AS1386" s="1587"/>
      <c r="AT1386" s="407"/>
      <c r="AU1386" s="1263"/>
      <c r="AV1386" s="1263"/>
      <c r="AW1386" s="1263"/>
      <c r="AX1386" s="1263"/>
      <c r="AY1386" s="1263"/>
      <c r="AZ1386" s="1267"/>
      <c r="BA1386" s="1267"/>
      <c r="BB1386" s="1284"/>
      <c r="BC1386" s="1284"/>
      <c r="BD1386" s="1284"/>
      <c r="BE1386" s="1284"/>
      <c r="BM1386" s="238"/>
      <c r="BN1386" s="238"/>
      <c r="BO1386" s="238"/>
      <c r="BP1386" s="238"/>
      <c r="BQ1386" s="238"/>
    </row>
    <row r="1387" spans="1:69" s="369" customFormat="1" x14ac:dyDescent="0.2">
      <c r="A1387" s="411"/>
      <c r="B1387" s="87"/>
      <c r="C1387" s="1217"/>
      <c r="D1387" s="1284"/>
      <c r="E1387" s="1284"/>
      <c r="F1387" s="1284"/>
      <c r="G1387" s="1258"/>
      <c r="H1387" s="1258"/>
      <c r="I1387" s="1258"/>
      <c r="J1387" s="1258"/>
      <c r="K1387" s="1258"/>
      <c r="L1387" s="1258"/>
      <c r="M1387" s="1258"/>
      <c r="N1387" s="1258"/>
      <c r="O1387" s="1258"/>
      <c r="P1387" s="1258"/>
      <c r="Q1387" s="1258"/>
      <c r="R1387" s="1258"/>
      <c r="S1387" s="1258"/>
      <c r="T1387" s="1258"/>
      <c r="U1387" s="1258"/>
      <c r="V1387" s="1258"/>
      <c r="W1387" s="1258"/>
      <c r="X1387" s="1258"/>
      <c r="Y1387" s="1258"/>
      <c r="Z1387" s="1263"/>
      <c r="AA1387" s="1262"/>
      <c r="AB1387" s="1263"/>
      <c r="AC1387" s="1262"/>
      <c r="AD1387" s="1262"/>
      <c r="AE1387" s="1262"/>
      <c r="AF1387" s="1262"/>
      <c r="AG1387" s="1262"/>
      <c r="AH1387" s="1262"/>
      <c r="AI1387" s="1262"/>
      <c r="AJ1387" s="1262"/>
      <c r="AK1387" s="1262"/>
      <c r="AL1387" s="1262"/>
      <c r="AM1387" s="1262"/>
      <c r="AN1387" s="1262"/>
      <c r="AO1387" s="1262"/>
      <c r="AP1387" s="1262"/>
      <c r="AQ1387" s="1262"/>
      <c r="AR1387" s="1236"/>
      <c r="AS1387" s="1587"/>
      <c r="AT1387" s="407"/>
      <c r="AU1387" s="1262"/>
      <c r="AV1387" s="1262"/>
      <c r="AW1387" s="1263"/>
      <c r="AX1387" s="1263"/>
      <c r="AY1387" s="1308"/>
      <c r="AZ1387" s="1447"/>
      <c r="BA1387" s="1263"/>
      <c r="BB1387" s="1262"/>
      <c r="BC1387" s="1262"/>
      <c r="BD1387" s="1262"/>
      <c r="BE1387" s="1262"/>
    </row>
    <row r="1388" spans="1:69" s="369" customFormat="1" x14ac:dyDescent="0.2">
      <c r="A1388" s="411"/>
      <c r="B1388" s="342"/>
      <c r="C1388" s="1217"/>
      <c r="D1388" s="1284"/>
      <c r="E1388" s="1284"/>
      <c r="F1388" s="1284"/>
      <c r="G1388" s="1346"/>
      <c r="H1388" s="1346"/>
      <c r="I1388" s="1346"/>
      <c r="J1388" s="1346"/>
      <c r="K1388" s="1346"/>
      <c r="L1388" s="1346"/>
      <c r="M1388" s="1346"/>
      <c r="N1388" s="1346"/>
      <c r="O1388" s="1346"/>
      <c r="P1388" s="1346"/>
      <c r="Q1388" s="1346"/>
      <c r="R1388" s="1346"/>
      <c r="S1388" s="1346"/>
      <c r="T1388" s="1346"/>
      <c r="U1388" s="1346"/>
      <c r="V1388" s="1346"/>
      <c r="W1388" s="1346"/>
      <c r="X1388" s="1346"/>
      <c r="Y1388" s="1595"/>
      <c r="Z1388" s="1284"/>
      <c r="AA1388" s="1284"/>
      <c r="AB1388" s="1284"/>
      <c r="AC1388" s="1284"/>
      <c r="AD1388" s="1284"/>
      <c r="AE1388" s="1284"/>
      <c r="AF1388" s="1284"/>
      <c r="AG1388" s="1284"/>
      <c r="AH1388" s="1284"/>
      <c r="AI1388" s="1284"/>
      <c r="AJ1388" s="1284"/>
      <c r="AK1388" s="1284"/>
      <c r="AL1388" s="1284"/>
      <c r="AM1388" s="1284"/>
      <c r="AN1388" s="1284"/>
      <c r="AO1388" s="1284"/>
      <c r="AP1388" s="1284"/>
      <c r="AQ1388" s="1284"/>
      <c r="AR1388" s="1236"/>
      <c r="AS1388" s="1263"/>
      <c r="AT1388" s="407"/>
      <c r="AU1388" s="1263"/>
      <c r="AV1388" s="1263"/>
      <c r="AW1388" s="1263"/>
      <c r="AX1388" s="1263"/>
      <c r="AY1388" s="1263"/>
      <c r="AZ1388" s="1267"/>
      <c r="BA1388" s="1267"/>
      <c r="BB1388" s="1284"/>
      <c r="BC1388" s="1284"/>
      <c r="BD1388" s="1284"/>
      <c r="BE1388" s="1284"/>
      <c r="BM1388" s="1217"/>
      <c r="BN1388" s="1217"/>
      <c r="BO1388" s="1217"/>
      <c r="BP1388" s="1217"/>
      <c r="BQ1388" s="238"/>
    </row>
    <row r="1389" spans="1:69" s="369" customFormat="1" x14ac:dyDescent="0.2">
      <c r="A1389" s="411"/>
      <c r="B1389" s="342"/>
      <c r="C1389" s="1217"/>
      <c r="D1389" s="1284"/>
      <c r="E1389" s="1284"/>
      <c r="F1389" s="1284"/>
      <c r="G1389" s="1352"/>
      <c r="H1389" s="1352"/>
      <c r="I1389" s="1352"/>
      <c r="J1389" s="1352"/>
      <c r="K1389" s="1352"/>
      <c r="L1389" s="1352"/>
      <c r="M1389" s="1352"/>
      <c r="N1389" s="1352"/>
      <c r="O1389" s="1352"/>
      <c r="P1389" s="1352"/>
      <c r="Q1389" s="1352"/>
      <c r="R1389" s="1352"/>
      <c r="S1389" s="1352"/>
      <c r="T1389" s="1352"/>
      <c r="U1389" s="1352"/>
      <c r="V1389" s="1352"/>
      <c r="W1389" s="1352"/>
      <c r="X1389" s="1352"/>
      <c r="Y1389" s="1352"/>
      <c r="Z1389" s="1429"/>
      <c r="AA1389" s="1429"/>
      <c r="AB1389" s="1429"/>
      <c r="AC1389" s="1429"/>
      <c r="AD1389" s="1429"/>
      <c r="AE1389" s="1429"/>
      <c r="AF1389" s="1429"/>
      <c r="AG1389" s="1429"/>
      <c r="AH1389" s="1429"/>
      <c r="AI1389" s="1429"/>
      <c r="AJ1389" s="1429"/>
      <c r="AK1389" s="1429"/>
      <c r="AL1389" s="1429"/>
      <c r="AM1389" s="1429"/>
      <c r="AN1389" s="1429"/>
      <c r="AO1389" s="1429"/>
      <c r="AP1389" s="1429"/>
      <c r="AQ1389" s="1429"/>
      <c r="AR1389" s="1236"/>
      <c r="AS1389" s="1263"/>
      <c r="AT1389" s="407"/>
      <c r="AU1389" s="1352"/>
      <c r="AV1389" s="1352"/>
      <c r="AW1389" s="1352"/>
      <c r="AX1389" s="1352"/>
      <c r="AY1389" s="1352"/>
      <c r="AZ1389" s="1352"/>
      <c r="BA1389" s="1352"/>
      <c r="BB1389" s="1429"/>
      <c r="BC1389" s="1429"/>
      <c r="BD1389" s="1429"/>
      <c r="BE1389" s="1429"/>
    </row>
    <row r="1390" spans="1:69" s="369" customFormat="1" x14ac:dyDescent="0.2">
      <c r="A1390" s="411"/>
      <c r="B1390" s="342"/>
      <c r="C1390" s="1217"/>
      <c r="D1390" s="1284"/>
      <c r="E1390" s="1284"/>
      <c r="F1390" s="1284"/>
      <c r="G1390" s="1353"/>
      <c r="H1390" s="1353"/>
      <c r="I1390" s="1353"/>
      <c r="J1390" s="1353"/>
      <c r="K1390" s="1353"/>
      <c r="L1390" s="1353"/>
      <c r="M1390" s="1353"/>
      <c r="N1390" s="1353"/>
      <c r="O1390" s="1353"/>
      <c r="P1390" s="1353"/>
      <c r="Q1390" s="1353"/>
      <c r="R1390" s="1353"/>
      <c r="S1390" s="1353"/>
      <c r="T1390" s="1353"/>
      <c r="U1390" s="1353"/>
      <c r="V1390" s="1353"/>
      <c r="W1390" s="1353"/>
      <c r="X1390" s="1353"/>
      <c r="Y1390" s="1353"/>
      <c r="Z1390" s="1263"/>
      <c r="AA1390" s="1262"/>
      <c r="AB1390" s="1263"/>
      <c r="AC1390" s="1262"/>
      <c r="AD1390" s="1262"/>
      <c r="AE1390" s="1262"/>
      <c r="AF1390" s="1262"/>
      <c r="AG1390" s="1262"/>
      <c r="AH1390" s="1262"/>
      <c r="AI1390" s="1262"/>
      <c r="AJ1390" s="1262"/>
      <c r="AK1390" s="1262"/>
      <c r="AL1390" s="1262"/>
      <c r="AM1390" s="1262"/>
      <c r="AN1390" s="1262"/>
      <c r="AO1390" s="1262"/>
      <c r="AP1390" s="1262"/>
      <c r="AQ1390" s="1262"/>
      <c r="AR1390" s="1236"/>
      <c r="AS1390" s="1263"/>
      <c r="AT1390" s="407"/>
      <c r="AU1390" s="1262"/>
      <c r="AV1390" s="1262"/>
      <c r="AW1390" s="1263"/>
      <c r="AX1390" s="1263"/>
      <c r="AY1390" s="1308"/>
      <c r="AZ1390" s="1447"/>
      <c r="BA1390" s="1263"/>
      <c r="BB1390" s="1262"/>
      <c r="BC1390" s="1262"/>
      <c r="BD1390" s="1262"/>
      <c r="BE1390" s="1262"/>
    </row>
    <row r="1391" spans="1:69" x14ac:dyDescent="0.2">
      <c r="B1391" s="87"/>
      <c r="D1391" s="407"/>
      <c r="E1391" s="407"/>
      <c r="F1391" s="407"/>
      <c r="G1391" s="407"/>
      <c r="H1391" s="407"/>
      <c r="I1391" s="407"/>
      <c r="J1391" s="407"/>
      <c r="K1391" s="407"/>
      <c r="L1391" s="407"/>
      <c r="M1391" s="407"/>
      <c r="N1391" s="407"/>
      <c r="O1391" s="407"/>
      <c r="P1391" s="407"/>
      <c r="Q1391" s="407"/>
      <c r="R1391" s="407"/>
      <c r="S1391" s="407"/>
      <c r="T1391" s="407"/>
      <c r="U1391" s="407"/>
      <c r="V1391" s="407"/>
      <c r="W1391" s="407"/>
      <c r="X1391" s="407"/>
      <c r="Y1391" s="407"/>
      <c r="Z1391" s="407"/>
      <c r="AA1391" s="407"/>
      <c r="AB1391" s="407"/>
      <c r="AC1391" s="407"/>
      <c r="AD1391" s="407"/>
      <c r="AE1391" s="407"/>
      <c r="AF1391" s="407"/>
      <c r="AG1391" s="407"/>
      <c r="AH1391" s="407"/>
      <c r="AI1391" s="407"/>
      <c r="AJ1391" s="407"/>
      <c r="AK1391" s="407"/>
      <c r="AL1391" s="407"/>
      <c r="AM1391" s="407"/>
      <c r="AN1391" s="407"/>
      <c r="AO1391" s="407"/>
      <c r="AP1391" s="407"/>
      <c r="AQ1391" s="407"/>
      <c r="AR1391" s="1236"/>
      <c r="AS1391" s="1587"/>
      <c r="AT1391" s="407"/>
      <c r="AU1391" s="1236"/>
      <c r="AV1391" s="1236"/>
      <c r="AW1391" s="1236"/>
      <c r="AX1391" s="1236"/>
      <c r="AY1391" s="1236"/>
      <c r="AZ1391" s="1236"/>
      <c r="BA1391" s="1236"/>
      <c r="BB1391" s="407"/>
      <c r="BC1391" s="407"/>
      <c r="BD1391" s="407"/>
      <c r="BE1391" s="407"/>
    </row>
    <row r="1392" spans="1:69" s="1091" customFormat="1" x14ac:dyDescent="0.2">
      <c r="A1392" s="1088"/>
      <c r="B1392" s="1089"/>
      <c r="C1392" s="1090"/>
      <c r="D1392" s="1596"/>
      <c r="E1392" s="1596"/>
      <c r="F1392" s="1596"/>
      <c r="G1392" s="1354"/>
      <c r="H1392" s="1354"/>
      <c r="I1392" s="1354"/>
      <c r="J1392" s="1354"/>
      <c r="K1392" s="1354"/>
      <c r="L1392" s="1354"/>
      <c r="M1392" s="1354"/>
      <c r="N1392" s="1354"/>
      <c r="O1392" s="1354"/>
      <c r="P1392" s="1354"/>
      <c r="Q1392" s="1354"/>
      <c r="R1392" s="1354"/>
      <c r="S1392" s="1354"/>
      <c r="T1392" s="1354"/>
      <c r="U1392" s="1354"/>
      <c r="V1392" s="1354"/>
      <c r="W1392" s="1354"/>
      <c r="X1392" s="1354"/>
      <c r="Y1392" s="1354"/>
      <c r="Z1392" s="1354"/>
      <c r="AA1392" s="1354"/>
      <c r="AB1392" s="1354"/>
      <c r="AC1392" s="1354"/>
      <c r="AD1392" s="1354"/>
      <c r="AE1392" s="1354"/>
      <c r="AF1392" s="1354"/>
      <c r="AG1392" s="1354"/>
      <c r="AH1392" s="1354"/>
      <c r="AI1392" s="1354"/>
      <c r="AJ1392" s="1354"/>
      <c r="AK1392" s="1354"/>
      <c r="AL1392" s="1354"/>
      <c r="AM1392" s="1354"/>
      <c r="AN1392" s="1354"/>
      <c r="AO1392" s="1354"/>
      <c r="AP1392" s="1354"/>
      <c r="AQ1392" s="1354"/>
      <c r="AR1392" s="1597"/>
      <c r="AS1392" s="1598"/>
      <c r="AT1392" s="1596"/>
      <c r="AU1392" s="1354"/>
      <c r="AV1392" s="1354"/>
      <c r="AW1392" s="1354"/>
      <c r="AX1392" s="1354"/>
      <c r="AY1392" s="1354"/>
      <c r="AZ1392" s="1354"/>
      <c r="BA1392" s="1354"/>
      <c r="BB1392" s="1354"/>
      <c r="BC1392" s="1354"/>
      <c r="BD1392" s="1354"/>
      <c r="BE1392" s="1354"/>
    </row>
    <row r="1393" spans="1:64" x14ac:dyDescent="0.2">
      <c r="A1393" s="828"/>
      <c r="B1393" s="15"/>
      <c r="D1393" s="1301"/>
      <c r="E1393" s="1301"/>
      <c r="F1393" s="1301"/>
      <c r="G1393" s="1301"/>
      <c r="H1393" s="1301"/>
      <c r="I1393" s="1301"/>
      <c r="J1393" s="1301"/>
      <c r="K1393" s="1301"/>
      <c r="L1393" s="1301"/>
      <c r="M1393" s="1301"/>
      <c r="N1393" s="1301"/>
      <c r="O1393" s="1301"/>
      <c r="P1393" s="1301"/>
      <c r="Q1393" s="1301"/>
      <c r="R1393" s="1301"/>
      <c r="S1393" s="1301"/>
      <c r="T1393" s="1301"/>
      <c r="U1393" s="1301"/>
      <c r="V1393" s="1301"/>
      <c r="W1393" s="1301"/>
      <c r="X1393" s="1301"/>
      <c r="Y1393" s="1301"/>
      <c r="Z1393" s="1301"/>
      <c r="AA1393" s="1301"/>
      <c r="AB1393" s="1301"/>
      <c r="AC1393" s="1301"/>
      <c r="AD1393" s="1301"/>
      <c r="AE1393" s="1301"/>
      <c r="AF1393" s="1301"/>
      <c r="AG1393" s="1301"/>
      <c r="AH1393" s="1301"/>
      <c r="AI1393" s="1301"/>
      <c r="AJ1393" s="1301"/>
      <c r="AK1393" s="1301"/>
      <c r="AL1393" s="1301"/>
      <c r="AM1393" s="1301"/>
      <c r="AN1393" s="1301"/>
      <c r="AO1393" s="1301"/>
      <c r="AP1393" s="1301"/>
      <c r="AQ1393" s="1301"/>
      <c r="AR1393" s="1236"/>
      <c r="AS1393" s="1250"/>
      <c r="AT1393" s="407"/>
      <c r="AU1393" s="1301"/>
      <c r="AV1393" s="1301"/>
      <c r="AW1393" s="1301"/>
      <c r="AX1393" s="1301"/>
      <c r="AY1393" s="1301"/>
      <c r="AZ1393" s="1301"/>
      <c r="BA1393" s="1301"/>
      <c r="BB1393" s="1301"/>
      <c r="BC1393" s="1301"/>
      <c r="BD1393" s="1301"/>
      <c r="BE1393" s="1301"/>
    </row>
    <row r="1394" spans="1:64" s="369" customFormat="1" x14ac:dyDescent="0.2">
      <c r="A1394" s="411"/>
      <c r="B1394" s="321"/>
      <c r="C1394" s="1217"/>
      <c r="D1394" s="1301"/>
      <c r="E1394" s="1301"/>
      <c r="F1394" s="1301"/>
      <c r="G1394" s="1301"/>
      <c r="H1394" s="1301"/>
      <c r="I1394" s="1240"/>
      <c r="J1394" s="1240"/>
      <c r="K1394" s="1240"/>
      <c r="L1394" s="1240"/>
      <c r="M1394" s="1240"/>
      <c r="N1394" s="1240"/>
      <c r="O1394" s="1240"/>
      <c r="P1394" s="1240"/>
      <c r="Q1394" s="1240"/>
      <c r="R1394" s="1240"/>
      <c r="S1394" s="1240"/>
      <c r="T1394" s="1240"/>
      <c r="U1394" s="1240"/>
      <c r="V1394" s="1240"/>
      <c r="W1394" s="1240"/>
      <c r="X1394" s="1240"/>
      <c r="Y1394" s="1240"/>
      <c r="Z1394" s="1301"/>
      <c r="AA1394" s="1301"/>
      <c r="AB1394" s="1301"/>
      <c r="AC1394" s="1301"/>
      <c r="AD1394" s="1301"/>
      <c r="AE1394" s="1301"/>
      <c r="AF1394" s="1301"/>
      <c r="AG1394" s="1301"/>
      <c r="AH1394" s="1301"/>
      <c r="AI1394" s="1301"/>
      <c r="AJ1394" s="1301"/>
      <c r="AK1394" s="1301"/>
      <c r="AL1394" s="1301"/>
      <c r="AM1394" s="1301"/>
      <c r="AN1394" s="1301"/>
      <c r="AO1394" s="1301"/>
      <c r="AP1394" s="1301"/>
      <c r="AQ1394" s="1301"/>
      <c r="AR1394" s="1236"/>
      <c r="AS1394" s="1284"/>
      <c r="AT1394" s="407"/>
      <c r="AU1394" s="1262"/>
      <c r="AV1394" s="1261"/>
      <c r="AW1394" s="1261"/>
      <c r="AX1394" s="1261"/>
      <c r="AY1394" s="1261"/>
      <c r="AZ1394" s="1261"/>
      <c r="BA1394" s="1261"/>
      <c r="BB1394" s="1301"/>
      <c r="BC1394" s="1301"/>
      <c r="BD1394" s="1301"/>
      <c r="BE1394" s="1301"/>
    </row>
    <row r="1395" spans="1:64" s="369" customFormat="1" x14ac:dyDescent="0.2">
      <c r="A1395" s="411"/>
      <c r="B1395" s="321"/>
      <c r="C1395" s="1217"/>
      <c r="D1395" s="1240"/>
      <c r="E1395" s="1240"/>
      <c r="F1395" s="1240"/>
      <c r="G1395" s="1240"/>
      <c r="H1395" s="1240"/>
      <c r="I1395" s="1240"/>
      <c r="J1395" s="1240"/>
      <c r="K1395" s="1240"/>
      <c r="L1395" s="1240"/>
      <c r="M1395" s="1240"/>
      <c r="N1395" s="1240"/>
      <c r="O1395" s="1240"/>
      <c r="P1395" s="1240"/>
      <c r="Q1395" s="1240"/>
      <c r="R1395" s="1240"/>
      <c r="S1395" s="1240"/>
      <c r="T1395" s="1240"/>
      <c r="U1395" s="1240"/>
      <c r="V1395" s="1240"/>
      <c r="W1395" s="1240"/>
      <c r="X1395" s="1240"/>
      <c r="Y1395" s="1240"/>
      <c r="Z1395" s="1263"/>
      <c r="AA1395" s="1262"/>
      <c r="AB1395" s="1263"/>
      <c r="AC1395" s="1262"/>
      <c r="AD1395" s="1262"/>
      <c r="AE1395" s="1262"/>
      <c r="AF1395" s="1262"/>
      <c r="AG1395" s="1262"/>
      <c r="AH1395" s="1262"/>
      <c r="AI1395" s="1262"/>
      <c r="AJ1395" s="1262"/>
      <c r="AK1395" s="1262"/>
      <c r="AL1395" s="1262"/>
      <c r="AM1395" s="1262"/>
      <c r="AN1395" s="1262"/>
      <c r="AO1395" s="1262"/>
      <c r="AP1395" s="1262"/>
      <c r="AQ1395" s="1262"/>
      <c r="AR1395" s="1236"/>
      <c r="AS1395" s="1284"/>
      <c r="AT1395" s="407"/>
      <c r="AU1395" s="1262"/>
      <c r="AV1395" s="1262"/>
      <c r="AW1395" s="1263"/>
      <c r="AX1395" s="1263"/>
      <c r="AY1395" s="1308"/>
      <c r="AZ1395" s="1447"/>
      <c r="BA1395" s="1263"/>
      <c r="BB1395" s="1262"/>
      <c r="BC1395" s="1262"/>
      <c r="BD1395" s="1262"/>
      <c r="BE1395" s="1262"/>
    </row>
    <row r="1396" spans="1:64" s="369" customFormat="1" x14ac:dyDescent="0.2">
      <c r="A1396" s="411"/>
      <c r="B1396" s="87"/>
      <c r="C1396" s="1217"/>
      <c r="D1396" s="1240"/>
      <c r="E1396" s="1240"/>
      <c r="F1396" s="1240"/>
      <c r="G1396" s="1240"/>
      <c r="H1396" s="1240"/>
      <c r="I1396" s="1240"/>
      <c r="J1396" s="1240"/>
      <c r="K1396" s="1240"/>
      <c r="L1396" s="1240"/>
      <c r="M1396" s="1240"/>
      <c r="N1396" s="1240"/>
      <c r="O1396" s="1240"/>
      <c r="P1396" s="1240"/>
      <c r="Q1396" s="1240"/>
      <c r="R1396" s="1240"/>
      <c r="S1396" s="1240"/>
      <c r="T1396" s="1240"/>
      <c r="U1396" s="1240"/>
      <c r="V1396" s="1240"/>
      <c r="W1396" s="1240"/>
      <c r="X1396" s="1240"/>
      <c r="Y1396" s="1240"/>
      <c r="Z1396" s="1263"/>
      <c r="AA1396" s="1262"/>
      <c r="AB1396" s="1263"/>
      <c r="AC1396" s="1262"/>
      <c r="AD1396" s="1262"/>
      <c r="AE1396" s="1262"/>
      <c r="AF1396" s="1262"/>
      <c r="AG1396" s="1262"/>
      <c r="AH1396" s="1262"/>
      <c r="AI1396" s="1262"/>
      <c r="AJ1396" s="1262"/>
      <c r="AK1396" s="1262"/>
      <c r="AL1396" s="1262"/>
      <c r="AM1396" s="1262"/>
      <c r="AN1396" s="1262"/>
      <c r="AO1396" s="1262"/>
      <c r="AP1396" s="1262"/>
      <c r="AQ1396" s="1262"/>
      <c r="AR1396" s="1236"/>
      <c r="AS1396" s="1587"/>
      <c r="AT1396" s="407"/>
      <c r="AU1396" s="1262"/>
      <c r="AV1396" s="1262"/>
      <c r="AW1396" s="1263"/>
      <c r="AX1396" s="1263"/>
      <c r="AY1396" s="1308"/>
      <c r="AZ1396" s="1447"/>
      <c r="BA1396" s="1263"/>
      <c r="BB1396" s="1262"/>
      <c r="BC1396" s="1262"/>
      <c r="BD1396" s="1262"/>
      <c r="BE1396" s="1262"/>
    </row>
    <row r="1397" spans="1:64" s="369" customFormat="1" x14ac:dyDescent="0.2">
      <c r="A1397" s="411"/>
      <c r="B1397" s="346"/>
      <c r="C1397" s="1217"/>
      <c r="D1397" s="1301"/>
      <c r="E1397" s="1301"/>
      <c r="F1397" s="1301"/>
      <c r="G1397" s="1301"/>
      <c r="H1397" s="1355"/>
      <c r="I1397" s="1355"/>
      <c r="J1397" s="1355"/>
      <c r="K1397" s="1355"/>
      <c r="L1397" s="1355"/>
      <c r="M1397" s="1355"/>
      <c r="N1397" s="1355"/>
      <c r="O1397" s="1355"/>
      <c r="P1397" s="1355"/>
      <c r="Q1397" s="1355"/>
      <c r="R1397" s="1355"/>
      <c r="S1397" s="1355"/>
      <c r="T1397" s="1355"/>
      <c r="U1397" s="1355"/>
      <c r="V1397" s="1355"/>
      <c r="W1397" s="1355"/>
      <c r="X1397" s="1355"/>
      <c r="Y1397" s="1355"/>
      <c r="Z1397" s="1355"/>
      <c r="AA1397" s="1355"/>
      <c r="AB1397" s="1355"/>
      <c r="AC1397" s="1355"/>
      <c r="AD1397" s="1355"/>
      <c r="AE1397" s="1355"/>
      <c r="AF1397" s="1355"/>
      <c r="AG1397" s="1355"/>
      <c r="AH1397" s="1355"/>
      <c r="AI1397" s="1355"/>
      <c r="AJ1397" s="1355"/>
      <c r="AK1397" s="1355"/>
      <c r="AL1397" s="1355"/>
      <c r="AM1397" s="1355"/>
      <c r="AN1397" s="1355"/>
      <c r="AO1397" s="1355"/>
      <c r="AP1397" s="1355"/>
      <c r="AQ1397" s="1355"/>
      <c r="AR1397" s="1236"/>
      <c r="AS1397" s="1519"/>
      <c r="AT1397" s="407"/>
      <c r="AU1397" s="1262"/>
      <c r="AV1397" s="1355"/>
      <c r="AW1397" s="1355"/>
      <c r="AX1397" s="1355"/>
      <c r="AY1397" s="1355"/>
      <c r="AZ1397" s="1355"/>
      <c r="BA1397" s="1355"/>
      <c r="BB1397" s="1355"/>
      <c r="BC1397" s="1355"/>
      <c r="BD1397" s="1355"/>
      <c r="BE1397" s="1355"/>
    </row>
    <row r="1398" spans="1:64" s="369" customFormat="1" x14ac:dyDescent="0.2">
      <c r="A1398" s="411"/>
      <c r="B1398" s="321"/>
      <c r="C1398" s="1217"/>
      <c r="D1398" s="1301"/>
      <c r="E1398" s="1301"/>
      <c r="F1398" s="1301"/>
      <c r="G1398" s="1301"/>
      <c r="H1398" s="1301"/>
      <c r="I1398" s="1301"/>
      <c r="J1398" s="1355"/>
      <c r="K1398" s="1355"/>
      <c r="L1398" s="1355"/>
      <c r="M1398" s="1355"/>
      <c r="N1398" s="1355"/>
      <c r="O1398" s="1355"/>
      <c r="P1398" s="1355"/>
      <c r="Q1398" s="1355"/>
      <c r="R1398" s="1355"/>
      <c r="S1398" s="1355"/>
      <c r="T1398" s="1355"/>
      <c r="U1398" s="1355"/>
      <c r="V1398" s="1355"/>
      <c r="W1398" s="1355"/>
      <c r="X1398" s="1355"/>
      <c r="Y1398" s="1355"/>
      <c r="Z1398" s="1355"/>
      <c r="AA1398" s="1355"/>
      <c r="AB1398" s="1355"/>
      <c r="AC1398" s="1355"/>
      <c r="AD1398" s="1355"/>
      <c r="AE1398" s="1355"/>
      <c r="AF1398" s="1355"/>
      <c r="AG1398" s="1355"/>
      <c r="AH1398" s="1355"/>
      <c r="AI1398" s="1355"/>
      <c r="AJ1398" s="1355"/>
      <c r="AK1398" s="1355"/>
      <c r="AL1398" s="1355"/>
      <c r="AM1398" s="1355"/>
      <c r="AN1398" s="1355"/>
      <c r="AO1398" s="1355"/>
      <c r="AP1398" s="1355"/>
      <c r="AQ1398" s="1355"/>
      <c r="AR1398" s="1236"/>
      <c r="AS1398" s="1284"/>
      <c r="AT1398" s="407"/>
      <c r="AU1398" s="1262"/>
      <c r="AV1398" s="1355"/>
      <c r="AW1398" s="1355"/>
      <c r="AX1398" s="1355"/>
      <c r="AY1398" s="1355"/>
      <c r="AZ1398" s="1355"/>
      <c r="BA1398" s="1355"/>
      <c r="BB1398" s="1355"/>
      <c r="BC1398" s="1355"/>
      <c r="BD1398" s="1355"/>
      <c r="BE1398" s="1355"/>
    </row>
    <row r="1399" spans="1:64" s="369" customFormat="1" x14ac:dyDescent="0.2">
      <c r="A1399" s="411"/>
      <c r="B1399" s="321"/>
      <c r="C1399" s="1217"/>
      <c r="D1399" s="1301"/>
      <c r="E1399" s="1301"/>
      <c r="F1399" s="1301"/>
      <c r="G1399" s="1301"/>
      <c r="H1399" s="1301"/>
      <c r="I1399" s="1301"/>
      <c r="J1399" s="1355"/>
      <c r="K1399" s="1355"/>
      <c r="L1399" s="1355"/>
      <c r="M1399" s="1355"/>
      <c r="N1399" s="1355"/>
      <c r="O1399" s="1355"/>
      <c r="P1399" s="1355"/>
      <c r="Q1399" s="1355"/>
      <c r="R1399" s="1355"/>
      <c r="S1399" s="1355"/>
      <c r="T1399" s="1355"/>
      <c r="U1399" s="1355"/>
      <c r="V1399" s="1355"/>
      <c r="W1399" s="1355"/>
      <c r="X1399" s="1355"/>
      <c r="Y1399" s="1355"/>
      <c r="Z1399" s="1355"/>
      <c r="AA1399" s="1355"/>
      <c r="AB1399" s="1355"/>
      <c r="AC1399" s="1355"/>
      <c r="AD1399" s="1355"/>
      <c r="AE1399" s="1355"/>
      <c r="AF1399" s="1355"/>
      <c r="AG1399" s="1355"/>
      <c r="AH1399" s="1355"/>
      <c r="AI1399" s="1355"/>
      <c r="AJ1399" s="1355"/>
      <c r="AK1399" s="1355"/>
      <c r="AL1399" s="1355"/>
      <c r="AM1399" s="1355"/>
      <c r="AN1399" s="1355"/>
      <c r="AO1399" s="1355"/>
      <c r="AP1399" s="1355"/>
      <c r="AQ1399" s="1355"/>
      <c r="AR1399" s="1236"/>
      <c r="AS1399" s="1284"/>
      <c r="AT1399" s="407"/>
      <c r="AU1399" s="1262"/>
      <c r="AV1399" s="1355"/>
      <c r="AW1399" s="1355"/>
      <c r="AX1399" s="1355"/>
      <c r="AY1399" s="1355"/>
      <c r="AZ1399" s="1355"/>
      <c r="BA1399" s="1355"/>
      <c r="BB1399" s="1355"/>
      <c r="BC1399" s="1355"/>
      <c r="BD1399" s="1355"/>
      <c r="BE1399" s="1355"/>
    </row>
    <row r="1400" spans="1:64" s="369" customFormat="1" x14ac:dyDescent="0.2">
      <c r="A1400" s="411"/>
      <c r="B1400" s="321"/>
      <c r="C1400" s="1217"/>
      <c r="D1400" s="1240"/>
      <c r="E1400" s="1240"/>
      <c r="F1400" s="1240"/>
      <c r="G1400" s="1240"/>
      <c r="H1400" s="1240"/>
      <c r="I1400" s="1240"/>
      <c r="J1400" s="1240"/>
      <c r="K1400" s="1240"/>
      <c r="L1400" s="1240"/>
      <c r="M1400" s="1240"/>
      <c r="N1400" s="1240"/>
      <c r="O1400" s="1240"/>
      <c r="P1400" s="1240"/>
      <c r="Q1400" s="1240"/>
      <c r="R1400" s="1240"/>
      <c r="S1400" s="1240"/>
      <c r="T1400" s="1240"/>
      <c r="U1400" s="1240"/>
      <c r="V1400" s="1240"/>
      <c r="W1400" s="1240"/>
      <c r="X1400" s="1240"/>
      <c r="Y1400" s="1284"/>
      <c r="Z1400" s="1263"/>
      <c r="AA1400" s="1262"/>
      <c r="AB1400" s="1263"/>
      <c r="AC1400" s="1262"/>
      <c r="AD1400" s="1262"/>
      <c r="AE1400" s="1262"/>
      <c r="AF1400" s="1262"/>
      <c r="AG1400" s="1262"/>
      <c r="AH1400" s="1262"/>
      <c r="AI1400" s="1262"/>
      <c r="AJ1400" s="1262"/>
      <c r="AK1400" s="1262"/>
      <c r="AL1400" s="1262"/>
      <c r="AM1400" s="1262"/>
      <c r="AN1400" s="1262"/>
      <c r="AO1400" s="1262"/>
      <c r="AP1400" s="1262"/>
      <c r="AQ1400" s="1262"/>
      <c r="AR1400" s="1236"/>
      <c r="AS1400" s="1284"/>
      <c r="AT1400" s="407"/>
      <c r="AU1400" s="1262"/>
      <c r="AV1400" s="1262"/>
      <c r="AW1400" s="1263"/>
      <c r="AX1400" s="1263"/>
      <c r="AY1400" s="1308"/>
      <c r="AZ1400" s="1447"/>
      <c r="BA1400" s="1263"/>
      <c r="BB1400" s="1263"/>
      <c r="BC1400" s="1263"/>
      <c r="BD1400" s="1263"/>
      <c r="BE1400" s="1263"/>
    </row>
    <row r="1401" spans="1:64" s="799" customFormat="1" x14ac:dyDescent="0.2">
      <c r="A1401" s="411"/>
      <c r="B1401" s="341"/>
      <c r="C1401" s="323"/>
      <c r="D1401" s="1590"/>
      <c r="E1401" s="1590"/>
      <c r="F1401" s="1590"/>
      <c r="G1401" s="1349"/>
      <c r="H1401" s="1349"/>
      <c r="I1401" s="1349"/>
      <c r="J1401" s="1349"/>
      <c r="K1401" s="1349"/>
      <c r="L1401" s="1349"/>
      <c r="M1401" s="1349"/>
      <c r="N1401" s="1349"/>
      <c r="O1401" s="1349"/>
      <c r="P1401" s="1349"/>
      <c r="Q1401" s="1349"/>
      <c r="R1401" s="1349"/>
      <c r="S1401" s="1349"/>
      <c r="T1401" s="1349"/>
      <c r="U1401" s="1349"/>
      <c r="V1401" s="1349"/>
      <c r="W1401" s="1349"/>
      <c r="X1401" s="1349"/>
      <c r="Y1401" s="1590"/>
      <c r="Z1401" s="1350"/>
      <c r="AA1401" s="1351"/>
      <c r="AB1401" s="1350"/>
      <c r="AC1401" s="1351"/>
      <c r="AD1401" s="1351"/>
      <c r="AE1401" s="1351"/>
      <c r="AF1401" s="1351"/>
      <c r="AG1401" s="1351"/>
      <c r="AH1401" s="1351"/>
      <c r="AI1401" s="1351"/>
      <c r="AJ1401" s="1351"/>
      <c r="AK1401" s="1351"/>
      <c r="AL1401" s="1351"/>
      <c r="AM1401" s="1351"/>
      <c r="AN1401" s="1351"/>
      <c r="AO1401" s="1351"/>
      <c r="AP1401" s="1351"/>
      <c r="AQ1401" s="1351"/>
      <c r="AR1401" s="1236"/>
      <c r="AS1401" s="1591"/>
      <c r="AT1401" s="1592"/>
      <c r="AU1401" s="1351"/>
      <c r="AV1401" s="1351"/>
      <c r="AW1401" s="1350"/>
      <c r="AX1401" s="1350"/>
      <c r="AY1401" s="1593"/>
      <c r="AZ1401" s="1594"/>
      <c r="BA1401" s="1350"/>
      <c r="BB1401" s="1351"/>
      <c r="BC1401" s="1351"/>
      <c r="BD1401" s="1351"/>
      <c r="BE1401" s="1351"/>
      <c r="BF1401" s="369"/>
      <c r="BG1401" s="369"/>
      <c r="BH1401" s="369"/>
      <c r="BI1401" s="369"/>
      <c r="BJ1401" s="369"/>
      <c r="BK1401" s="369"/>
      <c r="BL1401" s="369"/>
    </row>
    <row r="1402" spans="1:64" s="369" customFormat="1" x14ac:dyDescent="0.2">
      <c r="A1402" s="411"/>
      <c r="B1402" s="321"/>
      <c r="C1402" s="1217"/>
      <c r="D1402" s="1240"/>
      <c r="E1402" s="1240"/>
      <c r="F1402" s="1240"/>
      <c r="G1402" s="1240"/>
      <c r="H1402" s="1240"/>
      <c r="I1402" s="1240"/>
      <c r="J1402" s="1240"/>
      <c r="K1402" s="1240"/>
      <c r="L1402" s="1240"/>
      <c r="M1402" s="1240"/>
      <c r="N1402" s="1240"/>
      <c r="O1402" s="1240"/>
      <c r="P1402" s="1240"/>
      <c r="Q1402" s="1240"/>
      <c r="R1402" s="1240"/>
      <c r="S1402" s="1240"/>
      <c r="T1402" s="1240"/>
      <c r="U1402" s="1240"/>
      <c r="V1402" s="1240"/>
      <c r="W1402" s="1240"/>
      <c r="X1402" s="1240"/>
      <c r="Y1402" s="1284"/>
      <c r="Z1402" s="1263"/>
      <c r="AA1402" s="1262"/>
      <c r="AB1402" s="1263"/>
      <c r="AC1402" s="1262"/>
      <c r="AD1402" s="1262"/>
      <c r="AE1402" s="1262"/>
      <c r="AF1402" s="1262"/>
      <c r="AG1402" s="1262"/>
      <c r="AH1402" s="1262"/>
      <c r="AI1402" s="1262"/>
      <c r="AJ1402" s="1262"/>
      <c r="AK1402" s="1262"/>
      <c r="AL1402" s="1262"/>
      <c r="AM1402" s="1262"/>
      <c r="AN1402" s="1262"/>
      <c r="AO1402" s="1262"/>
      <c r="AP1402" s="1262"/>
      <c r="AQ1402" s="1262"/>
      <c r="AR1402" s="1236"/>
      <c r="AS1402" s="1284"/>
      <c r="AT1402" s="407"/>
      <c r="AU1402" s="1262"/>
      <c r="AV1402" s="1262"/>
      <c r="AW1402" s="1263"/>
      <c r="AX1402" s="1263"/>
      <c r="AY1402" s="1308"/>
      <c r="AZ1402" s="1447"/>
      <c r="BA1402" s="1263"/>
      <c r="BB1402" s="1263"/>
      <c r="BC1402" s="1263"/>
      <c r="BD1402" s="1263"/>
      <c r="BE1402" s="1263"/>
    </row>
    <row r="1403" spans="1:64" s="369" customFormat="1" x14ac:dyDescent="0.2">
      <c r="A1403" s="411"/>
      <c r="B1403" s="342"/>
      <c r="C1403" s="1217"/>
      <c r="D1403" s="1240"/>
      <c r="E1403" s="1240"/>
      <c r="F1403" s="1240"/>
      <c r="G1403" s="1240"/>
      <c r="H1403" s="1240"/>
      <c r="I1403" s="1599"/>
      <c r="J1403" s="1599"/>
      <c r="K1403" s="1344"/>
      <c r="L1403" s="1344"/>
      <c r="M1403" s="1344"/>
      <c r="N1403" s="1344"/>
      <c r="O1403" s="1344"/>
      <c r="P1403" s="1344"/>
      <c r="Q1403" s="1344"/>
      <c r="R1403" s="1599"/>
      <c r="S1403" s="1599"/>
      <c r="T1403" s="1599"/>
      <c r="U1403" s="1599"/>
      <c r="V1403" s="1599"/>
      <c r="W1403" s="1344"/>
      <c r="X1403" s="1344"/>
      <c r="Y1403" s="1344"/>
      <c r="Z1403" s="1247"/>
      <c r="AA1403" s="1247"/>
      <c r="AB1403" s="1247"/>
      <c r="AC1403" s="1247"/>
      <c r="AD1403" s="1247"/>
      <c r="AE1403" s="1247"/>
      <c r="AF1403" s="1247"/>
      <c r="AG1403" s="1247"/>
      <c r="AH1403" s="1247"/>
      <c r="AI1403" s="1247"/>
      <c r="AJ1403" s="1247"/>
      <c r="AK1403" s="1247"/>
      <c r="AL1403" s="1247"/>
      <c r="AM1403" s="1247"/>
      <c r="AN1403" s="1247"/>
      <c r="AO1403" s="1247"/>
      <c r="AP1403" s="1247"/>
      <c r="AQ1403" s="1247"/>
      <c r="AR1403" s="1236"/>
      <c r="AS1403" s="1263"/>
      <c r="AT1403" s="407"/>
      <c r="AU1403" s="1263"/>
      <c r="AV1403" s="1263"/>
      <c r="AW1403" s="1263"/>
      <c r="AX1403" s="1263"/>
      <c r="AY1403" s="1263"/>
      <c r="AZ1403" s="1267"/>
      <c r="BA1403" s="1267"/>
      <c r="BB1403" s="1284"/>
      <c r="BC1403" s="1284"/>
      <c r="BD1403" s="1284"/>
      <c r="BE1403" s="1284"/>
    </row>
    <row r="1404" spans="1:64" s="369" customFormat="1" x14ac:dyDescent="0.2">
      <c r="A1404" s="411"/>
      <c r="B1404" s="321"/>
      <c r="C1404" s="1217"/>
      <c r="D1404" s="1240"/>
      <c r="E1404" s="1240"/>
      <c r="F1404" s="1240"/>
      <c r="G1404" s="1240"/>
      <c r="H1404" s="1240"/>
      <c r="I1404" s="1301"/>
      <c r="J1404" s="1301"/>
      <c r="K1404" s="1301"/>
      <c r="L1404" s="1301"/>
      <c r="M1404" s="1301"/>
      <c r="N1404" s="1301"/>
      <c r="O1404" s="1301"/>
      <c r="P1404" s="1301"/>
      <c r="Q1404" s="1301"/>
      <c r="R1404" s="1301"/>
      <c r="S1404" s="1301"/>
      <c r="T1404" s="1301"/>
      <c r="U1404" s="1301"/>
      <c r="V1404" s="1301"/>
      <c r="W1404" s="1301"/>
      <c r="X1404" s="1301"/>
      <c r="Y1404" s="1301"/>
      <c r="Z1404" s="1301"/>
      <c r="AA1404" s="1301"/>
      <c r="AB1404" s="1301"/>
      <c r="AC1404" s="1301"/>
      <c r="AD1404" s="1301"/>
      <c r="AE1404" s="1301"/>
      <c r="AF1404" s="1301"/>
      <c r="AG1404" s="1301"/>
      <c r="AH1404" s="1301"/>
      <c r="AI1404" s="1301"/>
      <c r="AJ1404" s="1301"/>
      <c r="AK1404" s="1301"/>
      <c r="AL1404" s="1301"/>
      <c r="AM1404" s="1301"/>
      <c r="AN1404" s="1301"/>
      <c r="AO1404" s="1301"/>
      <c r="AP1404" s="1301"/>
      <c r="AQ1404" s="1301"/>
      <c r="AR1404" s="1236"/>
      <c r="AS1404" s="1284"/>
      <c r="AT1404" s="407"/>
      <c r="AU1404" s="1262"/>
      <c r="AV1404" s="1301"/>
      <c r="AW1404" s="1301"/>
      <c r="AX1404" s="1301"/>
      <c r="AY1404" s="1301"/>
      <c r="AZ1404" s="1301"/>
      <c r="BA1404" s="1301"/>
      <c r="BB1404" s="1301"/>
      <c r="BC1404" s="1301"/>
      <c r="BD1404" s="1301"/>
      <c r="BE1404" s="1301"/>
    </row>
    <row r="1405" spans="1:64" s="369" customFormat="1" x14ac:dyDescent="0.2">
      <c r="A1405" s="411"/>
      <c r="B1405" s="321"/>
      <c r="C1405" s="1217"/>
      <c r="D1405" s="1240"/>
      <c r="E1405" s="1240"/>
      <c r="F1405" s="1240"/>
      <c r="G1405" s="1240"/>
      <c r="H1405" s="1240"/>
      <c r="I1405" s="1301"/>
      <c r="J1405" s="1301"/>
      <c r="K1405" s="1301"/>
      <c r="L1405" s="1301"/>
      <c r="M1405" s="1301"/>
      <c r="N1405" s="1301"/>
      <c r="O1405" s="1301"/>
      <c r="P1405" s="1301"/>
      <c r="Q1405" s="1301"/>
      <c r="R1405" s="1301"/>
      <c r="S1405" s="1301"/>
      <c r="T1405" s="1301"/>
      <c r="U1405" s="1301"/>
      <c r="V1405" s="1301"/>
      <c r="W1405" s="1301"/>
      <c r="X1405" s="1301"/>
      <c r="Y1405" s="1301"/>
      <c r="Z1405" s="1429"/>
      <c r="AA1405" s="1429"/>
      <c r="AB1405" s="1429"/>
      <c r="AC1405" s="1429"/>
      <c r="AD1405" s="1429"/>
      <c r="AE1405" s="1429"/>
      <c r="AF1405" s="1429"/>
      <c r="AG1405" s="1429"/>
      <c r="AH1405" s="1429"/>
      <c r="AI1405" s="1429"/>
      <c r="AJ1405" s="1429"/>
      <c r="AK1405" s="1429"/>
      <c r="AL1405" s="1429"/>
      <c r="AM1405" s="1429"/>
      <c r="AN1405" s="1429"/>
      <c r="AO1405" s="1429"/>
      <c r="AP1405" s="1429"/>
      <c r="AQ1405" s="1429"/>
      <c r="AR1405" s="1236"/>
      <c r="AS1405" s="1284"/>
      <c r="AT1405" s="407"/>
      <c r="AU1405" s="1262"/>
      <c r="AV1405" s="1301"/>
      <c r="AW1405" s="1301"/>
      <c r="AX1405" s="1301"/>
      <c r="AY1405" s="1301"/>
      <c r="AZ1405" s="1301"/>
      <c r="BA1405" s="1301"/>
      <c r="BB1405" s="1429"/>
      <c r="BC1405" s="1429"/>
      <c r="BD1405" s="1429"/>
      <c r="BE1405" s="1429"/>
    </row>
    <row r="1406" spans="1:64" s="369" customFormat="1" x14ac:dyDescent="0.2">
      <c r="A1406" s="411"/>
      <c r="B1406" s="321"/>
      <c r="C1406" s="1217"/>
      <c r="D1406" s="1240"/>
      <c r="E1406" s="1240"/>
      <c r="F1406" s="1240"/>
      <c r="G1406" s="1240"/>
      <c r="H1406" s="1240"/>
      <c r="I1406" s="1240"/>
      <c r="J1406" s="1240"/>
      <c r="K1406" s="1240"/>
      <c r="L1406" s="1240"/>
      <c r="M1406" s="1240"/>
      <c r="N1406" s="1240"/>
      <c r="O1406" s="1240"/>
      <c r="P1406" s="1240"/>
      <c r="Q1406" s="1240"/>
      <c r="R1406" s="1240"/>
      <c r="S1406" s="1240"/>
      <c r="T1406" s="1240"/>
      <c r="U1406" s="1240"/>
      <c r="V1406" s="1240"/>
      <c r="W1406" s="1240"/>
      <c r="X1406" s="1240"/>
      <c r="Y1406" s="1240"/>
      <c r="Z1406" s="1263"/>
      <c r="AA1406" s="1262"/>
      <c r="AB1406" s="1263"/>
      <c r="AC1406" s="1262"/>
      <c r="AD1406" s="1262"/>
      <c r="AE1406" s="1262"/>
      <c r="AF1406" s="1262"/>
      <c r="AG1406" s="1262"/>
      <c r="AH1406" s="1262"/>
      <c r="AI1406" s="1262"/>
      <c r="AJ1406" s="1262"/>
      <c r="AK1406" s="1262"/>
      <c r="AL1406" s="1262"/>
      <c r="AM1406" s="1262"/>
      <c r="AN1406" s="1262"/>
      <c r="AO1406" s="1262"/>
      <c r="AP1406" s="1262"/>
      <c r="AQ1406" s="1262"/>
      <c r="AR1406" s="1236"/>
      <c r="AS1406" s="1284"/>
      <c r="AT1406" s="407"/>
      <c r="AU1406" s="1262"/>
      <c r="AV1406" s="1262"/>
      <c r="AW1406" s="1263"/>
      <c r="AX1406" s="1263"/>
      <c r="AY1406" s="1308"/>
      <c r="AZ1406" s="1447"/>
      <c r="BA1406" s="1263"/>
      <c r="BB1406" s="1263"/>
      <c r="BC1406" s="1263"/>
      <c r="BD1406" s="1263"/>
      <c r="BE1406" s="1263"/>
    </row>
    <row r="1407" spans="1:64" x14ac:dyDescent="0.2">
      <c r="B1407" s="346"/>
      <c r="D1407" s="407"/>
      <c r="E1407" s="407"/>
      <c r="F1407" s="407"/>
      <c r="G1407" s="407"/>
      <c r="H1407" s="407"/>
      <c r="I1407" s="1242"/>
      <c r="J1407" s="1242"/>
      <c r="K1407" s="1242"/>
      <c r="L1407" s="1242"/>
      <c r="M1407" s="1242"/>
      <c r="N1407" s="1242"/>
      <c r="O1407" s="1242"/>
      <c r="P1407" s="1242"/>
      <c r="Q1407" s="1242"/>
      <c r="R1407" s="1242"/>
      <c r="S1407" s="1242"/>
      <c r="T1407" s="1242"/>
      <c r="U1407" s="1242"/>
      <c r="V1407" s="1242"/>
      <c r="W1407" s="1242"/>
      <c r="X1407" s="1242"/>
      <c r="Y1407" s="1242"/>
      <c r="Z1407" s="1242"/>
      <c r="AA1407" s="1242"/>
      <c r="AB1407" s="1242"/>
      <c r="AC1407" s="1242"/>
      <c r="AD1407" s="1242"/>
      <c r="AE1407" s="1242"/>
      <c r="AF1407" s="1242"/>
      <c r="AG1407" s="1242"/>
      <c r="AH1407" s="1242"/>
      <c r="AI1407" s="1242"/>
      <c r="AJ1407" s="1242"/>
      <c r="AK1407" s="1242"/>
      <c r="AL1407" s="1242"/>
      <c r="AM1407" s="1242"/>
      <c r="AN1407" s="1242"/>
      <c r="AO1407" s="1242"/>
      <c r="AP1407" s="1242"/>
      <c r="AQ1407" s="1242"/>
      <c r="AR1407" s="1236"/>
      <c r="AS1407" s="1236"/>
      <c r="AT1407" s="1236"/>
      <c r="AU1407" s="1236"/>
      <c r="AV1407" s="1242"/>
      <c r="AW1407" s="1242"/>
      <c r="AX1407" s="1242"/>
      <c r="AY1407" s="1242"/>
      <c r="AZ1407" s="1242"/>
      <c r="BA1407" s="1242"/>
      <c r="BB1407" s="1242"/>
      <c r="BC1407" s="1242"/>
      <c r="BD1407" s="1242"/>
      <c r="BE1407" s="1242"/>
    </row>
    <row r="1408" spans="1:64" x14ac:dyDescent="0.2">
      <c r="B1408" s="15"/>
      <c r="D1408" s="407"/>
      <c r="E1408" s="407"/>
      <c r="F1408" s="407"/>
      <c r="G1408" s="407"/>
      <c r="H1408" s="407"/>
      <c r="I1408" s="1242"/>
      <c r="J1408" s="1242"/>
      <c r="K1408" s="1242"/>
      <c r="L1408" s="1242"/>
      <c r="M1408" s="1242"/>
      <c r="N1408" s="1242"/>
      <c r="O1408" s="1242"/>
      <c r="P1408" s="1242"/>
      <c r="Q1408" s="1242"/>
      <c r="R1408" s="1242"/>
      <c r="S1408" s="1242"/>
      <c r="T1408" s="1242"/>
      <c r="U1408" s="1242"/>
      <c r="V1408" s="1242"/>
      <c r="W1408" s="1242"/>
      <c r="X1408" s="1242"/>
      <c r="Y1408" s="1242"/>
      <c r="Z1408" s="1242"/>
      <c r="AA1408" s="1242"/>
      <c r="AB1408" s="1242"/>
      <c r="AC1408" s="1242"/>
      <c r="AD1408" s="1242"/>
      <c r="AE1408" s="1242"/>
      <c r="AF1408" s="1242"/>
      <c r="AG1408" s="1242"/>
      <c r="AH1408" s="1242"/>
      <c r="AI1408" s="1242"/>
      <c r="AJ1408" s="1242"/>
      <c r="AK1408" s="1242"/>
      <c r="AL1408" s="1242"/>
      <c r="AM1408" s="1242"/>
      <c r="AN1408" s="1242"/>
      <c r="AO1408" s="1242"/>
      <c r="AP1408" s="1242"/>
      <c r="AQ1408" s="1242"/>
      <c r="AR1408" s="1236"/>
      <c r="AS1408" s="1236"/>
      <c r="AT1408" s="1236"/>
      <c r="AU1408" s="1236"/>
      <c r="AV1408" s="1242"/>
      <c r="AW1408" s="1242"/>
      <c r="AX1408" s="1242"/>
      <c r="AY1408" s="1242"/>
      <c r="AZ1408" s="1242"/>
      <c r="BA1408" s="1242"/>
      <c r="BB1408" s="1242"/>
      <c r="BC1408" s="1242"/>
      <c r="BD1408" s="1242"/>
      <c r="BE1408" s="1242"/>
    </row>
    <row r="1409" spans="1:57" s="369" customFormat="1" x14ac:dyDescent="0.2">
      <c r="A1409" s="411"/>
      <c r="B1409" s="321"/>
      <c r="C1409" s="1217"/>
      <c r="D1409" s="1240"/>
      <c r="E1409" s="1240"/>
      <c r="F1409" s="1240"/>
      <c r="G1409" s="1240"/>
      <c r="H1409" s="1240"/>
      <c r="I1409" s="1242"/>
      <c r="J1409" s="1242"/>
      <c r="K1409" s="1242"/>
      <c r="L1409" s="1242"/>
      <c r="M1409" s="1242"/>
      <c r="N1409" s="1242"/>
      <c r="O1409" s="1242"/>
      <c r="P1409" s="1242"/>
      <c r="Q1409" s="1242"/>
      <c r="R1409" s="1242"/>
      <c r="S1409" s="1242"/>
      <c r="T1409" s="1242"/>
      <c r="U1409" s="1242"/>
      <c r="V1409" s="1242"/>
      <c r="W1409" s="1242"/>
      <c r="X1409" s="1242"/>
      <c r="Y1409" s="1242"/>
      <c r="Z1409" s="1242"/>
      <c r="AA1409" s="1242"/>
      <c r="AB1409" s="1242"/>
      <c r="AC1409" s="1242"/>
      <c r="AD1409" s="1242"/>
      <c r="AE1409" s="1242"/>
      <c r="AF1409" s="1242"/>
      <c r="AG1409" s="1242"/>
      <c r="AH1409" s="1242"/>
      <c r="AI1409" s="1242"/>
      <c r="AJ1409" s="1242"/>
      <c r="AK1409" s="1242"/>
      <c r="AL1409" s="1242"/>
      <c r="AM1409" s="1242"/>
      <c r="AN1409" s="1242"/>
      <c r="AO1409" s="1242"/>
      <c r="AP1409" s="1242"/>
      <c r="AQ1409" s="1242"/>
      <c r="AR1409" s="1236"/>
      <c r="AS1409" s="1284"/>
      <c r="AT1409" s="407"/>
      <c r="AU1409" s="1262"/>
      <c r="AV1409" s="1242"/>
      <c r="AW1409" s="1242"/>
      <c r="AX1409" s="1242"/>
      <c r="AY1409" s="1242"/>
      <c r="AZ1409" s="1242"/>
      <c r="BA1409" s="1242"/>
      <c r="BB1409" s="1242"/>
      <c r="BC1409" s="1242"/>
      <c r="BD1409" s="1242"/>
      <c r="BE1409" s="1242"/>
    </row>
    <row r="1410" spans="1:57" s="369" customFormat="1" x14ac:dyDescent="0.2">
      <c r="A1410" s="411"/>
      <c r="B1410" s="321"/>
      <c r="C1410" s="1217"/>
      <c r="D1410" s="1240"/>
      <c r="E1410" s="1240"/>
      <c r="F1410" s="1240"/>
      <c r="G1410" s="1240"/>
      <c r="H1410" s="1240"/>
      <c r="I1410" s="1240"/>
      <c r="J1410" s="1240"/>
      <c r="K1410" s="1240"/>
      <c r="L1410" s="1240"/>
      <c r="M1410" s="1240"/>
      <c r="N1410" s="1240"/>
      <c r="O1410" s="1240"/>
      <c r="P1410" s="1240"/>
      <c r="Q1410" s="1240"/>
      <c r="R1410" s="1240"/>
      <c r="S1410" s="1240"/>
      <c r="T1410" s="1240"/>
      <c r="U1410" s="1240"/>
      <c r="V1410" s="1240"/>
      <c r="W1410" s="1240"/>
      <c r="X1410" s="1284"/>
      <c r="Y1410" s="1284"/>
      <c r="Z1410" s="1263"/>
      <c r="AA1410" s="1262"/>
      <c r="AB1410" s="1263"/>
      <c r="AC1410" s="1262"/>
      <c r="AD1410" s="1262"/>
      <c r="AE1410" s="1262"/>
      <c r="AF1410" s="1262"/>
      <c r="AG1410" s="1262"/>
      <c r="AH1410" s="1262"/>
      <c r="AI1410" s="1262"/>
      <c r="AJ1410" s="1262"/>
      <c r="AK1410" s="1262"/>
      <c r="AL1410" s="1262"/>
      <c r="AM1410" s="1262"/>
      <c r="AN1410" s="1262"/>
      <c r="AO1410" s="1262"/>
      <c r="AP1410" s="1262"/>
      <c r="AQ1410" s="1262"/>
      <c r="AR1410" s="1236"/>
      <c r="AS1410" s="1284"/>
      <c r="AT1410" s="407"/>
      <c r="AU1410" s="1262"/>
      <c r="AV1410" s="1262"/>
      <c r="AW1410" s="1263"/>
      <c r="AX1410" s="1263"/>
      <c r="AY1410" s="1308"/>
      <c r="AZ1410" s="1447"/>
      <c r="BA1410" s="1263"/>
      <c r="BB1410" s="1263"/>
      <c r="BC1410" s="1263"/>
      <c r="BD1410" s="1263"/>
      <c r="BE1410" s="1263"/>
    </row>
    <row r="1411" spans="1:57" x14ac:dyDescent="0.2">
      <c r="B1411" s="13"/>
      <c r="C1411" s="13"/>
      <c r="D1411" s="1369"/>
      <c r="E1411" s="1369"/>
      <c r="F1411" s="1369"/>
      <c r="G1411" s="1369"/>
      <c r="H1411" s="1369"/>
      <c r="I1411" s="1369"/>
      <c r="J1411" s="1369"/>
      <c r="K1411" s="1369"/>
      <c r="L1411" s="1369"/>
      <c r="M1411" s="1369"/>
      <c r="N1411" s="1369"/>
      <c r="O1411" s="1369"/>
      <c r="P1411" s="1369"/>
      <c r="Q1411" s="1369"/>
      <c r="R1411" s="1369"/>
      <c r="S1411" s="1369"/>
      <c r="T1411" s="1369"/>
      <c r="U1411" s="1369"/>
      <c r="V1411" s="1369"/>
      <c r="W1411" s="1369"/>
      <c r="X1411" s="1369"/>
      <c r="Y1411" s="1369"/>
      <c r="Z1411" s="1369"/>
      <c r="AA1411" s="1369"/>
      <c r="AB1411" s="1369"/>
      <c r="AC1411" s="1369"/>
      <c r="AD1411" s="1369"/>
      <c r="AE1411" s="1369"/>
      <c r="AF1411" s="1369"/>
      <c r="AG1411" s="1369"/>
      <c r="AH1411" s="1369"/>
      <c r="AI1411" s="1369"/>
      <c r="AJ1411" s="1369"/>
      <c r="AK1411" s="1369"/>
      <c r="AL1411" s="1369"/>
      <c r="AM1411" s="1369"/>
      <c r="AN1411" s="1369"/>
      <c r="AO1411" s="1369"/>
      <c r="AP1411" s="1369"/>
      <c r="AQ1411" s="1369"/>
      <c r="AR1411" s="1236"/>
      <c r="AS1411" s="1370"/>
      <c r="AT1411" s="1370"/>
      <c r="AU1411" s="1370"/>
      <c r="AV1411" s="1370"/>
      <c r="AW1411" s="1370"/>
      <c r="AX1411" s="1370"/>
      <c r="AY1411" s="1370"/>
      <c r="AZ1411" s="1370"/>
      <c r="BA1411" s="1370"/>
      <c r="BB1411" s="1370"/>
      <c r="BC1411" s="1370"/>
      <c r="BD1411" s="1370"/>
      <c r="BE1411" s="1370"/>
    </row>
    <row r="1412" spans="1:57" x14ac:dyDescent="0.2">
      <c r="B1412" s="1217"/>
      <c r="C1412" s="15"/>
      <c r="D1412" s="1345"/>
      <c r="E1412" s="1345"/>
      <c r="F1412" s="1345"/>
      <c r="G1412" s="1345"/>
      <c r="H1412" s="1345"/>
      <c r="I1412" s="1345"/>
      <c r="J1412" s="1345"/>
      <c r="K1412" s="1345"/>
      <c r="L1412" s="1345"/>
      <c r="M1412" s="1345"/>
      <c r="N1412" s="1345"/>
      <c r="O1412" s="1345"/>
      <c r="P1412" s="1345"/>
      <c r="Q1412" s="1345"/>
      <c r="R1412" s="1345"/>
      <c r="S1412" s="1345"/>
      <c r="T1412" s="1345"/>
      <c r="U1412" s="1345"/>
      <c r="V1412" s="1345"/>
      <c r="W1412" s="1345"/>
      <c r="X1412" s="1250"/>
      <c r="Y1412" s="1250"/>
      <c r="Z1412" s="1250"/>
      <c r="AA1412" s="1250"/>
      <c r="AB1412" s="1250"/>
      <c r="AC1412" s="1250"/>
      <c r="AD1412" s="1250"/>
      <c r="AE1412" s="1250"/>
      <c r="AF1412" s="1250"/>
      <c r="AG1412" s="1250"/>
      <c r="AH1412" s="1250"/>
      <c r="AI1412" s="1250"/>
      <c r="AJ1412" s="1250"/>
      <c r="AK1412" s="1250"/>
      <c r="AL1412" s="1250"/>
      <c r="AM1412" s="1250"/>
      <c r="AN1412" s="1250"/>
      <c r="AO1412" s="1250"/>
      <c r="AP1412" s="1250"/>
      <c r="AQ1412" s="1250"/>
      <c r="AR1412" s="1236"/>
      <c r="AS1412" s="407"/>
      <c r="AT1412" s="1250"/>
      <c r="AU1412" s="1250"/>
      <c r="AV1412" s="1250"/>
      <c r="AW1412" s="1250"/>
      <c r="AX1412" s="1250"/>
      <c r="AY1412" s="1250"/>
      <c r="AZ1412" s="1250"/>
      <c r="BA1412" s="1250"/>
      <c r="BB1412" s="1250"/>
      <c r="BC1412" s="1250"/>
      <c r="BD1412" s="1250"/>
      <c r="BE1412" s="1250"/>
    </row>
    <row r="1413" spans="1:57" x14ac:dyDescent="0.2">
      <c r="B1413" s="65"/>
      <c r="D1413" s="407"/>
      <c r="E1413" s="1329"/>
      <c r="F1413" s="1329"/>
      <c r="G1413" s="1329"/>
      <c r="H1413" s="1329"/>
      <c r="I1413" s="1329"/>
      <c r="J1413" s="1329"/>
      <c r="K1413" s="1329"/>
      <c r="L1413" s="1329"/>
      <c r="M1413" s="1329"/>
      <c r="N1413" s="1329"/>
      <c r="O1413" s="1329"/>
      <c r="P1413" s="1329"/>
      <c r="Q1413" s="1329"/>
      <c r="R1413" s="1329"/>
      <c r="S1413" s="1329"/>
      <c r="T1413" s="1329"/>
      <c r="U1413" s="1329"/>
      <c r="V1413" s="1329"/>
      <c r="W1413" s="1329"/>
      <c r="X1413" s="1329"/>
      <c r="Y1413" s="1329"/>
      <c r="Z1413" s="407"/>
      <c r="AA1413" s="407"/>
      <c r="AB1413" s="407"/>
      <c r="AC1413" s="407"/>
      <c r="AD1413" s="407"/>
      <c r="AE1413" s="407"/>
      <c r="AF1413" s="407"/>
      <c r="AG1413" s="407"/>
      <c r="AH1413" s="407"/>
      <c r="AI1413" s="407"/>
      <c r="AJ1413" s="407"/>
      <c r="AK1413" s="407"/>
      <c r="AL1413" s="407"/>
      <c r="AM1413" s="407"/>
      <c r="AN1413" s="407"/>
      <c r="AO1413" s="407"/>
      <c r="AP1413" s="407"/>
      <c r="AQ1413" s="407"/>
      <c r="AR1413" s="1236"/>
      <c r="AS1413" s="1329"/>
      <c r="AT1413" s="407"/>
      <c r="AU1413" s="1236"/>
      <c r="AV1413" s="1236"/>
      <c r="AW1413" s="1236"/>
      <c r="AX1413" s="1236"/>
      <c r="AY1413" s="1236"/>
      <c r="AZ1413" s="1236"/>
      <c r="BA1413" s="1236"/>
      <c r="BB1413" s="1236"/>
      <c r="BC1413" s="1236"/>
      <c r="BD1413" s="1236"/>
      <c r="BE1413" s="1236"/>
    </row>
    <row r="1414" spans="1:57" x14ac:dyDescent="0.2">
      <c r="B1414" s="35"/>
      <c r="D1414" s="407"/>
      <c r="E1414" s="407"/>
      <c r="F1414" s="407"/>
      <c r="G1414" s="407"/>
      <c r="H1414" s="407"/>
      <c r="I1414" s="407"/>
      <c r="J1414" s="407"/>
      <c r="K1414" s="407"/>
      <c r="L1414" s="407"/>
      <c r="M1414" s="407"/>
      <c r="N1414" s="407"/>
      <c r="O1414" s="407"/>
      <c r="P1414" s="407"/>
      <c r="Q1414" s="407"/>
      <c r="R1414" s="407"/>
      <c r="S1414" s="407"/>
      <c r="T1414" s="407"/>
      <c r="U1414" s="407"/>
      <c r="V1414" s="407"/>
      <c r="W1414" s="407"/>
      <c r="X1414" s="407"/>
      <c r="Y1414" s="407"/>
      <c r="Z1414" s="407"/>
      <c r="AA1414" s="407"/>
      <c r="AB1414" s="407"/>
      <c r="AC1414" s="407"/>
      <c r="AD1414" s="407"/>
      <c r="AE1414" s="407"/>
      <c r="AF1414" s="407"/>
      <c r="AG1414" s="407"/>
      <c r="AH1414" s="407"/>
      <c r="AI1414" s="407"/>
      <c r="AJ1414" s="407"/>
      <c r="AK1414" s="407"/>
      <c r="AL1414" s="407"/>
      <c r="AM1414" s="407"/>
      <c r="AN1414" s="407"/>
      <c r="AO1414" s="407"/>
      <c r="AP1414" s="407"/>
      <c r="AQ1414" s="407"/>
      <c r="AR1414" s="1236"/>
      <c r="AS1414" s="407"/>
      <c r="AT1414" s="407"/>
      <c r="AU1414" s="1236"/>
      <c r="AV1414" s="1236"/>
      <c r="AW1414" s="1236"/>
      <c r="AX1414" s="1236"/>
      <c r="AY1414" s="1236"/>
      <c r="AZ1414" s="1236"/>
      <c r="BA1414" s="1236"/>
      <c r="BB1414" s="407"/>
      <c r="BC1414" s="407"/>
      <c r="BD1414" s="407"/>
      <c r="BE1414" s="407"/>
    </row>
    <row r="1415" spans="1:57" x14ac:dyDescent="0.2">
      <c r="B1415" s="70"/>
      <c r="C1415" s="35"/>
      <c r="D1415" s="407"/>
      <c r="E1415" s="407"/>
      <c r="F1415" s="407"/>
      <c r="G1415" s="407"/>
      <c r="H1415" s="407"/>
      <c r="I1415" s="407"/>
      <c r="J1415" s="407"/>
      <c r="K1415" s="407"/>
      <c r="L1415" s="407"/>
      <c r="M1415" s="407"/>
      <c r="N1415" s="407"/>
      <c r="O1415" s="407"/>
      <c r="P1415" s="407"/>
      <c r="Q1415" s="407"/>
      <c r="R1415" s="407"/>
      <c r="S1415" s="407"/>
      <c r="T1415" s="407"/>
      <c r="U1415" s="407"/>
      <c r="V1415" s="407"/>
      <c r="W1415" s="407"/>
      <c r="X1415" s="407"/>
      <c r="Y1415" s="407"/>
      <c r="Z1415" s="407"/>
      <c r="AA1415" s="407"/>
      <c r="AB1415" s="407"/>
      <c r="AC1415" s="407"/>
      <c r="AD1415" s="407"/>
      <c r="AE1415" s="407"/>
      <c r="AF1415" s="407"/>
      <c r="AG1415" s="407"/>
      <c r="AH1415" s="407"/>
      <c r="AI1415" s="407"/>
      <c r="AJ1415" s="407"/>
      <c r="AK1415" s="407"/>
      <c r="AL1415" s="407"/>
      <c r="AM1415" s="407"/>
      <c r="AN1415" s="407"/>
      <c r="AO1415" s="407"/>
      <c r="AP1415" s="407"/>
      <c r="AQ1415" s="407"/>
      <c r="AR1415" s="1236"/>
      <c r="AS1415" s="1236"/>
      <c r="AT1415" s="407"/>
      <c r="AU1415" s="1236"/>
      <c r="AV1415" s="1236"/>
      <c r="AW1415" s="1236"/>
      <c r="AX1415" s="1236"/>
      <c r="AY1415" s="1236"/>
      <c r="AZ1415" s="1236"/>
      <c r="BA1415" s="1236"/>
      <c r="BB1415" s="407"/>
      <c r="BC1415" s="407"/>
      <c r="BD1415" s="407"/>
      <c r="BE1415" s="407"/>
    </row>
    <row r="1416" spans="1:57" s="72" customFormat="1" x14ac:dyDescent="0.2">
      <c r="A1416" s="831"/>
      <c r="C1416" s="213"/>
      <c r="D1416" s="1242"/>
      <c r="E1416" s="1242"/>
      <c r="F1416" s="1242"/>
      <c r="G1416" s="1242"/>
      <c r="H1416" s="1242"/>
      <c r="I1416" s="1242"/>
      <c r="J1416" s="1242"/>
      <c r="K1416" s="1242"/>
      <c r="L1416" s="1242"/>
      <c r="M1416" s="1242"/>
      <c r="N1416" s="1242"/>
      <c r="O1416" s="1242"/>
      <c r="P1416" s="1242"/>
      <c r="Q1416" s="1242"/>
      <c r="R1416" s="1242"/>
      <c r="S1416" s="1242"/>
      <c r="T1416" s="1242"/>
      <c r="U1416" s="1242"/>
      <c r="V1416" s="1242"/>
      <c r="W1416" s="1242"/>
      <c r="X1416" s="1242"/>
      <c r="Y1416" s="1242"/>
      <c r="Z1416" s="1242"/>
      <c r="AA1416" s="1242"/>
      <c r="AB1416" s="1242"/>
      <c r="AC1416" s="1242"/>
      <c r="AD1416" s="1242"/>
      <c r="AE1416" s="1242"/>
      <c r="AF1416" s="1242"/>
      <c r="AG1416" s="1242"/>
      <c r="AH1416" s="1242"/>
      <c r="AI1416" s="1242"/>
      <c r="AJ1416" s="1242"/>
      <c r="AK1416" s="1242"/>
      <c r="AL1416" s="1242"/>
      <c r="AM1416" s="1242"/>
      <c r="AN1416" s="1242"/>
      <c r="AO1416" s="1242"/>
      <c r="AP1416" s="1242"/>
      <c r="AQ1416" s="1242"/>
      <c r="AR1416" s="1236"/>
      <c r="AS1416" s="1236"/>
      <c r="AT1416" s="407"/>
      <c r="AU1416" s="1412"/>
      <c r="AV1416" s="1412"/>
      <c r="AW1416" s="1412"/>
      <c r="AX1416" s="1412"/>
      <c r="AY1416" s="1412"/>
      <c r="AZ1416" s="1412"/>
      <c r="BA1416" s="1412"/>
      <c r="BB1416" s="1242"/>
      <c r="BC1416" s="1242"/>
      <c r="BD1416" s="1242"/>
      <c r="BE1416" s="1242"/>
    </row>
    <row r="1417" spans="1:57" x14ac:dyDescent="0.2">
      <c r="B1417" s="70"/>
      <c r="C1417" s="35"/>
      <c r="D1417" s="407"/>
      <c r="E1417" s="407"/>
      <c r="F1417" s="407"/>
      <c r="G1417" s="407"/>
      <c r="H1417" s="407"/>
      <c r="I1417" s="407"/>
      <c r="J1417" s="407"/>
      <c r="K1417" s="407"/>
      <c r="L1417" s="407"/>
      <c r="M1417" s="407"/>
      <c r="N1417" s="407"/>
      <c r="O1417" s="407"/>
      <c r="P1417" s="407"/>
      <c r="Q1417" s="407"/>
      <c r="R1417" s="407"/>
      <c r="S1417" s="407"/>
      <c r="T1417" s="407"/>
      <c r="U1417" s="407"/>
      <c r="V1417" s="407"/>
      <c r="W1417" s="407"/>
      <c r="X1417" s="407"/>
      <c r="Y1417" s="407"/>
      <c r="Z1417" s="407"/>
      <c r="AA1417" s="407"/>
      <c r="AB1417" s="407"/>
      <c r="AC1417" s="407"/>
      <c r="AD1417" s="407"/>
      <c r="AE1417" s="407"/>
      <c r="AF1417" s="407"/>
      <c r="AG1417" s="407"/>
      <c r="AH1417" s="407"/>
      <c r="AI1417" s="407"/>
      <c r="AJ1417" s="407"/>
      <c r="AK1417" s="407"/>
      <c r="AL1417" s="407"/>
      <c r="AM1417" s="407"/>
      <c r="AN1417" s="407"/>
      <c r="AO1417" s="407"/>
      <c r="AP1417" s="407"/>
      <c r="AQ1417" s="407"/>
      <c r="AR1417" s="1236"/>
      <c r="AS1417" s="1236"/>
      <c r="AT1417" s="407"/>
      <c r="AU1417" s="1236"/>
      <c r="AV1417" s="1236"/>
      <c r="AW1417" s="1236"/>
      <c r="AX1417" s="1236"/>
      <c r="AY1417" s="1236"/>
      <c r="AZ1417" s="1236"/>
      <c r="BA1417" s="1236"/>
      <c r="BB1417" s="1236"/>
      <c r="BC1417" s="1236"/>
      <c r="BD1417" s="1236"/>
      <c r="BE1417" s="1236"/>
    </row>
    <row r="1418" spans="1:57" x14ac:dyDescent="0.2">
      <c r="B1418" s="70"/>
      <c r="C1418" s="35"/>
      <c r="D1418" s="407"/>
      <c r="E1418" s="407"/>
      <c r="F1418" s="407"/>
      <c r="G1418" s="407"/>
      <c r="H1418" s="407"/>
      <c r="I1418" s="407"/>
      <c r="J1418" s="407"/>
      <c r="K1418" s="407"/>
      <c r="L1418" s="407"/>
      <c r="M1418" s="407"/>
      <c r="N1418" s="407"/>
      <c r="O1418" s="407"/>
      <c r="P1418" s="407"/>
      <c r="Q1418" s="407"/>
      <c r="R1418" s="407"/>
      <c r="S1418" s="407"/>
      <c r="T1418" s="407"/>
      <c r="U1418" s="407"/>
      <c r="V1418" s="407"/>
      <c r="W1418" s="407"/>
      <c r="X1418" s="407"/>
      <c r="Y1418" s="407"/>
      <c r="Z1418" s="1256"/>
      <c r="AA1418" s="1256"/>
      <c r="AB1418" s="1256"/>
      <c r="AC1418" s="1256"/>
      <c r="AD1418" s="1256"/>
      <c r="AE1418" s="1256"/>
      <c r="AF1418" s="1256"/>
      <c r="AG1418" s="1256"/>
      <c r="AH1418" s="1256"/>
      <c r="AI1418" s="1256"/>
      <c r="AJ1418" s="1256"/>
      <c r="AK1418" s="1256"/>
      <c r="AL1418" s="1256"/>
      <c r="AM1418" s="1256"/>
      <c r="AN1418" s="1256"/>
      <c r="AO1418" s="1256"/>
      <c r="AP1418" s="1256"/>
      <c r="AQ1418" s="1256"/>
      <c r="AR1418" s="1236"/>
      <c r="AS1418" s="1236"/>
      <c r="AT1418" s="407"/>
      <c r="AU1418" s="1236"/>
      <c r="AV1418" s="1236"/>
      <c r="AW1418" s="1236"/>
      <c r="AX1418" s="1236"/>
      <c r="AY1418" s="1236"/>
      <c r="AZ1418" s="1236"/>
      <c r="BA1418" s="1236"/>
      <c r="BB1418" s="1256"/>
      <c r="BC1418" s="1256"/>
      <c r="BD1418" s="1256"/>
      <c r="BE1418" s="1256"/>
    </row>
    <row r="1419" spans="1:57" x14ac:dyDescent="0.2">
      <c r="B1419" s="70"/>
      <c r="C1419" s="35"/>
      <c r="D1419" s="407"/>
      <c r="E1419" s="407"/>
      <c r="F1419" s="407"/>
      <c r="G1419" s="407"/>
      <c r="H1419" s="407"/>
      <c r="I1419" s="407"/>
      <c r="J1419" s="407"/>
      <c r="K1419" s="407"/>
      <c r="L1419" s="407"/>
      <c r="M1419" s="407"/>
      <c r="N1419" s="407"/>
      <c r="O1419" s="407"/>
      <c r="P1419" s="407"/>
      <c r="Q1419" s="407"/>
      <c r="R1419" s="407"/>
      <c r="S1419" s="407"/>
      <c r="T1419" s="407"/>
      <c r="U1419" s="407"/>
      <c r="V1419" s="407"/>
      <c r="W1419" s="407"/>
      <c r="X1419" s="407"/>
      <c r="Y1419" s="407"/>
      <c r="Z1419" s="407"/>
      <c r="AA1419" s="407"/>
      <c r="AB1419" s="407"/>
      <c r="AC1419" s="407"/>
      <c r="AD1419" s="407"/>
      <c r="AE1419" s="407"/>
      <c r="AF1419" s="407"/>
      <c r="AG1419" s="407"/>
      <c r="AH1419" s="407"/>
      <c r="AI1419" s="407"/>
      <c r="AJ1419" s="407"/>
      <c r="AK1419" s="407"/>
      <c r="AL1419" s="407"/>
      <c r="AM1419" s="407"/>
      <c r="AN1419" s="407"/>
      <c r="AO1419" s="407"/>
      <c r="AP1419" s="407"/>
      <c r="AQ1419" s="407"/>
      <c r="AR1419" s="1236"/>
      <c r="AS1419" s="1236"/>
      <c r="AT1419" s="407"/>
      <c r="AU1419" s="1236"/>
      <c r="AV1419" s="1236"/>
      <c r="AW1419" s="1236"/>
      <c r="AX1419" s="1236"/>
      <c r="AY1419" s="1236"/>
      <c r="AZ1419" s="1236"/>
      <c r="BA1419" s="1236"/>
      <c r="BB1419" s="407"/>
      <c r="BC1419" s="407"/>
      <c r="BD1419" s="407"/>
      <c r="BE1419" s="407"/>
    </row>
    <row r="1420" spans="1:57" s="72" customFormat="1" x14ac:dyDescent="0.2">
      <c r="A1420" s="831"/>
      <c r="B1420" s="213"/>
      <c r="C1420" s="213"/>
      <c r="D1420" s="1242"/>
      <c r="E1420" s="1242"/>
      <c r="F1420" s="1242"/>
      <c r="G1420" s="1242"/>
      <c r="H1420" s="1242"/>
      <c r="I1420" s="1242"/>
      <c r="J1420" s="1242"/>
      <c r="K1420" s="1242"/>
      <c r="L1420" s="1242"/>
      <c r="M1420" s="1242"/>
      <c r="N1420" s="1242"/>
      <c r="O1420" s="1242"/>
      <c r="P1420" s="1242"/>
      <c r="Q1420" s="1242"/>
      <c r="R1420" s="1242"/>
      <c r="S1420" s="1242"/>
      <c r="T1420" s="1242"/>
      <c r="U1420" s="1242"/>
      <c r="V1420" s="1242"/>
      <c r="W1420" s="1242"/>
      <c r="X1420" s="1242"/>
      <c r="Y1420" s="1242"/>
      <c r="Z1420" s="1362"/>
      <c r="AA1420" s="1362"/>
      <c r="AB1420" s="1362"/>
      <c r="AC1420" s="1362"/>
      <c r="AD1420" s="1362"/>
      <c r="AE1420" s="1362"/>
      <c r="AF1420" s="1362"/>
      <c r="AG1420" s="1362"/>
      <c r="AH1420" s="1362"/>
      <c r="AI1420" s="1362"/>
      <c r="AJ1420" s="1362"/>
      <c r="AK1420" s="1362"/>
      <c r="AL1420" s="1362"/>
      <c r="AM1420" s="1362"/>
      <c r="AN1420" s="1362"/>
      <c r="AO1420" s="1362"/>
      <c r="AP1420" s="1362"/>
      <c r="AQ1420" s="1362"/>
      <c r="AR1420" s="1236"/>
      <c r="AS1420" s="407"/>
      <c r="AT1420" s="407"/>
      <c r="AU1420" s="1412"/>
      <c r="AV1420" s="1412"/>
      <c r="AW1420" s="1412"/>
      <c r="AX1420" s="1412"/>
      <c r="AY1420" s="1412"/>
      <c r="AZ1420" s="1412"/>
      <c r="BA1420" s="1412"/>
      <c r="BB1420" s="1362"/>
      <c r="BC1420" s="1362"/>
      <c r="BD1420" s="1362"/>
      <c r="BE1420" s="1362"/>
    </row>
    <row r="1421" spans="1:57" x14ac:dyDescent="0.2">
      <c r="B1421" s="35"/>
      <c r="C1421" s="35"/>
      <c r="D1421" s="407"/>
      <c r="E1421" s="1329"/>
      <c r="F1421" s="1329"/>
      <c r="G1421" s="1329"/>
      <c r="H1421" s="1329"/>
      <c r="I1421" s="1329"/>
      <c r="J1421" s="1329"/>
      <c r="K1421" s="1329"/>
      <c r="L1421" s="1329"/>
      <c r="M1421" s="1329"/>
      <c r="N1421" s="1329"/>
      <c r="O1421" s="1329"/>
      <c r="P1421" s="1329"/>
      <c r="Q1421" s="1329"/>
      <c r="R1421" s="1329"/>
      <c r="S1421" s="1329"/>
      <c r="T1421" s="1329"/>
      <c r="U1421" s="1329"/>
      <c r="V1421" s="1329"/>
      <c r="W1421" s="1329"/>
      <c r="X1421" s="1329"/>
      <c r="Y1421" s="1329"/>
      <c r="Z1421" s="407"/>
      <c r="AA1421" s="407"/>
      <c r="AB1421" s="407"/>
      <c r="AC1421" s="407"/>
      <c r="AD1421" s="407"/>
      <c r="AE1421" s="407"/>
      <c r="AF1421" s="407"/>
      <c r="AG1421" s="407"/>
      <c r="AH1421" s="407"/>
      <c r="AI1421" s="407"/>
      <c r="AJ1421" s="407"/>
      <c r="AK1421" s="407"/>
      <c r="AL1421" s="407"/>
      <c r="AM1421" s="407"/>
      <c r="AN1421" s="407"/>
      <c r="AO1421" s="407"/>
      <c r="AP1421" s="407"/>
      <c r="AQ1421" s="407"/>
      <c r="AR1421" s="1236"/>
      <c r="AS1421" s="407"/>
      <c r="AT1421" s="407"/>
      <c r="AU1421" s="1236"/>
      <c r="AV1421" s="1236"/>
      <c r="AW1421" s="1236"/>
      <c r="AX1421" s="1236"/>
      <c r="AY1421" s="1236"/>
      <c r="AZ1421" s="1236"/>
      <c r="BA1421" s="1236"/>
      <c r="BB1421" s="1236"/>
      <c r="BC1421" s="1236"/>
      <c r="BD1421" s="1236"/>
      <c r="BE1421" s="1236"/>
    </row>
    <row r="1422" spans="1:57" x14ac:dyDescent="0.2">
      <c r="B1422" s="35"/>
      <c r="C1422" s="35"/>
      <c r="D1422" s="407"/>
      <c r="E1422" s="407"/>
      <c r="F1422" s="407"/>
      <c r="G1422" s="407"/>
      <c r="H1422" s="407"/>
      <c r="I1422" s="407"/>
      <c r="J1422" s="407"/>
      <c r="K1422" s="407"/>
      <c r="L1422" s="407"/>
      <c r="M1422" s="407"/>
      <c r="N1422" s="407"/>
      <c r="O1422" s="407"/>
      <c r="P1422" s="407"/>
      <c r="Q1422" s="407"/>
      <c r="R1422" s="407"/>
      <c r="S1422" s="407"/>
      <c r="T1422" s="407"/>
      <c r="U1422" s="407"/>
      <c r="V1422" s="407"/>
      <c r="W1422" s="407"/>
      <c r="X1422" s="407"/>
      <c r="Y1422" s="407"/>
      <c r="Z1422" s="407"/>
      <c r="AA1422" s="407"/>
      <c r="AB1422" s="407"/>
      <c r="AC1422" s="407"/>
      <c r="AD1422" s="407"/>
      <c r="AE1422" s="407"/>
      <c r="AF1422" s="407"/>
      <c r="AG1422" s="407"/>
      <c r="AH1422" s="407"/>
      <c r="AI1422" s="407"/>
      <c r="AJ1422" s="407"/>
      <c r="AK1422" s="407"/>
      <c r="AL1422" s="407"/>
      <c r="AM1422" s="407"/>
      <c r="AN1422" s="407"/>
      <c r="AO1422" s="407"/>
      <c r="AP1422" s="407"/>
      <c r="AQ1422" s="407"/>
      <c r="AR1422" s="1236"/>
      <c r="AS1422" s="407"/>
      <c r="AT1422" s="407"/>
      <c r="AU1422" s="1236"/>
      <c r="AV1422" s="1236"/>
      <c r="AW1422" s="1236"/>
      <c r="AX1422" s="1236"/>
      <c r="AY1422" s="1236"/>
      <c r="AZ1422" s="1236"/>
      <c r="BA1422" s="1236"/>
      <c r="BB1422" s="1287"/>
      <c r="BC1422" s="1287"/>
      <c r="BD1422" s="1287"/>
      <c r="BE1422" s="1287"/>
    </row>
    <row r="1423" spans="1:57" x14ac:dyDescent="0.2">
      <c r="B1423" s="35"/>
      <c r="C1423" s="35"/>
      <c r="D1423" s="407"/>
      <c r="E1423" s="407"/>
      <c r="F1423" s="407"/>
      <c r="G1423" s="407"/>
      <c r="H1423" s="407"/>
      <c r="I1423" s="407"/>
      <c r="J1423" s="407"/>
      <c r="K1423" s="407"/>
      <c r="L1423" s="407"/>
      <c r="M1423" s="407"/>
      <c r="N1423" s="407"/>
      <c r="O1423" s="407"/>
      <c r="P1423" s="407"/>
      <c r="Q1423" s="407"/>
      <c r="R1423" s="407"/>
      <c r="S1423" s="407"/>
      <c r="T1423" s="407"/>
      <c r="U1423" s="407"/>
      <c r="V1423" s="407"/>
      <c r="W1423" s="407"/>
      <c r="X1423" s="407"/>
      <c r="Y1423" s="407"/>
      <c r="Z1423" s="407"/>
      <c r="AA1423" s="407"/>
      <c r="AB1423" s="407"/>
      <c r="AC1423" s="407"/>
      <c r="AD1423" s="407"/>
      <c r="AE1423" s="407"/>
      <c r="AF1423" s="407"/>
      <c r="AG1423" s="407"/>
      <c r="AH1423" s="407"/>
      <c r="AI1423" s="407"/>
      <c r="AJ1423" s="407"/>
      <c r="AK1423" s="407"/>
      <c r="AL1423" s="407"/>
      <c r="AM1423" s="407"/>
      <c r="AN1423" s="407"/>
      <c r="AO1423" s="407"/>
      <c r="AP1423" s="407"/>
      <c r="AQ1423" s="407"/>
      <c r="AR1423" s="1236"/>
      <c r="AS1423" s="407"/>
      <c r="AT1423" s="407"/>
      <c r="AU1423" s="1236"/>
      <c r="AV1423" s="1236"/>
      <c r="AW1423" s="1236"/>
      <c r="AX1423" s="1236"/>
      <c r="AY1423" s="1236"/>
      <c r="AZ1423" s="1236"/>
      <c r="BA1423" s="1236"/>
      <c r="BB1423" s="407"/>
      <c r="BC1423" s="407"/>
      <c r="BD1423" s="407"/>
      <c r="BE1423" s="407"/>
    </row>
    <row r="1424" spans="1:57" s="72" customFormat="1" x14ac:dyDescent="0.2">
      <c r="A1424" s="831"/>
      <c r="B1424" s="213"/>
      <c r="C1424" s="213"/>
      <c r="D1424" s="1362"/>
      <c r="E1424" s="1362"/>
      <c r="F1424" s="1362"/>
      <c r="G1424" s="1362"/>
      <c r="H1424" s="1362"/>
      <c r="I1424" s="1362"/>
      <c r="J1424" s="1362"/>
      <c r="K1424" s="1362"/>
      <c r="L1424" s="1362"/>
      <c r="M1424" s="1362"/>
      <c r="N1424" s="1362"/>
      <c r="O1424" s="1362"/>
      <c r="P1424" s="1362"/>
      <c r="Q1424" s="1362"/>
      <c r="R1424" s="1362"/>
      <c r="S1424" s="1362"/>
      <c r="T1424" s="1362"/>
      <c r="U1424" s="1362"/>
      <c r="V1424" s="1362"/>
      <c r="W1424" s="1362"/>
      <c r="X1424" s="1362"/>
      <c r="Y1424" s="1362"/>
      <c r="Z1424" s="1362"/>
      <c r="AA1424" s="1362"/>
      <c r="AB1424" s="1362"/>
      <c r="AC1424" s="1362"/>
      <c r="AD1424" s="1362"/>
      <c r="AE1424" s="1362"/>
      <c r="AF1424" s="1362"/>
      <c r="AG1424" s="1362"/>
      <c r="AH1424" s="1362"/>
      <c r="AI1424" s="1362"/>
      <c r="AJ1424" s="1362"/>
      <c r="AK1424" s="1362"/>
      <c r="AL1424" s="1362"/>
      <c r="AM1424" s="1362"/>
      <c r="AN1424" s="1362"/>
      <c r="AO1424" s="1362"/>
      <c r="AP1424" s="1362"/>
      <c r="AQ1424" s="1362"/>
      <c r="AR1424" s="1236"/>
      <c r="AS1424" s="407"/>
      <c r="AT1424" s="407"/>
      <c r="AU1424" s="1243"/>
      <c r="AV1424" s="1243"/>
      <c r="AW1424" s="1243"/>
      <c r="AX1424" s="1243"/>
      <c r="AY1424" s="1243"/>
      <c r="AZ1424" s="1243"/>
      <c r="BA1424" s="1243"/>
      <c r="BB1424" s="1362"/>
      <c r="BC1424" s="1362"/>
      <c r="BD1424" s="1362"/>
      <c r="BE1424" s="1362"/>
    </row>
    <row r="1425" spans="1:57" x14ac:dyDescent="0.2">
      <c r="B1425" s="35"/>
      <c r="C1425" s="35"/>
      <c r="D1425" s="1242"/>
      <c r="E1425" s="1242"/>
      <c r="F1425" s="1242"/>
      <c r="G1425" s="1242"/>
      <c r="H1425" s="1242"/>
      <c r="I1425" s="1242"/>
      <c r="J1425" s="1242"/>
      <c r="K1425" s="1242"/>
      <c r="L1425" s="1242"/>
      <c r="M1425" s="1242"/>
      <c r="N1425" s="1242"/>
      <c r="O1425" s="1242"/>
      <c r="P1425" s="1242"/>
      <c r="Q1425" s="1242"/>
      <c r="R1425" s="1242"/>
      <c r="S1425" s="1242"/>
      <c r="T1425" s="1242"/>
      <c r="U1425" s="1242"/>
      <c r="V1425" s="1242"/>
      <c r="W1425" s="1242"/>
      <c r="X1425" s="1242"/>
      <c r="Y1425" s="1242"/>
      <c r="Z1425" s="407"/>
      <c r="AA1425" s="407"/>
      <c r="AB1425" s="407"/>
      <c r="AC1425" s="407"/>
      <c r="AD1425" s="407"/>
      <c r="AE1425" s="407"/>
      <c r="AF1425" s="407"/>
      <c r="AG1425" s="407"/>
      <c r="AH1425" s="407"/>
      <c r="AI1425" s="407"/>
      <c r="AJ1425" s="407"/>
      <c r="AK1425" s="407"/>
      <c r="AL1425" s="407"/>
      <c r="AM1425" s="407"/>
      <c r="AN1425" s="407"/>
      <c r="AO1425" s="407"/>
      <c r="AP1425" s="407"/>
      <c r="AQ1425" s="407"/>
      <c r="AR1425" s="1236"/>
      <c r="AS1425" s="407"/>
      <c r="AT1425" s="407"/>
      <c r="AU1425" s="1236"/>
      <c r="AV1425" s="1236"/>
      <c r="AW1425" s="1236"/>
      <c r="AX1425" s="1236"/>
      <c r="AY1425" s="1236"/>
      <c r="AZ1425" s="1236"/>
      <c r="BA1425" s="1236"/>
      <c r="BB1425" s="1236"/>
      <c r="BC1425" s="1236"/>
      <c r="BD1425" s="1236"/>
      <c r="BE1425" s="1236"/>
    </row>
    <row r="1426" spans="1:57" x14ac:dyDescent="0.2">
      <c r="B1426" s="35"/>
      <c r="C1426" s="35"/>
      <c r="D1426" s="407"/>
      <c r="E1426" s="407"/>
      <c r="F1426" s="407"/>
      <c r="G1426" s="407"/>
      <c r="H1426" s="407"/>
      <c r="I1426" s="407"/>
      <c r="J1426" s="407"/>
      <c r="K1426" s="407"/>
      <c r="L1426" s="407"/>
      <c r="M1426" s="407"/>
      <c r="N1426" s="407"/>
      <c r="O1426" s="407"/>
      <c r="P1426" s="407"/>
      <c r="Q1426" s="407"/>
      <c r="R1426" s="407"/>
      <c r="S1426" s="407"/>
      <c r="T1426" s="407"/>
      <c r="U1426" s="407"/>
      <c r="V1426" s="407"/>
      <c r="W1426" s="407"/>
      <c r="X1426" s="407"/>
      <c r="Y1426" s="407"/>
      <c r="Z1426" s="407"/>
      <c r="AA1426" s="407"/>
      <c r="AB1426" s="407"/>
      <c r="AC1426" s="407"/>
      <c r="AD1426" s="407"/>
      <c r="AE1426" s="407"/>
      <c r="AF1426" s="407"/>
      <c r="AG1426" s="407"/>
      <c r="AH1426" s="407"/>
      <c r="AI1426" s="407"/>
      <c r="AJ1426" s="407"/>
      <c r="AK1426" s="407"/>
      <c r="AL1426" s="407"/>
      <c r="AM1426" s="407"/>
      <c r="AN1426" s="407"/>
      <c r="AO1426" s="407"/>
      <c r="AP1426" s="407"/>
      <c r="AQ1426" s="407"/>
      <c r="AR1426" s="1236"/>
      <c r="AS1426" s="407"/>
      <c r="AT1426" s="407"/>
      <c r="AU1426" s="1236"/>
      <c r="AV1426" s="1236"/>
      <c r="AW1426" s="1236"/>
      <c r="AX1426" s="1236"/>
      <c r="AY1426" s="1236"/>
      <c r="AZ1426" s="1236"/>
      <c r="BA1426" s="1236"/>
      <c r="BB1426" s="407"/>
      <c r="BC1426" s="407"/>
      <c r="BD1426" s="407"/>
      <c r="BE1426" s="407"/>
    </row>
    <row r="1427" spans="1:57" x14ac:dyDescent="0.2">
      <c r="B1427" s="35"/>
      <c r="C1427" s="35"/>
      <c r="D1427" s="407"/>
      <c r="E1427" s="407"/>
      <c r="F1427" s="407"/>
      <c r="G1427" s="407"/>
      <c r="H1427" s="407"/>
      <c r="I1427" s="407"/>
      <c r="J1427" s="407"/>
      <c r="K1427" s="407"/>
      <c r="L1427" s="407"/>
      <c r="M1427" s="407"/>
      <c r="N1427" s="407"/>
      <c r="O1427" s="407"/>
      <c r="P1427" s="407"/>
      <c r="Q1427" s="407"/>
      <c r="R1427" s="407"/>
      <c r="S1427" s="407"/>
      <c r="T1427" s="407"/>
      <c r="U1427" s="407"/>
      <c r="V1427" s="407"/>
      <c r="W1427" s="407"/>
      <c r="X1427" s="407"/>
      <c r="Y1427" s="407"/>
      <c r="Z1427" s="407"/>
      <c r="AA1427" s="407"/>
      <c r="AB1427" s="407"/>
      <c r="AC1427" s="407"/>
      <c r="AD1427" s="407"/>
      <c r="AE1427" s="407"/>
      <c r="AF1427" s="407"/>
      <c r="AG1427" s="407"/>
      <c r="AH1427" s="407"/>
      <c r="AI1427" s="407"/>
      <c r="AJ1427" s="407"/>
      <c r="AK1427" s="407"/>
      <c r="AL1427" s="407"/>
      <c r="AM1427" s="407"/>
      <c r="AN1427" s="407"/>
      <c r="AO1427" s="407"/>
      <c r="AP1427" s="407"/>
      <c r="AQ1427" s="407"/>
      <c r="AR1427" s="1236"/>
      <c r="AS1427" s="407"/>
      <c r="AT1427" s="407"/>
      <c r="AU1427" s="1236"/>
      <c r="AV1427" s="1236"/>
      <c r="AW1427" s="1236"/>
      <c r="AX1427" s="1236"/>
      <c r="AY1427" s="1236"/>
      <c r="AZ1427" s="1236"/>
      <c r="BA1427" s="1236"/>
      <c r="BB1427" s="407"/>
      <c r="BC1427" s="407"/>
      <c r="BD1427" s="407"/>
      <c r="BE1427" s="407"/>
    </row>
    <row r="1428" spans="1:57" s="72" customFormat="1" x14ac:dyDescent="0.2">
      <c r="A1428" s="831"/>
      <c r="B1428" s="213"/>
      <c r="C1428" s="213"/>
      <c r="D1428" s="1242"/>
      <c r="E1428" s="1242"/>
      <c r="F1428" s="1242"/>
      <c r="G1428" s="1242"/>
      <c r="H1428" s="1242"/>
      <c r="I1428" s="1242"/>
      <c r="J1428" s="1242"/>
      <c r="K1428" s="1242"/>
      <c r="L1428" s="1242"/>
      <c r="M1428" s="1242"/>
      <c r="N1428" s="1242"/>
      <c r="O1428" s="1242"/>
      <c r="P1428" s="1242"/>
      <c r="Q1428" s="1242"/>
      <c r="R1428" s="1242"/>
      <c r="S1428" s="1242"/>
      <c r="T1428" s="1242"/>
      <c r="U1428" s="1242"/>
      <c r="V1428" s="1242"/>
      <c r="W1428" s="1242"/>
      <c r="X1428" s="1242"/>
      <c r="Y1428" s="1242"/>
      <c r="Z1428" s="1242"/>
      <c r="AA1428" s="1242"/>
      <c r="AB1428" s="1242"/>
      <c r="AC1428" s="1242"/>
      <c r="AD1428" s="1242"/>
      <c r="AE1428" s="1242"/>
      <c r="AF1428" s="1242"/>
      <c r="AG1428" s="1242"/>
      <c r="AH1428" s="1242"/>
      <c r="AI1428" s="1242"/>
      <c r="AJ1428" s="1242"/>
      <c r="AK1428" s="1242"/>
      <c r="AL1428" s="1242"/>
      <c r="AM1428" s="1242"/>
      <c r="AN1428" s="1242"/>
      <c r="AO1428" s="1242"/>
      <c r="AP1428" s="1242"/>
      <c r="AQ1428" s="1242"/>
      <c r="AR1428" s="1236"/>
      <c r="AS1428" s="407"/>
      <c r="AT1428" s="407"/>
      <c r="AU1428" s="1242"/>
      <c r="AV1428" s="1242"/>
      <c r="AW1428" s="1242"/>
      <c r="AX1428" s="1242"/>
      <c r="AY1428" s="1242"/>
      <c r="AZ1428" s="1242"/>
      <c r="BA1428" s="1242"/>
      <c r="BB1428" s="1242"/>
      <c r="BC1428" s="1242"/>
      <c r="BD1428" s="1242"/>
      <c r="BE1428" s="1242"/>
    </row>
    <row r="1429" spans="1:57" x14ac:dyDescent="0.2">
      <c r="B1429" s="1217"/>
      <c r="C1429" s="15"/>
      <c r="D1429" s="1345"/>
      <c r="E1429" s="1345"/>
      <c r="F1429" s="1345"/>
      <c r="G1429" s="1345"/>
      <c r="H1429" s="1345"/>
      <c r="I1429" s="1345"/>
      <c r="J1429" s="1345"/>
      <c r="K1429" s="1345"/>
      <c r="L1429" s="1345"/>
      <c r="M1429" s="1345"/>
      <c r="N1429" s="1345"/>
      <c r="O1429" s="1345"/>
      <c r="P1429" s="1345"/>
      <c r="Q1429" s="1345"/>
      <c r="R1429" s="1345"/>
      <c r="S1429" s="1345"/>
      <c r="T1429" s="1345"/>
      <c r="U1429" s="1345"/>
      <c r="V1429" s="1345"/>
      <c r="W1429" s="1345"/>
      <c r="X1429" s="1345"/>
      <c r="Y1429" s="1345"/>
      <c r="Z1429" s="1250"/>
      <c r="AA1429" s="1250"/>
      <c r="AB1429" s="1250"/>
      <c r="AC1429" s="1250"/>
      <c r="AD1429" s="1250"/>
      <c r="AE1429" s="1250"/>
      <c r="AF1429" s="1250"/>
      <c r="AG1429" s="1250"/>
      <c r="AH1429" s="1250"/>
      <c r="AI1429" s="1250"/>
      <c r="AJ1429" s="1250"/>
      <c r="AK1429" s="1250"/>
      <c r="AL1429" s="1250"/>
      <c r="AM1429" s="1250"/>
      <c r="AN1429" s="1250"/>
      <c r="AO1429" s="1250"/>
      <c r="AP1429" s="1250"/>
      <c r="AQ1429" s="1250"/>
      <c r="AR1429" s="1236"/>
      <c r="AS1429" s="407"/>
      <c r="AT1429" s="1250"/>
      <c r="AU1429" s="1250"/>
      <c r="AV1429" s="1250"/>
      <c r="AW1429" s="1250"/>
      <c r="AX1429" s="1250"/>
      <c r="AY1429" s="1250"/>
      <c r="AZ1429" s="1250"/>
      <c r="BA1429" s="1250"/>
      <c r="BB1429" s="1250"/>
      <c r="BC1429" s="1250"/>
      <c r="BD1429" s="1250"/>
      <c r="BE1429" s="1250"/>
    </row>
    <row r="1430" spans="1:57" x14ac:dyDescent="0.2">
      <c r="B1430" s="35"/>
      <c r="D1430" s="407"/>
      <c r="E1430" s="407"/>
      <c r="F1430" s="407"/>
      <c r="G1430" s="407"/>
      <c r="H1430" s="407"/>
      <c r="I1430" s="407"/>
      <c r="J1430" s="407"/>
      <c r="K1430" s="407"/>
      <c r="L1430" s="407"/>
      <c r="M1430" s="407"/>
      <c r="N1430" s="407"/>
      <c r="O1430" s="407"/>
      <c r="P1430" s="407"/>
      <c r="Q1430" s="407"/>
      <c r="R1430" s="407"/>
      <c r="S1430" s="407"/>
      <c r="T1430" s="407"/>
      <c r="U1430" s="407"/>
      <c r="V1430" s="407"/>
      <c r="W1430" s="407"/>
      <c r="X1430" s="407"/>
      <c r="Y1430" s="407"/>
      <c r="Z1430" s="407"/>
      <c r="AA1430" s="407"/>
      <c r="AB1430" s="407"/>
      <c r="AC1430" s="407"/>
      <c r="AD1430" s="407"/>
      <c r="AE1430" s="407"/>
      <c r="AF1430" s="407"/>
      <c r="AG1430" s="407"/>
      <c r="AH1430" s="407"/>
      <c r="AI1430" s="407"/>
      <c r="AJ1430" s="407"/>
      <c r="AK1430" s="407"/>
      <c r="AL1430" s="407"/>
      <c r="AM1430" s="407"/>
      <c r="AN1430" s="407"/>
      <c r="AO1430" s="407"/>
      <c r="AP1430" s="407"/>
      <c r="AQ1430" s="407"/>
      <c r="AR1430" s="1236"/>
      <c r="AS1430" s="407"/>
      <c r="AT1430" s="407"/>
      <c r="AU1430" s="1236"/>
      <c r="AV1430" s="1236"/>
      <c r="AW1430" s="1236"/>
      <c r="AX1430" s="1236"/>
      <c r="AY1430" s="1236"/>
      <c r="AZ1430" s="1236"/>
      <c r="BA1430" s="1236"/>
      <c r="BB1430" s="407"/>
      <c r="BC1430" s="407"/>
      <c r="BD1430" s="407"/>
      <c r="BE1430" s="407"/>
    </row>
    <row r="1431" spans="1:57" x14ac:dyDescent="0.2">
      <c r="B1431" s="35"/>
      <c r="D1431" s="1242"/>
      <c r="E1431" s="1242"/>
      <c r="F1431" s="1242"/>
      <c r="G1431" s="1242"/>
      <c r="H1431" s="1242"/>
      <c r="I1431" s="1242"/>
      <c r="J1431" s="1242"/>
      <c r="K1431" s="1242"/>
      <c r="L1431" s="1242"/>
      <c r="M1431" s="1242"/>
      <c r="N1431" s="1242"/>
      <c r="O1431" s="1242"/>
      <c r="P1431" s="1242"/>
      <c r="Q1431" s="1242"/>
      <c r="R1431" s="1242"/>
      <c r="S1431" s="1242"/>
      <c r="T1431" s="1242"/>
      <c r="U1431" s="1242"/>
      <c r="V1431" s="1242"/>
      <c r="W1431" s="1242"/>
      <c r="X1431" s="1242"/>
      <c r="Y1431" s="1242"/>
      <c r="Z1431" s="1242"/>
      <c r="AA1431" s="1242"/>
      <c r="AB1431" s="1242"/>
      <c r="AC1431" s="1242"/>
      <c r="AD1431" s="1242"/>
      <c r="AE1431" s="1242"/>
      <c r="AF1431" s="1242"/>
      <c r="AG1431" s="1242"/>
      <c r="AH1431" s="1242"/>
      <c r="AI1431" s="1242"/>
      <c r="AJ1431" s="1242"/>
      <c r="AK1431" s="1242"/>
      <c r="AL1431" s="1242"/>
      <c r="AM1431" s="1242"/>
      <c r="AN1431" s="1242"/>
      <c r="AO1431" s="1242"/>
      <c r="AP1431" s="1242"/>
      <c r="AQ1431" s="1242"/>
      <c r="AR1431" s="1236"/>
      <c r="AS1431" s="407"/>
      <c r="AT1431" s="407"/>
      <c r="AU1431" s="1242"/>
      <c r="AV1431" s="1242"/>
      <c r="AW1431" s="1242"/>
      <c r="AX1431" s="1242"/>
      <c r="AY1431" s="1242"/>
      <c r="AZ1431" s="1242"/>
      <c r="BA1431" s="1242"/>
      <c r="BB1431" s="1242"/>
      <c r="BC1431" s="1242"/>
      <c r="BD1431" s="1242"/>
      <c r="BE1431" s="1242"/>
    </row>
    <row r="1432" spans="1:57" x14ac:dyDescent="0.2">
      <c r="B1432" s="35"/>
      <c r="D1432" s="407"/>
      <c r="E1432" s="407"/>
      <c r="F1432" s="407"/>
      <c r="G1432" s="407"/>
      <c r="H1432" s="407"/>
      <c r="I1432" s="407"/>
      <c r="J1432" s="407"/>
      <c r="K1432" s="407"/>
      <c r="L1432" s="407"/>
      <c r="M1432" s="407"/>
      <c r="N1432" s="407"/>
      <c r="O1432" s="407"/>
      <c r="P1432" s="407"/>
      <c r="Q1432" s="407"/>
      <c r="R1432" s="407"/>
      <c r="S1432" s="407"/>
      <c r="T1432" s="407"/>
      <c r="U1432" s="407"/>
      <c r="V1432" s="407"/>
      <c r="W1432" s="407"/>
      <c r="X1432" s="407"/>
      <c r="Y1432" s="407"/>
      <c r="Z1432" s="407"/>
      <c r="AA1432" s="407"/>
      <c r="AB1432" s="407"/>
      <c r="AC1432" s="407"/>
      <c r="AD1432" s="407"/>
      <c r="AE1432" s="407"/>
      <c r="AF1432" s="407"/>
      <c r="AG1432" s="407"/>
      <c r="AH1432" s="407"/>
      <c r="AI1432" s="407"/>
      <c r="AJ1432" s="407"/>
      <c r="AK1432" s="407"/>
      <c r="AL1432" s="407"/>
      <c r="AM1432" s="407"/>
      <c r="AN1432" s="407"/>
      <c r="AO1432" s="407"/>
      <c r="AP1432" s="407"/>
      <c r="AQ1432" s="407"/>
      <c r="AR1432" s="1236"/>
      <c r="AS1432" s="407"/>
      <c r="AT1432" s="407"/>
      <c r="AU1432" s="1236"/>
      <c r="AV1432" s="1236"/>
      <c r="AW1432" s="1236"/>
      <c r="AX1432" s="1236"/>
      <c r="AY1432" s="1236"/>
      <c r="AZ1432" s="1236"/>
      <c r="BA1432" s="1236"/>
      <c r="BB1432" s="407"/>
      <c r="BC1432" s="407"/>
      <c r="BD1432" s="407"/>
      <c r="BE1432" s="407"/>
    </row>
    <row r="1433" spans="1:57" x14ac:dyDescent="0.2">
      <c r="B1433" s="35"/>
      <c r="D1433" s="407"/>
      <c r="E1433" s="407"/>
      <c r="F1433" s="407"/>
      <c r="G1433" s="407"/>
      <c r="H1433" s="407"/>
      <c r="I1433" s="407"/>
      <c r="J1433" s="407"/>
      <c r="K1433" s="407"/>
      <c r="L1433" s="407"/>
      <c r="M1433" s="407"/>
      <c r="N1433" s="407"/>
      <c r="O1433" s="407"/>
      <c r="P1433" s="407"/>
      <c r="Q1433" s="407"/>
      <c r="R1433" s="407"/>
      <c r="S1433" s="407"/>
      <c r="T1433" s="407"/>
      <c r="U1433" s="407"/>
      <c r="V1433" s="407"/>
      <c r="W1433" s="407"/>
      <c r="X1433" s="407"/>
      <c r="Y1433" s="407"/>
      <c r="Z1433" s="407"/>
      <c r="AA1433" s="407"/>
      <c r="AB1433" s="407"/>
      <c r="AC1433" s="407"/>
      <c r="AD1433" s="407"/>
      <c r="AE1433" s="407"/>
      <c r="AF1433" s="407"/>
      <c r="AG1433" s="407"/>
      <c r="AH1433" s="407"/>
      <c r="AI1433" s="407"/>
      <c r="AJ1433" s="407"/>
      <c r="AK1433" s="407"/>
      <c r="AL1433" s="407"/>
      <c r="AM1433" s="407"/>
      <c r="AN1433" s="407"/>
      <c r="AO1433" s="407"/>
      <c r="AP1433" s="407"/>
      <c r="AQ1433" s="407"/>
      <c r="AR1433" s="1236"/>
      <c r="AS1433" s="407"/>
      <c r="AT1433" s="407"/>
      <c r="AU1433" s="1236"/>
      <c r="AV1433" s="1236"/>
      <c r="AW1433" s="1236"/>
      <c r="AX1433" s="1236"/>
      <c r="AY1433" s="1236"/>
      <c r="AZ1433" s="1236"/>
      <c r="BA1433" s="1236"/>
      <c r="BB1433" s="407"/>
      <c r="BC1433" s="407"/>
      <c r="BD1433" s="407"/>
      <c r="BE1433" s="407"/>
    </row>
    <row r="1434" spans="1:57" x14ac:dyDescent="0.2">
      <c r="B1434" s="35"/>
      <c r="D1434" s="1242"/>
      <c r="E1434" s="1242"/>
      <c r="F1434" s="1242"/>
      <c r="G1434" s="1242"/>
      <c r="H1434" s="1242"/>
      <c r="I1434" s="1242"/>
      <c r="J1434" s="1242"/>
      <c r="K1434" s="1242"/>
      <c r="L1434" s="1242"/>
      <c r="M1434" s="1242"/>
      <c r="N1434" s="1242"/>
      <c r="O1434" s="1242"/>
      <c r="P1434" s="1242"/>
      <c r="Q1434" s="1242"/>
      <c r="R1434" s="1242"/>
      <c r="S1434" s="1242"/>
      <c r="T1434" s="1356"/>
      <c r="U1434" s="1356"/>
      <c r="V1434" s="1356"/>
      <c r="W1434" s="1356"/>
      <c r="X1434" s="1356"/>
      <c r="Y1434" s="1356"/>
      <c r="Z1434" s="1356"/>
      <c r="AA1434" s="1356"/>
      <c r="AB1434" s="1356"/>
      <c r="AC1434" s="1356"/>
      <c r="AD1434" s="1356"/>
      <c r="AE1434" s="1356"/>
      <c r="AF1434" s="1356"/>
      <c r="AG1434" s="1356"/>
      <c r="AH1434" s="1356"/>
      <c r="AI1434" s="1356"/>
      <c r="AJ1434" s="1356"/>
      <c r="AK1434" s="1356"/>
      <c r="AL1434" s="1356"/>
      <c r="AM1434" s="1356"/>
      <c r="AN1434" s="1356"/>
      <c r="AO1434" s="1356"/>
      <c r="AP1434" s="1356"/>
      <c r="AQ1434" s="1356"/>
      <c r="AR1434" s="1236"/>
      <c r="AS1434" s="407"/>
      <c r="AT1434" s="407"/>
      <c r="AU1434" s="1356"/>
      <c r="AV1434" s="1356"/>
      <c r="AW1434" s="1356"/>
      <c r="AX1434" s="1356"/>
      <c r="AY1434" s="1356"/>
      <c r="AZ1434" s="1356"/>
      <c r="BA1434" s="1356"/>
      <c r="BB1434" s="1356"/>
      <c r="BC1434" s="1356"/>
      <c r="BD1434" s="1356"/>
      <c r="BE1434" s="1356"/>
    </row>
    <row r="1435" spans="1:57" x14ac:dyDescent="0.2">
      <c r="B1435" s="35"/>
      <c r="D1435" s="407"/>
      <c r="E1435" s="407"/>
      <c r="F1435" s="407"/>
      <c r="G1435" s="407"/>
      <c r="H1435" s="407"/>
      <c r="I1435" s="407"/>
      <c r="J1435" s="407"/>
      <c r="K1435" s="407"/>
      <c r="L1435" s="407"/>
      <c r="M1435" s="407"/>
      <c r="N1435" s="407"/>
      <c r="O1435" s="407"/>
      <c r="P1435" s="407"/>
      <c r="Q1435" s="407"/>
      <c r="R1435" s="407"/>
      <c r="S1435" s="407"/>
      <c r="T1435" s="407"/>
      <c r="U1435" s="407"/>
      <c r="V1435" s="407"/>
      <c r="W1435" s="407"/>
      <c r="X1435" s="407"/>
      <c r="Y1435" s="407"/>
      <c r="Z1435" s="407"/>
      <c r="AA1435" s="407"/>
      <c r="AB1435" s="407"/>
      <c r="AC1435" s="407"/>
      <c r="AD1435" s="407"/>
      <c r="AE1435" s="407"/>
      <c r="AF1435" s="407"/>
      <c r="AG1435" s="407"/>
      <c r="AH1435" s="407"/>
      <c r="AI1435" s="407"/>
      <c r="AJ1435" s="407"/>
      <c r="AK1435" s="407"/>
      <c r="AL1435" s="407"/>
      <c r="AM1435" s="407"/>
      <c r="AN1435" s="407"/>
      <c r="AO1435" s="407"/>
      <c r="AP1435" s="407"/>
      <c r="AQ1435" s="407"/>
      <c r="AR1435" s="1236"/>
      <c r="AS1435" s="407"/>
      <c r="AT1435" s="407"/>
      <c r="AU1435" s="1236"/>
      <c r="AV1435" s="1236"/>
      <c r="AW1435" s="1236"/>
      <c r="AX1435" s="1236"/>
      <c r="AY1435" s="1236"/>
      <c r="AZ1435" s="1236"/>
      <c r="BA1435" s="1236"/>
      <c r="BB1435" s="407"/>
      <c r="BC1435" s="407"/>
      <c r="BD1435" s="407"/>
      <c r="BE1435" s="407"/>
    </row>
    <row r="1436" spans="1:57" x14ac:dyDescent="0.2">
      <c r="B1436" s="35"/>
      <c r="D1436" s="407"/>
      <c r="E1436" s="407"/>
      <c r="F1436" s="407"/>
      <c r="G1436" s="407"/>
      <c r="H1436" s="407"/>
      <c r="I1436" s="407"/>
      <c r="J1436" s="407"/>
      <c r="K1436" s="407"/>
      <c r="L1436" s="407"/>
      <c r="M1436" s="407"/>
      <c r="N1436" s="407"/>
      <c r="O1436" s="407"/>
      <c r="P1436" s="407"/>
      <c r="Q1436" s="407"/>
      <c r="R1436" s="407"/>
      <c r="S1436" s="407"/>
      <c r="T1436" s="407"/>
      <c r="U1436" s="407"/>
      <c r="V1436" s="407"/>
      <c r="W1436" s="407"/>
      <c r="X1436" s="407"/>
      <c r="Y1436" s="407"/>
      <c r="Z1436" s="407"/>
      <c r="AA1436" s="407"/>
      <c r="AB1436" s="407"/>
      <c r="AC1436" s="407"/>
      <c r="AD1436" s="407"/>
      <c r="AE1436" s="407"/>
      <c r="AF1436" s="407"/>
      <c r="AG1436" s="407"/>
      <c r="AH1436" s="407"/>
      <c r="AI1436" s="407"/>
      <c r="AJ1436" s="407"/>
      <c r="AK1436" s="407"/>
      <c r="AL1436" s="407"/>
      <c r="AM1436" s="407"/>
      <c r="AN1436" s="407"/>
      <c r="AO1436" s="407"/>
      <c r="AP1436" s="407"/>
      <c r="AQ1436" s="407"/>
      <c r="AR1436" s="1236"/>
      <c r="AS1436" s="407"/>
      <c r="AT1436" s="407"/>
      <c r="AU1436" s="1236"/>
      <c r="AV1436" s="1236"/>
      <c r="AW1436" s="1236"/>
      <c r="AX1436" s="1236"/>
      <c r="AY1436" s="1236"/>
      <c r="AZ1436" s="1236"/>
      <c r="BA1436" s="1236"/>
      <c r="BB1436" s="407"/>
      <c r="BC1436" s="407"/>
      <c r="BD1436" s="407"/>
      <c r="BE1436" s="407"/>
    </row>
    <row r="1437" spans="1:57" s="160" customFormat="1" x14ac:dyDescent="0.2">
      <c r="A1437" s="829"/>
      <c r="B1437" s="201"/>
      <c r="C1437" s="19"/>
      <c r="D1437" s="1600"/>
      <c r="E1437" s="1600"/>
      <c r="F1437" s="1600"/>
      <c r="G1437" s="1600"/>
      <c r="H1437" s="1600"/>
      <c r="I1437" s="1600"/>
      <c r="J1437" s="1600"/>
      <c r="K1437" s="1344"/>
      <c r="L1437" s="1344"/>
      <c r="M1437" s="1344"/>
      <c r="N1437" s="1344"/>
      <c r="O1437" s="1344"/>
      <c r="P1437" s="1344"/>
      <c r="Q1437" s="1344"/>
      <c r="R1437" s="1344"/>
      <c r="S1437" s="1344"/>
      <c r="T1437" s="1344"/>
      <c r="U1437" s="1344"/>
      <c r="V1437" s="1344"/>
      <c r="W1437" s="1344"/>
      <c r="X1437" s="1344"/>
      <c r="Y1437" s="1344"/>
      <c r="Z1437" s="1437"/>
      <c r="AA1437" s="1437"/>
      <c r="AB1437" s="1437"/>
      <c r="AC1437" s="1437"/>
      <c r="AD1437" s="1437"/>
      <c r="AE1437" s="1437"/>
      <c r="AF1437" s="1437"/>
      <c r="AG1437" s="1437"/>
      <c r="AH1437" s="1437"/>
      <c r="AI1437" s="1437"/>
      <c r="AJ1437" s="1437"/>
      <c r="AK1437" s="1437"/>
      <c r="AL1437" s="1437"/>
      <c r="AM1437" s="1437"/>
      <c r="AN1437" s="1437"/>
      <c r="AO1437" s="1437"/>
      <c r="AP1437" s="1437"/>
      <c r="AQ1437" s="1437"/>
      <c r="AR1437" s="1236"/>
      <c r="AS1437" s="1345"/>
      <c r="AT1437" s="1345"/>
      <c r="AU1437" s="1437"/>
      <c r="AV1437" s="1437"/>
      <c r="AW1437" s="1437"/>
      <c r="AX1437" s="1437"/>
      <c r="AY1437" s="1437"/>
      <c r="AZ1437" s="1437"/>
      <c r="BA1437" s="1437"/>
      <c r="BB1437" s="1437"/>
      <c r="BC1437" s="1437"/>
      <c r="BD1437" s="1437"/>
      <c r="BE1437" s="1437"/>
    </row>
    <row r="1438" spans="1:57" x14ac:dyDescent="0.2">
      <c r="B1438" s="1217"/>
      <c r="C1438" s="70"/>
      <c r="D1438" s="407"/>
      <c r="E1438" s="407"/>
      <c r="F1438" s="407"/>
      <c r="G1438" s="407"/>
      <c r="H1438" s="407"/>
      <c r="I1438" s="407"/>
      <c r="J1438" s="407"/>
      <c r="K1438" s="407"/>
      <c r="L1438" s="407"/>
      <c r="M1438" s="407"/>
      <c r="N1438" s="407"/>
      <c r="O1438" s="407"/>
      <c r="P1438" s="407"/>
      <c r="Q1438" s="407"/>
      <c r="R1438" s="407"/>
      <c r="S1438" s="407"/>
      <c r="T1438" s="407"/>
      <c r="U1438" s="407"/>
      <c r="V1438" s="407"/>
      <c r="W1438" s="407"/>
      <c r="X1438" s="407"/>
      <c r="Y1438" s="407"/>
      <c r="Z1438" s="407"/>
      <c r="AA1438" s="407"/>
      <c r="AB1438" s="407"/>
      <c r="AC1438" s="407"/>
      <c r="AD1438" s="407"/>
      <c r="AE1438" s="407"/>
      <c r="AF1438" s="407"/>
      <c r="AG1438" s="407"/>
      <c r="AH1438" s="407"/>
      <c r="AI1438" s="407"/>
      <c r="AJ1438" s="407"/>
      <c r="AK1438" s="407"/>
      <c r="AL1438" s="407"/>
      <c r="AM1438" s="407"/>
      <c r="AN1438" s="407"/>
      <c r="AO1438" s="407"/>
      <c r="AP1438" s="407"/>
      <c r="AQ1438" s="407"/>
      <c r="AR1438" s="1236"/>
      <c r="AS1438" s="407"/>
      <c r="AT1438" s="1236"/>
      <c r="AU1438" s="1236"/>
      <c r="AV1438" s="407"/>
      <c r="AW1438" s="407"/>
      <c r="AX1438" s="407"/>
      <c r="AY1438" s="407"/>
      <c r="AZ1438" s="407"/>
      <c r="BA1438" s="407"/>
      <c r="BB1438" s="407"/>
      <c r="BC1438" s="407"/>
      <c r="BD1438" s="407"/>
      <c r="BE1438" s="407"/>
    </row>
    <row r="1439" spans="1:57" x14ac:dyDescent="0.2">
      <c r="B1439" s="1217"/>
      <c r="C1439" s="70"/>
      <c r="D1439" s="407"/>
      <c r="E1439" s="407"/>
      <c r="F1439" s="407"/>
      <c r="G1439" s="407"/>
      <c r="H1439" s="407"/>
      <c r="I1439" s="407"/>
      <c r="J1439" s="407"/>
      <c r="K1439" s="407"/>
      <c r="L1439" s="407"/>
      <c r="M1439" s="407"/>
      <c r="N1439" s="407"/>
      <c r="O1439" s="407"/>
      <c r="P1439" s="407"/>
      <c r="Q1439" s="407"/>
      <c r="R1439" s="407"/>
      <c r="S1439" s="407"/>
      <c r="T1439" s="407"/>
      <c r="U1439" s="407"/>
      <c r="V1439" s="407"/>
      <c r="W1439" s="407"/>
      <c r="X1439" s="407"/>
      <c r="Y1439" s="407"/>
      <c r="Z1439" s="1362"/>
      <c r="AA1439" s="1362"/>
      <c r="AB1439" s="1362"/>
      <c r="AC1439" s="1362"/>
      <c r="AD1439" s="1362"/>
      <c r="AE1439" s="1362"/>
      <c r="AF1439" s="1362"/>
      <c r="AG1439" s="1362"/>
      <c r="AH1439" s="1362"/>
      <c r="AI1439" s="1362"/>
      <c r="AJ1439" s="1362"/>
      <c r="AK1439" s="1362"/>
      <c r="AL1439" s="1362"/>
      <c r="AM1439" s="1362"/>
      <c r="AN1439" s="1362"/>
      <c r="AO1439" s="1362"/>
      <c r="AP1439" s="1362"/>
      <c r="AQ1439" s="1362"/>
      <c r="AR1439" s="1236"/>
      <c r="AS1439" s="407"/>
      <c r="AT1439" s="1236"/>
      <c r="AU1439" s="1236"/>
      <c r="AV1439" s="407"/>
      <c r="AW1439" s="407"/>
      <c r="AX1439" s="407"/>
      <c r="AY1439" s="407"/>
      <c r="AZ1439" s="407"/>
      <c r="BA1439" s="407"/>
      <c r="BB1439" s="1362"/>
      <c r="BC1439" s="1362"/>
      <c r="BD1439" s="1362"/>
      <c r="BE1439" s="1362"/>
    </row>
    <row r="1440" spans="1:57" x14ac:dyDescent="0.2">
      <c r="B1440" s="15"/>
      <c r="C1440" s="70"/>
      <c r="D1440" s="407"/>
      <c r="E1440" s="407"/>
      <c r="F1440" s="407"/>
      <c r="G1440" s="407"/>
      <c r="H1440" s="407"/>
      <c r="I1440" s="407"/>
      <c r="J1440" s="407"/>
      <c r="K1440" s="407"/>
      <c r="L1440" s="407"/>
      <c r="M1440" s="407"/>
      <c r="N1440" s="407"/>
      <c r="O1440" s="407"/>
      <c r="P1440" s="407"/>
      <c r="Q1440" s="407"/>
      <c r="R1440" s="407"/>
      <c r="S1440" s="407"/>
      <c r="T1440" s="407"/>
      <c r="U1440" s="407"/>
      <c r="V1440" s="407"/>
      <c r="W1440" s="407"/>
      <c r="X1440" s="407"/>
      <c r="Y1440" s="407"/>
      <c r="Z1440" s="407"/>
      <c r="AA1440" s="407"/>
      <c r="AB1440" s="407"/>
      <c r="AC1440" s="407"/>
      <c r="AD1440" s="407"/>
      <c r="AE1440" s="407"/>
      <c r="AF1440" s="407"/>
      <c r="AG1440" s="407"/>
      <c r="AH1440" s="407"/>
      <c r="AI1440" s="407"/>
      <c r="AJ1440" s="407"/>
      <c r="AK1440" s="407"/>
      <c r="AL1440" s="407"/>
      <c r="AM1440" s="407"/>
      <c r="AN1440" s="407"/>
      <c r="AO1440" s="407"/>
      <c r="AP1440" s="407"/>
      <c r="AQ1440" s="407"/>
      <c r="AR1440" s="1236"/>
      <c r="AS1440" s="1250"/>
      <c r="AT1440" s="1236"/>
      <c r="AU1440" s="1236"/>
      <c r="AV1440" s="407"/>
      <c r="AW1440" s="407"/>
      <c r="AX1440" s="407"/>
      <c r="AY1440" s="407"/>
      <c r="AZ1440" s="407"/>
      <c r="BA1440" s="407"/>
      <c r="BB1440" s="407"/>
      <c r="BC1440" s="407"/>
      <c r="BD1440" s="407"/>
      <c r="BE1440" s="407"/>
    </row>
    <row r="1441" spans="1:57" x14ac:dyDescent="0.2">
      <c r="A1441" s="70"/>
      <c r="B1441" s="35"/>
      <c r="D1441" s="1344"/>
      <c r="E1441" s="1344"/>
      <c r="F1441" s="1344"/>
      <c r="G1441" s="1344"/>
      <c r="H1441" s="1601"/>
      <c r="I1441" s="1601"/>
      <c r="J1441" s="1601"/>
      <c r="K1441" s="1601"/>
      <c r="L1441" s="1601"/>
      <c r="M1441" s="1601"/>
      <c r="N1441" s="1601"/>
      <c r="O1441" s="1601"/>
      <c r="P1441" s="1601"/>
      <c r="Q1441" s="1601"/>
      <c r="R1441" s="1601"/>
      <c r="S1441" s="1601"/>
      <c r="T1441" s="1601"/>
      <c r="U1441" s="1601"/>
      <c r="V1441" s="1601"/>
      <c r="W1441" s="1601"/>
      <c r="X1441" s="1601"/>
      <c r="Y1441" s="1601"/>
      <c r="Z1441" s="1602"/>
      <c r="AA1441" s="1602"/>
      <c r="AB1441" s="1602"/>
      <c r="AC1441" s="1602"/>
      <c r="AD1441" s="1602"/>
      <c r="AE1441" s="1602"/>
      <c r="AF1441" s="1602"/>
      <c r="AG1441" s="1602"/>
      <c r="AH1441" s="1602"/>
      <c r="AI1441" s="1602"/>
      <c r="AJ1441" s="1602"/>
      <c r="AK1441" s="1602"/>
      <c r="AL1441" s="1602"/>
      <c r="AM1441" s="1602"/>
      <c r="AN1441" s="1602"/>
      <c r="AO1441" s="1602"/>
      <c r="AP1441" s="1602"/>
      <c r="AQ1441" s="1602"/>
      <c r="AR1441" s="1236"/>
      <c r="AS1441" s="407"/>
      <c r="AT1441" s="407"/>
      <c r="AU1441" s="1256"/>
      <c r="AV1441" s="1256"/>
      <c r="AW1441" s="1256"/>
      <c r="AX1441" s="1256"/>
      <c r="AY1441" s="1256"/>
      <c r="AZ1441" s="1256"/>
      <c r="BA1441" s="1256"/>
      <c r="BB1441" s="1602"/>
      <c r="BC1441" s="1602"/>
      <c r="BD1441" s="1602"/>
      <c r="BE1441" s="1602"/>
    </row>
    <row r="1442" spans="1:57" x14ac:dyDescent="0.2">
      <c r="A1442" s="70"/>
      <c r="B1442" s="1217"/>
      <c r="C1442" s="70"/>
      <c r="D1442" s="407"/>
      <c r="E1442" s="407"/>
      <c r="F1442" s="407"/>
      <c r="G1442" s="407"/>
      <c r="H1442" s="407"/>
      <c r="I1442" s="407"/>
      <c r="J1442" s="407"/>
      <c r="K1442" s="407"/>
      <c r="L1442" s="407"/>
      <c r="M1442" s="407"/>
      <c r="N1442" s="407"/>
      <c r="O1442" s="407"/>
      <c r="P1442" s="407"/>
      <c r="Q1442" s="407"/>
      <c r="R1442" s="407"/>
      <c r="S1442" s="407"/>
      <c r="T1442" s="407"/>
      <c r="U1442" s="407"/>
      <c r="V1442" s="407"/>
      <c r="W1442" s="407"/>
      <c r="X1442" s="407"/>
      <c r="Y1442" s="407"/>
      <c r="Z1442" s="1362"/>
      <c r="AA1442" s="1362"/>
      <c r="AB1442" s="1362"/>
      <c r="AC1442" s="1362"/>
      <c r="AD1442" s="1362"/>
      <c r="AE1442" s="1362"/>
      <c r="AF1442" s="1362"/>
      <c r="AG1442" s="1362"/>
      <c r="AH1442" s="1362"/>
      <c r="AI1442" s="1362"/>
      <c r="AJ1442" s="1362"/>
      <c r="AK1442" s="1362"/>
      <c r="AL1442" s="1362"/>
      <c r="AM1442" s="1362"/>
      <c r="AN1442" s="1362"/>
      <c r="AO1442" s="1362"/>
      <c r="AP1442" s="1362"/>
      <c r="AQ1442" s="1362"/>
      <c r="AR1442" s="1236"/>
      <c r="AS1442" s="407"/>
      <c r="AT1442" s="1236"/>
      <c r="AU1442" s="407"/>
      <c r="AV1442" s="407"/>
      <c r="AW1442" s="407"/>
      <c r="AX1442" s="407"/>
      <c r="AY1442" s="407"/>
      <c r="AZ1442" s="407"/>
      <c r="BA1442" s="407"/>
      <c r="BB1442" s="1362"/>
      <c r="BC1442" s="1362"/>
      <c r="BD1442" s="1362"/>
      <c r="BE1442" s="1362"/>
    </row>
    <row r="1443" spans="1:57" x14ac:dyDescent="0.2">
      <c r="A1443" s="70"/>
      <c r="B1443" s="1217"/>
      <c r="C1443" s="70"/>
      <c r="D1443" s="407"/>
      <c r="E1443" s="407"/>
      <c r="F1443" s="407"/>
      <c r="G1443" s="407"/>
      <c r="H1443" s="407"/>
      <c r="I1443" s="407"/>
      <c r="J1443" s="407"/>
      <c r="K1443" s="407"/>
      <c r="L1443" s="407"/>
      <c r="M1443" s="407"/>
      <c r="N1443" s="407"/>
      <c r="O1443" s="407"/>
      <c r="P1443" s="407"/>
      <c r="Q1443" s="407"/>
      <c r="R1443" s="407"/>
      <c r="S1443" s="407"/>
      <c r="T1443" s="407"/>
      <c r="U1443" s="407"/>
      <c r="V1443" s="407"/>
      <c r="W1443" s="407"/>
      <c r="X1443" s="407"/>
      <c r="Y1443" s="407"/>
      <c r="Z1443" s="407"/>
      <c r="AA1443" s="407"/>
      <c r="AB1443" s="407"/>
      <c r="AC1443" s="407"/>
      <c r="AD1443" s="407"/>
      <c r="AE1443" s="407"/>
      <c r="AF1443" s="407"/>
      <c r="AG1443" s="407"/>
      <c r="AH1443" s="407"/>
      <c r="AI1443" s="407"/>
      <c r="AJ1443" s="407"/>
      <c r="AK1443" s="407"/>
      <c r="AL1443" s="407"/>
      <c r="AM1443" s="407"/>
      <c r="AN1443" s="407"/>
      <c r="AO1443" s="407"/>
      <c r="AP1443" s="407"/>
      <c r="AQ1443" s="407"/>
      <c r="AR1443" s="1236"/>
      <c r="AS1443" s="407"/>
      <c r="AT1443" s="1236"/>
      <c r="AU1443" s="1236"/>
      <c r="AV1443" s="407"/>
      <c r="AW1443" s="407"/>
      <c r="AX1443" s="407"/>
      <c r="AY1443" s="407"/>
      <c r="AZ1443" s="407"/>
      <c r="BA1443" s="407"/>
      <c r="BB1443" s="407"/>
      <c r="BC1443" s="407"/>
      <c r="BD1443" s="407"/>
      <c r="BE1443" s="407"/>
    </row>
    <row r="1444" spans="1:57" x14ac:dyDescent="0.2">
      <c r="A1444" s="70"/>
      <c r="B1444" s="1217"/>
      <c r="C1444" s="70"/>
      <c r="D1444" s="407"/>
      <c r="E1444" s="407"/>
      <c r="F1444" s="407"/>
      <c r="G1444" s="407"/>
      <c r="H1444" s="407"/>
      <c r="I1444" s="1242"/>
      <c r="J1444" s="1242"/>
      <c r="K1444" s="1242"/>
      <c r="L1444" s="1242"/>
      <c r="M1444" s="1242"/>
      <c r="N1444" s="1242"/>
      <c r="O1444" s="1242"/>
      <c r="P1444" s="1242"/>
      <c r="Q1444" s="1242"/>
      <c r="R1444" s="1242"/>
      <c r="S1444" s="1242"/>
      <c r="T1444" s="1242"/>
      <c r="U1444" s="1242"/>
      <c r="V1444" s="1242"/>
      <c r="W1444" s="1242"/>
      <c r="X1444" s="1242"/>
      <c r="Y1444" s="1242"/>
      <c r="Z1444" s="1242"/>
      <c r="AA1444" s="1242"/>
      <c r="AB1444" s="1242"/>
      <c r="AC1444" s="1242"/>
      <c r="AD1444" s="1242"/>
      <c r="AE1444" s="1242"/>
      <c r="AF1444" s="1242"/>
      <c r="AG1444" s="1242"/>
      <c r="AH1444" s="1242"/>
      <c r="AI1444" s="1242"/>
      <c r="AJ1444" s="1242"/>
      <c r="AK1444" s="1242"/>
      <c r="AL1444" s="1242"/>
      <c r="AM1444" s="1242"/>
      <c r="AN1444" s="1242"/>
      <c r="AO1444" s="1242"/>
      <c r="AP1444" s="1242"/>
      <c r="AQ1444" s="1242"/>
      <c r="AR1444" s="1236"/>
      <c r="AS1444" s="407"/>
      <c r="AT1444" s="1236"/>
      <c r="AU1444" s="1242"/>
      <c r="AV1444" s="1242"/>
      <c r="AW1444" s="1242"/>
      <c r="AX1444" s="1242"/>
      <c r="AY1444" s="1242"/>
      <c r="AZ1444" s="1242"/>
      <c r="BA1444" s="1242"/>
      <c r="BB1444" s="1242"/>
      <c r="BC1444" s="1242"/>
      <c r="BD1444" s="1242"/>
      <c r="BE1444" s="1242"/>
    </row>
    <row r="1445" spans="1:57" x14ac:dyDescent="0.2">
      <c r="A1445" s="70"/>
      <c r="B1445" s="1217"/>
      <c r="C1445" s="70"/>
      <c r="D1445" s="407"/>
      <c r="E1445" s="407"/>
      <c r="F1445" s="407"/>
      <c r="G1445" s="407"/>
      <c r="H1445" s="1601"/>
      <c r="I1445" s="1601"/>
      <c r="J1445" s="1601"/>
      <c r="K1445" s="1601"/>
      <c r="L1445" s="1601"/>
      <c r="M1445" s="1601"/>
      <c r="N1445" s="1601"/>
      <c r="O1445" s="1601"/>
      <c r="P1445" s="1601"/>
      <c r="Q1445" s="1601"/>
      <c r="R1445" s="1601"/>
      <c r="S1445" s="1601"/>
      <c r="T1445" s="1601"/>
      <c r="U1445" s="1601"/>
      <c r="V1445" s="1601"/>
      <c r="W1445" s="1601"/>
      <c r="X1445" s="1601"/>
      <c r="Y1445" s="1601"/>
      <c r="Z1445" s="1601"/>
      <c r="AA1445" s="1601"/>
      <c r="AB1445" s="1601"/>
      <c r="AC1445" s="1601"/>
      <c r="AD1445" s="1601"/>
      <c r="AE1445" s="1601"/>
      <c r="AF1445" s="1601"/>
      <c r="AG1445" s="1601"/>
      <c r="AH1445" s="1601"/>
      <c r="AI1445" s="1601"/>
      <c r="AJ1445" s="1601"/>
      <c r="AK1445" s="1601"/>
      <c r="AL1445" s="1601"/>
      <c r="AM1445" s="1601"/>
      <c r="AN1445" s="1601"/>
      <c r="AO1445" s="1601"/>
      <c r="AP1445" s="1601"/>
      <c r="AQ1445" s="1601"/>
      <c r="AR1445" s="1236"/>
      <c r="AS1445" s="407"/>
      <c r="AT1445" s="1236"/>
      <c r="AU1445" s="1601"/>
      <c r="AV1445" s="1601"/>
      <c r="AW1445" s="1601"/>
      <c r="AX1445" s="1601"/>
      <c r="AY1445" s="1601"/>
      <c r="AZ1445" s="1601"/>
      <c r="BA1445" s="1601"/>
      <c r="BB1445" s="1601"/>
      <c r="BC1445" s="1601"/>
      <c r="BD1445" s="1601"/>
      <c r="BE1445" s="1601"/>
    </row>
    <row r="1446" spans="1:57" x14ac:dyDescent="0.2">
      <c r="A1446" s="70"/>
      <c r="B1446" s="35"/>
      <c r="D1446" s="407"/>
      <c r="E1446" s="1329"/>
      <c r="F1446" s="1329"/>
      <c r="G1446" s="1329"/>
      <c r="H1446" s="407"/>
      <c r="I1446" s="407"/>
      <c r="J1446" s="407"/>
      <c r="K1446" s="407"/>
      <c r="L1446" s="407"/>
      <c r="M1446" s="407"/>
      <c r="N1446" s="407"/>
      <c r="O1446" s="407"/>
      <c r="P1446" s="407"/>
      <c r="Q1446" s="407"/>
      <c r="R1446" s="407"/>
      <c r="S1446" s="407"/>
      <c r="T1446" s="407"/>
      <c r="U1446" s="407"/>
      <c r="V1446" s="407"/>
      <c r="W1446" s="407"/>
      <c r="X1446" s="407"/>
      <c r="Y1446" s="407"/>
      <c r="Z1446" s="407"/>
      <c r="AA1446" s="407"/>
      <c r="AB1446" s="407"/>
      <c r="AC1446" s="407"/>
      <c r="AD1446" s="407"/>
      <c r="AE1446" s="407"/>
      <c r="AF1446" s="407"/>
      <c r="AG1446" s="407"/>
      <c r="AH1446" s="407"/>
      <c r="AI1446" s="407"/>
      <c r="AJ1446" s="407"/>
      <c r="AK1446" s="407"/>
      <c r="AL1446" s="407"/>
      <c r="AM1446" s="407"/>
      <c r="AN1446" s="407"/>
      <c r="AO1446" s="407"/>
      <c r="AP1446" s="407"/>
      <c r="AQ1446" s="407"/>
      <c r="AR1446" s="1236"/>
      <c r="AS1446" s="407"/>
      <c r="AT1446" s="407"/>
      <c r="AU1446" s="407"/>
      <c r="AV1446" s="407"/>
      <c r="AW1446" s="407"/>
      <c r="AX1446" s="407"/>
      <c r="AY1446" s="407"/>
      <c r="AZ1446" s="407"/>
      <c r="BA1446" s="407"/>
      <c r="BB1446" s="407"/>
      <c r="BC1446" s="407"/>
      <c r="BD1446" s="407"/>
      <c r="BE1446" s="407"/>
    </row>
    <row r="1447" spans="1:57" x14ac:dyDescent="0.2">
      <c r="A1447" s="70"/>
      <c r="B1447" s="1217"/>
      <c r="C1447" s="70"/>
      <c r="D1447" s="407"/>
      <c r="E1447" s="407"/>
      <c r="F1447" s="407"/>
      <c r="G1447" s="407"/>
      <c r="H1447" s="407"/>
      <c r="I1447" s="407"/>
      <c r="J1447" s="407"/>
      <c r="K1447" s="407"/>
      <c r="L1447" s="407"/>
      <c r="M1447" s="407"/>
      <c r="N1447" s="407"/>
      <c r="O1447" s="407"/>
      <c r="P1447" s="407"/>
      <c r="Q1447" s="407"/>
      <c r="R1447" s="407"/>
      <c r="S1447" s="407"/>
      <c r="T1447" s="407"/>
      <c r="U1447" s="407"/>
      <c r="V1447" s="407"/>
      <c r="W1447" s="407"/>
      <c r="X1447" s="407"/>
      <c r="Y1447" s="407"/>
      <c r="Z1447" s="407"/>
      <c r="AA1447" s="407"/>
      <c r="AB1447" s="407"/>
      <c r="AC1447" s="407"/>
      <c r="AD1447" s="407"/>
      <c r="AE1447" s="407"/>
      <c r="AF1447" s="407"/>
      <c r="AG1447" s="407"/>
      <c r="AH1447" s="407"/>
      <c r="AI1447" s="407"/>
      <c r="AJ1447" s="407"/>
      <c r="AK1447" s="407"/>
      <c r="AL1447" s="407"/>
      <c r="AM1447" s="407"/>
      <c r="AN1447" s="407"/>
      <c r="AO1447" s="407"/>
      <c r="AP1447" s="407"/>
      <c r="AQ1447" s="407"/>
      <c r="AR1447" s="1236"/>
      <c r="AS1447" s="407"/>
      <c r="AT1447" s="1236"/>
      <c r="AU1447" s="407"/>
      <c r="AV1447" s="407"/>
      <c r="AW1447" s="407"/>
      <c r="AX1447" s="407"/>
      <c r="AY1447" s="407"/>
      <c r="AZ1447" s="407"/>
      <c r="BA1447" s="407"/>
      <c r="BB1447" s="407"/>
      <c r="BC1447" s="407"/>
      <c r="BD1447" s="407"/>
      <c r="BE1447" s="407"/>
    </row>
    <row r="1448" spans="1:57" x14ac:dyDescent="0.2">
      <c r="A1448" s="70"/>
      <c r="B1448" s="35"/>
      <c r="C1448" s="70"/>
      <c r="D1448" s="407"/>
      <c r="E1448" s="407"/>
      <c r="F1448" s="407"/>
      <c r="G1448" s="407"/>
      <c r="H1448" s="1236"/>
      <c r="I1448" s="407"/>
      <c r="J1448" s="407"/>
      <c r="K1448" s="407"/>
      <c r="L1448" s="407"/>
      <c r="M1448" s="407"/>
      <c r="N1448" s="407"/>
      <c r="O1448" s="407"/>
      <c r="P1448" s="1236"/>
      <c r="Q1448" s="1236"/>
      <c r="R1448" s="1236"/>
      <c r="S1448" s="1236"/>
      <c r="T1448" s="1236"/>
      <c r="U1448" s="1236"/>
      <c r="V1448" s="1236"/>
      <c r="W1448" s="1236"/>
      <c r="X1448" s="1236"/>
      <c r="Y1448" s="1236"/>
      <c r="Z1448" s="1236"/>
      <c r="AA1448" s="1236"/>
      <c r="AB1448" s="1236"/>
      <c r="AC1448" s="1236"/>
      <c r="AD1448" s="1236"/>
      <c r="AE1448" s="1236"/>
      <c r="AF1448" s="1236"/>
      <c r="AG1448" s="1236"/>
      <c r="AH1448" s="1236"/>
      <c r="AI1448" s="1236"/>
      <c r="AJ1448" s="1236"/>
      <c r="AK1448" s="1236"/>
      <c r="AL1448" s="1236"/>
      <c r="AM1448" s="1236"/>
      <c r="AN1448" s="1236"/>
      <c r="AO1448" s="1236"/>
      <c r="AP1448" s="1236"/>
      <c r="AQ1448" s="1236"/>
      <c r="AR1448" s="1236"/>
      <c r="AS1448" s="407"/>
      <c r="AT1448" s="1236"/>
      <c r="AU1448" s="1236"/>
      <c r="AV1448" s="1236"/>
      <c r="AW1448" s="1236"/>
      <c r="AX1448" s="1236"/>
      <c r="AY1448" s="1236"/>
      <c r="AZ1448" s="1236"/>
      <c r="BA1448" s="1236"/>
      <c r="BB1448" s="1236"/>
      <c r="BC1448" s="1236"/>
      <c r="BD1448" s="1236"/>
      <c r="BE1448" s="1236"/>
    </row>
    <row r="1449" spans="1:57" x14ac:dyDescent="0.2">
      <c r="A1449" s="70"/>
      <c r="B1449" s="1217"/>
      <c r="D1449" s="407"/>
      <c r="E1449" s="407"/>
      <c r="F1449" s="407"/>
      <c r="G1449" s="407"/>
      <c r="H1449" s="407"/>
      <c r="I1449" s="407"/>
      <c r="J1449" s="407"/>
      <c r="K1449" s="407"/>
      <c r="L1449" s="407"/>
      <c r="M1449" s="407"/>
      <c r="N1449" s="407"/>
      <c r="O1449" s="407"/>
      <c r="P1449" s="407"/>
      <c r="Q1449" s="407"/>
      <c r="R1449" s="407"/>
      <c r="S1449" s="407"/>
      <c r="T1449" s="407"/>
      <c r="U1449" s="407"/>
      <c r="V1449" s="407"/>
      <c r="W1449" s="407"/>
      <c r="X1449" s="407"/>
      <c r="Y1449" s="407"/>
      <c r="Z1449" s="407"/>
      <c r="AA1449" s="407"/>
      <c r="AB1449" s="407"/>
      <c r="AC1449" s="407"/>
      <c r="AD1449" s="407"/>
      <c r="AE1449" s="407"/>
      <c r="AF1449" s="407"/>
      <c r="AG1449" s="407"/>
      <c r="AH1449" s="407"/>
      <c r="AI1449" s="407"/>
      <c r="AJ1449" s="407"/>
      <c r="AK1449" s="407"/>
      <c r="AL1449" s="407"/>
      <c r="AM1449" s="407"/>
      <c r="AN1449" s="407"/>
      <c r="AO1449" s="407"/>
      <c r="AP1449" s="407"/>
      <c r="AQ1449" s="407"/>
      <c r="AR1449" s="1236"/>
      <c r="AS1449" s="407"/>
      <c r="AT1449" s="407"/>
      <c r="AU1449" s="407"/>
      <c r="AV1449" s="407"/>
      <c r="AW1449" s="407"/>
      <c r="AX1449" s="407"/>
      <c r="AY1449" s="407"/>
      <c r="AZ1449" s="407"/>
      <c r="BA1449" s="407"/>
      <c r="BB1449" s="407"/>
      <c r="BC1449" s="407"/>
      <c r="BD1449" s="407"/>
      <c r="BE1449" s="407"/>
    </row>
    <row r="1450" spans="1:57" x14ac:dyDescent="0.2">
      <c r="A1450" s="70"/>
      <c r="B1450" s="1217"/>
      <c r="D1450" s="407"/>
      <c r="E1450" s="407"/>
      <c r="F1450" s="407"/>
      <c r="G1450" s="407"/>
      <c r="H1450" s="407"/>
      <c r="I1450" s="407"/>
      <c r="J1450" s="407"/>
      <c r="K1450" s="407"/>
      <c r="L1450" s="407"/>
      <c r="M1450" s="407"/>
      <c r="N1450" s="407"/>
      <c r="O1450" s="407"/>
      <c r="P1450" s="407"/>
      <c r="Q1450" s="407"/>
      <c r="R1450" s="407"/>
      <c r="S1450" s="407"/>
      <c r="T1450" s="407"/>
      <c r="U1450" s="407"/>
      <c r="V1450" s="407"/>
      <c r="W1450" s="407"/>
      <c r="X1450" s="407"/>
      <c r="Y1450" s="407"/>
      <c r="Z1450" s="407"/>
      <c r="AA1450" s="407"/>
      <c r="AB1450" s="407"/>
      <c r="AC1450" s="407"/>
      <c r="AD1450" s="407"/>
      <c r="AE1450" s="407"/>
      <c r="AF1450" s="407"/>
      <c r="AG1450" s="407"/>
      <c r="AH1450" s="407"/>
      <c r="AI1450" s="407"/>
      <c r="AJ1450" s="407"/>
      <c r="AK1450" s="407"/>
      <c r="AL1450" s="407"/>
      <c r="AM1450" s="407"/>
      <c r="AN1450" s="407"/>
      <c r="AO1450" s="407"/>
      <c r="AP1450" s="407"/>
      <c r="AQ1450" s="407"/>
      <c r="AR1450" s="1236"/>
      <c r="AS1450" s="407"/>
      <c r="AT1450" s="407"/>
      <c r="AU1450" s="407"/>
      <c r="AV1450" s="407"/>
      <c r="AW1450" s="407"/>
      <c r="AX1450" s="407"/>
      <c r="AY1450" s="407"/>
      <c r="AZ1450" s="407"/>
      <c r="BA1450" s="407"/>
      <c r="BB1450" s="407"/>
      <c r="BC1450" s="407"/>
      <c r="BD1450" s="407"/>
      <c r="BE1450" s="407"/>
    </row>
    <row r="1451" spans="1:57" x14ac:dyDescent="0.2">
      <c r="A1451" s="70"/>
      <c r="B1451" s="1217"/>
      <c r="D1451" s="407"/>
      <c r="E1451" s="407"/>
      <c r="F1451" s="407"/>
      <c r="G1451" s="407"/>
      <c r="H1451" s="407"/>
      <c r="I1451" s="407"/>
      <c r="J1451" s="407"/>
      <c r="K1451" s="407"/>
      <c r="L1451" s="407"/>
      <c r="M1451" s="407"/>
      <c r="N1451" s="407"/>
      <c r="O1451" s="407"/>
      <c r="P1451" s="407"/>
      <c r="Q1451" s="407"/>
      <c r="R1451" s="407"/>
      <c r="S1451" s="407"/>
      <c r="T1451" s="407"/>
      <c r="U1451" s="407"/>
      <c r="V1451" s="407"/>
      <c r="W1451" s="407"/>
      <c r="X1451" s="407"/>
      <c r="Y1451" s="407"/>
      <c r="Z1451" s="407"/>
      <c r="AA1451" s="407"/>
      <c r="AB1451" s="407"/>
      <c r="AC1451" s="407"/>
      <c r="AD1451" s="407"/>
      <c r="AE1451" s="407"/>
      <c r="AF1451" s="407"/>
      <c r="AG1451" s="407"/>
      <c r="AH1451" s="407"/>
      <c r="AI1451" s="407"/>
      <c r="AJ1451" s="407"/>
      <c r="AK1451" s="407"/>
      <c r="AL1451" s="407"/>
      <c r="AM1451" s="407"/>
      <c r="AN1451" s="407"/>
      <c r="AO1451" s="407"/>
      <c r="AP1451" s="407"/>
      <c r="AQ1451" s="407"/>
      <c r="AR1451" s="1236"/>
      <c r="AS1451" s="407"/>
      <c r="AT1451" s="407"/>
      <c r="AU1451" s="1301"/>
      <c r="AV1451" s="1301"/>
      <c r="AW1451" s="1301"/>
      <c r="AX1451" s="1301"/>
      <c r="AY1451" s="1301"/>
      <c r="AZ1451" s="1301"/>
      <c r="BA1451" s="1301"/>
      <c r="BB1451" s="407"/>
      <c r="BC1451" s="407"/>
      <c r="BD1451" s="407"/>
      <c r="BE1451" s="407"/>
    </row>
    <row r="1452" spans="1:57" x14ac:dyDescent="0.2">
      <c r="A1452" s="70"/>
      <c r="B1452" s="1217"/>
      <c r="D1452" s="407"/>
      <c r="E1452" s="407"/>
      <c r="F1452" s="407"/>
      <c r="G1452" s="407"/>
      <c r="H1452" s="407"/>
      <c r="I1452" s="407"/>
      <c r="J1452" s="407"/>
      <c r="K1452" s="407"/>
      <c r="L1452" s="407"/>
      <c r="M1452" s="407"/>
      <c r="N1452" s="407"/>
      <c r="O1452" s="407"/>
      <c r="P1452" s="407"/>
      <c r="Q1452" s="407"/>
      <c r="R1452" s="407"/>
      <c r="S1452" s="407"/>
      <c r="T1452" s="1357"/>
      <c r="U1452" s="407"/>
      <c r="V1452" s="407"/>
      <c r="W1452" s="1357"/>
      <c r="X1452" s="1357"/>
      <c r="Y1452" s="1357"/>
      <c r="Z1452" s="407"/>
      <c r="AA1452" s="407"/>
      <c r="AB1452" s="407"/>
      <c r="AC1452" s="407"/>
      <c r="AD1452" s="407"/>
      <c r="AE1452" s="407"/>
      <c r="AF1452" s="407"/>
      <c r="AG1452" s="407"/>
      <c r="AH1452" s="407"/>
      <c r="AI1452" s="407"/>
      <c r="AJ1452" s="407"/>
      <c r="AK1452" s="407"/>
      <c r="AL1452" s="407"/>
      <c r="AM1452" s="407"/>
      <c r="AN1452" s="407"/>
      <c r="AO1452" s="407"/>
      <c r="AP1452" s="407"/>
      <c r="AQ1452" s="407"/>
      <c r="AR1452" s="1236"/>
      <c r="AS1452" s="407"/>
      <c r="AT1452" s="407"/>
      <c r="AU1452" s="1301"/>
      <c r="AV1452" s="1301"/>
      <c r="AW1452" s="1301"/>
      <c r="AX1452" s="1301"/>
      <c r="AY1452" s="1301"/>
      <c r="AZ1452" s="1301"/>
      <c r="BA1452" s="1301"/>
      <c r="BB1452" s="407"/>
      <c r="BC1452" s="407"/>
      <c r="BD1452" s="407"/>
      <c r="BE1452" s="407"/>
    </row>
    <row r="1453" spans="1:57" x14ac:dyDescent="0.2">
      <c r="A1453" s="70"/>
      <c r="B1453" s="1217"/>
      <c r="D1453" s="407"/>
      <c r="E1453" s="407"/>
      <c r="F1453" s="407"/>
      <c r="G1453" s="407"/>
      <c r="H1453" s="407"/>
      <c r="I1453" s="407"/>
      <c r="J1453" s="407"/>
      <c r="K1453" s="407"/>
      <c r="L1453" s="407"/>
      <c r="M1453" s="407"/>
      <c r="N1453" s="407"/>
      <c r="O1453" s="407"/>
      <c r="P1453" s="407"/>
      <c r="Q1453" s="407"/>
      <c r="R1453" s="407"/>
      <c r="S1453" s="407"/>
      <c r="T1453" s="407"/>
      <c r="U1453" s="407"/>
      <c r="V1453" s="407"/>
      <c r="W1453" s="407"/>
      <c r="X1453" s="407"/>
      <c r="Y1453" s="407"/>
      <c r="Z1453" s="407"/>
      <c r="AA1453" s="407"/>
      <c r="AB1453" s="407"/>
      <c r="AC1453" s="407"/>
      <c r="AD1453" s="407"/>
      <c r="AE1453" s="407"/>
      <c r="AF1453" s="407"/>
      <c r="AG1453" s="407"/>
      <c r="AH1453" s="407"/>
      <c r="AI1453" s="407"/>
      <c r="AJ1453" s="407"/>
      <c r="AK1453" s="407"/>
      <c r="AL1453" s="407"/>
      <c r="AM1453" s="407"/>
      <c r="AN1453" s="407"/>
      <c r="AO1453" s="407"/>
      <c r="AP1453" s="407"/>
      <c r="AQ1453" s="407"/>
      <c r="AR1453" s="1236"/>
      <c r="AS1453" s="407"/>
      <c r="AT1453" s="407"/>
      <c r="AU1453" s="407"/>
      <c r="AV1453" s="407"/>
      <c r="AW1453" s="407"/>
      <c r="AX1453" s="407"/>
      <c r="AY1453" s="407"/>
      <c r="AZ1453" s="407"/>
      <c r="BA1453" s="407"/>
      <c r="BB1453" s="407"/>
      <c r="BC1453" s="407"/>
      <c r="BD1453" s="407"/>
      <c r="BE1453" s="407"/>
    </row>
    <row r="1454" spans="1:57" hidden="1" outlineLevel="1" x14ac:dyDescent="0.2">
      <c r="A1454" s="70"/>
      <c r="B1454" s="110"/>
      <c r="D1454" s="1329"/>
      <c r="E1454" s="1329"/>
      <c r="F1454" s="1329"/>
      <c r="G1454" s="1329"/>
      <c r="H1454" s="407"/>
      <c r="I1454" s="1329"/>
      <c r="J1454" s="1329"/>
      <c r="K1454" s="1329"/>
      <c r="L1454" s="1329"/>
      <c r="M1454" s="1329"/>
      <c r="N1454" s="1329"/>
      <c r="O1454" s="1329"/>
      <c r="P1454" s="1329"/>
      <c r="Q1454" s="1329"/>
      <c r="R1454" s="1329"/>
      <c r="S1454" s="1329"/>
      <c r="T1454" s="407"/>
      <c r="U1454" s="407"/>
      <c r="V1454" s="407"/>
      <c r="W1454" s="407"/>
      <c r="X1454" s="407"/>
      <c r="Y1454" s="407"/>
      <c r="Z1454" s="407"/>
      <c r="AA1454" s="407"/>
      <c r="AB1454" s="407"/>
      <c r="AC1454" s="407"/>
      <c r="AD1454" s="407"/>
      <c r="AE1454" s="407"/>
      <c r="AF1454" s="407"/>
      <c r="AG1454" s="407"/>
      <c r="AH1454" s="407"/>
      <c r="AI1454" s="407"/>
      <c r="AJ1454" s="407"/>
      <c r="AK1454" s="407"/>
      <c r="AL1454" s="407"/>
      <c r="AM1454" s="407"/>
      <c r="AN1454" s="407"/>
      <c r="AO1454" s="407"/>
      <c r="AP1454" s="407"/>
      <c r="AQ1454" s="407"/>
      <c r="AR1454" s="1236"/>
      <c r="AS1454" s="407"/>
      <c r="AT1454" s="407"/>
      <c r="AU1454" s="1236"/>
      <c r="AV1454" s="1236"/>
      <c r="AW1454" s="1236"/>
      <c r="AX1454" s="1236"/>
      <c r="AY1454" s="1236"/>
      <c r="AZ1454" s="1236"/>
      <c r="BA1454" s="1236"/>
      <c r="BB1454" s="1236"/>
      <c r="BC1454" s="1236"/>
      <c r="BD1454" s="1236"/>
      <c r="BE1454" s="1236"/>
    </row>
    <row r="1455" spans="1:57" hidden="1" outlineLevel="1" x14ac:dyDescent="0.2">
      <c r="A1455" s="70"/>
      <c r="B1455" s="35"/>
      <c r="D1455" s="407"/>
      <c r="E1455" s="407"/>
      <c r="F1455" s="407"/>
      <c r="G1455" s="407"/>
      <c r="H1455" s="407"/>
      <c r="I1455" s="407"/>
      <c r="J1455" s="407"/>
      <c r="K1455" s="407"/>
      <c r="L1455" s="407"/>
      <c r="M1455" s="407"/>
      <c r="N1455" s="407"/>
      <c r="O1455" s="407"/>
      <c r="P1455" s="407"/>
      <c r="Q1455" s="407"/>
      <c r="R1455" s="407"/>
      <c r="S1455" s="407"/>
      <c r="T1455" s="407"/>
      <c r="U1455" s="407"/>
      <c r="V1455" s="407"/>
      <c r="W1455" s="407"/>
      <c r="X1455" s="407"/>
      <c r="Y1455" s="407"/>
      <c r="Z1455" s="407"/>
      <c r="AA1455" s="407"/>
      <c r="AB1455" s="407"/>
      <c r="AC1455" s="407"/>
      <c r="AD1455" s="407"/>
      <c r="AE1455" s="407"/>
      <c r="AF1455" s="407"/>
      <c r="AG1455" s="407"/>
      <c r="AH1455" s="407"/>
      <c r="AI1455" s="407"/>
      <c r="AJ1455" s="407"/>
      <c r="AK1455" s="407"/>
      <c r="AL1455" s="407"/>
      <c r="AM1455" s="407"/>
      <c r="AN1455" s="407"/>
      <c r="AO1455" s="407"/>
      <c r="AP1455" s="407"/>
      <c r="AQ1455" s="407"/>
      <c r="AR1455" s="1236"/>
      <c r="AS1455" s="407"/>
      <c r="AT1455" s="407"/>
      <c r="AU1455" s="1236"/>
      <c r="AV1455" s="1236"/>
      <c r="AW1455" s="1236"/>
      <c r="AX1455" s="1236"/>
      <c r="AY1455" s="1236"/>
      <c r="AZ1455" s="1236"/>
      <c r="BA1455" s="1236"/>
      <c r="BB1455" s="1236"/>
      <c r="BC1455" s="1236"/>
      <c r="BD1455" s="1236"/>
      <c r="BE1455" s="1236"/>
    </row>
    <row r="1456" spans="1:57" hidden="1" outlineLevel="1" x14ac:dyDescent="0.2">
      <c r="A1456" s="70"/>
      <c r="B1456" s="35"/>
      <c r="D1456" s="1242"/>
      <c r="E1456" s="1242"/>
      <c r="F1456" s="1242"/>
      <c r="G1456" s="1242"/>
      <c r="H1456" s="1242"/>
      <c r="I1456" s="1242"/>
      <c r="J1456" s="1242"/>
      <c r="K1456" s="1242"/>
      <c r="L1456" s="1242"/>
      <c r="M1456" s="1242"/>
      <c r="N1456" s="1242"/>
      <c r="O1456" s="1242"/>
      <c r="P1456" s="1242"/>
      <c r="Q1456" s="1242"/>
      <c r="R1456" s="1242"/>
      <c r="S1456" s="1242"/>
      <c r="T1456" s="1242"/>
      <c r="U1456" s="1242"/>
      <c r="V1456" s="1242"/>
      <c r="W1456" s="1242"/>
      <c r="X1456" s="1242"/>
      <c r="Y1456" s="1242"/>
      <c r="Z1456" s="1242"/>
      <c r="AA1456" s="1242"/>
      <c r="AB1456" s="1242"/>
      <c r="AC1456" s="1242"/>
      <c r="AD1456" s="1242"/>
      <c r="AE1456" s="1242"/>
      <c r="AF1456" s="1242"/>
      <c r="AG1456" s="1242"/>
      <c r="AH1456" s="1242"/>
      <c r="AI1456" s="1242"/>
      <c r="AJ1456" s="1242"/>
      <c r="AK1456" s="1242"/>
      <c r="AL1456" s="1242"/>
      <c r="AM1456" s="1242"/>
      <c r="AN1456" s="1242"/>
      <c r="AO1456" s="1242"/>
      <c r="AP1456" s="1242"/>
      <c r="AQ1456" s="1242"/>
      <c r="AR1456" s="1236"/>
      <c r="AS1456" s="407"/>
      <c r="AT1456" s="407"/>
      <c r="AU1456" s="1236"/>
      <c r="AV1456" s="1236"/>
      <c r="AW1456" s="1236"/>
      <c r="AX1456" s="1236"/>
      <c r="AY1456" s="1236"/>
      <c r="AZ1456" s="1236"/>
      <c r="BA1456" s="1236"/>
      <c r="BB1456" s="1236"/>
      <c r="BC1456" s="1236"/>
      <c r="BD1456" s="1236"/>
      <c r="BE1456" s="1236"/>
    </row>
    <row r="1457" spans="1:68" hidden="1" outlineLevel="1" x14ac:dyDescent="0.2">
      <c r="B1457" s="35"/>
      <c r="D1457" s="407"/>
      <c r="E1457" s="407"/>
      <c r="F1457" s="407"/>
      <c r="G1457" s="407"/>
      <c r="H1457" s="407"/>
      <c r="I1457" s="407"/>
      <c r="J1457" s="407"/>
      <c r="K1457" s="407"/>
      <c r="L1457" s="407"/>
      <c r="M1457" s="407"/>
      <c r="N1457" s="407"/>
      <c r="O1457" s="407"/>
      <c r="P1457" s="407"/>
      <c r="Q1457" s="407"/>
      <c r="R1457" s="407"/>
      <c r="S1457" s="407"/>
      <c r="T1457" s="407"/>
      <c r="U1457" s="407"/>
      <c r="V1457" s="407"/>
      <c r="W1457" s="407"/>
      <c r="X1457" s="407"/>
      <c r="Y1457" s="407"/>
      <c r="Z1457" s="407"/>
      <c r="AA1457" s="407"/>
      <c r="AB1457" s="407"/>
      <c r="AC1457" s="407"/>
      <c r="AD1457" s="407"/>
      <c r="AE1457" s="407"/>
      <c r="AF1457" s="407"/>
      <c r="AG1457" s="407"/>
      <c r="AH1457" s="407"/>
      <c r="AI1457" s="407"/>
      <c r="AJ1457" s="407"/>
      <c r="AK1457" s="407"/>
      <c r="AL1457" s="407"/>
      <c r="AM1457" s="407"/>
      <c r="AN1457" s="407"/>
      <c r="AO1457" s="407"/>
      <c r="AP1457" s="407"/>
      <c r="AQ1457" s="407"/>
      <c r="AR1457" s="1236"/>
      <c r="AS1457" s="407"/>
      <c r="AT1457" s="407"/>
      <c r="AU1457" s="1236"/>
      <c r="AV1457" s="1236"/>
      <c r="AW1457" s="1236"/>
      <c r="AX1457" s="1236"/>
      <c r="AY1457" s="1236"/>
      <c r="AZ1457" s="1236"/>
      <c r="BA1457" s="1236"/>
      <c r="BB1457" s="1236"/>
      <c r="BC1457" s="1236"/>
      <c r="BD1457" s="1236"/>
      <c r="BE1457" s="1236"/>
    </row>
    <row r="1458" spans="1:68" hidden="1" outlineLevel="1" x14ac:dyDescent="0.2">
      <c r="B1458" s="35"/>
      <c r="C1458" s="70"/>
      <c r="D1458" s="1242"/>
      <c r="E1458" s="1242"/>
      <c r="F1458" s="1242"/>
      <c r="G1458" s="1242"/>
      <c r="H1458" s="1242"/>
      <c r="I1458" s="1242"/>
      <c r="J1458" s="1242"/>
      <c r="K1458" s="1242"/>
      <c r="L1458" s="1242"/>
      <c r="M1458" s="1242"/>
      <c r="N1458" s="1242"/>
      <c r="O1458" s="1242"/>
      <c r="P1458" s="1242"/>
      <c r="Q1458" s="1242"/>
      <c r="R1458" s="1242"/>
      <c r="S1458" s="1242"/>
      <c r="T1458" s="1242"/>
      <c r="U1458" s="1242"/>
      <c r="V1458" s="1242"/>
      <c r="W1458" s="1242"/>
      <c r="X1458" s="1242"/>
      <c r="Y1458" s="1242"/>
      <c r="Z1458" s="1242"/>
      <c r="AA1458" s="1242"/>
      <c r="AB1458" s="1242"/>
      <c r="AC1458" s="1242"/>
      <c r="AD1458" s="1242"/>
      <c r="AE1458" s="1242"/>
      <c r="AF1458" s="1242"/>
      <c r="AG1458" s="1242"/>
      <c r="AH1458" s="1242"/>
      <c r="AI1458" s="1242"/>
      <c r="AJ1458" s="1242"/>
      <c r="AK1458" s="1242"/>
      <c r="AL1458" s="1242"/>
      <c r="AM1458" s="1242"/>
      <c r="AN1458" s="1242"/>
      <c r="AO1458" s="1242"/>
      <c r="AP1458" s="1242"/>
      <c r="AQ1458" s="1242"/>
      <c r="AR1458" s="1236"/>
      <c r="AS1458" s="407"/>
      <c r="AT1458" s="407"/>
      <c r="AU1458" s="1236"/>
      <c r="AV1458" s="1236"/>
      <c r="AW1458" s="1236"/>
      <c r="AX1458" s="1236"/>
      <c r="AY1458" s="1236"/>
      <c r="AZ1458" s="1236"/>
      <c r="BA1458" s="1236"/>
      <c r="BB1458" s="1236"/>
      <c r="BC1458" s="1236"/>
      <c r="BD1458" s="1236"/>
      <c r="BE1458" s="1236"/>
    </row>
    <row r="1459" spans="1:68" hidden="1" outlineLevel="1" x14ac:dyDescent="0.2">
      <c r="B1459" s="35"/>
      <c r="D1459" s="1329"/>
      <c r="E1459" s="1329"/>
      <c r="F1459" s="1329"/>
      <c r="G1459" s="1329"/>
      <c r="H1459" s="407"/>
      <c r="I1459" s="1329"/>
      <c r="J1459" s="1329"/>
      <c r="K1459" s="1329"/>
      <c r="L1459" s="1329"/>
      <c r="M1459" s="1329"/>
      <c r="N1459" s="1329"/>
      <c r="O1459" s="1329"/>
      <c r="P1459" s="1329"/>
      <c r="Q1459" s="1329"/>
      <c r="R1459" s="1329"/>
      <c r="S1459" s="1329"/>
      <c r="T1459" s="407"/>
      <c r="U1459" s="407"/>
      <c r="V1459" s="407"/>
      <c r="W1459" s="407"/>
      <c r="X1459" s="407"/>
      <c r="Y1459" s="407"/>
      <c r="Z1459" s="407"/>
      <c r="AA1459" s="407"/>
      <c r="AB1459" s="407"/>
      <c r="AC1459" s="407"/>
      <c r="AD1459" s="407"/>
      <c r="AE1459" s="407"/>
      <c r="AF1459" s="407"/>
      <c r="AG1459" s="407"/>
      <c r="AH1459" s="407"/>
      <c r="AI1459" s="407"/>
      <c r="AJ1459" s="407"/>
      <c r="AK1459" s="407"/>
      <c r="AL1459" s="407"/>
      <c r="AM1459" s="407"/>
      <c r="AN1459" s="407"/>
      <c r="AO1459" s="407"/>
      <c r="AP1459" s="407"/>
      <c r="AQ1459" s="407"/>
      <c r="AR1459" s="1236"/>
      <c r="AS1459" s="407"/>
      <c r="AT1459" s="407"/>
      <c r="AU1459" s="1236"/>
      <c r="AV1459" s="1236"/>
      <c r="AW1459" s="1236"/>
      <c r="AX1459" s="1236"/>
      <c r="AY1459" s="1236"/>
      <c r="AZ1459" s="1236"/>
      <c r="BA1459" s="1236"/>
      <c r="BB1459" s="1236"/>
      <c r="BC1459" s="1236"/>
      <c r="BD1459" s="1236"/>
      <c r="BE1459" s="1236"/>
    </row>
    <row r="1460" spans="1:68" collapsed="1" x14ac:dyDescent="0.2">
      <c r="B1460" s="35"/>
      <c r="D1460" s="1329"/>
      <c r="E1460" s="1329"/>
      <c r="F1460" s="1329"/>
      <c r="G1460" s="1329"/>
      <c r="H1460" s="407"/>
      <c r="I1460" s="1329"/>
      <c r="J1460" s="1329"/>
      <c r="K1460" s="1329"/>
      <c r="L1460" s="1329"/>
      <c r="M1460" s="1329"/>
      <c r="N1460" s="1329"/>
      <c r="O1460" s="1329"/>
      <c r="P1460" s="1329"/>
      <c r="Q1460" s="1329"/>
      <c r="R1460" s="1329"/>
      <c r="S1460" s="1329"/>
      <c r="T1460" s="407"/>
      <c r="U1460" s="407"/>
      <c r="V1460" s="407"/>
      <c r="W1460" s="407"/>
      <c r="X1460" s="407"/>
      <c r="Y1460" s="407"/>
      <c r="Z1460" s="407"/>
      <c r="AA1460" s="407"/>
      <c r="AB1460" s="407"/>
      <c r="AC1460" s="407"/>
      <c r="AD1460" s="407"/>
      <c r="AE1460" s="407"/>
      <c r="AF1460" s="407"/>
      <c r="AG1460" s="407"/>
      <c r="AH1460" s="407"/>
      <c r="AI1460" s="407"/>
      <c r="AJ1460" s="407"/>
      <c r="AK1460" s="407"/>
      <c r="AL1460" s="407"/>
      <c r="AM1460" s="407"/>
      <c r="AN1460" s="407"/>
      <c r="AO1460" s="407"/>
      <c r="AP1460" s="407"/>
      <c r="AQ1460" s="407"/>
      <c r="AR1460" s="1236"/>
      <c r="AS1460" s="407"/>
      <c r="AT1460" s="407"/>
      <c r="AU1460" s="1236"/>
      <c r="AV1460" s="1236"/>
      <c r="AW1460" s="1236"/>
      <c r="AX1460" s="1236"/>
      <c r="AY1460" s="1236"/>
      <c r="AZ1460" s="1236"/>
      <c r="BA1460" s="1236"/>
      <c r="BB1460" s="1236"/>
      <c r="BC1460" s="1236"/>
      <c r="BD1460" s="1236"/>
      <c r="BE1460" s="1236"/>
    </row>
    <row r="1461" spans="1:68" x14ac:dyDescent="0.2">
      <c r="B1461" s="13"/>
      <c r="C1461" s="13"/>
      <c r="D1461" s="1369"/>
      <c r="E1461" s="1369"/>
      <c r="F1461" s="1369"/>
      <c r="G1461" s="1369"/>
      <c r="H1461" s="1369"/>
      <c r="I1461" s="1369"/>
      <c r="J1461" s="1369"/>
      <c r="K1461" s="1369"/>
      <c r="L1461" s="1369"/>
      <c r="M1461" s="1369"/>
      <c r="N1461" s="1369"/>
      <c r="O1461" s="1369"/>
      <c r="P1461" s="1369"/>
      <c r="Q1461" s="1369"/>
      <c r="R1461" s="1369"/>
      <c r="S1461" s="1369"/>
      <c r="T1461" s="1369"/>
      <c r="U1461" s="1369"/>
      <c r="V1461" s="1369"/>
      <c r="W1461" s="1369"/>
      <c r="X1461" s="1369"/>
      <c r="Y1461" s="1369"/>
      <c r="Z1461" s="1369"/>
      <c r="AA1461" s="1369"/>
      <c r="AB1461" s="1369"/>
      <c r="AC1461" s="1369"/>
      <c r="AD1461" s="1369"/>
      <c r="AE1461" s="1369"/>
      <c r="AF1461" s="1369"/>
      <c r="AG1461" s="1369"/>
      <c r="AH1461" s="1369"/>
      <c r="AI1461" s="1369"/>
      <c r="AJ1461" s="1369"/>
      <c r="AK1461" s="1369"/>
      <c r="AL1461" s="1369"/>
      <c r="AM1461" s="1369"/>
      <c r="AN1461" s="1369"/>
      <c r="AO1461" s="1369"/>
      <c r="AP1461" s="1369"/>
      <c r="AQ1461" s="1369"/>
      <c r="AR1461" s="1236"/>
      <c r="AS1461" s="1370"/>
      <c r="AT1461" s="1370"/>
      <c r="AU1461" s="1370"/>
      <c r="AV1461" s="1370"/>
      <c r="AW1461" s="1370"/>
      <c r="AX1461" s="1370"/>
      <c r="AY1461" s="1370"/>
      <c r="AZ1461" s="1370"/>
      <c r="BA1461" s="1370"/>
      <c r="BB1461" s="1370"/>
      <c r="BC1461" s="1370"/>
      <c r="BD1461" s="1370"/>
      <c r="BE1461" s="1370"/>
    </row>
    <row r="1462" spans="1:68" x14ac:dyDescent="0.2">
      <c r="B1462" s="16"/>
      <c r="C1462" s="16"/>
      <c r="D1462" s="1250"/>
      <c r="E1462" s="1250"/>
      <c r="F1462" s="1250"/>
      <c r="G1462" s="1250"/>
      <c r="H1462" s="1250"/>
      <c r="I1462" s="1250"/>
      <c r="J1462" s="1250"/>
      <c r="K1462" s="1250"/>
      <c r="L1462" s="1250"/>
      <c r="M1462" s="1250"/>
      <c r="N1462" s="1250"/>
      <c r="O1462" s="1250"/>
      <c r="P1462" s="1250"/>
      <c r="Q1462" s="1250"/>
      <c r="R1462" s="1250"/>
      <c r="S1462" s="1250"/>
      <c r="T1462" s="1250"/>
      <c r="U1462" s="1250"/>
      <c r="V1462" s="1250"/>
      <c r="W1462" s="1250"/>
      <c r="X1462" s="1250"/>
      <c r="Y1462" s="1250"/>
      <c r="Z1462" s="1250"/>
      <c r="AA1462" s="1250"/>
      <c r="AB1462" s="1250"/>
      <c r="AC1462" s="1250"/>
      <c r="AD1462" s="1250"/>
      <c r="AE1462" s="1250"/>
      <c r="AF1462" s="1250"/>
      <c r="AG1462" s="1250"/>
      <c r="AH1462" s="1250"/>
      <c r="AI1462" s="1250"/>
      <c r="AJ1462" s="1250"/>
      <c r="AK1462" s="1250"/>
      <c r="AL1462" s="1250"/>
      <c r="AM1462" s="1250"/>
      <c r="AN1462" s="1250"/>
      <c r="AO1462" s="1250"/>
      <c r="AP1462" s="1250"/>
      <c r="AQ1462" s="1250"/>
      <c r="AR1462" s="1236"/>
      <c r="AS1462" s="1371"/>
      <c r="AT1462" s="1371"/>
      <c r="AU1462" s="1236"/>
      <c r="AV1462" s="1236"/>
      <c r="AW1462" s="1236"/>
      <c r="AX1462" s="1236"/>
      <c r="AY1462" s="1236"/>
      <c r="AZ1462" s="1236"/>
      <c r="BA1462" s="1236"/>
      <c r="BB1462" s="1236"/>
      <c r="BC1462" s="1236"/>
      <c r="BD1462" s="1236"/>
      <c r="BE1462" s="1236"/>
    </row>
    <row r="1463" spans="1:68" s="369" customFormat="1" x14ac:dyDescent="0.2">
      <c r="A1463" s="411"/>
      <c r="B1463" s="334"/>
      <c r="D1463" s="1311"/>
      <c r="E1463" s="1311"/>
      <c r="F1463" s="1311"/>
      <c r="G1463" s="1311"/>
      <c r="H1463" s="1311"/>
      <c r="I1463" s="1267"/>
      <c r="J1463" s="1267"/>
      <c r="K1463" s="1267"/>
      <c r="L1463" s="1267"/>
      <c r="M1463" s="1267"/>
      <c r="N1463" s="1267"/>
      <c r="O1463" s="1267"/>
      <c r="P1463" s="1267"/>
      <c r="Q1463" s="1267"/>
      <c r="R1463" s="1267"/>
      <c r="S1463" s="1267"/>
      <c r="T1463" s="1267"/>
      <c r="U1463" s="1267"/>
      <c r="V1463" s="1267"/>
      <c r="W1463" s="1267"/>
      <c r="X1463" s="1267"/>
      <c r="Y1463" s="1267"/>
      <c r="Z1463" s="1267"/>
      <c r="AA1463" s="1267"/>
      <c r="AB1463" s="1267"/>
      <c r="AC1463" s="1267"/>
      <c r="AD1463" s="1267"/>
      <c r="AE1463" s="1267"/>
      <c r="AF1463" s="1267"/>
      <c r="AG1463" s="1267"/>
      <c r="AH1463" s="1267"/>
      <c r="AI1463" s="1267"/>
      <c r="AJ1463" s="1267"/>
      <c r="AK1463" s="1267"/>
      <c r="AL1463" s="1267"/>
      <c r="AM1463" s="1267"/>
      <c r="AN1463" s="1267"/>
      <c r="AO1463" s="1267"/>
      <c r="AP1463" s="1267"/>
      <c r="AQ1463" s="1267"/>
      <c r="AR1463" s="1236"/>
      <c r="AS1463" s="1410"/>
      <c r="AT1463" s="1263"/>
      <c r="AU1463" s="1263"/>
      <c r="AV1463" s="1263"/>
      <c r="AW1463" s="1263"/>
      <c r="AX1463" s="1263"/>
      <c r="AY1463" s="1263"/>
      <c r="AZ1463" s="1267"/>
      <c r="BA1463" s="1267"/>
      <c r="BB1463" s="1267"/>
      <c r="BC1463" s="1267"/>
      <c r="BD1463" s="1267"/>
      <c r="BE1463" s="1267"/>
    </row>
    <row r="1464" spans="1:68" s="379" customFormat="1" x14ac:dyDescent="0.2">
      <c r="A1464" s="832"/>
      <c r="B1464" s="334"/>
      <c r="D1464" s="1285"/>
      <c r="E1464" s="1401"/>
      <c r="F1464" s="1401"/>
      <c r="G1464" s="1401"/>
      <c r="H1464" s="1401"/>
      <c r="I1464" s="1408"/>
      <c r="J1464" s="1408"/>
      <c r="K1464" s="1408"/>
      <c r="L1464" s="1408"/>
      <c r="M1464" s="1408"/>
      <c r="N1464" s="1408"/>
      <c r="O1464" s="1408"/>
      <c r="P1464" s="1408"/>
      <c r="Q1464" s="1408"/>
      <c r="R1464" s="1408"/>
      <c r="S1464" s="1408"/>
      <c r="T1464" s="1408"/>
      <c r="U1464" s="1408"/>
      <c r="V1464" s="1408"/>
      <c r="W1464" s="1408"/>
      <c r="X1464" s="1408"/>
      <c r="Y1464" s="1408"/>
      <c r="Z1464" s="1289"/>
      <c r="AA1464" s="1289"/>
      <c r="AB1464" s="1289"/>
      <c r="AC1464" s="1289"/>
      <c r="AD1464" s="1289"/>
      <c r="AE1464" s="1289"/>
      <c r="AF1464" s="1289"/>
      <c r="AG1464" s="1289"/>
      <c r="AH1464" s="1289"/>
      <c r="AI1464" s="1289"/>
      <c r="AJ1464" s="1301"/>
      <c r="AK1464" s="1301"/>
      <c r="AL1464" s="1301"/>
      <c r="AM1464" s="1301"/>
      <c r="AN1464" s="1301"/>
      <c r="AO1464" s="1301"/>
      <c r="AP1464" s="1301"/>
      <c r="AQ1464" s="1301"/>
      <c r="AR1464" s="1236"/>
      <c r="AS1464" s="1410"/>
      <c r="AT1464" s="1267"/>
      <c r="AU1464" s="1289"/>
      <c r="AV1464" s="1289"/>
      <c r="AW1464" s="1289"/>
      <c r="AX1464" s="1289"/>
      <c r="AY1464" s="1289"/>
      <c r="AZ1464" s="1289"/>
      <c r="BA1464" s="1289"/>
      <c r="BB1464" s="1289"/>
      <c r="BC1464" s="1289"/>
      <c r="BD1464" s="1289"/>
      <c r="BE1464" s="1289"/>
    </row>
    <row r="1465" spans="1:68" s="369" customFormat="1" x14ac:dyDescent="0.2">
      <c r="A1465" s="830"/>
      <c r="D1465" s="1311"/>
      <c r="E1465" s="1311"/>
      <c r="F1465" s="1311"/>
      <c r="G1465" s="1311"/>
      <c r="H1465" s="1311"/>
      <c r="I1465" s="1267"/>
      <c r="J1465" s="1267"/>
      <c r="K1465" s="1267"/>
      <c r="L1465" s="1267"/>
      <c r="M1465" s="1267"/>
      <c r="N1465" s="1267"/>
      <c r="O1465" s="1267"/>
      <c r="P1465" s="1267"/>
      <c r="Q1465" s="1267"/>
      <c r="R1465" s="1267"/>
      <c r="S1465" s="1267"/>
      <c r="T1465" s="1267"/>
      <c r="U1465" s="1267"/>
      <c r="V1465" s="1267"/>
      <c r="W1465" s="1267"/>
      <c r="X1465" s="1267"/>
      <c r="Y1465" s="1267"/>
      <c r="Z1465" s="1267"/>
      <c r="AA1465" s="1267"/>
      <c r="AB1465" s="1267"/>
      <c r="AC1465" s="1267"/>
      <c r="AD1465" s="1267"/>
      <c r="AE1465" s="1267"/>
      <c r="AF1465" s="1267"/>
      <c r="AG1465" s="1267"/>
      <c r="AH1465" s="1267"/>
      <c r="AI1465" s="1267"/>
      <c r="AJ1465" s="1267"/>
      <c r="AK1465" s="1267"/>
      <c r="AL1465" s="1267"/>
      <c r="AM1465" s="1267"/>
      <c r="AN1465" s="1267"/>
      <c r="AO1465" s="1267"/>
      <c r="AP1465" s="1267"/>
      <c r="AQ1465" s="1267"/>
      <c r="AR1465" s="1236"/>
      <c r="AS1465" s="1263"/>
      <c r="AT1465" s="1263"/>
      <c r="AU1465" s="1263"/>
      <c r="AV1465" s="1263"/>
      <c r="AW1465" s="1263"/>
      <c r="AX1465" s="1263"/>
      <c r="AY1465" s="1263"/>
      <c r="AZ1465" s="1267"/>
      <c r="BA1465" s="1267"/>
      <c r="BB1465" s="1267"/>
      <c r="BC1465" s="1267"/>
      <c r="BD1465" s="1267"/>
      <c r="BE1465" s="1267"/>
    </row>
    <row r="1466" spans="1:68" s="369" customFormat="1" x14ac:dyDescent="0.2">
      <c r="A1466" s="411"/>
      <c r="D1466" s="1311"/>
      <c r="E1466" s="1311"/>
      <c r="F1466" s="1311"/>
      <c r="G1466" s="1311"/>
      <c r="H1466" s="1311"/>
      <c r="I1466" s="1267"/>
      <c r="J1466" s="1267"/>
      <c r="K1466" s="1267"/>
      <c r="L1466" s="1267"/>
      <c r="M1466" s="1267"/>
      <c r="N1466" s="1267"/>
      <c r="O1466" s="1267"/>
      <c r="P1466" s="1267"/>
      <c r="Q1466" s="1267"/>
      <c r="R1466" s="1267"/>
      <c r="S1466" s="1267"/>
      <c r="T1466" s="1267"/>
      <c r="U1466" s="1267"/>
      <c r="V1466" s="1267"/>
      <c r="W1466" s="1267"/>
      <c r="X1466" s="1267"/>
      <c r="Y1466" s="1267"/>
      <c r="Z1466" s="1263"/>
      <c r="AA1466" s="1262"/>
      <c r="AB1466" s="1263"/>
      <c r="AC1466" s="1262"/>
      <c r="AD1466" s="1262"/>
      <c r="AE1466" s="1262"/>
      <c r="AF1466" s="1262"/>
      <c r="AG1466" s="1262"/>
      <c r="AH1466" s="1262"/>
      <c r="AI1466" s="1262"/>
      <c r="AJ1466" s="1262"/>
      <c r="AK1466" s="1262"/>
      <c r="AL1466" s="1262"/>
      <c r="AM1466" s="1262"/>
      <c r="AN1466" s="1262"/>
      <c r="AO1466" s="1262"/>
      <c r="AP1466" s="1262"/>
      <c r="AQ1466" s="1262"/>
      <c r="AR1466" s="1236"/>
      <c r="AS1466" s="1263"/>
      <c r="AT1466" s="1263"/>
      <c r="AU1466" s="1262"/>
      <c r="AV1466" s="1311"/>
      <c r="AW1466" s="1263"/>
      <c r="AX1466" s="1263"/>
      <c r="AY1466" s="1308"/>
      <c r="AZ1466" s="1447"/>
      <c r="BA1466" s="1263"/>
      <c r="BB1466" s="1262"/>
      <c r="BC1466" s="1262"/>
      <c r="BD1466" s="1262"/>
      <c r="BE1466" s="1262"/>
    </row>
    <row r="1467" spans="1:68" s="369" customFormat="1" x14ac:dyDescent="0.2">
      <c r="A1467" s="830"/>
      <c r="D1467" s="1311"/>
      <c r="E1467" s="1311"/>
      <c r="F1467" s="1311"/>
      <c r="G1467" s="1311"/>
      <c r="H1467" s="1311"/>
      <c r="I1467" s="1240"/>
      <c r="J1467" s="1240"/>
      <c r="K1467" s="1240"/>
      <c r="L1467" s="1240"/>
      <c r="M1467" s="1240"/>
      <c r="N1467" s="1240"/>
      <c r="O1467" s="1240"/>
      <c r="P1467" s="1240"/>
      <c r="Q1467" s="1240"/>
      <c r="R1467" s="1240"/>
      <c r="S1467" s="1240"/>
      <c r="T1467" s="1240"/>
      <c r="U1467" s="1240"/>
      <c r="V1467" s="1240"/>
      <c r="W1467" s="1240"/>
      <c r="X1467" s="1240"/>
      <c r="Y1467" s="1240"/>
      <c r="Z1467" s="1267"/>
      <c r="AA1467" s="1267"/>
      <c r="AB1467" s="1267"/>
      <c r="AC1467" s="1267"/>
      <c r="AD1467" s="1267"/>
      <c r="AE1467" s="1267"/>
      <c r="AF1467" s="1267"/>
      <c r="AG1467" s="1267"/>
      <c r="AH1467" s="1267"/>
      <c r="AI1467" s="1267"/>
      <c r="AJ1467" s="1267"/>
      <c r="AK1467" s="1267"/>
      <c r="AL1467" s="1267"/>
      <c r="AM1467" s="1267"/>
      <c r="AN1467" s="1267"/>
      <c r="AO1467" s="1267"/>
      <c r="AP1467" s="1267"/>
      <c r="AQ1467" s="1267"/>
      <c r="AR1467" s="1236"/>
      <c r="AS1467" s="1263"/>
      <c r="AT1467" s="1263"/>
      <c r="AU1467" s="1263"/>
      <c r="AV1467" s="1263"/>
      <c r="AW1467" s="1263"/>
      <c r="AX1467" s="1263"/>
      <c r="AY1467" s="1263"/>
      <c r="AZ1467" s="1267"/>
      <c r="BA1467" s="1267"/>
      <c r="BB1467" s="1267"/>
      <c r="BC1467" s="1267"/>
      <c r="BD1467" s="1267"/>
      <c r="BE1467" s="1267"/>
    </row>
    <row r="1468" spans="1:68" s="382" customFormat="1" x14ac:dyDescent="0.2">
      <c r="A1468" s="839"/>
      <c r="B1468" s="345"/>
      <c r="C1468" s="345"/>
      <c r="D1468" s="1358"/>
      <c r="E1468" s="1358"/>
      <c r="F1468" s="1358"/>
      <c r="G1468" s="1359"/>
      <c r="H1468" s="1359"/>
      <c r="I1468" s="1358"/>
      <c r="J1468" s="1358"/>
      <c r="K1468" s="1358"/>
      <c r="L1468" s="1358"/>
      <c r="M1468" s="1358"/>
      <c r="N1468" s="1358"/>
      <c r="O1468" s="1358"/>
      <c r="P1468" s="1358"/>
      <c r="Q1468" s="1358"/>
      <c r="R1468" s="1358"/>
      <c r="S1468" s="1358"/>
      <c r="T1468" s="1358"/>
      <c r="U1468" s="1358"/>
      <c r="V1468" s="1358"/>
      <c r="W1468" s="1358"/>
      <c r="X1468" s="1358"/>
      <c r="Y1468" s="1358"/>
      <c r="Z1468" s="1358"/>
      <c r="AA1468" s="1358"/>
      <c r="AB1468" s="1358"/>
      <c r="AC1468" s="1358"/>
      <c r="AD1468" s="1358"/>
      <c r="AE1468" s="1358"/>
      <c r="AF1468" s="1358"/>
      <c r="AG1468" s="1358"/>
      <c r="AH1468" s="1358"/>
      <c r="AI1468" s="1358"/>
      <c r="AJ1468" s="1358"/>
      <c r="AK1468" s="1358"/>
      <c r="AL1468" s="1358"/>
      <c r="AM1468" s="1358"/>
      <c r="AN1468" s="1358"/>
      <c r="AO1468" s="1358"/>
      <c r="AP1468" s="1358"/>
      <c r="AQ1468" s="1358"/>
      <c r="AR1468" s="1236"/>
      <c r="AS1468" s="1409"/>
      <c r="AT1468" s="1409"/>
      <c r="AU1468" s="1263"/>
      <c r="AV1468" s="1358"/>
      <c r="AW1468" s="1358"/>
      <c r="AX1468" s="1358"/>
      <c r="AY1468" s="1358"/>
      <c r="AZ1468" s="1358"/>
      <c r="BA1468" s="1358"/>
      <c r="BB1468" s="1358"/>
      <c r="BC1468" s="1358"/>
      <c r="BD1468" s="1358"/>
      <c r="BE1468" s="1358"/>
      <c r="BM1468" s="15"/>
      <c r="BN1468" s="15"/>
      <c r="BO1468" s="15"/>
      <c r="BP1468" s="15"/>
    </row>
    <row r="1469" spans="1:68" s="382" customFormat="1" x14ac:dyDescent="0.2">
      <c r="A1469" s="837"/>
      <c r="B1469" s="345"/>
      <c r="C1469" s="674"/>
      <c r="D1469" s="1308"/>
      <c r="E1469" s="1262"/>
      <c r="F1469" s="1262"/>
      <c r="G1469" s="1262"/>
      <c r="H1469" s="1262"/>
      <c r="I1469" s="1308"/>
      <c r="J1469" s="1262"/>
      <c r="K1469" s="1262"/>
      <c r="L1469" s="1262"/>
      <c r="M1469" s="1262"/>
      <c r="N1469" s="1262"/>
      <c r="O1469" s="1262"/>
      <c r="P1469" s="1262"/>
      <c r="Q1469" s="1262"/>
      <c r="R1469" s="1262"/>
      <c r="S1469" s="1262"/>
      <c r="T1469" s="1262"/>
      <c r="U1469" s="1262"/>
      <c r="V1469" s="1262"/>
      <c r="W1469" s="1262"/>
      <c r="X1469" s="1262"/>
      <c r="Y1469" s="1262"/>
      <c r="Z1469" s="1263"/>
      <c r="AA1469" s="1262"/>
      <c r="AB1469" s="1263"/>
      <c r="AC1469" s="1262"/>
      <c r="AD1469" s="1277"/>
      <c r="AE1469" s="1277"/>
      <c r="AF1469" s="1277"/>
      <c r="AG1469" s="1277"/>
      <c r="AH1469" s="1277"/>
      <c r="AI1469" s="1262"/>
      <c r="AJ1469" s="1262"/>
      <c r="AK1469" s="1262"/>
      <c r="AL1469" s="1262"/>
      <c r="AM1469" s="1262"/>
      <c r="AN1469" s="1262"/>
      <c r="AO1469" s="1262"/>
      <c r="AP1469" s="1262"/>
      <c r="AQ1469" s="1262"/>
      <c r="AR1469" s="1236"/>
      <c r="AS1469" s="1409"/>
      <c r="AT1469" s="1336"/>
      <c r="AU1469" s="1277"/>
      <c r="AV1469" s="1262"/>
      <c r="AW1469" s="1263"/>
      <c r="AX1469" s="1263"/>
      <c r="AY1469" s="1308"/>
      <c r="AZ1469" s="1447"/>
      <c r="BA1469" s="1308"/>
      <c r="BB1469" s="1262"/>
      <c r="BC1469" s="1262"/>
      <c r="BD1469" s="1262"/>
      <c r="BE1469" s="1262"/>
    </row>
    <row r="1470" spans="1:68" x14ac:dyDescent="0.2">
      <c r="B1470" s="342"/>
      <c r="D1470" s="407"/>
      <c r="E1470" s="407"/>
      <c r="F1470" s="407"/>
      <c r="G1470" s="407"/>
      <c r="H1470" s="407"/>
      <c r="I1470" s="1242"/>
      <c r="J1470" s="1242"/>
      <c r="K1470" s="1242"/>
      <c r="L1470" s="1242"/>
      <c r="M1470" s="1242"/>
      <c r="N1470" s="1242"/>
      <c r="O1470" s="1242"/>
      <c r="P1470" s="1242"/>
      <c r="Q1470" s="1242"/>
      <c r="R1470" s="1242"/>
      <c r="S1470" s="1242"/>
      <c r="T1470" s="1242"/>
      <c r="U1470" s="1242"/>
      <c r="V1470" s="1242"/>
      <c r="W1470" s="1242"/>
      <c r="X1470" s="1242"/>
      <c r="Y1470" s="1242"/>
      <c r="Z1470" s="1242"/>
      <c r="AA1470" s="1242"/>
      <c r="AB1470" s="1242"/>
      <c r="AC1470" s="1242"/>
      <c r="AD1470" s="1242"/>
      <c r="AE1470" s="1242"/>
      <c r="AF1470" s="1242"/>
      <c r="AG1470" s="1242"/>
      <c r="AH1470" s="1242"/>
      <c r="AI1470" s="1242"/>
      <c r="AJ1470" s="1242"/>
      <c r="AK1470" s="1242"/>
      <c r="AL1470" s="1242"/>
      <c r="AM1470" s="1242"/>
      <c r="AN1470" s="1242"/>
      <c r="AO1470" s="1242"/>
      <c r="AP1470" s="1242"/>
      <c r="AQ1470" s="1242"/>
      <c r="AR1470" s="1236"/>
      <c r="AS1470" s="1263"/>
      <c r="AT1470" s="407"/>
      <c r="AU1470" s="1236"/>
      <c r="AV1470" s="1242"/>
      <c r="AW1470" s="1242"/>
      <c r="AX1470" s="1242"/>
      <c r="AY1470" s="1242"/>
      <c r="AZ1470" s="1242"/>
      <c r="BA1470" s="1242"/>
      <c r="BB1470" s="1242"/>
      <c r="BC1470" s="1242"/>
      <c r="BD1470" s="1242"/>
      <c r="BE1470" s="1242"/>
    </row>
    <row r="1471" spans="1:68" x14ac:dyDescent="0.2">
      <c r="B1471" s="342"/>
      <c r="D1471" s="407"/>
      <c r="E1471" s="407"/>
      <c r="F1471" s="407"/>
      <c r="G1471" s="407"/>
      <c r="H1471" s="407"/>
      <c r="I1471" s="1256"/>
      <c r="J1471" s="1256"/>
      <c r="K1471" s="1256"/>
      <c r="L1471" s="1256"/>
      <c r="M1471" s="1256"/>
      <c r="N1471" s="1256"/>
      <c r="O1471" s="1256"/>
      <c r="P1471" s="1256"/>
      <c r="Q1471" s="1256"/>
      <c r="R1471" s="1256"/>
      <c r="S1471" s="1256"/>
      <c r="T1471" s="1256"/>
      <c r="U1471" s="1256"/>
      <c r="V1471" s="1256"/>
      <c r="W1471" s="1256"/>
      <c r="X1471" s="1256"/>
      <c r="Y1471" s="1256"/>
      <c r="Z1471" s="1256"/>
      <c r="AA1471" s="1256"/>
      <c r="AB1471" s="1256"/>
      <c r="AC1471" s="1256"/>
      <c r="AD1471" s="1256"/>
      <c r="AE1471" s="1256"/>
      <c r="AF1471" s="1256"/>
      <c r="AG1471" s="1256"/>
      <c r="AH1471" s="1256"/>
      <c r="AI1471" s="1256"/>
      <c r="AJ1471" s="1256"/>
      <c r="AK1471" s="1256"/>
      <c r="AL1471" s="1256"/>
      <c r="AM1471" s="1256"/>
      <c r="AN1471" s="1256"/>
      <c r="AO1471" s="1256"/>
      <c r="AP1471" s="1256"/>
      <c r="AQ1471" s="1256"/>
      <c r="AR1471" s="1236"/>
      <c r="AS1471" s="1263"/>
      <c r="AT1471" s="407"/>
      <c r="AU1471" s="1236"/>
      <c r="AV1471" s="1256"/>
      <c r="AW1471" s="1256"/>
      <c r="AX1471" s="1256"/>
      <c r="AY1471" s="1256"/>
      <c r="AZ1471" s="1256"/>
      <c r="BA1471" s="1256"/>
      <c r="BB1471" s="1256"/>
      <c r="BC1471" s="1256"/>
      <c r="BD1471" s="1256"/>
      <c r="BE1471" s="1256"/>
    </row>
    <row r="1472" spans="1:68" x14ac:dyDescent="0.2">
      <c r="B1472" s="342"/>
      <c r="D1472" s="407"/>
      <c r="E1472" s="407"/>
      <c r="F1472" s="407"/>
      <c r="G1472" s="407"/>
      <c r="H1472" s="407"/>
      <c r="I1472" s="1256"/>
      <c r="J1472" s="1256"/>
      <c r="K1472" s="1256"/>
      <c r="L1472" s="1256"/>
      <c r="M1472" s="1256"/>
      <c r="N1472" s="1256"/>
      <c r="O1472" s="1256"/>
      <c r="P1472" s="1256"/>
      <c r="Q1472" s="1256"/>
      <c r="R1472" s="1256"/>
      <c r="S1472" s="1256"/>
      <c r="T1472" s="1256"/>
      <c r="U1472" s="1256"/>
      <c r="V1472" s="1256"/>
      <c r="W1472" s="1256"/>
      <c r="X1472" s="1256"/>
      <c r="Y1472" s="1256"/>
      <c r="Z1472" s="407"/>
      <c r="AA1472" s="407"/>
      <c r="AB1472" s="407"/>
      <c r="AC1472" s="407"/>
      <c r="AD1472" s="407"/>
      <c r="AE1472" s="407"/>
      <c r="AF1472" s="407"/>
      <c r="AG1472" s="407"/>
      <c r="AH1472" s="407"/>
      <c r="AI1472" s="407"/>
      <c r="AJ1472" s="407"/>
      <c r="AK1472" s="407"/>
      <c r="AL1472" s="407"/>
      <c r="AM1472" s="407"/>
      <c r="AN1472" s="407"/>
      <c r="AO1472" s="407"/>
      <c r="AP1472" s="407"/>
      <c r="AQ1472" s="407"/>
      <c r="AR1472" s="1236"/>
      <c r="AS1472" s="1263"/>
      <c r="AT1472" s="407"/>
      <c r="AU1472" s="1236"/>
      <c r="AV1472" s="1256"/>
      <c r="AW1472" s="1256"/>
      <c r="AX1472" s="1256"/>
      <c r="AY1472" s="1256"/>
      <c r="AZ1472" s="1256"/>
      <c r="BA1472" s="1256"/>
      <c r="BB1472" s="407"/>
      <c r="BC1472" s="407"/>
      <c r="BD1472" s="407"/>
      <c r="BE1472" s="407"/>
    </row>
    <row r="1473" spans="1:57" x14ac:dyDescent="0.2">
      <c r="B1473" s="342"/>
      <c r="D1473" s="407"/>
      <c r="E1473" s="407"/>
      <c r="F1473" s="407"/>
      <c r="G1473" s="407"/>
      <c r="H1473" s="407"/>
      <c r="I1473" s="1256"/>
      <c r="J1473" s="1256"/>
      <c r="K1473" s="1256"/>
      <c r="L1473" s="1256"/>
      <c r="M1473" s="1256"/>
      <c r="N1473" s="1256"/>
      <c r="O1473" s="1256"/>
      <c r="P1473" s="1256"/>
      <c r="Q1473" s="1256"/>
      <c r="R1473" s="1256"/>
      <c r="S1473" s="1256"/>
      <c r="T1473" s="1256"/>
      <c r="U1473" s="1256"/>
      <c r="V1473" s="1256"/>
      <c r="W1473" s="1256"/>
      <c r="X1473" s="1256"/>
      <c r="Y1473" s="1256"/>
      <c r="Z1473" s="1256"/>
      <c r="AA1473" s="1256"/>
      <c r="AB1473" s="1256"/>
      <c r="AC1473" s="1256"/>
      <c r="AD1473" s="1256"/>
      <c r="AE1473" s="1256"/>
      <c r="AF1473" s="1256"/>
      <c r="AG1473" s="1256"/>
      <c r="AH1473" s="1256"/>
      <c r="AI1473" s="1256"/>
      <c r="AJ1473" s="1256"/>
      <c r="AK1473" s="1256"/>
      <c r="AL1473" s="1256"/>
      <c r="AM1473" s="1256"/>
      <c r="AN1473" s="1256"/>
      <c r="AO1473" s="1256"/>
      <c r="AP1473" s="1256"/>
      <c r="AQ1473" s="1256"/>
      <c r="AR1473" s="1236"/>
      <c r="AS1473" s="1263"/>
      <c r="AT1473" s="407"/>
      <c r="AU1473" s="1236"/>
      <c r="AV1473" s="1256"/>
      <c r="AW1473" s="1256"/>
      <c r="AX1473" s="1256"/>
      <c r="AY1473" s="1256"/>
      <c r="AZ1473" s="1256"/>
      <c r="BA1473" s="1256"/>
      <c r="BB1473" s="1256"/>
      <c r="BC1473" s="1256"/>
      <c r="BD1473" s="1256"/>
      <c r="BE1473" s="1256"/>
    </row>
    <row r="1474" spans="1:57" x14ac:dyDescent="0.2">
      <c r="B1474" s="334"/>
      <c r="D1474" s="407"/>
      <c r="E1474" s="407"/>
      <c r="F1474" s="407"/>
      <c r="G1474" s="407"/>
      <c r="H1474" s="407"/>
      <c r="I1474" s="1242"/>
      <c r="J1474" s="1242"/>
      <c r="K1474" s="1242"/>
      <c r="L1474" s="1242"/>
      <c r="M1474" s="1242"/>
      <c r="N1474" s="1242"/>
      <c r="O1474" s="1242"/>
      <c r="P1474" s="1242"/>
      <c r="Q1474" s="1242"/>
      <c r="R1474" s="1242"/>
      <c r="S1474" s="1242"/>
      <c r="T1474" s="1242"/>
      <c r="U1474" s="1242"/>
      <c r="V1474" s="1242"/>
      <c r="W1474" s="1242"/>
      <c r="X1474" s="1242"/>
      <c r="Y1474" s="1242"/>
      <c r="Z1474" s="1242"/>
      <c r="AA1474" s="1242"/>
      <c r="AB1474" s="1242"/>
      <c r="AC1474" s="1242"/>
      <c r="AD1474" s="1242"/>
      <c r="AE1474" s="1242"/>
      <c r="AF1474" s="1242"/>
      <c r="AG1474" s="1242"/>
      <c r="AH1474" s="1242"/>
      <c r="AI1474" s="1242"/>
      <c r="AJ1474" s="1242"/>
      <c r="AK1474" s="1242"/>
      <c r="AL1474" s="1242"/>
      <c r="AM1474" s="1242"/>
      <c r="AN1474" s="1242"/>
      <c r="AO1474" s="1242"/>
      <c r="AP1474" s="1242"/>
      <c r="AQ1474" s="1242"/>
      <c r="AR1474" s="1236"/>
      <c r="AS1474" s="1410"/>
      <c r="AT1474" s="407"/>
      <c r="AU1474" s="1236"/>
      <c r="AV1474" s="1242"/>
      <c r="AW1474" s="1242"/>
      <c r="AX1474" s="1242"/>
      <c r="AY1474" s="1242"/>
      <c r="AZ1474" s="1242"/>
      <c r="BA1474" s="1242"/>
      <c r="BB1474" s="1242"/>
      <c r="BC1474" s="1242"/>
      <c r="BD1474" s="1242"/>
      <c r="BE1474" s="1242"/>
    </row>
    <row r="1475" spans="1:57" x14ac:dyDescent="0.2">
      <c r="B1475" s="334"/>
      <c r="C1475" s="15"/>
      <c r="D1475" s="1250"/>
      <c r="E1475" s="1250"/>
      <c r="F1475" s="1250"/>
      <c r="G1475" s="1250"/>
      <c r="H1475" s="1250"/>
      <c r="I1475" s="1287"/>
      <c r="J1475" s="1287"/>
      <c r="K1475" s="1287"/>
      <c r="L1475" s="1287"/>
      <c r="M1475" s="1287"/>
      <c r="N1475" s="1287"/>
      <c r="O1475" s="1243"/>
      <c r="P1475" s="1243"/>
      <c r="Q1475" s="1243"/>
      <c r="R1475" s="1243"/>
      <c r="S1475" s="1243"/>
      <c r="T1475" s="1243"/>
      <c r="U1475" s="1243"/>
      <c r="V1475" s="1243"/>
      <c r="W1475" s="1243"/>
      <c r="X1475" s="407"/>
      <c r="Y1475" s="407"/>
      <c r="Z1475" s="407"/>
      <c r="AA1475" s="407"/>
      <c r="AB1475" s="407"/>
      <c r="AC1475" s="407"/>
      <c r="AD1475" s="407"/>
      <c r="AE1475" s="407"/>
      <c r="AF1475" s="407"/>
      <c r="AG1475" s="407"/>
      <c r="AH1475" s="407"/>
      <c r="AI1475" s="407"/>
      <c r="AJ1475" s="407"/>
      <c r="AK1475" s="407"/>
      <c r="AL1475" s="407"/>
      <c r="AM1475" s="407"/>
      <c r="AN1475" s="407"/>
      <c r="AO1475" s="407"/>
      <c r="AP1475" s="407"/>
      <c r="AQ1475" s="407"/>
      <c r="AR1475" s="1236"/>
      <c r="AS1475" s="1263"/>
      <c r="AT1475" s="1250"/>
      <c r="AU1475" s="1236"/>
      <c r="AV1475" s="1243"/>
      <c r="AW1475" s="1243"/>
      <c r="AX1475" s="1243"/>
      <c r="AY1475" s="1243"/>
      <c r="AZ1475" s="1243"/>
      <c r="BA1475" s="1243"/>
      <c r="BB1475" s="407"/>
      <c r="BC1475" s="407"/>
      <c r="BD1475" s="407"/>
      <c r="BE1475" s="407"/>
    </row>
    <row r="1476" spans="1:57" x14ac:dyDescent="0.2">
      <c r="B1476" s="18"/>
      <c r="C1476" s="15"/>
      <c r="D1476" s="1250"/>
      <c r="E1476" s="1250"/>
      <c r="F1476" s="1250"/>
      <c r="G1476" s="1250"/>
      <c r="H1476" s="1250"/>
      <c r="I1476" s="1250"/>
      <c r="J1476" s="1250"/>
      <c r="K1476" s="1250"/>
      <c r="L1476" s="1250"/>
      <c r="M1476" s="1250"/>
      <c r="N1476" s="1250"/>
      <c r="O1476" s="1250"/>
      <c r="P1476" s="1250"/>
      <c r="Q1476" s="1250"/>
      <c r="R1476" s="1250"/>
      <c r="S1476" s="1250"/>
      <c r="T1476" s="1250"/>
      <c r="U1476" s="1250"/>
      <c r="V1476" s="1250"/>
      <c r="W1476" s="1250"/>
      <c r="X1476" s="1250"/>
      <c r="Y1476" s="1250"/>
      <c r="Z1476" s="1250"/>
      <c r="AA1476" s="1250"/>
      <c r="AB1476" s="1250"/>
      <c r="AC1476" s="1250"/>
      <c r="AD1476" s="1250"/>
      <c r="AE1476" s="1250"/>
      <c r="AF1476" s="1250"/>
      <c r="AG1476" s="1250"/>
      <c r="AH1476" s="1250"/>
      <c r="AI1476" s="1250"/>
      <c r="AJ1476" s="1250"/>
      <c r="AK1476" s="1250"/>
      <c r="AL1476" s="1250"/>
      <c r="AM1476" s="1250"/>
      <c r="AN1476" s="1250"/>
      <c r="AO1476" s="1250"/>
      <c r="AP1476" s="1250"/>
      <c r="AQ1476" s="1250"/>
      <c r="AR1476" s="1236"/>
      <c r="AS1476" s="1430"/>
      <c r="AT1476" s="1250"/>
      <c r="AU1476" s="1236"/>
      <c r="AV1476" s="1236"/>
      <c r="AW1476" s="1236"/>
      <c r="AX1476" s="1236"/>
      <c r="AY1476" s="1236"/>
      <c r="AZ1476" s="1236"/>
      <c r="BA1476" s="1236"/>
      <c r="BB1476" s="1250"/>
      <c r="BC1476" s="1250"/>
      <c r="BD1476" s="1250"/>
      <c r="BE1476" s="1250"/>
    </row>
    <row r="1477" spans="1:57" x14ac:dyDescent="0.2">
      <c r="B1477" s="13"/>
      <c r="C1477" s="13"/>
      <c r="D1477" s="1369"/>
      <c r="E1477" s="1369"/>
      <c r="F1477" s="1369"/>
      <c r="G1477" s="1369"/>
      <c r="H1477" s="1369"/>
      <c r="I1477" s="1369"/>
      <c r="J1477" s="1369"/>
      <c r="K1477" s="1369"/>
      <c r="L1477" s="1369"/>
      <c r="M1477" s="1369"/>
      <c r="N1477" s="1369"/>
      <c r="O1477" s="1369"/>
      <c r="P1477" s="1369"/>
      <c r="Q1477" s="1369"/>
      <c r="R1477" s="1369"/>
      <c r="S1477" s="1369"/>
      <c r="T1477" s="1369"/>
      <c r="U1477" s="1369"/>
      <c r="V1477" s="1369"/>
      <c r="W1477" s="1369"/>
      <c r="X1477" s="1369"/>
      <c r="Y1477" s="1369"/>
      <c r="Z1477" s="1369"/>
      <c r="AA1477" s="1369"/>
      <c r="AB1477" s="1369"/>
      <c r="AC1477" s="1369"/>
      <c r="AD1477" s="1369"/>
      <c r="AE1477" s="1369"/>
      <c r="AF1477" s="1369"/>
      <c r="AG1477" s="1369"/>
      <c r="AH1477" s="1369"/>
      <c r="AI1477" s="1369"/>
      <c r="AJ1477" s="1369"/>
      <c r="AK1477" s="1369"/>
      <c r="AL1477" s="1369"/>
      <c r="AM1477" s="1369"/>
      <c r="AN1477" s="1369"/>
      <c r="AO1477" s="1369"/>
      <c r="AP1477" s="1369"/>
      <c r="AQ1477" s="1369"/>
      <c r="AR1477" s="1236"/>
      <c r="AS1477" s="1370"/>
      <c r="AT1477" s="1370"/>
      <c r="AU1477" s="1370"/>
      <c r="AV1477" s="1370"/>
      <c r="AW1477" s="1370"/>
      <c r="AX1477" s="1370"/>
      <c r="AY1477" s="1370"/>
      <c r="AZ1477" s="1370"/>
      <c r="BA1477" s="1370"/>
      <c r="BB1477" s="1369"/>
      <c r="BC1477" s="1369"/>
      <c r="BD1477" s="1369"/>
      <c r="BE1477" s="1369"/>
    </row>
    <row r="1478" spans="1:57" x14ac:dyDescent="0.2">
      <c r="B1478" s="16"/>
      <c r="C1478" s="16"/>
      <c r="D1478" s="1250"/>
      <c r="E1478" s="1250"/>
      <c r="F1478" s="1250"/>
      <c r="G1478" s="1250"/>
      <c r="H1478" s="1250"/>
      <c r="I1478" s="1250"/>
      <c r="J1478" s="1250"/>
      <c r="K1478" s="1250"/>
      <c r="L1478" s="1250"/>
      <c r="M1478" s="1250"/>
      <c r="N1478" s="1250"/>
      <c r="O1478" s="1250"/>
      <c r="P1478" s="1250"/>
      <c r="Q1478" s="1250"/>
      <c r="R1478" s="1250"/>
      <c r="S1478" s="1250"/>
      <c r="T1478" s="1250"/>
      <c r="U1478" s="1250"/>
      <c r="V1478" s="1250"/>
      <c r="W1478" s="1250"/>
      <c r="X1478" s="1250"/>
      <c r="Y1478" s="1250"/>
      <c r="Z1478" s="1250"/>
      <c r="AA1478" s="1250"/>
      <c r="AB1478" s="1250"/>
      <c r="AC1478" s="1250"/>
      <c r="AD1478" s="1250"/>
      <c r="AE1478" s="1250"/>
      <c r="AF1478" s="1250"/>
      <c r="AG1478" s="1250"/>
      <c r="AH1478" s="1250"/>
      <c r="AI1478" s="1250"/>
      <c r="AJ1478" s="1250"/>
      <c r="AK1478" s="1250"/>
      <c r="AL1478" s="1250"/>
      <c r="AM1478" s="1250"/>
      <c r="AN1478" s="1250"/>
      <c r="AO1478" s="1250"/>
      <c r="AP1478" s="1250"/>
      <c r="AQ1478" s="1250"/>
      <c r="AR1478" s="1236"/>
      <c r="AS1478" s="1371"/>
      <c r="AT1478" s="1371"/>
      <c r="AU1478" s="1371"/>
      <c r="AV1478" s="1371"/>
      <c r="AW1478" s="1371"/>
      <c r="AX1478" s="1371"/>
      <c r="AY1478" s="1371"/>
      <c r="AZ1478" s="1371"/>
      <c r="BA1478" s="1371"/>
      <c r="BB1478" s="1250"/>
      <c r="BC1478" s="1250"/>
      <c r="BD1478" s="1250"/>
      <c r="BE1478" s="1250"/>
    </row>
    <row r="1479" spans="1:57" x14ac:dyDescent="0.2">
      <c r="B1479" s="110"/>
      <c r="D1479" s="1329"/>
      <c r="E1479" s="1329"/>
      <c r="F1479" s="1329"/>
      <c r="G1479" s="1329"/>
      <c r="H1479" s="1329"/>
      <c r="I1479" s="1329"/>
      <c r="J1479" s="1329"/>
      <c r="K1479" s="1329"/>
      <c r="L1479" s="1329"/>
      <c r="M1479" s="1329"/>
      <c r="N1479" s="1329"/>
      <c r="O1479" s="1329"/>
      <c r="P1479" s="1329"/>
      <c r="Q1479" s="1329"/>
      <c r="R1479" s="1329"/>
      <c r="S1479" s="1329"/>
      <c r="T1479" s="1329"/>
      <c r="U1479" s="1329"/>
      <c r="V1479" s="1329"/>
      <c r="W1479" s="1329"/>
      <c r="X1479" s="407"/>
      <c r="Y1479" s="407"/>
      <c r="Z1479" s="407"/>
      <c r="AA1479" s="407"/>
      <c r="AB1479" s="407"/>
      <c r="AC1479" s="407"/>
      <c r="AD1479" s="407"/>
      <c r="AE1479" s="407"/>
      <c r="AF1479" s="407"/>
      <c r="AG1479" s="407"/>
      <c r="AH1479" s="407"/>
      <c r="AI1479" s="407"/>
      <c r="AJ1479" s="407"/>
      <c r="AK1479" s="407"/>
      <c r="AL1479" s="407"/>
      <c r="AM1479" s="407"/>
      <c r="AN1479" s="407"/>
      <c r="AO1479" s="407"/>
      <c r="AP1479" s="407"/>
      <c r="AQ1479" s="407"/>
      <c r="AR1479" s="1236"/>
      <c r="AS1479" s="1382"/>
      <c r="AT1479" s="407"/>
      <c r="AU1479" s="1236"/>
      <c r="AV1479" s="1236"/>
      <c r="AW1479" s="1236"/>
      <c r="AX1479" s="1236"/>
      <c r="AY1479" s="1236"/>
      <c r="AZ1479" s="1236"/>
      <c r="BA1479" s="1236"/>
      <c r="BB1479" s="407"/>
      <c r="BC1479" s="407"/>
      <c r="BD1479" s="407"/>
      <c r="BE1479" s="407"/>
    </row>
    <row r="1480" spans="1:57" x14ac:dyDescent="0.2">
      <c r="B1480" s="35"/>
      <c r="D1480" s="1242"/>
      <c r="E1480" s="1242"/>
      <c r="F1480" s="1242"/>
      <c r="G1480" s="1242"/>
      <c r="H1480" s="1242"/>
      <c r="I1480" s="1242"/>
      <c r="J1480" s="1242"/>
      <c r="K1480" s="1242"/>
      <c r="L1480" s="1242"/>
      <c r="M1480" s="1242"/>
      <c r="N1480" s="1242"/>
      <c r="O1480" s="1242"/>
      <c r="P1480" s="1242"/>
      <c r="Q1480" s="1242"/>
      <c r="R1480" s="1242"/>
      <c r="S1480" s="1242"/>
      <c r="T1480" s="1242"/>
      <c r="U1480" s="1242"/>
      <c r="V1480" s="1242"/>
      <c r="W1480" s="1242"/>
      <c r="X1480" s="1242"/>
      <c r="Y1480" s="1242"/>
      <c r="Z1480" s="1242"/>
      <c r="AA1480" s="1242"/>
      <c r="AB1480" s="1242"/>
      <c r="AC1480" s="1242"/>
      <c r="AD1480" s="1242"/>
      <c r="AE1480" s="1242"/>
      <c r="AF1480" s="1242"/>
      <c r="AG1480" s="1242"/>
      <c r="AH1480" s="1242"/>
      <c r="AI1480" s="1242"/>
      <c r="AJ1480" s="1242"/>
      <c r="AK1480" s="1242"/>
      <c r="AL1480" s="1242"/>
      <c r="AM1480" s="1242"/>
      <c r="AN1480" s="1242"/>
      <c r="AO1480" s="1242"/>
      <c r="AP1480" s="1242"/>
      <c r="AQ1480" s="1242"/>
      <c r="AR1480" s="1236"/>
      <c r="AS1480" s="407"/>
      <c r="AT1480" s="407"/>
      <c r="AU1480" s="1242"/>
      <c r="AV1480" s="1242"/>
      <c r="AW1480" s="1242"/>
      <c r="AX1480" s="1242"/>
      <c r="AY1480" s="1242"/>
      <c r="AZ1480" s="1242"/>
      <c r="BA1480" s="1242"/>
      <c r="BB1480" s="1242"/>
      <c r="BC1480" s="1242"/>
      <c r="BD1480" s="1242"/>
      <c r="BE1480" s="1242"/>
    </row>
    <row r="1481" spans="1:57" x14ac:dyDescent="0.2">
      <c r="B1481" s="35"/>
      <c r="D1481" s="1242"/>
      <c r="E1481" s="1242"/>
      <c r="F1481" s="1242"/>
      <c r="G1481" s="1242"/>
      <c r="H1481" s="1242"/>
      <c r="I1481" s="1242"/>
      <c r="J1481" s="1242"/>
      <c r="K1481" s="1242"/>
      <c r="L1481" s="1242"/>
      <c r="M1481" s="1242"/>
      <c r="N1481" s="1242"/>
      <c r="O1481" s="1242"/>
      <c r="P1481" s="1242"/>
      <c r="Q1481" s="1242"/>
      <c r="R1481" s="1242"/>
      <c r="S1481" s="1242"/>
      <c r="T1481" s="1242"/>
      <c r="U1481" s="1242"/>
      <c r="V1481" s="1242"/>
      <c r="W1481" s="1242"/>
      <c r="X1481" s="1242"/>
      <c r="Y1481" s="1242"/>
      <c r="Z1481" s="1242"/>
      <c r="AA1481" s="1242"/>
      <c r="AB1481" s="1242"/>
      <c r="AC1481" s="1242"/>
      <c r="AD1481" s="1242"/>
      <c r="AE1481" s="1242"/>
      <c r="AF1481" s="1242"/>
      <c r="AG1481" s="1242"/>
      <c r="AH1481" s="1242"/>
      <c r="AI1481" s="1242"/>
      <c r="AJ1481" s="1242"/>
      <c r="AK1481" s="1242"/>
      <c r="AL1481" s="1242"/>
      <c r="AM1481" s="1242"/>
      <c r="AN1481" s="1242"/>
      <c r="AO1481" s="1242"/>
      <c r="AP1481" s="1242"/>
      <c r="AQ1481" s="1242"/>
      <c r="AR1481" s="1236"/>
      <c r="AS1481" s="407"/>
      <c r="AT1481" s="407"/>
      <c r="AU1481" s="1242"/>
      <c r="AV1481" s="1242"/>
      <c r="AW1481" s="1242"/>
      <c r="AX1481" s="1242"/>
      <c r="AY1481" s="1242"/>
      <c r="AZ1481" s="1242"/>
      <c r="BA1481" s="1242"/>
      <c r="BB1481" s="1242"/>
      <c r="BC1481" s="1242"/>
      <c r="BD1481" s="1242"/>
      <c r="BE1481" s="1242"/>
    </row>
    <row r="1482" spans="1:57" x14ac:dyDescent="0.2">
      <c r="B1482" s="35"/>
      <c r="D1482" s="1242"/>
      <c r="E1482" s="1242"/>
      <c r="F1482" s="1242"/>
      <c r="G1482" s="1242"/>
      <c r="H1482" s="1242"/>
      <c r="I1482" s="1242"/>
      <c r="J1482" s="1242"/>
      <c r="K1482" s="1242"/>
      <c r="L1482" s="1242"/>
      <c r="M1482" s="1242"/>
      <c r="N1482" s="1242"/>
      <c r="O1482" s="1242"/>
      <c r="P1482" s="1242"/>
      <c r="Q1482" s="1242"/>
      <c r="R1482" s="1242"/>
      <c r="S1482" s="1242"/>
      <c r="T1482" s="1242"/>
      <c r="U1482" s="1242"/>
      <c r="V1482" s="1242"/>
      <c r="W1482" s="1242"/>
      <c r="X1482" s="1242"/>
      <c r="Y1482" s="1242"/>
      <c r="Z1482" s="1242"/>
      <c r="AA1482" s="1242"/>
      <c r="AB1482" s="1242"/>
      <c r="AC1482" s="1242"/>
      <c r="AD1482" s="1242"/>
      <c r="AE1482" s="1242"/>
      <c r="AF1482" s="1242"/>
      <c r="AG1482" s="1242"/>
      <c r="AH1482" s="1242"/>
      <c r="AI1482" s="1242"/>
      <c r="AJ1482" s="1242"/>
      <c r="AK1482" s="1242"/>
      <c r="AL1482" s="1242"/>
      <c r="AM1482" s="1242"/>
      <c r="AN1482" s="1242"/>
      <c r="AO1482" s="1242"/>
      <c r="AP1482" s="1242"/>
      <c r="AQ1482" s="1242"/>
      <c r="AR1482" s="1236"/>
      <c r="AS1482" s="407"/>
      <c r="AT1482" s="407"/>
      <c r="AU1482" s="1242"/>
      <c r="AV1482" s="1242"/>
      <c r="AW1482" s="1242"/>
      <c r="AX1482" s="1242"/>
      <c r="AY1482" s="1242"/>
      <c r="AZ1482" s="1242"/>
      <c r="BA1482" s="1242"/>
      <c r="BB1482" s="1242"/>
      <c r="BC1482" s="1242"/>
      <c r="BD1482" s="1242"/>
      <c r="BE1482" s="1242"/>
    </row>
    <row r="1483" spans="1:57" x14ac:dyDescent="0.2">
      <c r="B1483" s="35"/>
      <c r="D1483" s="1242"/>
      <c r="E1483" s="1242"/>
      <c r="F1483" s="1242"/>
      <c r="G1483" s="1242"/>
      <c r="H1483" s="1242"/>
      <c r="I1483" s="1242"/>
      <c r="J1483" s="1242"/>
      <c r="K1483" s="1242"/>
      <c r="L1483" s="1242"/>
      <c r="M1483" s="1242"/>
      <c r="N1483" s="1242"/>
      <c r="O1483" s="1242"/>
      <c r="P1483" s="1242"/>
      <c r="Q1483" s="1242"/>
      <c r="R1483" s="1242"/>
      <c r="S1483" s="1242"/>
      <c r="T1483" s="1242"/>
      <c r="U1483" s="1242"/>
      <c r="V1483" s="1242"/>
      <c r="W1483" s="1242"/>
      <c r="X1483" s="1242"/>
      <c r="Y1483" s="1242"/>
      <c r="Z1483" s="1242"/>
      <c r="AA1483" s="1242"/>
      <c r="AB1483" s="1242"/>
      <c r="AC1483" s="1242"/>
      <c r="AD1483" s="1242"/>
      <c r="AE1483" s="1242"/>
      <c r="AF1483" s="1242"/>
      <c r="AG1483" s="1242"/>
      <c r="AH1483" s="1242"/>
      <c r="AI1483" s="1242"/>
      <c r="AJ1483" s="1242"/>
      <c r="AK1483" s="1242"/>
      <c r="AL1483" s="1242"/>
      <c r="AM1483" s="1242"/>
      <c r="AN1483" s="1242"/>
      <c r="AO1483" s="1242"/>
      <c r="AP1483" s="1242"/>
      <c r="AQ1483" s="1242"/>
      <c r="AR1483" s="1236"/>
      <c r="AS1483" s="407"/>
      <c r="AT1483" s="407"/>
      <c r="AU1483" s="1242"/>
      <c r="AV1483" s="1242"/>
      <c r="AW1483" s="1242"/>
      <c r="AX1483" s="1242"/>
      <c r="AY1483" s="1242"/>
      <c r="AZ1483" s="1242"/>
      <c r="BA1483" s="1242"/>
      <c r="BB1483" s="1242"/>
      <c r="BC1483" s="1242"/>
      <c r="BD1483" s="1242"/>
      <c r="BE1483" s="1242"/>
    </row>
    <row r="1484" spans="1:57" x14ac:dyDescent="0.2">
      <c r="B1484" s="35"/>
      <c r="D1484" s="1242"/>
      <c r="E1484" s="1242"/>
      <c r="F1484" s="1242"/>
      <c r="G1484" s="1242"/>
      <c r="H1484" s="1242"/>
      <c r="I1484" s="1242"/>
      <c r="J1484" s="1242"/>
      <c r="K1484" s="1242"/>
      <c r="L1484" s="1242"/>
      <c r="M1484" s="1242"/>
      <c r="N1484" s="1242"/>
      <c r="O1484" s="1242"/>
      <c r="P1484" s="1242"/>
      <c r="Q1484" s="1242"/>
      <c r="R1484" s="1242"/>
      <c r="S1484" s="1242"/>
      <c r="T1484" s="1242"/>
      <c r="U1484" s="1242"/>
      <c r="V1484" s="1242"/>
      <c r="W1484" s="1242"/>
      <c r="X1484" s="1242"/>
      <c r="Y1484" s="1242"/>
      <c r="Z1484" s="1242"/>
      <c r="AA1484" s="1242"/>
      <c r="AB1484" s="1242"/>
      <c r="AC1484" s="1242"/>
      <c r="AD1484" s="1242"/>
      <c r="AE1484" s="1242"/>
      <c r="AF1484" s="1242"/>
      <c r="AG1484" s="1242"/>
      <c r="AH1484" s="1242"/>
      <c r="AI1484" s="1242"/>
      <c r="AJ1484" s="1242"/>
      <c r="AK1484" s="1242"/>
      <c r="AL1484" s="1242"/>
      <c r="AM1484" s="1242"/>
      <c r="AN1484" s="1242"/>
      <c r="AO1484" s="1242"/>
      <c r="AP1484" s="1242"/>
      <c r="AQ1484" s="1242"/>
      <c r="AR1484" s="1236"/>
      <c r="AS1484" s="407"/>
      <c r="AT1484" s="407"/>
      <c r="AU1484" s="1242"/>
      <c r="AV1484" s="1242"/>
      <c r="AW1484" s="1242"/>
      <c r="AX1484" s="1242"/>
      <c r="AY1484" s="1242"/>
      <c r="AZ1484" s="1242"/>
      <c r="BA1484" s="1242"/>
      <c r="BB1484" s="1242"/>
      <c r="BC1484" s="1242"/>
      <c r="BD1484" s="1242"/>
      <c r="BE1484" s="1242"/>
    </row>
    <row r="1485" spans="1:57" x14ac:dyDescent="0.2">
      <c r="B1485" s="35"/>
      <c r="D1485" s="1242"/>
      <c r="E1485" s="1242"/>
      <c r="F1485" s="1242"/>
      <c r="G1485" s="1242"/>
      <c r="H1485" s="1242"/>
      <c r="I1485" s="1242"/>
      <c r="J1485" s="1242"/>
      <c r="K1485" s="1242"/>
      <c r="L1485" s="1242"/>
      <c r="M1485" s="1242"/>
      <c r="N1485" s="1242"/>
      <c r="O1485" s="1242"/>
      <c r="P1485" s="1242"/>
      <c r="Q1485" s="1242"/>
      <c r="R1485" s="1242"/>
      <c r="S1485" s="1242"/>
      <c r="T1485" s="1242"/>
      <c r="U1485" s="1242"/>
      <c r="V1485" s="1242"/>
      <c r="W1485" s="1242"/>
      <c r="X1485" s="1242"/>
      <c r="Y1485" s="1242"/>
      <c r="Z1485" s="1242"/>
      <c r="AA1485" s="1242"/>
      <c r="AB1485" s="1242"/>
      <c r="AC1485" s="1242"/>
      <c r="AD1485" s="1242"/>
      <c r="AE1485" s="1242"/>
      <c r="AF1485" s="1242"/>
      <c r="AG1485" s="1242"/>
      <c r="AH1485" s="1242"/>
      <c r="AI1485" s="1242"/>
      <c r="AJ1485" s="1242"/>
      <c r="AK1485" s="1242"/>
      <c r="AL1485" s="1242"/>
      <c r="AM1485" s="1242"/>
      <c r="AN1485" s="1242"/>
      <c r="AO1485" s="1242"/>
      <c r="AP1485" s="1242"/>
      <c r="AQ1485" s="1242"/>
      <c r="AR1485" s="1236"/>
      <c r="AS1485" s="407"/>
      <c r="AT1485" s="407"/>
      <c r="AU1485" s="1242"/>
      <c r="AV1485" s="1242"/>
      <c r="AW1485" s="1242"/>
      <c r="AX1485" s="1242"/>
      <c r="AY1485" s="1242"/>
      <c r="AZ1485" s="1242"/>
      <c r="BA1485" s="1242"/>
      <c r="BB1485" s="1242"/>
      <c r="BC1485" s="1242"/>
      <c r="BD1485" s="1242"/>
      <c r="BE1485" s="1242"/>
    </row>
    <row r="1486" spans="1:57" x14ac:dyDescent="0.2">
      <c r="B1486" s="35"/>
      <c r="D1486" s="1242"/>
      <c r="E1486" s="1242"/>
      <c r="F1486" s="1242"/>
      <c r="G1486" s="1242"/>
      <c r="H1486" s="1242"/>
      <c r="I1486" s="1242"/>
      <c r="J1486" s="1242"/>
      <c r="K1486" s="1242"/>
      <c r="L1486" s="1242"/>
      <c r="M1486" s="1242"/>
      <c r="N1486" s="1242"/>
      <c r="O1486" s="1242"/>
      <c r="P1486" s="1242"/>
      <c r="Q1486" s="1242"/>
      <c r="R1486" s="1242"/>
      <c r="S1486" s="1242"/>
      <c r="T1486" s="1242"/>
      <c r="U1486" s="1242"/>
      <c r="V1486" s="1242"/>
      <c r="W1486" s="1242"/>
      <c r="X1486" s="1242"/>
      <c r="Y1486" s="1242"/>
      <c r="Z1486" s="1242"/>
      <c r="AA1486" s="1242"/>
      <c r="AB1486" s="1242"/>
      <c r="AC1486" s="1242"/>
      <c r="AD1486" s="1242"/>
      <c r="AE1486" s="1242"/>
      <c r="AF1486" s="1242"/>
      <c r="AG1486" s="1242"/>
      <c r="AH1486" s="1242"/>
      <c r="AI1486" s="1242"/>
      <c r="AJ1486" s="1242"/>
      <c r="AK1486" s="1242"/>
      <c r="AL1486" s="1242"/>
      <c r="AM1486" s="1242"/>
      <c r="AN1486" s="1242"/>
      <c r="AO1486" s="1242"/>
      <c r="AP1486" s="1242"/>
      <c r="AQ1486" s="1242"/>
      <c r="AR1486" s="1236"/>
      <c r="AS1486" s="407"/>
      <c r="AT1486" s="1236"/>
      <c r="AU1486" s="1242"/>
      <c r="AV1486" s="1242"/>
      <c r="AW1486" s="1242"/>
      <c r="AX1486" s="1242"/>
      <c r="AY1486" s="1242"/>
      <c r="AZ1486" s="1242"/>
      <c r="BA1486" s="1242"/>
      <c r="BB1486" s="1242"/>
      <c r="BC1486" s="1242"/>
      <c r="BD1486" s="1242"/>
      <c r="BE1486" s="1242"/>
    </row>
    <row r="1487" spans="1:57" x14ac:dyDescent="0.2">
      <c r="B1487" s="35"/>
      <c r="D1487" s="407"/>
      <c r="E1487" s="407"/>
      <c r="F1487" s="407"/>
      <c r="G1487" s="407"/>
      <c r="H1487" s="407"/>
      <c r="I1487" s="407"/>
      <c r="J1487" s="407"/>
      <c r="K1487" s="407"/>
      <c r="L1487" s="407"/>
      <c r="M1487" s="407"/>
      <c r="N1487" s="407"/>
      <c r="O1487" s="407"/>
      <c r="P1487" s="407"/>
      <c r="Q1487" s="407"/>
      <c r="R1487" s="407"/>
      <c r="S1487" s="407"/>
      <c r="T1487" s="407"/>
      <c r="U1487" s="407"/>
      <c r="V1487" s="407"/>
      <c r="W1487" s="407"/>
      <c r="X1487" s="1256"/>
      <c r="Y1487" s="1256"/>
      <c r="Z1487" s="407"/>
      <c r="AA1487" s="407"/>
      <c r="AB1487" s="407"/>
      <c r="AC1487" s="407"/>
      <c r="AD1487" s="407"/>
      <c r="AE1487" s="407"/>
      <c r="AF1487" s="407"/>
      <c r="AG1487" s="407"/>
      <c r="AH1487" s="407"/>
      <c r="AI1487" s="407"/>
      <c r="AJ1487" s="407"/>
      <c r="AK1487" s="407"/>
      <c r="AL1487" s="407"/>
      <c r="AM1487" s="407"/>
      <c r="AN1487" s="407"/>
      <c r="AO1487" s="407"/>
      <c r="AP1487" s="407"/>
      <c r="AQ1487" s="407"/>
      <c r="AR1487" s="1236"/>
      <c r="AS1487" s="1236"/>
      <c r="AT1487" s="1236"/>
      <c r="AU1487" s="1236"/>
      <c r="AV1487" s="1236"/>
      <c r="AW1487" s="1236"/>
      <c r="AX1487" s="1236"/>
      <c r="AY1487" s="1236"/>
      <c r="AZ1487" s="1236"/>
      <c r="BA1487" s="1236"/>
      <c r="BB1487" s="1236"/>
      <c r="BC1487" s="1236"/>
      <c r="BD1487" s="1236"/>
      <c r="BE1487" s="1236"/>
    </row>
    <row r="1488" spans="1:57" s="1138" customFormat="1" x14ac:dyDescent="0.2">
      <c r="A1488" s="1135"/>
      <c r="B1488" s="1136"/>
      <c r="C1488" s="885"/>
      <c r="D1488" s="1368"/>
      <c r="E1488" s="1368"/>
      <c r="F1488" s="1368"/>
      <c r="G1488" s="1368"/>
      <c r="H1488" s="1368"/>
      <c r="I1488" s="1368"/>
      <c r="J1488" s="1368"/>
      <c r="K1488" s="1368"/>
      <c r="L1488" s="1368"/>
      <c r="M1488" s="1368"/>
      <c r="N1488" s="1368"/>
      <c r="O1488" s="1368"/>
      <c r="P1488" s="1368"/>
      <c r="Q1488" s="1368"/>
      <c r="R1488" s="1368"/>
      <c r="S1488" s="1368"/>
      <c r="T1488" s="1368"/>
      <c r="U1488" s="1368"/>
      <c r="V1488" s="1368"/>
      <c r="W1488" s="1368"/>
      <c r="X1488" s="1360"/>
      <c r="Y1488" s="1360"/>
      <c r="Z1488" s="1368"/>
      <c r="AA1488" s="1368"/>
      <c r="AB1488" s="1368"/>
      <c r="AC1488" s="1368"/>
      <c r="AD1488" s="1368"/>
      <c r="AE1488" s="1368"/>
      <c r="AF1488" s="1368"/>
      <c r="AG1488" s="1368"/>
      <c r="AH1488" s="1368"/>
      <c r="AI1488" s="1368"/>
      <c r="AJ1488" s="1368"/>
      <c r="AK1488" s="1368"/>
      <c r="AL1488" s="1368"/>
      <c r="AM1488" s="1368"/>
      <c r="AN1488" s="1368"/>
      <c r="AO1488" s="1368"/>
      <c r="AP1488" s="1368"/>
      <c r="AQ1488" s="1368"/>
      <c r="AR1488" s="1603"/>
      <c r="AS1488" s="1604"/>
      <c r="AT1488" s="1603"/>
      <c r="AU1488" s="1603"/>
      <c r="AV1488" s="1603"/>
      <c r="AW1488" s="1603"/>
      <c r="AX1488" s="1603"/>
      <c r="AY1488" s="1603"/>
      <c r="AZ1488" s="1603"/>
      <c r="BA1488" s="1603"/>
      <c r="BB1488" s="1603"/>
      <c r="BC1488" s="1603"/>
      <c r="BD1488" s="1603"/>
      <c r="BE1488" s="1603"/>
    </row>
    <row r="1489" spans="1:57" x14ac:dyDescent="0.2">
      <c r="A1489" s="70"/>
      <c r="B1489" s="35"/>
      <c r="D1489" s="1242"/>
      <c r="E1489" s="1242"/>
      <c r="F1489" s="1242"/>
      <c r="G1489" s="1242"/>
      <c r="H1489" s="1242"/>
      <c r="I1489" s="1242"/>
      <c r="J1489" s="1242"/>
      <c r="K1489" s="1242"/>
      <c r="L1489" s="1242"/>
      <c r="M1489" s="1242"/>
      <c r="N1489" s="1242"/>
      <c r="O1489" s="1242"/>
      <c r="P1489" s="1242"/>
      <c r="Q1489" s="1242"/>
      <c r="R1489" s="1242"/>
      <c r="S1489" s="1242"/>
      <c r="T1489" s="1242"/>
      <c r="U1489" s="1242"/>
      <c r="V1489" s="1242"/>
      <c r="W1489" s="1242"/>
      <c r="X1489" s="1242"/>
      <c r="Y1489" s="1242"/>
      <c r="Z1489" s="1242"/>
      <c r="AA1489" s="1242"/>
      <c r="AB1489" s="1242"/>
      <c r="AC1489" s="1242"/>
      <c r="AD1489" s="1242"/>
      <c r="AE1489" s="1242"/>
      <c r="AF1489" s="1242"/>
      <c r="AG1489" s="1242"/>
      <c r="AH1489" s="1242"/>
      <c r="AI1489" s="1242"/>
      <c r="AJ1489" s="1242"/>
      <c r="AK1489" s="1242"/>
      <c r="AL1489" s="1242"/>
      <c r="AM1489" s="1242"/>
      <c r="AN1489" s="1242"/>
      <c r="AO1489" s="1242"/>
      <c r="AP1489" s="1242"/>
      <c r="AQ1489" s="1242"/>
      <c r="AR1489" s="1236"/>
      <c r="AS1489" s="407"/>
      <c r="AT1489" s="407"/>
      <c r="AU1489" s="1242"/>
      <c r="AV1489" s="1242"/>
      <c r="AW1489" s="1242"/>
      <c r="AX1489" s="1242"/>
      <c r="AY1489" s="1242"/>
      <c r="AZ1489" s="1242"/>
      <c r="BA1489" s="1242"/>
      <c r="BB1489" s="1242"/>
      <c r="BC1489" s="1242"/>
      <c r="BD1489" s="1242"/>
      <c r="BE1489" s="1242"/>
    </row>
    <row r="1490" spans="1:57" x14ac:dyDescent="0.2">
      <c r="A1490" s="70"/>
      <c r="B1490" s="35"/>
      <c r="D1490" s="1242"/>
      <c r="E1490" s="1242"/>
      <c r="F1490" s="1242"/>
      <c r="G1490" s="1242"/>
      <c r="H1490" s="1242"/>
      <c r="I1490" s="1242"/>
      <c r="J1490" s="1242"/>
      <c r="K1490" s="1242"/>
      <c r="L1490" s="1242"/>
      <c r="M1490" s="1242"/>
      <c r="N1490" s="1242"/>
      <c r="O1490" s="1242"/>
      <c r="P1490" s="1242"/>
      <c r="Q1490" s="1242"/>
      <c r="R1490" s="1242"/>
      <c r="S1490" s="1242"/>
      <c r="T1490" s="1242"/>
      <c r="U1490" s="1242"/>
      <c r="V1490" s="1242"/>
      <c r="W1490" s="1242"/>
      <c r="X1490" s="1242"/>
      <c r="Y1490" s="1242"/>
      <c r="Z1490" s="1242"/>
      <c r="AA1490" s="1242"/>
      <c r="AB1490" s="1242"/>
      <c r="AC1490" s="1242"/>
      <c r="AD1490" s="1242"/>
      <c r="AE1490" s="1242"/>
      <c r="AF1490" s="1242"/>
      <c r="AG1490" s="1242"/>
      <c r="AH1490" s="1242"/>
      <c r="AI1490" s="1242"/>
      <c r="AJ1490" s="1242"/>
      <c r="AK1490" s="1242"/>
      <c r="AL1490" s="1242"/>
      <c r="AM1490" s="1242"/>
      <c r="AN1490" s="1242"/>
      <c r="AO1490" s="1242"/>
      <c r="AP1490" s="1242"/>
      <c r="AQ1490" s="1242"/>
      <c r="AR1490" s="1236"/>
      <c r="AS1490" s="407"/>
      <c r="AT1490" s="407"/>
      <c r="AU1490" s="1242"/>
      <c r="AV1490" s="1242"/>
      <c r="AW1490" s="1242"/>
      <c r="AX1490" s="1242"/>
      <c r="AY1490" s="1242"/>
      <c r="AZ1490" s="1242"/>
      <c r="BA1490" s="1242"/>
      <c r="BB1490" s="1242"/>
      <c r="BC1490" s="1242"/>
      <c r="BD1490" s="1242"/>
      <c r="BE1490" s="1242"/>
    </row>
    <row r="1491" spans="1:57" x14ac:dyDescent="0.2">
      <c r="A1491" s="70"/>
      <c r="B1491" s="35"/>
      <c r="D1491" s="1242"/>
      <c r="E1491" s="1242"/>
      <c r="F1491" s="1242"/>
      <c r="G1491" s="1242"/>
      <c r="H1491" s="1242"/>
      <c r="I1491" s="1242"/>
      <c r="J1491" s="1242"/>
      <c r="K1491" s="1242"/>
      <c r="L1491" s="1242"/>
      <c r="M1491" s="1242"/>
      <c r="N1491" s="1242"/>
      <c r="O1491" s="1242"/>
      <c r="P1491" s="1242"/>
      <c r="Q1491" s="1242"/>
      <c r="R1491" s="1242"/>
      <c r="S1491" s="1242"/>
      <c r="T1491" s="1242"/>
      <c r="U1491" s="1242"/>
      <c r="V1491" s="1242"/>
      <c r="W1491" s="1242"/>
      <c r="X1491" s="1242"/>
      <c r="Y1491" s="1242"/>
      <c r="Z1491" s="1242"/>
      <c r="AA1491" s="1242"/>
      <c r="AB1491" s="1242"/>
      <c r="AC1491" s="1242"/>
      <c r="AD1491" s="1242"/>
      <c r="AE1491" s="1242"/>
      <c r="AF1491" s="1242"/>
      <c r="AG1491" s="1242"/>
      <c r="AH1491" s="1242"/>
      <c r="AI1491" s="1242"/>
      <c r="AJ1491" s="1242"/>
      <c r="AK1491" s="1242"/>
      <c r="AL1491" s="1242"/>
      <c r="AM1491" s="1242"/>
      <c r="AN1491" s="1242"/>
      <c r="AO1491" s="1242"/>
      <c r="AP1491" s="1242"/>
      <c r="AQ1491" s="1242"/>
      <c r="AR1491" s="1236"/>
      <c r="AS1491" s="407"/>
      <c r="AT1491" s="407"/>
      <c r="AU1491" s="1242"/>
      <c r="AV1491" s="1242"/>
      <c r="AW1491" s="1242"/>
      <c r="AX1491" s="1242"/>
      <c r="AY1491" s="1242"/>
      <c r="AZ1491" s="1242"/>
      <c r="BA1491" s="1242"/>
      <c r="BB1491" s="1242"/>
      <c r="BC1491" s="1242"/>
      <c r="BD1491" s="1242"/>
      <c r="BE1491" s="1242"/>
    </row>
    <row r="1492" spans="1:57" x14ac:dyDescent="0.2">
      <c r="A1492" s="70"/>
      <c r="B1492" s="35"/>
      <c r="D1492" s="1242"/>
      <c r="E1492" s="1242"/>
      <c r="F1492" s="1242"/>
      <c r="G1492" s="1242"/>
      <c r="H1492" s="1242"/>
      <c r="I1492" s="1242"/>
      <c r="J1492" s="1242"/>
      <c r="K1492" s="1242"/>
      <c r="L1492" s="1242"/>
      <c r="M1492" s="1242"/>
      <c r="N1492" s="1242"/>
      <c r="O1492" s="1242"/>
      <c r="P1492" s="1242"/>
      <c r="Q1492" s="1242"/>
      <c r="R1492" s="1242"/>
      <c r="S1492" s="1242"/>
      <c r="T1492" s="1242"/>
      <c r="U1492" s="1242"/>
      <c r="V1492" s="1242"/>
      <c r="W1492" s="1242"/>
      <c r="X1492" s="1242"/>
      <c r="Y1492" s="1242"/>
      <c r="Z1492" s="1242"/>
      <c r="AA1492" s="1242"/>
      <c r="AB1492" s="1242"/>
      <c r="AC1492" s="1242"/>
      <c r="AD1492" s="1242"/>
      <c r="AE1492" s="1242"/>
      <c r="AF1492" s="1242"/>
      <c r="AG1492" s="1242"/>
      <c r="AH1492" s="1242"/>
      <c r="AI1492" s="1242"/>
      <c r="AJ1492" s="1242"/>
      <c r="AK1492" s="1242"/>
      <c r="AL1492" s="1242"/>
      <c r="AM1492" s="1242"/>
      <c r="AN1492" s="1242"/>
      <c r="AO1492" s="1242"/>
      <c r="AP1492" s="1242"/>
      <c r="AQ1492" s="1242"/>
      <c r="AR1492" s="1236"/>
      <c r="AS1492" s="407"/>
      <c r="AT1492" s="407"/>
      <c r="AU1492" s="1242"/>
      <c r="AV1492" s="1242"/>
      <c r="AW1492" s="1242"/>
      <c r="AX1492" s="1242"/>
      <c r="AY1492" s="1242"/>
      <c r="AZ1492" s="1242"/>
      <c r="BA1492" s="1242"/>
      <c r="BB1492" s="1242"/>
      <c r="BC1492" s="1242"/>
      <c r="BD1492" s="1242"/>
      <c r="BE1492" s="1242"/>
    </row>
    <row r="1493" spans="1:57" x14ac:dyDescent="0.2">
      <c r="A1493" s="70"/>
      <c r="B1493" s="35"/>
      <c r="D1493" s="1242"/>
      <c r="E1493" s="1242"/>
      <c r="F1493" s="1242"/>
      <c r="G1493" s="1242"/>
      <c r="H1493" s="1242"/>
      <c r="I1493" s="1242"/>
      <c r="J1493" s="1242"/>
      <c r="K1493" s="1242"/>
      <c r="L1493" s="1242"/>
      <c r="M1493" s="1242"/>
      <c r="N1493" s="1242"/>
      <c r="O1493" s="1242"/>
      <c r="P1493" s="1242"/>
      <c r="Q1493" s="1242"/>
      <c r="R1493" s="1242"/>
      <c r="S1493" s="1242"/>
      <c r="T1493" s="1242"/>
      <c r="U1493" s="1242"/>
      <c r="V1493" s="1242"/>
      <c r="W1493" s="1242"/>
      <c r="X1493" s="1242"/>
      <c r="Y1493" s="1242"/>
      <c r="Z1493" s="1242"/>
      <c r="AA1493" s="1242"/>
      <c r="AB1493" s="1242"/>
      <c r="AC1493" s="1242"/>
      <c r="AD1493" s="1242"/>
      <c r="AE1493" s="1242"/>
      <c r="AF1493" s="1242"/>
      <c r="AG1493" s="1242"/>
      <c r="AH1493" s="1242"/>
      <c r="AI1493" s="1242"/>
      <c r="AJ1493" s="1242"/>
      <c r="AK1493" s="1242"/>
      <c r="AL1493" s="1242"/>
      <c r="AM1493" s="1242"/>
      <c r="AN1493" s="1242"/>
      <c r="AO1493" s="1242"/>
      <c r="AP1493" s="1242"/>
      <c r="AQ1493" s="1242"/>
      <c r="AR1493" s="1236"/>
      <c r="AS1493" s="407"/>
      <c r="AT1493" s="407"/>
      <c r="AU1493" s="1361"/>
      <c r="AV1493" s="1361"/>
      <c r="AW1493" s="1361"/>
      <c r="AX1493" s="1361"/>
      <c r="AY1493" s="1361"/>
      <c r="AZ1493" s="1361"/>
      <c r="BA1493" s="1361"/>
      <c r="BB1493" s="1361"/>
      <c r="BC1493" s="1361"/>
      <c r="BD1493" s="1361"/>
      <c r="BE1493" s="1361"/>
    </row>
    <row r="1494" spans="1:57" x14ac:dyDescent="0.2">
      <c r="A1494" s="70"/>
      <c r="B1494" s="35"/>
      <c r="D1494" s="407"/>
      <c r="E1494" s="407"/>
      <c r="F1494" s="407"/>
      <c r="G1494" s="407"/>
      <c r="H1494" s="407"/>
      <c r="I1494" s="407"/>
      <c r="J1494" s="407"/>
      <c r="K1494" s="407"/>
      <c r="L1494" s="407"/>
      <c r="M1494" s="407"/>
      <c r="N1494" s="407"/>
      <c r="O1494" s="407"/>
      <c r="P1494" s="407"/>
      <c r="Q1494" s="407"/>
      <c r="R1494" s="407"/>
      <c r="S1494" s="407"/>
      <c r="T1494" s="407"/>
      <c r="U1494" s="407"/>
      <c r="V1494" s="407"/>
      <c r="W1494" s="407"/>
      <c r="X1494" s="407"/>
      <c r="Y1494" s="407"/>
      <c r="Z1494" s="407"/>
      <c r="AA1494" s="407"/>
      <c r="AB1494" s="407"/>
      <c r="AC1494" s="407"/>
      <c r="AD1494" s="407"/>
      <c r="AE1494" s="407"/>
      <c r="AF1494" s="407"/>
      <c r="AG1494" s="407"/>
      <c r="AH1494" s="407"/>
      <c r="AI1494" s="407"/>
      <c r="AJ1494" s="407"/>
      <c r="AK1494" s="407"/>
      <c r="AL1494" s="407"/>
      <c r="AM1494" s="407"/>
      <c r="AN1494" s="407"/>
      <c r="AO1494" s="407"/>
      <c r="AP1494" s="407"/>
      <c r="AQ1494" s="407"/>
      <c r="AR1494" s="1236"/>
      <c r="AS1494" s="407"/>
      <c r="AT1494" s="407"/>
      <c r="AU1494" s="407"/>
      <c r="AV1494" s="407"/>
      <c r="AW1494" s="407"/>
      <c r="AX1494" s="407"/>
      <c r="AY1494" s="407"/>
      <c r="AZ1494" s="407"/>
      <c r="BA1494" s="407"/>
      <c r="BB1494" s="407"/>
      <c r="BC1494" s="407"/>
      <c r="BD1494" s="407"/>
      <c r="BE1494" s="407"/>
    </row>
    <row r="1495" spans="1:57" x14ac:dyDescent="0.2">
      <c r="A1495" s="70"/>
      <c r="B1495" s="35"/>
      <c r="D1495" s="1329"/>
      <c r="E1495" s="1329"/>
      <c r="F1495" s="1329"/>
      <c r="G1495" s="1329"/>
      <c r="H1495" s="1329"/>
      <c r="I1495" s="1329"/>
      <c r="J1495" s="1329"/>
      <c r="K1495" s="1329"/>
      <c r="L1495" s="1329"/>
      <c r="M1495" s="1329"/>
      <c r="N1495" s="1329"/>
      <c r="O1495" s="1329"/>
      <c r="P1495" s="1329"/>
      <c r="Q1495" s="1329"/>
      <c r="R1495" s="1329"/>
      <c r="S1495" s="1329"/>
      <c r="T1495" s="1329"/>
      <c r="U1495" s="1329"/>
      <c r="V1495" s="1329"/>
      <c r="W1495" s="1329"/>
      <c r="X1495" s="1329"/>
      <c r="Y1495" s="1329"/>
      <c r="Z1495" s="1329"/>
      <c r="AA1495" s="1329"/>
      <c r="AB1495" s="1329"/>
      <c r="AC1495" s="1329"/>
      <c r="AD1495" s="1329"/>
      <c r="AE1495" s="1329"/>
      <c r="AF1495" s="1329"/>
      <c r="AG1495" s="1329"/>
      <c r="AH1495" s="1329"/>
      <c r="AI1495" s="1329"/>
      <c r="AJ1495" s="1329"/>
      <c r="AK1495" s="1329"/>
      <c r="AL1495" s="1329"/>
      <c r="AM1495" s="1329"/>
      <c r="AN1495" s="1329"/>
      <c r="AO1495" s="1329"/>
      <c r="AP1495" s="1329"/>
      <c r="AQ1495" s="1329"/>
      <c r="AR1495" s="1236"/>
      <c r="AS1495" s="407"/>
      <c r="AT1495" s="407"/>
      <c r="AU1495" s="1329"/>
      <c r="AV1495" s="1329"/>
      <c r="AW1495" s="1329"/>
      <c r="AX1495" s="1329"/>
      <c r="AY1495" s="1329"/>
      <c r="AZ1495" s="1329"/>
      <c r="BA1495" s="1329"/>
      <c r="BB1495" s="1329"/>
      <c r="BC1495" s="1329"/>
      <c r="BD1495" s="1329"/>
      <c r="BE1495" s="1329"/>
    </row>
    <row r="1496" spans="1:57" x14ac:dyDescent="0.2">
      <c r="A1496" s="70"/>
      <c r="B1496" s="110"/>
      <c r="D1496" s="1329"/>
      <c r="E1496" s="1329"/>
      <c r="F1496" s="1329"/>
      <c r="G1496" s="1329"/>
      <c r="H1496" s="1329"/>
      <c r="I1496" s="1329"/>
      <c r="J1496" s="1329"/>
      <c r="K1496" s="1329"/>
      <c r="L1496" s="1329"/>
      <c r="M1496" s="1329"/>
      <c r="N1496" s="1329"/>
      <c r="O1496" s="1329"/>
      <c r="P1496" s="1329"/>
      <c r="Q1496" s="1329"/>
      <c r="R1496" s="1329"/>
      <c r="S1496" s="1329"/>
      <c r="T1496" s="1329"/>
      <c r="U1496" s="1329"/>
      <c r="V1496" s="1329"/>
      <c r="W1496" s="1329"/>
      <c r="X1496" s="1329"/>
      <c r="Y1496" s="1329"/>
      <c r="Z1496" s="1329"/>
      <c r="AA1496" s="1329"/>
      <c r="AB1496" s="1329"/>
      <c r="AC1496" s="1329"/>
      <c r="AD1496" s="1329"/>
      <c r="AE1496" s="1329"/>
      <c r="AF1496" s="1329"/>
      <c r="AG1496" s="1329"/>
      <c r="AH1496" s="1329"/>
      <c r="AI1496" s="1329"/>
      <c r="AJ1496" s="1329"/>
      <c r="AK1496" s="1329"/>
      <c r="AL1496" s="1329"/>
      <c r="AM1496" s="1329"/>
      <c r="AN1496" s="1329"/>
      <c r="AO1496" s="1329"/>
      <c r="AP1496" s="1329"/>
      <c r="AQ1496" s="1329"/>
      <c r="AR1496" s="1236"/>
      <c r="AS1496" s="1484"/>
      <c r="AT1496" s="407"/>
      <c r="AU1496" s="1329"/>
      <c r="AV1496" s="1329"/>
      <c r="AW1496" s="1329"/>
      <c r="AX1496" s="1329"/>
      <c r="AY1496" s="1329"/>
      <c r="AZ1496" s="1329"/>
      <c r="BA1496" s="1329"/>
      <c r="BB1496" s="1329"/>
      <c r="BC1496" s="1329"/>
      <c r="BD1496" s="1329"/>
      <c r="BE1496" s="1329"/>
    </row>
    <row r="1497" spans="1:57" x14ac:dyDescent="0.2">
      <c r="A1497" s="70"/>
      <c r="B1497" s="35"/>
      <c r="D1497" s="1242"/>
      <c r="E1497" s="1242"/>
      <c r="F1497" s="1242"/>
      <c r="G1497" s="1242"/>
      <c r="H1497" s="1242"/>
      <c r="I1497" s="1242"/>
      <c r="J1497" s="1242"/>
      <c r="K1497" s="1242"/>
      <c r="L1497" s="1242"/>
      <c r="M1497" s="1242"/>
      <c r="N1497" s="1242"/>
      <c r="O1497" s="1242"/>
      <c r="P1497" s="1242"/>
      <c r="Q1497" s="1242"/>
      <c r="R1497" s="1242"/>
      <c r="S1497" s="1242"/>
      <c r="T1497" s="1242"/>
      <c r="U1497" s="1242"/>
      <c r="V1497" s="1242"/>
      <c r="W1497" s="1242"/>
      <c r="X1497" s="1242"/>
      <c r="Y1497" s="1242"/>
      <c r="Z1497" s="1242"/>
      <c r="AA1497" s="1242"/>
      <c r="AB1497" s="1242"/>
      <c r="AC1497" s="1242"/>
      <c r="AD1497" s="1242"/>
      <c r="AE1497" s="1242"/>
      <c r="AF1497" s="1242"/>
      <c r="AG1497" s="1242"/>
      <c r="AH1497" s="1242"/>
      <c r="AI1497" s="1242"/>
      <c r="AJ1497" s="1242"/>
      <c r="AK1497" s="1242"/>
      <c r="AL1497" s="1242"/>
      <c r="AM1497" s="1242"/>
      <c r="AN1497" s="1242"/>
      <c r="AO1497" s="1242"/>
      <c r="AP1497" s="1242"/>
      <c r="AQ1497" s="1242"/>
      <c r="AR1497" s="1236"/>
      <c r="AS1497" s="407"/>
      <c r="AT1497" s="407"/>
      <c r="AU1497" s="1242"/>
      <c r="AV1497" s="1242"/>
      <c r="AW1497" s="1242"/>
      <c r="AX1497" s="1242"/>
      <c r="AY1497" s="1242"/>
      <c r="AZ1497" s="1242"/>
      <c r="BA1497" s="1242"/>
      <c r="BB1497" s="1242"/>
      <c r="BC1497" s="1242"/>
      <c r="BD1497" s="1242"/>
      <c r="BE1497" s="1242"/>
    </row>
    <row r="1498" spans="1:57" x14ac:dyDescent="0.2">
      <c r="A1498" s="70"/>
      <c r="B1498" s="70"/>
      <c r="C1498" s="35"/>
      <c r="D1498" s="1242"/>
      <c r="E1498" s="1242"/>
      <c r="F1498" s="1242"/>
      <c r="G1498" s="1242"/>
      <c r="H1498" s="1242"/>
      <c r="I1498" s="1242"/>
      <c r="J1498" s="1242"/>
      <c r="K1498" s="1242"/>
      <c r="L1498" s="1242"/>
      <c r="M1498" s="1242"/>
      <c r="N1498" s="1242"/>
      <c r="O1498" s="1242"/>
      <c r="P1498" s="1242"/>
      <c r="Q1498" s="1242"/>
      <c r="R1498" s="1242"/>
      <c r="S1498" s="1242"/>
      <c r="T1498" s="1242"/>
      <c r="U1498" s="1242"/>
      <c r="V1498" s="1242"/>
      <c r="W1498" s="1242"/>
      <c r="X1498" s="1242"/>
      <c r="Y1498" s="1242"/>
      <c r="Z1498" s="1362"/>
      <c r="AA1498" s="1362"/>
      <c r="AB1498" s="1362"/>
      <c r="AC1498" s="1362"/>
      <c r="AD1498" s="1362"/>
      <c r="AE1498" s="1362"/>
      <c r="AF1498" s="1362"/>
      <c r="AG1498" s="1362"/>
      <c r="AH1498" s="1362"/>
      <c r="AI1498" s="1362"/>
      <c r="AJ1498" s="1362"/>
      <c r="AK1498" s="1362"/>
      <c r="AL1498" s="1362"/>
      <c r="AM1498" s="1362"/>
      <c r="AN1498" s="1362"/>
      <c r="AO1498" s="1362"/>
      <c r="AP1498" s="1362"/>
      <c r="AQ1498" s="1362"/>
      <c r="AR1498" s="1236"/>
      <c r="AS1498" s="1236"/>
      <c r="AT1498" s="407"/>
      <c r="AU1498" s="1242"/>
      <c r="AV1498" s="1242"/>
      <c r="AW1498" s="1242"/>
      <c r="AX1498" s="1242"/>
      <c r="AY1498" s="1242"/>
      <c r="AZ1498" s="1242"/>
      <c r="BA1498" s="1242"/>
      <c r="BB1498" s="1362"/>
      <c r="BC1498" s="1362"/>
      <c r="BD1498" s="1362"/>
      <c r="BE1498" s="1362"/>
    </row>
    <row r="1499" spans="1:57" x14ac:dyDescent="0.2">
      <c r="A1499" s="70"/>
      <c r="D1499" s="407"/>
      <c r="E1499" s="407"/>
      <c r="F1499" s="407"/>
      <c r="G1499" s="407"/>
      <c r="H1499" s="407"/>
      <c r="I1499" s="407"/>
      <c r="J1499" s="407"/>
      <c r="K1499" s="407"/>
      <c r="L1499" s="407"/>
      <c r="M1499" s="407"/>
      <c r="N1499" s="407"/>
      <c r="O1499" s="407"/>
      <c r="P1499" s="407"/>
      <c r="Q1499" s="407"/>
      <c r="R1499" s="407"/>
      <c r="S1499" s="407"/>
      <c r="T1499" s="407"/>
      <c r="U1499" s="407"/>
      <c r="V1499" s="407"/>
      <c r="W1499" s="407"/>
      <c r="X1499" s="407"/>
      <c r="Y1499" s="407"/>
      <c r="Z1499" s="407"/>
      <c r="AA1499" s="407"/>
      <c r="AB1499" s="407"/>
      <c r="AC1499" s="407"/>
      <c r="AD1499" s="407"/>
      <c r="AE1499" s="407"/>
      <c r="AF1499" s="407"/>
      <c r="AG1499" s="407"/>
      <c r="AH1499" s="407"/>
      <c r="AI1499" s="407"/>
      <c r="AJ1499" s="407"/>
      <c r="AK1499" s="407"/>
      <c r="AL1499" s="407"/>
      <c r="AM1499" s="407"/>
      <c r="AN1499" s="407"/>
      <c r="AO1499" s="407"/>
      <c r="AP1499" s="407"/>
      <c r="AQ1499" s="407"/>
      <c r="AR1499" s="1236"/>
      <c r="AS1499" s="1236"/>
      <c r="AT1499" s="407"/>
      <c r="AU1499" s="407"/>
      <c r="AV1499" s="407"/>
      <c r="AW1499" s="407"/>
      <c r="AX1499" s="407"/>
      <c r="AY1499" s="407"/>
      <c r="AZ1499" s="407"/>
      <c r="BA1499" s="407"/>
      <c r="BB1499" s="407"/>
      <c r="BC1499" s="407"/>
      <c r="BD1499" s="407"/>
      <c r="BE1499" s="407"/>
    </row>
    <row r="1500" spans="1:57" x14ac:dyDescent="0.2">
      <c r="A1500" s="70"/>
      <c r="B1500" s="35"/>
      <c r="D1500" s="1242"/>
      <c r="E1500" s="1242"/>
      <c r="F1500" s="1242"/>
      <c r="G1500" s="1242"/>
      <c r="H1500" s="1242"/>
      <c r="I1500" s="1242"/>
      <c r="J1500" s="1242"/>
      <c r="K1500" s="1242"/>
      <c r="L1500" s="1242"/>
      <c r="M1500" s="1242"/>
      <c r="N1500" s="1242"/>
      <c r="O1500" s="1242"/>
      <c r="P1500" s="1242"/>
      <c r="Q1500" s="1242"/>
      <c r="R1500" s="1242"/>
      <c r="S1500" s="1242"/>
      <c r="T1500" s="1242"/>
      <c r="U1500" s="1242"/>
      <c r="V1500" s="1242"/>
      <c r="W1500" s="1242"/>
      <c r="X1500" s="1242"/>
      <c r="Y1500" s="1242"/>
      <c r="Z1500" s="1242"/>
      <c r="AA1500" s="1242"/>
      <c r="AB1500" s="1242"/>
      <c r="AC1500" s="1242"/>
      <c r="AD1500" s="1242"/>
      <c r="AE1500" s="1242"/>
      <c r="AF1500" s="1242"/>
      <c r="AG1500" s="1242"/>
      <c r="AH1500" s="1242"/>
      <c r="AI1500" s="1242"/>
      <c r="AJ1500" s="1242"/>
      <c r="AK1500" s="1242"/>
      <c r="AL1500" s="1242"/>
      <c r="AM1500" s="1242"/>
      <c r="AN1500" s="1242"/>
      <c r="AO1500" s="1242"/>
      <c r="AP1500" s="1242"/>
      <c r="AQ1500" s="1242"/>
      <c r="AR1500" s="1236"/>
      <c r="AS1500" s="407"/>
      <c r="AT1500" s="407"/>
      <c r="AU1500" s="1242"/>
      <c r="AV1500" s="1242"/>
      <c r="AW1500" s="1242"/>
      <c r="AX1500" s="1242"/>
      <c r="AY1500" s="1242"/>
      <c r="AZ1500" s="1242"/>
      <c r="BA1500" s="1242"/>
      <c r="BB1500" s="1242"/>
      <c r="BC1500" s="1242"/>
      <c r="BD1500" s="1242"/>
      <c r="BE1500" s="1242"/>
    </row>
    <row r="1501" spans="1:57" x14ac:dyDescent="0.2">
      <c r="A1501" s="70"/>
      <c r="B1501" s="35"/>
      <c r="D1501" s="1242"/>
      <c r="E1501" s="1242"/>
      <c r="F1501" s="1242"/>
      <c r="G1501" s="1242"/>
      <c r="H1501" s="1242"/>
      <c r="I1501" s="1242"/>
      <c r="J1501" s="1242"/>
      <c r="K1501" s="1242"/>
      <c r="L1501" s="1242"/>
      <c r="M1501" s="1242"/>
      <c r="N1501" s="1242"/>
      <c r="O1501" s="1242"/>
      <c r="P1501" s="1242"/>
      <c r="Q1501" s="1242"/>
      <c r="R1501" s="1242"/>
      <c r="S1501" s="1242"/>
      <c r="T1501" s="1242"/>
      <c r="U1501" s="1242"/>
      <c r="V1501" s="1242"/>
      <c r="W1501" s="1242"/>
      <c r="X1501" s="1242"/>
      <c r="Y1501" s="1242"/>
      <c r="Z1501" s="1242"/>
      <c r="AA1501" s="1242"/>
      <c r="AB1501" s="1242"/>
      <c r="AC1501" s="1242"/>
      <c r="AD1501" s="1242"/>
      <c r="AE1501" s="1242"/>
      <c r="AF1501" s="1242"/>
      <c r="AG1501" s="1242"/>
      <c r="AH1501" s="1242"/>
      <c r="AI1501" s="1242"/>
      <c r="AJ1501" s="1242"/>
      <c r="AK1501" s="1242"/>
      <c r="AL1501" s="1242"/>
      <c r="AM1501" s="1242"/>
      <c r="AN1501" s="1242"/>
      <c r="AO1501" s="1242"/>
      <c r="AP1501" s="1242"/>
      <c r="AQ1501" s="1242"/>
      <c r="AR1501" s="1236"/>
      <c r="AS1501" s="407"/>
      <c r="AT1501" s="407"/>
      <c r="AU1501" s="1242"/>
      <c r="AV1501" s="1242"/>
      <c r="AW1501" s="1242"/>
      <c r="AX1501" s="1242"/>
      <c r="AY1501" s="1242"/>
      <c r="AZ1501" s="1242"/>
      <c r="BA1501" s="1242"/>
      <c r="BB1501" s="1242"/>
      <c r="BC1501" s="1242"/>
      <c r="BD1501" s="1242"/>
      <c r="BE1501" s="1242"/>
    </row>
    <row r="1502" spans="1:57" x14ac:dyDescent="0.2">
      <c r="A1502" s="70"/>
      <c r="B1502" s="70"/>
      <c r="C1502" s="35"/>
      <c r="D1502" s="1242"/>
      <c r="E1502" s="1242"/>
      <c r="F1502" s="1242"/>
      <c r="G1502" s="1242"/>
      <c r="H1502" s="1242"/>
      <c r="I1502" s="1242"/>
      <c r="J1502" s="1242"/>
      <c r="K1502" s="1242"/>
      <c r="L1502" s="1242"/>
      <c r="M1502" s="1242"/>
      <c r="N1502" s="1242"/>
      <c r="O1502" s="1242"/>
      <c r="P1502" s="1242"/>
      <c r="Q1502" s="1242"/>
      <c r="R1502" s="1242"/>
      <c r="S1502" s="1242"/>
      <c r="T1502" s="1242"/>
      <c r="U1502" s="1242"/>
      <c r="V1502" s="1242"/>
      <c r="W1502" s="1242"/>
      <c r="X1502" s="1242"/>
      <c r="Y1502" s="1242"/>
      <c r="Z1502" s="1242"/>
      <c r="AA1502" s="1242"/>
      <c r="AB1502" s="1242"/>
      <c r="AC1502" s="1242"/>
      <c r="AD1502" s="1242"/>
      <c r="AE1502" s="1242"/>
      <c r="AF1502" s="1242"/>
      <c r="AG1502" s="1242"/>
      <c r="AH1502" s="1242"/>
      <c r="AI1502" s="1242"/>
      <c r="AJ1502" s="1242"/>
      <c r="AK1502" s="1242"/>
      <c r="AL1502" s="1242"/>
      <c r="AM1502" s="1242"/>
      <c r="AN1502" s="1242"/>
      <c r="AO1502" s="1242"/>
      <c r="AP1502" s="1242"/>
      <c r="AQ1502" s="1242"/>
      <c r="AR1502" s="1236"/>
      <c r="AS1502" s="1236"/>
      <c r="AT1502" s="407"/>
      <c r="AU1502" s="1242"/>
      <c r="AV1502" s="1242"/>
      <c r="AW1502" s="1242"/>
      <c r="AX1502" s="1242"/>
      <c r="AY1502" s="1242"/>
      <c r="AZ1502" s="1242"/>
      <c r="BA1502" s="1242"/>
      <c r="BB1502" s="1242"/>
      <c r="BC1502" s="1242"/>
      <c r="BD1502" s="1242"/>
      <c r="BE1502" s="1242"/>
    </row>
    <row r="1503" spans="1:57" x14ac:dyDescent="0.2">
      <c r="A1503" s="70"/>
      <c r="D1503" s="1242"/>
      <c r="E1503" s="1242"/>
      <c r="F1503" s="1242"/>
      <c r="G1503" s="1242"/>
      <c r="H1503" s="1242"/>
      <c r="I1503" s="1242"/>
      <c r="J1503" s="1242"/>
      <c r="K1503" s="1242"/>
      <c r="L1503" s="1242"/>
      <c r="M1503" s="1242"/>
      <c r="N1503" s="1242"/>
      <c r="O1503" s="1242"/>
      <c r="P1503" s="1242"/>
      <c r="Q1503" s="1242"/>
      <c r="R1503" s="1242"/>
      <c r="S1503" s="1242"/>
      <c r="T1503" s="1242"/>
      <c r="U1503" s="1242"/>
      <c r="V1503" s="1242"/>
      <c r="W1503" s="1242"/>
      <c r="X1503" s="1242"/>
      <c r="Y1503" s="1242"/>
      <c r="Z1503" s="1242"/>
      <c r="AA1503" s="1242"/>
      <c r="AB1503" s="1242"/>
      <c r="AC1503" s="1242"/>
      <c r="AD1503" s="1242"/>
      <c r="AE1503" s="1242"/>
      <c r="AF1503" s="1242"/>
      <c r="AG1503" s="1242"/>
      <c r="AH1503" s="1242"/>
      <c r="AI1503" s="1242"/>
      <c r="AJ1503" s="1242"/>
      <c r="AK1503" s="1242"/>
      <c r="AL1503" s="1242"/>
      <c r="AM1503" s="1242"/>
      <c r="AN1503" s="1242"/>
      <c r="AO1503" s="1242"/>
      <c r="AP1503" s="1242"/>
      <c r="AQ1503" s="1242"/>
      <c r="AR1503" s="1236"/>
      <c r="AS1503" s="1382"/>
      <c r="AT1503" s="407"/>
      <c r="AU1503" s="1242"/>
      <c r="AV1503" s="1242"/>
      <c r="AW1503" s="1242"/>
      <c r="AX1503" s="1242"/>
      <c r="AY1503" s="1242"/>
      <c r="AZ1503" s="1242"/>
      <c r="BA1503" s="1242"/>
      <c r="BB1503" s="1242"/>
      <c r="BC1503" s="1242"/>
      <c r="BD1503" s="1242"/>
      <c r="BE1503" s="1242"/>
    </row>
    <row r="1504" spans="1:57" x14ac:dyDescent="0.2">
      <c r="A1504" s="70"/>
      <c r="B1504" s="35"/>
      <c r="D1504" s="1242"/>
      <c r="E1504" s="1242"/>
      <c r="F1504" s="1242"/>
      <c r="G1504" s="1242"/>
      <c r="H1504" s="1242"/>
      <c r="I1504" s="1242"/>
      <c r="J1504" s="1242"/>
      <c r="K1504" s="1242"/>
      <c r="L1504" s="1242"/>
      <c r="M1504" s="1242"/>
      <c r="N1504" s="1242"/>
      <c r="O1504" s="1242"/>
      <c r="P1504" s="1242"/>
      <c r="Q1504" s="1242"/>
      <c r="R1504" s="1242"/>
      <c r="S1504" s="1242"/>
      <c r="T1504" s="1242"/>
      <c r="U1504" s="1242"/>
      <c r="V1504" s="1242"/>
      <c r="W1504" s="1242"/>
      <c r="X1504" s="1242"/>
      <c r="Y1504" s="1242"/>
      <c r="Z1504" s="1242"/>
      <c r="AA1504" s="1242"/>
      <c r="AB1504" s="1242"/>
      <c r="AC1504" s="1242"/>
      <c r="AD1504" s="1242"/>
      <c r="AE1504" s="1242"/>
      <c r="AF1504" s="1242"/>
      <c r="AG1504" s="1242"/>
      <c r="AH1504" s="1242"/>
      <c r="AI1504" s="1242"/>
      <c r="AJ1504" s="1242"/>
      <c r="AK1504" s="1242"/>
      <c r="AL1504" s="1242"/>
      <c r="AM1504" s="1242"/>
      <c r="AN1504" s="1242"/>
      <c r="AO1504" s="1242"/>
      <c r="AP1504" s="1242"/>
      <c r="AQ1504" s="1242"/>
      <c r="AR1504" s="1236"/>
      <c r="AS1504" s="407"/>
      <c r="AT1504" s="407"/>
      <c r="AU1504" s="1242"/>
      <c r="AV1504" s="1242"/>
      <c r="AW1504" s="1242"/>
      <c r="AX1504" s="1242"/>
      <c r="AY1504" s="1242"/>
      <c r="AZ1504" s="1242"/>
      <c r="BA1504" s="1242"/>
      <c r="BB1504" s="1242"/>
      <c r="BC1504" s="1242"/>
      <c r="BD1504" s="1242"/>
      <c r="BE1504" s="1242"/>
    </row>
    <row r="1505" spans="1:57" x14ac:dyDescent="0.2">
      <c r="B1505" s="1217"/>
      <c r="D1505" s="1242"/>
      <c r="E1505" s="1242"/>
      <c r="F1505" s="1242"/>
      <c r="G1505" s="1242"/>
      <c r="H1505" s="1242"/>
      <c r="I1505" s="1242"/>
      <c r="J1505" s="1242"/>
      <c r="K1505" s="1242"/>
      <c r="L1505" s="1242"/>
      <c r="M1505" s="1242"/>
      <c r="N1505" s="1242"/>
      <c r="O1505" s="1242"/>
      <c r="P1505" s="1242"/>
      <c r="Q1505" s="1242"/>
      <c r="R1505" s="1242"/>
      <c r="S1505" s="1242"/>
      <c r="T1505" s="1242"/>
      <c r="U1505" s="1242"/>
      <c r="V1505" s="1242"/>
      <c r="W1505" s="1242"/>
      <c r="X1505" s="1242"/>
      <c r="Y1505" s="1242"/>
      <c r="Z1505" s="1242"/>
      <c r="AA1505" s="1242"/>
      <c r="AB1505" s="1242"/>
      <c r="AC1505" s="1242"/>
      <c r="AD1505" s="1242"/>
      <c r="AE1505" s="1242"/>
      <c r="AF1505" s="1242"/>
      <c r="AG1505" s="1242"/>
      <c r="AH1505" s="1242"/>
      <c r="AI1505" s="1242"/>
      <c r="AJ1505" s="1242"/>
      <c r="AK1505" s="1242"/>
      <c r="AL1505" s="1242"/>
      <c r="AM1505" s="1242"/>
      <c r="AN1505" s="1242"/>
      <c r="AO1505" s="1242"/>
      <c r="AP1505" s="1242"/>
      <c r="AQ1505" s="1242"/>
      <c r="AR1505" s="1236"/>
      <c r="AS1505" s="407"/>
      <c r="AT1505" s="407"/>
      <c r="AU1505" s="1242"/>
      <c r="AV1505" s="1242"/>
      <c r="AW1505" s="1242"/>
      <c r="AX1505" s="1242"/>
      <c r="AY1505" s="1242"/>
      <c r="AZ1505" s="1242"/>
      <c r="BA1505" s="1242"/>
      <c r="BB1505" s="1242"/>
      <c r="BC1505" s="1242"/>
      <c r="BD1505" s="1242"/>
      <c r="BE1505" s="1242"/>
    </row>
    <row r="1506" spans="1:57" x14ac:dyDescent="0.2">
      <c r="B1506" s="35"/>
      <c r="D1506" s="1242"/>
      <c r="E1506" s="1242"/>
      <c r="F1506" s="1242"/>
      <c r="G1506" s="1242"/>
      <c r="H1506" s="1242"/>
      <c r="I1506" s="1242"/>
      <c r="J1506" s="1242"/>
      <c r="K1506" s="1242"/>
      <c r="L1506" s="1242"/>
      <c r="M1506" s="1242"/>
      <c r="N1506" s="1242"/>
      <c r="O1506" s="1242"/>
      <c r="P1506" s="1242"/>
      <c r="Q1506" s="1242"/>
      <c r="R1506" s="1242"/>
      <c r="S1506" s="1242"/>
      <c r="T1506" s="1242"/>
      <c r="U1506" s="1242"/>
      <c r="V1506" s="1242"/>
      <c r="W1506" s="1242"/>
      <c r="X1506" s="1242"/>
      <c r="Y1506" s="1242"/>
      <c r="Z1506" s="1242"/>
      <c r="AA1506" s="1242"/>
      <c r="AB1506" s="1242"/>
      <c r="AC1506" s="1242"/>
      <c r="AD1506" s="1242"/>
      <c r="AE1506" s="1242"/>
      <c r="AF1506" s="1242"/>
      <c r="AG1506" s="1242"/>
      <c r="AH1506" s="1242"/>
      <c r="AI1506" s="1242"/>
      <c r="AJ1506" s="1242"/>
      <c r="AK1506" s="1242"/>
      <c r="AL1506" s="1242"/>
      <c r="AM1506" s="1242"/>
      <c r="AN1506" s="1242"/>
      <c r="AO1506" s="1242"/>
      <c r="AP1506" s="1242"/>
      <c r="AQ1506" s="1242"/>
      <c r="AR1506" s="1236"/>
      <c r="AS1506" s="407"/>
      <c r="AT1506" s="407"/>
      <c r="AU1506" s="1242"/>
      <c r="AV1506" s="1242"/>
      <c r="AW1506" s="1242"/>
      <c r="AX1506" s="1242"/>
      <c r="AY1506" s="1242"/>
      <c r="AZ1506" s="1242"/>
      <c r="BA1506" s="1242"/>
      <c r="BB1506" s="1242"/>
      <c r="BC1506" s="1242"/>
      <c r="BD1506" s="1242"/>
      <c r="BE1506" s="1242"/>
    </row>
    <row r="1507" spans="1:57" x14ac:dyDescent="0.2">
      <c r="B1507" s="35"/>
      <c r="D1507" s="1242"/>
      <c r="E1507" s="1242"/>
      <c r="F1507" s="1242"/>
      <c r="G1507" s="1242"/>
      <c r="H1507" s="1242"/>
      <c r="I1507" s="1242"/>
      <c r="J1507" s="1242"/>
      <c r="K1507" s="1242"/>
      <c r="L1507" s="1242"/>
      <c r="M1507" s="1242"/>
      <c r="N1507" s="1242"/>
      <c r="O1507" s="1242"/>
      <c r="P1507" s="1242"/>
      <c r="Q1507" s="1242"/>
      <c r="R1507" s="1242"/>
      <c r="S1507" s="1242"/>
      <c r="T1507" s="1242"/>
      <c r="U1507" s="1242"/>
      <c r="V1507" s="1242"/>
      <c r="W1507" s="1242"/>
      <c r="X1507" s="1242"/>
      <c r="Y1507" s="1242"/>
      <c r="Z1507" s="1242"/>
      <c r="AA1507" s="1242"/>
      <c r="AB1507" s="1242"/>
      <c r="AC1507" s="1242"/>
      <c r="AD1507" s="1242"/>
      <c r="AE1507" s="1242"/>
      <c r="AF1507" s="1242"/>
      <c r="AG1507" s="1242"/>
      <c r="AH1507" s="1242"/>
      <c r="AI1507" s="1242"/>
      <c r="AJ1507" s="1242"/>
      <c r="AK1507" s="1242"/>
      <c r="AL1507" s="1242"/>
      <c r="AM1507" s="1242"/>
      <c r="AN1507" s="1242"/>
      <c r="AO1507" s="1242"/>
      <c r="AP1507" s="1242"/>
      <c r="AQ1507" s="1242"/>
      <c r="AR1507" s="1236"/>
      <c r="AS1507" s="407"/>
      <c r="AT1507" s="407"/>
      <c r="AU1507" s="1242"/>
      <c r="AV1507" s="1242"/>
      <c r="AW1507" s="1242"/>
      <c r="AX1507" s="1242"/>
      <c r="AY1507" s="1242"/>
      <c r="AZ1507" s="1242"/>
      <c r="BA1507" s="1242"/>
      <c r="BB1507" s="1242"/>
      <c r="BC1507" s="1242"/>
      <c r="BD1507" s="1242"/>
      <c r="BE1507" s="1242"/>
    </row>
    <row r="1508" spans="1:57" s="382" customFormat="1" x14ac:dyDescent="0.2">
      <c r="A1508" s="833"/>
      <c r="B1508" s="329"/>
      <c r="C1508" s="1217"/>
      <c r="D1508" s="1242"/>
      <c r="E1508" s="1242"/>
      <c r="F1508" s="1242"/>
      <c r="G1508" s="1242"/>
      <c r="H1508" s="1242"/>
      <c r="I1508" s="1242"/>
      <c r="J1508" s="1242"/>
      <c r="K1508" s="1242"/>
      <c r="L1508" s="1242"/>
      <c r="M1508" s="1242"/>
      <c r="N1508" s="1242"/>
      <c r="O1508" s="1242"/>
      <c r="P1508" s="1242"/>
      <c r="Q1508" s="1242"/>
      <c r="R1508" s="1242"/>
      <c r="S1508" s="1242"/>
      <c r="T1508" s="1242"/>
      <c r="U1508" s="1242"/>
      <c r="V1508" s="1242"/>
      <c r="W1508" s="1242"/>
      <c r="X1508" s="1242"/>
      <c r="Y1508" s="1242"/>
      <c r="Z1508" s="1242"/>
      <c r="AA1508" s="1242"/>
      <c r="AB1508" s="1242"/>
      <c r="AC1508" s="1242"/>
      <c r="AD1508" s="1242"/>
      <c r="AE1508" s="1242"/>
      <c r="AF1508" s="1242"/>
      <c r="AG1508" s="1242"/>
      <c r="AH1508" s="1242"/>
      <c r="AI1508" s="1242"/>
      <c r="AJ1508" s="1242"/>
      <c r="AK1508" s="1242"/>
      <c r="AL1508" s="1242"/>
      <c r="AM1508" s="1242"/>
      <c r="AN1508" s="1242"/>
      <c r="AO1508" s="1242"/>
      <c r="AP1508" s="1242"/>
      <c r="AQ1508" s="1242"/>
      <c r="AR1508" s="1236"/>
      <c r="AS1508" s="1519"/>
      <c r="AT1508" s="407"/>
      <c r="AU1508" s="1242"/>
      <c r="AV1508" s="1242"/>
      <c r="AW1508" s="1242"/>
      <c r="AX1508" s="1242"/>
      <c r="AY1508" s="1242"/>
      <c r="AZ1508" s="1242"/>
      <c r="BA1508" s="1242"/>
      <c r="BB1508" s="1242"/>
      <c r="BC1508" s="1242"/>
      <c r="BD1508" s="1242"/>
      <c r="BE1508" s="1242"/>
    </row>
    <row r="1509" spans="1:57" s="382" customFormat="1" x14ac:dyDescent="0.2">
      <c r="A1509" s="833"/>
      <c r="B1509" s="329"/>
      <c r="C1509" s="1217"/>
      <c r="D1509" s="1242"/>
      <c r="E1509" s="1242"/>
      <c r="F1509" s="1242"/>
      <c r="G1509" s="1242"/>
      <c r="H1509" s="1242"/>
      <c r="I1509" s="1242"/>
      <c r="J1509" s="1242"/>
      <c r="K1509" s="1242"/>
      <c r="L1509" s="1242"/>
      <c r="M1509" s="1242"/>
      <c r="N1509" s="1242"/>
      <c r="O1509" s="1242"/>
      <c r="P1509" s="1242"/>
      <c r="Q1509" s="1242"/>
      <c r="R1509" s="1242"/>
      <c r="S1509" s="1242"/>
      <c r="T1509" s="1242"/>
      <c r="U1509" s="1242"/>
      <c r="V1509" s="1242"/>
      <c r="W1509" s="1242"/>
      <c r="X1509" s="1242"/>
      <c r="Y1509" s="1242"/>
      <c r="Z1509" s="1242"/>
      <c r="AA1509" s="1242"/>
      <c r="AB1509" s="1242"/>
      <c r="AC1509" s="1242"/>
      <c r="AD1509" s="1242"/>
      <c r="AE1509" s="1242"/>
      <c r="AF1509" s="1242"/>
      <c r="AG1509" s="1242"/>
      <c r="AH1509" s="1242"/>
      <c r="AI1509" s="1242"/>
      <c r="AJ1509" s="1242"/>
      <c r="AK1509" s="1242"/>
      <c r="AL1509" s="1242"/>
      <c r="AM1509" s="1242"/>
      <c r="AN1509" s="1242"/>
      <c r="AO1509" s="1242"/>
      <c r="AP1509" s="1242"/>
      <c r="AQ1509" s="1242"/>
      <c r="AR1509" s="1236"/>
      <c r="AS1509" s="1519"/>
      <c r="AT1509" s="407"/>
      <c r="AU1509" s="1242"/>
      <c r="AV1509" s="1242"/>
      <c r="AW1509" s="1242"/>
      <c r="AX1509" s="1242"/>
      <c r="AY1509" s="1242"/>
      <c r="AZ1509" s="1242"/>
      <c r="BA1509" s="1242"/>
      <c r="BB1509" s="1242"/>
      <c r="BC1509" s="1242"/>
      <c r="BD1509" s="1242"/>
      <c r="BE1509" s="1242"/>
    </row>
    <row r="1510" spans="1:57" s="382" customFormat="1" x14ac:dyDescent="0.2">
      <c r="A1510" s="833"/>
      <c r="B1510" s="329"/>
      <c r="C1510" s="1217"/>
      <c r="D1510" s="1242"/>
      <c r="E1510" s="1242"/>
      <c r="F1510" s="1242"/>
      <c r="G1510" s="1242"/>
      <c r="H1510" s="1242"/>
      <c r="I1510" s="1242"/>
      <c r="J1510" s="1242"/>
      <c r="K1510" s="1242"/>
      <c r="L1510" s="1242"/>
      <c r="M1510" s="1242"/>
      <c r="N1510" s="1242"/>
      <c r="O1510" s="1242"/>
      <c r="P1510" s="1242"/>
      <c r="Q1510" s="1242"/>
      <c r="R1510" s="1242"/>
      <c r="S1510" s="1242"/>
      <c r="T1510" s="1242"/>
      <c r="U1510" s="1242"/>
      <c r="V1510" s="1242"/>
      <c r="W1510" s="1242"/>
      <c r="X1510" s="1242"/>
      <c r="Y1510" s="1242"/>
      <c r="Z1510" s="1242"/>
      <c r="AA1510" s="1242"/>
      <c r="AB1510" s="1242"/>
      <c r="AC1510" s="1242"/>
      <c r="AD1510" s="1242"/>
      <c r="AE1510" s="1242"/>
      <c r="AF1510" s="1242"/>
      <c r="AG1510" s="1242"/>
      <c r="AH1510" s="1242"/>
      <c r="AI1510" s="1242"/>
      <c r="AJ1510" s="1242"/>
      <c r="AK1510" s="1242"/>
      <c r="AL1510" s="1242"/>
      <c r="AM1510" s="1242"/>
      <c r="AN1510" s="1242"/>
      <c r="AO1510" s="1242"/>
      <c r="AP1510" s="1242"/>
      <c r="AQ1510" s="1242"/>
      <c r="AR1510" s="1236"/>
      <c r="AS1510" s="1519"/>
      <c r="AT1510" s="407"/>
      <c r="AU1510" s="1242"/>
      <c r="AV1510" s="1242"/>
      <c r="AW1510" s="1242"/>
      <c r="AX1510" s="1242"/>
      <c r="AY1510" s="1242"/>
      <c r="AZ1510" s="1242"/>
      <c r="BA1510" s="1242"/>
      <c r="BB1510" s="1242"/>
      <c r="BC1510" s="1242"/>
      <c r="BD1510" s="1242"/>
      <c r="BE1510" s="1242"/>
    </row>
    <row r="1511" spans="1:57" s="382" customFormat="1" x14ac:dyDescent="0.2">
      <c r="A1511" s="833"/>
      <c r="B1511" s="329"/>
      <c r="C1511" s="1217"/>
      <c r="D1511" s="1242"/>
      <c r="E1511" s="1242"/>
      <c r="F1511" s="1242"/>
      <c r="G1511" s="1242"/>
      <c r="H1511" s="1242"/>
      <c r="I1511" s="1242"/>
      <c r="J1511" s="1242"/>
      <c r="K1511" s="1242"/>
      <c r="L1511" s="1242"/>
      <c r="M1511" s="1242"/>
      <c r="N1511" s="1242"/>
      <c r="O1511" s="1242"/>
      <c r="P1511" s="1242"/>
      <c r="Q1511" s="1242"/>
      <c r="R1511" s="1242"/>
      <c r="S1511" s="1242"/>
      <c r="T1511" s="1242"/>
      <c r="U1511" s="1242"/>
      <c r="V1511" s="1242"/>
      <c r="W1511" s="1242"/>
      <c r="X1511" s="1242"/>
      <c r="Y1511" s="1242"/>
      <c r="Z1511" s="1242"/>
      <c r="AA1511" s="1242"/>
      <c r="AB1511" s="1242"/>
      <c r="AC1511" s="1242"/>
      <c r="AD1511" s="1242"/>
      <c r="AE1511" s="1242"/>
      <c r="AF1511" s="1242"/>
      <c r="AG1511" s="1242"/>
      <c r="AH1511" s="1242"/>
      <c r="AI1511" s="1242"/>
      <c r="AJ1511" s="1242"/>
      <c r="AK1511" s="1242"/>
      <c r="AL1511" s="1242"/>
      <c r="AM1511" s="1242"/>
      <c r="AN1511" s="1242"/>
      <c r="AO1511" s="1242"/>
      <c r="AP1511" s="1242"/>
      <c r="AQ1511" s="1242"/>
      <c r="AR1511" s="1236"/>
      <c r="AS1511" s="1519"/>
      <c r="AT1511" s="407"/>
      <c r="AU1511" s="1242"/>
      <c r="AV1511" s="1242"/>
      <c r="AW1511" s="1242"/>
      <c r="AX1511" s="1242"/>
      <c r="AY1511" s="1242"/>
      <c r="AZ1511" s="1242"/>
      <c r="BA1511" s="1242"/>
      <c r="BB1511" s="1242"/>
      <c r="BC1511" s="1242"/>
      <c r="BD1511" s="1242"/>
      <c r="BE1511" s="1242"/>
    </row>
    <row r="1512" spans="1:57" s="382" customFormat="1" x14ac:dyDescent="0.2">
      <c r="A1512" s="833"/>
      <c r="B1512" s="329"/>
      <c r="C1512" s="1217"/>
      <c r="D1512" s="1242"/>
      <c r="E1512" s="1358"/>
      <c r="F1512" s="1358"/>
      <c r="G1512" s="1358"/>
      <c r="H1512" s="1358"/>
      <c r="I1512" s="1358"/>
      <c r="J1512" s="1358"/>
      <c r="K1512" s="1358"/>
      <c r="L1512" s="1358"/>
      <c r="M1512" s="1358"/>
      <c r="N1512" s="1358"/>
      <c r="O1512" s="1358"/>
      <c r="P1512" s="1358"/>
      <c r="Q1512" s="1358"/>
      <c r="R1512" s="1358"/>
      <c r="S1512" s="1358"/>
      <c r="T1512" s="1358"/>
      <c r="U1512" s="1358"/>
      <c r="V1512" s="1358"/>
      <c r="W1512" s="1358"/>
      <c r="X1512" s="1358"/>
      <c r="Y1512" s="1358"/>
      <c r="Z1512" s="1409"/>
      <c r="AA1512" s="1358"/>
      <c r="AB1512" s="1409"/>
      <c r="AC1512" s="1358"/>
      <c r="AD1512" s="1263"/>
      <c r="AE1512" s="1263"/>
      <c r="AF1512" s="1263"/>
      <c r="AG1512" s="1263"/>
      <c r="AH1512" s="1263"/>
      <c r="AI1512" s="1358"/>
      <c r="AJ1512" s="1358"/>
      <c r="AK1512" s="1358"/>
      <c r="AL1512" s="1358"/>
      <c r="AM1512" s="1358"/>
      <c r="AN1512" s="1358"/>
      <c r="AO1512" s="1358"/>
      <c r="AP1512" s="1358"/>
      <c r="AQ1512" s="1358"/>
      <c r="AR1512" s="1236"/>
      <c r="AS1512" s="1519"/>
      <c r="AT1512" s="407"/>
      <c r="AU1512" s="1263"/>
      <c r="AV1512" s="1358"/>
      <c r="AW1512" s="1263"/>
      <c r="AX1512" s="1358"/>
      <c r="AY1512" s="1263"/>
      <c r="AZ1512" s="1358"/>
      <c r="BA1512" s="1308"/>
      <c r="BB1512" s="1358"/>
      <c r="BC1512" s="1358"/>
      <c r="BD1512" s="1358"/>
      <c r="BE1512" s="1358"/>
    </row>
    <row r="1513" spans="1:57" s="382" customFormat="1" x14ac:dyDescent="0.2">
      <c r="A1513" s="833"/>
      <c r="B1513" s="143"/>
      <c r="C1513" s="1217"/>
      <c r="D1513" s="1242"/>
      <c r="E1513" s="1358"/>
      <c r="F1513" s="1358"/>
      <c r="G1513" s="1358"/>
      <c r="H1513" s="1358"/>
      <c r="I1513" s="1358"/>
      <c r="J1513" s="1358"/>
      <c r="K1513" s="1358"/>
      <c r="L1513" s="1358"/>
      <c r="M1513" s="1358"/>
      <c r="N1513" s="1358"/>
      <c r="O1513" s="1358"/>
      <c r="P1513" s="1358"/>
      <c r="Q1513" s="1358"/>
      <c r="R1513" s="1358"/>
      <c r="S1513" s="1358"/>
      <c r="T1513" s="1358"/>
      <c r="U1513" s="1358"/>
      <c r="V1513" s="1358"/>
      <c r="W1513" s="1358"/>
      <c r="X1513" s="1358"/>
      <c r="Y1513" s="1358"/>
      <c r="Z1513" s="1409"/>
      <c r="AA1513" s="1358"/>
      <c r="AB1513" s="1409"/>
      <c r="AC1513" s="1358"/>
      <c r="AD1513" s="1263"/>
      <c r="AE1513" s="1263"/>
      <c r="AF1513" s="1263"/>
      <c r="AG1513" s="1263"/>
      <c r="AH1513" s="1263"/>
      <c r="AI1513" s="1358"/>
      <c r="AJ1513" s="1358"/>
      <c r="AK1513" s="1358"/>
      <c r="AL1513" s="1358"/>
      <c r="AM1513" s="1358"/>
      <c r="AN1513" s="1358"/>
      <c r="AO1513" s="1358"/>
      <c r="AP1513" s="1358"/>
      <c r="AQ1513" s="1358"/>
      <c r="AR1513" s="1236"/>
      <c r="AS1513" s="1587"/>
      <c r="AT1513" s="407"/>
      <c r="AU1513" s="1263"/>
      <c r="AV1513" s="1358"/>
      <c r="AW1513" s="1263"/>
      <c r="AX1513" s="1358"/>
      <c r="AY1513" s="1263"/>
      <c r="AZ1513" s="1358"/>
      <c r="BA1513" s="1308"/>
      <c r="BB1513" s="1358"/>
      <c r="BC1513" s="1358"/>
      <c r="BD1513" s="1358"/>
      <c r="BE1513" s="1358"/>
    </row>
    <row r="1514" spans="1:57" s="382" customFormat="1" x14ac:dyDescent="0.2">
      <c r="A1514" s="833"/>
      <c r="B1514" s="1217"/>
      <c r="C1514" s="1217"/>
      <c r="D1514" s="1327"/>
      <c r="E1514" s="1260"/>
      <c r="F1514" s="1260"/>
      <c r="G1514" s="1260"/>
      <c r="H1514" s="1260"/>
      <c r="I1514" s="1260"/>
      <c r="J1514" s="1260"/>
      <c r="K1514" s="1260"/>
      <c r="L1514" s="1260"/>
      <c r="M1514" s="1260"/>
      <c r="N1514" s="1260"/>
      <c r="O1514" s="1260"/>
      <c r="P1514" s="1260"/>
      <c r="Q1514" s="1260"/>
      <c r="R1514" s="1260"/>
      <c r="S1514" s="1260"/>
      <c r="T1514" s="1260"/>
      <c r="U1514" s="1260"/>
      <c r="V1514" s="1260"/>
      <c r="W1514" s="1260"/>
      <c r="X1514" s="1260"/>
      <c r="Y1514" s="1260"/>
      <c r="Z1514" s="1300"/>
      <c r="AA1514" s="1300"/>
      <c r="AB1514" s="1300"/>
      <c r="AC1514" s="1300"/>
      <c r="AD1514" s="1300"/>
      <c r="AE1514" s="1300"/>
      <c r="AF1514" s="1300"/>
      <c r="AG1514" s="1300"/>
      <c r="AH1514" s="1300"/>
      <c r="AI1514" s="1300"/>
      <c r="AJ1514" s="1300"/>
      <c r="AK1514" s="1300"/>
      <c r="AL1514" s="1300"/>
      <c r="AM1514" s="1300"/>
      <c r="AN1514" s="1300"/>
      <c r="AO1514" s="1300"/>
      <c r="AP1514" s="1300"/>
      <c r="AQ1514" s="1300"/>
      <c r="AR1514" s="1236"/>
      <c r="AS1514" s="407"/>
      <c r="AT1514" s="407"/>
      <c r="AU1514" s="1263"/>
      <c r="AV1514" s="1263"/>
      <c r="AW1514" s="1263"/>
      <c r="AX1514" s="1263"/>
      <c r="AY1514" s="1263"/>
      <c r="AZ1514" s="1263"/>
      <c r="BA1514" s="1263"/>
      <c r="BB1514" s="1300"/>
      <c r="BC1514" s="1300"/>
      <c r="BD1514" s="1300"/>
      <c r="BE1514" s="1300"/>
    </row>
    <row r="1515" spans="1:57" s="382" customFormat="1" x14ac:dyDescent="0.2">
      <c r="A1515" s="833"/>
      <c r="B1515" s="329"/>
      <c r="C1515" s="1217"/>
      <c r="D1515" s="1260"/>
      <c r="E1515" s="1260"/>
      <c r="F1515" s="1260"/>
      <c r="G1515" s="1260"/>
      <c r="H1515" s="1260"/>
      <c r="I1515" s="1260"/>
      <c r="J1515" s="1260"/>
      <c r="K1515" s="1260"/>
      <c r="L1515" s="1260"/>
      <c r="M1515" s="1260"/>
      <c r="N1515" s="1260"/>
      <c r="O1515" s="1260"/>
      <c r="P1515" s="1260"/>
      <c r="Q1515" s="1260"/>
      <c r="R1515" s="1260"/>
      <c r="S1515" s="1260"/>
      <c r="T1515" s="1260"/>
      <c r="U1515" s="1260"/>
      <c r="V1515" s="1260"/>
      <c r="W1515" s="1260"/>
      <c r="X1515" s="1260"/>
      <c r="Y1515" s="1260"/>
      <c r="Z1515" s="1300"/>
      <c r="AA1515" s="1300"/>
      <c r="AB1515" s="1300"/>
      <c r="AC1515" s="1300"/>
      <c r="AD1515" s="1300"/>
      <c r="AE1515" s="1300"/>
      <c r="AF1515" s="1300"/>
      <c r="AG1515" s="1300"/>
      <c r="AH1515" s="1300"/>
      <c r="AI1515" s="1300"/>
      <c r="AJ1515" s="1300"/>
      <c r="AK1515" s="1300"/>
      <c r="AL1515" s="1300"/>
      <c r="AM1515" s="1300"/>
      <c r="AN1515" s="1300"/>
      <c r="AO1515" s="1300"/>
      <c r="AP1515" s="1300"/>
      <c r="AQ1515" s="1300"/>
      <c r="AR1515" s="1236"/>
      <c r="AS1515" s="1519"/>
      <c r="AT1515" s="407"/>
      <c r="AU1515" s="1263"/>
      <c r="AV1515" s="1263"/>
      <c r="AW1515" s="1263"/>
      <c r="AX1515" s="1263"/>
      <c r="AY1515" s="1263"/>
      <c r="AZ1515" s="1263"/>
      <c r="BA1515" s="1263"/>
      <c r="BB1515" s="1300"/>
      <c r="BC1515" s="1300"/>
      <c r="BD1515" s="1300"/>
      <c r="BE1515" s="1300"/>
    </row>
    <row r="1516" spans="1:57" s="382" customFormat="1" x14ac:dyDescent="0.2">
      <c r="A1516" s="833"/>
      <c r="B1516" s="329"/>
      <c r="C1516" s="1217"/>
      <c r="D1516" s="1268"/>
      <c r="E1516" s="1268"/>
      <c r="F1516" s="1268"/>
      <c r="G1516" s="1268"/>
      <c r="H1516" s="1268"/>
      <c r="I1516" s="1268"/>
      <c r="J1516" s="1268"/>
      <c r="K1516" s="1268"/>
      <c r="L1516" s="1268"/>
      <c r="M1516" s="1268"/>
      <c r="N1516" s="1268"/>
      <c r="O1516" s="1268"/>
      <c r="P1516" s="1268"/>
      <c r="Q1516" s="1268"/>
      <c r="R1516" s="1268"/>
      <c r="S1516" s="1268"/>
      <c r="T1516" s="1268"/>
      <c r="U1516" s="1268"/>
      <c r="V1516" s="1268"/>
      <c r="W1516" s="1268"/>
      <c r="X1516" s="1268"/>
      <c r="Y1516" s="1268"/>
      <c r="Z1516" s="1294"/>
      <c r="AA1516" s="1294"/>
      <c r="AB1516" s="1294"/>
      <c r="AC1516" s="1294"/>
      <c r="AD1516" s="1294"/>
      <c r="AE1516" s="1294"/>
      <c r="AF1516" s="1294"/>
      <c r="AG1516" s="1294"/>
      <c r="AH1516" s="1294"/>
      <c r="AI1516" s="1294"/>
      <c r="AJ1516" s="1300"/>
      <c r="AK1516" s="1300"/>
      <c r="AL1516" s="1300"/>
      <c r="AM1516" s="1300"/>
      <c r="AN1516" s="1300"/>
      <c r="AO1516" s="1300"/>
      <c r="AP1516" s="1300"/>
      <c r="AQ1516" s="1300"/>
      <c r="AR1516" s="1236"/>
      <c r="AS1516" s="1519"/>
      <c r="AT1516" s="407"/>
      <c r="AU1516" s="1270"/>
      <c r="AV1516" s="1270"/>
      <c r="AW1516" s="1270"/>
      <c r="AX1516" s="1270"/>
      <c r="AY1516" s="1270"/>
      <c r="AZ1516" s="1270"/>
      <c r="BA1516" s="1270"/>
      <c r="BB1516" s="1294"/>
      <c r="BC1516" s="1294"/>
      <c r="BD1516" s="1294"/>
      <c r="BE1516" s="1294"/>
    </row>
    <row r="1517" spans="1:57" s="382" customFormat="1" x14ac:dyDescent="0.2">
      <c r="A1517" s="833"/>
      <c r="B1517" s="143"/>
      <c r="C1517" s="1217"/>
      <c r="D1517" s="1256"/>
      <c r="E1517" s="1256"/>
      <c r="F1517" s="1256"/>
      <c r="G1517" s="1256"/>
      <c r="H1517" s="1256"/>
      <c r="I1517" s="1256"/>
      <c r="J1517" s="1256"/>
      <c r="K1517" s="1256"/>
      <c r="L1517" s="1256"/>
      <c r="M1517" s="1256"/>
      <c r="N1517" s="1256"/>
      <c r="O1517" s="1256"/>
      <c r="P1517" s="1256"/>
      <c r="Q1517" s="1256"/>
      <c r="R1517" s="1256"/>
      <c r="S1517" s="1256"/>
      <c r="T1517" s="1256"/>
      <c r="U1517" s="1256"/>
      <c r="V1517" s="1256"/>
      <c r="W1517" s="1256"/>
      <c r="X1517" s="1256"/>
      <c r="Y1517" s="1256"/>
      <c r="Z1517" s="1256"/>
      <c r="AA1517" s="1256"/>
      <c r="AB1517" s="1256"/>
      <c r="AC1517" s="1256"/>
      <c r="AD1517" s="1256"/>
      <c r="AE1517" s="1256"/>
      <c r="AF1517" s="1256"/>
      <c r="AG1517" s="1256"/>
      <c r="AH1517" s="1256"/>
      <c r="AI1517" s="1256"/>
      <c r="AJ1517" s="1256"/>
      <c r="AK1517" s="1256"/>
      <c r="AL1517" s="1256"/>
      <c r="AM1517" s="1256"/>
      <c r="AN1517" s="1256"/>
      <c r="AO1517" s="1256"/>
      <c r="AP1517" s="1256"/>
      <c r="AQ1517" s="1256"/>
      <c r="AR1517" s="1236"/>
      <c r="AS1517" s="1587"/>
      <c r="AT1517" s="407"/>
      <c r="AU1517" s="1256"/>
      <c r="AV1517" s="1256"/>
      <c r="AW1517" s="1256"/>
      <c r="AX1517" s="1256"/>
      <c r="AY1517" s="1256"/>
      <c r="AZ1517" s="1256"/>
      <c r="BA1517" s="1256"/>
      <c r="BB1517" s="1256"/>
      <c r="BC1517" s="1256"/>
      <c r="BD1517" s="1256"/>
      <c r="BE1517" s="1256"/>
    </row>
    <row r="1518" spans="1:57" s="382" customFormat="1" x14ac:dyDescent="0.2">
      <c r="A1518" s="833"/>
      <c r="B1518" s="329"/>
      <c r="C1518" s="1217"/>
      <c r="D1518" s="1242"/>
      <c r="E1518" s="1358"/>
      <c r="F1518" s="1358"/>
      <c r="G1518" s="1358"/>
      <c r="H1518" s="1358"/>
      <c r="I1518" s="1358"/>
      <c r="J1518" s="1358"/>
      <c r="K1518" s="1358"/>
      <c r="L1518" s="1358"/>
      <c r="M1518" s="1358"/>
      <c r="N1518" s="1358"/>
      <c r="O1518" s="1358"/>
      <c r="P1518" s="1358"/>
      <c r="Q1518" s="1358"/>
      <c r="R1518" s="1358"/>
      <c r="S1518" s="1358"/>
      <c r="T1518" s="1358"/>
      <c r="U1518" s="1358"/>
      <c r="V1518" s="1358"/>
      <c r="W1518" s="1358"/>
      <c r="X1518" s="1358"/>
      <c r="Y1518" s="1358"/>
      <c r="Z1518" s="1358"/>
      <c r="AA1518" s="1358"/>
      <c r="AB1518" s="1358"/>
      <c r="AC1518" s="1358"/>
      <c r="AD1518" s="1358"/>
      <c r="AE1518" s="1358"/>
      <c r="AF1518" s="1358"/>
      <c r="AG1518" s="1358"/>
      <c r="AH1518" s="1358"/>
      <c r="AI1518" s="1358"/>
      <c r="AJ1518" s="1358"/>
      <c r="AK1518" s="1358"/>
      <c r="AL1518" s="1358"/>
      <c r="AM1518" s="1358"/>
      <c r="AN1518" s="1358"/>
      <c r="AO1518" s="1358"/>
      <c r="AP1518" s="1358"/>
      <c r="AQ1518" s="1358"/>
      <c r="AR1518" s="1236"/>
      <c r="AS1518" s="1519"/>
      <c r="AT1518" s="407"/>
      <c r="AU1518" s="1263"/>
      <c r="AV1518" s="1358"/>
      <c r="AW1518" s="1263"/>
      <c r="AX1518" s="1358"/>
      <c r="AY1518" s="1263"/>
      <c r="AZ1518" s="1358"/>
      <c r="BA1518" s="1308"/>
      <c r="BB1518" s="1358"/>
      <c r="BC1518" s="1358"/>
      <c r="BD1518" s="1358"/>
      <c r="BE1518" s="1358"/>
    </row>
    <row r="1519" spans="1:57" s="382" customFormat="1" x14ac:dyDescent="0.2">
      <c r="A1519" s="833"/>
      <c r="B1519" s="143"/>
      <c r="C1519" s="1217"/>
      <c r="D1519" s="1242"/>
      <c r="E1519" s="1358"/>
      <c r="F1519" s="1358"/>
      <c r="G1519" s="1358"/>
      <c r="H1519" s="1358"/>
      <c r="I1519" s="1358"/>
      <c r="J1519" s="1358"/>
      <c r="K1519" s="1358"/>
      <c r="L1519" s="1358"/>
      <c r="M1519" s="1358"/>
      <c r="N1519" s="1358"/>
      <c r="O1519" s="1358"/>
      <c r="P1519" s="1358"/>
      <c r="Q1519" s="1358"/>
      <c r="R1519" s="1358"/>
      <c r="S1519" s="1358"/>
      <c r="T1519" s="1358"/>
      <c r="U1519" s="1358"/>
      <c r="V1519" s="1358"/>
      <c r="W1519" s="1358"/>
      <c r="X1519" s="1358"/>
      <c r="Y1519" s="1358"/>
      <c r="Z1519" s="1358"/>
      <c r="AA1519" s="1358"/>
      <c r="AB1519" s="1358"/>
      <c r="AC1519" s="1358"/>
      <c r="AD1519" s="1358"/>
      <c r="AE1519" s="1358"/>
      <c r="AF1519" s="1358"/>
      <c r="AG1519" s="1358"/>
      <c r="AH1519" s="1358"/>
      <c r="AI1519" s="1358"/>
      <c r="AJ1519" s="1358"/>
      <c r="AK1519" s="1358"/>
      <c r="AL1519" s="1358"/>
      <c r="AM1519" s="1358"/>
      <c r="AN1519" s="1358"/>
      <c r="AO1519" s="1358"/>
      <c r="AP1519" s="1358"/>
      <c r="AQ1519" s="1358"/>
      <c r="AR1519" s="1236"/>
      <c r="AS1519" s="1587"/>
      <c r="AT1519" s="407"/>
      <c r="AU1519" s="1263"/>
      <c r="AV1519" s="1358"/>
      <c r="AW1519" s="1263"/>
      <c r="AX1519" s="1358"/>
      <c r="AY1519" s="1263"/>
      <c r="AZ1519" s="1358"/>
      <c r="BA1519" s="1308"/>
      <c r="BB1519" s="1358"/>
      <c r="BC1519" s="1358"/>
      <c r="BD1519" s="1358"/>
      <c r="BE1519" s="1358"/>
    </row>
    <row r="1520" spans="1:57" s="382" customFormat="1" x14ac:dyDescent="0.2">
      <c r="A1520" s="833"/>
      <c r="B1520" s="1217"/>
      <c r="C1520" s="1217"/>
      <c r="D1520" s="1256"/>
      <c r="E1520" s="1256"/>
      <c r="F1520" s="1256"/>
      <c r="G1520" s="1256"/>
      <c r="H1520" s="1256"/>
      <c r="I1520" s="1256"/>
      <c r="J1520" s="1256"/>
      <c r="K1520" s="1256"/>
      <c r="L1520" s="1256"/>
      <c r="M1520" s="1256"/>
      <c r="N1520" s="1256"/>
      <c r="O1520" s="1256"/>
      <c r="P1520" s="1256"/>
      <c r="Q1520" s="1256"/>
      <c r="R1520" s="1256"/>
      <c r="S1520" s="1256"/>
      <c r="T1520" s="1256"/>
      <c r="U1520" s="1256"/>
      <c r="V1520" s="1256"/>
      <c r="W1520" s="1256"/>
      <c r="X1520" s="1256"/>
      <c r="Y1520" s="1256"/>
      <c r="Z1520" s="1256"/>
      <c r="AA1520" s="1256"/>
      <c r="AB1520" s="1256"/>
      <c r="AC1520" s="1256"/>
      <c r="AD1520" s="1256"/>
      <c r="AE1520" s="1256"/>
      <c r="AF1520" s="1256"/>
      <c r="AG1520" s="1256"/>
      <c r="AH1520" s="1256"/>
      <c r="AI1520" s="1256"/>
      <c r="AJ1520" s="1256"/>
      <c r="AK1520" s="1256"/>
      <c r="AL1520" s="1256"/>
      <c r="AM1520" s="1256"/>
      <c r="AN1520" s="1256"/>
      <c r="AO1520" s="1256"/>
      <c r="AP1520" s="1256"/>
      <c r="AQ1520" s="1256"/>
      <c r="AR1520" s="1236"/>
      <c r="AS1520" s="407"/>
      <c r="AT1520" s="407"/>
      <c r="AU1520" s="1263"/>
      <c r="AV1520" s="1358"/>
      <c r="AW1520" s="1263"/>
      <c r="AX1520" s="1358"/>
      <c r="AY1520" s="1263"/>
      <c r="AZ1520" s="1358"/>
      <c r="BA1520" s="1308"/>
      <c r="BB1520" s="1256"/>
      <c r="BC1520" s="1256"/>
      <c r="BD1520" s="1256"/>
      <c r="BE1520" s="1256"/>
    </row>
    <row r="1521" spans="1:57" s="382" customFormat="1" x14ac:dyDescent="0.2">
      <c r="A1521" s="833"/>
      <c r="B1521" s="35"/>
      <c r="C1521" s="1217"/>
      <c r="D1521" s="1253"/>
      <c r="E1521" s="1253"/>
      <c r="F1521" s="1253"/>
      <c r="G1521" s="1253"/>
      <c r="H1521" s="1253"/>
      <c r="I1521" s="1253"/>
      <c r="J1521" s="1253"/>
      <c r="K1521" s="1253"/>
      <c r="L1521" s="1253"/>
      <c r="M1521" s="1253"/>
      <c r="N1521" s="1253"/>
      <c r="O1521" s="1253"/>
      <c r="P1521" s="1253"/>
      <c r="Q1521" s="1253"/>
      <c r="R1521" s="1253"/>
      <c r="S1521" s="1253"/>
      <c r="T1521" s="1253"/>
      <c r="U1521" s="1253"/>
      <c r="V1521" s="1253"/>
      <c r="W1521" s="1253"/>
      <c r="X1521" s="1253"/>
      <c r="Y1521" s="1253"/>
      <c r="Z1521" s="1300"/>
      <c r="AA1521" s="1300"/>
      <c r="AB1521" s="1300"/>
      <c r="AC1521" s="1300"/>
      <c r="AD1521" s="1300"/>
      <c r="AE1521" s="1300"/>
      <c r="AF1521" s="1300"/>
      <c r="AG1521" s="1300"/>
      <c r="AH1521" s="1300"/>
      <c r="AI1521" s="1300"/>
      <c r="AJ1521" s="1300"/>
      <c r="AK1521" s="1300"/>
      <c r="AL1521" s="1300"/>
      <c r="AM1521" s="1300"/>
      <c r="AN1521" s="1300"/>
      <c r="AO1521" s="1300"/>
      <c r="AP1521" s="1300"/>
      <c r="AQ1521" s="1300"/>
      <c r="AR1521" s="1236"/>
      <c r="AS1521" s="407"/>
      <c r="AT1521" s="407"/>
      <c r="AU1521" s="1301"/>
      <c r="AV1521" s="1301"/>
      <c r="AW1521" s="1301"/>
      <c r="AX1521" s="1301"/>
      <c r="AY1521" s="1301"/>
      <c r="AZ1521" s="1263"/>
      <c r="BA1521" s="1263"/>
      <c r="BB1521" s="1300"/>
      <c r="BC1521" s="1300"/>
      <c r="BD1521" s="1300"/>
      <c r="BE1521" s="1300"/>
    </row>
    <row r="1522" spans="1:57" s="382" customFormat="1" x14ac:dyDescent="0.2">
      <c r="A1522" s="833"/>
      <c r="B1522" s="35"/>
      <c r="C1522" s="1217"/>
      <c r="D1522" s="1327"/>
      <c r="E1522" s="1260"/>
      <c r="F1522" s="1260"/>
      <c r="G1522" s="1260"/>
      <c r="H1522" s="1260"/>
      <c r="I1522" s="1260"/>
      <c r="J1522" s="1260"/>
      <c r="K1522" s="1260"/>
      <c r="L1522" s="1260"/>
      <c r="M1522" s="1260"/>
      <c r="N1522" s="1260"/>
      <c r="O1522" s="1260"/>
      <c r="P1522" s="1260"/>
      <c r="Q1522" s="1260"/>
      <c r="R1522" s="1260"/>
      <c r="S1522" s="1260"/>
      <c r="T1522" s="1260"/>
      <c r="U1522" s="1260"/>
      <c r="V1522" s="1260"/>
      <c r="W1522" s="1260"/>
      <c r="X1522" s="1260"/>
      <c r="Y1522" s="1260"/>
      <c r="Z1522" s="1300"/>
      <c r="AA1522" s="1300"/>
      <c r="AB1522" s="1300"/>
      <c r="AC1522" s="1300"/>
      <c r="AD1522" s="1300"/>
      <c r="AE1522" s="1300"/>
      <c r="AF1522" s="1300"/>
      <c r="AG1522" s="1300"/>
      <c r="AH1522" s="1300"/>
      <c r="AI1522" s="1300"/>
      <c r="AJ1522" s="1300"/>
      <c r="AK1522" s="1300"/>
      <c r="AL1522" s="1300"/>
      <c r="AM1522" s="1300"/>
      <c r="AN1522" s="1300"/>
      <c r="AO1522" s="1300"/>
      <c r="AP1522" s="1300"/>
      <c r="AQ1522" s="1300"/>
      <c r="AR1522" s="1236"/>
      <c r="AS1522" s="407"/>
      <c r="AT1522" s="407"/>
      <c r="AU1522" s="1301"/>
      <c r="AV1522" s="1301"/>
      <c r="AW1522" s="1301"/>
      <c r="AX1522" s="1301"/>
      <c r="AY1522" s="1301"/>
      <c r="AZ1522" s="1263"/>
      <c r="BA1522" s="1263"/>
      <c r="BB1522" s="1300"/>
      <c r="BC1522" s="1300"/>
      <c r="BD1522" s="1300"/>
      <c r="BE1522" s="1300"/>
    </row>
    <row r="1523" spans="1:57" s="382" customFormat="1" x14ac:dyDescent="0.2">
      <c r="A1523" s="833"/>
      <c r="B1523" s="329"/>
      <c r="C1523" s="25"/>
      <c r="D1523" s="1268"/>
      <c r="E1523" s="1268"/>
      <c r="F1523" s="1268"/>
      <c r="G1523" s="1268"/>
      <c r="H1523" s="1268"/>
      <c r="I1523" s="1268"/>
      <c r="J1523" s="1268"/>
      <c r="K1523" s="1268"/>
      <c r="L1523" s="1268"/>
      <c r="M1523" s="1268"/>
      <c r="N1523" s="1268"/>
      <c r="O1523" s="1268"/>
      <c r="P1523" s="1268"/>
      <c r="Q1523" s="1268"/>
      <c r="R1523" s="1268"/>
      <c r="S1523" s="1268"/>
      <c r="T1523" s="1268"/>
      <c r="U1523" s="1268"/>
      <c r="V1523" s="1268"/>
      <c r="W1523" s="1268"/>
      <c r="X1523" s="1268"/>
      <c r="Y1523" s="1268"/>
      <c r="Z1523" s="1294"/>
      <c r="AA1523" s="1294"/>
      <c r="AB1523" s="1294"/>
      <c r="AC1523" s="1294"/>
      <c r="AD1523" s="1294"/>
      <c r="AE1523" s="1294"/>
      <c r="AF1523" s="1294"/>
      <c r="AG1523" s="1294"/>
      <c r="AH1523" s="1294"/>
      <c r="AI1523" s="1294"/>
      <c r="AJ1523" s="1300"/>
      <c r="AK1523" s="1300"/>
      <c r="AL1523" s="1300"/>
      <c r="AM1523" s="1300"/>
      <c r="AN1523" s="1300"/>
      <c r="AO1523" s="1300"/>
      <c r="AP1523" s="1300"/>
      <c r="AQ1523" s="1300"/>
      <c r="AR1523" s="1236"/>
      <c r="AS1523" s="1519"/>
      <c r="AT1523" s="1307"/>
      <c r="AU1523" s="1289"/>
      <c r="AV1523" s="1289"/>
      <c r="AW1523" s="1289"/>
      <c r="AX1523" s="1289"/>
      <c r="AY1523" s="1289"/>
      <c r="AZ1523" s="1270"/>
      <c r="BA1523" s="1270"/>
      <c r="BB1523" s="1294"/>
      <c r="BC1523" s="1294"/>
      <c r="BD1523" s="1294"/>
      <c r="BE1523" s="1294"/>
    </row>
    <row r="1524" spans="1:57" s="382" customFormat="1" x14ac:dyDescent="0.2">
      <c r="A1524" s="833"/>
      <c r="B1524" s="319"/>
      <c r="C1524" s="329"/>
      <c r="D1524" s="1258"/>
      <c r="E1524" s="1258"/>
      <c r="F1524" s="1258"/>
      <c r="G1524" s="1258"/>
      <c r="H1524" s="1258"/>
      <c r="I1524" s="1258"/>
      <c r="J1524" s="1258"/>
      <c r="K1524" s="1258"/>
      <c r="L1524" s="1258"/>
      <c r="M1524" s="1258"/>
      <c r="N1524" s="1258"/>
      <c r="O1524" s="1258"/>
      <c r="P1524" s="1258"/>
      <c r="Q1524" s="1258"/>
      <c r="R1524" s="1258"/>
      <c r="S1524" s="1258"/>
      <c r="T1524" s="1258"/>
      <c r="U1524" s="1258"/>
      <c r="V1524" s="1258"/>
      <c r="W1524" s="1258"/>
      <c r="X1524" s="1258"/>
      <c r="Y1524" s="1258"/>
      <c r="Z1524" s="1258"/>
      <c r="AA1524" s="1258"/>
      <c r="AB1524" s="1258"/>
      <c r="AC1524" s="1258"/>
      <c r="AD1524" s="1258"/>
      <c r="AE1524" s="1258"/>
      <c r="AF1524" s="1258"/>
      <c r="AG1524" s="1258"/>
      <c r="AH1524" s="1258"/>
      <c r="AI1524" s="1258"/>
      <c r="AJ1524" s="1258"/>
      <c r="AK1524" s="1258"/>
      <c r="AL1524" s="1258"/>
      <c r="AM1524" s="1258"/>
      <c r="AN1524" s="1258"/>
      <c r="AO1524" s="1258"/>
      <c r="AP1524" s="1258"/>
      <c r="AQ1524" s="1258"/>
      <c r="AR1524" s="1236"/>
      <c r="AS1524" s="1248"/>
      <c r="AT1524" s="1519"/>
      <c r="AU1524" s="1301"/>
      <c r="AV1524" s="1301"/>
      <c r="AW1524" s="1301"/>
      <c r="AX1524" s="1301"/>
      <c r="AY1524" s="1301"/>
      <c r="AZ1524" s="1301"/>
      <c r="BA1524" s="1301"/>
      <c r="BB1524" s="1258"/>
      <c r="BC1524" s="1258"/>
      <c r="BD1524" s="1258"/>
      <c r="BE1524" s="1258"/>
    </row>
    <row r="1525" spans="1:57" s="382" customFormat="1" x14ac:dyDescent="0.2">
      <c r="A1525" s="833"/>
      <c r="B1525" s="329"/>
      <c r="C1525" s="1217"/>
      <c r="D1525" s="1242"/>
      <c r="E1525" s="1358"/>
      <c r="F1525" s="1358"/>
      <c r="G1525" s="1358"/>
      <c r="H1525" s="1358"/>
      <c r="I1525" s="1358"/>
      <c r="J1525" s="1358"/>
      <c r="K1525" s="1358"/>
      <c r="L1525" s="1358"/>
      <c r="M1525" s="1358"/>
      <c r="N1525" s="1358"/>
      <c r="O1525" s="1358"/>
      <c r="P1525" s="1358"/>
      <c r="Q1525" s="1358"/>
      <c r="R1525" s="1358"/>
      <c r="S1525" s="1358"/>
      <c r="T1525" s="1358"/>
      <c r="U1525" s="1358"/>
      <c r="V1525" s="1358"/>
      <c r="W1525" s="1358"/>
      <c r="X1525" s="1358"/>
      <c r="Y1525" s="1358"/>
      <c r="Z1525" s="1358"/>
      <c r="AA1525" s="1358"/>
      <c r="AB1525" s="1358"/>
      <c r="AC1525" s="1358"/>
      <c r="AD1525" s="1358"/>
      <c r="AE1525" s="1358"/>
      <c r="AF1525" s="1358"/>
      <c r="AG1525" s="1358"/>
      <c r="AH1525" s="1358"/>
      <c r="AI1525" s="1358"/>
      <c r="AJ1525" s="1358"/>
      <c r="AK1525" s="1358"/>
      <c r="AL1525" s="1358"/>
      <c r="AM1525" s="1358"/>
      <c r="AN1525" s="1358"/>
      <c r="AO1525" s="1358"/>
      <c r="AP1525" s="1358"/>
      <c r="AQ1525" s="1358"/>
      <c r="AR1525" s="1236"/>
      <c r="AS1525" s="1519"/>
      <c r="AT1525" s="407"/>
      <c r="AU1525" s="1263"/>
      <c r="AV1525" s="1358"/>
      <c r="AW1525" s="1263"/>
      <c r="AX1525" s="1358"/>
      <c r="AY1525" s="1263"/>
      <c r="AZ1525" s="1358"/>
      <c r="BA1525" s="1308"/>
      <c r="BB1525" s="1358"/>
      <c r="BC1525" s="1358"/>
      <c r="BD1525" s="1358"/>
      <c r="BE1525" s="1358"/>
    </row>
    <row r="1526" spans="1:57" s="382" customFormat="1" x14ac:dyDescent="0.2">
      <c r="A1526" s="833"/>
      <c r="B1526" s="329"/>
      <c r="C1526" s="1217"/>
      <c r="D1526" s="1260"/>
      <c r="E1526" s="1260"/>
      <c r="F1526" s="1260"/>
      <c r="G1526" s="1260"/>
      <c r="H1526" s="1260"/>
      <c r="I1526" s="1260"/>
      <c r="J1526" s="1260"/>
      <c r="K1526" s="1260"/>
      <c r="L1526" s="1260"/>
      <c r="M1526" s="1260"/>
      <c r="N1526" s="1260"/>
      <c r="O1526" s="1260"/>
      <c r="P1526" s="1260"/>
      <c r="Q1526" s="1260"/>
      <c r="R1526" s="1260"/>
      <c r="S1526" s="1260"/>
      <c r="T1526" s="1260"/>
      <c r="U1526" s="1260"/>
      <c r="V1526" s="1260"/>
      <c r="W1526" s="1260"/>
      <c r="X1526" s="1260"/>
      <c r="Y1526" s="1260"/>
      <c r="Z1526" s="1300"/>
      <c r="AA1526" s="1300"/>
      <c r="AB1526" s="1300"/>
      <c r="AC1526" s="1300"/>
      <c r="AD1526" s="1300"/>
      <c r="AE1526" s="1300"/>
      <c r="AF1526" s="1300"/>
      <c r="AG1526" s="1300"/>
      <c r="AH1526" s="1300"/>
      <c r="AI1526" s="1300"/>
      <c r="AJ1526" s="1300"/>
      <c r="AK1526" s="1300"/>
      <c r="AL1526" s="1300"/>
      <c r="AM1526" s="1300"/>
      <c r="AN1526" s="1300"/>
      <c r="AO1526" s="1300"/>
      <c r="AP1526" s="1300"/>
      <c r="AQ1526" s="1300"/>
      <c r="AR1526" s="1236"/>
      <c r="AS1526" s="1519"/>
      <c r="AT1526" s="407"/>
      <c r="AU1526" s="1301"/>
      <c r="AV1526" s="1301"/>
      <c r="AW1526" s="1301"/>
      <c r="AX1526" s="1301"/>
      <c r="AY1526" s="1301"/>
      <c r="AZ1526" s="1263"/>
      <c r="BA1526" s="1263"/>
      <c r="BB1526" s="1300"/>
      <c r="BC1526" s="1300"/>
      <c r="BD1526" s="1300"/>
      <c r="BE1526" s="1300"/>
    </row>
    <row r="1527" spans="1:57" s="382" customFormat="1" x14ac:dyDescent="0.2">
      <c r="A1527" s="833"/>
      <c r="B1527" s="329"/>
      <c r="C1527" s="1217"/>
      <c r="D1527" s="1260"/>
      <c r="E1527" s="1260"/>
      <c r="F1527" s="1260"/>
      <c r="G1527" s="1260"/>
      <c r="H1527" s="1260"/>
      <c r="I1527" s="1260"/>
      <c r="J1527" s="1260"/>
      <c r="K1527" s="1260"/>
      <c r="L1527" s="1260"/>
      <c r="M1527" s="1260"/>
      <c r="N1527" s="1260"/>
      <c r="O1527" s="1260"/>
      <c r="P1527" s="1260"/>
      <c r="Q1527" s="1260"/>
      <c r="R1527" s="1260"/>
      <c r="S1527" s="1260"/>
      <c r="T1527" s="1260"/>
      <c r="U1527" s="1260"/>
      <c r="V1527" s="1260"/>
      <c r="W1527" s="1260"/>
      <c r="X1527" s="1260"/>
      <c r="Y1527" s="1260"/>
      <c r="Z1527" s="1300"/>
      <c r="AA1527" s="1300"/>
      <c r="AB1527" s="1300"/>
      <c r="AC1527" s="1300"/>
      <c r="AD1527" s="1300"/>
      <c r="AE1527" s="1300"/>
      <c r="AF1527" s="1300"/>
      <c r="AG1527" s="1300"/>
      <c r="AH1527" s="1300"/>
      <c r="AI1527" s="1300"/>
      <c r="AJ1527" s="1300"/>
      <c r="AK1527" s="1300"/>
      <c r="AL1527" s="1300"/>
      <c r="AM1527" s="1300"/>
      <c r="AN1527" s="1300"/>
      <c r="AO1527" s="1300"/>
      <c r="AP1527" s="1300"/>
      <c r="AQ1527" s="1300"/>
      <c r="AR1527" s="1236"/>
      <c r="AS1527" s="1519"/>
      <c r="AT1527" s="407"/>
      <c r="AU1527" s="1301"/>
      <c r="AV1527" s="1301"/>
      <c r="AW1527" s="1301"/>
      <c r="AX1527" s="1301"/>
      <c r="AY1527" s="1301"/>
      <c r="AZ1527" s="1263"/>
      <c r="BA1527" s="1263"/>
      <c r="BB1527" s="1300"/>
      <c r="BC1527" s="1300"/>
      <c r="BD1527" s="1300"/>
      <c r="BE1527" s="1300"/>
    </row>
    <row r="1528" spans="1:57" s="382" customFormat="1" x14ac:dyDescent="0.2">
      <c r="A1528" s="833"/>
      <c r="B1528" s="329"/>
      <c r="C1528" s="1217"/>
      <c r="D1528" s="1248"/>
      <c r="E1528" s="1248"/>
      <c r="F1528" s="1248"/>
      <c r="G1528" s="1248"/>
      <c r="H1528" s="1248"/>
      <c r="I1528" s="1248"/>
      <c r="J1528" s="1248"/>
      <c r="K1528" s="1248"/>
      <c r="L1528" s="1248"/>
      <c r="M1528" s="1248"/>
      <c r="N1528" s="1248"/>
      <c r="O1528" s="1248"/>
      <c r="P1528" s="1248"/>
      <c r="Q1528" s="1248"/>
      <c r="R1528" s="1248"/>
      <c r="S1528" s="1248"/>
      <c r="T1528" s="1248"/>
      <c r="U1528" s="1248"/>
      <c r="V1528" s="1248"/>
      <c r="W1528" s="1248"/>
      <c r="X1528" s="1248"/>
      <c r="Y1528" s="1248"/>
      <c r="Z1528" s="1248"/>
      <c r="AA1528" s="1248"/>
      <c r="AB1528" s="1248"/>
      <c r="AC1528" s="1248"/>
      <c r="AD1528" s="1248"/>
      <c r="AE1528" s="1248"/>
      <c r="AF1528" s="1248"/>
      <c r="AG1528" s="1248"/>
      <c r="AH1528" s="1248"/>
      <c r="AI1528" s="1248"/>
      <c r="AJ1528" s="1248"/>
      <c r="AK1528" s="1248"/>
      <c r="AL1528" s="1248"/>
      <c r="AM1528" s="1248"/>
      <c r="AN1528" s="1248"/>
      <c r="AO1528" s="1248"/>
      <c r="AP1528" s="1248"/>
      <c r="AQ1528" s="1248"/>
      <c r="AR1528" s="1236"/>
      <c r="AS1528" s="1519"/>
      <c r="AT1528" s="407"/>
      <c r="AU1528" s="1263"/>
      <c r="AV1528" s="1358"/>
      <c r="AW1528" s="1263"/>
      <c r="AX1528" s="1358"/>
      <c r="AY1528" s="1263"/>
      <c r="AZ1528" s="1358"/>
      <c r="BA1528" s="1308"/>
      <c r="BB1528" s="1248"/>
      <c r="BC1528" s="1248"/>
      <c r="BD1528" s="1248"/>
      <c r="BE1528" s="1248"/>
    </row>
    <row r="1529" spans="1:57" s="382" customFormat="1" x14ac:dyDescent="0.2">
      <c r="A1529" s="833"/>
      <c r="B1529" s="329"/>
      <c r="C1529" s="1217"/>
      <c r="D1529" s="1256"/>
      <c r="E1529" s="1256"/>
      <c r="F1529" s="1256"/>
      <c r="G1529" s="1256"/>
      <c r="H1529" s="1256"/>
      <c r="I1529" s="1256"/>
      <c r="J1529" s="1256"/>
      <c r="K1529" s="1256"/>
      <c r="L1529" s="1256"/>
      <c r="M1529" s="1256"/>
      <c r="N1529" s="1256"/>
      <c r="O1529" s="1256"/>
      <c r="P1529" s="1256"/>
      <c r="Q1529" s="1256"/>
      <c r="R1529" s="1256"/>
      <c r="S1529" s="1256"/>
      <c r="T1529" s="1256"/>
      <c r="U1529" s="1256"/>
      <c r="V1529" s="1256"/>
      <c r="W1529" s="1256"/>
      <c r="X1529" s="1256"/>
      <c r="Y1529" s="1256"/>
      <c r="Z1529" s="1256"/>
      <c r="AA1529" s="1256"/>
      <c r="AB1529" s="1256"/>
      <c r="AC1529" s="1256"/>
      <c r="AD1529" s="1256"/>
      <c r="AE1529" s="1256"/>
      <c r="AF1529" s="1256"/>
      <c r="AG1529" s="1256"/>
      <c r="AH1529" s="1256"/>
      <c r="AI1529" s="1256"/>
      <c r="AJ1529" s="1256"/>
      <c r="AK1529" s="1256"/>
      <c r="AL1529" s="1256"/>
      <c r="AM1529" s="1256"/>
      <c r="AN1529" s="1256"/>
      <c r="AO1529" s="1256"/>
      <c r="AP1529" s="1256"/>
      <c r="AQ1529" s="1256"/>
      <c r="AR1529" s="1236"/>
      <c r="AS1529" s="1519"/>
      <c r="AT1529" s="407"/>
      <c r="AU1529" s="1256"/>
      <c r="AV1529" s="1256"/>
      <c r="AW1529" s="1256"/>
      <c r="AX1529" s="1256"/>
      <c r="AY1529" s="1256"/>
      <c r="AZ1529" s="1256"/>
      <c r="BA1529" s="1256"/>
      <c r="BB1529" s="1256"/>
      <c r="BC1529" s="1256"/>
      <c r="BD1529" s="1256"/>
      <c r="BE1529" s="1256"/>
    </row>
    <row r="1530" spans="1:57" s="382" customFormat="1" x14ac:dyDescent="0.2">
      <c r="A1530" s="833"/>
      <c r="B1530" s="329"/>
      <c r="C1530" s="1217"/>
      <c r="D1530" s="1248"/>
      <c r="E1530" s="1248"/>
      <c r="F1530" s="1248"/>
      <c r="G1530" s="1248"/>
      <c r="H1530" s="1248"/>
      <c r="I1530" s="1248"/>
      <c r="J1530" s="1248"/>
      <c r="K1530" s="1248"/>
      <c r="L1530" s="1248"/>
      <c r="M1530" s="1248"/>
      <c r="N1530" s="1248"/>
      <c r="O1530" s="1248"/>
      <c r="P1530" s="1248"/>
      <c r="Q1530" s="1248"/>
      <c r="R1530" s="1248"/>
      <c r="S1530" s="1248"/>
      <c r="T1530" s="1248"/>
      <c r="U1530" s="1248"/>
      <c r="V1530" s="1248"/>
      <c r="W1530" s="1248"/>
      <c r="X1530" s="1248"/>
      <c r="Y1530" s="1248"/>
      <c r="Z1530" s="1248"/>
      <c r="AA1530" s="1248"/>
      <c r="AB1530" s="1248"/>
      <c r="AC1530" s="1248"/>
      <c r="AD1530" s="1248"/>
      <c r="AE1530" s="1248"/>
      <c r="AF1530" s="1248"/>
      <c r="AG1530" s="1248"/>
      <c r="AH1530" s="1248"/>
      <c r="AI1530" s="1248"/>
      <c r="AJ1530" s="1248"/>
      <c r="AK1530" s="1248"/>
      <c r="AL1530" s="1248"/>
      <c r="AM1530" s="1248"/>
      <c r="AN1530" s="1248"/>
      <c r="AO1530" s="1248"/>
      <c r="AP1530" s="1248"/>
      <c r="AQ1530" s="1248"/>
      <c r="AR1530" s="1236"/>
      <c r="AS1530" s="1519"/>
      <c r="AT1530" s="407"/>
      <c r="AU1530" s="1263"/>
      <c r="AV1530" s="1358"/>
      <c r="AW1530" s="1263"/>
      <c r="AX1530" s="1358"/>
      <c r="AY1530" s="1263"/>
      <c r="AZ1530" s="1358"/>
      <c r="BA1530" s="1308"/>
      <c r="BB1530" s="1248"/>
      <c r="BC1530" s="1248"/>
      <c r="BD1530" s="1248"/>
      <c r="BE1530" s="1248"/>
    </row>
    <row r="1531" spans="1:57" s="382" customFormat="1" x14ac:dyDescent="0.2">
      <c r="A1531" s="833"/>
      <c r="B1531" s="143"/>
      <c r="C1531" s="1217"/>
      <c r="D1531" s="1248"/>
      <c r="E1531" s="1248"/>
      <c r="F1531" s="1248"/>
      <c r="G1531" s="1248"/>
      <c r="H1531" s="1248"/>
      <c r="I1531" s="1248"/>
      <c r="J1531" s="1248"/>
      <c r="K1531" s="1248"/>
      <c r="L1531" s="1248"/>
      <c r="M1531" s="1248"/>
      <c r="N1531" s="1248"/>
      <c r="O1531" s="1248"/>
      <c r="P1531" s="1248"/>
      <c r="Q1531" s="1248"/>
      <c r="R1531" s="1248"/>
      <c r="S1531" s="1248"/>
      <c r="T1531" s="1248"/>
      <c r="U1531" s="1248"/>
      <c r="V1531" s="1248"/>
      <c r="W1531" s="1248"/>
      <c r="X1531" s="1248"/>
      <c r="Y1531" s="1248"/>
      <c r="Z1531" s="1248"/>
      <c r="AA1531" s="1248"/>
      <c r="AB1531" s="1248"/>
      <c r="AC1531" s="1248"/>
      <c r="AD1531" s="1248"/>
      <c r="AE1531" s="1248"/>
      <c r="AF1531" s="1248"/>
      <c r="AG1531" s="1248"/>
      <c r="AH1531" s="1248"/>
      <c r="AI1531" s="1248"/>
      <c r="AJ1531" s="1248"/>
      <c r="AK1531" s="1248"/>
      <c r="AL1531" s="1248"/>
      <c r="AM1531" s="1248"/>
      <c r="AN1531" s="1248"/>
      <c r="AO1531" s="1248"/>
      <c r="AP1531" s="1248"/>
      <c r="AQ1531" s="1248"/>
      <c r="AR1531" s="1236"/>
      <c r="AS1531" s="1587"/>
      <c r="AT1531" s="407"/>
      <c r="AU1531" s="1263"/>
      <c r="AV1531" s="1358"/>
      <c r="AW1531" s="1263"/>
      <c r="AX1531" s="1358"/>
      <c r="AY1531" s="1263"/>
      <c r="AZ1531" s="1358"/>
      <c r="BA1531" s="1308"/>
      <c r="BB1531" s="1248"/>
      <c r="BC1531" s="1248"/>
      <c r="BD1531" s="1248"/>
      <c r="BE1531" s="1248"/>
    </row>
    <row r="1532" spans="1:57" s="382" customFormat="1" x14ac:dyDescent="0.2">
      <c r="A1532" s="833"/>
      <c r="B1532" s="329"/>
      <c r="C1532" s="362"/>
      <c r="D1532" s="1253"/>
      <c r="E1532" s="1253"/>
      <c r="F1532" s="1253"/>
      <c r="G1532" s="1253"/>
      <c r="H1532" s="1253"/>
      <c r="I1532" s="1253"/>
      <c r="J1532" s="1253"/>
      <c r="K1532" s="1253"/>
      <c r="L1532" s="1253"/>
      <c r="M1532" s="1253"/>
      <c r="N1532" s="1253"/>
      <c r="O1532" s="1253"/>
      <c r="P1532" s="1253"/>
      <c r="Q1532" s="1253"/>
      <c r="R1532" s="1253"/>
      <c r="S1532" s="1253"/>
      <c r="T1532" s="1253"/>
      <c r="U1532" s="1253"/>
      <c r="V1532" s="1253"/>
      <c r="W1532" s="1253"/>
      <c r="X1532" s="1253"/>
      <c r="Y1532" s="1253"/>
      <c r="Z1532" s="1300"/>
      <c r="AA1532" s="1300"/>
      <c r="AB1532" s="1300"/>
      <c r="AC1532" s="1300"/>
      <c r="AD1532" s="1300"/>
      <c r="AE1532" s="1300"/>
      <c r="AF1532" s="1300"/>
      <c r="AG1532" s="1300"/>
      <c r="AH1532" s="1300"/>
      <c r="AI1532" s="1300"/>
      <c r="AJ1532" s="1300"/>
      <c r="AK1532" s="1300"/>
      <c r="AL1532" s="1300"/>
      <c r="AM1532" s="1300"/>
      <c r="AN1532" s="1300"/>
      <c r="AO1532" s="1300"/>
      <c r="AP1532" s="1300"/>
      <c r="AQ1532" s="1300"/>
      <c r="AR1532" s="1236"/>
      <c r="AS1532" s="1519"/>
      <c r="AT1532" s="1400"/>
      <c r="AU1532" s="1301"/>
      <c r="AV1532" s="1301"/>
      <c r="AW1532" s="1301"/>
      <c r="AX1532" s="1301"/>
      <c r="AY1532" s="1301"/>
      <c r="AZ1532" s="1263"/>
      <c r="BA1532" s="1263"/>
      <c r="BB1532" s="1300"/>
      <c r="BC1532" s="1300"/>
      <c r="BD1532" s="1300"/>
      <c r="BE1532" s="1300"/>
    </row>
    <row r="1533" spans="1:57" s="382" customFormat="1" x14ac:dyDescent="0.2">
      <c r="A1533" s="833"/>
      <c r="B1533" s="329"/>
      <c r="C1533" s="362"/>
      <c r="D1533" s="1253"/>
      <c r="E1533" s="1253"/>
      <c r="F1533" s="1253"/>
      <c r="G1533" s="1253"/>
      <c r="H1533" s="1253"/>
      <c r="I1533" s="1253"/>
      <c r="J1533" s="1253"/>
      <c r="K1533" s="1253"/>
      <c r="L1533" s="1253"/>
      <c r="M1533" s="1253"/>
      <c r="N1533" s="1253"/>
      <c r="O1533" s="1253"/>
      <c r="P1533" s="1253"/>
      <c r="Q1533" s="1253"/>
      <c r="R1533" s="1253"/>
      <c r="S1533" s="1253"/>
      <c r="T1533" s="1253"/>
      <c r="U1533" s="1253"/>
      <c r="V1533" s="1253"/>
      <c r="W1533" s="1253"/>
      <c r="X1533" s="1253"/>
      <c r="Y1533" s="1253"/>
      <c r="Z1533" s="1300"/>
      <c r="AA1533" s="1300"/>
      <c r="AB1533" s="1300"/>
      <c r="AC1533" s="1300"/>
      <c r="AD1533" s="1300"/>
      <c r="AE1533" s="1300"/>
      <c r="AF1533" s="1300"/>
      <c r="AG1533" s="1300"/>
      <c r="AH1533" s="1300"/>
      <c r="AI1533" s="1300"/>
      <c r="AJ1533" s="1300"/>
      <c r="AK1533" s="1300"/>
      <c r="AL1533" s="1300"/>
      <c r="AM1533" s="1300"/>
      <c r="AN1533" s="1300"/>
      <c r="AO1533" s="1300"/>
      <c r="AP1533" s="1300"/>
      <c r="AQ1533" s="1300"/>
      <c r="AR1533" s="1236"/>
      <c r="AS1533" s="1519"/>
      <c r="AT1533" s="1400"/>
      <c r="AU1533" s="1301"/>
      <c r="AV1533" s="1301"/>
      <c r="AW1533" s="1301"/>
      <c r="AX1533" s="1301"/>
      <c r="AY1533" s="1301"/>
      <c r="AZ1533" s="1263"/>
      <c r="BA1533" s="1263"/>
      <c r="BB1533" s="1300"/>
      <c r="BC1533" s="1300"/>
      <c r="BD1533" s="1300"/>
      <c r="BE1533" s="1300"/>
    </row>
    <row r="1534" spans="1:57" s="382" customFormat="1" x14ac:dyDescent="0.2">
      <c r="A1534" s="833"/>
      <c r="B1534" s="329"/>
      <c r="C1534" s="362"/>
      <c r="D1534" s="1253"/>
      <c r="E1534" s="1253"/>
      <c r="F1534" s="1253"/>
      <c r="G1534" s="1253"/>
      <c r="H1534" s="1253"/>
      <c r="I1534" s="1253"/>
      <c r="J1534" s="1253"/>
      <c r="K1534" s="1253"/>
      <c r="L1534" s="1253"/>
      <c r="M1534" s="1253"/>
      <c r="N1534" s="1253"/>
      <c r="O1534" s="1253"/>
      <c r="P1534" s="1253"/>
      <c r="Q1534" s="1253"/>
      <c r="R1534" s="1253"/>
      <c r="S1534" s="1253"/>
      <c r="T1534" s="1253"/>
      <c r="U1534" s="1253"/>
      <c r="V1534" s="1253"/>
      <c r="W1534" s="1253"/>
      <c r="X1534" s="1253"/>
      <c r="Y1534" s="1253"/>
      <c r="Z1534" s="1300"/>
      <c r="AA1534" s="1300"/>
      <c r="AB1534" s="1300"/>
      <c r="AC1534" s="1300"/>
      <c r="AD1534" s="1300"/>
      <c r="AE1534" s="1300"/>
      <c r="AF1534" s="1300"/>
      <c r="AG1534" s="1300"/>
      <c r="AH1534" s="1300"/>
      <c r="AI1534" s="1300"/>
      <c r="AJ1534" s="1300"/>
      <c r="AK1534" s="1300"/>
      <c r="AL1534" s="1300"/>
      <c r="AM1534" s="1300"/>
      <c r="AN1534" s="1300"/>
      <c r="AO1534" s="1300"/>
      <c r="AP1534" s="1300"/>
      <c r="AQ1534" s="1300"/>
      <c r="AR1534" s="1236"/>
      <c r="AS1534" s="1519"/>
      <c r="AT1534" s="1400"/>
      <c r="AU1534" s="1301"/>
      <c r="AV1534" s="1301"/>
      <c r="AW1534" s="1301"/>
      <c r="AX1534" s="1301"/>
      <c r="AY1534" s="1301"/>
      <c r="AZ1534" s="1263"/>
      <c r="BA1534" s="1263"/>
      <c r="BB1534" s="1300"/>
      <c r="BC1534" s="1300"/>
      <c r="BD1534" s="1300"/>
      <c r="BE1534" s="1300"/>
    </row>
    <row r="1535" spans="1:57" s="382" customFormat="1" x14ac:dyDescent="0.2">
      <c r="A1535" s="833"/>
      <c r="B1535" s="329"/>
      <c r="C1535" s="362"/>
      <c r="D1535" s="1327"/>
      <c r="E1535" s="1260"/>
      <c r="F1535" s="1260"/>
      <c r="G1535" s="1260"/>
      <c r="H1535" s="1260"/>
      <c r="I1535" s="1260"/>
      <c r="J1535" s="1260"/>
      <c r="K1535" s="1260"/>
      <c r="L1535" s="1260"/>
      <c r="M1535" s="1260"/>
      <c r="N1535" s="1260"/>
      <c r="O1535" s="1260"/>
      <c r="P1535" s="1260"/>
      <c r="Q1535" s="1260"/>
      <c r="R1535" s="1260"/>
      <c r="S1535" s="1260"/>
      <c r="T1535" s="1260"/>
      <c r="U1535" s="1260"/>
      <c r="V1535" s="1260"/>
      <c r="W1535" s="1260"/>
      <c r="X1535" s="1260"/>
      <c r="Y1535" s="1260"/>
      <c r="Z1535" s="1300"/>
      <c r="AA1535" s="1300"/>
      <c r="AB1535" s="1300"/>
      <c r="AC1535" s="1300"/>
      <c r="AD1535" s="1300"/>
      <c r="AE1535" s="1300"/>
      <c r="AF1535" s="1300"/>
      <c r="AG1535" s="1300"/>
      <c r="AH1535" s="1300"/>
      <c r="AI1535" s="1300"/>
      <c r="AJ1535" s="1300"/>
      <c r="AK1535" s="1300"/>
      <c r="AL1535" s="1300"/>
      <c r="AM1535" s="1300"/>
      <c r="AN1535" s="1300"/>
      <c r="AO1535" s="1300"/>
      <c r="AP1535" s="1300"/>
      <c r="AQ1535" s="1300"/>
      <c r="AR1535" s="1236"/>
      <c r="AS1535" s="1519"/>
      <c r="AT1535" s="1400"/>
      <c r="AU1535" s="1301"/>
      <c r="AV1535" s="1301"/>
      <c r="AW1535" s="1301"/>
      <c r="AX1535" s="1301"/>
      <c r="AY1535" s="1301"/>
      <c r="AZ1535" s="1263"/>
      <c r="BA1535" s="1263"/>
      <c r="BB1535" s="1300"/>
      <c r="BC1535" s="1300"/>
      <c r="BD1535" s="1300"/>
      <c r="BE1535" s="1300"/>
    </row>
    <row r="1536" spans="1:57" s="382" customFormat="1" x14ac:dyDescent="0.2">
      <c r="A1536" s="833"/>
      <c r="B1536" s="329"/>
      <c r="C1536" s="383"/>
      <c r="D1536" s="1363"/>
      <c r="E1536" s="1268"/>
      <c r="F1536" s="1268"/>
      <c r="G1536" s="1268"/>
      <c r="H1536" s="1268"/>
      <c r="I1536" s="1268"/>
      <c r="J1536" s="1268"/>
      <c r="K1536" s="1268"/>
      <c r="L1536" s="1268"/>
      <c r="M1536" s="1268"/>
      <c r="N1536" s="1268"/>
      <c r="O1536" s="1268"/>
      <c r="P1536" s="1268"/>
      <c r="Q1536" s="1268"/>
      <c r="R1536" s="1268"/>
      <c r="S1536" s="1268"/>
      <c r="T1536" s="1268"/>
      <c r="U1536" s="1268"/>
      <c r="V1536" s="1268"/>
      <c r="W1536" s="1268"/>
      <c r="X1536" s="1268"/>
      <c r="Y1536" s="1268"/>
      <c r="Z1536" s="1294"/>
      <c r="AA1536" s="1294"/>
      <c r="AB1536" s="1294"/>
      <c r="AC1536" s="1294"/>
      <c r="AD1536" s="1294"/>
      <c r="AE1536" s="1294"/>
      <c r="AF1536" s="1294"/>
      <c r="AG1536" s="1294"/>
      <c r="AH1536" s="1294"/>
      <c r="AI1536" s="1294"/>
      <c r="AJ1536" s="1300"/>
      <c r="AK1536" s="1300"/>
      <c r="AL1536" s="1300"/>
      <c r="AM1536" s="1300"/>
      <c r="AN1536" s="1300"/>
      <c r="AO1536" s="1300"/>
      <c r="AP1536" s="1300"/>
      <c r="AQ1536" s="1300"/>
      <c r="AR1536" s="1236"/>
      <c r="AS1536" s="1519"/>
      <c r="AT1536" s="1402"/>
      <c r="AU1536" s="1289"/>
      <c r="AV1536" s="1289"/>
      <c r="AW1536" s="1289"/>
      <c r="AX1536" s="1289"/>
      <c r="AY1536" s="1289"/>
      <c r="AZ1536" s="1270"/>
      <c r="BA1536" s="1270"/>
      <c r="BB1536" s="1294"/>
      <c r="BC1536" s="1294"/>
      <c r="BD1536" s="1294"/>
      <c r="BE1536" s="1294"/>
    </row>
    <row r="1537" spans="1:57" s="382" customFormat="1" x14ac:dyDescent="0.2">
      <c r="A1537" s="833"/>
      <c r="B1537" s="319"/>
      <c r="C1537" s="329"/>
      <c r="D1537" s="1256"/>
      <c r="E1537" s="1256"/>
      <c r="F1537" s="1256"/>
      <c r="G1537" s="1256"/>
      <c r="H1537" s="1256"/>
      <c r="I1537" s="1256"/>
      <c r="J1537" s="1256"/>
      <c r="K1537" s="1256"/>
      <c r="L1537" s="1256"/>
      <c r="M1537" s="1256"/>
      <c r="N1537" s="1256"/>
      <c r="O1537" s="1256"/>
      <c r="P1537" s="1256"/>
      <c r="Q1537" s="1256"/>
      <c r="R1537" s="1256"/>
      <c r="S1537" s="1256"/>
      <c r="T1537" s="1256"/>
      <c r="U1537" s="1256"/>
      <c r="V1537" s="1256"/>
      <c r="W1537" s="1256"/>
      <c r="X1537" s="1256"/>
      <c r="Y1537" s="1256"/>
      <c r="Z1537" s="1256"/>
      <c r="AA1537" s="1256"/>
      <c r="AB1537" s="1256"/>
      <c r="AC1537" s="1256"/>
      <c r="AD1537" s="1256"/>
      <c r="AE1537" s="1256"/>
      <c r="AF1537" s="1256"/>
      <c r="AG1537" s="1256"/>
      <c r="AH1537" s="1256"/>
      <c r="AI1537" s="1256"/>
      <c r="AJ1537" s="1256"/>
      <c r="AK1537" s="1256"/>
      <c r="AL1537" s="1256"/>
      <c r="AM1537" s="1256"/>
      <c r="AN1537" s="1256"/>
      <c r="AO1537" s="1256"/>
      <c r="AP1537" s="1256"/>
      <c r="AQ1537" s="1256"/>
      <c r="AR1537" s="1236"/>
      <c r="AS1537" s="1248"/>
      <c r="AT1537" s="1519"/>
      <c r="AU1537" s="1256"/>
      <c r="AV1537" s="1256"/>
      <c r="AW1537" s="1256"/>
      <c r="AX1537" s="1256"/>
      <c r="AY1537" s="1256"/>
      <c r="AZ1537" s="1256"/>
      <c r="BA1537" s="1256"/>
      <c r="BB1537" s="1256"/>
      <c r="BC1537" s="1256"/>
      <c r="BD1537" s="1256"/>
      <c r="BE1537" s="1256"/>
    </row>
    <row r="1538" spans="1:57" s="382" customFormat="1" x14ac:dyDescent="0.2">
      <c r="A1538" s="833"/>
      <c r="B1538" s="329"/>
      <c r="C1538" s="1217"/>
      <c r="D1538" s="1242"/>
      <c r="E1538" s="1358"/>
      <c r="F1538" s="1358"/>
      <c r="G1538" s="1358"/>
      <c r="H1538" s="1358"/>
      <c r="I1538" s="1358"/>
      <c r="J1538" s="1358"/>
      <c r="K1538" s="1358"/>
      <c r="L1538" s="1358"/>
      <c r="M1538" s="1358"/>
      <c r="N1538" s="1358"/>
      <c r="O1538" s="1358"/>
      <c r="P1538" s="1358"/>
      <c r="Q1538" s="1358"/>
      <c r="R1538" s="1358"/>
      <c r="S1538" s="1358"/>
      <c r="T1538" s="1358"/>
      <c r="U1538" s="1358"/>
      <c r="V1538" s="1358"/>
      <c r="W1538" s="1358"/>
      <c r="X1538" s="1358"/>
      <c r="Y1538" s="1358"/>
      <c r="Z1538" s="1409"/>
      <c r="AA1538" s="1358"/>
      <c r="AB1538" s="1409"/>
      <c r="AC1538" s="1358"/>
      <c r="AD1538" s="1263"/>
      <c r="AE1538" s="1263"/>
      <c r="AF1538" s="1263"/>
      <c r="AG1538" s="1263"/>
      <c r="AH1538" s="1263"/>
      <c r="AI1538" s="1358"/>
      <c r="AJ1538" s="1358"/>
      <c r="AK1538" s="1358"/>
      <c r="AL1538" s="1358"/>
      <c r="AM1538" s="1358"/>
      <c r="AN1538" s="1358"/>
      <c r="AO1538" s="1358"/>
      <c r="AP1538" s="1358"/>
      <c r="AQ1538" s="1358"/>
      <c r="AR1538" s="1236"/>
      <c r="AS1538" s="1519"/>
      <c r="AT1538" s="407"/>
      <c r="AU1538" s="1263"/>
      <c r="AV1538" s="1358"/>
      <c r="AW1538" s="1263"/>
      <c r="AX1538" s="1358"/>
      <c r="AY1538" s="1263"/>
      <c r="AZ1538" s="1358"/>
      <c r="BA1538" s="1308"/>
      <c r="BB1538" s="1358"/>
      <c r="BC1538" s="1358"/>
      <c r="BD1538" s="1358"/>
      <c r="BE1538" s="1358"/>
    </row>
    <row r="1539" spans="1:57" s="382" customFormat="1" x14ac:dyDescent="0.2">
      <c r="A1539" s="833"/>
      <c r="B1539" s="143"/>
      <c r="C1539" s="1217"/>
      <c r="D1539" s="1242"/>
      <c r="E1539" s="1358"/>
      <c r="F1539" s="1358"/>
      <c r="G1539" s="1358"/>
      <c r="H1539" s="1358"/>
      <c r="I1539" s="1358"/>
      <c r="J1539" s="1358"/>
      <c r="K1539" s="1358"/>
      <c r="L1539" s="1358"/>
      <c r="M1539" s="1358"/>
      <c r="N1539" s="1358"/>
      <c r="O1539" s="1358"/>
      <c r="P1539" s="1358"/>
      <c r="Q1539" s="1358"/>
      <c r="R1539" s="1358"/>
      <c r="S1539" s="1358"/>
      <c r="T1539" s="1358"/>
      <c r="U1539" s="1358"/>
      <c r="V1539" s="1358"/>
      <c r="W1539" s="1358"/>
      <c r="X1539" s="1358"/>
      <c r="Y1539" s="1358"/>
      <c r="Z1539" s="1409"/>
      <c r="AA1539" s="1358"/>
      <c r="AB1539" s="1409"/>
      <c r="AC1539" s="1358"/>
      <c r="AD1539" s="1263"/>
      <c r="AE1539" s="1263"/>
      <c r="AF1539" s="1263"/>
      <c r="AG1539" s="1263"/>
      <c r="AH1539" s="1263"/>
      <c r="AI1539" s="1358"/>
      <c r="AJ1539" s="1358"/>
      <c r="AK1539" s="1358"/>
      <c r="AL1539" s="1358"/>
      <c r="AM1539" s="1358"/>
      <c r="AN1539" s="1358"/>
      <c r="AO1539" s="1358"/>
      <c r="AP1539" s="1358"/>
      <c r="AQ1539" s="1358"/>
      <c r="AR1539" s="1236"/>
      <c r="AS1539" s="1587"/>
      <c r="AT1539" s="407"/>
      <c r="AU1539" s="1263"/>
      <c r="AV1539" s="1358"/>
      <c r="AW1539" s="1263"/>
      <c r="AX1539" s="1358"/>
      <c r="AY1539" s="1263"/>
      <c r="AZ1539" s="1358"/>
      <c r="BA1539" s="1308"/>
      <c r="BB1539" s="1358"/>
      <c r="BC1539" s="1358"/>
      <c r="BD1539" s="1358"/>
      <c r="BE1539" s="1358"/>
    </row>
    <row r="1540" spans="1:57" s="382" customFormat="1" x14ac:dyDescent="0.2">
      <c r="A1540" s="833"/>
      <c r="B1540" s="1217"/>
      <c r="C1540" s="1217"/>
      <c r="D1540" s="1248"/>
      <c r="E1540" s="1248"/>
      <c r="F1540" s="1248"/>
      <c r="G1540" s="1248"/>
      <c r="H1540" s="1358"/>
      <c r="I1540" s="1358"/>
      <c r="J1540" s="1358"/>
      <c r="K1540" s="1358"/>
      <c r="L1540" s="1358"/>
      <c r="M1540" s="1358"/>
      <c r="N1540" s="1358"/>
      <c r="O1540" s="1358"/>
      <c r="P1540" s="1358"/>
      <c r="Q1540" s="1358"/>
      <c r="R1540" s="1358"/>
      <c r="S1540" s="1358"/>
      <c r="T1540" s="1358"/>
      <c r="U1540" s="1358"/>
      <c r="V1540" s="1358"/>
      <c r="W1540" s="1358"/>
      <c r="X1540" s="1358"/>
      <c r="Y1540" s="1358"/>
      <c r="Z1540" s="1409"/>
      <c r="AA1540" s="1358"/>
      <c r="AB1540" s="1409"/>
      <c r="AC1540" s="1358"/>
      <c r="AD1540" s="1263"/>
      <c r="AE1540" s="1263"/>
      <c r="AF1540" s="1263"/>
      <c r="AG1540" s="1263"/>
      <c r="AH1540" s="1263"/>
      <c r="AI1540" s="1358"/>
      <c r="AJ1540" s="1358"/>
      <c r="AK1540" s="1358"/>
      <c r="AL1540" s="1358"/>
      <c r="AM1540" s="1358"/>
      <c r="AN1540" s="1358"/>
      <c r="AO1540" s="1358"/>
      <c r="AP1540" s="1358"/>
      <c r="AQ1540" s="1358"/>
      <c r="AR1540" s="1236"/>
      <c r="AS1540" s="407"/>
      <c r="AT1540" s="407"/>
      <c r="AU1540" s="1263"/>
      <c r="AV1540" s="1358"/>
      <c r="AW1540" s="1263"/>
      <c r="AX1540" s="1358"/>
      <c r="AY1540" s="1263"/>
      <c r="AZ1540" s="1358"/>
      <c r="BA1540" s="1308"/>
      <c r="BB1540" s="1358"/>
      <c r="BC1540" s="1358"/>
      <c r="BD1540" s="1358"/>
      <c r="BE1540" s="1358"/>
    </row>
    <row r="1541" spans="1:57" s="382" customFormat="1" x14ac:dyDescent="0.2">
      <c r="A1541" s="833"/>
      <c r="B1541" s="35"/>
      <c r="C1541" s="1217"/>
      <c r="D1541" s="1242"/>
      <c r="E1541" s="1242"/>
      <c r="F1541" s="1242"/>
      <c r="G1541" s="1242"/>
      <c r="H1541" s="1242"/>
      <c r="I1541" s="1242"/>
      <c r="J1541" s="1242"/>
      <c r="K1541" s="1242"/>
      <c r="L1541" s="1242"/>
      <c r="M1541" s="1242"/>
      <c r="N1541" s="1242"/>
      <c r="O1541" s="1242"/>
      <c r="P1541" s="1242"/>
      <c r="Q1541" s="1242"/>
      <c r="R1541" s="1242"/>
      <c r="S1541" s="1242"/>
      <c r="T1541" s="1242"/>
      <c r="U1541" s="1242"/>
      <c r="V1541" s="1242"/>
      <c r="W1541" s="1242"/>
      <c r="X1541" s="1242"/>
      <c r="Y1541" s="1242"/>
      <c r="Z1541" s="1300"/>
      <c r="AA1541" s="1300"/>
      <c r="AB1541" s="1300"/>
      <c r="AC1541" s="1300"/>
      <c r="AD1541" s="1300"/>
      <c r="AE1541" s="1300"/>
      <c r="AF1541" s="1300"/>
      <c r="AG1541" s="1300"/>
      <c r="AH1541" s="1300"/>
      <c r="AI1541" s="1300"/>
      <c r="AJ1541" s="1300"/>
      <c r="AK1541" s="1300"/>
      <c r="AL1541" s="1300"/>
      <c r="AM1541" s="1300"/>
      <c r="AN1541" s="1300"/>
      <c r="AO1541" s="1300"/>
      <c r="AP1541" s="1300"/>
      <c r="AQ1541" s="1300"/>
      <c r="AR1541" s="1236"/>
      <c r="AS1541" s="407"/>
      <c r="AT1541" s="407"/>
      <c r="AU1541" s="1242"/>
      <c r="AV1541" s="1242"/>
      <c r="AW1541" s="1242"/>
      <c r="AX1541" s="1242"/>
      <c r="AY1541" s="1242"/>
      <c r="AZ1541" s="1242"/>
      <c r="BA1541" s="1242"/>
      <c r="BB1541" s="1300"/>
      <c r="BC1541" s="1300"/>
      <c r="BD1541" s="1300"/>
      <c r="BE1541" s="1300"/>
    </row>
    <row r="1542" spans="1:57" s="382" customFormat="1" x14ac:dyDescent="0.2">
      <c r="A1542" s="833"/>
      <c r="B1542" s="35"/>
      <c r="C1542" s="1217"/>
      <c r="D1542" s="1242"/>
      <c r="E1542" s="1242"/>
      <c r="F1542" s="1242"/>
      <c r="G1542" s="1242"/>
      <c r="H1542" s="1242"/>
      <c r="I1542" s="1242"/>
      <c r="J1542" s="1242"/>
      <c r="K1542" s="1242"/>
      <c r="L1542" s="1242"/>
      <c r="M1542" s="1242"/>
      <c r="N1542" s="1242"/>
      <c r="O1542" s="1242"/>
      <c r="P1542" s="1242"/>
      <c r="Q1542" s="1242"/>
      <c r="R1542" s="1242"/>
      <c r="S1542" s="1242"/>
      <c r="T1542" s="1242"/>
      <c r="U1542" s="1242"/>
      <c r="V1542" s="1242"/>
      <c r="W1542" s="1242"/>
      <c r="X1542" s="1242"/>
      <c r="Y1542" s="1242"/>
      <c r="Z1542" s="1300"/>
      <c r="AA1542" s="1300"/>
      <c r="AB1542" s="1300"/>
      <c r="AC1542" s="1300"/>
      <c r="AD1542" s="1300"/>
      <c r="AE1542" s="1300"/>
      <c r="AF1542" s="1300"/>
      <c r="AG1542" s="1300"/>
      <c r="AH1542" s="1300"/>
      <c r="AI1542" s="1300"/>
      <c r="AJ1542" s="1300"/>
      <c r="AK1542" s="1300"/>
      <c r="AL1542" s="1300"/>
      <c r="AM1542" s="1300"/>
      <c r="AN1542" s="1300"/>
      <c r="AO1542" s="1300"/>
      <c r="AP1542" s="1300"/>
      <c r="AQ1542" s="1300"/>
      <c r="AR1542" s="1236"/>
      <c r="AS1542" s="407"/>
      <c r="AT1542" s="407"/>
      <c r="AU1542" s="1242"/>
      <c r="AV1542" s="1242"/>
      <c r="AW1542" s="1242"/>
      <c r="AX1542" s="1242"/>
      <c r="AY1542" s="1242"/>
      <c r="AZ1542" s="1242"/>
      <c r="BA1542" s="1242"/>
      <c r="BB1542" s="1300"/>
      <c r="BC1542" s="1300"/>
      <c r="BD1542" s="1300"/>
      <c r="BE1542" s="1300"/>
    </row>
    <row r="1543" spans="1:57" s="382" customFormat="1" x14ac:dyDescent="0.2">
      <c r="A1543" s="833"/>
      <c r="B1543" s="329"/>
      <c r="C1543" s="25"/>
      <c r="D1543" s="1244"/>
      <c r="E1543" s="1244"/>
      <c r="F1543" s="1244"/>
      <c r="G1543" s="1244"/>
      <c r="H1543" s="1244"/>
      <c r="I1543" s="1244"/>
      <c r="J1543" s="1244"/>
      <c r="K1543" s="1244"/>
      <c r="L1543" s="1244"/>
      <c r="M1543" s="1244"/>
      <c r="N1543" s="1244"/>
      <c r="O1543" s="1244"/>
      <c r="P1543" s="1244"/>
      <c r="Q1543" s="1244"/>
      <c r="R1543" s="1244"/>
      <c r="S1543" s="1244"/>
      <c r="T1543" s="1244"/>
      <c r="U1543" s="1244"/>
      <c r="V1543" s="1244"/>
      <c r="W1543" s="1244"/>
      <c r="X1543" s="1244"/>
      <c r="Y1543" s="1244"/>
      <c r="Z1543" s="1294"/>
      <c r="AA1543" s="1294"/>
      <c r="AB1543" s="1294"/>
      <c r="AC1543" s="1294"/>
      <c r="AD1543" s="1294"/>
      <c r="AE1543" s="1294"/>
      <c r="AF1543" s="1294"/>
      <c r="AG1543" s="1294"/>
      <c r="AH1543" s="1294"/>
      <c r="AI1543" s="1294"/>
      <c r="AJ1543" s="1300"/>
      <c r="AK1543" s="1300"/>
      <c r="AL1543" s="1300"/>
      <c r="AM1543" s="1300"/>
      <c r="AN1543" s="1300"/>
      <c r="AO1543" s="1300"/>
      <c r="AP1543" s="1300"/>
      <c r="AQ1543" s="1300"/>
      <c r="AR1543" s="1236"/>
      <c r="AS1543" s="1519"/>
      <c r="AT1543" s="1307"/>
      <c r="AU1543" s="1244"/>
      <c r="AV1543" s="1244"/>
      <c r="AW1543" s="1244"/>
      <c r="AX1543" s="1244"/>
      <c r="AY1543" s="1244"/>
      <c r="AZ1543" s="1244"/>
      <c r="BA1543" s="1244"/>
      <c r="BB1543" s="1294"/>
      <c r="BC1543" s="1294"/>
      <c r="BD1543" s="1294"/>
      <c r="BE1543" s="1294"/>
    </row>
    <row r="1544" spans="1:57" s="382" customFormat="1" x14ac:dyDescent="0.2">
      <c r="A1544" s="833"/>
      <c r="B1544" s="319"/>
      <c r="C1544" s="329"/>
      <c r="D1544" s="1242"/>
      <c r="E1544" s="1242"/>
      <c r="F1544" s="1242"/>
      <c r="G1544" s="1242"/>
      <c r="H1544" s="1242"/>
      <c r="I1544" s="1242"/>
      <c r="J1544" s="1242"/>
      <c r="K1544" s="1242"/>
      <c r="L1544" s="1242"/>
      <c r="M1544" s="1242"/>
      <c r="N1544" s="1242"/>
      <c r="O1544" s="1242"/>
      <c r="P1544" s="1242"/>
      <c r="Q1544" s="1242"/>
      <c r="R1544" s="1242"/>
      <c r="S1544" s="1242"/>
      <c r="T1544" s="1242"/>
      <c r="U1544" s="1242"/>
      <c r="V1544" s="1242"/>
      <c r="W1544" s="1242"/>
      <c r="X1544" s="1242"/>
      <c r="Y1544" s="1242"/>
      <c r="Z1544" s="1300"/>
      <c r="AA1544" s="1300"/>
      <c r="AB1544" s="1300"/>
      <c r="AC1544" s="1300"/>
      <c r="AD1544" s="1300"/>
      <c r="AE1544" s="1300"/>
      <c r="AF1544" s="1300"/>
      <c r="AG1544" s="1300"/>
      <c r="AH1544" s="1300"/>
      <c r="AI1544" s="1300"/>
      <c r="AJ1544" s="1300"/>
      <c r="AK1544" s="1300"/>
      <c r="AL1544" s="1300"/>
      <c r="AM1544" s="1300"/>
      <c r="AN1544" s="1300"/>
      <c r="AO1544" s="1300"/>
      <c r="AP1544" s="1300"/>
      <c r="AQ1544" s="1300"/>
      <c r="AR1544" s="1236"/>
      <c r="AS1544" s="1248"/>
      <c r="AT1544" s="1519"/>
      <c r="AU1544" s="1242"/>
      <c r="AV1544" s="1242"/>
      <c r="AW1544" s="1242"/>
      <c r="AX1544" s="1242"/>
      <c r="AY1544" s="1242"/>
      <c r="AZ1544" s="1242"/>
      <c r="BA1544" s="1242"/>
      <c r="BB1544" s="1300"/>
      <c r="BC1544" s="1300"/>
      <c r="BD1544" s="1300"/>
      <c r="BE1544" s="1300"/>
    </row>
    <row r="1545" spans="1:57" s="382" customFormat="1" x14ac:dyDescent="0.2">
      <c r="A1545" s="833"/>
      <c r="B1545" s="329"/>
      <c r="C1545" s="1217"/>
      <c r="D1545" s="1242"/>
      <c r="E1545" s="1242"/>
      <c r="F1545" s="1242"/>
      <c r="G1545" s="1242"/>
      <c r="H1545" s="1242"/>
      <c r="I1545" s="1242"/>
      <c r="J1545" s="1242"/>
      <c r="K1545" s="1242"/>
      <c r="L1545" s="1242"/>
      <c r="M1545" s="1242"/>
      <c r="N1545" s="1242"/>
      <c r="O1545" s="1242"/>
      <c r="P1545" s="1242"/>
      <c r="Q1545" s="1242"/>
      <c r="R1545" s="1242"/>
      <c r="S1545" s="1242"/>
      <c r="T1545" s="1242"/>
      <c r="U1545" s="1242"/>
      <c r="V1545" s="1242"/>
      <c r="W1545" s="1242"/>
      <c r="X1545" s="1242"/>
      <c r="Y1545" s="1242"/>
      <c r="Z1545" s="1409"/>
      <c r="AA1545" s="1358"/>
      <c r="AB1545" s="1409"/>
      <c r="AC1545" s="1358"/>
      <c r="AD1545" s="1263"/>
      <c r="AE1545" s="1263"/>
      <c r="AF1545" s="1263"/>
      <c r="AG1545" s="1263"/>
      <c r="AH1545" s="1263"/>
      <c r="AI1545" s="1358"/>
      <c r="AJ1545" s="1358"/>
      <c r="AK1545" s="1358"/>
      <c r="AL1545" s="1358"/>
      <c r="AM1545" s="1358"/>
      <c r="AN1545" s="1358"/>
      <c r="AO1545" s="1358"/>
      <c r="AP1545" s="1358"/>
      <c r="AQ1545" s="1358"/>
      <c r="AR1545" s="1236"/>
      <c r="AS1545" s="1519"/>
      <c r="AT1545" s="407"/>
      <c r="AU1545" s="1242"/>
      <c r="AV1545" s="1242"/>
      <c r="AW1545" s="1242"/>
      <c r="AX1545" s="1242"/>
      <c r="AY1545" s="1242"/>
      <c r="AZ1545" s="1242"/>
      <c r="BA1545" s="1242"/>
      <c r="BB1545" s="1358"/>
      <c r="BC1545" s="1358"/>
      <c r="BD1545" s="1358"/>
      <c r="BE1545" s="1358"/>
    </row>
    <row r="1546" spans="1:57" s="382" customFormat="1" x14ac:dyDescent="0.2">
      <c r="A1546" s="833"/>
      <c r="B1546" s="329"/>
      <c r="C1546" s="1217"/>
      <c r="D1546" s="1242"/>
      <c r="E1546" s="1242"/>
      <c r="F1546" s="1242"/>
      <c r="G1546" s="1242"/>
      <c r="H1546" s="1242"/>
      <c r="I1546" s="1242"/>
      <c r="J1546" s="1242"/>
      <c r="K1546" s="1242"/>
      <c r="L1546" s="1242"/>
      <c r="M1546" s="1242"/>
      <c r="N1546" s="1242"/>
      <c r="O1546" s="1242"/>
      <c r="P1546" s="1242"/>
      <c r="Q1546" s="1242"/>
      <c r="R1546" s="1242"/>
      <c r="S1546" s="1242"/>
      <c r="T1546" s="1242"/>
      <c r="U1546" s="1242"/>
      <c r="V1546" s="1242"/>
      <c r="W1546" s="1242"/>
      <c r="X1546" s="1242"/>
      <c r="Y1546" s="1242"/>
      <c r="Z1546" s="1300"/>
      <c r="AA1546" s="1300"/>
      <c r="AB1546" s="1300"/>
      <c r="AC1546" s="1300"/>
      <c r="AD1546" s="1300"/>
      <c r="AE1546" s="1300"/>
      <c r="AF1546" s="1300"/>
      <c r="AG1546" s="1300"/>
      <c r="AH1546" s="1300"/>
      <c r="AI1546" s="1300"/>
      <c r="AJ1546" s="1300"/>
      <c r="AK1546" s="1300"/>
      <c r="AL1546" s="1300"/>
      <c r="AM1546" s="1300"/>
      <c r="AN1546" s="1300"/>
      <c r="AO1546" s="1300"/>
      <c r="AP1546" s="1300"/>
      <c r="AQ1546" s="1300"/>
      <c r="AR1546" s="1236"/>
      <c r="AS1546" s="1519"/>
      <c r="AT1546" s="407"/>
      <c r="AU1546" s="1242"/>
      <c r="AV1546" s="1242"/>
      <c r="AW1546" s="1242"/>
      <c r="AX1546" s="1242"/>
      <c r="AY1546" s="1242"/>
      <c r="AZ1546" s="1242"/>
      <c r="BA1546" s="1242"/>
      <c r="BB1546" s="1300"/>
      <c r="BC1546" s="1300"/>
      <c r="BD1546" s="1300"/>
      <c r="BE1546" s="1300"/>
    </row>
    <row r="1547" spans="1:57" s="382" customFormat="1" x14ac:dyDescent="0.2">
      <c r="A1547" s="833"/>
      <c r="B1547" s="329"/>
      <c r="C1547" s="1217"/>
      <c r="D1547" s="1242"/>
      <c r="E1547" s="1242"/>
      <c r="F1547" s="1242"/>
      <c r="G1547" s="1242"/>
      <c r="H1547" s="1242"/>
      <c r="I1547" s="1242"/>
      <c r="J1547" s="1242"/>
      <c r="K1547" s="1242"/>
      <c r="L1547" s="1242"/>
      <c r="M1547" s="1242"/>
      <c r="N1547" s="1242"/>
      <c r="O1547" s="1242"/>
      <c r="P1547" s="1242"/>
      <c r="Q1547" s="1242"/>
      <c r="R1547" s="1242"/>
      <c r="S1547" s="1242"/>
      <c r="T1547" s="1242"/>
      <c r="U1547" s="1242"/>
      <c r="V1547" s="1242"/>
      <c r="W1547" s="1242"/>
      <c r="X1547" s="1242"/>
      <c r="Y1547" s="1242"/>
      <c r="Z1547" s="1300"/>
      <c r="AA1547" s="1300"/>
      <c r="AB1547" s="1300"/>
      <c r="AC1547" s="1300"/>
      <c r="AD1547" s="1300"/>
      <c r="AE1547" s="1300"/>
      <c r="AF1547" s="1300"/>
      <c r="AG1547" s="1300"/>
      <c r="AH1547" s="1300"/>
      <c r="AI1547" s="1300"/>
      <c r="AJ1547" s="1300"/>
      <c r="AK1547" s="1300"/>
      <c r="AL1547" s="1300"/>
      <c r="AM1547" s="1300"/>
      <c r="AN1547" s="1300"/>
      <c r="AO1547" s="1300"/>
      <c r="AP1547" s="1300"/>
      <c r="AQ1547" s="1300"/>
      <c r="AR1547" s="1236"/>
      <c r="AS1547" s="1519"/>
      <c r="AT1547" s="407"/>
      <c r="AU1547" s="1242"/>
      <c r="AV1547" s="1242"/>
      <c r="AW1547" s="1242"/>
      <c r="AX1547" s="1242"/>
      <c r="AY1547" s="1242"/>
      <c r="AZ1547" s="1242"/>
      <c r="BA1547" s="1242"/>
      <c r="BB1547" s="1300"/>
      <c r="BC1547" s="1300"/>
      <c r="BD1547" s="1300"/>
      <c r="BE1547" s="1300"/>
    </row>
    <row r="1548" spans="1:57" s="382" customFormat="1" x14ac:dyDescent="0.2">
      <c r="A1548" s="833"/>
      <c r="B1548" s="329"/>
      <c r="C1548" s="1217"/>
      <c r="D1548" s="1242"/>
      <c r="E1548" s="1242"/>
      <c r="F1548" s="1242"/>
      <c r="G1548" s="1242"/>
      <c r="H1548" s="1242"/>
      <c r="I1548" s="1242"/>
      <c r="J1548" s="1242"/>
      <c r="K1548" s="1242"/>
      <c r="L1548" s="1242"/>
      <c r="M1548" s="1242"/>
      <c r="N1548" s="1242"/>
      <c r="O1548" s="1242"/>
      <c r="P1548" s="1242"/>
      <c r="Q1548" s="1242"/>
      <c r="R1548" s="1242"/>
      <c r="S1548" s="1242"/>
      <c r="T1548" s="1242"/>
      <c r="U1548" s="1242"/>
      <c r="V1548" s="1242"/>
      <c r="W1548" s="1242"/>
      <c r="X1548" s="1242"/>
      <c r="Y1548" s="1242"/>
      <c r="Z1548" s="1300"/>
      <c r="AA1548" s="1300"/>
      <c r="AB1548" s="1300"/>
      <c r="AC1548" s="1300"/>
      <c r="AD1548" s="1300"/>
      <c r="AE1548" s="1300"/>
      <c r="AF1548" s="1300"/>
      <c r="AG1548" s="1300"/>
      <c r="AH1548" s="1300"/>
      <c r="AI1548" s="1300"/>
      <c r="AJ1548" s="1300"/>
      <c r="AK1548" s="1300"/>
      <c r="AL1548" s="1300"/>
      <c r="AM1548" s="1300"/>
      <c r="AN1548" s="1300"/>
      <c r="AO1548" s="1300"/>
      <c r="AP1548" s="1300"/>
      <c r="AQ1548" s="1300"/>
      <c r="AR1548" s="1236"/>
      <c r="AS1548" s="1519"/>
      <c r="AT1548" s="407"/>
      <c r="AU1548" s="1242"/>
      <c r="AV1548" s="1242"/>
      <c r="AW1548" s="1242"/>
      <c r="AX1548" s="1242"/>
      <c r="AY1548" s="1242"/>
      <c r="AZ1548" s="1242"/>
      <c r="BA1548" s="1242"/>
      <c r="BB1548" s="1300"/>
      <c r="BC1548" s="1300"/>
      <c r="BD1548" s="1300"/>
      <c r="BE1548" s="1300"/>
    </row>
    <row r="1549" spans="1:57" s="382" customFormat="1" x14ac:dyDescent="0.2">
      <c r="A1549" s="833"/>
      <c r="B1549" s="329"/>
      <c r="C1549" s="1217"/>
      <c r="D1549" s="1242"/>
      <c r="E1549" s="1358"/>
      <c r="F1549" s="1358"/>
      <c r="G1549" s="1358"/>
      <c r="H1549" s="1358"/>
      <c r="I1549" s="1358"/>
      <c r="J1549" s="1358"/>
      <c r="K1549" s="1358"/>
      <c r="L1549" s="1358"/>
      <c r="M1549" s="1358"/>
      <c r="N1549" s="1358"/>
      <c r="O1549" s="1358"/>
      <c r="P1549" s="1358"/>
      <c r="Q1549" s="1358"/>
      <c r="R1549" s="1358"/>
      <c r="S1549" s="1358"/>
      <c r="T1549" s="1358"/>
      <c r="U1549" s="1358"/>
      <c r="V1549" s="1358"/>
      <c r="W1549" s="1358"/>
      <c r="X1549" s="1358"/>
      <c r="Y1549" s="1358"/>
      <c r="Z1549" s="1409"/>
      <c r="AA1549" s="1358"/>
      <c r="AB1549" s="1409"/>
      <c r="AC1549" s="1358"/>
      <c r="AD1549" s="1263"/>
      <c r="AE1549" s="1263"/>
      <c r="AF1549" s="1263"/>
      <c r="AG1549" s="1263"/>
      <c r="AH1549" s="1263"/>
      <c r="AI1549" s="1358"/>
      <c r="AJ1549" s="1358"/>
      <c r="AK1549" s="1358"/>
      <c r="AL1549" s="1358"/>
      <c r="AM1549" s="1358"/>
      <c r="AN1549" s="1358"/>
      <c r="AO1549" s="1358"/>
      <c r="AP1549" s="1358"/>
      <c r="AQ1549" s="1358"/>
      <c r="AR1549" s="1236"/>
      <c r="AS1549" s="1519"/>
      <c r="AT1549" s="407"/>
      <c r="AU1549" s="1263"/>
      <c r="AV1549" s="1358"/>
      <c r="AW1549" s="1263"/>
      <c r="AX1549" s="1358"/>
      <c r="AY1549" s="1263"/>
      <c r="AZ1549" s="1358"/>
      <c r="BA1549" s="1308"/>
      <c r="BB1549" s="1358"/>
      <c r="BC1549" s="1358"/>
      <c r="BD1549" s="1358"/>
      <c r="BE1549" s="1358"/>
    </row>
    <row r="1550" spans="1:57" s="382" customFormat="1" x14ac:dyDescent="0.2">
      <c r="A1550" s="833"/>
      <c r="B1550" s="143"/>
      <c r="C1550" s="1217"/>
      <c r="D1550" s="1242"/>
      <c r="E1550" s="1358"/>
      <c r="F1550" s="1358"/>
      <c r="G1550" s="1358"/>
      <c r="H1550" s="1358"/>
      <c r="I1550" s="1358"/>
      <c r="J1550" s="1358"/>
      <c r="K1550" s="1358"/>
      <c r="L1550" s="1358"/>
      <c r="M1550" s="1358"/>
      <c r="N1550" s="1358"/>
      <c r="O1550" s="1358"/>
      <c r="P1550" s="1358"/>
      <c r="Q1550" s="1358"/>
      <c r="R1550" s="1358"/>
      <c r="S1550" s="1358"/>
      <c r="T1550" s="1358"/>
      <c r="U1550" s="1358"/>
      <c r="V1550" s="1358"/>
      <c r="W1550" s="1358"/>
      <c r="X1550" s="1358"/>
      <c r="Y1550" s="1358"/>
      <c r="Z1550" s="1409"/>
      <c r="AA1550" s="1358"/>
      <c r="AB1550" s="1409"/>
      <c r="AC1550" s="1358"/>
      <c r="AD1550" s="1263"/>
      <c r="AE1550" s="1263"/>
      <c r="AF1550" s="1263"/>
      <c r="AG1550" s="1263"/>
      <c r="AH1550" s="1263"/>
      <c r="AI1550" s="1358"/>
      <c r="AJ1550" s="1358"/>
      <c r="AK1550" s="1358"/>
      <c r="AL1550" s="1358"/>
      <c r="AM1550" s="1358"/>
      <c r="AN1550" s="1358"/>
      <c r="AO1550" s="1358"/>
      <c r="AP1550" s="1358"/>
      <c r="AQ1550" s="1358"/>
      <c r="AR1550" s="1236"/>
      <c r="AS1550" s="1587"/>
      <c r="AT1550" s="407"/>
      <c r="AU1550" s="1263"/>
      <c r="AV1550" s="1358"/>
      <c r="AW1550" s="1263"/>
      <c r="AX1550" s="1358"/>
      <c r="AY1550" s="1263"/>
      <c r="AZ1550" s="1358"/>
      <c r="BA1550" s="1308"/>
      <c r="BB1550" s="1358"/>
      <c r="BC1550" s="1358"/>
      <c r="BD1550" s="1358"/>
      <c r="BE1550" s="1358"/>
    </row>
    <row r="1551" spans="1:57" s="382" customFormat="1" x14ac:dyDescent="0.2">
      <c r="A1551" s="833"/>
      <c r="B1551" s="329"/>
      <c r="C1551" s="362"/>
      <c r="D1551" s="1605"/>
      <c r="E1551" s="1606"/>
      <c r="F1551" s="1606"/>
      <c r="G1551" s="1606"/>
      <c r="H1551" s="1606"/>
      <c r="I1551" s="1606"/>
      <c r="J1551" s="1606"/>
      <c r="K1551" s="1606"/>
      <c r="L1551" s="1606"/>
      <c r="M1551" s="1606"/>
      <c r="N1551" s="1606"/>
      <c r="O1551" s="1606"/>
      <c r="P1551" s="1606"/>
      <c r="Q1551" s="1606"/>
      <c r="R1551" s="1606"/>
      <c r="S1551" s="1606"/>
      <c r="T1551" s="1606"/>
      <c r="U1551" s="1606"/>
      <c r="V1551" s="1606"/>
      <c r="W1551" s="1606"/>
      <c r="X1551" s="1606"/>
      <c r="Y1551" s="1606"/>
      <c r="Z1551" s="1300"/>
      <c r="AA1551" s="1300"/>
      <c r="AB1551" s="1300"/>
      <c r="AC1551" s="1300"/>
      <c r="AD1551" s="1300"/>
      <c r="AE1551" s="1300"/>
      <c r="AF1551" s="1300"/>
      <c r="AG1551" s="1300"/>
      <c r="AH1551" s="1300"/>
      <c r="AI1551" s="1300"/>
      <c r="AJ1551" s="1300"/>
      <c r="AK1551" s="1300"/>
      <c r="AL1551" s="1300"/>
      <c r="AM1551" s="1300"/>
      <c r="AN1551" s="1300"/>
      <c r="AO1551" s="1300"/>
      <c r="AP1551" s="1300"/>
      <c r="AQ1551" s="1300"/>
      <c r="AR1551" s="1236"/>
      <c r="AS1551" s="1519"/>
      <c r="AT1551" s="1400"/>
      <c r="AU1551" s="1263"/>
      <c r="AV1551" s="1263"/>
      <c r="AW1551" s="1263"/>
      <c r="AX1551" s="1263"/>
      <c r="AY1551" s="1263"/>
      <c r="AZ1551" s="1263"/>
      <c r="BA1551" s="1263"/>
      <c r="BB1551" s="1300"/>
      <c r="BC1551" s="1300"/>
      <c r="BD1551" s="1300"/>
      <c r="BE1551" s="1300"/>
    </row>
    <row r="1552" spans="1:57" s="382" customFormat="1" x14ac:dyDescent="0.2">
      <c r="A1552" s="833"/>
      <c r="B1552" s="329"/>
      <c r="C1552" s="362"/>
      <c r="D1552" s="1605"/>
      <c r="E1552" s="1606"/>
      <c r="F1552" s="1606"/>
      <c r="G1552" s="1606"/>
      <c r="H1552" s="1606"/>
      <c r="I1552" s="1606"/>
      <c r="J1552" s="1606"/>
      <c r="K1552" s="1606"/>
      <c r="L1552" s="1606"/>
      <c r="M1552" s="1606"/>
      <c r="N1552" s="1606"/>
      <c r="O1552" s="1606"/>
      <c r="P1552" s="1606"/>
      <c r="Q1552" s="1606"/>
      <c r="R1552" s="1606"/>
      <c r="S1552" s="1606"/>
      <c r="T1552" s="1606"/>
      <c r="U1552" s="1606"/>
      <c r="V1552" s="1606"/>
      <c r="W1552" s="1606"/>
      <c r="X1552" s="1606"/>
      <c r="Y1552" s="1606"/>
      <c r="Z1552" s="1300"/>
      <c r="AA1552" s="1300"/>
      <c r="AB1552" s="1300"/>
      <c r="AC1552" s="1300"/>
      <c r="AD1552" s="1300"/>
      <c r="AE1552" s="1300"/>
      <c r="AF1552" s="1300"/>
      <c r="AG1552" s="1300"/>
      <c r="AH1552" s="1300"/>
      <c r="AI1552" s="1300"/>
      <c r="AJ1552" s="1300"/>
      <c r="AK1552" s="1300"/>
      <c r="AL1552" s="1300"/>
      <c r="AM1552" s="1300"/>
      <c r="AN1552" s="1300"/>
      <c r="AO1552" s="1300"/>
      <c r="AP1552" s="1300"/>
      <c r="AQ1552" s="1300"/>
      <c r="AR1552" s="1236"/>
      <c r="AS1552" s="1519"/>
      <c r="AT1552" s="1400"/>
      <c r="AU1552" s="1263"/>
      <c r="AV1552" s="1263"/>
      <c r="AW1552" s="1263"/>
      <c r="AX1552" s="1263"/>
      <c r="AY1552" s="1263"/>
      <c r="AZ1552" s="1263"/>
      <c r="BA1552" s="1263"/>
      <c r="BB1552" s="1300"/>
      <c r="BC1552" s="1300"/>
      <c r="BD1552" s="1300"/>
      <c r="BE1552" s="1300"/>
    </row>
    <row r="1553" spans="1:57" s="382" customFormat="1" x14ac:dyDescent="0.2">
      <c r="A1553" s="833"/>
      <c r="B1553" s="329"/>
      <c r="C1553" s="362"/>
      <c r="D1553" s="1605"/>
      <c r="E1553" s="1606"/>
      <c r="F1553" s="1606"/>
      <c r="G1553" s="1606"/>
      <c r="H1553" s="1606"/>
      <c r="I1553" s="1606"/>
      <c r="J1553" s="1606"/>
      <c r="K1553" s="1606"/>
      <c r="L1553" s="1606"/>
      <c r="M1553" s="1606"/>
      <c r="N1553" s="1606"/>
      <c r="O1553" s="1606"/>
      <c r="P1553" s="1606"/>
      <c r="Q1553" s="1606"/>
      <c r="R1553" s="1606"/>
      <c r="S1553" s="1606"/>
      <c r="T1553" s="1606"/>
      <c r="U1553" s="1606"/>
      <c r="V1553" s="1606"/>
      <c r="W1553" s="1606"/>
      <c r="X1553" s="1606"/>
      <c r="Y1553" s="1606"/>
      <c r="Z1553" s="1300"/>
      <c r="AA1553" s="1300"/>
      <c r="AB1553" s="1300"/>
      <c r="AC1553" s="1300"/>
      <c r="AD1553" s="1300"/>
      <c r="AE1553" s="1300"/>
      <c r="AF1553" s="1300"/>
      <c r="AG1553" s="1300"/>
      <c r="AH1553" s="1300"/>
      <c r="AI1553" s="1300"/>
      <c r="AJ1553" s="1300"/>
      <c r="AK1553" s="1300"/>
      <c r="AL1553" s="1300"/>
      <c r="AM1553" s="1300"/>
      <c r="AN1553" s="1300"/>
      <c r="AO1553" s="1300"/>
      <c r="AP1553" s="1300"/>
      <c r="AQ1553" s="1300"/>
      <c r="AR1553" s="1236"/>
      <c r="AS1553" s="1519"/>
      <c r="AT1553" s="1400"/>
      <c r="AU1553" s="1263"/>
      <c r="AV1553" s="1263"/>
      <c r="AW1553" s="1263"/>
      <c r="AX1553" s="1263"/>
      <c r="AY1553" s="1263"/>
      <c r="AZ1553" s="1263"/>
      <c r="BA1553" s="1263"/>
      <c r="BB1553" s="1300"/>
      <c r="BC1553" s="1300"/>
      <c r="BD1553" s="1300"/>
      <c r="BE1553" s="1300"/>
    </row>
    <row r="1554" spans="1:57" s="382" customFormat="1" x14ac:dyDescent="0.2">
      <c r="A1554" s="833"/>
      <c r="B1554" s="329"/>
      <c r="C1554" s="362"/>
      <c r="D1554" s="1605"/>
      <c r="E1554" s="1606"/>
      <c r="F1554" s="1606"/>
      <c r="G1554" s="1606"/>
      <c r="H1554" s="1606"/>
      <c r="I1554" s="1606"/>
      <c r="J1554" s="1606"/>
      <c r="K1554" s="1606"/>
      <c r="L1554" s="1606"/>
      <c r="M1554" s="1606"/>
      <c r="N1554" s="1606"/>
      <c r="O1554" s="1606"/>
      <c r="P1554" s="1606"/>
      <c r="Q1554" s="1606"/>
      <c r="R1554" s="1606"/>
      <c r="S1554" s="1606"/>
      <c r="T1554" s="1606"/>
      <c r="U1554" s="1606"/>
      <c r="V1554" s="1606"/>
      <c r="W1554" s="1606"/>
      <c r="X1554" s="1606"/>
      <c r="Y1554" s="1606"/>
      <c r="Z1554" s="1300"/>
      <c r="AA1554" s="1300"/>
      <c r="AB1554" s="1300"/>
      <c r="AC1554" s="1300"/>
      <c r="AD1554" s="1300"/>
      <c r="AE1554" s="1300"/>
      <c r="AF1554" s="1300"/>
      <c r="AG1554" s="1300"/>
      <c r="AH1554" s="1300"/>
      <c r="AI1554" s="1300"/>
      <c r="AJ1554" s="1300"/>
      <c r="AK1554" s="1300"/>
      <c r="AL1554" s="1300"/>
      <c r="AM1554" s="1300"/>
      <c r="AN1554" s="1300"/>
      <c r="AO1554" s="1300"/>
      <c r="AP1554" s="1300"/>
      <c r="AQ1554" s="1300"/>
      <c r="AR1554" s="1236"/>
      <c r="AS1554" s="1519"/>
      <c r="AT1554" s="1400"/>
      <c r="AU1554" s="1263"/>
      <c r="AV1554" s="1263"/>
      <c r="AW1554" s="1263"/>
      <c r="AX1554" s="1263"/>
      <c r="AY1554" s="1263"/>
      <c r="AZ1554" s="1263"/>
      <c r="BA1554" s="1263"/>
      <c r="BB1554" s="1300"/>
      <c r="BC1554" s="1300"/>
      <c r="BD1554" s="1300"/>
      <c r="BE1554" s="1300"/>
    </row>
    <row r="1555" spans="1:57" s="382" customFormat="1" x14ac:dyDescent="0.2">
      <c r="A1555" s="833"/>
      <c r="B1555" s="329"/>
      <c r="C1555" s="383"/>
      <c r="D1555" s="1607"/>
      <c r="E1555" s="1608"/>
      <c r="F1555" s="1608"/>
      <c r="G1555" s="1608"/>
      <c r="H1555" s="1608"/>
      <c r="I1555" s="1608"/>
      <c r="J1555" s="1608"/>
      <c r="K1555" s="1608"/>
      <c r="L1555" s="1608"/>
      <c r="M1555" s="1608"/>
      <c r="N1555" s="1608"/>
      <c r="O1555" s="1608"/>
      <c r="P1555" s="1608"/>
      <c r="Q1555" s="1608"/>
      <c r="R1555" s="1608"/>
      <c r="S1555" s="1608"/>
      <c r="T1555" s="1608"/>
      <c r="U1555" s="1608"/>
      <c r="V1555" s="1608"/>
      <c r="W1555" s="1608"/>
      <c r="X1555" s="1608"/>
      <c r="Y1555" s="1608"/>
      <c r="Z1555" s="1294"/>
      <c r="AA1555" s="1294"/>
      <c r="AB1555" s="1294"/>
      <c r="AC1555" s="1294"/>
      <c r="AD1555" s="1294"/>
      <c r="AE1555" s="1294"/>
      <c r="AF1555" s="1294"/>
      <c r="AG1555" s="1294"/>
      <c r="AH1555" s="1294"/>
      <c r="AI1555" s="1294"/>
      <c r="AJ1555" s="1300"/>
      <c r="AK1555" s="1300"/>
      <c r="AL1555" s="1300"/>
      <c r="AM1555" s="1300"/>
      <c r="AN1555" s="1300"/>
      <c r="AO1555" s="1300"/>
      <c r="AP1555" s="1300"/>
      <c r="AQ1555" s="1300"/>
      <c r="AR1555" s="1236"/>
      <c r="AS1555" s="1519"/>
      <c r="AT1555" s="1402"/>
      <c r="AU1555" s="1270"/>
      <c r="AV1555" s="1270"/>
      <c r="AW1555" s="1270"/>
      <c r="AX1555" s="1270"/>
      <c r="AY1555" s="1270"/>
      <c r="AZ1555" s="1270"/>
      <c r="BA1555" s="1270"/>
      <c r="BB1555" s="1294"/>
      <c r="BC1555" s="1294"/>
      <c r="BD1555" s="1294"/>
      <c r="BE1555" s="1294"/>
    </row>
    <row r="1556" spans="1:57" s="382" customFormat="1" x14ac:dyDescent="0.2">
      <c r="A1556" s="833"/>
      <c r="B1556" s="319"/>
      <c r="C1556" s="329"/>
      <c r="D1556" s="1605"/>
      <c r="E1556" s="1606"/>
      <c r="F1556" s="1606"/>
      <c r="G1556" s="1606"/>
      <c r="H1556" s="1606"/>
      <c r="I1556" s="1606"/>
      <c r="J1556" s="1606"/>
      <c r="K1556" s="1606"/>
      <c r="L1556" s="1606"/>
      <c r="M1556" s="1606"/>
      <c r="N1556" s="1606"/>
      <c r="O1556" s="1606"/>
      <c r="P1556" s="1606"/>
      <c r="Q1556" s="1606"/>
      <c r="R1556" s="1606"/>
      <c r="S1556" s="1606"/>
      <c r="T1556" s="1606"/>
      <c r="U1556" s="1606"/>
      <c r="V1556" s="1606"/>
      <c r="W1556" s="1606"/>
      <c r="X1556" s="1606"/>
      <c r="Y1556" s="1606"/>
      <c r="Z1556" s="1300"/>
      <c r="AA1556" s="1300"/>
      <c r="AB1556" s="1300"/>
      <c r="AC1556" s="1300"/>
      <c r="AD1556" s="1300"/>
      <c r="AE1556" s="1300"/>
      <c r="AF1556" s="1300"/>
      <c r="AG1556" s="1300"/>
      <c r="AH1556" s="1300"/>
      <c r="AI1556" s="1300"/>
      <c r="AJ1556" s="1300"/>
      <c r="AK1556" s="1300"/>
      <c r="AL1556" s="1300"/>
      <c r="AM1556" s="1300"/>
      <c r="AN1556" s="1300"/>
      <c r="AO1556" s="1300"/>
      <c r="AP1556" s="1300"/>
      <c r="AQ1556" s="1300"/>
      <c r="AR1556" s="1236"/>
      <c r="AS1556" s="1248"/>
      <c r="AT1556" s="1519"/>
      <c r="AU1556" s="1263"/>
      <c r="AV1556" s="1263"/>
      <c r="AW1556" s="1263"/>
      <c r="AX1556" s="1263"/>
      <c r="AY1556" s="1263"/>
      <c r="AZ1556" s="1263"/>
      <c r="BA1556" s="1263"/>
      <c r="BB1556" s="1300"/>
      <c r="BC1556" s="1300"/>
      <c r="BD1556" s="1300"/>
      <c r="BE1556" s="1300"/>
    </row>
    <row r="1557" spans="1:57" s="382" customFormat="1" x14ac:dyDescent="0.2">
      <c r="A1557" s="833"/>
      <c r="B1557" s="329"/>
      <c r="C1557" s="1217"/>
      <c r="D1557" s="1242"/>
      <c r="E1557" s="1358"/>
      <c r="F1557" s="1358"/>
      <c r="G1557" s="1358"/>
      <c r="H1557" s="1358"/>
      <c r="I1557" s="1358"/>
      <c r="J1557" s="1358"/>
      <c r="K1557" s="1358"/>
      <c r="L1557" s="1358"/>
      <c r="M1557" s="1358"/>
      <c r="N1557" s="1358"/>
      <c r="O1557" s="1358"/>
      <c r="P1557" s="1358"/>
      <c r="Q1557" s="1358"/>
      <c r="R1557" s="1358"/>
      <c r="S1557" s="1358"/>
      <c r="T1557" s="1358"/>
      <c r="U1557" s="1358"/>
      <c r="V1557" s="1358"/>
      <c r="W1557" s="1358"/>
      <c r="X1557" s="1358"/>
      <c r="Y1557" s="1358"/>
      <c r="Z1557" s="1409"/>
      <c r="AA1557" s="1358"/>
      <c r="AB1557" s="1409"/>
      <c r="AC1557" s="1358"/>
      <c r="AD1557" s="1263"/>
      <c r="AE1557" s="1263"/>
      <c r="AF1557" s="1263"/>
      <c r="AG1557" s="1263"/>
      <c r="AH1557" s="1263"/>
      <c r="AI1557" s="1358"/>
      <c r="AJ1557" s="1358"/>
      <c r="AK1557" s="1358"/>
      <c r="AL1557" s="1358"/>
      <c r="AM1557" s="1358"/>
      <c r="AN1557" s="1358"/>
      <c r="AO1557" s="1358"/>
      <c r="AP1557" s="1358"/>
      <c r="AQ1557" s="1358"/>
      <c r="AR1557" s="1236"/>
      <c r="AS1557" s="1519"/>
      <c r="AT1557" s="407"/>
      <c r="AU1557" s="1263"/>
      <c r="AV1557" s="1358"/>
      <c r="AW1557" s="1263"/>
      <c r="AX1557" s="1358"/>
      <c r="AY1557" s="1263"/>
      <c r="AZ1557" s="1358"/>
      <c r="BA1557" s="1308"/>
      <c r="BB1557" s="1358"/>
      <c r="BC1557" s="1358"/>
      <c r="BD1557" s="1358"/>
      <c r="BE1557" s="1358"/>
    </row>
    <row r="1558" spans="1:57" s="382" customFormat="1" x14ac:dyDescent="0.2">
      <c r="A1558" s="833"/>
      <c r="B1558" s="329"/>
      <c r="C1558" s="1217"/>
      <c r="D1558" s="1242"/>
      <c r="E1558" s="1358"/>
      <c r="F1558" s="1358"/>
      <c r="G1558" s="1358"/>
      <c r="H1558" s="1358"/>
      <c r="I1558" s="1358"/>
      <c r="J1558" s="1358"/>
      <c r="K1558" s="1358"/>
      <c r="L1558" s="1358"/>
      <c r="M1558" s="1358"/>
      <c r="N1558" s="1358"/>
      <c r="O1558" s="1358"/>
      <c r="P1558" s="1358"/>
      <c r="Q1558" s="1358"/>
      <c r="R1558" s="1358"/>
      <c r="S1558" s="1358"/>
      <c r="T1558" s="1358"/>
      <c r="U1558" s="1358"/>
      <c r="V1558" s="1358"/>
      <c r="W1558" s="1358"/>
      <c r="X1558" s="1358"/>
      <c r="Y1558" s="1358"/>
      <c r="Z1558" s="1409"/>
      <c r="AA1558" s="1358"/>
      <c r="AB1558" s="1409"/>
      <c r="AC1558" s="1358"/>
      <c r="AD1558" s="1263"/>
      <c r="AE1558" s="1263"/>
      <c r="AF1558" s="1263"/>
      <c r="AG1558" s="1263"/>
      <c r="AH1558" s="1263"/>
      <c r="AI1558" s="1358"/>
      <c r="AJ1558" s="1358"/>
      <c r="AK1558" s="1358"/>
      <c r="AL1558" s="1358"/>
      <c r="AM1558" s="1358"/>
      <c r="AN1558" s="1358"/>
      <c r="AO1558" s="1358"/>
      <c r="AP1558" s="1358"/>
      <c r="AQ1558" s="1358"/>
      <c r="AR1558" s="1236"/>
      <c r="AS1558" s="1519"/>
      <c r="AT1558" s="407"/>
      <c r="AU1558" s="1263"/>
      <c r="AV1558" s="1358"/>
      <c r="AW1558" s="1263"/>
      <c r="AX1558" s="1358"/>
      <c r="AY1558" s="1263"/>
      <c r="AZ1558" s="1358"/>
      <c r="BA1558" s="1308"/>
      <c r="BB1558" s="1358"/>
      <c r="BC1558" s="1358"/>
      <c r="BD1558" s="1358"/>
      <c r="BE1558" s="1358"/>
    </row>
    <row r="1559" spans="1:57" x14ac:dyDescent="0.2">
      <c r="B1559" s="13"/>
      <c r="C1559" s="13"/>
      <c r="D1559" s="1369"/>
      <c r="E1559" s="1369"/>
      <c r="F1559" s="1369"/>
      <c r="G1559" s="1369"/>
      <c r="H1559" s="1369"/>
      <c r="I1559" s="1369"/>
      <c r="J1559" s="1369"/>
      <c r="K1559" s="1369"/>
      <c r="L1559" s="1369"/>
      <c r="M1559" s="1369"/>
      <c r="N1559" s="1369"/>
      <c r="O1559" s="1369"/>
      <c r="P1559" s="1369"/>
      <c r="Q1559" s="1369"/>
      <c r="R1559" s="1369"/>
      <c r="S1559" s="1369"/>
      <c r="T1559" s="1369"/>
      <c r="U1559" s="1369"/>
      <c r="V1559" s="1369"/>
      <c r="W1559" s="1369"/>
      <c r="X1559" s="1369"/>
      <c r="Y1559" s="1369"/>
      <c r="Z1559" s="1369"/>
      <c r="AA1559" s="1369"/>
      <c r="AB1559" s="1369"/>
      <c r="AC1559" s="1369"/>
      <c r="AD1559" s="1369"/>
      <c r="AE1559" s="1369"/>
      <c r="AF1559" s="1369"/>
      <c r="AG1559" s="1369"/>
      <c r="AH1559" s="1369"/>
      <c r="AI1559" s="1369"/>
      <c r="AJ1559" s="1369"/>
      <c r="AK1559" s="1369"/>
      <c r="AL1559" s="1369"/>
      <c r="AM1559" s="1369"/>
      <c r="AN1559" s="1369"/>
      <c r="AO1559" s="1369"/>
      <c r="AP1559" s="1369"/>
      <c r="AQ1559" s="1369"/>
      <c r="AR1559" s="1236"/>
      <c r="AS1559" s="1370"/>
      <c r="AT1559" s="1370"/>
      <c r="AU1559" s="1370"/>
      <c r="AV1559" s="1370"/>
      <c r="AW1559" s="1370"/>
      <c r="AX1559" s="1370"/>
      <c r="AY1559" s="1370"/>
      <c r="AZ1559" s="1370"/>
      <c r="BA1559" s="1370"/>
      <c r="BB1559" s="1369"/>
      <c r="BC1559" s="1369"/>
      <c r="BD1559" s="1369"/>
      <c r="BE1559" s="1369"/>
    </row>
    <row r="1560" spans="1:57" s="382" customFormat="1" x14ac:dyDescent="0.2">
      <c r="A1560" s="833"/>
      <c r="B1560" s="329"/>
      <c r="C1560" s="1217"/>
      <c r="D1560" s="1242"/>
      <c r="E1560" s="1358"/>
      <c r="F1560" s="1358"/>
      <c r="G1560" s="1358"/>
      <c r="H1560" s="1358"/>
      <c r="I1560" s="1358"/>
      <c r="J1560" s="1358"/>
      <c r="K1560" s="1358"/>
      <c r="L1560" s="1358"/>
      <c r="M1560" s="1358"/>
      <c r="N1560" s="1358"/>
      <c r="O1560" s="1358"/>
      <c r="P1560" s="1358"/>
      <c r="Q1560" s="1358"/>
      <c r="R1560" s="1358"/>
      <c r="S1560" s="1358"/>
      <c r="T1560" s="1358"/>
      <c r="U1560" s="1358"/>
      <c r="V1560" s="1358"/>
      <c r="W1560" s="1358"/>
      <c r="X1560" s="1358"/>
      <c r="Y1560" s="1308"/>
      <c r="Z1560" s="1409"/>
      <c r="AA1560" s="1358"/>
      <c r="AB1560" s="1409"/>
      <c r="AC1560" s="1358"/>
      <c r="AD1560" s="1263"/>
      <c r="AE1560" s="1263"/>
      <c r="AF1560" s="1263"/>
      <c r="AG1560" s="1263"/>
      <c r="AH1560" s="1263"/>
      <c r="AI1560" s="1358"/>
      <c r="AJ1560" s="1358"/>
      <c r="AK1560" s="1358"/>
      <c r="AL1560" s="1358"/>
      <c r="AM1560" s="1358"/>
      <c r="AN1560" s="1358"/>
      <c r="AO1560" s="1358"/>
      <c r="AP1560" s="1358"/>
      <c r="AQ1560" s="1358"/>
      <c r="AR1560" s="1236"/>
      <c r="AS1560" s="1519"/>
      <c r="AT1560" s="407"/>
      <c r="AU1560" s="1263"/>
      <c r="AV1560" s="1358"/>
      <c r="AW1560" s="1263"/>
      <c r="AX1560" s="1358"/>
      <c r="AY1560" s="1263"/>
      <c r="AZ1560" s="1358"/>
      <c r="BA1560" s="1308"/>
      <c r="BB1560" s="1358"/>
      <c r="BC1560" s="1358"/>
      <c r="BD1560" s="1358"/>
      <c r="BE1560" s="1358"/>
    </row>
    <row r="1561" spans="1:57" x14ac:dyDescent="0.2">
      <c r="A1561" s="833"/>
      <c r="B1561" s="334"/>
      <c r="C1561" s="387"/>
      <c r="D1561" s="1253"/>
      <c r="E1561" s="1240"/>
      <c r="F1561" s="1327"/>
      <c r="G1561" s="1327"/>
      <c r="H1561" s="1327"/>
      <c r="I1561" s="1327"/>
      <c r="J1561" s="1327"/>
      <c r="K1561" s="1327"/>
      <c r="L1561" s="1327"/>
      <c r="M1561" s="1327"/>
      <c r="N1561" s="1327"/>
      <c r="O1561" s="1327"/>
      <c r="P1561" s="1327"/>
      <c r="Q1561" s="1327"/>
      <c r="R1561" s="1327"/>
      <c r="S1561" s="1327"/>
      <c r="T1561" s="1327"/>
      <c r="U1561" s="1327"/>
      <c r="V1561" s="1327"/>
      <c r="W1561" s="1327"/>
      <c r="X1561" s="1327"/>
      <c r="Y1561" s="1327"/>
      <c r="Z1561" s="407"/>
      <c r="AA1561" s="407"/>
      <c r="AB1561" s="407"/>
      <c r="AC1561" s="407"/>
      <c r="AD1561" s="407"/>
      <c r="AE1561" s="407"/>
      <c r="AF1561" s="407"/>
      <c r="AG1561" s="407"/>
      <c r="AH1561" s="407"/>
      <c r="AI1561" s="407"/>
      <c r="AJ1561" s="407"/>
      <c r="AK1561" s="407"/>
      <c r="AL1561" s="407"/>
      <c r="AM1561" s="407"/>
      <c r="AN1561" s="407"/>
      <c r="AO1561" s="407"/>
      <c r="AP1561" s="407"/>
      <c r="AQ1561" s="407"/>
      <c r="AR1561" s="1236"/>
      <c r="AS1561" s="1410"/>
      <c r="AT1561" s="1248"/>
      <c r="AU1561" s="1267"/>
      <c r="AV1561" s="1267"/>
      <c r="AW1561" s="1267"/>
      <c r="AX1561" s="1267"/>
      <c r="AY1561" s="1267"/>
      <c r="AZ1561" s="1267"/>
      <c r="BA1561" s="1267"/>
      <c r="BB1561" s="407"/>
      <c r="BC1561" s="407"/>
      <c r="BD1561" s="407"/>
      <c r="BE1561" s="407"/>
    </row>
    <row r="1562" spans="1:57" s="382" customFormat="1" x14ac:dyDescent="0.2">
      <c r="A1562" s="833"/>
      <c r="B1562" s="334"/>
      <c r="C1562" s="1217"/>
      <c r="D1562" s="1327"/>
      <c r="E1562" s="1260"/>
      <c r="F1562" s="1260"/>
      <c r="G1562" s="1260"/>
      <c r="H1562" s="1260"/>
      <c r="I1562" s="1260"/>
      <c r="J1562" s="1260"/>
      <c r="K1562" s="1260"/>
      <c r="L1562" s="1260"/>
      <c r="M1562" s="1260"/>
      <c r="N1562" s="1260"/>
      <c r="O1562" s="1260"/>
      <c r="P1562" s="1260"/>
      <c r="Q1562" s="1260"/>
      <c r="R1562" s="1260"/>
      <c r="S1562" s="1260"/>
      <c r="T1562" s="1260"/>
      <c r="U1562" s="1260"/>
      <c r="V1562" s="1260"/>
      <c r="W1562" s="1260"/>
      <c r="X1562" s="1260"/>
      <c r="Y1562" s="1260"/>
      <c r="Z1562" s="407"/>
      <c r="AA1562" s="407"/>
      <c r="AB1562" s="407"/>
      <c r="AC1562" s="407"/>
      <c r="AD1562" s="407"/>
      <c r="AE1562" s="407"/>
      <c r="AF1562" s="407"/>
      <c r="AG1562" s="407"/>
      <c r="AH1562" s="407"/>
      <c r="AI1562" s="407"/>
      <c r="AJ1562" s="407"/>
      <c r="AK1562" s="407"/>
      <c r="AL1562" s="407"/>
      <c r="AM1562" s="407"/>
      <c r="AN1562" s="407"/>
      <c r="AO1562" s="407"/>
      <c r="AP1562" s="407"/>
      <c r="AQ1562" s="407"/>
      <c r="AR1562" s="1236"/>
      <c r="AS1562" s="1410"/>
      <c r="AT1562" s="407"/>
      <c r="AU1562" s="1267"/>
      <c r="AV1562" s="1267"/>
      <c r="AW1562" s="1267"/>
      <c r="AX1562" s="1267"/>
      <c r="AY1562" s="1267"/>
      <c r="AZ1562" s="1267"/>
      <c r="BA1562" s="1267"/>
      <c r="BB1562" s="407"/>
      <c r="BC1562" s="407"/>
      <c r="BD1562" s="407"/>
      <c r="BE1562" s="407"/>
    </row>
    <row r="1563" spans="1:57" s="382" customFormat="1" x14ac:dyDescent="0.2">
      <c r="A1563" s="833"/>
      <c r="B1563" s="334"/>
      <c r="C1563" s="1217"/>
      <c r="D1563" s="1327"/>
      <c r="E1563" s="1260"/>
      <c r="F1563" s="1260"/>
      <c r="G1563" s="1260"/>
      <c r="H1563" s="1260"/>
      <c r="I1563" s="1260"/>
      <c r="J1563" s="1260"/>
      <c r="K1563" s="1260"/>
      <c r="L1563" s="1260"/>
      <c r="M1563" s="1260"/>
      <c r="N1563" s="1260"/>
      <c r="O1563" s="1260"/>
      <c r="P1563" s="1260"/>
      <c r="Q1563" s="1260"/>
      <c r="R1563" s="1260"/>
      <c r="S1563" s="1260"/>
      <c r="T1563" s="1260"/>
      <c r="U1563" s="1260"/>
      <c r="V1563" s="1260"/>
      <c r="W1563" s="1260"/>
      <c r="X1563" s="1358"/>
      <c r="Y1563" s="1308"/>
      <c r="Z1563" s="1409"/>
      <c r="AA1563" s="1358"/>
      <c r="AB1563" s="1409"/>
      <c r="AC1563" s="1358"/>
      <c r="AD1563" s="1263"/>
      <c r="AE1563" s="1263"/>
      <c r="AF1563" s="1263"/>
      <c r="AG1563" s="1263"/>
      <c r="AH1563" s="1263"/>
      <c r="AI1563" s="1358"/>
      <c r="AJ1563" s="1358"/>
      <c r="AK1563" s="1358"/>
      <c r="AL1563" s="1358"/>
      <c r="AM1563" s="1358"/>
      <c r="AN1563" s="1358"/>
      <c r="AO1563" s="1358"/>
      <c r="AP1563" s="1358"/>
      <c r="AQ1563" s="1358"/>
      <c r="AR1563" s="1236"/>
      <c r="AS1563" s="1410"/>
      <c r="AT1563" s="407"/>
      <c r="AU1563" s="1263"/>
      <c r="AV1563" s="1358"/>
      <c r="AW1563" s="1263"/>
      <c r="AX1563" s="1358"/>
      <c r="AY1563" s="1263"/>
      <c r="AZ1563" s="1358"/>
      <c r="BA1563" s="1308"/>
      <c r="BB1563" s="1308"/>
      <c r="BC1563" s="1308"/>
      <c r="BD1563" s="1308"/>
      <c r="BE1563" s="1308"/>
    </row>
    <row r="1564" spans="1:57" x14ac:dyDescent="0.2">
      <c r="B1564" s="13"/>
      <c r="C1564" s="13"/>
      <c r="D1564" s="1369"/>
      <c r="E1564" s="1369"/>
      <c r="F1564" s="1369"/>
      <c r="G1564" s="1369"/>
      <c r="H1564" s="1369"/>
      <c r="I1564" s="1369"/>
      <c r="J1564" s="1369"/>
      <c r="K1564" s="1369"/>
      <c r="L1564" s="1369"/>
      <c r="M1564" s="1369"/>
      <c r="N1564" s="1369"/>
      <c r="O1564" s="1369"/>
      <c r="P1564" s="1369"/>
      <c r="Q1564" s="1369"/>
      <c r="R1564" s="1369"/>
      <c r="S1564" s="1369"/>
      <c r="T1564" s="1369"/>
      <c r="U1564" s="1369"/>
      <c r="V1564" s="1369"/>
      <c r="W1564" s="1369"/>
      <c r="X1564" s="1369"/>
      <c r="Y1564" s="1369"/>
      <c r="Z1564" s="1369"/>
      <c r="AA1564" s="1369"/>
      <c r="AB1564" s="1369"/>
      <c r="AC1564" s="1369"/>
      <c r="AD1564" s="1369"/>
      <c r="AE1564" s="1369"/>
      <c r="AF1564" s="1369"/>
      <c r="AG1564" s="1369"/>
      <c r="AH1564" s="1369"/>
      <c r="AI1564" s="1369"/>
      <c r="AJ1564" s="1369"/>
      <c r="AK1564" s="1369"/>
      <c r="AL1564" s="1369"/>
      <c r="AM1564" s="1369"/>
      <c r="AN1564" s="1369"/>
      <c r="AO1564" s="1369"/>
      <c r="AP1564" s="1369"/>
      <c r="AQ1564" s="1369"/>
      <c r="AR1564" s="1236"/>
      <c r="AS1564" s="1370"/>
      <c r="AT1564" s="1370"/>
      <c r="AU1564" s="1370"/>
      <c r="AV1564" s="1370"/>
      <c r="AW1564" s="1370"/>
      <c r="AX1564" s="1370"/>
      <c r="AY1564" s="1370"/>
      <c r="AZ1564" s="1370"/>
      <c r="BA1564" s="1370"/>
      <c r="BB1564" s="1236"/>
      <c r="BC1564" s="1236"/>
      <c r="BD1564" s="1236"/>
      <c r="BE1564" s="1236"/>
    </row>
    <row r="1565" spans="1:57" x14ac:dyDescent="0.2">
      <c r="D1565" s="407"/>
      <c r="E1565" s="407"/>
      <c r="F1565" s="407"/>
      <c r="G1565" s="407"/>
      <c r="H1565" s="407"/>
      <c r="I1565" s="407"/>
      <c r="J1565" s="407"/>
      <c r="K1565" s="407"/>
      <c r="L1565" s="407"/>
      <c r="M1565" s="407"/>
      <c r="N1565" s="407"/>
      <c r="O1565" s="407"/>
      <c r="P1565" s="407"/>
      <c r="Q1565" s="407"/>
      <c r="R1565" s="407"/>
      <c r="S1565" s="407"/>
      <c r="T1565" s="407"/>
      <c r="U1565" s="407"/>
      <c r="V1565" s="407"/>
      <c r="W1565" s="407"/>
      <c r="X1565" s="407"/>
      <c r="Y1565" s="407"/>
      <c r="Z1565" s="407"/>
      <c r="AA1565" s="407"/>
      <c r="AB1565" s="407"/>
      <c r="AC1565" s="407"/>
      <c r="AD1565" s="407"/>
      <c r="AE1565" s="407"/>
      <c r="AF1565" s="407"/>
      <c r="AG1565" s="407"/>
      <c r="AH1565" s="407"/>
      <c r="AI1565" s="407"/>
      <c r="AJ1565" s="407"/>
      <c r="AK1565" s="407"/>
      <c r="AL1565" s="407"/>
      <c r="AM1565" s="407"/>
      <c r="AN1565" s="407"/>
      <c r="AO1565" s="407"/>
      <c r="AP1565" s="407"/>
      <c r="AQ1565" s="407"/>
      <c r="AR1565" s="1236"/>
      <c r="AS1565" s="1382"/>
      <c r="AT1565" s="407"/>
      <c r="AU1565" s="1236"/>
      <c r="AV1565" s="1236"/>
      <c r="AW1565" s="1236"/>
      <c r="AX1565" s="1236"/>
      <c r="AY1565" s="1236"/>
      <c r="AZ1565" s="1236"/>
      <c r="BA1565" s="1236"/>
      <c r="BB1565" s="1236"/>
      <c r="BC1565" s="1236"/>
      <c r="BD1565" s="1236"/>
      <c r="BE1565" s="1236"/>
    </row>
    <row r="1566" spans="1:57" x14ac:dyDescent="0.2">
      <c r="B1566" s="35"/>
      <c r="D1566" s="407"/>
      <c r="E1566" s="407"/>
      <c r="F1566" s="407"/>
      <c r="G1566" s="407"/>
      <c r="H1566" s="407"/>
      <c r="I1566" s="407"/>
      <c r="J1566" s="407"/>
      <c r="K1566" s="407"/>
      <c r="L1566" s="407"/>
      <c r="M1566" s="407"/>
      <c r="N1566" s="407"/>
      <c r="O1566" s="407"/>
      <c r="P1566" s="407"/>
      <c r="Q1566" s="407"/>
      <c r="R1566" s="407"/>
      <c r="S1566" s="407"/>
      <c r="T1566" s="407"/>
      <c r="U1566" s="407"/>
      <c r="V1566" s="407"/>
      <c r="W1566" s="407"/>
      <c r="X1566" s="407"/>
      <c r="Y1566" s="407"/>
      <c r="Z1566" s="407"/>
      <c r="AA1566" s="407"/>
      <c r="AB1566" s="407"/>
      <c r="AC1566" s="407"/>
      <c r="AD1566" s="407"/>
      <c r="AE1566" s="407"/>
      <c r="AF1566" s="407"/>
      <c r="AG1566" s="407"/>
      <c r="AH1566" s="407"/>
      <c r="AI1566" s="407"/>
      <c r="AJ1566" s="407"/>
      <c r="AK1566" s="407"/>
      <c r="AL1566" s="407"/>
      <c r="AM1566" s="407"/>
      <c r="AN1566" s="407"/>
      <c r="AO1566" s="407"/>
      <c r="AP1566" s="407"/>
      <c r="AQ1566" s="407"/>
      <c r="AR1566" s="1236"/>
      <c r="AS1566" s="407"/>
      <c r="AT1566" s="407"/>
      <c r="AU1566" s="1236"/>
      <c r="AV1566" s="1236"/>
      <c r="AW1566" s="1236"/>
      <c r="AX1566" s="1236"/>
      <c r="AY1566" s="1236"/>
      <c r="AZ1566" s="1236"/>
      <c r="BA1566" s="1236"/>
      <c r="BB1566" s="1236"/>
      <c r="BC1566" s="1236"/>
      <c r="BD1566" s="1236"/>
      <c r="BE1566" s="1236"/>
    </row>
    <row r="1567" spans="1:57" x14ac:dyDescent="0.2">
      <c r="D1567" s="1609"/>
      <c r="E1567" s="1609"/>
      <c r="F1567" s="1609"/>
      <c r="G1567" s="1609"/>
      <c r="H1567" s="1609"/>
      <c r="I1567" s="1609"/>
      <c r="J1567" s="1609"/>
      <c r="K1567" s="1609"/>
      <c r="L1567" s="1609"/>
      <c r="M1567" s="1609"/>
      <c r="N1567" s="1609"/>
      <c r="O1567" s="1609"/>
      <c r="P1567" s="1609"/>
      <c r="Q1567" s="1609"/>
      <c r="R1567" s="1609"/>
      <c r="S1567" s="1609"/>
      <c r="T1567" s="1609"/>
      <c r="U1567" s="1609"/>
      <c r="V1567" s="1609"/>
      <c r="W1567" s="1609"/>
      <c r="X1567" s="1609"/>
      <c r="Y1567" s="1609"/>
      <c r="Z1567" s="1609"/>
      <c r="AA1567" s="1609"/>
      <c r="AB1567" s="1609"/>
      <c r="AC1567" s="1609"/>
      <c r="AD1567" s="1609"/>
      <c r="AE1567" s="1609"/>
      <c r="AF1567" s="1609"/>
      <c r="AG1567" s="1609"/>
      <c r="AH1567" s="1609"/>
      <c r="AI1567" s="1609"/>
      <c r="AJ1567" s="1609"/>
      <c r="AK1567" s="1609"/>
      <c r="AL1567" s="1609"/>
      <c r="AM1567" s="1609"/>
      <c r="AN1567" s="1609"/>
      <c r="AO1567" s="1609"/>
      <c r="AP1567" s="1609"/>
      <c r="AQ1567" s="1609"/>
      <c r="AR1567" s="1236"/>
      <c r="AS1567" s="1382"/>
      <c r="AT1567" s="407"/>
      <c r="AU1567" s="1236"/>
      <c r="AV1567" s="1236"/>
      <c r="AW1567" s="1236"/>
      <c r="AX1567" s="1236"/>
      <c r="AY1567" s="1236"/>
      <c r="AZ1567" s="1236"/>
      <c r="BA1567" s="1236"/>
      <c r="BB1567" s="1236"/>
      <c r="BC1567" s="1236"/>
      <c r="BD1567" s="1236"/>
      <c r="BE1567" s="1236"/>
    </row>
    <row r="1568" spans="1:57" x14ac:dyDescent="0.2">
      <c r="C1568" s="25"/>
      <c r="D1568" s="1307"/>
      <c r="E1568" s="1307"/>
      <c r="F1568" s="1307"/>
      <c r="G1568" s="1307"/>
      <c r="H1568" s="1307"/>
      <c r="I1568" s="1307"/>
      <c r="J1568" s="1307"/>
      <c r="K1568" s="1307"/>
      <c r="L1568" s="1307"/>
      <c r="M1568" s="1307"/>
      <c r="N1568" s="1307"/>
      <c r="O1568" s="1307"/>
      <c r="P1568" s="1307"/>
      <c r="Q1568" s="1307"/>
      <c r="R1568" s="1307"/>
      <c r="S1568" s="1307"/>
      <c r="T1568" s="1307"/>
      <c r="U1568" s="1307"/>
      <c r="V1568" s="1307"/>
      <c r="W1568" s="1307"/>
      <c r="X1568" s="1307"/>
      <c r="Y1568" s="1307"/>
      <c r="Z1568" s="1307"/>
      <c r="AA1568" s="1307"/>
      <c r="AB1568" s="1307"/>
      <c r="AC1568" s="1307"/>
      <c r="AD1568" s="1307"/>
      <c r="AE1568" s="1307"/>
      <c r="AF1568" s="1307"/>
      <c r="AG1568" s="1307"/>
      <c r="AH1568" s="1307"/>
      <c r="AI1568" s="1307"/>
      <c r="AJ1568" s="1318"/>
      <c r="AK1568" s="1318"/>
      <c r="AL1568" s="1318"/>
      <c r="AM1568" s="1318"/>
      <c r="AN1568" s="1318"/>
      <c r="AO1568" s="1318"/>
      <c r="AP1568" s="1318"/>
      <c r="AQ1568" s="1318"/>
      <c r="AR1568" s="1236"/>
      <c r="AS1568" s="1382"/>
      <c r="AT1568" s="1307"/>
      <c r="AU1568" s="1246"/>
      <c r="AV1568" s="1246"/>
      <c r="AW1568" s="1246"/>
      <c r="AX1568" s="1246"/>
      <c r="AY1568" s="1246"/>
      <c r="AZ1568" s="1246"/>
      <c r="BA1568" s="1246"/>
      <c r="BB1568" s="1246"/>
      <c r="BC1568" s="1246"/>
      <c r="BD1568" s="1246"/>
      <c r="BE1568" s="1246"/>
    </row>
    <row r="1569" spans="2:57" x14ac:dyDescent="0.2">
      <c r="D1569" s="1327"/>
      <c r="E1569" s="1327"/>
      <c r="F1569" s="1327"/>
      <c r="G1569" s="1327"/>
      <c r="H1569" s="1327"/>
      <c r="I1569" s="1327"/>
      <c r="J1569" s="1327"/>
      <c r="K1569" s="1327"/>
      <c r="L1569" s="1327"/>
      <c r="M1569" s="1327"/>
      <c r="N1569" s="1327"/>
      <c r="O1569" s="1327"/>
      <c r="P1569" s="1327"/>
      <c r="Q1569" s="1327"/>
      <c r="R1569" s="1327"/>
      <c r="S1569" s="1327"/>
      <c r="T1569" s="1327"/>
      <c r="U1569" s="1327"/>
      <c r="V1569" s="1327"/>
      <c r="W1569" s="1327"/>
      <c r="X1569" s="1327"/>
      <c r="Y1569" s="1327"/>
      <c r="Z1569" s="1327"/>
      <c r="AA1569" s="1327"/>
      <c r="AB1569" s="1327"/>
      <c r="AC1569" s="1327"/>
      <c r="AD1569" s="1327"/>
      <c r="AE1569" s="1327"/>
      <c r="AF1569" s="1327"/>
      <c r="AG1569" s="1327"/>
      <c r="AH1569" s="1327"/>
      <c r="AI1569" s="1327"/>
      <c r="AJ1569" s="1327"/>
      <c r="AK1569" s="1327"/>
      <c r="AL1569" s="1327"/>
      <c r="AM1569" s="1327"/>
      <c r="AN1569" s="1327"/>
      <c r="AO1569" s="1327"/>
      <c r="AP1569" s="1327"/>
      <c r="AQ1569" s="1327"/>
      <c r="AR1569" s="1236"/>
      <c r="AS1569" s="1382"/>
      <c r="AT1569" s="407"/>
      <c r="AU1569" s="1236"/>
      <c r="AV1569" s="1236"/>
      <c r="AW1569" s="1236"/>
      <c r="AX1569" s="1236"/>
      <c r="AY1569" s="1236"/>
      <c r="AZ1569" s="1236"/>
      <c r="BA1569" s="1236"/>
      <c r="BB1569" s="1236"/>
      <c r="BC1569" s="1236"/>
      <c r="BD1569" s="1236"/>
      <c r="BE1569" s="1236"/>
    </row>
    <row r="1570" spans="2:57" x14ac:dyDescent="0.2">
      <c r="D1570" s="407"/>
      <c r="E1570" s="407"/>
      <c r="F1570" s="407"/>
      <c r="G1570" s="407"/>
      <c r="H1570" s="407"/>
      <c r="I1570" s="407"/>
      <c r="J1570" s="407"/>
      <c r="K1570" s="407"/>
      <c r="L1570" s="407"/>
      <c r="M1570" s="407"/>
      <c r="N1570" s="407"/>
      <c r="O1570" s="407"/>
      <c r="P1570" s="407"/>
      <c r="Q1570" s="407"/>
      <c r="R1570" s="407"/>
      <c r="S1570" s="407"/>
      <c r="T1570" s="407"/>
      <c r="U1570" s="407"/>
      <c r="V1570" s="407"/>
      <c r="W1570" s="407"/>
      <c r="X1570" s="407"/>
      <c r="Y1570" s="407"/>
      <c r="Z1570" s="407"/>
      <c r="AA1570" s="407"/>
      <c r="AB1570" s="407"/>
      <c r="AC1570" s="407"/>
      <c r="AD1570" s="407"/>
      <c r="AE1570" s="407"/>
      <c r="AF1570" s="407"/>
      <c r="AG1570" s="407"/>
      <c r="AH1570" s="407"/>
      <c r="AI1570" s="407"/>
      <c r="AJ1570" s="407"/>
      <c r="AK1570" s="407"/>
      <c r="AL1570" s="407"/>
      <c r="AM1570" s="407"/>
      <c r="AN1570" s="407"/>
      <c r="AO1570" s="407"/>
      <c r="AP1570" s="407"/>
      <c r="AQ1570" s="407"/>
      <c r="AR1570" s="1236"/>
      <c r="AS1570" s="1382"/>
      <c r="AT1570" s="407"/>
      <c r="AU1570" s="1236"/>
      <c r="AV1570" s="1236"/>
      <c r="AW1570" s="1236"/>
      <c r="AX1570" s="1236"/>
      <c r="AY1570" s="1236"/>
      <c r="AZ1570" s="1236"/>
      <c r="BA1570" s="1236"/>
      <c r="BB1570" s="1236"/>
      <c r="BC1570" s="1236"/>
      <c r="BD1570" s="1236"/>
      <c r="BE1570" s="1236"/>
    </row>
    <row r="1571" spans="2:57" x14ac:dyDescent="0.2">
      <c r="B1571" s="35"/>
      <c r="D1571" s="407"/>
      <c r="E1571" s="407"/>
      <c r="F1571" s="407"/>
      <c r="G1571" s="407"/>
      <c r="H1571" s="407"/>
      <c r="I1571" s="407"/>
      <c r="J1571" s="407"/>
      <c r="K1571" s="407"/>
      <c r="L1571" s="407"/>
      <c r="M1571" s="407"/>
      <c r="N1571" s="407"/>
      <c r="O1571" s="407"/>
      <c r="P1571" s="407"/>
      <c r="Q1571" s="407"/>
      <c r="R1571" s="407"/>
      <c r="S1571" s="407"/>
      <c r="T1571" s="407"/>
      <c r="U1571" s="407"/>
      <c r="V1571" s="407"/>
      <c r="W1571" s="407"/>
      <c r="X1571" s="407"/>
      <c r="Y1571" s="407"/>
      <c r="Z1571" s="407"/>
      <c r="AA1571" s="407"/>
      <c r="AB1571" s="407"/>
      <c r="AC1571" s="407"/>
      <c r="AD1571" s="407"/>
      <c r="AE1571" s="407"/>
      <c r="AF1571" s="407"/>
      <c r="AG1571" s="407"/>
      <c r="AH1571" s="407"/>
      <c r="AI1571" s="407"/>
      <c r="AJ1571" s="407"/>
      <c r="AK1571" s="407"/>
      <c r="AL1571" s="407"/>
      <c r="AM1571" s="407"/>
      <c r="AN1571" s="407"/>
      <c r="AO1571" s="407"/>
      <c r="AP1571" s="407"/>
      <c r="AQ1571" s="407"/>
      <c r="AR1571" s="1236"/>
      <c r="AS1571" s="407"/>
      <c r="AT1571" s="407"/>
      <c r="AU1571" s="1236"/>
      <c r="AV1571" s="1236"/>
      <c r="AW1571" s="1236"/>
      <c r="AX1571" s="1236"/>
      <c r="AY1571" s="1236"/>
      <c r="AZ1571" s="1236"/>
      <c r="BA1571" s="1236"/>
      <c r="BB1571" s="1236"/>
      <c r="BC1571" s="1236"/>
      <c r="BD1571" s="1236"/>
      <c r="BE1571" s="1236"/>
    </row>
    <row r="1572" spans="2:57" x14ac:dyDescent="0.2">
      <c r="D1572" s="1327"/>
      <c r="E1572" s="1327"/>
      <c r="F1572" s="1327"/>
      <c r="G1572" s="1327"/>
      <c r="H1572" s="1327"/>
      <c r="I1572" s="1327"/>
      <c r="J1572" s="1327"/>
      <c r="K1572" s="1327"/>
      <c r="L1572" s="1327"/>
      <c r="M1572" s="1327"/>
      <c r="N1572" s="1327"/>
      <c r="O1572" s="1327"/>
      <c r="P1572" s="1327"/>
      <c r="Q1572" s="1327"/>
      <c r="R1572" s="1327"/>
      <c r="S1572" s="1327"/>
      <c r="T1572" s="1327"/>
      <c r="U1572" s="1327"/>
      <c r="V1572" s="1327"/>
      <c r="W1572" s="1327"/>
      <c r="X1572" s="1327"/>
      <c r="Y1572" s="1327"/>
      <c r="Z1572" s="1327"/>
      <c r="AA1572" s="1327"/>
      <c r="AB1572" s="1327"/>
      <c r="AC1572" s="1327"/>
      <c r="AD1572" s="1327"/>
      <c r="AE1572" s="1327"/>
      <c r="AF1572" s="1327"/>
      <c r="AG1572" s="1327"/>
      <c r="AH1572" s="1327"/>
      <c r="AI1572" s="1327"/>
      <c r="AJ1572" s="1327"/>
      <c r="AK1572" s="1327"/>
      <c r="AL1572" s="1327"/>
      <c r="AM1572" s="1327"/>
      <c r="AN1572" s="1327"/>
      <c r="AO1572" s="1327"/>
      <c r="AP1572" s="1327"/>
      <c r="AQ1572" s="1327"/>
      <c r="AR1572" s="1236"/>
      <c r="AS1572" s="1382"/>
      <c r="AT1572" s="407"/>
      <c r="AU1572" s="1236"/>
      <c r="AV1572" s="1236"/>
      <c r="AW1572" s="1236"/>
      <c r="AX1572" s="1236"/>
      <c r="AY1572" s="1236"/>
      <c r="AZ1572" s="1236"/>
      <c r="BA1572" s="1236"/>
      <c r="BB1572" s="1236"/>
      <c r="BC1572" s="1236"/>
      <c r="BD1572" s="1236"/>
      <c r="BE1572" s="1236"/>
    </row>
    <row r="1573" spans="2:57" x14ac:dyDescent="0.2">
      <c r="C1573" s="25"/>
      <c r="D1573" s="1257"/>
      <c r="E1573" s="1257"/>
      <c r="F1573" s="1257"/>
      <c r="G1573" s="1257"/>
      <c r="H1573" s="1257"/>
      <c r="I1573" s="1257"/>
      <c r="J1573" s="1257"/>
      <c r="K1573" s="1257"/>
      <c r="L1573" s="1257"/>
      <c r="M1573" s="1257"/>
      <c r="N1573" s="1257"/>
      <c r="O1573" s="1257"/>
      <c r="P1573" s="1257"/>
      <c r="Q1573" s="1257"/>
      <c r="R1573" s="1257"/>
      <c r="S1573" s="1257"/>
      <c r="T1573" s="1257"/>
      <c r="U1573" s="1257"/>
      <c r="V1573" s="1257"/>
      <c r="W1573" s="1257"/>
      <c r="X1573" s="1257"/>
      <c r="Y1573" s="1257"/>
      <c r="Z1573" s="1257"/>
      <c r="AA1573" s="1257"/>
      <c r="AB1573" s="1257"/>
      <c r="AC1573" s="1257"/>
      <c r="AD1573" s="1257"/>
      <c r="AE1573" s="1257"/>
      <c r="AF1573" s="1257"/>
      <c r="AG1573" s="1257"/>
      <c r="AH1573" s="1257"/>
      <c r="AI1573" s="1257"/>
      <c r="AJ1573" s="1338"/>
      <c r="AK1573" s="1338"/>
      <c r="AL1573" s="1338"/>
      <c r="AM1573" s="1338"/>
      <c r="AN1573" s="1338"/>
      <c r="AO1573" s="1338"/>
      <c r="AP1573" s="1338"/>
      <c r="AQ1573" s="1338"/>
      <c r="AR1573" s="1236"/>
      <c r="AS1573" s="1382"/>
      <c r="AT1573" s="1307"/>
      <c r="AU1573" s="1246"/>
      <c r="AV1573" s="1246"/>
      <c r="AW1573" s="1246"/>
      <c r="AX1573" s="1246"/>
      <c r="AY1573" s="1246"/>
      <c r="AZ1573" s="1246"/>
      <c r="BA1573" s="1246"/>
      <c r="BB1573" s="1246"/>
      <c r="BC1573" s="1246"/>
      <c r="BD1573" s="1246"/>
      <c r="BE1573" s="1246"/>
    </row>
    <row r="1574" spans="2:57" x14ac:dyDescent="0.2">
      <c r="D1574" s="1327"/>
      <c r="E1574" s="1327"/>
      <c r="F1574" s="1327"/>
      <c r="G1574" s="1327"/>
      <c r="H1574" s="1327"/>
      <c r="I1574" s="1327"/>
      <c r="J1574" s="1327"/>
      <c r="K1574" s="1327"/>
      <c r="L1574" s="1327"/>
      <c r="M1574" s="1327"/>
      <c r="N1574" s="1327"/>
      <c r="O1574" s="1327"/>
      <c r="P1574" s="1327"/>
      <c r="Q1574" s="1327"/>
      <c r="R1574" s="1327"/>
      <c r="S1574" s="1327"/>
      <c r="T1574" s="1327"/>
      <c r="U1574" s="1327"/>
      <c r="V1574" s="1327"/>
      <c r="W1574" s="1327"/>
      <c r="X1574" s="1327"/>
      <c r="Y1574" s="1327"/>
      <c r="Z1574" s="1327"/>
      <c r="AA1574" s="1327"/>
      <c r="AB1574" s="1327"/>
      <c r="AC1574" s="1327"/>
      <c r="AD1574" s="1327"/>
      <c r="AE1574" s="1327"/>
      <c r="AF1574" s="1327"/>
      <c r="AG1574" s="1327"/>
      <c r="AH1574" s="1327"/>
      <c r="AI1574" s="1327"/>
      <c r="AJ1574" s="1327"/>
      <c r="AK1574" s="1327"/>
      <c r="AL1574" s="1327"/>
      <c r="AM1574" s="1327"/>
      <c r="AN1574" s="1327"/>
      <c r="AO1574" s="1327"/>
      <c r="AP1574" s="1327"/>
      <c r="AQ1574" s="1327"/>
      <c r="AR1574" s="1236"/>
      <c r="AS1574" s="1382"/>
      <c r="AT1574" s="407"/>
      <c r="AU1574" s="1236"/>
      <c r="AV1574" s="1236"/>
      <c r="AW1574" s="1236"/>
      <c r="AX1574" s="1236"/>
      <c r="AY1574" s="1236"/>
      <c r="AZ1574" s="1236"/>
      <c r="BA1574" s="1236"/>
      <c r="BB1574" s="1236"/>
      <c r="BC1574" s="1236"/>
      <c r="BD1574" s="1236"/>
      <c r="BE1574" s="1236"/>
    </row>
    <row r="1575" spans="2:57" x14ac:dyDescent="0.2">
      <c r="D1575" s="407"/>
      <c r="E1575" s="407"/>
      <c r="F1575" s="407"/>
      <c r="G1575" s="407"/>
      <c r="H1575" s="407"/>
      <c r="I1575" s="407"/>
      <c r="J1575" s="407"/>
      <c r="K1575" s="407"/>
      <c r="L1575" s="407"/>
      <c r="M1575" s="407"/>
      <c r="N1575" s="407"/>
      <c r="O1575" s="407"/>
      <c r="P1575" s="407"/>
      <c r="Q1575" s="407"/>
      <c r="R1575" s="407"/>
      <c r="S1575" s="407"/>
      <c r="T1575" s="407"/>
      <c r="U1575" s="407"/>
      <c r="V1575" s="407"/>
      <c r="W1575" s="407"/>
      <c r="X1575" s="407"/>
      <c r="Y1575" s="407"/>
      <c r="Z1575" s="407"/>
      <c r="AA1575" s="407"/>
      <c r="AB1575" s="407"/>
      <c r="AC1575" s="407"/>
      <c r="AD1575" s="407"/>
      <c r="AE1575" s="407"/>
      <c r="AF1575" s="407"/>
      <c r="AG1575" s="407"/>
      <c r="AH1575" s="407"/>
      <c r="AI1575" s="407"/>
      <c r="AJ1575" s="407"/>
      <c r="AK1575" s="407"/>
      <c r="AL1575" s="407"/>
      <c r="AM1575" s="407"/>
      <c r="AN1575" s="407"/>
      <c r="AO1575" s="407"/>
      <c r="AP1575" s="407"/>
      <c r="AQ1575" s="407"/>
      <c r="AR1575" s="1236"/>
      <c r="AS1575" s="1382"/>
      <c r="AT1575" s="407"/>
      <c r="AU1575" s="1236"/>
      <c r="AV1575" s="1236"/>
      <c r="AW1575" s="1236"/>
      <c r="AX1575" s="1236"/>
      <c r="AY1575" s="1236"/>
      <c r="AZ1575" s="1236"/>
      <c r="BA1575" s="1236"/>
      <c r="BB1575" s="1236"/>
      <c r="BC1575" s="1236"/>
      <c r="BD1575" s="1236"/>
      <c r="BE1575" s="1236"/>
    </row>
    <row r="1576" spans="2:57" x14ac:dyDescent="0.2">
      <c r="D1576" s="407"/>
      <c r="E1576" s="407"/>
      <c r="F1576" s="407"/>
      <c r="G1576" s="407"/>
      <c r="H1576" s="407"/>
      <c r="I1576" s="407"/>
      <c r="J1576" s="407"/>
      <c r="K1576" s="407"/>
      <c r="L1576" s="407"/>
      <c r="M1576" s="407"/>
      <c r="N1576" s="407"/>
      <c r="O1576" s="407"/>
      <c r="P1576" s="407"/>
      <c r="Q1576" s="407"/>
      <c r="R1576" s="407"/>
      <c r="S1576" s="407"/>
      <c r="T1576" s="407"/>
      <c r="U1576" s="407"/>
      <c r="V1576" s="407"/>
      <c r="W1576" s="407"/>
      <c r="X1576" s="407"/>
      <c r="Y1576" s="407"/>
      <c r="Z1576" s="407"/>
      <c r="AA1576" s="407"/>
      <c r="AB1576" s="407"/>
      <c r="AC1576" s="407"/>
      <c r="AD1576" s="407"/>
      <c r="AE1576" s="407"/>
      <c r="AF1576" s="407"/>
      <c r="AG1576" s="407"/>
      <c r="AH1576" s="407"/>
      <c r="AI1576" s="407"/>
      <c r="AJ1576" s="407"/>
      <c r="AK1576" s="407"/>
      <c r="AL1576" s="407"/>
      <c r="AM1576" s="407"/>
      <c r="AN1576" s="407"/>
      <c r="AO1576" s="407"/>
      <c r="AP1576" s="407"/>
      <c r="AQ1576" s="407"/>
      <c r="AR1576" s="1236"/>
      <c r="AS1576" s="1382"/>
      <c r="AT1576" s="407"/>
      <c r="AU1576" s="1236"/>
      <c r="AV1576" s="1236"/>
      <c r="AW1576" s="1236"/>
      <c r="AX1576" s="1236"/>
      <c r="AY1576" s="1236"/>
      <c r="AZ1576" s="1236"/>
      <c r="BA1576" s="1236"/>
      <c r="BB1576" s="1236"/>
      <c r="BC1576" s="1236"/>
      <c r="BD1576" s="1236"/>
      <c r="BE1576" s="1236"/>
    </row>
    <row r="1577" spans="2:57" x14ac:dyDescent="0.2">
      <c r="B1577" s="13"/>
      <c r="C1577" s="13"/>
      <c r="D1577" s="1369"/>
      <c r="E1577" s="1369"/>
      <c r="F1577" s="1369"/>
      <c r="G1577" s="1369"/>
      <c r="H1577" s="1369"/>
      <c r="I1577" s="1369"/>
      <c r="J1577" s="1369"/>
      <c r="K1577" s="1369"/>
      <c r="L1577" s="1369"/>
      <c r="M1577" s="1369"/>
      <c r="N1577" s="1369"/>
      <c r="O1577" s="1369"/>
      <c r="P1577" s="1369"/>
      <c r="Q1577" s="1369"/>
      <c r="R1577" s="1369"/>
      <c r="S1577" s="1369"/>
      <c r="T1577" s="1369"/>
      <c r="U1577" s="1369"/>
      <c r="V1577" s="1369"/>
      <c r="W1577" s="1369"/>
      <c r="X1577" s="1369"/>
      <c r="Y1577" s="1369"/>
      <c r="Z1577" s="1369"/>
      <c r="AA1577" s="1369"/>
      <c r="AB1577" s="1369"/>
      <c r="AC1577" s="1369"/>
      <c r="AD1577" s="1369"/>
      <c r="AE1577" s="1369"/>
      <c r="AF1577" s="1369"/>
      <c r="AG1577" s="1369"/>
      <c r="AH1577" s="1369"/>
      <c r="AI1577" s="1369"/>
      <c r="AJ1577" s="1369"/>
      <c r="AK1577" s="1369"/>
      <c r="AL1577" s="1369"/>
      <c r="AM1577" s="1369"/>
      <c r="AN1577" s="1369"/>
      <c r="AO1577" s="1369"/>
      <c r="AP1577" s="1369"/>
      <c r="AQ1577" s="1369"/>
      <c r="AR1577" s="1236"/>
      <c r="AS1577" s="1370"/>
      <c r="AT1577" s="1370"/>
      <c r="AU1577" s="1370"/>
      <c r="AV1577" s="1370"/>
      <c r="AW1577" s="1370"/>
      <c r="AX1577" s="1370"/>
      <c r="AY1577" s="1370"/>
      <c r="AZ1577" s="1370"/>
      <c r="BA1577" s="1370"/>
      <c r="BB1577" s="1370"/>
      <c r="BC1577" s="1370"/>
      <c r="BD1577" s="1370"/>
      <c r="BE1577" s="1370"/>
    </row>
    <row r="1578" spans="2:57" x14ac:dyDescent="0.2">
      <c r="D1578" s="407"/>
      <c r="E1578" s="407"/>
      <c r="F1578" s="407"/>
      <c r="G1578" s="407"/>
      <c r="H1578" s="407"/>
      <c r="I1578" s="407"/>
      <c r="J1578" s="407"/>
      <c r="K1578" s="407"/>
      <c r="L1578" s="407"/>
      <c r="M1578" s="407"/>
      <c r="N1578" s="407"/>
      <c r="O1578" s="407"/>
      <c r="P1578" s="407"/>
      <c r="Q1578" s="407"/>
      <c r="R1578" s="407"/>
      <c r="S1578" s="407"/>
      <c r="T1578" s="407"/>
      <c r="U1578" s="407"/>
      <c r="V1578" s="407"/>
      <c r="W1578" s="407"/>
      <c r="X1578" s="407"/>
      <c r="Y1578" s="407"/>
      <c r="Z1578" s="407"/>
      <c r="AA1578" s="407"/>
      <c r="AB1578" s="407"/>
      <c r="AC1578" s="407"/>
      <c r="AD1578" s="407"/>
      <c r="AE1578" s="407"/>
      <c r="AF1578" s="407"/>
      <c r="AG1578" s="407"/>
      <c r="AH1578" s="407"/>
      <c r="AI1578" s="407"/>
      <c r="AJ1578" s="407"/>
      <c r="AK1578" s="407"/>
      <c r="AL1578" s="407"/>
      <c r="AM1578" s="407"/>
      <c r="AN1578" s="407"/>
      <c r="AO1578" s="407"/>
      <c r="AP1578" s="407"/>
      <c r="AQ1578" s="407"/>
      <c r="AR1578" s="1236"/>
      <c r="AS1578" s="1382"/>
      <c r="AT1578" s="407"/>
      <c r="AU1578" s="1236"/>
      <c r="AV1578" s="1236"/>
      <c r="AW1578" s="1236"/>
      <c r="AX1578" s="1236"/>
      <c r="AY1578" s="1236"/>
      <c r="AZ1578" s="1236"/>
      <c r="BA1578" s="1236"/>
      <c r="BB1578" s="1236"/>
      <c r="BC1578" s="1236"/>
      <c r="BD1578" s="1236"/>
      <c r="BE1578" s="1236"/>
    </row>
    <row r="1579" spans="2:57" x14ac:dyDescent="0.2">
      <c r="B1579" s="35"/>
      <c r="D1579" s="407"/>
      <c r="E1579" s="407"/>
      <c r="F1579" s="407"/>
      <c r="G1579" s="407"/>
      <c r="H1579" s="407"/>
      <c r="I1579" s="407"/>
      <c r="J1579" s="407"/>
      <c r="K1579" s="407"/>
      <c r="L1579" s="407"/>
      <c r="M1579" s="407"/>
      <c r="N1579" s="407"/>
      <c r="O1579" s="407"/>
      <c r="P1579" s="407"/>
      <c r="Q1579" s="407"/>
      <c r="R1579" s="407"/>
      <c r="S1579" s="407"/>
      <c r="T1579" s="407"/>
      <c r="U1579" s="407"/>
      <c r="V1579" s="407"/>
      <c r="W1579" s="407"/>
      <c r="X1579" s="407"/>
      <c r="Y1579" s="407"/>
      <c r="Z1579" s="407"/>
      <c r="AA1579" s="407"/>
      <c r="AB1579" s="407"/>
      <c r="AC1579" s="407"/>
      <c r="AD1579" s="407"/>
      <c r="AE1579" s="407"/>
      <c r="AF1579" s="407"/>
      <c r="AG1579" s="407"/>
      <c r="AH1579" s="407"/>
      <c r="AI1579" s="407"/>
      <c r="AJ1579" s="407"/>
      <c r="AK1579" s="407"/>
      <c r="AL1579" s="407"/>
      <c r="AM1579" s="407"/>
      <c r="AN1579" s="407"/>
      <c r="AO1579" s="407"/>
      <c r="AP1579" s="407"/>
      <c r="AQ1579" s="407"/>
      <c r="AR1579" s="1236"/>
      <c r="AS1579" s="407"/>
      <c r="AT1579" s="1236"/>
      <c r="AU1579" s="407"/>
      <c r="AV1579" s="407"/>
      <c r="AW1579" s="407"/>
      <c r="AX1579" s="407"/>
      <c r="AY1579" s="407"/>
      <c r="AZ1579" s="407"/>
      <c r="BA1579" s="407"/>
      <c r="BB1579" s="407"/>
      <c r="BC1579" s="407"/>
      <c r="BD1579" s="407"/>
      <c r="BE1579" s="407"/>
    </row>
    <row r="1580" spans="2:57" x14ac:dyDescent="0.2">
      <c r="B1580" s="65"/>
      <c r="D1580" s="407"/>
      <c r="E1580" s="407"/>
      <c r="F1580" s="407"/>
      <c r="G1580" s="407"/>
      <c r="H1580" s="407"/>
      <c r="I1580" s="407"/>
      <c r="J1580" s="407"/>
      <c r="K1580" s="407"/>
      <c r="L1580" s="407"/>
      <c r="M1580" s="407"/>
      <c r="N1580" s="407"/>
      <c r="O1580" s="407"/>
      <c r="P1580" s="407"/>
      <c r="Q1580" s="407"/>
      <c r="R1580" s="407"/>
      <c r="S1580" s="407"/>
      <c r="T1580" s="407"/>
      <c r="U1580" s="407"/>
      <c r="V1580" s="407"/>
      <c r="W1580" s="407"/>
      <c r="X1580" s="407"/>
      <c r="Y1580" s="407"/>
      <c r="Z1580" s="407"/>
      <c r="AA1580" s="407"/>
      <c r="AB1580" s="407"/>
      <c r="AC1580" s="407"/>
      <c r="AD1580" s="407"/>
      <c r="AE1580" s="407"/>
      <c r="AF1580" s="407"/>
      <c r="AG1580" s="407"/>
      <c r="AH1580" s="407"/>
      <c r="AI1580" s="407"/>
      <c r="AJ1580" s="407"/>
      <c r="AK1580" s="407"/>
      <c r="AL1580" s="407"/>
      <c r="AM1580" s="407"/>
      <c r="AN1580" s="407"/>
      <c r="AO1580" s="407"/>
      <c r="AP1580" s="407"/>
      <c r="AQ1580" s="407"/>
      <c r="AR1580" s="1236"/>
      <c r="AS1580" s="1329"/>
      <c r="AT1580" s="1236"/>
      <c r="AU1580" s="407"/>
      <c r="AV1580" s="407"/>
      <c r="AW1580" s="407"/>
      <c r="AX1580" s="407"/>
      <c r="AY1580" s="407"/>
      <c r="AZ1580" s="407"/>
      <c r="BA1580" s="407"/>
      <c r="BB1580" s="407"/>
      <c r="BC1580" s="407"/>
      <c r="BD1580" s="407"/>
      <c r="BE1580" s="407"/>
    </row>
    <row r="1581" spans="2:57" x14ac:dyDescent="0.2">
      <c r="B1581" s="35"/>
      <c r="D1581" s="1344"/>
      <c r="E1581" s="1344"/>
      <c r="F1581" s="1344"/>
      <c r="G1581" s="1344"/>
      <c r="H1581" s="1344"/>
      <c r="I1581" s="1344"/>
      <c r="J1581" s="1344"/>
      <c r="K1581" s="1344"/>
      <c r="L1581" s="1344"/>
      <c r="M1581" s="1344"/>
      <c r="N1581" s="1344"/>
      <c r="O1581" s="1344"/>
      <c r="P1581" s="1344"/>
      <c r="Q1581" s="1344"/>
      <c r="R1581" s="1344"/>
      <c r="S1581" s="1344"/>
      <c r="T1581" s="1344"/>
      <c r="U1581" s="1344"/>
      <c r="V1581" s="1344"/>
      <c r="W1581" s="1344"/>
      <c r="X1581" s="1595"/>
      <c r="Y1581" s="1595"/>
      <c r="Z1581" s="1381"/>
      <c r="AA1581" s="1381"/>
      <c r="AB1581" s="1381"/>
      <c r="AC1581" s="1381"/>
      <c r="AD1581" s="1381"/>
      <c r="AE1581" s="1381"/>
      <c r="AF1581" s="1381"/>
      <c r="AG1581" s="1381"/>
      <c r="AH1581" s="1381"/>
      <c r="AI1581" s="1381"/>
      <c r="AJ1581" s="1381"/>
      <c r="AK1581" s="1381"/>
      <c r="AL1581" s="1381"/>
      <c r="AM1581" s="1381"/>
      <c r="AN1581" s="1381"/>
      <c r="AO1581" s="1381"/>
      <c r="AP1581" s="1381"/>
      <c r="AQ1581" s="1381"/>
      <c r="AR1581" s="1236"/>
      <c r="AS1581" s="407"/>
      <c r="AT1581" s="407"/>
      <c r="AU1581" s="1236"/>
      <c r="AV1581" s="1236"/>
      <c r="AW1581" s="1236"/>
      <c r="AX1581" s="1236"/>
      <c r="AY1581" s="1236"/>
      <c r="AZ1581" s="1236"/>
      <c r="BA1581" s="1236"/>
      <c r="BB1581" s="1381"/>
      <c r="BC1581" s="1381"/>
      <c r="BD1581" s="1381"/>
      <c r="BE1581" s="1381"/>
    </row>
    <row r="1582" spans="2:57" x14ac:dyDescent="0.2">
      <c r="D1582" s="1242"/>
      <c r="E1582" s="1242"/>
      <c r="F1582" s="1242"/>
      <c r="G1582" s="1242"/>
      <c r="H1582" s="1242"/>
      <c r="I1582" s="1242"/>
      <c r="J1582" s="1242"/>
      <c r="K1582" s="1242"/>
      <c r="L1582" s="1242"/>
      <c r="M1582" s="1242"/>
      <c r="N1582" s="1242"/>
      <c r="O1582" s="1242"/>
      <c r="P1582" s="1242"/>
      <c r="Q1582" s="1242"/>
      <c r="R1582" s="1242"/>
      <c r="S1582" s="1242"/>
      <c r="T1582" s="1242"/>
      <c r="U1582" s="1242"/>
      <c r="V1582" s="1242"/>
      <c r="W1582" s="1242"/>
      <c r="X1582" s="1242"/>
      <c r="Y1582" s="1242"/>
      <c r="Z1582" s="1242"/>
      <c r="AA1582" s="1242"/>
      <c r="AB1582" s="1242"/>
      <c r="AC1582" s="1242"/>
      <c r="AD1582" s="1242"/>
      <c r="AE1582" s="1242"/>
      <c r="AF1582" s="1242"/>
      <c r="AG1582" s="1242"/>
      <c r="AH1582" s="1242"/>
      <c r="AI1582" s="1242"/>
      <c r="AJ1582" s="1242"/>
      <c r="AK1582" s="1242"/>
      <c r="AL1582" s="1242"/>
      <c r="AM1582" s="1242"/>
      <c r="AN1582" s="1242"/>
      <c r="AO1582" s="1242"/>
      <c r="AP1582" s="1242"/>
      <c r="AQ1582" s="1242"/>
      <c r="AR1582" s="1236"/>
      <c r="AS1582" s="1382"/>
      <c r="AT1582" s="407"/>
      <c r="AU1582" s="1242"/>
      <c r="AV1582" s="1242"/>
      <c r="AW1582" s="1242"/>
      <c r="AX1582" s="1242"/>
      <c r="AY1582" s="1242"/>
      <c r="AZ1582" s="1242"/>
      <c r="BA1582" s="1242"/>
      <c r="BB1582" s="1242"/>
      <c r="BC1582" s="1242"/>
      <c r="BD1582" s="1242"/>
      <c r="BE1582" s="1242"/>
    </row>
    <row r="1583" spans="2:57" x14ac:dyDescent="0.2">
      <c r="D1583" s="407"/>
      <c r="E1583" s="407"/>
      <c r="F1583" s="407"/>
      <c r="G1583" s="407"/>
      <c r="H1583" s="407"/>
      <c r="I1583" s="407"/>
      <c r="J1583" s="407"/>
      <c r="K1583" s="407"/>
      <c r="L1583" s="407"/>
      <c r="M1583" s="407"/>
      <c r="N1583" s="407"/>
      <c r="O1583" s="407"/>
      <c r="P1583" s="407"/>
      <c r="Q1583" s="407"/>
      <c r="R1583" s="407"/>
      <c r="S1583" s="407"/>
      <c r="T1583" s="407"/>
      <c r="U1583" s="407"/>
      <c r="V1583" s="407"/>
      <c r="W1583" s="407"/>
      <c r="X1583" s="407"/>
      <c r="Y1583" s="407"/>
      <c r="Z1583" s="407"/>
      <c r="AA1583" s="407"/>
      <c r="AB1583" s="407"/>
      <c r="AC1583" s="407"/>
      <c r="AD1583" s="407"/>
      <c r="AE1583" s="407"/>
      <c r="AF1583" s="407"/>
      <c r="AG1583" s="407"/>
      <c r="AH1583" s="407"/>
      <c r="AI1583" s="407"/>
      <c r="AJ1583" s="407"/>
      <c r="AK1583" s="407"/>
      <c r="AL1583" s="407"/>
      <c r="AM1583" s="407"/>
      <c r="AN1583" s="407"/>
      <c r="AO1583" s="407"/>
      <c r="AP1583" s="407"/>
      <c r="AQ1583" s="407"/>
      <c r="AR1583" s="1236"/>
      <c r="AS1583" s="1382"/>
      <c r="AT1583" s="407"/>
      <c r="AU1583" s="1236"/>
      <c r="AV1583" s="1236"/>
      <c r="AW1583" s="1236"/>
      <c r="AX1583" s="1236"/>
      <c r="AY1583" s="1236"/>
      <c r="AZ1583" s="1236"/>
      <c r="BA1583" s="1236"/>
      <c r="BB1583" s="407"/>
      <c r="BC1583" s="407"/>
      <c r="BD1583" s="407"/>
      <c r="BE1583" s="407"/>
    </row>
    <row r="1584" spans="2:57" x14ac:dyDescent="0.2">
      <c r="B1584" s="35"/>
      <c r="C1584" s="70"/>
      <c r="D1584" s="1327"/>
      <c r="E1584" s="1327"/>
      <c r="F1584" s="1327"/>
      <c r="G1584" s="1327"/>
      <c r="H1584" s="1327"/>
      <c r="I1584" s="1327"/>
      <c r="J1584" s="1327"/>
      <c r="K1584" s="1327"/>
      <c r="L1584" s="1327"/>
      <c r="M1584" s="1327"/>
      <c r="N1584" s="1327"/>
      <c r="O1584" s="1327"/>
      <c r="P1584" s="1327"/>
      <c r="Q1584" s="1327"/>
      <c r="R1584" s="1327"/>
      <c r="S1584" s="1327"/>
      <c r="T1584" s="1327"/>
      <c r="U1584" s="1327"/>
      <c r="V1584" s="1327"/>
      <c r="W1584" s="1327"/>
      <c r="X1584" s="1595"/>
      <c r="Y1584" s="1595"/>
      <c r="Z1584" s="1287"/>
      <c r="AA1584" s="1287"/>
      <c r="AB1584" s="1287"/>
      <c r="AC1584" s="1287"/>
      <c r="AD1584" s="1287"/>
      <c r="AE1584" s="1287"/>
      <c r="AF1584" s="1287"/>
      <c r="AG1584" s="1287"/>
      <c r="AH1584" s="1287"/>
      <c r="AI1584" s="1287"/>
      <c r="AJ1584" s="1287"/>
      <c r="AK1584" s="1287"/>
      <c r="AL1584" s="1287"/>
      <c r="AM1584" s="1287"/>
      <c r="AN1584" s="1287"/>
      <c r="AO1584" s="1287"/>
      <c r="AP1584" s="1287"/>
      <c r="AQ1584" s="1287"/>
      <c r="AR1584" s="1236"/>
      <c r="AS1584" s="407"/>
      <c r="AT1584" s="1236"/>
      <c r="AU1584" s="1236"/>
      <c r="AV1584" s="1236"/>
      <c r="AW1584" s="1236"/>
      <c r="AX1584" s="1236"/>
      <c r="AY1584" s="1236"/>
      <c r="AZ1584" s="1236"/>
      <c r="BA1584" s="1236"/>
      <c r="BB1584" s="1381"/>
      <c r="BC1584" s="1381"/>
      <c r="BD1584" s="1381"/>
      <c r="BE1584" s="1381"/>
    </row>
    <row r="1585" spans="1:70" x14ac:dyDescent="0.2">
      <c r="D1585" s="1256"/>
      <c r="E1585" s="1256"/>
      <c r="F1585" s="1256"/>
      <c r="G1585" s="1256"/>
      <c r="H1585" s="1256"/>
      <c r="I1585" s="1256"/>
      <c r="J1585" s="1256"/>
      <c r="K1585" s="1256"/>
      <c r="L1585" s="1256"/>
      <c r="M1585" s="1256"/>
      <c r="N1585" s="1256"/>
      <c r="O1585" s="1256"/>
      <c r="P1585" s="1256"/>
      <c r="Q1585" s="1256"/>
      <c r="R1585" s="1256"/>
      <c r="S1585" s="1256"/>
      <c r="T1585" s="1256"/>
      <c r="U1585" s="1256"/>
      <c r="V1585" s="1256"/>
      <c r="W1585" s="1256"/>
      <c r="X1585" s="1256"/>
      <c r="Y1585" s="1256"/>
      <c r="Z1585" s="1256"/>
      <c r="AA1585" s="1256"/>
      <c r="AB1585" s="1256"/>
      <c r="AC1585" s="1256"/>
      <c r="AD1585" s="1256"/>
      <c r="AE1585" s="1256"/>
      <c r="AF1585" s="1256"/>
      <c r="AG1585" s="1256"/>
      <c r="AH1585" s="1256"/>
      <c r="AI1585" s="1256"/>
      <c r="AJ1585" s="1256"/>
      <c r="AK1585" s="1256"/>
      <c r="AL1585" s="1256"/>
      <c r="AM1585" s="1256"/>
      <c r="AN1585" s="1256"/>
      <c r="AO1585" s="1256"/>
      <c r="AP1585" s="1256"/>
      <c r="AQ1585" s="1256"/>
      <c r="AR1585" s="1236"/>
      <c r="AS1585" s="1382"/>
      <c r="AT1585" s="407"/>
      <c r="AU1585" s="1236"/>
      <c r="AV1585" s="1236"/>
      <c r="AW1585" s="1236"/>
      <c r="AX1585" s="1236"/>
      <c r="AY1585" s="1236"/>
      <c r="AZ1585" s="1236"/>
      <c r="BA1585" s="1236"/>
      <c r="BB1585" s="1236"/>
      <c r="BC1585" s="1236"/>
      <c r="BD1585" s="1236"/>
      <c r="BE1585" s="1236"/>
    </row>
    <row r="1586" spans="1:70" x14ac:dyDescent="0.2">
      <c r="D1586" s="1327"/>
      <c r="E1586" s="1327"/>
      <c r="F1586" s="1327"/>
      <c r="G1586" s="1327"/>
      <c r="H1586" s="1327"/>
      <c r="I1586" s="1327"/>
      <c r="J1586" s="1327"/>
      <c r="K1586" s="1327"/>
      <c r="L1586" s="1327"/>
      <c r="M1586" s="1327"/>
      <c r="N1586" s="1327"/>
      <c r="O1586" s="1327"/>
      <c r="P1586" s="1327"/>
      <c r="Q1586" s="1327"/>
      <c r="R1586" s="1327"/>
      <c r="S1586" s="1327"/>
      <c r="T1586" s="1327"/>
      <c r="U1586" s="1327"/>
      <c r="V1586" s="1327"/>
      <c r="W1586" s="1327"/>
      <c r="X1586" s="1595"/>
      <c r="Y1586" s="1595"/>
      <c r="Z1586" s="1256"/>
      <c r="AA1586" s="1256"/>
      <c r="AB1586" s="1256"/>
      <c r="AC1586" s="1256"/>
      <c r="AD1586" s="1256"/>
      <c r="AE1586" s="1256"/>
      <c r="AF1586" s="1256"/>
      <c r="AG1586" s="1256"/>
      <c r="AH1586" s="1256"/>
      <c r="AI1586" s="1256"/>
      <c r="AJ1586" s="1256"/>
      <c r="AK1586" s="1256"/>
      <c r="AL1586" s="1256"/>
      <c r="AM1586" s="1256"/>
      <c r="AN1586" s="1256"/>
      <c r="AO1586" s="1256"/>
      <c r="AP1586" s="1256"/>
      <c r="AQ1586" s="1256"/>
      <c r="AR1586" s="1236"/>
      <c r="AS1586" s="1382"/>
      <c r="AT1586" s="407"/>
      <c r="AU1586" s="1236"/>
      <c r="AV1586" s="1236"/>
      <c r="AW1586" s="1236"/>
      <c r="AX1586" s="1236"/>
      <c r="AY1586" s="1236"/>
      <c r="AZ1586" s="1236"/>
      <c r="BA1586" s="1236"/>
      <c r="BB1586" s="1236"/>
      <c r="BC1586" s="1236"/>
      <c r="BD1586" s="1236"/>
      <c r="BE1586" s="1236"/>
    </row>
    <row r="1587" spans="1:70" x14ac:dyDescent="0.2">
      <c r="D1587" s="1327"/>
      <c r="E1587" s="1327"/>
      <c r="F1587" s="1327"/>
      <c r="G1587" s="1327"/>
      <c r="H1587" s="1327"/>
      <c r="I1587" s="1327"/>
      <c r="J1587" s="1327"/>
      <c r="K1587" s="1327"/>
      <c r="L1587" s="1327"/>
      <c r="M1587" s="1327"/>
      <c r="N1587" s="1327"/>
      <c r="O1587" s="1327"/>
      <c r="P1587" s="1327"/>
      <c r="Q1587" s="1327"/>
      <c r="R1587" s="1327"/>
      <c r="S1587" s="1327"/>
      <c r="T1587" s="1327"/>
      <c r="U1587" s="1327"/>
      <c r="V1587" s="1327"/>
      <c r="W1587" s="1327"/>
      <c r="X1587" s="1327"/>
      <c r="Y1587" s="1327"/>
      <c r="Z1587" s="1256"/>
      <c r="AA1587" s="1256"/>
      <c r="AB1587" s="1256"/>
      <c r="AC1587" s="1256"/>
      <c r="AD1587" s="1256"/>
      <c r="AE1587" s="1256"/>
      <c r="AF1587" s="1256"/>
      <c r="AG1587" s="1256"/>
      <c r="AH1587" s="1256"/>
      <c r="AI1587" s="1256"/>
      <c r="AJ1587" s="1256"/>
      <c r="AK1587" s="1256"/>
      <c r="AL1587" s="1256"/>
      <c r="AM1587" s="1256"/>
      <c r="AN1587" s="1256"/>
      <c r="AO1587" s="1256"/>
      <c r="AP1587" s="1256"/>
      <c r="AQ1587" s="1256"/>
      <c r="AR1587" s="1236"/>
      <c r="AS1587" s="1382"/>
      <c r="AT1587" s="407"/>
      <c r="AU1587" s="1236"/>
      <c r="AV1587" s="1236"/>
      <c r="AW1587" s="1236"/>
      <c r="AX1587" s="1236"/>
      <c r="AY1587" s="1236"/>
      <c r="AZ1587" s="1236"/>
      <c r="BA1587" s="1236"/>
      <c r="BB1587" s="1236"/>
      <c r="BC1587" s="1236"/>
      <c r="BD1587" s="1236"/>
      <c r="BE1587" s="1236"/>
    </row>
    <row r="1588" spans="1:70" x14ac:dyDescent="0.2">
      <c r="D1588" s="1242"/>
      <c r="E1588" s="1242"/>
      <c r="F1588" s="1242"/>
      <c r="G1588" s="1242"/>
      <c r="H1588" s="1242"/>
      <c r="I1588" s="1242"/>
      <c r="J1588" s="1242"/>
      <c r="K1588" s="1242"/>
      <c r="L1588" s="1242"/>
      <c r="M1588" s="1242"/>
      <c r="N1588" s="1242"/>
      <c r="O1588" s="1242"/>
      <c r="P1588" s="1242"/>
      <c r="Q1588" s="1242"/>
      <c r="R1588" s="1242"/>
      <c r="S1588" s="1242"/>
      <c r="T1588" s="1242"/>
      <c r="U1588" s="1242"/>
      <c r="V1588" s="1242"/>
      <c r="W1588" s="1242"/>
      <c r="X1588" s="1242"/>
      <c r="Y1588" s="1242"/>
      <c r="Z1588" s="1362"/>
      <c r="AA1588" s="1362"/>
      <c r="AB1588" s="1362"/>
      <c r="AC1588" s="1362"/>
      <c r="AD1588" s="1362"/>
      <c r="AE1588" s="1362"/>
      <c r="AF1588" s="1362"/>
      <c r="AG1588" s="1362"/>
      <c r="AH1588" s="1362"/>
      <c r="AI1588" s="1362"/>
      <c r="AJ1588" s="1362"/>
      <c r="AK1588" s="1362"/>
      <c r="AL1588" s="1362"/>
      <c r="AM1588" s="1362"/>
      <c r="AN1588" s="1362"/>
      <c r="AO1588" s="1362"/>
      <c r="AP1588" s="1362"/>
      <c r="AQ1588" s="1362"/>
      <c r="AR1588" s="1236"/>
      <c r="AS1588" s="1382"/>
      <c r="AT1588" s="407"/>
      <c r="AU1588" s="1242"/>
      <c r="AV1588" s="1242"/>
      <c r="AW1588" s="1242"/>
      <c r="AX1588" s="1242"/>
      <c r="AY1588" s="1242"/>
      <c r="AZ1588" s="1242"/>
      <c r="BA1588" s="1242"/>
      <c r="BB1588" s="1362"/>
      <c r="BC1588" s="1362"/>
      <c r="BD1588" s="1362"/>
      <c r="BE1588" s="1362"/>
    </row>
    <row r="1589" spans="1:70" x14ac:dyDescent="0.2">
      <c r="D1589" s="1242"/>
      <c r="E1589" s="1242"/>
      <c r="F1589" s="1242"/>
      <c r="G1589" s="1242"/>
      <c r="H1589" s="1242"/>
      <c r="I1589" s="1242"/>
      <c r="J1589" s="1242"/>
      <c r="K1589" s="1242"/>
      <c r="L1589" s="1242"/>
      <c r="M1589" s="1242"/>
      <c r="N1589" s="1242"/>
      <c r="O1589" s="1242"/>
      <c r="P1589" s="1242"/>
      <c r="Q1589" s="1242"/>
      <c r="R1589" s="1242"/>
      <c r="S1589" s="1242"/>
      <c r="T1589" s="1242"/>
      <c r="U1589" s="1242"/>
      <c r="V1589" s="1242"/>
      <c r="W1589" s="1242"/>
      <c r="X1589" s="1242"/>
      <c r="Y1589" s="1242"/>
      <c r="Z1589" s="1242"/>
      <c r="AA1589" s="1242"/>
      <c r="AB1589" s="1242"/>
      <c r="AC1589" s="1242"/>
      <c r="AD1589" s="1242"/>
      <c r="AE1589" s="1242"/>
      <c r="AF1589" s="1242"/>
      <c r="AG1589" s="1242"/>
      <c r="AH1589" s="1242"/>
      <c r="AI1589" s="1242"/>
      <c r="AJ1589" s="1242"/>
      <c r="AK1589" s="1242"/>
      <c r="AL1589" s="1242"/>
      <c r="AM1589" s="1242"/>
      <c r="AN1589" s="1242"/>
      <c r="AO1589" s="1242"/>
      <c r="AP1589" s="1242"/>
      <c r="AQ1589" s="1242"/>
      <c r="AR1589" s="1236"/>
      <c r="AS1589" s="1382"/>
      <c r="AT1589" s="407"/>
      <c r="AU1589" s="1236"/>
      <c r="AV1589" s="1236"/>
      <c r="AW1589" s="1236"/>
      <c r="AX1589" s="1236"/>
      <c r="AY1589" s="1236"/>
      <c r="AZ1589" s="1236"/>
      <c r="BA1589" s="1236"/>
      <c r="BB1589" s="1236"/>
      <c r="BC1589" s="1236"/>
      <c r="BD1589" s="1236"/>
      <c r="BE1589" s="1236"/>
    </row>
    <row r="1590" spans="1:70" s="160" customFormat="1" x14ac:dyDescent="0.2">
      <c r="A1590" s="829"/>
      <c r="B1590" s="59"/>
      <c r="D1590" s="1329"/>
      <c r="E1590" s="1329"/>
      <c r="F1590" s="1329"/>
      <c r="G1590" s="1329"/>
      <c r="H1590" s="1329"/>
      <c r="I1590" s="1329"/>
      <c r="J1590" s="1329"/>
      <c r="K1590" s="1329"/>
      <c r="L1590" s="1329"/>
      <c r="M1590" s="1329"/>
      <c r="N1590" s="1329"/>
      <c r="O1590" s="1329"/>
      <c r="P1590" s="1329"/>
      <c r="Q1590" s="1329"/>
      <c r="R1590" s="1329"/>
      <c r="S1590" s="1329"/>
      <c r="T1590" s="1329"/>
      <c r="U1590" s="1329"/>
      <c r="V1590" s="1329"/>
      <c r="W1590" s="1329"/>
      <c r="X1590" s="1329"/>
      <c r="Y1590" s="1329"/>
      <c r="Z1590" s="1329"/>
      <c r="AA1590" s="1329"/>
      <c r="AB1590" s="1329"/>
      <c r="AC1590" s="1329"/>
      <c r="AD1590" s="1329"/>
      <c r="AE1590" s="1329"/>
      <c r="AF1590" s="1329"/>
      <c r="AG1590" s="1329"/>
      <c r="AH1590" s="1329"/>
      <c r="AI1590" s="1329"/>
      <c r="AJ1590" s="1329"/>
      <c r="AK1590" s="1329"/>
      <c r="AL1590" s="1329"/>
      <c r="AM1590" s="1329"/>
      <c r="AN1590" s="1329"/>
      <c r="AO1590" s="1329"/>
      <c r="AP1590" s="1329"/>
      <c r="AQ1590" s="1329"/>
      <c r="AR1590" s="1236"/>
      <c r="AS1590" s="1329"/>
      <c r="AT1590" s="1396"/>
      <c r="AU1590" s="1329"/>
      <c r="AV1590" s="1329"/>
      <c r="AW1590" s="1329"/>
      <c r="AX1590" s="1329"/>
      <c r="AY1590" s="1329"/>
      <c r="AZ1590" s="1329"/>
      <c r="BA1590" s="1329"/>
      <c r="BB1590" s="1329"/>
      <c r="BC1590" s="1329"/>
      <c r="BD1590" s="1329"/>
      <c r="BE1590" s="1329"/>
    </row>
    <row r="1591" spans="1:70" s="160" customFormat="1" x14ac:dyDescent="0.2">
      <c r="A1591" s="829"/>
      <c r="B1591" s="59"/>
      <c r="D1591" s="1329"/>
      <c r="E1591" s="1329"/>
      <c r="F1591" s="1329"/>
      <c r="G1591" s="1329"/>
      <c r="H1591" s="1329"/>
      <c r="I1591" s="1329"/>
      <c r="J1591" s="1329"/>
      <c r="K1591" s="1329"/>
      <c r="L1591" s="1329"/>
      <c r="M1591" s="1329"/>
      <c r="N1591" s="1329"/>
      <c r="O1591" s="1329"/>
      <c r="P1591" s="1329"/>
      <c r="Q1591" s="1329"/>
      <c r="R1591" s="1329"/>
      <c r="S1591" s="1329"/>
      <c r="T1591" s="1329"/>
      <c r="U1591" s="1329"/>
      <c r="V1591" s="1329"/>
      <c r="W1591" s="1329"/>
      <c r="X1591" s="1329"/>
      <c r="Y1591" s="1329"/>
      <c r="Z1591" s="1329"/>
      <c r="AA1591" s="1329"/>
      <c r="AB1591" s="1329"/>
      <c r="AC1591" s="1329"/>
      <c r="AD1591" s="1329"/>
      <c r="AE1591" s="1329"/>
      <c r="AF1591" s="1329"/>
      <c r="AG1591" s="1329"/>
      <c r="AH1591" s="1329"/>
      <c r="AI1591" s="1329"/>
      <c r="AJ1591" s="1329"/>
      <c r="AK1591" s="1329"/>
      <c r="AL1591" s="1329"/>
      <c r="AM1591" s="1329"/>
      <c r="AN1591" s="1329"/>
      <c r="AO1591" s="1329"/>
      <c r="AP1591" s="1329"/>
      <c r="AQ1591" s="1329"/>
      <c r="AR1591" s="1236"/>
      <c r="AS1591" s="1329"/>
      <c r="AT1591" s="1396"/>
      <c r="AU1591" s="1329"/>
      <c r="AV1591" s="1329"/>
      <c r="AW1591" s="1329"/>
      <c r="AX1591" s="1329"/>
      <c r="AY1591" s="1329"/>
      <c r="AZ1591" s="1329"/>
      <c r="BA1591" s="1329"/>
      <c r="BB1591" s="1329"/>
      <c r="BC1591" s="1329"/>
      <c r="BD1591" s="1329"/>
      <c r="BE1591" s="1329"/>
    </row>
    <row r="1592" spans="1:70" x14ac:dyDescent="0.2">
      <c r="D1592" s="407"/>
      <c r="E1592" s="407"/>
      <c r="F1592" s="407"/>
      <c r="G1592" s="407"/>
      <c r="H1592" s="407"/>
      <c r="I1592" s="407"/>
      <c r="J1592" s="407"/>
      <c r="K1592" s="407"/>
      <c r="L1592" s="407"/>
      <c r="M1592" s="407"/>
      <c r="N1592" s="407"/>
      <c r="O1592" s="407"/>
      <c r="P1592" s="407"/>
      <c r="Q1592" s="407"/>
      <c r="R1592" s="407"/>
      <c r="S1592" s="407"/>
      <c r="T1592" s="407"/>
      <c r="U1592" s="407"/>
      <c r="V1592" s="407"/>
      <c r="W1592" s="407"/>
      <c r="X1592" s="407"/>
      <c r="Y1592" s="407"/>
      <c r="Z1592" s="407"/>
      <c r="AA1592" s="407"/>
      <c r="AB1592" s="407"/>
      <c r="AC1592" s="407"/>
      <c r="AD1592" s="407"/>
      <c r="AE1592" s="407"/>
      <c r="AF1592" s="407"/>
      <c r="AG1592" s="407"/>
      <c r="AH1592" s="407"/>
      <c r="AI1592" s="407"/>
      <c r="AJ1592" s="407"/>
      <c r="AK1592" s="407"/>
      <c r="AL1592" s="407"/>
      <c r="AM1592" s="407"/>
      <c r="AN1592" s="407"/>
      <c r="AO1592" s="407"/>
      <c r="AP1592" s="407"/>
      <c r="AQ1592" s="407"/>
      <c r="AR1592" s="1236"/>
      <c r="AS1592" s="1236"/>
      <c r="AT1592" s="1236"/>
      <c r="AU1592" s="1236"/>
      <c r="AV1592" s="1236"/>
      <c r="AW1592" s="1236"/>
      <c r="AX1592" s="1236"/>
      <c r="AY1592" s="1236"/>
      <c r="AZ1592" s="1236"/>
      <c r="BA1592" s="1236"/>
      <c r="BB1592" s="1236"/>
      <c r="BC1592" s="1236"/>
      <c r="BD1592" s="1236"/>
      <c r="BE1592" s="1236"/>
    </row>
    <row r="1593" spans="1:70" x14ac:dyDescent="0.2">
      <c r="B1593" s="13"/>
      <c r="C1593" s="13"/>
      <c r="D1593" s="1369"/>
      <c r="E1593" s="1369"/>
      <c r="F1593" s="1369"/>
      <c r="G1593" s="1369"/>
      <c r="H1593" s="1369"/>
      <c r="I1593" s="1369"/>
      <c r="J1593" s="1369"/>
      <c r="K1593" s="1369"/>
      <c r="L1593" s="1369"/>
      <c r="M1593" s="1369"/>
      <c r="N1593" s="1369"/>
      <c r="O1593" s="1369"/>
      <c r="P1593" s="1369"/>
      <c r="Q1593" s="1369"/>
      <c r="R1593" s="1369"/>
      <c r="S1593" s="1369"/>
      <c r="T1593" s="1369"/>
      <c r="U1593" s="1369"/>
      <c r="V1593" s="1369"/>
      <c r="W1593" s="1369"/>
      <c r="X1593" s="1369"/>
      <c r="Y1593" s="1369"/>
      <c r="Z1593" s="1369"/>
      <c r="AA1593" s="1369"/>
      <c r="AB1593" s="1369"/>
      <c r="AC1593" s="1369"/>
      <c r="AD1593" s="1369"/>
      <c r="AE1593" s="1369"/>
      <c r="AF1593" s="1369"/>
      <c r="AG1593" s="1369"/>
      <c r="AH1593" s="1369"/>
      <c r="AI1593" s="1369"/>
      <c r="AJ1593" s="1369"/>
      <c r="AK1593" s="1369"/>
      <c r="AL1593" s="1369"/>
      <c r="AM1593" s="1369"/>
      <c r="AN1593" s="1369"/>
      <c r="AO1593" s="1369"/>
      <c r="AP1593" s="1369"/>
      <c r="AQ1593" s="1369"/>
      <c r="AR1593" s="1236"/>
      <c r="AS1593" s="1370"/>
      <c r="AT1593" s="1370"/>
      <c r="AU1593" s="1370"/>
      <c r="AV1593" s="1370"/>
      <c r="AW1593" s="1370"/>
      <c r="AX1593" s="1370"/>
      <c r="AY1593" s="1370"/>
      <c r="AZ1593" s="1370"/>
      <c r="BA1593" s="1370"/>
      <c r="BB1593" s="1370"/>
      <c r="BC1593" s="1370"/>
      <c r="BD1593" s="1370"/>
      <c r="BE1593" s="1370"/>
    </row>
    <row r="1594" spans="1:70" x14ac:dyDescent="0.2">
      <c r="B1594" s="16"/>
      <c r="C1594" s="16"/>
      <c r="D1594" s="1250"/>
      <c r="E1594" s="1250"/>
      <c r="F1594" s="1250"/>
      <c r="G1594" s="1250"/>
      <c r="H1594" s="1250"/>
      <c r="I1594" s="1250"/>
      <c r="J1594" s="1250"/>
      <c r="K1594" s="1250"/>
      <c r="L1594" s="1250"/>
      <c r="M1594" s="1250"/>
      <c r="N1594" s="1250"/>
      <c r="O1594" s="1250"/>
      <c r="P1594" s="1250"/>
      <c r="Q1594" s="1250"/>
      <c r="R1594" s="1250"/>
      <c r="S1594" s="1250"/>
      <c r="T1594" s="1250"/>
      <c r="U1594" s="1250"/>
      <c r="V1594" s="1250"/>
      <c r="W1594" s="1250"/>
      <c r="X1594" s="1250"/>
      <c r="Y1594" s="1250"/>
      <c r="Z1594" s="1250"/>
      <c r="AA1594" s="1250"/>
      <c r="AB1594" s="1250"/>
      <c r="AC1594" s="1250"/>
      <c r="AD1594" s="1250"/>
      <c r="AE1594" s="1250"/>
      <c r="AF1594" s="1250"/>
      <c r="AG1594" s="1250"/>
      <c r="AH1594" s="1250"/>
      <c r="AI1594" s="1250"/>
      <c r="AJ1594" s="1250"/>
      <c r="AK1594" s="1250"/>
      <c r="AL1594" s="1250"/>
      <c r="AM1594" s="1250"/>
      <c r="AN1594" s="1250"/>
      <c r="AO1594" s="1250"/>
      <c r="AP1594" s="1250"/>
      <c r="AQ1594" s="1250"/>
      <c r="AR1594" s="1236"/>
      <c r="AS1594" s="1371"/>
      <c r="AT1594" s="1371"/>
      <c r="AU1594" s="1371"/>
      <c r="AV1594" s="1371"/>
      <c r="AW1594" s="1371"/>
      <c r="AX1594" s="1371"/>
      <c r="AY1594" s="1371"/>
      <c r="AZ1594" s="1371"/>
      <c r="BA1594" s="1371"/>
      <c r="BB1594" s="1371"/>
      <c r="BC1594" s="1371"/>
      <c r="BD1594" s="1371"/>
      <c r="BE1594" s="1371"/>
    </row>
    <row r="1595" spans="1:70" x14ac:dyDescent="0.2">
      <c r="B1595" s="35"/>
      <c r="D1595" s="407"/>
      <c r="E1595" s="407"/>
      <c r="F1595" s="407"/>
      <c r="G1595" s="407"/>
      <c r="H1595" s="407"/>
      <c r="I1595" s="407"/>
      <c r="J1595" s="407"/>
      <c r="K1595" s="407"/>
      <c r="L1595" s="407"/>
      <c r="M1595" s="407"/>
      <c r="N1595" s="407"/>
      <c r="O1595" s="407"/>
      <c r="P1595" s="407"/>
      <c r="Q1595" s="407"/>
      <c r="R1595" s="407"/>
      <c r="S1595" s="407"/>
      <c r="T1595" s="407"/>
      <c r="U1595" s="407"/>
      <c r="V1595" s="407"/>
      <c r="W1595" s="407"/>
      <c r="X1595" s="407"/>
      <c r="Y1595" s="407"/>
      <c r="Z1595" s="407"/>
      <c r="AA1595" s="407"/>
      <c r="AB1595" s="407"/>
      <c r="AC1595" s="407"/>
      <c r="AD1595" s="407"/>
      <c r="AE1595" s="407"/>
      <c r="AF1595" s="407"/>
      <c r="AG1595" s="407"/>
      <c r="AH1595" s="407"/>
      <c r="AI1595" s="407"/>
      <c r="AJ1595" s="407"/>
      <c r="AK1595" s="407"/>
      <c r="AL1595" s="407"/>
      <c r="AM1595" s="407"/>
      <c r="AN1595" s="407"/>
      <c r="AO1595" s="407"/>
      <c r="AP1595" s="407"/>
      <c r="AQ1595" s="407"/>
      <c r="AR1595" s="1236"/>
      <c r="AS1595" s="407"/>
      <c r="AT1595" s="1236"/>
      <c r="AU1595" s="407"/>
      <c r="AV1595" s="407"/>
      <c r="AW1595" s="407"/>
      <c r="AX1595" s="407"/>
      <c r="AY1595" s="407"/>
      <c r="AZ1595" s="407"/>
      <c r="BA1595" s="407"/>
      <c r="BB1595" s="407"/>
      <c r="BC1595" s="407"/>
      <c r="BD1595" s="407"/>
      <c r="BE1595" s="407"/>
    </row>
    <row r="1596" spans="1:70" x14ac:dyDescent="0.2">
      <c r="B1596" s="391"/>
      <c r="D1596" s="407"/>
      <c r="E1596" s="407"/>
      <c r="F1596" s="407"/>
      <c r="G1596" s="407"/>
      <c r="H1596" s="407"/>
      <c r="I1596" s="407"/>
      <c r="J1596" s="407"/>
      <c r="K1596" s="407"/>
      <c r="L1596" s="407"/>
      <c r="M1596" s="407"/>
      <c r="N1596" s="407"/>
      <c r="O1596" s="407"/>
      <c r="P1596" s="407"/>
      <c r="Q1596" s="407"/>
      <c r="R1596" s="407"/>
      <c r="S1596" s="407"/>
      <c r="T1596" s="407"/>
      <c r="U1596" s="407"/>
      <c r="V1596" s="407"/>
      <c r="W1596" s="407"/>
      <c r="X1596" s="407"/>
      <c r="Y1596" s="407"/>
      <c r="Z1596" s="407"/>
      <c r="AA1596" s="407"/>
      <c r="AB1596" s="407"/>
      <c r="AC1596" s="407"/>
      <c r="AD1596" s="407"/>
      <c r="AE1596" s="407"/>
      <c r="AF1596" s="407"/>
      <c r="AG1596" s="407"/>
      <c r="AH1596" s="407"/>
      <c r="AI1596" s="407"/>
      <c r="AJ1596" s="407"/>
      <c r="AK1596" s="407"/>
      <c r="AL1596" s="407"/>
      <c r="AM1596" s="407"/>
      <c r="AN1596" s="407"/>
      <c r="AO1596" s="407"/>
      <c r="AP1596" s="407"/>
      <c r="AQ1596" s="407"/>
      <c r="AR1596" s="1236"/>
      <c r="AS1596" s="1238"/>
      <c r="AT1596" s="1236"/>
      <c r="AU1596" s="407"/>
      <c r="AV1596" s="407"/>
      <c r="AW1596" s="407"/>
      <c r="AX1596" s="407"/>
      <c r="AY1596" s="407"/>
      <c r="AZ1596" s="407"/>
      <c r="BA1596" s="407"/>
      <c r="BB1596" s="407"/>
      <c r="BC1596" s="407"/>
      <c r="BD1596" s="407"/>
      <c r="BE1596" s="407"/>
    </row>
    <row r="1597" spans="1:70" x14ac:dyDescent="0.2">
      <c r="B1597" s="391"/>
      <c r="D1597" s="407"/>
      <c r="E1597" s="407"/>
      <c r="F1597" s="407"/>
      <c r="G1597" s="407"/>
      <c r="H1597" s="407"/>
      <c r="I1597" s="407"/>
      <c r="J1597" s="407"/>
      <c r="K1597" s="407"/>
      <c r="L1597" s="407"/>
      <c r="M1597" s="407"/>
      <c r="N1597" s="407"/>
      <c r="O1597" s="407"/>
      <c r="P1597" s="407"/>
      <c r="Q1597" s="407"/>
      <c r="R1597" s="407"/>
      <c r="S1597" s="407"/>
      <c r="T1597" s="407"/>
      <c r="U1597" s="407"/>
      <c r="V1597" s="407"/>
      <c r="W1597" s="407"/>
      <c r="X1597" s="407"/>
      <c r="Y1597" s="407"/>
      <c r="Z1597" s="407"/>
      <c r="AA1597" s="407"/>
      <c r="AB1597" s="407"/>
      <c r="AC1597" s="407"/>
      <c r="AD1597" s="407"/>
      <c r="AE1597" s="407"/>
      <c r="AF1597" s="407"/>
      <c r="AG1597" s="407"/>
      <c r="AH1597" s="407"/>
      <c r="AI1597" s="407"/>
      <c r="AJ1597" s="407"/>
      <c r="AK1597" s="407"/>
      <c r="AL1597" s="407"/>
      <c r="AM1597" s="407"/>
      <c r="AN1597" s="407"/>
      <c r="AO1597" s="407"/>
      <c r="AP1597" s="407"/>
      <c r="AQ1597" s="407"/>
      <c r="AR1597" s="1236"/>
      <c r="AS1597" s="1238"/>
      <c r="AT1597" s="1236"/>
      <c r="AU1597" s="407"/>
      <c r="AV1597" s="407"/>
      <c r="AW1597" s="407"/>
      <c r="AX1597" s="407"/>
      <c r="AY1597" s="407"/>
      <c r="AZ1597" s="407"/>
      <c r="BA1597" s="407"/>
      <c r="BB1597" s="407"/>
      <c r="BC1597" s="407"/>
      <c r="BD1597" s="407"/>
      <c r="BE1597" s="407"/>
    </row>
    <row r="1598" spans="1:70" x14ac:dyDescent="0.2">
      <c r="D1598" s="407"/>
      <c r="E1598" s="407"/>
      <c r="F1598" s="407"/>
      <c r="G1598" s="407"/>
      <c r="H1598" s="407"/>
      <c r="I1598" s="407"/>
      <c r="J1598" s="407"/>
      <c r="K1598" s="407"/>
      <c r="L1598" s="407"/>
      <c r="M1598" s="407"/>
      <c r="N1598" s="407"/>
      <c r="O1598" s="407"/>
      <c r="P1598" s="407"/>
      <c r="Q1598" s="407"/>
      <c r="R1598" s="407"/>
      <c r="S1598" s="407"/>
      <c r="T1598" s="407"/>
      <c r="U1598" s="407"/>
      <c r="V1598" s="407"/>
      <c r="W1598" s="407"/>
      <c r="X1598" s="407"/>
      <c r="Y1598" s="407"/>
      <c r="Z1598" s="407"/>
      <c r="AA1598" s="407"/>
      <c r="AB1598" s="407"/>
      <c r="AC1598" s="407"/>
      <c r="AD1598" s="407"/>
      <c r="AE1598" s="407"/>
      <c r="AF1598" s="407"/>
      <c r="AG1598" s="407"/>
      <c r="AH1598" s="407"/>
      <c r="AI1598" s="407"/>
      <c r="AJ1598" s="407"/>
      <c r="AK1598" s="407"/>
      <c r="AL1598" s="407"/>
      <c r="AM1598" s="407"/>
      <c r="AN1598" s="407"/>
      <c r="AO1598" s="407"/>
      <c r="AP1598" s="407"/>
      <c r="AQ1598" s="407"/>
      <c r="AR1598" s="1236"/>
      <c r="AS1598" s="1236"/>
      <c r="AT1598" s="1236"/>
      <c r="AU1598" s="1236"/>
      <c r="AV1598" s="1236"/>
      <c r="AW1598" s="1236"/>
      <c r="AX1598" s="1236"/>
      <c r="AY1598" s="1236"/>
      <c r="AZ1598" s="1236"/>
      <c r="BA1598" s="1236"/>
      <c r="BB1598" s="1236"/>
      <c r="BC1598" s="1236"/>
      <c r="BD1598" s="1236"/>
      <c r="BE1598" s="1236"/>
    </row>
    <row r="1599" spans="1:70" x14ac:dyDescent="0.2">
      <c r="D1599" s="407"/>
      <c r="E1599" s="407"/>
      <c r="F1599" s="407"/>
      <c r="G1599" s="407"/>
      <c r="H1599" s="407"/>
      <c r="I1599" s="407"/>
      <c r="J1599" s="407"/>
      <c r="K1599" s="407"/>
      <c r="L1599" s="407"/>
      <c r="M1599" s="407"/>
      <c r="N1599" s="407"/>
      <c r="O1599" s="407"/>
      <c r="P1599" s="407"/>
      <c r="Q1599" s="407"/>
      <c r="R1599" s="407"/>
      <c r="S1599" s="407"/>
      <c r="T1599" s="407"/>
      <c r="U1599" s="407"/>
      <c r="V1599" s="407"/>
      <c r="W1599" s="407"/>
      <c r="X1599" s="407"/>
      <c r="Y1599" s="407"/>
      <c r="Z1599" s="407"/>
      <c r="AA1599" s="407"/>
      <c r="AB1599" s="407"/>
      <c r="AC1599" s="407"/>
      <c r="AD1599" s="407"/>
      <c r="AE1599" s="407"/>
      <c r="AF1599" s="407"/>
      <c r="AG1599" s="407"/>
      <c r="AH1599" s="407"/>
      <c r="AI1599" s="407"/>
      <c r="AJ1599" s="407"/>
      <c r="AK1599" s="407"/>
      <c r="AL1599" s="407"/>
      <c r="AM1599" s="407"/>
      <c r="AN1599" s="407"/>
      <c r="AO1599" s="407"/>
      <c r="AP1599" s="407"/>
      <c r="AQ1599" s="407"/>
      <c r="AR1599" s="1236"/>
      <c r="AS1599" s="1236"/>
      <c r="AT1599" s="1236"/>
      <c r="AU1599" s="1236"/>
      <c r="AV1599" s="1236"/>
      <c r="AW1599" s="1236"/>
      <c r="AX1599" s="1236"/>
      <c r="AY1599" s="1236"/>
      <c r="AZ1599" s="1236"/>
      <c r="BA1599" s="1236"/>
      <c r="BB1599" s="1236"/>
      <c r="BC1599" s="1236"/>
      <c r="BD1599" s="1236"/>
      <c r="BE1599" s="1236"/>
    </row>
    <row r="1600" spans="1:70" ht="12.75" x14ac:dyDescent="0.2">
      <c r="B1600" s="1162"/>
      <c r="C1600" s="1162"/>
      <c r="D1600" s="1364"/>
      <c r="E1600" s="1364"/>
      <c r="F1600" s="1364"/>
      <c r="G1600" s="1364"/>
      <c r="H1600" s="1364"/>
      <c r="I1600" s="1364"/>
      <c r="J1600" s="1364"/>
      <c r="K1600" s="1364"/>
      <c r="L1600" s="1364"/>
      <c r="M1600" s="1364"/>
      <c r="N1600" s="1364"/>
      <c r="O1600" s="1364"/>
      <c r="P1600" s="1364"/>
      <c r="Q1600" s="1364"/>
      <c r="R1600" s="1364"/>
      <c r="S1600" s="1364"/>
      <c r="T1600" s="1364"/>
      <c r="U1600" s="1364"/>
      <c r="V1600" s="1364"/>
      <c r="W1600" s="1364"/>
      <c r="X1600" s="1364"/>
      <c r="Y1600" s="1364"/>
      <c r="Z1600" s="1364"/>
      <c r="AA1600" s="1364"/>
      <c r="AB1600" s="1364"/>
      <c r="AC1600" s="1364"/>
      <c r="AD1600" s="1364"/>
      <c r="AE1600" s="1364"/>
      <c r="AF1600" s="1364"/>
      <c r="AG1600" s="1364"/>
      <c r="AH1600" s="1364"/>
      <c r="AI1600" s="1364"/>
      <c r="AJ1600" s="1364"/>
      <c r="AK1600" s="1364"/>
      <c r="AL1600" s="1364"/>
      <c r="AM1600" s="1364"/>
      <c r="AN1600" s="1364"/>
      <c r="AO1600" s="1364"/>
      <c r="AP1600" s="1364"/>
      <c r="AQ1600" s="1364"/>
      <c r="AR1600" s="1236"/>
      <c r="AS1600" s="1364"/>
      <c r="AT1600" s="1364"/>
      <c r="AU1600" s="1364"/>
      <c r="AV1600" s="1364"/>
      <c r="AW1600" s="1364"/>
      <c r="AX1600" s="1364"/>
      <c r="AY1600" s="1364"/>
      <c r="AZ1600" s="1364"/>
      <c r="BA1600" s="1364"/>
      <c r="BB1600" s="1364"/>
      <c r="BC1600" s="1364"/>
      <c r="BD1600" s="1364"/>
      <c r="BE1600" s="1364"/>
      <c r="BM1600" s="1218"/>
      <c r="BN1600" s="1218"/>
      <c r="BO1600" s="1218"/>
      <c r="BP1600" s="1218"/>
      <c r="BQ1600" s="1218"/>
      <c r="BR1600" s="1218"/>
    </row>
    <row r="1601" spans="1:70" ht="12.75" x14ac:dyDescent="0.2">
      <c r="A1601" s="70"/>
      <c r="B1601" s="70"/>
      <c r="C1601" s="1163"/>
      <c r="D1601" s="1584"/>
      <c r="E1601" s="1584"/>
      <c r="F1601" s="1584"/>
      <c r="G1601" s="1584"/>
      <c r="H1601" s="1584"/>
      <c r="I1601" s="1584"/>
      <c r="J1601" s="1584"/>
      <c r="K1601" s="1584"/>
      <c r="L1601" s="1584"/>
      <c r="M1601" s="1584"/>
      <c r="N1601" s="1584"/>
      <c r="O1601" s="1584"/>
      <c r="P1601" s="1584"/>
      <c r="Q1601" s="1584"/>
      <c r="R1601" s="1584"/>
      <c r="S1601" s="1584"/>
      <c r="T1601" s="1584"/>
      <c r="U1601" s="1584"/>
      <c r="V1601" s="1584"/>
      <c r="W1601" s="1584"/>
      <c r="X1601" s="1584"/>
      <c r="Y1601" s="1584"/>
      <c r="Z1601" s="1584"/>
      <c r="AA1601" s="1584"/>
      <c r="AB1601" s="1584"/>
      <c r="AC1601" s="1584"/>
      <c r="AD1601" s="1584"/>
      <c r="AE1601" s="1584"/>
      <c r="AF1601" s="1584"/>
      <c r="AG1601" s="1584"/>
      <c r="AH1601" s="1584"/>
      <c r="AI1601" s="1584"/>
      <c r="AJ1601" s="1584"/>
      <c r="AK1601" s="1584"/>
      <c r="AL1601" s="1584"/>
      <c r="AM1601" s="1584"/>
      <c r="AN1601" s="1584"/>
      <c r="AO1601" s="1584"/>
      <c r="AP1601" s="1584"/>
      <c r="AQ1601" s="1584"/>
      <c r="AR1601" s="1236"/>
      <c r="AS1601" s="1236"/>
      <c r="AT1601" s="1584"/>
      <c r="AU1601" s="1584"/>
      <c r="AV1601" s="1584"/>
      <c r="AW1601" s="1584"/>
      <c r="AX1601" s="1584"/>
      <c r="AY1601" s="1584"/>
      <c r="AZ1601" s="1584"/>
      <c r="BA1601" s="1584"/>
      <c r="BB1601" s="1584"/>
      <c r="BC1601" s="1584"/>
      <c r="BD1601" s="1584"/>
      <c r="BE1601" s="1584"/>
      <c r="BM1601" s="1218"/>
      <c r="BN1601" s="1218"/>
      <c r="BO1601" s="1218"/>
      <c r="BP1601" s="1218"/>
      <c r="BQ1601" s="1218"/>
      <c r="BR1601" s="1218"/>
    </row>
    <row r="1602" spans="1:70" ht="12.75" x14ac:dyDescent="0.2">
      <c r="A1602" s="70"/>
      <c r="B1602" s="70"/>
      <c r="C1602" s="1164"/>
      <c r="D1602" s="1610"/>
      <c r="E1602" s="1610"/>
      <c r="F1602" s="1610"/>
      <c r="G1602" s="1610"/>
      <c r="H1602" s="1610"/>
      <c r="I1602" s="1610"/>
      <c r="J1602" s="1610"/>
      <c r="K1602" s="1610"/>
      <c r="L1602" s="1610"/>
      <c r="M1602" s="1610"/>
      <c r="N1602" s="1610"/>
      <c r="O1602" s="1610"/>
      <c r="P1602" s="1610"/>
      <c r="Q1602" s="1610"/>
      <c r="R1602" s="1610"/>
      <c r="S1602" s="1610"/>
      <c r="T1602" s="1610"/>
      <c r="U1602" s="1610"/>
      <c r="V1602" s="1610"/>
      <c r="W1602" s="1610"/>
      <c r="X1602" s="1610"/>
      <c r="Y1602" s="1610"/>
      <c r="Z1602" s="1610"/>
      <c r="AA1602" s="1610"/>
      <c r="AB1602" s="1610"/>
      <c r="AC1602" s="1610"/>
      <c r="AD1602" s="1610"/>
      <c r="AE1602" s="1610"/>
      <c r="AF1602" s="1610"/>
      <c r="AG1602" s="1610"/>
      <c r="AH1602" s="1610"/>
      <c r="AI1602" s="1610"/>
      <c r="AJ1602" s="1610"/>
      <c r="AK1602" s="1610"/>
      <c r="AL1602" s="1610"/>
      <c r="AM1602" s="1610"/>
      <c r="AN1602" s="1610"/>
      <c r="AO1602" s="1610"/>
      <c r="AP1602" s="1610"/>
      <c r="AQ1602" s="1610"/>
      <c r="AR1602" s="1236"/>
      <c r="AS1602" s="1236"/>
      <c r="AT1602" s="1610"/>
      <c r="AU1602" s="1610"/>
      <c r="AV1602" s="1610"/>
      <c r="AW1602" s="1610"/>
      <c r="AX1602" s="1610"/>
      <c r="AY1602" s="1610"/>
      <c r="AZ1602" s="1610"/>
      <c r="BA1602" s="1610"/>
      <c r="BB1602" s="1610"/>
      <c r="BC1602" s="1610"/>
      <c r="BD1602" s="1610"/>
      <c r="BE1602" s="1610"/>
      <c r="BM1602" s="1218"/>
      <c r="BN1602" s="1218"/>
      <c r="BO1602" s="1218"/>
      <c r="BP1602" s="1218"/>
      <c r="BQ1602" s="1218"/>
      <c r="BR1602" s="1218"/>
    </row>
    <row r="1603" spans="1:70" ht="12.75" x14ac:dyDescent="0.2">
      <c r="A1603" s="70"/>
      <c r="B1603" s="70"/>
      <c r="C1603" s="1165"/>
      <c r="D1603" s="1357"/>
      <c r="E1603" s="1357"/>
      <c r="F1603" s="1357"/>
      <c r="G1603" s="1357"/>
      <c r="H1603" s="1357"/>
      <c r="I1603" s="1357"/>
      <c r="J1603" s="1357"/>
      <c r="K1603" s="1357"/>
      <c r="L1603" s="1357"/>
      <c r="M1603" s="1357"/>
      <c r="N1603" s="1357"/>
      <c r="O1603" s="1357"/>
      <c r="P1603" s="1357"/>
      <c r="Q1603" s="1357"/>
      <c r="R1603" s="1357"/>
      <c r="S1603" s="1357"/>
      <c r="T1603" s="407"/>
      <c r="U1603" s="407"/>
      <c r="V1603" s="407"/>
      <c r="W1603" s="407"/>
      <c r="X1603" s="407"/>
      <c r="Y1603" s="407"/>
      <c r="Z1603" s="407"/>
      <c r="AA1603" s="407"/>
      <c r="AB1603" s="407"/>
      <c r="AC1603" s="407"/>
      <c r="AD1603" s="407"/>
      <c r="AE1603" s="407"/>
      <c r="AF1603" s="407"/>
      <c r="AG1603" s="407"/>
      <c r="AH1603" s="407"/>
      <c r="AI1603" s="407"/>
      <c r="AJ1603" s="407"/>
      <c r="AK1603" s="407"/>
      <c r="AL1603" s="407"/>
      <c r="AM1603" s="407"/>
      <c r="AN1603" s="407"/>
      <c r="AO1603" s="407"/>
      <c r="AP1603" s="407"/>
      <c r="AQ1603" s="407"/>
      <c r="AR1603" s="1236"/>
      <c r="AS1603" s="1236"/>
      <c r="AT1603" s="1238"/>
      <c r="AU1603" s="1236"/>
      <c r="AV1603" s="1236"/>
      <c r="AW1603" s="1236"/>
      <c r="AX1603" s="1236"/>
      <c r="AY1603" s="1236"/>
      <c r="AZ1603" s="1236"/>
      <c r="BA1603" s="1236"/>
      <c r="BB1603" s="407"/>
      <c r="BC1603" s="407"/>
      <c r="BD1603" s="407"/>
      <c r="BE1603" s="407"/>
      <c r="BG1603" s="1195"/>
      <c r="BH1603" s="1195"/>
      <c r="BI1603" s="1195"/>
      <c r="BJ1603" s="1195"/>
      <c r="BK1603" s="1195"/>
      <c r="BL1603" s="1195"/>
      <c r="BM1603" s="1218"/>
      <c r="BN1603" s="1218"/>
      <c r="BO1603" s="1218"/>
      <c r="BP1603" s="1218"/>
      <c r="BQ1603" s="1218"/>
      <c r="BR1603" s="1218"/>
    </row>
    <row r="1604" spans="1:70" ht="12.75" x14ac:dyDescent="0.2">
      <c r="A1604" s="70"/>
      <c r="B1604" s="70"/>
      <c r="C1604" s="1165"/>
      <c r="D1604" s="1357"/>
      <c r="E1604" s="1357"/>
      <c r="F1604" s="1357"/>
      <c r="G1604" s="1357"/>
      <c r="H1604" s="1357"/>
      <c r="I1604" s="1357"/>
      <c r="J1604" s="1357"/>
      <c r="K1604" s="1357"/>
      <c r="L1604" s="1357"/>
      <c r="M1604" s="1357"/>
      <c r="N1604" s="1357"/>
      <c r="O1604" s="1357"/>
      <c r="P1604" s="1357"/>
      <c r="Q1604" s="1357"/>
      <c r="R1604" s="1357"/>
      <c r="S1604" s="1357"/>
      <c r="T1604" s="407"/>
      <c r="U1604" s="407"/>
      <c r="V1604" s="407"/>
      <c r="W1604" s="407"/>
      <c r="X1604" s="407"/>
      <c r="Y1604" s="407"/>
      <c r="Z1604" s="407"/>
      <c r="AA1604" s="407"/>
      <c r="AB1604" s="407"/>
      <c r="AC1604" s="407"/>
      <c r="AD1604" s="407"/>
      <c r="AE1604" s="407"/>
      <c r="AF1604" s="407"/>
      <c r="AG1604" s="407"/>
      <c r="AH1604" s="407"/>
      <c r="AI1604" s="407"/>
      <c r="AJ1604" s="407"/>
      <c r="AK1604" s="407"/>
      <c r="AL1604" s="407"/>
      <c r="AM1604" s="407"/>
      <c r="AN1604" s="407"/>
      <c r="AO1604" s="407"/>
      <c r="AP1604" s="407"/>
      <c r="AQ1604" s="407"/>
      <c r="AR1604" s="1236"/>
      <c r="AS1604" s="1236"/>
      <c r="AT1604" s="1238"/>
      <c r="AU1604" s="1236"/>
      <c r="AV1604" s="1236"/>
      <c r="AW1604" s="1236"/>
      <c r="AX1604" s="1236"/>
      <c r="AY1604" s="1236"/>
      <c r="AZ1604" s="1236"/>
      <c r="BA1604" s="1236"/>
      <c r="BB1604" s="407"/>
      <c r="BC1604" s="407"/>
      <c r="BD1604" s="407"/>
      <c r="BE1604" s="407"/>
      <c r="BG1604" s="1195"/>
      <c r="BH1604" s="1195"/>
      <c r="BI1604" s="1195"/>
      <c r="BJ1604" s="1195"/>
      <c r="BK1604" s="1195"/>
      <c r="BL1604" s="1195"/>
      <c r="BM1604" s="1218"/>
      <c r="BN1604" s="1218"/>
      <c r="BO1604" s="1218"/>
      <c r="BP1604" s="1218"/>
      <c r="BQ1604" s="1218"/>
      <c r="BR1604" s="1218"/>
    </row>
    <row r="1605" spans="1:70" ht="12.75" x14ac:dyDescent="0.2">
      <c r="A1605" s="70"/>
      <c r="B1605" s="70"/>
      <c r="C1605" s="1165"/>
      <c r="D1605" s="407"/>
      <c r="E1605" s="407"/>
      <c r="F1605" s="407"/>
      <c r="G1605" s="407"/>
      <c r="H1605" s="407"/>
      <c r="I1605" s="407"/>
      <c r="J1605" s="407"/>
      <c r="K1605" s="407"/>
      <c r="L1605" s="407"/>
      <c r="M1605" s="407"/>
      <c r="N1605" s="407"/>
      <c r="O1605" s="407"/>
      <c r="P1605" s="407"/>
      <c r="Q1605" s="407"/>
      <c r="R1605" s="407"/>
      <c r="S1605" s="407"/>
      <c r="T1605" s="407"/>
      <c r="U1605" s="407"/>
      <c r="V1605" s="407"/>
      <c r="W1605" s="407"/>
      <c r="X1605" s="407"/>
      <c r="Y1605" s="407"/>
      <c r="Z1605" s="407"/>
      <c r="AA1605" s="407"/>
      <c r="AB1605" s="407"/>
      <c r="AC1605" s="407"/>
      <c r="AD1605" s="407"/>
      <c r="AE1605" s="407"/>
      <c r="AF1605" s="407"/>
      <c r="AG1605" s="407"/>
      <c r="AH1605" s="407"/>
      <c r="AI1605" s="407"/>
      <c r="AJ1605" s="407"/>
      <c r="AK1605" s="407"/>
      <c r="AL1605" s="407"/>
      <c r="AM1605" s="407"/>
      <c r="AN1605" s="407"/>
      <c r="AO1605" s="407"/>
      <c r="AP1605" s="407"/>
      <c r="AQ1605" s="407"/>
      <c r="AR1605" s="1236"/>
      <c r="AS1605" s="1236"/>
      <c r="AT1605" s="1238"/>
      <c r="AU1605" s="407"/>
      <c r="AV1605" s="407"/>
      <c r="AW1605" s="407"/>
      <c r="AX1605" s="407"/>
      <c r="AY1605" s="407"/>
      <c r="AZ1605" s="407"/>
      <c r="BA1605" s="407"/>
      <c r="BB1605" s="407"/>
      <c r="BC1605" s="407"/>
      <c r="BD1605" s="407"/>
      <c r="BE1605" s="407"/>
      <c r="BG1605" s="1195"/>
      <c r="BH1605" s="1195"/>
      <c r="BI1605" s="1195"/>
      <c r="BJ1605" s="1195"/>
      <c r="BK1605" s="1195"/>
      <c r="BL1605" s="1195"/>
      <c r="BM1605" s="1218"/>
      <c r="BN1605" s="1218"/>
      <c r="BO1605" s="1218"/>
      <c r="BP1605" s="1218"/>
      <c r="BQ1605" s="1218"/>
      <c r="BR1605" s="1218"/>
    </row>
    <row r="1606" spans="1:70" ht="12.75" x14ac:dyDescent="0.2">
      <c r="A1606" s="70"/>
      <c r="B1606" s="70"/>
      <c r="C1606" s="1166"/>
      <c r="D1606" s="1307"/>
      <c r="E1606" s="1307"/>
      <c r="F1606" s="1307"/>
      <c r="G1606" s="1307"/>
      <c r="H1606" s="1307"/>
      <c r="I1606" s="1307"/>
      <c r="J1606" s="1307"/>
      <c r="K1606" s="1307"/>
      <c r="L1606" s="1307"/>
      <c r="M1606" s="1307"/>
      <c r="N1606" s="1307"/>
      <c r="O1606" s="1307"/>
      <c r="P1606" s="1307"/>
      <c r="Q1606" s="1307"/>
      <c r="R1606" s="1307"/>
      <c r="S1606" s="1307"/>
      <c r="T1606" s="1307"/>
      <c r="U1606" s="1307"/>
      <c r="V1606" s="1307"/>
      <c r="W1606" s="1307"/>
      <c r="X1606" s="1307"/>
      <c r="Y1606" s="1307"/>
      <c r="Z1606" s="1307"/>
      <c r="AA1606" s="1307"/>
      <c r="AB1606" s="1307"/>
      <c r="AC1606" s="1307"/>
      <c r="AD1606" s="1307"/>
      <c r="AE1606" s="1307"/>
      <c r="AF1606" s="1307"/>
      <c r="AG1606" s="1307"/>
      <c r="AH1606" s="1307"/>
      <c r="AI1606" s="1307"/>
      <c r="AJ1606" s="1318"/>
      <c r="AK1606" s="1318"/>
      <c r="AL1606" s="1318"/>
      <c r="AM1606" s="1318"/>
      <c r="AN1606" s="1318"/>
      <c r="AO1606" s="1318"/>
      <c r="AP1606" s="1318"/>
      <c r="AQ1606" s="1318"/>
      <c r="AR1606" s="1236"/>
      <c r="AS1606" s="1236"/>
      <c r="AT1606" s="1376"/>
      <c r="AU1606" s="1307"/>
      <c r="AV1606" s="1307"/>
      <c r="AW1606" s="1307"/>
      <c r="AX1606" s="1307"/>
      <c r="AY1606" s="1307"/>
      <c r="AZ1606" s="1307"/>
      <c r="BA1606" s="1307"/>
      <c r="BB1606" s="1307"/>
      <c r="BC1606" s="1307"/>
      <c r="BD1606" s="1307"/>
      <c r="BE1606" s="1307"/>
      <c r="BG1606" s="1195"/>
      <c r="BH1606" s="1195"/>
      <c r="BI1606" s="1195"/>
      <c r="BJ1606" s="1195"/>
      <c r="BK1606" s="1195"/>
      <c r="BL1606" s="1195"/>
      <c r="BM1606" s="1218"/>
      <c r="BN1606" s="1218"/>
      <c r="BO1606" s="1218"/>
      <c r="BP1606" s="1218"/>
      <c r="BQ1606" s="1218"/>
      <c r="BR1606" s="1218"/>
    </row>
    <row r="1607" spans="1:70" ht="12.75" x14ac:dyDescent="0.2">
      <c r="A1607" s="70"/>
      <c r="B1607" s="70"/>
      <c r="C1607" s="1167"/>
      <c r="D1607" s="1611"/>
      <c r="E1607" s="1611"/>
      <c r="F1607" s="1611"/>
      <c r="G1607" s="1611"/>
      <c r="H1607" s="1611"/>
      <c r="I1607" s="1611"/>
      <c r="J1607" s="1611"/>
      <c r="K1607" s="1611"/>
      <c r="L1607" s="1611"/>
      <c r="M1607" s="1611"/>
      <c r="N1607" s="1611"/>
      <c r="O1607" s="1611"/>
      <c r="P1607" s="1611"/>
      <c r="Q1607" s="1611"/>
      <c r="R1607" s="1611"/>
      <c r="S1607" s="1611"/>
      <c r="T1607" s="1611"/>
      <c r="U1607" s="1611"/>
      <c r="V1607" s="1611"/>
      <c r="W1607" s="1611"/>
      <c r="X1607" s="1611"/>
      <c r="Y1607" s="1611"/>
      <c r="Z1607" s="1611"/>
      <c r="AA1607" s="1611"/>
      <c r="AB1607" s="1611"/>
      <c r="AC1607" s="1611"/>
      <c r="AD1607" s="1611"/>
      <c r="AE1607" s="1611"/>
      <c r="AF1607" s="1611"/>
      <c r="AG1607" s="1611"/>
      <c r="AH1607" s="1611"/>
      <c r="AI1607" s="1611"/>
      <c r="AJ1607" s="1611"/>
      <c r="AK1607" s="1611"/>
      <c r="AL1607" s="1611"/>
      <c r="AM1607" s="1611"/>
      <c r="AN1607" s="1611"/>
      <c r="AO1607" s="1611"/>
      <c r="AP1607" s="1611"/>
      <c r="AQ1607" s="1611"/>
      <c r="AR1607" s="1236"/>
      <c r="AS1607" s="1236"/>
      <c r="AT1607" s="1612"/>
      <c r="AU1607" s="1611"/>
      <c r="AV1607" s="1611"/>
      <c r="AW1607" s="1611"/>
      <c r="AX1607" s="1611"/>
      <c r="AY1607" s="1611"/>
      <c r="AZ1607" s="1611"/>
      <c r="BA1607" s="1611"/>
      <c r="BB1607" s="1611"/>
      <c r="BC1607" s="1611"/>
      <c r="BD1607" s="1611"/>
      <c r="BE1607" s="1611"/>
      <c r="BG1607" s="1195"/>
      <c r="BH1607" s="1195"/>
      <c r="BI1607" s="1195"/>
      <c r="BJ1607" s="1195"/>
      <c r="BK1607" s="1195"/>
      <c r="BL1607" s="1195"/>
      <c r="BM1607" s="1218"/>
      <c r="BN1607" s="1218"/>
      <c r="BO1607" s="1218"/>
      <c r="BP1607" s="1218"/>
      <c r="BQ1607" s="1218"/>
      <c r="BR1607" s="1218"/>
    </row>
    <row r="1608" spans="1:70" ht="12.75" x14ac:dyDescent="0.2">
      <c r="A1608" s="70"/>
      <c r="B1608" s="70"/>
      <c r="C1608" s="1168"/>
      <c r="D1608" s="407"/>
      <c r="E1608" s="407"/>
      <c r="F1608" s="407"/>
      <c r="G1608" s="407"/>
      <c r="H1608" s="407"/>
      <c r="I1608" s="407"/>
      <c r="J1608" s="407"/>
      <c r="K1608" s="407"/>
      <c r="L1608" s="407"/>
      <c r="M1608" s="407"/>
      <c r="N1608" s="407"/>
      <c r="O1608" s="407"/>
      <c r="P1608" s="407"/>
      <c r="Q1608" s="407"/>
      <c r="R1608" s="407"/>
      <c r="S1608" s="407"/>
      <c r="T1608" s="407"/>
      <c r="U1608" s="407"/>
      <c r="V1608" s="407"/>
      <c r="W1608" s="407"/>
      <c r="X1608" s="407"/>
      <c r="Y1608" s="407"/>
      <c r="Z1608" s="407"/>
      <c r="AA1608" s="407"/>
      <c r="AB1608" s="407"/>
      <c r="AC1608" s="407"/>
      <c r="AD1608" s="407"/>
      <c r="AE1608" s="407"/>
      <c r="AF1608" s="407"/>
      <c r="AG1608" s="407"/>
      <c r="AH1608" s="407"/>
      <c r="AI1608" s="407"/>
      <c r="AJ1608" s="407"/>
      <c r="AK1608" s="407"/>
      <c r="AL1608" s="407"/>
      <c r="AM1608" s="407"/>
      <c r="AN1608" s="407"/>
      <c r="AO1608" s="407"/>
      <c r="AP1608" s="407"/>
      <c r="AQ1608" s="407"/>
      <c r="AR1608" s="1236"/>
      <c r="AS1608" s="1236"/>
      <c r="AT1608" s="1613"/>
      <c r="AU1608" s="407"/>
      <c r="AV1608" s="407"/>
      <c r="AW1608" s="407"/>
      <c r="AX1608" s="407"/>
      <c r="AY1608" s="407"/>
      <c r="AZ1608" s="407"/>
      <c r="BA1608" s="407"/>
      <c r="BB1608" s="407"/>
      <c r="BC1608" s="407"/>
      <c r="BD1608" s="407"/>
      <c r="BE1608" s="407"/>
      <c r="BG1608" s="1195"/>
      <c r="BH1608" s="1195"/>
      <c r="BI1608" s="1195"/>
      <c r="BJ1608" s="1195"/>
      <c r="BK1608" s="1195"/>
      <c r="BL1608" s="1195"/>
      <c r="BM1608" s="1218"/>
      <c r="BN1608" s="1218"/>
      <c r="BO1608" s="1218"/>
      <c r="BP1608" s="1218"/>
      <c r="BQ1608" s="1218"/>
      <c r="BR1608" s="1218"/>
    </row>
    <row r="1609" spans="1:70" ht="12.75" x14ac:dyDescent="0.2">
      <c r="A1609" s="70"/>
      <c r="B1609" s="70"/>
      <c r="C1609" s="1164"/>
      <c r="D1609" s="1610"/>
      <c r="E1609" s="1610"/>
      <c r="F1609" s="1610"/>
      <c r="G1609" s="1610"/>
      <c r="H1609" s="1610"/>
      <c r="I1609" s="1610"/>
      <c r="J1609" s="1610"/>
      <c r="K1609" s="1610"/>
      <c r="L1609" s="1610"/>
      <c r="M1609" s="1610"/>
      <c r="N1609" s="1610"/>
      <c r="O1609" s="1610"/>
      <c r="P1609" s="1610"/>
      <c r="Q1609" s="1610"/>
      <c r="R1609" s="1610"/>
      <c r="S1609" s="1610"/>
      <c r="T1609" s="1610"/>
      <c r="U1609" s="1610"/>
      <c r="V1609" s="1610"/>
      <c r="W1609" s="1610"/>
      <c r="X1609" s="1610"/>
      <c r="Y1609" s="1610"/>
      <c r="Z1609" s="1610"/>
      <c r="AA1609" s="1610"/>
      <c r="AB1609" s="1610"/>
      <c r="AC1609" s="1610"/>
      <c r="AD1609" s="1610"/>
      <c r="AE1609" s="1610"/>
      <c r="AF1609" s="1610"/>
      <c r="AG1609" s="1610"/>
      <c r="AH1609" s="1610"/>
      <c r="AI1609" s="1610"/>
      <c r="AJ1609" s="1610"/>
      <c r="AK1609" s="1610"/>
      <c r="AL1609" s="1610"/>
      <c r="AM1609" s="1610"/>
      <c r="AN1609" s="1610"/>
      <c r="AO1609" s="1610"/>
      <c r="AP1609" s="1610"/>
      <c r="AQ1609" s="1610"/>
      <c r="AR1609" s="1236"/>
      <c r="AS1609" s="1236"/>
      <c r="AT1609" s="1610"/>
      <c r="AU1609" s="1610"/>
      <c r="AV1609" s="1610"/>
      <c r="AW1609" s="1610"/>
      <c r="AX1609" s="1610"/>
      <c r="AY1609" s="1610"/>
      <c r="AZ1609" s="1610"/>
      <c r="BA1609" s="1610"/>
      <c r="BB1609" s="1610"/>
      <c r="BC1609" s="1610"/>
      <c r="BD1609" s="1610"/>
      <c r="BE1609" s="1610"/>
      <c r="BG1609" s="1195"/>
      <c r="BH1609" s="1195"/>
      <c r="BI1609" s="1195"/>
      <c r="BJ1609" s="1195"/>
      <c r="BK1609" s="1195"/>
      <c r="BL1609" s="1195"/>
      <c r="BM1609" s="1218"/>
      <c r="BN1609" s="1218"/>
      <c r="BO1609" s="1218"/>
      <c r="BP1609" s="1218"/>
      <c r="BQ1609" s="1218"/>
      <c r="BR1609" s="1218"/>
    </row>
    <row r="1610" spans="1:70" ht="12.75" x14ac:dyDescent="0.2">
      <c r="A1610" s="70"/>
      <c r="B1610" s="70"/>
      <c r="C1610" s="1165"/>
      <c r="D1610" s="407"/>
      <c r="E1610" s="407"/>
      <c r="F1610" s="407"/>
      <c r="G1610" s="407"/>
      <c r="H1610" s="407"/>
      <c r="I1610" s="407"/>
      <c r="J1610" s="407"/>
      <c r="K1610" s="407"/>
      <c r="L1610" s="407"/>
      <c r="M1610" s="407"/>
      <c r="N1610" s="407"/>
      <c r="O1610" s="407"/>
      <c r="P1610" s="407"/>
      <c r="Q1610" s="407"/>
      <c r="R1610" s="407"/>
      <c r="S1610" s="407"/>
      <c r="T1610" s="407"/>
      <c r="U1610" s="407"/>
      <c r="V1610" s="407"/>
      <c r="W1610" s="407"/>
      <c r="X1610" s="407"/>
      <c r="Y1610" s="407"/>
      <c r="Z1610" s="407"/>
      <c r="AA1610" s="407"/>
      <c r="AB1610" s="407"/>
      <c r="AC1610" s="407"/>
      <c r="AD1610" s="407"/>
      <c r="AE1610" s="407"/>
      <c r="AF1610" s="407"/>
      <c r="AG1610" s="407"/>
      <c r="AH1610" s="407"/>
      <c r="AI1610" s="407"/>
      <c r="AJ1610" s="407"/>
      <c r="AK1610" s="407"/>
      <c r="AL1610" s="407"/>
      <c r="AM1610" s="407"/>
      <c r="AN1610" s="407"/>
      <c r="AO1610" s="407"/>
      <c r="AP1610" s="407"/>
      <c r="AQ1610" s="407"/>
      <c r="AR1610" s="1236"/>
      <c r="AS1610" s="1236"/>
      <c r="AT1610" s="1238"/>
      <c r="AU1610" s="407"/>
      <c r="AV1610" s="407"/>
      <c r="AW1610" s="407"/>
      <c r="AX1610" s="407"/>
      <c r="AY1610" s="407"/>
      <c r="AZ1610" s="407"/>
      <c r="BA1610" s="407"/>
      <c r="BB1610" s="407"/>
      <c r="BC1610" s="407"/>
      <c r="BD1610" s="407"/>
      <c r="BE1610" s="407"/>
      <c r="BG1610" s="1195"/>
      <c r="BH1610" s="1195"/>
      <c r="BI1610" s="1195"/>
      <c r="BJ1610" s="1195"/>
      <c r="BK1610" s="1195"/>
      <c r="BL1610" s="1195"/>
      <c r="BM1610" s="1217"/>
      <c r="BN1610" s="1217"/>
      <c r="BO1610" s="1217"/>
      <c r="BP1610" s="1217"/>
      <c r="BQ1610" s="1218"/>
      <c r="BR1610" s="1218"/>
    </row>
    <row r="1611" spans="1:70" x14ac:dyDescent="0.2">
      <c r="A1611" s="70"/>
      <c r="B1611" s="70"/>
      <c r="C1611" s="1165"/>
      <c r="D1611" s="407"/>
      <c r="E1611" s="407"/>
      <c r="F1611" s="407"/>
      <c r="G1611" s="407"/>
      <c r="H1611" s="407"/>
      <c r="I1611" s="407"/>
      <c r="J1611" s="407"/>
      <c r="K1611" s="407"/>
      <c r="L1611" s="407"/>
      <c r="M1611" s="407"/>
      <c r="N1611" s="407"/>
      <c r="O1611" s="407"/>
      <c r="P1611" s="407"/>
      <c r="Q1611" s="407"/>
      <c r="R1611" s="407"/>
      <c r="S1611" s="407"/>
      <c r="T1611" s="407"/>
      <c r="U1611" s="407"/>
      <c r="V1611" s="407"/>
      <c r="W1611" s="407"/>
      <c r="X1611" s="407"/>
      <c r="Y1611" s="407"/>
      <c r="Z1611" s="407"/>
      <c r="AA1611" s="407"/>
      <c r="AB1611" s="407"/>
      <c r="AC1611" s="407"/>
      <c r="AD1611" s="407"/>
      <c r="AE1611" s="407"/>
      <c r="AF1611" s="407"/>
      <c r="AG1611" s="407"/>
      <c r="AH1611" s="407"/>
      <c r="AI1611" s="407"/>
      <c r="AJ1611" s="407"/>
      <c r="AK1611" s="407"/>
      <c r="AL1611" s="407"/>
      <c r="AM1611" s="407"/>
      <c r="AN1611" s="407"/>
      <c r="AO1611" s="407"/>
      <c r="AP1611" s="407"/>
      <c r="AQ1611" s="407"/>
      <c r="AR1611" s="1236"/>
      <c r="AS1611" s="1236"/>
      <c r="AT1611" s="1238"/>
      <c r="AU1611" s="407"/>
      <c r="AV1611" s="407"/>
      <c r="AW1611" s="407"/>
      <c r="AX1611" s="407"/>
      <c r="AY1611" s="407"/>
      <c r="AZ1611" s="407"/>
      <c r="BA1611" s="407"/>
      <c r="BB1611" s="407"/>
      <c r="BC1611" s="407"/>
      <c r="BD1611" s="407"/>
      <c r="BE1611" s="407"/>
      <c r="BG1611" s="1195"/>
      <c r="BH1611" s="1195"/>
      <c r="BI1611" s="1195"/>
      <c r="BJ1611" s="1195"/>
      <c r="BK1611" s="1195"/>
      <c r="BL1611" s="1195"/>
      <c r="BM1611" s="1217"/>
      <c r="BN1611" s="1217"/>
      <c r="BO1611" s="1217"/>
      <c r="BP1611" s="1217"/>
      <c r="BQ1611" s="1217"/>
      <c r="BR1611" s="1217"/>
    </row>
    <row r="1612" spans="1:70" x14ac:dyDescent="0.2">
      <c r="A1612" s="70"/>
      <c r="B1612" s="70"/>
      <c r="C1612" s="1165"/>
      <c r="D1612" s="407"/>
      <c r="E1612" s="407"/>
      <c r="F1612" s="407"/>
      <c r="G1612" s="407"/>
      <c r="H1612" s="407"/>
      <c r="I1612" s="407"/>
      <c r="J1612" s="407"/>
      <c r="K1612" s="407"/>
      <c r="L1612" s="407"/>
      <c r="M1612" s="407"/>
      <c r="N1612" s="407"/>
      <c r="O1612" s="407"/>
      <c r="P1612" s="407"/>
      <c r="Q1612" s="407"/>
      <c r="R1612" s="407"/>
      <c r="S1612" s="407"/>
      <c r="T1612" s="407"/>
      <c r="U1612" s="407"/>
      <c r="V1612" s="407"/>
      <c r="W1612" s="407"/>
      <c r="X1612" s="407"/>
      <c r="Y1612" s="407"/>
      <c r="Z1612" s="407"/>
      <c r="AA1612" s="407"/>
      <c r="AB1612" s="407"/>
      <c r="AC1612" s="407"/>
      <c r="AD1612" s="407"/>
      <c r="AE1612" s="407"/>
      <c r="AF1612" s="407"/>
      <c r="AG1612" s="407"/>
      <c r="AH1612" s="407"/>
      <c r="AI1612" s="407"/>
      <c r="AJ1612" s="407"/>
      <c r="AK1612" s="407"/>
      <c r="AL1612" s="407"/>
      <c r="AM1612" s="407"/>
      <c r="AN1612" s="407"/>
      <c r="AO1612" s="407"/>
      <c r="AP1612" s="407"/>
      <c r="AQ1612" s="407"/>
      <c r="AR1612" s="1236"/>
      <c r="AS1612" s="1236"/>
      <c r="AT1612" s="1238"/>
      <c r="AU1612" s="407"/>
      <c r="AV1612" s="407"/>
      <c r="AW1612" s="407"/>
      <c r="AX1612" s="407"/>
      <c r="AY1612" s="407"/>
      <c r="AZ1612" s="407"/>
      <c r="BA1612" s="407"/>
      <c r="BB1612" s="407"/>
      <c r="BC1612" s="407"/>
      <c r="BD1612" s="407"/>
      <c r="BE1612" s="407"/>
      <c r="BG1612" s="1195"/>
      <c r="BH1612" s="1195"/>
      <c r="BI1612" s="1195"/>
      <c r="BJ1612" s="1195"/>
      <c r="BK1612" s="1195"/>
      <c r="BL1612" s="1195"/>
      <c r="BM1612" s="1217"/>
      <c r="BN1612" s="1217"/>
      <c r="BO1612" s="1217"/>
      <c r="BP1612" s="1217"/>
      <c r="BQ1612" s="1217"/>
      <c r="BR1612" s="1217"/>
    </row>
    <row r="1613" spans="1:70" x14ac:dyDescent="0.2">
      <c r="A1613" s="70"/>
      <c r="B1613" s="70"/>
      <c r="C1613" s="1166"/>
      <c r="D1613" s="1307"/>
      <c r="E1613" s="1307"/>
      <c r="F1613" s="1307"/>
      <c r="G1613" s="1307"/>
      <c r="H1613" s="1307"/>
      <c r="I1613" s="1307"/>
      <c r="J1613" s="1307"/>
      <c r="K1613" s="1307"/>
      <c r="L1613" s="1307"/>
      <c r="M1613" s="1307"/>
      <c r="N1613" s="1307"/>
      <c r="O1613" s="1307"/>
      <c r="P1613" s="1307"/>
      <c r="Q1613" s="1307"/>
      <c r="R1613" s="1307"/>
      <c r="S1613" s="1307"/>
      <c r="T1613" s="1307"/>
      <c r="U1613" s="1307"/>
      <c r="V1613" s="1307"/>
      <c r="W1613" s="1307"/>
      <c r="X1613" s="1307"/>
      <c r="Y1613" s="1307"/>
      <c r="Z1613" s="1307"/>
      <c r="AA1613" s="1307"/>
      <c r="AB1613" s="1307"/>
      <c r="AC1613" s="1307"/>
      <c r="AD1613" s="1307"/>
      <c r="AE1613" s="1307"/>
      <c r="AF1613" s="1307"/>
      <c r="AG1613" s="1307"/>
      <c r="AH1613" s="1307"/>
      <c r="AI1613" s="1307"/>
      <c r="AJ1613" s="1318"/>
      <c r="AK1613" s="1318"/>
      <c r="AL1613" s="1318"/>
      <c r="AM1613" s="1318"/>
      <c r="AN1613" s="1318"/>
      <c r="AO1613" s="1318"/>
      <c r="AP1613" s="1318"/>
      <c r="AQ1613" s="1318"/>
      <c r="AR1613" s="1236"/>
      <c r="AS1613" s="1236"/>
      <c r="AT1613" s="1376"/>
      <c r="AU1613" s="1307"/>
      <c r="AV1613" s="1307"/>
      <c r="AW1613" s="1307"/>
      <c r="AX1613" s="1307"/>
      <c r="AY1613" s="1307"/>
      <c r="AZ1613" s="1307"/>
      <c r="BA1613" s="1307"/>
      <c r="BB1613" s="1307"/>
      <c r="BC1613" s="1307"/>
      <c r="BD1613" s="1307"/>
      <c r="BE1613" s="1307"/>
      <c r="BG1613" s="1195"/>
      <c r="BH1613" s="1195"/>
      <c r="BI1613" s="1195"/>
      <c r="BJ1613" s="1195"/>
      <c r="BK1613" s="1195"/>
      <c r="BL1613" s="1195"/>
      <c r="BM1613" s="1217"/>
      <c r="BN1613" s="1217"/>
      <c r="BO1613" s="1217"/>
      <c r="BP1613" s="1217"/>
      <c r="BQ1613" s="1217"/>
      <c r="BR1613" s="1217"/>
    </row>
    <row r="1614" spans="1:70" x14ac:dyDescent="0.2">
      <c r="A1614" s="70"/>
      <c r="B1614" s="70"/>
      <c r="C1614" s="1167"/>
      <c r="D1614" s="1611"/>
      <c r="E1614" s="1611"/>
      <c r="F1614" s="1611"/>
      <c r="G1614" s="1611"/>
      <c r="H1614" s="1611"/>
      <c r="I1614" s="1611"/>
      <c r="J1614" s="1611"/>
      <c r="K1614" s="1611"/>
      <c r="L1614" s="1611"/>
      <c r="M1614" s="1611"/>
      <c r="N1614" s="1611"/>
      <c r="O1614" s="1611"/>
      <c r="P1614" s="1611"/>
      <c r="Q1614" s="1611"/>
      <c r="R1614" s="1611"/>
      <c r="S1614" s="1611"/>
      <c r="T1614" s="1611"/>
      <c r="U1614" s="1611"/>
      <c r="V1614" s="1611"/>
      <c r="W1614" s="1611"/>
      <c r="X1614" s="1611"/>
      <c r="Y1614" s="1611"/>
      <c r="Z1614" s="1611"/>
      <c r="AA1614" s="1611"/>
      <c r="AB1614" s="1611"/>
      <c r="AC1614" s="1611"/>
      <c r="AD1614" s="1611"/>
      <c r="AE1614" s="1611"/>
      <c r="AF1614" s="1611"/>
      <c r="AG1614" s="1611"/>
      <c r="AH1614" s="1611"/>
      <c r="AI1614" s="1611"/>
      <c r="AJ1614" s="1611"/>
      <c r="AK1614" s="1611"/>
      <c r="AL1614" s="1611"/>
      <c r="AM1614" s="1611"/>
      <c r="AN1614" s="1611"/>
      <c r="AO1614" s="1611"/>
      <c r="AP1614" s="1611"/>
      <c r="AQ1614" s="1611"/>
      <c r="AR1614" s="1236"/>
      <c r="AS1614" s="1236"/>
      <c r="AT1614" s="1612"/>
      <c r="AU1614" s="1611"/>
      <c r="AV1614" s="1611"/>
      <c r="AW1614" s="1611"/>
      <c r="AX1614" s="1611"/>
      <c r="AY1614" s="1611"/>
      <c r="AZ1614" s="1611"/>
      <c r="BA1614" s="1611"/>
      <c r="BB1614" s="1611"/>
      <c r="BC1614" s="1611"/>
      <c r="BD1614" s="1611"/>
      <c r="BE1614" s="1611"/>
      <c r="BG1614" s="1195"/>
      <c r="BH1614" s="1195"/>
      <c r="BI1614" s="1195"/>
      <c r="BJ1614" s="1195"/>
      <c r="BK1614" s="1195"/>
      <c r="BL1614" s="1195"/>
      <c r="BM1614" s="1217"/>
      <c r="BN1614" s="1217"/>
      <c r="BO1614" s="1217"/>
      <c r="BP1614" s="1217"/>
      <c r="BQ1614" s="1217"/>
      <c r="BR1614" s="1217"/>
    </row>
    <row r="1615" spans="1:70" ht="12.75" x14ac:dyDescent="0.2">
      <c r="A1615" s="70"/>
      <c r="B1615" s="70"/>
      <c r="C1615" s="1168"/>
      <c r="D1615" s="407"/>
      <c r="E1615" s="407"/>
      <c r="F1615" s="407"/>
      <c r="G1615" s="407"/>
      <c r="H1615" s="407"/>
      <c r="I1615" s="407"/>
      <c r="J1615" s="407"/>
      <c r="K1615" s="407"/>
      <c r="L1615" s="407"/>
      <c r="M1615" s="407"/>
      <c r="N1615" s="407"/>
      <c r="O1615" s="407"/>
      <c r="P1615" s="407"/>
      <c r="Q1615" s="407"/>
      <c r="R1615" s="407"/>
      <c r="S1615" s="407"/>
      <c r="T1615" s="407"/>
      <c r="U1615" s="407"/>
      <c r="V1615" s="407"/>
      <c r="W1615" s="407"/>
      <c r="X1615" s="407"/>
      <c r="Y1615" s="407"/>
      <c r="Z1615" s="407"/>
      <c r="AA1615" s="407"/>
      <c r="AB1615" s="407"/>
      <c r="AC1615" s="407"/>
      <c r="AD1615" s="407"/>
      <c r="AE1615" s="407"/>
      <c r="AF1615" s="407"/>
      <c r="AG1615" s="407"/>
      <c r="AH1615" s="407"/>
      <c r="AI1615" s="407"/>
      <c r="AJ1615" s="407"/>
      <c r="AK1615" s="407"/>
      <c r="AL1615" s="407"/>
      <c r="AM1615" s="407"/>
      <c r="AN1615" s="407"/>
      <c r="AO1615" s="407"/>
      <c r="AP1615" s="407"/>
      <c r="AQ1615" s="407"/>
      <c r="AR1615" s="1236"/>
      <c r="AS1615" s="1236"/>
      <c r="AT1615" s="1613"/>
      <c r="AU1615" s="407"/>
      <c r="AV1615" s="407"/>
      <c r="AW1615" s="407"/>
      <c r="AX1615" s="407"/>
      <c r="AY1615" s="407"/>
      <c r="AZ1615" s="407"/>
      <c r="BA1615" s="407"/>
      <c r="BB1615" s="407"/>
      <c r="BC1615" s="407"/>
      <c r="BD1615" s="407"/>
      <c r="BE1615" s="407"/>
      <c r="BG1615" s="1195"/>
      <c r="BH1615" s="1195"/>
      <c r="BI1615" s="1195"/>
      <c r="BJ1615" s="1195"/>
      <c r="BK1615" s="1195"/>
      <c r="BL1615" s="1195"/>
      <c r="BM1615" s="1217"/>
      <c r="BN1615" s="1217"/>
      <c r="BO1615" s="1217"/>
      <c r="BP1615" s="1217"/>
      <c r="BQ1615" s="1217"/>
      <c r="BR1615" s="1217"/>
    </row>
    <row r="1616" spans="1:70" x14ac:dyDescent="0.2">
      <c r="A1616" s="70"/>
      <c r="B1616" s="70"/>
      <c r="C1616" s="1169"/>
      <c r="D1616" s="407"/>
      <c r="E1616" s="407"/>
      <c r="F1616" s="407"/>
      <c r="G1616" s="407"/>
      <c r="H1616" s="407"/>
      <c r="I1616" s="407"/>
      <c r="J1616" s="407"/>
      <c r="K1616" s="407"/>
      <c r="L1616" s="407"/>
      <c r="M1616" s="407"/>
      <c r="N1616" s="407"/>
      <c r="O1616" s="407"/>
      <c r="P1616" s="407"/>
      <c r="Q1616" s="407"/>
      <c r="R1616" s="407"/>
      <c r="S1616" s="407"/>
      <c r="T1616" s="407"/>
      <c r="U1616" s="407"/>
      <c r="V1616" s="407"/>
      <c r="W1616" s="407"/>
      <c r="X1616" s="407"/>
      <c r="Y1616" s="407"/>
      <c r="Z1616" s="407"/>
      <c r="AA1616" s="407"/>
      <c r="AB1616" s="407"/>
      <c r="AC1616" s="407"/>
      <c r="AD1616" s="407"/>
      <c r="AE1616" s="407"/>
      <c r="AF1616" s="407"/>
      <c r="AG1616" s="407"/>
      <c r="AH1616" s="407"/>
      <c r="AI1616" s="407"/>
      <c r="AJ1616" s="407"/>
      <c r="AK1616" s="407"/>
      <c r="AL1616" s="407"/>
      <c r="AM1616" s="407"/>
      <c r="AN1616" s="407"/>
      <c r="AO1616" s="407"/>
      <c r="AP1616" s="407"/>
      <c r="AQ1616" s="407"/>
      <c r="AR1616" s="1236"/>
      <c r="AS1616" s="1236"/>
      <c r="AT1616" s="1586"/>
      <c r="AU1616" s="407"/>
      <c r="AV1616" s="407"/>
      <c r="AW1616" s="407"/>
      <c r="AX1616" s="407"/>
      <c r="AY1616" s="407"/>
      <c r="AZ1616" s="407"/>
      <c r="BA1616" s="407"/>
      <c r="BB1616" s="407"/>
      <c r="BC1616" s="407"/>
      <c r="BD1616" s="407"/>
      <c r="BE1616" s="407"/>
      <c r="BG1616" s="1195"/>
      <c r="BH1616" s="1195"/>
      <c r="BI1616" s="1195"/>
      <c r="BJ1616" s="1195"/>
      <c r="BK1616" s="1195"/>
      <c r="BL1616" s="1195"/>
      <c r="BM1616" s="1217"/>
      <c r="BN1616" s="1217"/>
      <c r="BO1616" s="1217"/>
      <c r="BP1616" s="1217"/>
      <c r="BQ1616" s="1217"/>
      <c r="BR1616" s="1217"/>
    </row>
    <row r="1617" spans="1:70" x14ac:dyDescent="0.2">
      <c r="A1617" s="70"/>
      <c r="B1617" s="70"/>
      <c r="C1617" s="1165"/>
      <c r="D1617" s="407"/>
      <c r="E1617" s="407"/>
      <c r="F1617" s="407"/>
      <c r="G1617" s="407"/>
      <c r="H1617" s="407"/>
      <c r="I1617" s="407"/>
      <c r="J1617" s="407"/>
      <c r="K1617" s="407"/>
      <c r="L1617" s="407"/>
      <c r="M1617" s="407"/>
      <c r="N1617" s="407"/>
      <c r="O1617" s="407"/>
      <c r="P1617" s="407"/>
      <c r="Q1617" s="407"/>
      <c r="R1617" s="407"/>
      <c r="S1617" s="407"/>
      <c r="T1617" s="407"/>
      <c r="U1617" s="407"/>
      <c r="V1617" s="407"/>
      <c r="W1617" s="407"/>
      <c r="X1617" s="407"/>
      <c r="Y1617" s="407"/>
      <c r="Z1617" s="407"/>
      <c r="AA1617" s="407"/>
      <c r="AB1617" s="407"/>
      <c r="AC1617" s="407"/>
      <c r="AD1617" s="407"/>
      <c r="AE1617" s="407"/>
      <c r="AF1617" s="407"/>
      <c r="AG1617" s="407"/>
      <c r="AH1617" s="407"/>
      <c r="AI1617" s="407"/>
      <c r="AJ1617" s="407"/>
      <c r="AK1617" s="407"/>
      <c r="AL1617" s="407"/>
      <c r="AM1617" s="407"/>
      <c r="AN1617" s="407"/>
      <c r="AO1617" s="407"/>
      <c r="AP1617" s="407"/>
      <c r="AQ1617" s="407"/>
      <c r="AR1617" s="1236"/>
      <c r="AS1617" s="1236"/>
      <c r="AT1617" s="1238"/>
      <c r="AU1617" s="407"/>
      <c r="AV1617" s="407"/>
      <c r="AW1617" s="407"/>
      <c r="AX1617" s="407"/>
      <c r="AY1617" s="407"/>
      <c r="AZ1617" s="407"/>
      <c r="BA1617" s="407"/>
      <c r="BB1617" s="407"/>
      <c r="BC1617" s="407"/>
      <c r="BD1617" s="407"/>
      <c r="BE1617" s="407"/>
      <c r="BG1617" s="1195"/>
      <c r="BH1617" s="1195"/>
      <c r="BI1617" s="1195"/>
      <c r="BJ1617" s="1195"/>
      <c r="BK1617" s="1195"/>
      <c r="BL1617" s="1195"/>
      <c r="BM1617" s="1217"/>
      <c r="BN1617" s="1217"/>
      <c r="BO1617" s="1217"/>
      <c r="BP1617" s="1217"/>
      <c r="BQ1617" s="1217"/>
      <c r="BR1617" s="1217"/>
    </row>
    <row r="1618" spans="1:70" x14ac:dyDescent="0.2">
      <c r="A1618" s="70"/>
      <c r="B1618" s="70"/>
      <c r="C1618" s="1166"/>
      <c r="D1618" s="1307"/>
      <c r="E1618" s="1307"/>
      <c r="F1618" s="1307"/>
      <c r="G1618" s="1307"/>
      <c r="H1618" s="1307"/>
      <c r="I1618" s="1307"/>
      <c r="J1618" s="1307"/>
      <c r="K1618" s="1307"/>
      <c r="L1618" s="1307"/>
      <c r="M1618" s="1307"/>
      <c r="N1618" s="1307"/>
      <c r="O1618" s="1307"/>
      <c r="P1618" s="1307"/>
      <c r="Q1618" s="1307"/>
      <c r="R1618" s="1307"/>
      <c r="S1618" s="1307"/>
      <c r="T1618" s="1307"/>
      <c r="U1618" s="1307"/>
      <c r="V1618" s="1307"/>
      <c r="W1618" s="1307"/>
      <c r="X1618" s="1307"/>
      <c r="Y1618" s="1307"/>
      <c r="Z1618" s="1307"/>
      <c r="AA1618" s="1307"/>
      <c r="AB1618" s="1307"/>
      <c r="AC1618" s="1307"/>
      <c r="AD1618" s="1307"/>
      <c r="AE1618" s="1307"/>
      <c r="AF1618" s="1307"/>
      <c r="AG1618" s="1307"/>
      <c r="AH1618" s="1307"/>
      <c r="AI1618" s="1307"/>
      <c r="AJ1618" s="1318"/>
      <c r="AK1618" s="1318"/>
      <c r="AL1618" s="1318"/>
      <c r="AM1618" s="1318"/>
      <c r="AN1618" s="1318"/>
      <c r="AO1618" s="1318"/>
      <c r="AP1618" s="1318"/>
      <c r="AQ1618" s="1318"/>
      <c r="AR1618" s="1236"/>
      <c r="AS1618" s="1236"/>
      <c r="AT1618" s="1376"/>
      <c r="AU1618" s="1307"/>
      <c r="AV1618" s="1307"/>
      <c r="AW1618" s="1307"/>
      <c r="AX1618" s="1307"/>
      <c r="AY1618" s="1307"/>
      <c r="AZ1618" s="1307"/>
      <c r="BA1618" s="1307"/>
      <c r="BB1618" s="1307"/>
      <c r="BC1618" s="1307"/>
      <c r="BD1618" s="1307"/>
      <c r="BE1618" s="1307"/>
      <c r="BG1618" s="1195"/>
      <c r="BH1618" s="1195"/>
      <c r="BI1618" s="1195"/>
      <c r="BJ1618" s="1195"/>
      <c r="BK1618" s="1195"/>
      <c r="BL1618" s="1195"/>
      <c r="BM1618" s="1217"/>
      <c r="BN1618" s="1217"/>
      <c r="BO1618" s="1217"/>
      <c r="BP1618" s="1217"/>
      <c r="BQ1618" s="1217"/>
      <c r="BR1618" s="1217"/>
    </row>
    <row r="1619" spans="1:70" x14ac:dyDescent="0.2">
      <c r="A1619" s="70"/>
      <c r="B1619" s="70"/>
      <c r="C1619" s="1165"/>
      <c r="D1619" s="407"/>
      <c r="E1619" s="407"/>
      <c r="F1619" s="407"/>
      <c r="G1619" s="407"/>
      <c r="H1619" s="407"/>
      <c r="I1619" s="407"/>
      <c r="J1619" s="407"/>
      <c r="K1619" s="407"/>
      <c r="L1619" s="407"/>
      <c r="M1619" s="407"/>
      <c r="N1619" s="407"/>
      <c r="O1619" s="407"/>
      <c r="P1619" s="407"/>
      <c r="Q1619" s="407"/>
      <c r="R1619" s="407"/>
      <c r="S1619" s="407"/>
      <c r="T1619" s="407"/>
      <c r="U1619" s="407"/>
      <c r="V1619" s="407"/>
      <c r="W1619" s="407"/>
      <c r="X1619" s="407"/>
      <c r="Y1619" s="407"/>
      <c r="Z1619" s="407"/>
      <c r="AA1619" s="407"/>
      <c r="AB1619" s="407"/>
      <c r="AC1619" s="407"/>
      <c r="AD1619" s="407"/>
      <c r="AE1619" s="407"/>
      <c r="AF1619" s="407"/>
      <c r="AG1619" s="407"/>
      <c r="AH1619" s="407"/>
      <c r="AI1619" s="407"/>
      <c r="AJ1619" s="407"/>
      <c r="AK1619" s="407"/>
      <c r="AL1619" s="407"/>
      <c r="AM1619" s="407"/>
      <c r="AN1619" s="407"/>
      <c r="AO1619" s="407"/>
      <c r="AP1619" s="407"/>
      <c r="AQ1619" s="407"/>
      <c r="AR1619" s="1236"/>
      <c r="AS1619" s="1236"/>
      <c r="AT1619" s="1238"/>
      <c r="AU1619" s="407"/>
      <c r="AV1619" s="407"/>
      <c r="AW1619" s="407"/>
      <c r="AX1619" s="407"/>
      <c r="AY1619" s="407"/>
      <c r="AZ1619" s="407"/>
      <c r="BA1619" s="407"/>
      <c r="BB1619" s="407"/>
      <c r="BC1619" s="407"/>
      <c r="BD1619" s="407"/>
      <c r="BE1619" s="407"/>
      <c r="BG1619" s="1195"/>
      <c r="BH1619" s="1195"/>
      <c r="BI1619" s="1195"/>
      <c r="BJ1619" s="1195"/>
      <c r="BK1619" s="1195"/>
      <c r="BL1619" s="1195"/>
      <c r="BM1619" s="1217"/>
      <c r="BN1619" s="1217"/>
      <c r="BO1619" s="1217"/>
      <c r="BP1619" s="1217"/>
      <c r="BQ1619" s="1217"/>
      <c r="BR1619" s="1217"/>
    </row>
    <row r="1620" spans="1:70" x14ac:dyDescent="0.2">
      <c r="A1620" s="70"/>
      <c r="B1620" s="70"/>
      <c r="C1620" s="1166"/>
      <c r="D1620" s="1307"/>
      <c r="E1620" s="1307"/>
      <c r="F1620" s="1307"/>
      <c r="G1620" s="1307"/>
      <c r="H1620" s="1307"/>
      <c r="I1620" s="1307"/>
      <c r="J1620" s="1307"/>
      <c r="K1620" s="1307"/>
      <c r="L1620" s="1307"/>
      <c r="M1620" s="1307"/>
      <c r="N1620" s="1307"/>
      <c r="O1620" s="1307"/>
      <c r="P1620" s="1307"/>
      <c r="Q1620" s="1307"/>
      <c r="R1620" s="1307"/>
      <c r="S1620" s="1307"/>
      <c r="T1620" s="1307"/>
      <c r="U1620" s="1307"/>
      <c r="V1620" s="1307"/>
      <c r="W1620" s="1307"/>
      <c r="X1620" s="1307"/>
      <c r="Y1620" s="1307"/>
      <c r="Z1620" s="1307"/>
      <c r="AA1620" s="1307"/>
      <c r="AB1620" s="1307"/>
      <c r="AC1620" s="1307"/>
      <c r="AD1620" s="1307"/>
      <c r="AE1620" s="1307"/>
      <c r="AF1620" s="1307"/>
      <c r="AG1620" s="1307"/>
      <c r="AH1620" s="1307"/>
      <c r="AI1620" s="1307"/>
      <c r="AJ1620" s="1318"/>
      <c r="AK1620" s="1318"/>
      <c r="AL1620" s="1318"/>
      <c r="AM1620" s="1318"/>
      <c r="AN1620" s="1318"/>
      <c r="AO1620" s="1318"/>
      <c r="AP1620" s="1318"/>
      <c r="AQ1620" s="1318"/>
      <c r="AR1620" s="1236"/>
      <c r="AS1620" s="1236"/>
      <c r="AT1620" s="1376"/>
      <c r="AU1620" s="1307"/>
      <c r="AV1620" s="1307"/>
      <c r="AW1620" s="1307"/>
      <c r="AX1620" s="1307"/>
      <c r="AY1620" s="1307"/>
      <c r="AZ1620" s="1307"/>
      <c r="BA1620" s="1307"/>
      <c r="BB1620" s="1307"/>
      <c r="BC1620" s="1307"/>
      <c r="BD1620" s="1307"/>
      <c r="BE1620" s="1307"/>
      <c r="BG1620" s="1195"/>
      <c r="BH1620" s="1195"/>
      <c r="BI1620" s="1195"/>
      <c r="BJ1620" s="1195"/>
      <c r="BK1620" s="1195"/>
      <c r="BL1620" s="1195"/>
      <c r="BM1620" s="1217"/>
      <c r="BN1620" s="1217"/>
      <c r="BO1620" s="1217"/>
      <c r="BP1620" s="1217"/>
      <c r="BQ1620" s="1217"/>
      <c r="BR1620" s="1217"/>
    </row>
    <row r="1621" spans="1:70" x14ac:dyDescent="0.2">
      <c r="A1621" s="70"/>
      <c r="B1621" s="70"/>
      <c r="C1621" s="1167"/>
      <c r="D1621" s="1614"/>
      <c r="E1621" s="1614"/>
      <c r="F1621" s="1614"/>
      <c r="G1621" s="1614"/>
      <c r="H1621" s="1614"/>
      <c r="I1621" s="1614"/>
      <c r="J1621" s="1614"/>
      <c r="K1621" s="1614"/>
      <c r="L1621" s="1614"/>
      <c r="M1621" s="1614"/>
      <c r="N1621" s="1614"/>
      <c r="O1621" s="1614"/>
      <c r="P1621" s="1614"/>
      <c r="Q1621" s="1614"/>
      <c r="R1621" s="1614"/>
      <c r="S1621" s="1614"/>
      <c r="T1621" s="1614"/>
      <c r="U1621" s="1614"/>
      <c r="V1621" s="1614"/>
      <c r="W1621" s="1614"/>
      <c r="X1621" s="1614"/>
      <c r="Y1621" s="1614"/>
      <c r="Z1621" s="1614"/>
      <c r="AA1621" s="1614"/>
      <c r="AB1621" s="1614"/>
      <c r="AC1621" s="1614"/>
      <c r="AD1621" s="1614"/>
      <c r="AE1621" s="1614"/>
      <c r="AF1621" s="1614"/>
      <c r="AG1621" s="1614"/>
      <c r="AH1621" s="1614"/>
      <c r="AI1621" s="1614"/>
      <c r="AJ1621" s="1614"/>
      <c r="AK1621" s="1614"/>
      <c r="AL1621" s="1614"/>
      <c r="AM1621" s="1614"/>
      <c r="AN1621" s="1614"/>
      <c r="AO1621" s="1614"/>
      <c r="AP1621" s="1614"/>
      <c r="AQ1621" s="1614"/>
      <c r="AR1621" s="1236"/>
      <c r="AS1621" s="1236"/>
      <c r="AT1621" s="1612"/>
      <c r="AU1621" s="1614"/>
      <c r="AV1621" s="1614"/>
      <c r="AW1621" s="1614"/>
      <c r="AX1621" s="1614"/>
      <c r="AY1621" s="1614"/>
      <c r="AZ1621" s="1614"/>
      <c r="BA1621" s="1614"/>
      <c r="BB1621" s="1614"/>
      <c r="BC1621" s="1614"/>
      <c r="BD1621" s="1614"/>
      <c r="BE1621" s="1614"/>
      <c r="BG1621" s="1195"/>
      <c r="BH1621" s="1195"/>
      <c r="BI1621" s="1195"/>
      <c r="BJ1621" s="1195"/>
      <c r="BK1621" s="1195"/>
      <c r="BL1621" s="1195"/>
      <c r="BM1621" s="1217"/>
      <c r="BN1621" s="1217"/>
      <c r="BO1621" s="1217"/>
      <c r="BP1621" s="1217"/>
      <c r="BQ1621" s="1217"/>
      <c r="BR1621" s="1217"/>
    </row>
    <row r="1622" spans="1:70" ht="12.75" x14ac:dyDescent="0.2">
      <c r="A1622" s="70"/>
      <c r="B1622" s="70"/>
      <c r="C1622" s="1168"/>
      <c r="D1622" s="407"/>
      <c r="E1622" s="407"/>
      <c r="F1622" s="407"/>
      <c r="G1622" s="407"/>
      <c r="H1622" s="407"/>
      <c r="I1622" s="407"/>
      <c r="J1622" s="407"/>
      <c r="K1622" s="407"/>
      <c r="L1622" s="407"/>
      <c r="M1622" s="407"/>
      <c r="N1622" s="407"/>
      <c r="O1622" s="407"/>
      <c r="P1622" s="407"/>
      <c r="Q1622" s="407"/>
      <c r="R1622" s="407"/>
      <c r="S1622" s="407"/>
      <c r="T1622" s="407"/>
      <c r="U1622" s="407"/>
      <c r="V1622" s="407"/>
      <c r="W1622" s="407"/>
      <c r="X1622" s="407"/>
      <c r="Y1622" s="407"/>
      <c r="Z1622" s="407"/>
      <c r="AA1622" s="407"/>
      <c r="AB1622" s="407"/>
      <c r="AC1622" s="407"/>
      <c r="AD1622" s="407"/>
      <c r="AE1622" s="407"/>
      <c r="AF1622" s="407"/>
      <c r="AG1622" s="407"/>
      <c r="AH1622" s="407"/>
      <c r="AI1622" s="407"/>
      <c r="AJ1622" s="407"/>
      <c r="AK1622" s="407"/>
      <c r="AL1622" s="407"/>
      <c r="AM1622" s="407"/>
      <c r="AN1622" s="407"/>
      <c r="AO1622" s="407"/>
      <c r="AP1622" s="407"/>
      <c r="AQ1622" s="407"/>
      <c r="AR1622" s="1236"/>
      <c r="AS1622" s="1236"/>
      <c r="AT1622" s="1613"/>
      <c r="AU1622" s="407"/>
      <c r="AV1622" s="407"/>
      <c r="AW1622" s="407"/>
      <c r="AX1622" s="407"/>
      <c r="AY1622" s="407"/>
      <c r="AZ1622" s="407"/>
      <c r="BA1622" s="407"/>
      <c r="BB1622" s="407"/>
      <c r="BC1622" s="407"/>
      <c r="BD1622" s="407"/>
      <c r="BE1622" s="407"/>
      <c r="BG1622" s="1195"/>
      <c r="BH1622" s="1195"/>
      <c r="BI1622" s="1195"/>
      <c r="BJ1622" s="1195"/>
      <c r="BK1622" s="1195"/>
      <c r="BL1622" s="1195"/>
      <c r="BM1622" s="1217"/>
      <c r="BN1622" s="1217"/>
      <c r="BO1622" s="1217"/>
      <c r="BP1622" s="1217"/>
      <c r="BQ1622" s="1217"/>
      <c r="BR1622" s="1217"/>
    </row>
    <row r="1623" spans="1:70" x14ac:dyDescent="0.2">
      <c r="A1623" s="70"/>
      <c r="B1623" s="70"/>
      <c r="C1623" s="1165"/>
      <c r="D1623" s="1615"/>
      <c r="E1623" s="1615"/>
      <c r="F1623" s="1615"/>
      <c r="G1623" s="1615"/>
      <c r="H1623" s="1615"/>
      <c r="I1623" s="1615"/>
      <c r="J1623" s="1615"/>
      <c r="K1623" s="1615"/>
      <c r="L1623" s="1615"/>
      <c r="M1623" s="1615"/>
      <c r="N1623" s="1615"/>
      <c r="O1623" s="1615"/>
      <c r="P1623" s="1615"/>
      <c r="Q1623" s="1615"/>
      <c r="R1623" s="1615"/>
      <c r="S1623" s="1615"/>
      <c r="T1623" s="1615"/>
      <c r="U1623" s="1615"/>
      <c r="V1623" s="1615"/>
      <c r="W1623" s="1615"/>
      <c r="X1623" s="1615"/>
      <c r="Y1623" s="1615"/>
      <c r="Z1623" s="1615"/>
      <c r="AA1623" s="1615"/>
      <c r="AB1623" s="1615"/>
      <c r="AC1623" s="1615"/>
      <c r="AD1623" s="1615"/>
      <c r="AE1623" s="1615"/>
      <c r="AF1623" s="1615"/>
      <c r="AG1623" s="1615"/>
      <c r="AH1623" s="1615"/>
      <c r="AI1623" s="1615"/>
      <c r="AJ1623" s="1615"/>
      <c r="AK1623" s="1615"/>
      <c r="AL1623" s="1615"/>
      <c r="AM1623" s="1615"/>
      <c r="AN1623" s="1615"/>
      <c r="AO1623" s="1615"/>
      <c r="AP1623" s="1615"/>
      <c r="AQ1623" s="1615"/>
      <c r="AR1623" s="1236"/>
      <c r="AS1623" s="1236"/>
      <c r="AT1623" s="1238"/>
      <c r="AU1623" s="1615"/>
      <c r="AV1623" s="1615"/>
      <c r="AW1623" s="1615"/>
      <c r="AX1623" s="1615"/>
      <c r="AY1623" s="1615"/>
      <c r="AZ1623" s="1615"/>
      <c r="BA1623" s="1615"/>
      <c r="BB1623" s="1615"/>
      <c r="BC1623" s="1615"/>
      <c r="BD1623" s="1615"/>
      <c r="BE1623" s="1615"/>
      <c r="BG1623" s="1196"/>
      <c r="BH1623" s="1196"/>
      <c r="BI1623" s="1196"/>
      <c r="BJ1623" s="1196"/>
      <c r="BK1623" s="1196"/>
      <c r="BL1623" s="1196"/>
      <c r="BM1623" s="1217"/>
      <c r="BN1623" s="1217"/>
      <c r="BO1623" s="1217"/>
      <c r="BP1623" s="1217"/>
      <c r="BQ1623" s="1217"/>
      <c r="BR1623" s="1217"/>
    </row>
    <row r="1624" spans="1:70" x14ac:dyDescent="0.2">
      <c r="A1624" s="70"/>
      <c r="B1624" s="70"/>
      <c r="C1624" s="35"/>
      <c r="D1624" s="407"/>
      <c r="E1624" s="407"/>
      <c r="F1624" s="407"/>
      <c r="G1624" s="407"/>
      <c r="H1624" s="407"/>
      <c r="I1624" s="407"/>
      <c r="J1624" s="407"/>
      <c r="K1624" s="407"/>
      <c r="L1624" s="407"/>
      <c r="M1624" s="407"/>
      <c r="N1624" s="407"/>
      <c r="O1624" s="407"/>
      <c r="P1624" s="407"/>
      <c r="Q1624" s="407"/>
      <c r="R1624" s="407"/>
      <c r="S1624" s="407"/>
      <c r="T1624" s="407"/>
      <c r="U1624" s="407"/>
      <c r="V1624" s="407"/>
      <c r="W1624" s="407"/>
      <c r="X1624" s="407"/>
      <c r="Y1624" s="407"/>
      <c r="Z1624" s="407"/>
      <c r="AA1624" s="407"/>
      <c r="AB1624" s="407"/>
      <c r="AC1624" s="407"/>
      <c r="AD1624" s="407"/>
      <c r="AE1624" s="407"/>
      <c r="AF1624" s="407"/>
      <c r="AG1624" s="407"/>
      <c r="AH1624" s="407"/>
      <c r="AI1624" s="407"/>
      <c r="AJ1624" s="407"/>
      <c r="AK1624" s="407"/>
      <c r="AL1624" s="407"/>
      <c r="AM1624" s="407"/>
      <c r="AN1624" s="407"/>
      <c r="AO1624" s="407"/>
      <c r="AP1624" s="407"/>
      <c r="AQ1624" s="407"/>
      <c r="AR1624" s="1236"/>
      <c r="AS1624" s="1236"/>
      <c r="AT1624" s="407"/>
      <c r="AU1624" s="407"/>
      <c r="AV1624" s="407"/>
      <c r="AW1624" s="407"/>
      <c r="AX1624" s="407"/>
      <c r="AY1624" s="407"/>
      <c r="AZ1624" s="407"/>
      <c r="BA1624" s="407"/>
      <c r="BB1624" s="407"/>
      <c r="BC1624" s="407"/>
      <c r="BD1624" s="407"/>
      <c r="BE1624" s="407"/>
      <c r="BG1624" s="1195"/>
      <c r="BH1624" s="1195"/>
      <c r="BI1624" s="1195"/>
      <c r="BJ1624" s="1195"/>
      <c r="BK1624" s="1195"/>
      <c r="BL1624" s="1195"/>
      <c r="BM1624" s="1217"/>
      <c r="BN1624" s="1217"/>
      <c r="BO1624" s="1217"/>
      <c r="BP1624" s="1217"/>
      <c r="BQ1624" s="1217"/>
      <c r="BR1624" s="1217"/>
    </row>
    <row r="1625" spans="1:70" x14ac:dyDescent="0.2">
      <c r="A1625" s="70"/>
      <c r="B1625" s="70"/>
      <c r="C1625" s="1165"/>
      <c r="D1625" s="407"/>
      <c r="E1625" s="407"/>
      <c r="F1625" s="407"/>
      <c r="G1625" s="407"/>
      <c r="H1625" s="407"/>
      <c r="I1625" s="407"/>
      <c r="J1625" s="407"/>
      <c r="K1625" s="407"/>
      <c r="L1625" s="407"/>
      <c r="M1625" s="407"/>
      <c r="N1625" s="407"/>
      <c r="O1625" s="407"/>
      <c r="P1625" s="407"/>
      <c r="Q1625" s="407"/>
      <c r="R1625" s="407"/>
      <c r="S1625" s="407"/>
      <c r="T1625" s="407"/>
      <c r="U1625" s="407"/>
      <c r="V1625" s="407"/>
      <c r="W1625" s="407"/>
      <c r="X1625" s="407"/>
      <c r="Y1625" s="407"/>
      <c r="Z1625" s="407"/>
      <c r="AA1625" s="407"/>
      <c r="AB1625" s="407"/>
      <c r="AC1625" s="407"/>
      <c r="AD1625" s="407"/>
      <c r="AE1625" s="407"/>
      <c r="AF1625" s="407"/>
      <c r="AG1625" s="407"/>
      <c r="AH1625" s="407"/>
      <c r="AI1625" s="407"/>
      <c r="AJ1625" s="407"/>
      <c r="AK1625" s="407"/>
      <c r="AL1625" s="407"/>
      <c r="AM1625" s="407"/>
      <c r="AN1625" s="407"/>
      <c r="AO1625" s="407"/>
      <c r="AP1625" s="407"/>
      <c r="AQ1625" s="407"/>
      <c r="AR1625" s="1236"/>
      <c r="AS1625" s="1236"/>
      <c r="AT1625" s="1238"/>
      <c r="AU1625" s="407"/>
      <c r="AV1625" s="407"/>
      <c r="AW1625" s="407"/>
      <c r="AX1625" s="407"/>
      <c r="AY1625" s="407"/>
      <c r="AZ1625" s="407"/>
      <c r="BA1625" s="407"/>
      <c r="BB1625" s="407"/>
      <c r="BC1625" s="407"/>
      <c r="BD1625" s="407"/>
      <c r="BE1625" s="407"/>
      <c r="BG1625" s="1195"/>
      <c r="BH1625" s="1195"/>
      <c r="BI1625" s="1195"/>
      <c r="BJ1625" s="1195"/>
      <c r="BK1625" s="1195"/>
      <c r="BL1625" s="1195"/>
      <c r="BM1625" s="1217"/>
      <c r="BN1625" s="1217"/>
      <c r="BO1625" s="1217"/>
      <c r="BP1625" s="1217"/>
      <c r="BQ1625" s="1217"/>
      <c r="BR1625" s="1217"/>
    </row>
    <row r="1626" spans="1:70" x14ac:dyDescent="0.2">
      <c r="A1626" s="70"/>
      <c r="B1626" s="70"/>
      <c r="C1626" s="35"/>
      <c r="D1626" s="407"/>
      <c r="E1626" s="407"/>
      <c r="F1626" s="407"/>
      <c r="G1626" s="407"/>
      <c r="H1626" s="407"/>
      <c r="I1626" s="407"/>
      <c r="J1626" s="407"/>
      <c r="K1626" s="407"/>
      <c r="L1626" s="407"/>
      <c r="M1626" s="407"/>
      <c r="N1626" s="407"/>
      <c r="O1626" s="407"/>
      <c r="P1626" s="407"/>
      <c r="Q1626" s="407"/>
      <c r="R1626" s="407"/>
      <c r="S1626" s="407"/>
      <c r="T1626" s="407"/>
      <c r="U1626" s="407"/>
      <c r="V1626" s="407"/>
      <c r="W1626" s="407"/>
      <c r="X1626" s="407"/>
      <c r="Y1626" s="407"/>
      <c r="Z1626" s="407"/>
      <c r="AA1626" s="407"/>
      <c r="AB1626" s="407"/>
      <c r="AC1626" s="407"/>
      <c r="AD1626" s="407"/>
      <c r="AE1626" s="407"/>
      <c r="AF1626" s="407"/>
      <c r="AG1626" s="407"/>
      <c r="AH1626" s="407"/>
      <c r="AI1626" s="407"/>
      <c r="AJ1626" s="407"/>
      <c r="AK1626" s="407"/>
      <c r="AL1626" s="407"/>
      <c r="AM1626" s="407"/>
      <c r="AN1626" s="407"/>
      <c r="AO1626" s="407"/>
      <c r="AP1626" s="407"/>
      <c r="AQ1626" s="407"/>
      <c r="AR1626" s="1236"/>
      <c r="AS1626" s="1236"/>
      <c r="AT1626" s="407"/>
      <c r="AU1626" s="407"/>
      <c r="AV1626" s="407"/>
      <c r="AW1626" s="407"/>
      <c r="AX1626" s="407"/>
      <c r="AY1626" s="407"/>
      <c r="AZ1626" s="407"/>
      <c r="BA1626" s="407"/>
      <c r="BB1626" s="407"/>
      <c r="BC1626" s="407"/>
      <c r="BD1626" s="407"/>
      <c r="BE1626" s="407"/>
      <c r="BG1626" s="1195"/>
      <c r="BH1626" s="1195"/>
      <c r="BI1626" s="1195"/>
      <c r="BJ1626" s="1195"/>
      <c r="BK1626" s="1195"/>
      <c r="BL1626" s="1195"/>
      <c r="BM1626" s="1217"/>
      <c r="BN1626" s="1217"/>
      <c r="BO1626" s="1217"/>
      <c r="BP1626" s="1217"/>
      <c r="BQ1626" s="1217"/>
      <c r="BR1626" s="1217"/>
    </row>
    <row r="1627" spans="1:70" x14ac:dyDescent="0.2">
      <c r="A1627" s="70"/>
      <c r="B1627" s="70"/>
      <c r="C1627" s="35"/>
      <c r="D1627" s="1615"/>
      <c r="E1627" s="1615"/>
      <c r="F1627" s="1615"/>
      <c r="G1627" s="1615"/>
      <c r="H1627" s="1615"/>
      <c r="I1627" s="1615"/>
      <c r="J1627" s="1615"/>
      <c r="K1627" s="1615"/>
      <c r="L1627" s="1615"/>
      <c r="M1627" s="1615"/>
      <c r="N1627" s="1615"/>
      <c r="O1627" s="1615"/>
      <c r="P1627" s="1615"/>
      <c r="Q1627" s="1615"/>
      <c r="R1627" s="1615"/>
      <c r="S1627" s="1615"/>
      <c r="T1627" s="1615"/>
      <c r="U1627" s="1615"/>
      <c r="V1627" s="1615"/>
      <c r="W1627" s="1615"/>
      <c r="X1627" s="1615"/>
      <c r="Y1627" s="1615"/>
      <c r="Z1627" s="1615"/>
      <c r="AA1627" s="1615"/>
      <c r="AB1627" s="1615"/>
      <c r="AC1627" s="1615"/>
      <c r="AD1627" s="1615"/>
      <c r="AE1627" s="1615"/>
      <c r="AF1627" s="1615"/>
      <c r="AG1627" s="1615"/>
      <c r="AH1627" s="1615"/>
      <c r="AI1627" s="1615"/>
      <c r="AJ1627" s="1615"/>
      <c r="AK1627" s="1615"/>
      <c r="AL1627" s="1615"/>
      <c r="AM1627" s="1615"/>
      <c r="AN1627" s="1615"/>
      <c r="AO1627" s="1615"/>
      <c r="AP1627" s="1615"/>
      <c r="AQ1627" s="1615"/>
      <c r="AR1627" s="1236"/>
      <c r="AS1627" s="1236"/>
      <c r="AT1627" s="407"/>
      <c r="AU1627" s="1615"/>
      <c r="AV1627" s="1615"/>
      <c r="AW1627" s="1615"/>
      <c r="AX1627" s="1615"/>
      <c r="AY1627" s="1615"/>
      <c r="AZ1627" s="1615"/>
      <c r="BA1627" s="1615"/>
      <c r="BB1627" s="1615"/>
      <c r="BC1627" s="1615"/>
      <c r="BD1627" s="1615"/>
      <c r="BE1627" s="1615"/>
      <c r="BG1627" s="1196"/>
      <c r="BH1627" s="1196"/>
      <c r="BI1627" s="1196"/>
      <c r="BJ1627" s="1196"/>
      <c r="BK1627" s="1196"/>
      <c r="BL1627" s="1196"/>
      <c r="BM1627" s="1217"/>
      <c r="BN1627" s="1217"/>
      <c r="BO1627" s="1217"/>
      <c r="BP1627" s="1217"/>
      <c r="BQ1627" s="1217"/>
      <c r="BR1627" s="1217"/>
    </row>
    <row r="1628" spans="1:70" x14ac:dyDescent="0.2">
      <c r="A1628" s="70"/>
      <c r="B1628" s="70"/>
      <c r="C1628" s="35"/>
      <c r="D1628" s="407"/>
      <c r="E1628" s="407"/>
      <c r="F1628" s="407"/>
      <c r="G1628" s="407"/>
      <c r="H1628" s="407"/>
      <c r="I1628" s="407"/>
      <c r="J1628" s="407"/>
      <c r="K1628" s="407"/>
      <c r="L1628" s="407"/>
      <c r="M1628" s="407"/>
      <c r="N1628" s="407"/>
      <c r="O1628" s="407"/>
      <c r="P1628" s="407"/>
      <c r="Q1628" s="407"/>
      <c r="R1628" s="407"/>
      <c r="S1628" s="407"/>
      <c r="T1628" s="407"/>
      <c r="U1628" s="407"/>
      <c r="V1628" s="407"/>
      <c r="W1628" s="407"/>
      <c r="X1628" s="407"/>
      <c r="Y1628" s="407"/>
      <c r="Z1628" s="407"/>
      <c r="AA1628" s="407"/>
      <c r="AB1628" s="407"/>
      <c r="AC1628" s="407"/>
      <c r="AD1628" s="407"/>
      <c r="AE1628" s="407"/>
      <c r="AF1628" s="407"/>
      <c r="AG1628" s="407"/>
      <c r="AH1628" s="407"/>
      <c r="AI1628" s="407"/>
      <c r="AJ1628" s="407"/>
      <c r="AK1628" s="407"/>
      <c r="AL1628" s="407"/>
      <c r="AM1628" s="407"/>
      <c r="AN1628" s="407"/>
      <c r="AO1628" s="407"/>
      <c r="AP1628" s="407"/>
      <c r="AQ1628" s="407"/>
      <c r="AR1628" s="1236"/>
      <c r="AS1628" s="1236"/>
      <c r="AT1628" s="407"/>
      <c r="AU1628" s="407"/>
      <c r="AV1628" s="407"/>
      <c r="AW1628" s="407"/>
      <c r="AX1628" s="407"/>
      <c r="AY1628" s="407"/>
      <c r="AZ1628" s="407"/>
      <c r="BA1628" s="407"/>
      <c r="BB1628" s="407"/>
      <c r="BC1628" s="407"/>
      <c r="BD1628" s="407"/>
      <c r="BE1628" s="407"/>
      <c r="BG1628" s="1195"/>
      <c r="BH1628" s="1195"/>
      <c r="BI1628" s="1195"/>
      <c r="BJ1628" s="1195"/>
      <c r="BK1628" s="1195"/>
      <c r="BL1628" s="1195"/>
      <c r="BM1628" s="1217"/>
      <c r="BN1628" s="1217"/>
      <c r="BO1628" s="1217"/>
      <c r="BP1628" s="1217"/>
      <c r="BQ1628" s="1217"/>
      <c r="BR1628" s="1217"/>
    </row>
    <row r="1629" spans="1:70" x14ac:dyDescent="0.2">
      <c r="A1629" s="70"/>
      <c r="B1629" s="70"/>
      <c r="C1629" s="35"/>
      <c r="D1629" s="1616"/>
      <c r="E1629" s="1616"/>
      <c r="F1629" s="1616"/>
      <c r="G1629" s="1616"/>
      <c r="H1629" s="1616"/>
      <c r="I1629" s="1616"/>
      <c r="J1629" s="1616"/>
      <c r="K1629" s="1616"/>
      <c r="L1629" s="1616"/>
      <c r="M1629" s="1616"/>
      <c r="N1629" s="1616"/>
      <c r="O1629" s="1616"/>
      <c r="P1629" s="1616"/>
      <c r="Q1629" s="1616"/>
      <c r="R1629" s="1616"/>
      <c r="S1629" s="1616"/>
      <c r="T1629" s="1616"/>
      <c r="U1629" s="1616"/>
      <c r="V1629" s="1616"/>
      <c r="W1629" s="1616"/>
      <c r="X1629" s="1616"/>
      <c r="Y1629" s="1616"/>
      <c r="Z1629" s="1616"/>
      <c r="AA1629" s="1616"/>
      <c r="AB1629" s="1616"/>
      <c r="AC1629" s="1616"/>
      <c r="AD1629" s="1616"/>
      <c r="AE1629" s="1616"/>
      <c r="AF1629" s="1616"/>
      <c r="AG1629" s="1616"/>
      <c r="AH1629" s="1616"/>
      <c r="AI1629" s="1616"/>
      <c r="AJ1629" s="1616"/>
      <c r="AK1629" s="1616"/>
      <c r="AL1629" s="1616"/>
      <c r="AM1629" s="1616"/>
      <c r="AN1629" s="1616"/>
      <c r="AO1629" s="1616"/>
      <c r="AP1629" s="1616"/>
      <c r="AQ1629" s="1616"/>
      <c r="AR1629" s="1236"/>
      <c r="AS1629" s="1236"/>
      <c r="AT1629" s="407"/>
      <c r="AU1629" s="1616"/>
      <c r="AV1629" s="1616"/>
      <c r="AW1629" s="1616"/>
      <c r="AX1629" s="1616"/>
      <c r="AY1629" s="1616"/>
      <c r="AZ1629" s="1616"/>
      <c r="BA1629" s="1616"/>
      <c r="BB1629" s="1616"/>
      <c r="BC1629" s="1616"/>
      <c r="BD1629" s="1616"/>
      <c r="BE1629" s="1616"/>
      <c r="BG1629" s="1195"/>
      <c r="BH1629" s="1195"/>
      <c r="BI1629" s="1195"/>
      <c r="BJ1629" s="1195"/>
      <c r="BK1629" s="1195"/>
      <c r="BL1629" s="1195"/>
      <c r="BM1629" s="1217"/>
      <c r="BN1629" s="1217"/>
      <c r="BO1629" s="1217"/>
      <c r="BP1629" s="1217"/>
      <c r="BQ1629" s="1217"/>
      <c r="BR1629" s="1217"/>
    </row>
    <row r="1630" spans="1:70" x14ac:dyDescent="0.2">
      <c r="A1630" s="70"/>
      <c r="B1630" s="70"/>
      <c r="C1630" s="35"/>
      <c r="D1630" s="1615"/>
      <c r="E1630" s="1615"/>
      <c r="F1630" s="1615"/>
      <c r="G1630" s="1615"/>
      <c r="H1630" s="1615"/>
      <c r="I1630" s="1615"/>
      <c r="J1630" s="1615"/>
      <c r="K1630" s="1615"/>
      <c r="L1630" s="1615"/>
      <c r="M1630" s="1615"/>
      <c r="N1630" s="1615"/>
      <c r="O1630" s="1615"/>
      <c r="P1630" s="1615"/>
      <c r="Q1630" s="1615"/>
      <c r="R1630" s="1615"/>
      <c r="S1630" s="1615"/>
      <c r="T1630" s="1615"/>
      <c r="U1630" s="1615"/>
      <c r="V1630" s="1615"/>
      <c r="W1630" s="1615"/>
      <c r="X1630" s="1615"/>
      <c r="Y1630" s="1615"/>
      <c r="Z1630" s="1615"/>
      <c r="AA1630" s="1615"/>
      <c r="AB1630" s="1615"/>
      <c r="AC1630" s="1615"/>
      <c r="AD1630" s="1615"/>
      <c r="AE1630" s="1615"/>
      <c r="AF1630" s="1615"/>
      <c r="AG1630" s="1615"/>
      <c r="AH1630" s="1615"/>
      <c r="AI1630" s="1615"/>
      <c r="AJ1630" s="1615"/>
      <c r="AK1630" s="1615"/>
      <c r="AL1630" s="1615"/>
      <c r="AM1630" s="1615"/>
      <c r="AN1630" s="1615"/>
      <c r="AO1630" s="1615"/>
      <c r="AP1630" s="1615"/>
      <c r="AQ1630" s="1615"/>
      <c r="AR1630" s="1236"/>
      <c r="AS1630" s="1236"/>
      <c r="AT1630" s="407"/>
      <c r="AU1630" s="1615"/>
      <c r="AV1630" s="1615"/>
      <c r="AW1630" s="1615"/>
      <c r="AX1630" s="1615"/>
      <c r="AY1630" s="1615"/>
      <c r="AZ1630" s="1615"/>
      <c r="BA1630" s="1615"/>
      <c r="BB1630" s="1615"/>
      <c r="BC1630" s="1615"/>
      <c r="BD1630" s="1615"/>
      <c r="BE1630" s="1615"/>
      <c r="BG1630" s="1196"/>
      <c r="BH1630" s="1196"/>
      <c r="BI1630" s="1196"/>
      <c r="BJ1630" s="1196"/>
      <c r="BK1630" s="1196"/>
      <c r="BL1630" s="1196"/>
      <c r="BM1630" s="1217"/>
      <c r="BN1630" s="1217"/>
      <c r="BO1630" s="1217"/>
      <c r="BP1630" s="1217"/>
      <c r="BQ1630" s="1217"/>
      <c r="BR1630" s="1217"/>
    </row>
    <row r="1631" spans="1:70" ht="12.75" x14ac:dyDescent="0.2">
      <c r="A1631" s="70"/>
      <c r="B1631" s="70"/>
      <c r="C1631" s="35"/>
      <c r="D1631" s="1613"/>
      <c r="E1631" s="1613"/>
      <c r="F1631" s="1613"/>
      <c r="G1631" s="1613"/>
      <c r="H1631" s="1613"/>
      <c r="I1631" s="1613"/>
      <c r="J1631" s="1613"/>
      <c r="K1631" s="1613"/>
      <c r="L1631" s="1613"/>
      <c r="M1631" s="1613"/>
      <c r="N1631" s="1613"/>
      <c r="O1631" s="1613"/>
      <c r="P1631" s="407"/>
      <c r="Q1631" s="407"/>
      <c r="R1631" s="407"/>
      <c r="S1631" s="407"/>
      <c r="T1631" s="407"/>
      <c r="U1631" s="407"/>
      <c r="V1631" s="407"/>
      <c r="W1631" s="407"/>
      <c r="X1631" s="407"/>
      <c r="Y1631" s="407"/>
      <c r="Z1631" s="407"/>
      <c r="AA1631" s="407"/>
      <c r="AB1631" s="407"/>
      <c r="AC1631" s="407"/>
      <c r="AD1631" s="407"/>
      <c r="AE1631" s="407"/>
      <c r="AF1631" s="407"/>
      <c r="AG1631" s="407"/>
      <c r="AH1631" s="407"/>
      <c r="AI1631" s="407"/>
      <c r="AJ1631" s="407"/>
      <c r="AK1631" s="407"/>
      <c r="AL1631" s="407"/>
      <c r="AM1631" s="407"/>
      <c r="AN1631" s="407"/>
      <c r="AO1631" s="407"/>
      <c r="AP1631" s="407"/>
      <c r="AQ1631" s="407"/>
      <c r="AR1631" s="1236"/>
      <c r="AS1631" s="1236"/>
      <c r="AT1631" s="407"/>
      <c r="AU1631" s="407"/>
      <c r="AV1631" s="407"/>
      <c r="AW1631" s="407"/>
      <c r="AX1631" s="407"/>
      <c r="AY1631" s="407"/>
      <c r="AZ1631" s="407"/>
      <c r="BA1631" s="407"/>
      <c r="BB1631" s="407"/>
      <c r="BC1631" s="407"/>
      <c r="BD1631" s="407"/>
      <c r="BE1631" s="407"/>
      <c r="BG1631" s="1195"/>
      <c r="BH1631" s="1195"/>
      <c r="BI1631" s="1195"/>
      <c r="BJ1631" s="1195"/>
      <c r="BK1631" s="1195"/>
      <c r="BL1631" s="1195"/>
      <c r="BM1631" s="1217"/>
      <c r="BN1631" s="1217"/>
      <c r="BO1631" s="1217"/>
      <c r="BP1631" s="1217"/>
      <c r="BQ1631" s="1217"/>
      <c r="BR1631" s="1217"/>
    </row>
    <row r="1632" spans="1:70" x14ac:dyDescent="0.2">
      <c r="A1632" s="70"/>
      <c r="B1632" s="70"/>
      <c r="C1632" s="35"/>
      <c r="D1632" s="1617"/>
      <c r="E1632" s="1617"/>
      <c r="F1632" s="1617"/>
      <c r="G1632" s="1617"/>
      <c r="H1632" s="1617"/>
      <c r="I1632" s="1617"/>
      <c r="J1632" s="1617"/>
      <c r="K1632" s="1617"/>
      <c r="L1632" s="1617"/>
      <c r="M1632" s="1617"/>
      <c r="N1632" s="1617"/>
      <c r="O1632" s="1617"/>
      <c r="P1632" s="1617"/>
      <c r="Q1632" s="1617"/>
      <c r="R1632" s="1617"/>
      <c r="S1632" s="1617"/>
      <c r="T1632" s="1617"/>
      <c r="U1632" s="1617"/>
      <c r="V1632" s="1617"/>
      <c r="W1632" s="1617"/>
      <c r="X1632" s="1617"/>
      <c r="Y1632" s="1617"/>
      <c r="Z1632" s="1617"/>
      <c r="AA1632" s="1617"/>
      <c r="AB1632" s="1617"/>
      <c r="AC1632" s="1617"/>
      <c r="AD1632" s="1617"/>
      <c r="AE1632" s="1617"/>
      <c r="AF1632" s="1617"/>
      <c r="AG1632" s="1617"/>
      <c r="AH1632" s="1617"/>
      <c r="AI1632" s="1617"/>
      <c r="AJ1632" s="1617"/>
      <c r="AK1632" s="1617"/>
      <c r="AL1632" s="1617"/>
      <c r="AM1632" s="1617"/>
      <c r="AN1632" s="1617"/>
      <c r="AO1632" s="1617"/>
      <c r="AP1632" s="1617"/>
      <c r="AQ1632" s="1617"/>
      <c r="AR1632" s="1236"/>
      <c r="AS1632" s="1236"/>
      <c r="AT1632" s="407"/>
      <c r="AU1632" s="1617"/>
      <c r="AV1632" s="1617"/>
      <c r="AW1632" s="1617"/>
      <c r="AX1632" s="1617"/>
      <c r="AY1632" s="1617"/>
      <c r="AZ1632" s="1617"/>
      <c r="BA1632" s="1617"/>
      <c r="BB1632" s="1617"/>
      <c r="BC1632" s="1617"/>
      <c r="BD1632" s="1617"/>
      <c r="BE1632" s="1617"/>
      <c r="BG1632" s="1195"/>
      <c r="BH1632" s="1195"/>
      <c r="BI1632" s="1195"/>
      <c r="BJ1632" s="1195"/>
      <c r="BK1632" s="1195"/>
      <c r="BL1632" s="1195"/>
      <c r="BM1632" s="1217"/>
      <c r="BN1632" s="1217"/>
      <c r="BO1632" s="1217"/>
      <c r="BP1632" s="1217"/>
      <c r="BQ1632" s="1217"/>
      <c r="BR1632" s="1217"/>
    </row>
    <row r="1633" spans="1:70" x14ac:dyDescent="0.2">
      <c r="A1633" s="70"/>
      <c r="B1633" s="70"/>
      <c r="C1633" s="1170"/>
      <c r="D1633" s="1615"/>
      <c r="E1633" s="1615"/>
      <c r="F1633" s="1615"/>
      <c r="G1633" s="1615"/>
      <c r="H1633" s="1615"/>
      <c r="I1633" s="1615"/>
      <c r="J1633" s="1615"/>
      <c r="K1633" s="1615"/>
      <c r="L1633" s="1615"/>
      <c r="M1633" s="1615"/>
      <c r="N1633" s="1615"/>
      <c r="O1633" s="1615"/>
      <c r="P1633" s="1615"/>
      <c r="Q1633" s="1615"/>
      <c r="R1633" s="1615"/>
      <c r="S1633" s="1615"/>
      <c r="T1633" s="1615"/>
      <c r="U1633" s="1615"/>
      <c r="V1633" s="1615"/>
      <c r="W1633" s="1615"/>
      <c r="X1633" s="1615"/>
      <c r="Y1633" s="1615"/>
      <c r="Z1633" s="1615"/>
      <c r="AA1633" s="1615"/>
      <c r="AB1633" s="1615"/>
      <c r="AC1633" s="1615"/>
      <c r="AD1633" s="1615"/>
      <c r="AE1633" s="1615"/>
      <c r="AF1633" s="1615"/>
      <c r="AG1633" s="1615"/>
      <c r="AH1633" s="1615"/>
      <c r="AI1633" s="1615"/>
      <c r="AJ1633" s="1615"/>
      <c r="AK1633" s="1615"/>
      <c r="AL1633" s="1615"/>
      <c r="AM1633" s="1615"/>
      <c r="AN1633" s="1615"/>
      <c r="AO1633" s="1615"/>
      <c r="AP1633" s="1615"/>
      <c r="AQ1633" s="1615"/>
      <c r="AR1633" s="1236"/>
      <c r="AS1633" s="1236"/>
      <c r="AT1633" s="1618"/>
      <c r="AU1633" s="1615"/>
      <c r="AV1633" s="1615"/>
      <c r="AW1633" s="1615"/>
      <c r="AX1633" s="1615"/>
      <c r="AY1633" s="1615"/>
      <c r="AZ1633" s="1615"/>
      <c r="BA1633" s="1615"/>
      <c r="BB1633" s="1615"/>
      <c r="BC1633" s="1615"/>
      <c r="BD1633" s="1615"/>
      <c r="BE1633" s="1615"/>
      <c r="BG1633" s="1196"/>
      <c r="BH1633" s="1196"/>
      <c r="BI1633" s="1196"/>
      <c r="BJ1633" s="1196"/>
      <c r="BK1633" s="1196"/>
      <c r="BL1633" s="1196"/>
      <c r="BM1633" s="1217"/>
      <c r="BN1633" s="1217"/>
      <c r="BO1633" s="1217"/>
      <c r="BP1633" s="1217"/>
      <c r="BQ1633" s="1217"/>
      <c r="BR1633" s="1217"/>
    </row>
    <row r="1634" spans="1:70" ht="12.75" x14ac:dyDescent="0.2">
      <c r="A1634" s="70"/>
      <c r="B1634" s="70"/>
      <c r="C1634" s="1168"/>
      <c r="D1634" s="1613"/>
      <c r="E1634" s="1613"/>
      <c r="F1634" s="1613"/>
      <c r="G1634" s="1613"/>
      <c r="H1634" s="1613"/>
      <c r="I1634" s="1613"/>
      <c r="J1634" s="1613"/>
      <c r="K1634" s="1613"/>
      <c r="L1634" s="1613"/>
      <c r="M1634" s="1613"/>
      <c r="N1634" s="1613"/>
      <c r="O1634" s="1613"/>
      <c r="P1634" s="407"/>
      <c r="Q1634" s="407"/>
      <c r="R1634" s="407"/>
      <c r="S1634" s="407"/>
      <c r="T1634" s="407"/>
      <c r="U1634" s="407"/>
      <c r="V1634" s="407"/>
      <c r="W1634" s="407"/>
      <c r="X1634" s="407"/>
      <c r="Y1634" s="407"/>
      <c r="Z1634" s="407"/>
      <c r="AA1634" s="407"/>
      <c r="AB1634" s="407"/>
      <c r="AC1634" s="407"/>
      <c r="AD1634" s="407"/>
      <c r="AE1634" s="407"/>
      <c r="AF1634" s="407"/>
      <c r="AG1634" s="407"/>
      <c r="AH1634" s="407"/>
      <c r="AI1634" s="407"/>
      <c r="AJ1634" s="407"/>
      <c r="AK1634" s="407"/>
      <c r="AL1634" s="407"/>
      <c r="AM1634" s="407"/>
      <c r="AN1634" s="407"/>
      <c r="AO1634" s="407"/>
      <c r="AP1634" s="407"/>
      <c r="AQ1634" s="407"/>
      <c r="AR1634" s="1236"/>
      <c r="AS1634" s="1236"/>
      <c r="AT1634" s="1613"/>
      <c r="AU1634" s="407"/>
      <c r="AV1634" s="407"/>
      <c r="AW1634" s="1617"/>
      <c r="AX1634" s="1617"/>
      <c r="AY1634" s="1617"/>
      <c r="AZ1634" s="407"/>
      <c r="BA1634" s="407"/>
      <c r="BB1634" s="407"/>
      <c r="BC1634" s="407"/>
      <c r="BD1634" s="407"/>
      <c r="BE1634" s="407"/>
      <c r="BG1634" s="1195"/>
      <c r="BH1634" s="1195"/>
      <c r="BI1634" s="1195"/>
      <c r="BJ1634" s="1195"/>
      <c r="BK1634" s="1195"/>
      <c r="BL1634" s="1195"/>
      <c r="BM1634" s="1217"/>
      <c r="BN1634" s="1217"/>
      <c r="BO1634" s="1217"/>
      <c r="BP1634" s="1217"/>
      <c r="BQ1634" s="1217"/>
      <c r="BR1634" s="1217"/>
    </row>
    <row r="1635" spans="1:70" x14ac:dyDescent="0.2">
      <c r="A1635" s="70"/>
      <c r="B1635" s="70"/>
      <c r="C1635" s="1164"/>
      <c r="D1635" s="1610"/>
      <c r="E1635" s="1610"/>
      <c r="F1635" s="1610"/>
      <c r="G1635" s="1610"/>
      <c r="H1635" s="1610"/>
      <c r="I1635" s="1610"/>
      <c r="J1635" s="1610"/>
      <c r="K1635" s="1610"/>
      <c r="L1635" s="1610"/>
      <c r="M1635" s="1610"/>
      <c r="N1635" s="1610"/>
      <c r="O1635" s="1610"/>
      <c r="P1635" s="1610"/>
      <c r="Q1635" s="1610"/>
      <c r="R1635" s="1610"/>
      <c r="S1635" s="1610"/>
      <c r="T1635" s="1610"/>
      <c r="U1635" s="1610"/>
      <c r="V1635" s="1610"/>
      <c r="W1635" s="1610"/>
      <c r="X1635" s="1610"/>
      <c r="Y1635" s="1610"/>
      <c r="Z1635" s="1610"/>
      <c r="AA1635" s="1610"/>
      <c r="AB1635" s="1610"/>
      <c r="AC1635" s="1610"/>
      <c r="AD1635" s="1610"/>
      <c r="AE1635" s="1610"/>
      <c r="AF1635" s="1610"/>
      <c r="AG1635" s="1610"/>
      <c r="AH1635" s="1610"/>
      <c r="AI1635" s="1610"/>
      <c r="AJ1635" s="1610"/>
      <c r="AK1635" s="1610"/>
      <c r="AL1635" s="1610"/>
      <c r="AM1635" s="1610"/>
      <c r="AN1635" s="1610"/>
      <c r="AO1635" s="1610"/>
      <c r="AP1635" s="1610"/>
      <c r="AQ1635" s="1610"/>
      <c r="AR1635" s="1236"/>
      <c r="AS1635" s="1236"/>
      <c r="AT1635" s="1610"/>
      <c r="AU1635" s="1610"/>
      <c r="AV1635" s="1610"/>
      <c r="AW1635" s="1610"/>
      <c r="AX1635" s="1610"/>
      <c r="AY1635" s="1610"/>
      <c r="AZ1635" s="1610"/>
      <c r="BA1635" s="1610"/>
      <c r="BB1635" s="1610"/>
      <c r="BC1635" s="1610"/>
      <c r="BD1635" s="1610"/>
      <c r="BE1635" s="1610"/>
      <c r="BG1635" s="1195"/>
      <c r="BH1635" s="1195"/>
      <c r="BI1635" s="1195"/>
      <c r="BJ1635" s="1195"/>
      <c r="BK1635" s="1195"/>
      <c r="BL1635" s="1195"/>
      <c r="BM1635" s="1217"/>
      <c r="BN1635" s="1217"/>
      <c r="BO1635" s="1217"/>
      <c r="BP1635" s="1217"/>
      <c r="BQ1635" s="1217"/>
      <c r="BR1635" s="1217"/>
    </row>
    <row r="1636" spans="1:70" ht="12.75" x14ac:dyDescent="0.2">
      <c r="A1636" s="70"/>
      <c r="B1636" s="70"/>
      <c r="C1636" s="1170"/>
      <c r="D1636" s="1613"/>
      <c r="E1636" s="1613"/>
      <c r="F1636" s="1613"/>
      <c r="G1636" s="1613"/>
      <c r="H1636" s="1613"/>
      <c r="I1636" s="1613"/>
      <c r="J1636" s="1613"/>
      <c r="K1636" s="1613"/>
      <c r="L1636" s="1613"/>
      <c r="M1636" s="1613"/>
      <c r="N1636" s="1613"/>
      <c r="O1636" s="1613"/>
      <c r="P1636" s="407"/>
      <c r="Q1636" s="407"/>
      <c r="R1636" s="407"/>
      <c r="S1636" s="407"/>
      <c r="T1636" s="407"/>
      <c r="U1636" s="407"/>
      <c r="V1636" s="407"/>
      <c r="W1636" s="407"/>
      <c r="X1636" s="407"/>
      <c r="Y1636" s="407"/>
      <c r="Z1636" s="407"/>
      <c r="AA1636" s="407"/>
      <c r="AB1636" s="407"/>
      <c r="AC1636" s="407"/>
      <c r="AD1636" s="407"/>
      <c r="AE1636" s="407"/>
      <c r="AF1636" s="407"/>
      <c r="AG1636" s="407"/>
      <c r="AH1636" s="407"/>
      <c r="AI1636" s="407"/>
      <c r="AJ1636" s="407"/>
      <c r="AK1636" s="407"/>
      <c r="AL1636" s="407"/>
      <c r="AM1636" s="407"/>
      <c r="AN1636" s="407"/>
      <c r="AO1636" s="407"/>
      <c r="AP1636" s="407"/>
      <c r="AQ1636" s="407"/>
      <c r="AR1636" s="1236"/>
      <c r="AS1636" s="1236"/>
      <c r="AT1636" s="1618"/>
      <c r="AU1636" s="407"/>
      <c r="AV1636" s="407"/>
      <c r="AW1636" s="1616"/>
      <c r="AX1636" s="1616"/>
      <c r="AY1636" s="1616"/>
      <c r="AZ1636" s="1616"/>
      <c r="BA1636" s="1616"/>
      <c r="BB1636" s="1616"/>
      <c r="BC1636" s="1616"/>
      <c r="BD1636" s="1616"/>
      <c r="BE1636" s="1616"/>
      <c r="BF1636" s="1195"/>
      <c r="BG1636" s="1195"/>
      <c r="BH1636" s="1195"/>
      <c r="BI1636" s="1195"/>
      <c r="BJ1636" s="1195"/>
      <c r="BK1636" s="1195"/>
      <c r="BL1636" s="1195"/>
      <c r="BM1636" s="1217"/>
      <c r="BN1636" s="1217"/>
      <c r="BO1636" s="1217"/>
      <c r="BP1636" s="1217"/>
      <c r="BQ1636" s="1217"/>
      <c r="BR1636" s="1217"/>
    </row>
    <row r="1637" spans="1:70" ht="12.75" x14ac:dyDescent="0.2">
      <c r="A1637" s="70"/>
      <c r="B1637" s="70"/>
      <c r="C1637" s="1170"/>
      <c r="D1637" s="1613"/>
      <c r="E1637" s="1613"/>
      <c r="F1637" s="1613"/>
      <c r="G1637" s="1613"/>
      <c r="H1637" s="1613"/>
      <c r="I1637" s="1613"/>
      <c r="J1637" s="1613"/>
      <c r="K1637" s="1613"/>
      <c r="L1637" s="1613"/>
      <c r="M1637" s="1613"/>
      <c r="N1637" s="1613"/>
      <c r="O1637" s="1613"/>
      <c r="P1637" s="407"/>
      <c r="Q1637" s="407"/>
      <c r="R1637" s="407"/>
      <c r="S1637" s="407"/>
      <c r="T1637" s="407"/>
      <c r="U1637" s="407"/>
      <c r="V1637" s="407"/>
      <c r="W1637" s="407"/>
      <c r="X1637" s="407"/>
      <c r="Y1637" s="407"/>
      <c r="Z1637" s="407"/>
      <c r="AA1637" s="407"/>
      <c r="AB1637" s="407"/>
      <c r="AC1637" s="407"/>
      <c r="AD1637" s="407"/>
      <c r="AE1637" s="407"/>
      <c r="AF1637" s="407"/>
      <c r="AG1637" s="407"/>
      <c r="AH1637" s="407"/>
      <c r="AI1637" s="407"/>
      <c r="AJ1637" s="407"/>
      <c r="AK1637" s="407"/>
      <c r="AL1637" s="407"/>
      <c r="AM1637" s="407"/>
      <c r="AN1637" s="407"/>
      <c r="AO1637" s="407"/>
      <c r="AP1637" s="407"/>
      <c r="AQ1637" s="407"/>
      <c r="AR1637" s="1236"/>
      <c r="AS1637" s="1236"/>
      <c r="AT1637" s="1618"/>
      <c r="AU1637" s="407"/>
      <c r="AV1637" s="407"/>
      <c r="AW1637" s="1365"/>
      <c r="AX1637" s="1365"/>
      <c r="AY1637" s="1365"/>
      <c r="AZ1637" s="1616"/>
      <c r="BA1637" s="1616"/>
      <c r="BB1637" s="1616"/>
      <c r="BC1637" s="1616"/>
      <c r="BD1637" s="1616"/>
      <c r="BE1637" s="1616"/>
      <c r="BG1637" s="1195"/>
      <c r="BH1637" s="1195"/>
      <c r="BI1637" s="1195"/>
      <c r="BJ1637" s="1195"/>
      <c r="BK1637" s="1195"/>
      <c r="BL1637" s="1195"/>
      <c r="BM1637" s="1217"/>
      <c r="BN1637" s="1217"/>
      <c r="BO1637" s="1217"/>
      <c r="BP1637" s="1217"/>
      <c r="BQ1637" s="1217"/>
      <c r="BR1637" s="1217"/>
    </row>
    <row r="1638" spans="1:70" ht="12.75" x14ac:dyDescent="0.2">
      <c r="A1638" s="70"/>
      <c r="B1638" s="70"/>
      <c r="C1638" s="1170"/>
      <c r="D1638" s="1613"/>
      <c r="E1638" s="1613"/>
      <c r="F1638" s="1613"/>
      <c r="G1638" s="1613"/>
      <c r="H1638" s="1613"/>
      <c r="I1638" s="1613"/>
      <c r="J1638" s="1613"/>
      <c r="K1638" s="1613"/>
      <c r="L1638" s="1613"/>
      <c r="M1638" s="1613"/>
      <c r="N1638" s="1613"/>
      <c r="O1638" s="1613"/>
      <c r="P1638" s="407"/>
      <c r="Q1638" s="407"/>
      <c r="R1638" s="407"/>
      <c r="S1638" s="407"/>
      <c r="T1638" s="407"/>
      <c r="U1638" s="407"/>
      <c r="V1638" s="407"/>
      <c r="W1638" s="407"/>
      <c r="X1638" s="407"/>
      <c r="Y1638" s="407"/>
      <c r="Z1638" s="407"/>
      <c r="AA1638" s="407"/>
      <c r="AB1638" s="407"/>
      <c r="AC1638" s="407"/>
      <c r="AD1638" s="407"/>
      <c r="AE1638" s="407"/>
      <c r="AF1638" s="407"/>
      <c r="AG1638" s="407"/>
      <c r="AH1638" s="407"/>
      <c r="AI1638" s="407"/>
      <c r="AJ1638" s="407"/>
      <c r="AK1638" s="407"/>
      <c r="AL1638" s="407"/>
      <c r="AM1638" s="407"/>
      <c r="AN1638" s="407"/>
      <c r="AO1638" s="407"/>
      <c r="AP1638" s="407"/>
      <c r="AQ1638" s="407"/>
      <c r="AR1638" s="1236"/>
      <c r="AS1638" s="1236"/>
      <c r="AT1638" s="1618"/>
      <c r="AU1638" s="407"/>
      <c r="AV1638" s="407"/>
      <c r="AW1638" s="1366"/>
      <c r="AX1638" s="1366"/>
      <c r="AY1638" s="1366"/>
      <c r="AZ1638" s="1366"/>
      <c r="BA1638" s="1366"/>
      <c r="BB1638" s="1366"/>
      <c r="BC1638" s="1366"/>
      <c r="BD1638" s="1366"/>
      <c r="BE1638" s="1366"/>
      <c r="BG1638" s="1195"/>
      <c r="BH1638" s="1195"/>
      <c r="BI1638" s="1195"/>
      <c r="BJ1638" s="1195"/>
      <c r="BK1638" s="1195"/>
      <c r="BL1638" s="1195"/>
      <c r="BM1638" s="1217"/>
      <c r="BN1638" s="1217"/>
      <c r="BO1638" s="1217"/>
      <c r="BP1638" s="1217"/>
      <c r="BQ1638" s="1217"/>
      <c r="BR1638" s="1217"/>
    </row>
    <row r="1639" spans="1:70" ht="12.75" x14ac:dyDescent="0.2">
      <c r="A1639" s="70"/>
      <c r="B1639" s="70"/>
      <c r="C1639" s="1171"/>
      <c r="D1639" s="1613"/>
      <c r="E1639" s="1613"/>
      <c r="F1639" s="1613"/>
      <c r="G1639" s="1613"/>
      <c r="H1639" s="1613"/>
      <c r="I1639" s="1613"/>
      <c r="J1639" s="1613"/>
      <c r="K1639" s="1613"/>
      <c r="L1639" s="1613"/>
      <c r="M1639" s="1613"/>
      <c r="N1639" s="1613"/>
      <c r="O1639" s="1613"/>
      <c r="P1639" s="407"/>
      <c r="Q1639" s="407"/>
      <c r="R1639" s="407"/>
      <c r="S1639" s="407"/>
      <c r="T1639" s="407"/>
      <c r="U1639" s="407"/>
      <c r="V1639" s="407"/>
      <c r="W1639" s="407"/>
      <c r="X1639" s="407"/>
      <c r="Y1639" s="407"/>
      <c r="Z1639" s="407"/>
      <c r="AA1639" s="407"/>
      <c r="AB1639" s="407"/>
      <c r="AC1639" s="407"/>
      <c r="AD1639" s="407"/>
      <c r="AE1639" s="407"/>
      <c r="AF1639" s="407"/>
      <c r="AG1639" s="407"/>
      <c r="AH1639" s="407"/>
      <c r="AI1639" s="407"/>
      <c r="AJ1639" s="407"/>
      <c r="AK1639" s="407"/>
      <c r="AL1639" s="407"/>
      <c r="AM1639" s="407"/>
      <c r="AN1639" s="407"/>
      <c r="AO1639" s="407"/>
      <c r="AP1639" s="407"/>
      <c r="AQ1639" s="407"/>
      <c r="AR1639" s="1236"/>
      <c r="AS1639" s="1236"/>
      <c r="AT1639" s="1619"/>
      <c r="AU1639" s="407"/>
      <c r="AV1639" s="407"/>
      <c r="AW1639" s="407"/>
      <c r="AX1639" s="407"/>
      <c r="AY1639" s="407"/>
      <c r="AZ1639" s="407"/>
      <c r="BA1639" s="407"/>
      <c r="BB1639" s="407"/>
      <c r="BC1639" s="407"/>
      <c r="BD1639" s="407"/>
      <c r="BE1639" s="407"/>
      <c r="BG1639" s="1195"/>
      <c r="BH1639" s="1195"/>
      <c r="BI1639" s="1195"/>
      <c r="BJ1639" s="1195"/>
      <c r="BK1639" s="1195"/>
      <c r="BL1639" s="1195"/>
      <c r="BM1639" s="1217"/>
      <c r="BN1639" s="1217"/>
      <c r="BO1639" s="1217"/>
      <c r="BP1639" s="1217"/>
      <c r="BQ1639" s="1217"/>
      <c r="BR1639" s="1217"/>
    </row>
    <row r="1640" spans="1:70" x14ac:dyDescent="0.2">
      <c r="A1640" s="70"/>
      <c r="B1640" s="70"/>
      <c r="C1640" s="1164"/>
      <c r="D1640" s="1610"/>
      <c r="E1640" s="1610"/>
      <c r="F1640" s="1610"/>
      <c r="G1640" s="1610"/>
      <c r="H1640" s="1610"/>
      <c r="I1640" s="1610"/>
      <c r="J1640" s="1610"/>
      <c r="K1640" s="1610"/>
      <c r="L1640" s="1610"/>
      <c r="M1640" s="1610"/>
      <c r="N1640" s="1610"/>
      <c r="O1640" s="1610"/>
      <c r="P1640" s="1610"/>
      <c r="Q1640" s="1610"/>
      <c r="R1640" s="1610"/>
      <c r="S1640" s="1610"/>
      <c r="T1640" s="1610"/>
      <c r="U1640" s="1610"/>
      <c r="V1640" s="1610"/>
      <c r="W1640" s="1610"/>
      <c r="X1640" s="1610"/>
      <c r="Y1640" s="1610"/>
      <c r="Z1640" s="1610"/>
      <c r="AA1640" s="1610"/>
      <c r="AB1640" s="1610"/>
      <c r="AC1640" s="1610"/>
      <c r="AD1640" s="1610"/>
      <c r="AE1640" s="1610"/>
      <c r="AF1640" s="1610"/>
      <c r="AG1640" s="1610"/>
      <c r="AH1640" s="1610"/>
      <c r="AI1640" s="1610"/>
      <c r="AJ1640" s="1610"/>
      <c r="AK1640" s="1610"/>
      <c r="AL1640" s="1610"/>
      <c r="AM1640" s="1610"/>
      <c r="AN1640" s="1610"/>
      <c r="AO1640" s="1610"/>
      <c r="AP1640" s="1610"/>
      <c r="AQ1640" s="1610"/>
      <c r="AR1640" s="1236"/>
      <c r="AS1640" s="1236"/>
      <c r="AT1640" s="1610"/>
      <c r="AU1640" s="1610"/>
      <c r="AV1640" s="1610"/>
      <c r="AW1640" s="1610"/>
      <c r="AX1640" s="1610"/>
      <c r="AY1640" s="1610"/>
      <c r="AZ1640" s="1610"/>
      <c r="BA1640" s="1610"/>
      <c r="BB1640" s="1610"/>
      <c r="BC1640" s="1610"/>
      <c r="BD1640" s="1610"/>
      <c r="BE1640" s="1610"/>
      <c r="BG1640" s="1195"/>
      <c r="BH1640" s="1195"/>
      <c r="BI1640" s="1195"/>
      <c r="BJ1640" s="1195"/>
      <c r="BK1640" s="1195"/>
      <c r="BL1640" s="1195"/>
      <c r="BM1640" s="1217"/>
      <c r="BN1640" s="1217"/>
      <c r="BO1640" s="1217"/>
      <c r="BP1640" s="1217"/>
      <c r="BQ1640" s="1217"/>
      <c r="BR1640" s="1217"/>
    </row>
    <row r="1641" spans="1:70" ht="12.75" x14ac:dyDescent="0.2">
      <c r="A1641" s="70"/>
      <c r="B1641" s="70"/>
      <c r="C1641" s="1170"/>
      <c r="D1641" s="1613"/>
      <c r="E1641" s="1613"/>
      <c r="F1641" s="1613"/>
      <c r="G1641" s="1613"/>
      <c r="H1641" s="1613"/>
      <c r="I1641" s="1613"/>
      <c r="J1641" s="1613"/>
      <c r="K1641" s="1613"/>
      <c r="L1641" s="1613"/>
      <c r="M1641" s="1613"/>
      <c r="N1641" s="1613"/>
      <c r="O1641" s="1613"/>
      <c r="P1641" s="407"/>
      <c r="Q1641" s="407"/>
      <c r="R1641" s="407"/>
      <c r="S1641" s="407"/>
      <c r="T1641" s="407"/>
      <c r="U1641" s="407"/>
      <c r="V1641" s="407"/>
      <c r="W1641" s="407"/>
      <c r="X1641" s="407"/>
      <c r="Y1641" s="407"/>
      <c r="Z1641" s="407"/>
      <c r="AA1641" s="407"/>
      <c r="AB1641" s="407"/>
      <c r="AC1641" s="407"/>
      <c r="AD1641" s="407"/>
      <c r="AE1641" s="407"/>
      <c r="AF1641" s="407"/>
      <c r="AG1641" s="407"/>
      <c r="AH1641" s="407"/>
      <c r="AI1641" s="407"/>
      <c r="AJ1641" s="407"/>
      <c r="AK1641" s="407"/>
      <c r="AL1641" s="407"/>
      <c r="AM1641" s="407"/>
      <c r="AN1641" s="407"/>
      <c r="AO1641" s="407"/>
      <c r="AP1641" s="407"/>
      <c r="AQ1641" s="407"/>
      <c r="AR1641" s="1236"/>
      <c r="AS1641" s="1236"/>
      <c r="AT1641" s="1618"/>
      <c r="AU1641" s="407"/>
      <c r="AV1641" s="407"/>
      <c r="AW1641" s="1616"/>
      <c r="AX1641" s="1616"/>
      <c r="AY1641" s="1616"/>
      <c r="AZ1641" s="1616"/>
      <c r="BA1641" s="1616"/>
      <c r="BB1641" s="1616"/>
      <c r="BC1641" s="1616"/>
      <c r="BD1641" s="1616"/>
      <c r="BE1641" s="1616"/>
      <c r="BG1641" s="1195"/>
      <c r="BH1641" s="1195"/>
      <c r="BI1641" s="1195"/>
      <c r="BJ1641" s="1195"/>
      <c r="BK1641" s="1195"/>
      <c r="BL1641" s="1195"/>
      <c r="BM1641" s="1217"/>
      <c r="BN1641" s="1217"/>
      <c r="BO1641" s="1217"/>
      <c r="BP1641" s="1217"/>
      <c r="BQ1641" s="1217"/>
      <c r="BR1641" s="1217"/>
    </row>
    <row r="1642" spans="1:70" ht="12.75" x14ac:dyDescent="0.2">
      <c r="A1642" s="70"/>
      <c r="B1642" s="70"/>
      <c r="C1642" s="1170"/>
      <c r="D1642" s="1613"/>
      <c r="E1642" s="1613"/>
      <c r="F1642" s="1613"/>
      <c r="G1642" s="1613"/>
      <c r="H1642" s="1613"/>
      <c r="I1642" s="1613"/>
      <c r="J1642" s="1613"/>
      <c r="K1642" s="1613"/>
      <c r="L1642" s="1613"/>
      <c r="M1642" s="1613"/>
      <c r="N1642" s="1613"/>
      <c r="O1642" s="1613"/>
      <c r="P1642" s="407"/>
      <c r="Q1642" s="407"/>
      <c r="R1642" s="407"/>
      <c r="S1642" s="407"/>
      <c r="T1642" s="407"/>
      <c r="U1642" s="407"/>
      <c r="V1642" s="407"/>
      <c r="W1642" s="407"/>
      <c r="X1642" s="407"/>
      <c r="Y1642" s="407"/>
      <c r="Z1642" s="407"/>
      <c r="AA1642" s="407"/>
      <c r="AB1642" s="407"/>
      <c r="AC1642" s="407"/>
      <c r="AD1642" s="407"/>
      <c r="AE1642" s="407"/>
      <c r="AF1642" s="407"/>
      <c r="AG1642" s="407"/>
      <c r="AH1642" s="407"/>
      <c r="AI1642" s="407"/>
      <c r="AJ1642" s="407"/>
      <c r="AK1642" s="407"/>
      <c r="AL1642" s="407"/>
      <c r="AM1642" s="407"/>
      <c r="AN1642" s="407"/>
      <c r="AO1642" s="407"/>
      <c r="AP1642" s="407"/>
      <c r="AQ1642" s="407"/>
      <c r="AR1642" s="1236"/>
      <c r="AS1642" s="1236"/>
      <c r="AT1642" s="1618"/>
      <c r="AU1642" s="407"/>
      <c r="AV1642" s="407"/>
      <c r="AW1642" s="407"/>
      <c r="AX1642" s="407"/>
      <c r="AY1642" s="407"/>
      <c r="AZ1642" s="407"/>
      <c r="BA1642" s="407"/>
      <c r="BB1642" s="407"/>
      <c r="BC1642" s="407"/>
      <c r="BD1642" s="407"/>
      <c r="BE1642" s="407"/>
      <c r="BG1642" s="1195"/>
      <c r="BH1642" s="1195"/>
      <c r="BI1642" s="1195"/>
      <c r="BJ1642" s="1195"/>
      <c r="BK1642" s="1195"/>
      <c r="BL1642" s="1195"/>
      <c r="BM1642" s="1217"/>
      <c r="BN1642" s="1217"/>
      <c r="BO1642" s="1217"/>
      <c r="BP1642" s="1217"/>
      <c r="BQ1642" s="1217"/>
      <c r="BR1642" s="1217"/>
    </row>
    <row r="1643" spans="1:70" ht="12.75" x14ac:dyDescent="0.2">
      <c r="A1643" s="70"/>
      <c r="B1643" s="70"/>
      <c r="C1643" s="1170"/>
      <c r="D1643" s="1613"/>
      <c r="E1643" s="1613"/>
      <c r="F1643" s="1613"/>
      <c r="G1643" s="1613"/>
      <c r="H1643" s="1613"/>
      <c r="I1643" s="1613"/>
      <c r="J1643" s="1613"/>
      <c r="K1643" s="1613"/>
      <c r="L1643" s="1613"/>
      <c r="M1643" s="1613"/>
      <c r="N1643" s="1613"/>
      <c r="O1643" s="1613"/>
      <c r="P1643" s="407"/>
      <c r="Q1643" s="407"/>
      <c r="R1643" s="407"/>
      <c r="S1643" s="407"/>
      <c r="T1643" s="407"/>
      <c r="U1643" s="407"/>
      <c r="V1643" s="407"/>
      <c r="W1643" s="407"/>
      <c r="X1643" s="407"/>
      <c r="Y1643" s="407"/>
      <c r="Z1643" s="407"/>
      <c r="AA1643" s="407"/>
      <c r="AB1643" s="407"/>
      <c r="AC1643" s="407"/>
      <c r="AD1643" s="407"/>
      <c r="AE1643" s="407"/>
      <c r="AF1643" s="407"/>
      <c r="AG1643" s="407"/>
      <c r="AH1643" s="407"/>
      <c r="AI1643" s="407"/>
      <c r="AJ1643" s="407"/>
      <c r="AK1643" s="407"/>
      <c r="AL1643" s="407"/>
      <c r="AM1643" s="407"/>
      <c r="AN1643" s="407"/>
      <c r="AO1643" s="407"/>
      <c r="AP1643" s="407"/>
      <c r="AQ1643" s="407"/>
      <c r="AR1643" s="1236"/>
      <c r="AS1643" s="1236"/>
      <c r="AT1643" s="1618"/>
      <c r="AU1643" s="407"/>
      <c r="AV1643" s="407"/>
      <c r="AW1643" s="1367"/>
      <c r="AX1643" s="1616"/>
      <c r="AY1643" s="1616"/>
      <c r="AZ1643" s="1616"/>
      <c r="BA1643" s="1616"/>
      <c r="BB1643" s="1616"/>
      <c r="BC1643" s="1616"/>
      <c r="BD1643" s="1616"/>
      <c r="BE1643" s="1616"/>
      <c r="BG1643" s="1195"/>
      <c r="BH1643" s="1195"/>
      <c r="BI1643" s="1195"/>
      <c r="BJ1643" s="1195"/>
      <c r="BK1643" s="1195"/>
      <c r="BL1643" s="1195"/>
      <c r="BM1643" s="1217"/>
      <c r="BN1643" s="1217"/>
      <c r="BO1643" s="1217"/>
      <c r="BP1643" s="1217"/>
      <c r="BQ1643" s="1217"/>
      <c r="BR1643" s="1217"/>
    </row>
    <row r="1644" spans="1:70" ht="12.75" x14ac:dyDescent="0.2">
      <c r="A1644" s="70"/>
      <c r="B1644" s="70"/>
      <c r="C1644" s="1170"/>
      <c r="D1644" s="1613"/>
      <c r="E1644" s="1613"/>
      <c r="F1644" s="1613"/>
      <c r="G1644" s="1613"/>
      <c r="H1644" s="1613"/>
      <c r="I1644" s="1613"/>
      <c r="J1644" s="1613"/>
      <c r="K1644" s="1613"/>
      <c r="L1644" s="1613"/>
      <c r="M1644" s="1613"/>
      <c r="N1644" s="1613"/>
      <c r="O1644" s="1613"/>
      <c r="P1644" s="407"/>
      <c r="Q1644" s="407"/>
      <c r="R1644" s="407"/>
      <c r="S1644" s="407"/>
      <c r="T1644" s="407"/>
      <c r="U1644" s="407"/>
      <c r="V1644" s="407"/>
      <c r="W1644" s="407"/>
      <c r="X1644" s="407"/>
      <c r="Y1644" s="407"/>
      <c r="Z1644" s="407"/>
      <c r="AA1644" s="407"/>
      <c r="AB1644" s="407"/>
      <c r="AC1644" s="407"/>
      <c r="AD1644" s="407"/>
      <c r="AE1644" s="407"/>
      <c r="AF1644" s="407"/>
      <c r="AG1644" s="407"/>
      <c r="AH1644" s="407"/>
      <c r="AI1644" s="407"/>
      <c r="AJ1644" s="407"/>
      <c r="AK1644" s="407"/>
      <c r="AL1644" s="407"/>
      <c r="AM1644" s="407"/>
      <c r="AN1644" s="407"/>
      <c r="AO1644" s="407"/>
      <c r="AP1644" s="407"/>
      <c r="AQ1644" s="407"/>
      <c r="AR1644" s="1236"/>
      <c r="AS1644" s="1236"/>
      <c r="AT1644" s="1618"/>
      <c r="AU1644" s="407"/>
      <c r="AV1644" s="407"/>
      <c r="AW1644" s="407"/>
      <c r="AX1644" s="407"/>
      <c r="AY1644" s="407"/>
      <c r="AZ1644" s="407"/>
      <c r="BA1644" s="407"/>
      <c r="BB1644" s="407"/>
      <c r="BC1644" s="407"/>
      <c r="BD1644" s="407"/>
      <c r="BE1644" s="407"/>
      <c r="BG1644" s="1195"/>
      <c r="BH1644" s="1195"/>
      <c r="BI1644" s="1195"/>
      <c r="BJ1644" s="1195"/>
      <c r="BK1644" s="1195"/>
      <c r="BL1644" s="1195"/>
      <c r="BM1644" s="1217"/>
      <c r="BN1644" s="1217"/>
      <c r="BO1644" s="1217"/>
      <c r="BP1644" s="1217"/>
      <c r="BQ1644" s="1217"/>
      <c r="BR1644" s="1217"/>
    </row>
    <row r="1645" spans="1:70" ht="12.75" x14ac:dyDescent="0.2">
      <c r="A1645" s="70"/>
      <c r="B1645" s="70"/>
      <c r="C1645" s="1170"/>
      <c r="D1645" s="1613"/>
      <c r="E1645" s="1613"/>
      <c r="F1645" s="1613"/>
      <c r="G1645" s="1613"/>
      <c r="H1645" s="1613"/>
      <c r="I1645" s="1613"/>
      <c r="J1645" s="1613"/>
      <c r="K1645" s="1613"/>
      <c r="L1645" s="1613"/>
      <c r="M1645" s="1613"/>
      <c r="N1645" s="1613"/>
      <c r="O1645" s="1613"/>
      <c r="P1645" s="407"/>
      <c r="Q1645" s="407"/>
      <c r="R1645" s="407"/>
      <c r="S1645" s="407"/>
      <c r="T1645" s="407"/>
      <c r="U1645" s="407"/>
      <c r="V1645" s="407"/>
      <c r="W1645" s="407"/>
      <c r="X1645" s="407"/>
      <c r="Y1645" s="407"/>
      <c r="Z1645" s="407"/>
      <c r="AA1645" s="407"/>
      <c r="AB1645" s="407"/>
      <c r="AC1645" s="407"/>
      <c r="AD1645" s="407"/>
      <c r="AE1645" s="407"/>
      <c r="AF1645" s="407"/>
      <c r="AG1645" s="407"/>
      <c r="AH1645" s="407"/>
      <c r="AI1645" s="407"/>
      <c r="AJ1645" s="407"/>
      <c r="AK1645" s="407"/>
      <c r="AL1645" s="407"/>
      <c r="AM1645" s="407"/>
      <c r="AN1645" s="407"/>
      <c r="AO1645" s="407"/>
      <c r="AP1645" s="407"/>
      <c r="AQ1645" s="407"/>
      <c r="AR1645" s="1236"/>
      <c r="AS1645" s="1236"/>
      <c r="AT1645" s="1618"/>
      <c r="AU1645" s="407"/>
      <c r="AV1645" s="407"/>
      <c r="AW1645" s="1365"/>
      <c r="AX1645" s="1365"/>
      <c r="AY1645" s="1365"/>
      <c r="AZ1645" s="1620"/>
      <c r="BA1645" s="1620"/>
      <c r="BB1645" s="1620"/>
      <c r="BC1645" s="1620"/>
      <c r="BD1645" s="1620"/>
      <c r="BE1645" s="1620"/>
      <c r="BG1645" s="1195"/>
      <c r="BH1645" s="1195"/>
      <c r="BI1645" s="1195"/>
      <c r="BJ1645" s="1195"/>
      <c r="BK1645" s="1195"/>
      <c r="BL1645" s="1195"/>
      <c r="BM1645" s="1217"/>
      <c r="BN1645" s="1217"/>
      <c r="BO1645" s="1217"/>
      <c r="BP1645" s="1217"/>
      <c r="BQ1645" s="1217"/>
      <c r="BR1645" s="1217"/>
    </row>
    <row r="1646" spans="1:70" ht="12.75" x14ac:dyDescent="0.2">
      <c r="A1646" s="70"/>
      <c r="B1646" s="70"/>
      <c r="C1646" s="1170"/>
      <c r="D1646" s="1613"/>
      <c r="E1646" s="1613"/>
      <c r="F1646" s="1613"/>
      <c r="G1646" s="1613"/>
      <c r="H1646" s="1613"/>
      <c r="I1646" s="1613"/>
      <c r="J1646" s="1613"/>
      <c r="K1646" s="1613"/>
      <c r="L1646" s="1613"/>
      <c r="M1646" s="1613"/>
      <c r="N1646" s="1613"/>
      <c r="O1646" s="1613"/>
      <c r="P1646" s="407"/>
      <c r="Q1646" s="407"/>
      <c r="R1646" s="407"/>
      <c r="S1646" s="407"/>
      <c r="T1646" s="407"/>
      <c r="U1646" s="407"/>
      <c r="V1646" s="407"/>
      <c r="W1646" s="407"/>
      <c r="X1646" s="407"/>
      <c r="Y1646" s="407"/>
      <c r="Z1646" s="407"/>
      <c r="AA1646" s="407"/>
      <c r="AB1646" s="407"/>
      <c r="AC1646" s="407"/>
      <c r="AD1646" s="407"/>
      <c r="AE1646" s="407"/>
      <c r="AF1646" s="407"/>
      <c r="AG1646" s="407"/>
      <c r="AH1646" s="407"/>
      <c r="AI1646" s="407"/>
      <c r="AJ1646" s="407"/>
      <c r="AK1646" s="407"/>
      <c r="AL1646" s="407"/>
      <c r="AM1646" s="407"/>
      <c r="AN1646" s="407"/>
      <c r="AO1646" s="407"/>
      <c r="AP1646" s="407"/>
      <c r="AQ1646" s="407"/>
      <c r="AR1646" s="1236"/>
      <c r="AS1646" s="1236"/>
      <c r="AT1646" s="1618"/>
      <c r="AU1646" s="407"/>
      <c r="AV1646" s="407"/>
      <c r="AW1646" s="407"/>
      <c r="AX1646" s="407"/>
      <c r="AY1646" s="407"/>
      <c r="AZ1646" s="407"/>
      <c r="BA1646" s="407"/>
      <c r="BB1646" s="407"/>
      <c r="BC1646" s="407"/>
      <c r="BD1646" s="407"/>
      <c r="BE1646" s="407"/>
      <c r="BG1646" s="1195"/>
      <c r="BH1646" s="1195"/>
      <c r="BI1646" s="1195"/>
      <c r="BJ1646" s="1195"/>
      <c r="BK1646" s="1195"/>
      <c r="BL1646" s="1195"/>
      <c r="BM1646" s="1217"/>
      <c r="BN1646" s="1217"/>
      <c r="BO1646" s="1217"/>
      <c r="BP1646" s="1217"/>
      <c r="BQ1646" s="1217"/>
      <c r="BR1646" s="1217"/>
    </row>
    <row r="1647" spans="1:70" ht="12.75" x14ac:dyDescent="0.2">
      <c r="A1647" s="70"/>
      <c r="B1647" s="70"/>
      <c r="C1647" s="1170"/>
      <c r="D1647" s="1613"/>
      <c r="E1647" s="1613"/>
      <c r="F1647" s="1613"/>
      <c r="G1647" s="1613"/>
      <c r="H1647" s="1613"/>
      <c r="I1647" s="1613"/>
      <c r="J1647" s="1613"/>
      <c r="K1647" s="1613"/>
      <c r="L1647" s="1613"/>
      <c r="M1647" s="1613"/>
      <c r="N1647" s="1613"/>
      <c r="O1647" s="1613"/>
      <c r="P1647" s="407"/>
      <c r="Q1647" s="407"/>
      <c r="R1647" s="407"/>
      <c r="S1647" s="407"/>
      <c r="T1647" s="407"/>
      <c r="U1647" s="407"/>
      <c r="V1647" s="407"/>
      <c r="W1647" s="407"/>
      <c r="X1647" s="407"/>
      <c r="Y1647" s="407"/>
      <c r="Z1647" s="407"/>
      <c r="AA1647" s="407"/>
      <c r="AB1647" s="407"/>
      <c r="AC1647" s="407"/>
      <c r="AD1647" s="407"/>
      <c r="AE1647" s="407"/>
      <c r="AF1647" s="407"/>
      <c r="AG1647" s="407"/>
      <c r="AH1647" s="407"/>
      <c r="AI1647" s="407"/>
      <c r="AJ1647" s="407"/>
      <c r="AK1647" s="407"/>
      <c r="AL1647" s="407"/>
      <c r="AM1647" s="407"/>
      <c r="AN1647" s="407"/>
      <c r="AO1647" s="407"/>
      <c r="AP1647" s="407"/>
      <c r="AQ1647" s="407"/>
      <c r="AR1647" s="1236"/>
      <c r="AS1647" s="1236"/>
      <c r="AT1647" s="1618"/>
      <c r="AU1647" s="407"/>
      <c r="AV1647" s="407"/>
      <c r="AW1647" s="407"/>
      <c r="AX1647" s="407"/>
      <c r="AY1647" s="407"/>
      <c r="AZ1647" s="407"/>
      <c r="BA1647" s="407"/>
      <c r="BB1647" s="407"/>
      <c r="BC1647" s="407"/>
      <c r="BD1647" s="407"/>
      <c r="BE1647" s="407"/>
      <c r="BG1647" s="1195"/>
      <c r="BH1647" s="1195"/>
      <c r="BI1647" s="1195"/>
      <c r="BJ1647" s="1195"/>
      <c r="BK1647" s="1195"/>
      <c r="BL1647" s="1195"/>
      <c r="BM1647" s="1217"/>
      <c r="BN1647" s="1217"/>
      <c r="BO1647" s="1217"/>
      <c r="BP1647" s="1217"/>
      <c r="BQ1647" s="1217"/>
      <c r="BR1647" s="1217"/>
    </row>
    <row r="1648" spans="1:70" ht="12.75" x14ac:dyDescent="0.2">
      <c r="A1648" s="70"/>
      <c r="B1648" s="70"/>
      <c r="C1648" s="1170"/>
      <c r="D1648" s="1613"/>
      <c r="E1648" s="1613"/>
      <c r="F1648" s="1613"/>
      <c r="G1648" s="1613"/>
      <c r="H1648" s="1613"/>
      <c r="I1648" s="1613"/>
      <c r="J1648" s="1613"/>
      <c r="K1648" s="1613"/>
      <c r="L1648" s="1613"/>
      <c r="M1648" s="1613"/>
      <c r="N1648" s="1613"/>
      <c r="O1648" s="1613"/>
      <c r="P1648" s="407"/>
      <c r="Q1648" s="407"/>
      <c r="R1648" s="407"/>
      <c r="S1648" s="407"/>
      <c r="T1648" s="407"/>
      <c r="U1648" s="407"/>
      <c r="V1648" s="407"/>
      <c r="W1648" s="407"/>
      <c r="X1648" s="407"/>
      <c r="Y1648" s="407"/>
      <c r="Z1648" s="407"/>
      <c r="AA1648" s="407"/>
      <c r="AB1648" s="407"/>
      <c r="AC1648" s="407"/>
      <c r="AD1648" s="407"/>
      <c r="AE1648" s="407"/>
      <c r="AF1648" s="407"/>
      <c r="AG1648" s="407"/>
      <c r="AH1648" s="407"/>
      <c r="AI1648" s="407"/>
      <c r="AJ1648" s="407"/>
      <c r="AK1648" s="407"/>
      <c r="AL1648" s="407"/>
      <c r="AM1648" s="407"/>
      <c r="AN1648" s="407"/>
      <c r="AO1648" s="407"/>
      <c r="AP1648" s="407"/>
      <c r="AQ1648" s="407"/>
      <c r="AR1648" s="1236"/>
      <c r="AS1648" s="1236"/>
      <c r="AT1648" s="1618"/>
      <c r="AU1648" s="407"/>
      <c r="AV1648" s="407"/>
      <c r="AW1648" s="407"/>
      <c r="AX1648" s="407"/>
      <c r="AY1648" s="407"/>
      <c r="AZ1648" s="407"/>
      <c r="BA1648" s="407"/>
      <c r="BB1648" s="407"/>
      <c r="BC1648" s="407"/>
      <c r="BD1648" s="407"/>
      <c r="BE1648" s="407"/>
      <c r="BG1648" s="1195"/>
      <c r="BH1648" s="1195"/>
      <c r="BI1648" s="1195"/>
      <c r="BJ1648" s="1195"/>
      <c r="BK1648" s="1195"/>
      <c r="BL1648" s="1195"/>
      <c r="BM1648" s="1217"/>
      <c r="BN1648" s="1217"/>
      <c r="BO1648" s="1217"/>
      <c r="BP1648" s="1217"/>
      <c r="BQ1648" s="1217"/>
      <c r="BR1648" s="1217"/>
    </row>
    <row r="1649" spans="1:70" ht="12.75" x14ac:dyDescent="0.2">
      <c r="A1649" s="70"/>
      <c r="B1649" s="70"/>
      <c r="C1649" s="1170"/>
      <c r="D1649" s="1613"/>
      <c r="E1649" s="1613"/>
      <c r="F1649" s="1613"/>
      <c r="G1649" s="1613"/>
      <c r="H1649" s="1613"/>
      <c r="I1649" s="1613"/>
      <c r="J1649" s="1613"/>
      <c r="K1649" s="1613"/>
      <c r="L1649" s="1613"/>
      <c r="M1649" s="1613"/>
      <c r="N1649" s="1613"/>
      <c r="O1649" s="1613"/>
      <c r="P1649" s="407"/>
      <c r="Q1649" s="407"/>
      <c r="R1649" s="407"/>
      <c r="S1649" s="407"/>
      <c r="T1649" s="407"/>
      <c r="U1649" s="407"/>
      <c r="V1649" s="407"/>
      <c r="W1649" s="407"/>
      <c r="X1649" s="407"/>
      <c r="Y1649" s="407"/>
      <c r="Z1649" s="407"/>
      <c r="AA1649" s="407"/>
      <c r="AB1649" s="407"/>
      <c r="AC1649" s="407"/>
      <c r="AD1649" s="407"/>
      <c r="AE1649" s="407"/>
      <c r="AF1649" s="407"/>
      <c r="AG1649" s="407"/>
      <c r="AH1649" s="407"/>
      <c r="AI1649" s="407"/>
      <c r="AJ1649" s="407"/>
      <c r="AK1649" s="407"/>
      <c r="AL1649" s="407"/>
      <c r="AM1649" s="407"/>
      <c r="AN1649" s="407"/>
      <c r="AO1649" s="407"/>
      <c r="AP1649" s="407"/>
      <c r="AQ1649" s="407"/>
      <c r="AR1649" s="1236"/>
      <c r="AS1649" s="1236"/>
      <c r="AT1649" s="1618"/>
      <c r="AU1649" s="407"/>
      <c r="AV1649" s="407"/>
      <c r="AW1649" s="1615"/>
      <c r="AX1649" s="1615"/>
      <c r="AY1649" s="1615"/>
      <c r="AZ1649" s="1615"/>
      <c r="BA1649" s="1615"/>
      <c r="BB1649" s="1615"/>
      <c r="BC1649" s="1615"/>
      <c r="BD1649" s="1615"/>
      <c r="BE1649" s="1615"/>
      <c r="BG1649" s="1196"/>
      <c r="BH1649" s="1196"/>
      <c r="BI1649" s="1196"/>
      <c r="BJ1649" s="1196"/>
      <c r="BK1649" s="1196"/>
      <c r="BL1649" s="1196"/>
      <c r="BM1649" s="1217"/>
      <c r="BN1649" s="1217"/>
      <c r="BO1649" s="1217"/>
      <c r="BP1649" s="1217"/>
      <c r="BQ1649" s="1217"/>
      <c r="BR1649" s="1217"/>
    </row>
    <row r="1650" spans="1:70" ht="12.75" x14ac:dyDescent="0.2">
      <c r="A1650" s="70"/>
      <c r="B1650" s="70"/>
      <c r="C1650" s="1170"/>
      <c r="D1650" s="1613"/>
      <c r="E1650" s="1613"/>
      <c r="F1650" s="1613"/>
      <c r="G1650" s="1613"/>
      <c r="H1650" s="1613"/>
      <c r="I1650" s="1613"/>
      <c r="J1650" s="1613"/>
      <c r="K1650" s="1613"/>
      <c r="L1650" s="1613"/>
      <c r="M1650" s="1613"/>
      <c r="N1650" s="1613"/>
      <c r="O1650" s="1613"/>
      <c r="P1650" s="407"/>
      <c r="Q1650" s="407"/>
      <c r="R1650" s="407"/>
      <c r="S1650" s="407"/>
      <c r="T1650" s="407"/>
      <c r="U1650" s="407"/>
      <c r="V1650" s="407"/>
      <c r="W1650" s="407"/>
      <c r="X1650" s="407"/>
      <c r="Y1650" s="407"/>
      <c r="Z1650" s="407"/>
      <c r="AA1650" s="407"/>
      <c r="AB1650" s="407"/>
      <c r="AC1650" s="407"/>
      <c r="AD1650" s="407"/>
      <c r="AE1650" s="407"/>
      <c r="AF1650" s="407"/>
      <c r="AG1650" s="407"/>
      <c r="AH1650" s="407"/>
      <c r="AI1650" s="407"/>
      <c r="AJ1650" s="407"/>
      <c r="AK1650" s="407"/>
      <c r="AL1650" s="407"/>
      <c r="AM1650" s="407"/>
      <c r="AN1650" s="407"/>
      <c r="AO1650" s="407"/>
      <c r="AP1650" s="407"/>
      <c r="AQ1650" s="407"/>
      <c r="AR1650" s="1236"/>
      <c r="AS1650" s="1236"/>
      <c r="AT1650" s="1618"/>
      <c r="AU1650" s="407"/>
      <c r="AV1650" s="407"/>
      <c r="AW1650" s="407"/>
      <c r="AX1650" s="407"/>
      <c r="AY1650" s="407"/>
      <c r="AZ1650" s="407"/>
      <c r="BA1650" s="407"/>
      <c r="BB1650" s="407"/>
      <c r="BC1650" s="407"/>
      <c r="BD1650" s="407"/>
      <c r="BE1650" s="407"/>
      <c r="BG1650" s="1195"/>
      <c r="BH1650" s="1195"/>
      <c r="BI1650" s="1195"/>
      <c r="BJ1650" s="1195"/>
      <c r="BK1650" s="1195"/>
      <c r="BL1650" s="1195"/>
      <c r="BM1650" s="1217"/>
      <c r="BN1650" s="1217"/>
      <c r="BO1650" s="1217"/>
      <c r="BP1650" s="1217"/>
      <c r="BQ1650" s="1217"/>
      <c r="BR1650" s="1217"/>
    </row>
    <row r="1651" spans="1:70" ht="12.75" x14ac:dyDescent="0.2">
      <c r="A1651" s="70"/>
      <c r="B1651" s="70"/>
      <c r="C1651" s="1170"/>
      <c r="D1651" s="1613"/>
      <c r="E1651" s="1613"/>
      <c r="F1651" s="1613"/>
      <c r="G1651" s="1613"/>
      <c r="H1651" s="1613"/>
      <c r="I1651" s="1613"/>
      <c r="J1651" s="1613"/>
      <c r="K1651" s="1613"/>
      <c r="L1651" s="1613"/>
      <c r="M1651" s="1613"/>
      <c r="N1651" s="1613"/>
      <c r="O1651" s="1613"/>
      <c r="P1651" s="407"/>
      <c r="Q1651" s="407"/>
      <c r="R1651" s="407"/>
      <c r="S1651" s="407"/>
      <c r="T1651" s="407"/>
      <c r="U1651" s="407"/>
      <c r="V1651" s="407"/>
      <c r="W1651" s="407"/>
      <c r="X1651" s="407"/>
      <c r="Y1651" s="407"/>
      <c r="Z1651" s="407"/>
      <c r="AA1651" s="407"/>
      <c r="AB1651" s="407"/>
      <c r="AC1651" s="407"/>
      <c r="AD1651" s="407"/>
      <c r="AE1651" s="407"/>
      <c r="AF1651" s="407"/>
      <c r="AG1651" s="407"/>
      <c r="AH1651" s="407"/>
      <c r="AI1651" s="407"/>
      <c r="AJ1651" s="407"/>
      <c r="AK1651" s="407"/>
      <c r="AL1651" s="407"/>
      <c r="AM1651" s="407"/>
      <c r="AN1651" s="407"/>
      <c r="AO1651" s="407"/>
      <c r="AP1651" s="407"/>
      <c r="AQ1651" s="407"/>
      <c r="AR1651" s="1236"/>
      <c r="AS1651" s="1236"/>
      <c r="AT1651" s="1618"/>
      <c r="AU1651" s="407"/>
      <c r="AV1651" s="407"/>
      <c r="AW1651" s="1615"/>
      <c r="AX1651" s="1615"/>
      <c r="AY1651" s="1615"/>
      <c r="AZ1651" s="1615"/>
      <c r="BA1651" s="1615"/>
      <c r="BB1651" s="1615"/>
      <c r="BC1651" s="1615"/>
      <c r="BD1651" s="1615"/>
      <c r="BE1651" s="1615"/>
      <c r="BG1651" s="1196"/>
      <c r="BH1651" s="1196"/>
      <c r="BI1651" s="1196"/>
      <c r="BJ1651" s="1196"/>
      <c r="BK1651" s="1196"/>
      <c r="BL1651" s="1196"/>
      <c r="BM1651" s="1217"/>
      <c r="BN1651" s="1217"/>
      <c r="BO1651" s="1217"/>
      <c r="BP1651" s="1217"/>
      <c r="BQ1651" s="1217"/>
      <c r="BR1651" s="1217"/>
    </row>
    <row r="1652" spans="1:70" ht="12.75" x14ac:dyDescent="0.2">
      <c r="A1652" s="70"/>
      <c r="B1652" s="70"/>
      <c r="C1652" s="1170"/>
      <c r="D1652" s="1613"/>
      <c r="E1652" s="1613"/>
      <c r="F1652" s="1613"/>
      <c r="G1652" s="1613"/>
      <c r="H1652" s="1613"/>
      <c r="I1652" s="1613"/>
      <c r="J1652" s="1613"/>
      <c r="K1652" s="1613"/>
      <c r="L1652" s="1613"/>
      <c r="M1652" s="1613"/>
      <c r="N1652" s="1613"/>
      <c r="O1652" s="1613"/>
      <c r="P1652" s="407"/>
      <c r="Q1652" s="407"/>
      <c r="R1652" s="407"/>
      <c r="S1652" s="407"/>
      <c r="T1652" s="407"/>
      <c r="U1652" s="407"/>
      <c r="V1652" s="407"/>
      <c r="W1652" s="407"/>
      <c r="X1652" s="407"/>
      <c r="Y1652" s="407"/>
      <c r="Z1652" s="407"/>
      <c r="AA1652" s="407"/>
      <c r="AB1652" s="407"/>
      <c r="AC1652" s="407"/>
      <c r="AD1652" s="407"/>
      <c r="AE1652" s="407"/>
      <c r="AF1652" s="407"/>
      <c r="AG1652" s="407"/>
      <c r="AH1652" s="407"/>
      <c r="AI1652" s="407"/>
      <c r="AJ1652" s="407"/>
      <c r="AK1652" s="407"/>
      <c r="AL1652" s="407"/>
      <c r="AM1652" s="407"/>
      <c r="AN1652" s="407"/>
      <c r="AO1652" s="407"/>
      <c r="AP1652" s="407"/>
      <c r="AQ1652" s="407"/>
      <c r="AR1652" s="1236"/>
      <c r="AS1652" s="1236"/>
      <c r="AT1652" s="1618"/>
      <c r="AU1652" s="407"/>
      <c r="AV1652" s="407"/>
      <c r="AW1652" s="1615"/>
      <c r="AX1652" s="1615"/>
      <c r="AY1652" s="1615"/>
      <c r="AZ1652" s="1615"/>
      <c r="BA1652" s="1615"/>
      <c r="BB1652" s="1615"/>
      <c r="BC1652" s="1615"/>
      <c r="BD1652" s="1615"/>
      <c r="BE1652" s="1615"/>
      <c r="BG1652" s="1196"/>
      <c r="BH1652" s="1196"/>
      <c r="BI1652" s="1196"/>
      <c r="BJ1652" s="1196"/>
      <c r="BK1652" s="1196"/>
      <c r="BL1652" s="1196"/>
      <c r="BM1652" s="1217"/>
      <c r="BN1652" s="1217"/>
      <c r="BO1652" s="1217"/>
      <c r="BP1652" s="1217"/>
      <c r="BQ1652" s="1217"/>
      <c r="BR1652" s="1217"/>
    </row>
    <row r="1653" spans="1:70" ht="12.75" x14ac:dyDescent="0.2">
      <c r="A1653" s="70"/>
      <c r="B1653" s="70"/>
      <c r="C1653" s="1170"/>
      <c r="D1653" s="1613"/>
      <c r="E1653" s="1613"/>
      <c r="F1653" s="1613"/>
      <c r="G1653" s="1613"/>
      <c r="H1653" s="1613"/>
      <c r="I1653" s="1613"/>
      <c r="J1653" s="1613"/>
      <c r="K1653" s="1613"/>
      <c r="L1653" s="1613"/>
      <c r="M1653" s="1613"/>
      <c r="N1653" s="1613"/>
      <c r="O1653" s="1613"/>
      <c r="P1653" s="407"/>
      <c r="Q1653" s="407"/>
      <c r="R1653" s="407"/>
      <c r="S1653" s="407"/>
      <c r="T1653" s="407"/>
      <c r="U1653" s="407"/>
      <c r="V1653" s="407"/>
      <c r="W1653" s="407"/>
      <c r="X1653" s="407"/>
      <c r="Y1653" s="407"/>
      <c r="Z1653" s="407"/>
      <c r="AA1653" s="407"/>
      <c r="AB1653" s="407"/>
      <c r="AC1653" s="407"/>
      <c r="AD1653" s="407"/>
      <c r="AE1653" s="407"/>
      <c r="AF1653" s="407"/>
      <c r="AG1653" s="407"/>
      <c r="AH1653" s="407"/>
      <c r="AI1653" s="407"/>
      <c r="AJ1653" s="407"/>
      <c r="AK1653" s="407"/>
      <c r="AL1653" s="407"/>
      <c r="AM1653" s="407"/>
      <c r="AN1653" s="407"/>
      <c r="AO1653" s="407"/>
      <c r="AP1653" s="407"/>
      <c r="AQ1653" s="407"/>
      <c r="AR1653" s="1236"/>
      <c r="AS1653" s="1236"/>
      <c r="AT1653" s="1618"/>
      <c r="AU1653" s="407"/>
      <c r="AV1653" s="407"/>
      <c r="AW1653" s="1615"/>
      <c r="AX1653" s="1615"/>
      <c r="AY1653" s="1615"/>
      <c r="AZ1653" s="1615"/>
      <c r="BA1653" s="1615"/>
      <c r="BB1653" s="1615"/>
      <c r="BC1653" s="1615"/>
      <c r="BD1653" s="1615"/>
      <c r="BE1653" s="1615"/>
      <c r="BG1653" s="1196"/>
      <c r="BH1653" s="1196"/>
      <c r="BI1653" s="1196"/>
      <c r="BJ1653" s="1196"/>
      <c r="BK1653" s="1196"/>
      <c r="BL1653" s="1196"/>
      <c r="BM1653" s="1217"/>
      <c r="BN1653" s="1217"/>
      <c r="BO1653" s="1217"/>
      <c r="BP1653" s="1217"/>
      <c r="BQ1653" s="1217"/>
      <c r="BR1653" s="1217"/>
    </row>
    <row r="1654" spans="1:70" ht="12.75" x14ac:dyDescent="0.2">
      <c r="A1654" s="70"/>
      <c r="B1654" s="70"/>
      <c r="C1654" s="1171"/>
      <c r="D1654" s="1613"/>
      <c r="E1654" s="1613"/>
      <c r="F1654" s="1613"/>
      <c r="G1654" s="1613"/>
      <c r="H1654" s="1613"/>
      <c r="I1654" s="1613"/>
      <c r="J1654" s="1613"/>
      <c r="K1654" s="1613"/>
      <c r="L1654" s="1613"/>
      <c r="M1654" s="1613"/>
      <c r="N1654" s="1613"/>
      <c r="O1654" s="1613"/>
      <c r="P1654" s="407"/>
      <c r="Q1654" s="407"/>
      <c r="R1654" s="407"/>
      <c r="S1654" s="407"/>
      <c r="T1654" s="407"/>
      <c r="U1654" s="407"/>
      <c r="V1654" s="407"/>
      <c r="W1654" s="407"/>
      <c r="X1654" s="407"/>
      <c r="Y1654" s="407"/>
      <c r="Z1654" s="407"/>
      <c r="AA1654" s="407"/>
      <c r="AB1654" s="407"/>
      <c r="AC1654" s="407"/>
      <c r="AD1654" s="407"/>
      <c r="AE1654" s="407"/>
      <c r="AF1654" s="407"/>
      <c r="AG1654" s="407"/>
      <c r="AH1654" s="407"/>
      <c r="AI1654" s="407"/>
      <c r="AJ1654" s="407"/>
      <c r="AK1654" s="407"/>
      <c r="AL1654" s="407"/>
      <c r="AM1654" s="407"/>
      <c r="AN1654" s="407"/>
      <c r="AO1654" s="407"/>
      <c r="AP1654" s="407"/>
      <c r="AQ1654" s="407"/>
      <c r="AR1654" s="1236"/>
      <c r="AS1654" s="1236"/>
      <c r="AT1654" s="1619"/>
      <c r="AU1654" s="407"/>
      <c r="AV1654" s="407"/>
      <c r="AW1654" s="407"/>
      <c r="AX1654" s="407"/>
      <c r="AY1654" s="407"/>
      <c r="AZ1654" s="407"/>
      <c r="BA1654" s="407"/>
      <c r="BB1654" s="407"/>
      <c r="BC1654" s="407"/>
      <c r="BD1654" s="407"/>
      <c r="BE1654" s="407"/>
      <c r="BM1654" s="1217"/>
      <c r="BN1654" s="1217"/>
      <c r="BO1654" s="1217"/>
      <c r="BP1654" s="1217"/>
      <c r="BQ1654" s="1217"/>
      <c r="BR1654" s="1217"/>
    </row>
    <row r="1655" spans="1:70" x14ac:dyDescent="0.2">
      <c r="A1655" s="70"/>
      <c r="B1655" s="70"/>
      <c r="C1655" s="1164"/>
      <c r="D1655" s="1610"/>
      <c r="E1655" s="1610"/>
      <c r="F1655" s="1610"/>
      <c r="G1655" s="1610"/>
      <c r="H1655" s="1610"/>
      <c r="I1655" s="1610"/>
      <c r="J1655" s="1610"/>
      <c r="K1655" s="1610"/>
      <c r="L1655" s="1610"/>
      <c r="M1655" s="1610"/>
      <c r="N1655" s="1610"/>
      <c r="O1655" s="1610"/>
      <c r="P1655" s="1610"/>
      <c r="Q1655" s="1610"/>
      <c r="R1655" s="1610"/>
      <c r="S1655" s="1610"/>
      <c r="T1655" s="1610"/>
      <c r="U1655" s="1610"/>
      <c r="V1655" s="1610"/>
      <c r="W1655" s="1610"/>
      <c r="X1655" s="1610"/>
      <c r="Y1655" s="1610"/>
      <c r="Z1655" s="1610"/>
      <c r="AA1655" s="1610"/>
      <c r="AB1655" s="1610"/>
      <c r="AC1655" s="1610"/>
      <c r="AD1655" s="1610"/>
      <c r="AE1655" s="1610"/>
      <c r="AF1655" s="1610"/>
      <c r="AG1655" s="1610"/>
      <c r="AH1655" s="1610"/>
      <c r="AI1655" s="1610"/>
      <c r="AJ1655" s="1610"/>
      <c r="AK1655" s="1610"/>
      <c r="AL1655" s="1610"/>
      <c r="AM1655" s="1610"/>
      <c r="AN1655" s="1610"/>
      <c r="AO1655" s="1610"/>
      <c r="AP1655" s="1610"/>
      <c r="AQ1655" s="1610"/>
      <c r="AR1655" s="1236"/>
      <c r="AS1655" s="1236"/>
      <c r="AT1655" s="1610"/>
      <c r="AU1655" s="1610"/>
      <c r="AV1655" s="1610"/>
      <c r="AW1655" s="1610"/>
      <c r="AX1655" s="1610"/>
      <c r="AY1655" s="1610"/>
      <c r="AZ1655" s="1610"/>
      <c r="BA1655" s="1610"/>
      <c r="BB1655" s="1610"/>
      <c r="BC1655" s="1610"/>
      <c r="BD1655" s="1610"/>
      <c r="BE1655" s="1610"/>
      <c r="BM1655" s="1217"/>
      <c r="BN1655" s="1217"/>
      <c r="BO1655" s="1217"/>
      <c r="BP1655" s="1217"/>
      <c r="BQ1655" s="1217"/>
      <c r="BR1655" s="1217"/>
    </row>
    <row r="1656" spans="1:70" ht="12.75" x14ac:dyDescent="0.2">
      <c r="A1656" s="70"/>
      <c r="B1656" s="70"/>
      <c r="C1656" s="1170"/>
      <c r="D1656" s="1613"/>
      <c r="E1656" s="1613"/>
      <c r="F1656" s="1613"/>
      <c r="G1656" s="1613"/>
      <c r="H1656" s="1613"/>
      <c r="I1656" s="1613"/>
      <c r="J1656" s="1613"/>
      <c r="K1656" s="1613"/>
      <c r="L1656" s="1613"/>
      <c r="M1656" s="1613"/>
      <c r="N1656" s="1613"/>
      <c r="O1656" s="1613"/>
      <c r="P1656" s="407"/>
      <c r="Q1656" s="407"/>
      <c r="R1656" s="407"/>
      <c r="S1656" s="407"/>
      <c r="T1656" s="407"/>
      <c r="U1656" s="407"/>
      <c r="V1656" s="407"/>
      <c r="W1656" s="407"/>
      <c r="X1656" s="407"/>
      <c r="Y1656" s="407"/>
      <c r="Z1656" s="407"/>
      <c r="AA1656" s="407"/>
      <c r="AB1656" s="407"/>
      <c r="AC1656" s="407"/>
      <c r="AD1656" s="407"/>
      <c r="AE1656" s="407"/>
      <c r="AF1656" s="407"/>
      <c r="AG1656" s="407"/>
      <c r="AH1656" s="407"/>
      <c r="AI1656" s="407"/>
      <c r="AJ1656" s="407"/>
      <c r="AK1656" s="407"/>
      <c r="AL1656" s="407"/>
      <c r="AM1656" s="407"/>
      <c r="AN1656" s="407"/>
      <c r="AO1656" s="407"/>
      <c r="AP1656" s="407"/>
      <c r="AQ1656" s="407"/>
      <c r="AR1656" s="1236"/>
      <c r="AS1656" s="1236"/>
      <c r="AT1656" s="1618"/>
      <c r="AU1656" s="407"/>
      <c r="AV1656" s="407"/>
      <c r="AW1656" s="1615"/>
      <c r="AX1656" s="1615"/>
      <c r="AY1656" s="1615"/>
      <c r="AZ1656" s="1615"/>
      <c r="BA1656" s="1615"/>
      <c r="BB1656" s="1615"/>
      <c r="BC1656" s="1615"/>
      <c r="BD1656" s="1615"/>
      <c r="BE1656" s="1615"/>
      <c r="BG1656" s="1092"/>
      <c r="BH1656" s="1092"/>
      <c r="BI1656" s="1092"/>
      <c r="BJ1656" s="1092"/>
      <c r="BK1656" s="1092"/>
      <c r="BL1656" s="1092"/>
      <c r="BM1656" s="1217"/>
      <c r="BN1656" s="1217"/>
      <c r="BO1656" s="1217"/>
      <c r="BP1656" s="1217"/>
      <c r="BQ1656" s="1217"/>
      <c r="BR1656" s="1217"/>
    </row>
    <row r="1657" spans="1:70" ht="12.75" x14ac:dyDescent="0.2">
      <c r="A1657" s="70"/>
      <c r="B1657" s="70"/>
      <c r="C1657" s="1170"/>
      <c r="D1657" s="1613"/>
      <c r="E1657" s="1613"/>
      <c r="F1657" s="1613"/>
      <c r="G1657" s="1613"/>
      <c r="H1657" s="1613"/>
      <c r="I1657" s="1613"/>
      <c r="J1657" s="1613"/>
      <c r="K1657" s="1613"/>
      <c r="L1657" s="1613"/>
      <c r="M1657" s="1613"/>
      <c r="N1657" s="1613"/>
      <c r="O1657" s="1613"/>
      <c r="P1657" s="407"/>
      <c r="Q1657" s="407"/>
      <c r="R1657" s="407"/>
      <c r="S1657" s="407"/>
      <c r="T1657" s="407"/>
      <c r="U1657" s="407"/>
      <c r="V1657" s="407"/>
      <c r="W1657" s="407"/>
      <c r="X1657" s="407"/>
      <c r="Y1657" s="407"/>
      <c r="Z1657" s="407"/>
      <c r="AA1657" s="407"/>
      <c r="AB1657" s="407"/>
      <c r="AC1657" s="407"/>
      <c r="AD1657" s="407"/>
      <c r="AE1657" s="407"/>
      <c r="AF1657" s="407"/>
      <c r="AG1657" s="407"/>
      <c r="AH1657" s="407"/>
      <c r="AI1657" s="407"/>
      <c r="AJ1657" s="407"/>
      <c r="AK1657" s="407"/>
      <c r="AL1657" s="407"/>
      <c r="AM1657" s="407"/>
      <c r="AN1657" s="407"/>
      <c r="AO1657" s="407"/>
      <c r="AP1657" s="407"/>
      <c r="AQ1657" s="407"/>
      <c r="AR1657" s="1236"/>
      <c r="AS1657" s="1236"/>
      <c r="AT1657" s="1618"/>
      <c r="AU1657" s="407"/>
      <c r="AV1657" s="407"/>
      <c r="AW1657" s="1615"/>
      <c r="AX1657" s="1615"/>
      <c r="AY1657" s="1615"/>
      <c r="AZ1657" s="1615"/>
      <c r="BA1657" s="1615"/>
      <c r="BB1657" s="1615"/>
      <c r="BC1657" s="1615"/>
      <c r="BD1657" s="1615"/>
      <c r="BE1657" s="1615"/>
      <c r="BG1657" s="1092"/>
      <c r="BH1657" s="1092"/>
      <c r="BI1657" s="1092"/>
      <c r="BJ1657" s="1092"/>
      <c r="BK1657" s="1092"/>
      <c r="BL1657" s="1092"/>
      <c r="BM1657" s="1217"/>
      <c r="BN1657" s="1217"/>
      <c r="BO1657" s="1217"/>
      <c r="BP1657" s="1217"/>
      <c r="BQ1657" s="1217"/>
      <c r="BR1657" s="1217"/>
    </row>
    <row r="1658" spans="1:70" ht="12.75" x14ac:dyDescent="0.2">
      <c r="A1658" s="70"/>
      <c r="B1658" s="70"/>
      <c r="C1658" s="1170"/>
      <c r="D1658" s="1613"/>
      <c r="E1658" s="1613"/>
      <c r="F1658" s="1613"/>
      <c r="G1658" s="1613"/>
      <c r="H1658" s="1613"/>
      <c r="I1658" s="1613"/>
      <c r="J1658" s="1613"/>
      <c r="K1658" s="1613"/>
      <c r="L1658" s="1613"/>
      <c r="M1658" s="1613"/>
      <c r="N1658" s="1613"/>
      <c r="O1658" s="1613"/>
      <c r="P1658" s="407"/>
      <c r="Q1658" s="407"/>
      <c r="R1658" s="407"/>
      <c r="S1658" s="407"/>
      <c r="T1658" s="407"/>
      <c r="U1658" s="407"/>
      <c r="V1658" s="407"/>
      <c r="W1658" s="407"/>
      <c r="X1658" s="407"/>
      <c r="Y1658" s="407"/>
      <c r="Z1658" s="407"/>
      <c r="AA1658" s="407"/>
      <c r="AB1658" s="407"/>
      <c r="AC1658" s="407"/>
      <c r="AD1658" s="407"/>
      <c r="AE1658" s="407"/>
      <c r="AF1658" s="407"/>
      <c r="AG1658" s="407"/>
      <c r="AH1658" s="407"/>
      <c r="AI1658" s="407"/>
      <c r="AJ1658" s="407"/>
      <c r="AK1658" s="407"/>
      <c r="AL1658" s="407"/>
      <c r="AM1658" s="407"/>
      <c r="AN1658" s="407"/>
      <c r="AO1658" s="407"/>
      <c r="AP1658" s="407"/>
      <c r="AQ1658" s="407"/>
      <c r="AR1658" s="1236"/>
      <c r="AS1658" s="1236"/>
      <c r="AT1658" s="1618"/>
      <c r="AU1658" s="407"/>
      <c r="AV1658" s="407"/>
      <c r="AW1658" s="1615"/>
      <c r="AX1658" s="1615"/>
      <c r="AY1658" s="1615"/>
      <c r="AZ1658" s="1615"/>
      <c r="BA1658" s="1615"/>
      <c r="BB1658" s="1615"/>
      <c r="BC1658" s="1615"/>
      <c r="BD1658" s="1615"/>
      <c r="BE1658" s="1615"/>
      <c r="BG1658" s="1092"/>
      <c r="BH1658" s="1092"/>
      <c r="BI1658" s="1092"/>
      <c r="BJ1658" s="1092"/>
      <c r="BK1658" s="1092"/>
      <c r="BL1658" s="1092"/>
      <c r="BM1658" s="1217"/>
      <c r="BN1658" s="1217"/>
      <c r="BO1658" s="1217"/>
      <c r="BP1658" s="1217"/>
      <c r="BQ1658" s="1217"/>
      <c r="BR1658" s="1217"/>
    </row>
    <row r="1659" spans="1:70" ht="12.75" x14ac:dyDescent="0.2">
      <c r="A1659" s="70"/>
      <c r="B1659" s="70"/>
      <c r="C1659" s="1170"/>
      <c r="D1659" s="1613"/>
      <c r="E1659" s="1613"/>
      <c r="F1659" s="1613"/>
      <c r="G1659" s="1613"/>
      <c r="H1659" s="1613"/>
      <c r="I1659" s="1613"/>
      <c r="J1659" s="1613"/>
      <c r="K1659" s="1613"/>
      <c r="L1659" s="1613"/>
      <c r="M1659" s="1613"/>
      <c r="N1659" s="1613"/>
      <c r="O1659" s="1613"/>
      <c r="P1659" s="407"/>
      <c r="Q1659" s="407"/>
      <c r="R1659" s="407"/>
      <c r="S1659" s="407"/>
      <c r="T1659" s="407"/>
      <c r="U1659" s="407"/>
      <c r="V1659" s="407"/>
      <c r="W1659" s="407"/>
      <c r="X1659" s="407"/>
      <c r="Y1659" s="407"/>
      <c r="Z1659" s="407"/>
      <c r="AA1659" s="407"/>
      <c r="AB1659" s="407"/>
      <c r="AC1659" s="407"/>
      <c r="AD1659" s="407"/>
      <c r="AE1659" s="407"/>
      <c r="AF1659" s="407"/>
      <c r="AG1659" s="407"/>
      <c r="AH1659" s="407"/>
      <c r="AI1659" s="407"/>
      <c r="AJ1659" s="407"/>
      <c r="AK1659" s="407"/>
      <c r="AL1659" s="407"/>
      <c r="AM1659" s="407"/>
      <c r="AN1659" s="407"/>
      <c r="AO1659" s="407"/>
      <c r="AP1659" s="407"/>
      <c r="AQ1659" s="407"/>
      <c r="AR1659" s="1236"/>
      <c r="AS1659" s="1236"/>
      <c r="AT1659" s="1618"/>
      <c r="AU1659" s="407"/>
      <c r="AV1659" s="407"/>
      <c r="AW1659" s="1615"/>
      <c r="AX1659" s="1615"/>
      <c r="AY1659" s="1615"/>
      <c r="AZ1659" s="1615"/>
      <c r="BA1659" s="1615"/>
      <c r="BB1659" s="1615"/>
      <c r="BC1659" s="1615"/>
      <c r="BD1659" s="1615"/>
      <c r="BE1659" s="1615"/>
      <c r="BG1659" s="1092"/>
      <c r="BH1659" s="1092"/>
      <c r="BI1659" s="1092"/>
      <c r="BJ1659" s="1092"/>
      <c r="BK1659" s="1092"/>
      <c r="BL1659" s="1092"/>
      <c r="BM1659" s="1217"/>
      <c r="BN1659" s="1217"/>
      <c r="BO1659" s="1217"/>
      <c r="BP1659" s="1217"/>
      <c r="BQ1659" s="1217"/>
      <c r="BR1659" s="1217"/>
    </row>
    <row r="1660" spans="1:70" ht="12.75" x14ac:dyDescent="0.2">
      <c r="A1660" s="70"/>
      <c r="B1660" s="70"/>
      <c r="C1660" s="1170"/>
      <c r="D1660" s="1613"/>
      <c r="E1660" s="1613"/>
      <c r="F1660" s="1613"/>
      <c r="G1660" s="1613"/>
      <c r="H1660" s="1613"/>
      <c r="I1660" s="1613"/>
      <c r="J1660" s="1613"/>
      <c r="K1660" s="1613"/>
      <c r="L1660" s="1613"/>
      <c r="M1660" s="1613"/>
      <c r="N1660" s="1613"/>
      <c r="O1660" s="1613"/>
      <c r="P1660" s="407"/>
      <c r="Q1660" s="407"/>
      <c r="R1660" s="407"/>
      <c r="S1660" s="407"/>
      <c r="T1660" s="407"/>
      <c r="U1660" s="407"/>
      <c r="V1660" s="407"/>
      <c r="W1660" s="407"/>
      <c r="X1660" s="407"/>
      <c r="Y1660" s="407"/>
      <c r="Z1660" s="407"/>
      <c r="AA1660" s="407"/>
      <c r="AB1660" s="407"/>
      <c r="AC1660" s="407"/>
      <c r="AD1660" s="407"/>
      <c r="AE1660" s="407"/>
      <c r="AF1660" s="407"/>
      <c r="AG1660" s="407"/>
      <c r="AH1660" s="407"/>
      <c r="AI1660" s="407"/>
      <c r="AJ1660" s="407"/>
      <c r="AK1660" s="407"/>
      <c r="AL1660" s="407"/>
      <c r="AM1660" s="407"/>
      <c r="AN1660" s="407"/>
      <c r="AO1660" s="407"/>
      <c r="AP1660" s="407"/>
      <c r="AQ1660" s="407"/>
      <c r="AR1660" s="1236"/>
      <c r="AS1660" s="1236"/>
      <c r="AT1660" s="1618"/>
      <c r="AU1660" s="407"/>
      <c r="AV1660" s="407"/>
      <c r="AW1660" s="1615"/>
      <c r="AX1660" s="1615"/>
      <c r="AY1660" s="1615"/>
      <c r="AZ1660" s="1615"/>
      <c r="BA1660" s="1615"/>
      <c r="BB1660" s="1615"/>
      <c r="BC1660" s="1615"/>
      <c r="BD1660" s="1615"/>
      <c r="BE1660" s="1615"/>
      <c r="BG1660" s="1092"/>
      <c r="BH1660" s="1092"/>
      <c r="BI1660" s="1092"/>
      <c r="BJ1660" s="1092"/>
      <c r="BK1660" s="1092"/>
      <c r="BL1660" s="1092"/>
      <c r="BM1660" s="1217"/>
      <c r="BN1660" s="1217"/>
      <c r="BO1660" s="1217"/>
      <c r="BP1660" s="1217"/>
      <c r="BQ1660" s="1217"/>
      <c r="BR1660" s="1217"/>
    </row>
    <row r="1661" spans="1:70" ht="12.75" x14ac:dyDescent="0.2">
      <c r="A1661" s="70"/>
      <c r="B1661" s="70"/>
      <c r="C1661" s="1170"/>
      <c r="D1661" s="1613"/>
      <c r="E1661" s="1613"/>
      <c r="F1661" s="1613"/>
      <c r="G1661" s="1613"/>
      <c r="H1661" s="1613"/>
      <c r="I1661" s="1613"/>
      <c r="J1661" s="1613"/>
      <c r="K1661" s="1613"/>
      <c r="L1661" s="1613"/>
      <c r="M1661" s="1613"/>
      <c r="N1661" s="1613"/>
      <c r="O1661" s="1613"/>
      <c r="P1661" s="407"/>
      <c r="Q1661" s="407"/>
      <c r="R1661" s="407"/>
      <c r="S1661" s="407"/>
      <c r="T1661" s="407"/>
      <c r="U1661" s="407"/>
      <c r="V1661" s="407"/>
      <c r="W1661" s="407"/>
      <c r="X1661" s="407"/>
      <c r="Y1661" s="407"/>
      <c r="Z1661" s="407"/>
      <c r="AA1661" s="407"/>
      <c r="AB1661" s="407"/>
      <c r="AC1661" s="407"/>
      <c r="AD1661" s="407"/>
      <c r="AE1661" s="407"/>
      <c r="AF1661" s="407"/>
      <c r="AG1661" s="407"/>
      <c r="AH1661" s="407"/>
      <c r="AI1661" s="407"/>
      <c r="AJ1661" s="407"/>
      <c r="AK1661" s="407"/>
      <c r="AL1661" s="407"/>
      <c r="AM1661" s="407"/>
      <c r="AN1661" s="407"/>
      <c r="AO1661" s="407"/>
      <c r="AP1661" s="407"/>
      <c r="AQ1661" s="407"/>
      <c r="AR1661" s="1236"/>
      <c r="AS1661" s="1236"/>
      <c r="AT1661" s="1618"/>
      <c r="AU1661" s="407"/>
      <c r="AV1661" s="407"/>
      <c r="AW1661" s="1615"/>
      <c r="AX1661" s="1615"/>
      <c r="AY1661" s="1615"/>
      <c r="AZ1661" s="1615"/>
      <c r="BA1661" s="1615"/>
      <c r="BB1661" s="1615"/>
      <c r="BC1661" s="1615"/>
      <c r="BD1661" s="1615"/>
      <c r="BE1661" s="1615"/>
      <c r="BG1661" s="1196"/>
      <c r="BH1661" s="1196"/>
      <c r="BI1661" s="1196"/>
      <c r="BJ1661" s="1196"/>
      <c r="BK1661" s="1196"/>
      <c r="BL1661" s="1196"/>
      <c r="BM1661" s="1217"/>
      <c r="BN1661" s="1217"/>
      <c r="BO1661" s="1217"/>
      <c r="BP1661" s="1217"/>
      <c r="BQ1661" s="1217"/>
      <c r="BR1661" s="1217"/>
    </row>
    <row r="1662" spans="1:70" ht="12.75" x14ac:dyDescent="0.2">
      <c r="A1662" s="70"/>
      <c r="B1662" s="70"/>
      <c r="C1662" s="1171"/>
      <c r="D1662" s="1613"/>
      <c r="E1662" s="1613"/>
      <c r="F1662" s="1613"/>
      <c r="G1662" s="1613"/>
      <c r="H1662" s="1613"/>
      <c r="I1662" s="1613"/>
      <c r="J1662" s="1613"/>
      <c r="K1662" s="1613"/>
      <c r="L1662" s="1613"/>
      <c r="M1662" s="1613"/>
      <c r="N1662" s="1613"/>
      <c r="O1662" s="1613"/>
      <c r="P1662" s="407"/>
      <c r="Q1662" s="407"/>
      <c r="R1662" s="407"/>
      <c r="S1662" s="407"/>
      <c r="T1662" s="407"/>
      <c r="U1662" s="407"/>
      <c r="V1662" s="407"/>
      <c r="W1662" s="407"/>
      <c r="X1662" s="407"/>
      <c r="Y1662" s="407"/>
      <c r="Z1662" s="407"/>
      <c r="AA1662" s="407"/>
      <c r="AB1662" s="407"/>
      <c r="AC1662" s="407"/>
      <c r="AD1662" s="407"/>
      <c r="AE1662" s="407"/>
      <c r="AF1662" s="407"/>
      <c r="AG1662" s="407"/>
      <c r="AH1662" s="407"/>
      <c r="AI1662" s="407"/>
      <c r="AJ1662" s="407"/>
      <c r="AK1662" s="407"/>
      <c r="AL1662" s="407"/>
      <c r="AM1662" s="407"/>
      <c r="AN1662" s="407"/>
      <c r="AO1662" s="407"/>
      <c r="AP1662" s="407"/>
      <c r="AQ1662" s="407"/>
      <c r="AR1662" s="1236"/>
      <c r="AS1662" s="1236"/>
      <c r="AT1662" s="1619"/>
      <c r="AU1662" s="407"/>
      <c r="AV1662" s="407"/>
      <c r="AW1662" s="407"/>
      <c r="AX1662" s="407"/>
      <c r="AY1662" s="407"/>
      <c r="AZ1662" s="407"/>
      <c r="BA1662" s="407"/>
      <c r="BB1662" s="407"/>
      <c r="BC1662" s="407"/>
      <c r="BD1662" s="407"/>
      <c r="BE1662" s="407"/>
      <c r="BM1662" s="1217"/>
      <c r="BN1662" s="1217"/>
      <c r="BO1662" s="1217"/>
      <c r="BP1662" s="1217"/>
      <c r="BQ1662" s="1217"/>
      <c r="BR1662" s="1217"/>
    </row>
    <row r="1663" spans="1:70" x14ac:dyDescent="0.2">
      <c r="A1663" s="70"/>
      <c r="B1663" s="70"/>
      <c r="C1663" s="1164"/>
      <c r="D1663" s="1610"/>
      <c r="E1663" s="1610"/>
      <c r="F1663" s="1610"/>
      <c r="G1663" s="1610"/>
      <c r="H1663" s="1610"/>
      <c r="I1663" s="1610"/>
      <c r="J1663" s="1610"/>
      <c r="K1663" s="1610"/>
      <c r="L1663" s="1610"/>
      <c r="M1663" s="1610"/>
      <c r="N1663" s="1610"/>
      <c r="O1663" s="1610"/>
      <c r="P1663" s="1610"/>
      <c r="Q1663" s="1610"/>
      <c r="R1663" s="1610"/>
      <c r="S1663" s="1610"/>
      <c r="T1663" s="1610"/>
      <c r="U1663" s="1610"/>
      <c r="V1663" s="1610"/>
      <c r="W1663" s="1610"/>
      <c r="X1663" s="1610"/>
      <c r="Y1663" s="1610"/>
      <c r="Z1663" s="1610"/>
      <c r="AA1663" s="1610"/>
      <c r="AB1663" s="1610"/>
      <c r="AC1663" s="1610"/>
      <c r="AD1663" s="1610"/>
      <c r="AE1663" s="1610"/>
      <c r="AF1663" s="1610"/>
      <c r="AG1663" s="1610"/>
      <c r="AH1663" s="1610"/>
      <c r="AI1663" s="1610"/>
      <c r="AJ1663" s="1610"/>
      <c r="AK1663" s="1610"/>
      <c r="AL1663" s="1610"/>
      <c r="AM1663" s="1610"/>
      <c r="AN1663" s="1610"/>
      <c r="AO1663" s="1610"/>
      <c r="AP1663" s="1610"/>
      <c r="AQ1663" s="1610"/>
      <c r="AR1663" s="1236"/>
      <c r="AS1663" s="1236"/>
      <c r="AT1663" s="1610"/>
      <c r="AU1663" s="1610"/>
      <c r="AV1663" s="1610"/>
      <c r="AW1663" s="1610"/>
      <c r="AX1663" s="1610"/>
      <c r="AY1663" s="1610"/>
      <c r="AZ1663" s="1610"/>
      <c r="BA1663" s="1610"/>
      <c r="BB1663" s="1610"/>
      <c r="BC1663" s="1610"/>
      <c r="BD1663" s="1610"/>
      <c r="BE1663" s="1610"/>
      <c r="BM1663" s="1217"/>
      <c r="BN1663" s="1217"/>
      <c r="BO1663" s="1217"/>
      <c r="BP1663" s="1217"/>
      <c r="BQ1663" s="1217"/>
      <c r="BR1663" s="1217"/>
    </row>
    <row r="1664" spans="1:70" ht="12.75" x14ac:dyDescent="0.2">
      <c r="A1664" s="70"/>
      <c r="B1664" s="70"/>
      <c r="C1664" s="1170"/>
      <c r="D1664" s="1613"/>
      <c r="E1664" s="1613"/>
      <c r="F1664" s="1613"/>
      <c r="G1664" s="1613"/>
      <c r="H1664" s="1613"/>
      <c r="I1664" s="1613"/>
      <c r="J1664" s="1613"/>
      <c r="K1664" s="1613"/>
      <c r="L1664" s="1613"/>
      <c r="M1664" s="1613"/>
      <c r="N1664" s="1613"/>
      <c r="O1664" s="1613"/>
      <c r="P1664" s="407"/>
      <c r="Q1664" s="407"/>
      <c r="R1664" s="407"/>
      <c r="S1664" s="407"/>
      <c r="T1664" s="407"/>
      <c r="U1664" s="407"/>
      <c r="V1664" s="407"/>
      <c r="W1664" s="407"/>
      <c r="X1664" s="407"/>
      <c r="Y1664" s="407"/>
      <c r="Z1664" s="407"/>
      <c r="AA1664" s="407"/>
      <c r="AB1664" s="407"/>
      <c r="AC1664" s="407"/>
      <c r="AD1664" s="407"/>
      <c r="AE1664" s="407"/>
      <c r="AF1664" s="407"/>
      <c r="AG1664" s="407"/>
      <c r="AH1664" s="407"/>
      <c r="AI1664" s="407"/>
      <c r="AJ1664" s="407"/>
      <c r="AK1664" s="407"/>
      <c r="AL1664" s="407"/>
      <c r="AM1664" s="407"/>
      <c r="AN1664" s="407"/>
      <c r="AO1664" s="407"/>
      <c r="AP1664" s="407"/>
      <c r="AQ1664" s="407"/>
      <c r="AR1664" s="1236"/>
      <c r="AS1664" s="1236"/>
      <c r="AT1664" s="1618"/>
      <c r="AU1664" s="407"/>
      <c r="AV1664" s="407"/>
      <c r="AW1664" s="1615"/>
      <c r="AX1664" s="1615"/>
      <c r="AY1664" s="1615"/>
      <c r="AZ1664" s="1615"/>
      <c r="BA1664" s="1615"/>
      <c r="BB1664" s="1615"/>
      <c r="BC1664" s="1615"/>
      <c r="BD1664" s="1615"/>
      <c r="BE1664" s="1615"/>
      <c r="BG1664" s="1092"/>
      <c r="BH1664" s="1092"/>
      <c r="BI1664" s="1092"/>
      <c r="BJ1664" s="1092"/>
      <c r="BK1664" s="1092"/>
      <c r="BL1664" s="1092"/>
      <c r="BM1664" s="1217"/>
      <c r="BN1664" s="1217"/>
      <c r="BO1664" s="1217"/>
      <c r="BP1664" s="1217"/>
      <c r="BQ1664" s="1217"/>
      <c r="BR1664" s="1217"/>
    </row>
    <row r="1665" spans="1:70" ht="12.75" x14ac:dyDescent="0.2">
      <c r="A1665" s="70"/>
      <c r="B1665" s="70"/>
      <c r="C1665" s="1170"/>
      <c r="D1665" s="1613"/>
      <c r="E1665" s="1613"/>
      <c r="F1665" s="1613"/>
      <c r="G1665" s="1613"/>
      <c r="H1665" s="1613"/>
      <c r="I1665" s="1613"/>
      <c r="J1665" s="1613"/>
      <c r="K1665" s="1613"/>
      <c r="L1665" s="1613"/>
      <c r="M1665" s="1613"/>
      <c r="N1665" s="1613"/>
      <c r="O1665" s="1613"/>
      <c r="P1665" s="407"/>
      <c r="Q1665" s="407"/>
      <c r="R1665" s="407"/>
      <c r="S1665" s="407"/>
      <c r="T1665" s="407"/>
      <c r="U1665" s="407"/>
      <c r="V1665" s="407"/>
      <c r="W1665" s="407"/>
      <c r="X1665" s="407"/>
      <c r="Y1665" s="407"/>
      <c r="Z1665" s="407"/>
      <c r="AA1665" s="407"/>
      <c r="AB1665" s="407"/>
      <c r="AC1665" s="407"/>
      <c r="AD1665" s="407"/>
      <c r="AE1665" s="407"/>
      <c r="AF1665" s="407"/>
      <c r="AG1665" s="407"/>
      <c r="AH1665" s="407"/>
      <c r="AI1665" s="407"/>
      <c r="AJ1665" s="407"/>
      <c r="AK1665" s="407"/>
      <c r="AL1665" s="407"/>
      <c r="AM1665" s="407"/>
      <c r="AN1665" s="407"/>
      <c r="AO1665" s="407"/>
      <c r="AP1665" s="407"/>
      <c r="AQ1665" s="407"/>
      <c r="AR1665" s="1236"/>
      <c r="AS1665" s="1236"/>
      <c r="AT1665" s="1618"/>
      <c r="AU1665" s="407"/>
      <c r="AV1665" s="407"/>
      <c r="AW1665" s="1615"/>
      <c r="AX1665" s="1615"/>
      <c r="AY1665" s="1615"/>
      <c r="AZ1665" s="1615"/>
      <c r="BA1665" s="1615"/>
      <c r="BB1665" s="1615"/>
      <c r="BC1665" s="1615"/>
      <c r="BD1665" s="1615"/>
      <c r="BE1665" s="1615"/>
      <c r="BG1665" s="1092"/>
      <c r="BH1665" s="1092"/>
      <c r="BI1665" s="1092"/>
      <c r="BJ1665" s="1092"/>
      <c r="BK1665" s="1092"/>
      <c r="BL1665" s="1092"/>
      <c r="BM1665" s="1217"/>
      <c r="BN1665" s="1217"/>
      <c r="BO1665" s="1217"/>
      <c r="BP1665" s="1217"/>
      <c r="BQ1665" s="1217"/>
      <c r="BR1665" s="1217"/>
    </row>
    <row r="1666" spans="1:70" ht="12.75" x14ac:dyDescent="0.2">
      <c r="A1666" s="70"/>
      <c r="B1666" s="70"/>
      <c r="C1666" s="1170"/>
      <c r="D1666" s="1613"/>
      <c r="E1666" s="1613"/>
      <c r="F1666" s="1613"/>
      <c r="G1666" s="1613"/>
      <c r="H1666" s="1613"/>
      <c r="I1666" s="1613"/>
      <c r="J1666" s="1613"/>
      <c r="K1666" s="1613"/>
      <c r="L1666" s="1613"/>
      <c r="M1666" s="1613"/>
      <c r="N1666" s="1613"/>
      <c r="O1666" s="1613"/>
      <c r="P1666" s="407"/>
      <c r="Q1666" s="407"/>
      <c r="R1666" s="407"/>
      <c r="S1666" s="407"/>
      <c r="T1666" s="407"/>
      <c r="U1666" s="407"/>
      <c r="V1666" s="407"/>
      <c r="W1666" s="407"/>
      <c r="X1666" s="407"/>
      <c r="Y1666" s="407"/>
      <c r="Z1666" s="407"/>
      <c r="AA1666" s="407"/>
      <c r="AB1666" s="407"/>
      <c r="AC1666" s="407"/>
      <c r="AD1666" s="407"/>
      <c r="AE1666" s="407"/>
      <c r="AF1666" s="407"/>
      <c r="AG1666" s="407"/>
      <c r="AH1666" s="407"/>
      <c r="AI1666" s="407"/>
      <c r="AJ1666" s="407"/>
      <c r="AK1666" s="407"/>
      <c r="AL1666" s="407"/>
      <c r="AM1666" s="407"/>
      <c r="AN1666" s="407"/>
      <c r="AO1666" s="407"/>
      <c r="AP1666" s="407"/>
      <c r="AQ1666" s="407"/>
      <c r="AR1666" s="1236"/>
      <c r="AS1666" s="1236"/>
      <c r="AT1666" s="1618"/>
      <c r="AU1666" s="407"/>
      <c r="AV1666" s="407"/>
      <c r="AW1666" s="1615"/>
      <c r="AX1666" s="1615"/>
      <c r="AY1666" s="1615"/>
      <c r="AZ1666" s="1615"/>
      <c r="BA1666" s="1615"/>
      <c r="BB1666" s="1615"/>
      <c r="BC1666" s="1615"/>
      <c r="BD1666" s="1615"/>
      <c r="BE1666" s="1615"/>
      <c r="BG1666" s="1092"/>
      <c r="BH1666" s="1092"/>
      <c r="BI1666" s="1092"/>
      <c r="BJ1666" s="1092"/>
      <c r="BK1666" s="1092"/>
      <c r="BL1666" s="1092"/>
      <c r="BM1666" s="1217"/>
      <c r="BN1666" s="1217"/>
      <c r="BO1666" s="1217"/>
      <c r="BP1666" s="1217"/>
      <c r="BQ1666" s="1217"/>
      <c r="BR1666" s="1217"/>
    </row>
    <row r="1667" spans="1:70" ht="12.75" x14ac:dyDescent="0.2">
      <c r="A1667" s="70"/>
      <c r="B1667" s="70"/>
      <c r="C1667" s="1170"/>
      <c r="D1667" s="1613"/>
      <c r="E1667" s="1613"/>
      <c r="F1667" s="1613"/>
      <c r="G1667" s="1613"/>
      <c r="H1667" s="1613"/>
      <c r="I1667" s="1613"/>
      <c r="J1667" s="1613"/>
      <c r="K1667" s="1613"/>
      <c r="L1667" s="1613"/>
      <c r="M1667" s="1613"/>
      <c r="N1667" s="1613"/>
      <c r="O1667" s="1613"/>
      <c r="P1667" s="407"/>
      <c r="Q1667" s="407"/>
      <c r="R1667" s="407"/>
      <c r="S1667" s="407"/>
      <c r="T1667" s="407"/>
      <c r="U1667" s="407"/>
      <c r="V1667" s="407"/>
      <c r="W1667" s="407"/>
      <c r="X1667" s="407"/>
      <c r="Y1667" s="407"/>
      <c r="Z1667" s="407"/>
      <c r="AA1667" s="407"/>
      <c r="AB1667" s="407"/>
      <c r="AC1667" s="407"/>
      <c r="AD1667" s="407"/>
      <c r="AE1667" s="407"/>
      <c r="AF1667" s="407"/>
      <c r="AG1667" s="407"/>
      <c r="AH1667" s="407"/>
      <c r="AI1667" s="407"/>
      <c r="AJ1667" s="407"/>
      <c r="AK1667" s="407"/>
      <c r="AL1667" s="407"/>
      <c r="AM1667" s="407"/>
      <c r="AN1667" s="407"/>
      <c r="AO1667" s="407"/>
      <c r="AP1667" s="407"/>
      <c r="AQ1667" s="407"/>
      <c r="AR1667" s="1236"/>
      <c r="AS1667" s="1236"/>
      <c r="AT1667" s="1618"/>
      <c r="AU1667" s="407"/>
      <c r="AV1667" s="407"/>
      <c r="AW1667" s="1615"/>
      <c r="AX1667" s="1615"/>
      <c r="AY1667" s="1615"/>
      <c r="AZ1667" s="1615"/>
      <c r="BA1667" s="1615"/>
      <c r="BB1667" s="1615"/>
      <c r="BC1667" s="1615"/>
      <c r="BD1667" s="1615"/>
      <c r="BE1667" s="1615"/>
      <c r="BG1667" s="1092"/>
      <c r="BH1667" s="1092"/>
      <c r="BI1667" s="1092"/>
      <c r="BJ1667" s="1092"/>
      <c r="BK1667" s="1092"/>
      <c r="BL1667" s="1092"/>
      <c r="BM1667" s="1217"/>
      <c r="BN1667" s="1217"/>
      <c r="BO1667" s="1217"/>
      <c r="BP1667" s="1217"/>
      <c r="BQ1667" s="1217"/>
      <c r="BR1667" s="1217"/>
    </row>
    <row r="1668" spans="1:70" ht="12.75" x14ac:dyDescent="0.2">
      <c r="A1668" s="70"/>
      <c r="B1668" s="70"/>
      <c r="C1668" s="1170"/>
      <c r="D1668" s="1613"/>
      <c r="E1668" s="1613"/>
      <c r="F1668" s="1613"/>
      <c r="G1668" s="1613"/>
      <c r="H1668" s="1613"/>
      <c r="I1668" s="1613"/>
      <c r="J1668" s="1613"/>
      <c r="K1668" s="1613"/>
      <c r="L1668" s="1613"/>
      <c r="M1668" s="1613"/>
      <c r="N1668" s="1613"/>
      <c r="O1668" s="1613"/>
      <c r="P1668" s="407"/>
      <c r="Q1668" s="407"/>
      <c r="R1668" s="407"/>
      <c r="S1668" s="407"/>
      <c r="T1668" s="407"/>
      <c r="U1668" s="407"/>
      <c r="V1668" s="407"/>
      <c r="W1668" s="407"/>
      <c r="X1668" s="407"/>
      <c r="Y1668" s="407"/>
      <c r="Z1668" s="407"/>
      <c r="AA1668" s="407"/>
      <c r="AB1668" s="407"/>
      <c r="AC1668" s="407"/>
      <c r="AD1668" s="407"/>
      <c r="AE1668" s="407"/>
      <c r="AF1668" s="407"/>
      <c r="AG1668" s="407"/>
      <c r="AH1668" s="407"/>
      <c r="AI1668" s="407"/>
      <c r="AJ1668" s="407"/>
      <c r="AK1668" s="407"/>
      <c r="AL1668" s="407"/>
      <c r="AM1668" s="407"/>
      <c r="AN1668" s="407"/>
      <c r="AO1668" s="407"/>
      <c r="AP1668" s="407"/>
      <c r="AQ1668" s="407"/>
      <c r="AR1668" s="1236"/>
      <c r="AS1668" s="1236"/>
      <c r="AT1668" s="1618"/>
      <c r="AU1668" s="407"/>
      <c r="AV1668" s="407"/>
      <c r="AW1668" s="1615"/>
      <c r="AX1668" s="1615"/>
      <c r="AY1668" s="1615"/>
      <c r="AZ1668" s="1615"/>
      <c r="BA1668" s="1615"/>
      <c r="BB1668" s="1615"/>
      <c r="BC1668" s="1615"/>
      <c r="BD1668" s="1615"/>
      <c r="BE1668" s="1615"/>
      <c r="BG1668" s="1092"/>
      <c r="BH1668" s="1092"/>
      <c r="BI1668" s="1092"/>
      <c r="BJ1668" s="1092"/>
      <c r="BK1668" s="1092"/>
      <c r="BL1668" s="1092"/>
      <c r="BM1668" s="1217"/>
      <c r="BN1668" s="1217"/>
      <c r="BO1668" s="1217"/>
      <c r="BP1668" s="1217"/>
      <c r="BQ1668" s="1217"/>
      <c r="BR1668" s="1217"/>
    </row>
    <row r="1669" spans="1:70" ht="12.75" x14ac:dyDescent="0.2">
      <c r="A1669" s="70"/>
      <c r="B1669" s="70"/>
      <c r="C1669" s="1170"/>
      <c r="D1669" s="1613"/>
      <c r="E1669" s="1613"/>
      <c r="F1669" s="1613"/>
      <c r="G1669" s="1613"/>
      <c r="H1669" s="1613"/>
      <c r="I1669" s="1613"/>
      <c r="J1669" s="1613"/>
      <c r="K1669" s="1613"/>
      <c r="L1669" s="1613"/>
      <c r="M1669" s="1613"/>
      <c r="N1669" s="1613"/>
      <c r="O1669" s="1613"/>
      <c r="P1669" s="407"/>
      <c r="Q1669" s="407"/>
      <c r="R1669" s="407"/>
      <c r="S1669" s="407"/>
      <c r="T1669" s="407"/>
      <c r="U1669" s="407"/>
      <c r="V1669" s="407"/>
      <c r="W1669" s="407"/>
      <c r="X1669" s="407"/>
      <c r="Y1669" s="407"/>
      <c r="Z1669" s="407"/>
      <c r="AA1669" s="407"/>
      <c r="AB1669" s="407"/>
      <c r="AC1669" s="407"/>
      <c r="AD1669" s="407"/>
      <c r="AE1669" s="407"/>
      <c r="AF1669" s="407"/>
      <c r="AG1669" s="407"/>
      <c r="AH1669" s="407"/>
      <c r="AI1669" s="407"/>
      <c r="AJ1669" s="407"/>
      <c r="AK1669" s="407"/>
      <c r="AL1669" s="407"/>
      <c r="AM1669" s="407"/>
      <c r="AN1669" s="407"/>
      <c r="AO1669" s="407"/>
      <c r="AP1669" s="407"/>
      <c r="AQ1669" s="407"/>
      <c r="AR1669" s="1236"/>
      <c r="AS1669" s="1236"/>
      <c r="AT1669" s="1618"/>
      <c r="AU1669" s="407"/>
      <c r="AV1669" s="407"/>
      <c r="AW1669" s="1615"/>
      <c r="AX1669" s="1615"/>
      <c r="AY1669" s="1615"/>
      <c r="AZ1669" s="1615"/>
      <c r="BA1669" s="1615"/>
      <c r="BB1669" s="1615"/>
      <c r="BC1669" s="1615"/>
      <c r="BD1669" s="1615"/>
      <c r="BE1669" s="1615"/>
      <c r="BG1669" s="1196"/>
      <c r="BH1669" s="1196"/>
      <c r="BI1669" s="1196"/>
      <c r="BJ1669" s="1196"/>
      <c r="BK1669" s="1196"/>
      <c r="BL1669" s="1196"/>
      <c r="BM1669" s="1217"/>
      <c r="BN1669" s="1217"/>
      <c r="BO1669" s="1217"/>
      <c r="BP1669" s="1217"/>
      <c r="BQ1669" s="1217"/>
      <c r="BR1669" s="1217"/>
    </row>
    <row r="1670" spans="1:70" ht="12.75" x14ac:dyDescent="0.2">
      <c r="A1670" s="70"/>
      <c r="B1670" s="70"/>
      <c r="C1670" s="1171"/>
      <c r="D1670" s="1613"/>
      <c r="E1670" s="1613"/>
      <c r="F1670" s="1613"/>
      <c r="G1670" s="1613"/>
      <c r="H1670" s="1613"/>
      <c r="I1670" s="1613"/>
      <c r="J1670" s="1613"/>
      <c r="K1670" s="1613"/>
      <c r="L1670" s="1613"/>
      <c r="M1670" s="1613"/>
      <c r="N1670" s="1613"/>
      <c r="O1670" s="1613"/>
      <c r="P1670" s="407"/>
      <c r="Q1670" s="407"/>
      <c r="R1670" s="407"/>
      <c r="S1670" s="407"/>
      <c r="T1670" s="407"/>
      <c r="U1670" s="407"/>
      <c r="V1670" s="407"/>
      <c r="W1670" s="407"/>
      <c r="X1670" s="407"/>
      <c r="Y1670" s="407"/>
      <c r="Z1670" s="407"/>
      <c r="AA1670" s="407"/>
      <c r="AB1670" s="407"/>
      <c r="AC1670" s="407"/>
      <c r="AD1670" s="407"/>
      <c r="AE1670" s="407"/>
      <c r="AF1670" s="407"/>
      <c r="AG1670" s="407"/>
      <c r="AH1670" s="407"/>
      <c r="AI1670" s="407"/>
      <c r="AJ1670" s="407"/>
      <c r="AK1670" s="407"/>
      <c r="AL1670" s="407"/>
      <c r="AM1670" s="407"/>
      <c r="AN1670" s="407"/>
      <c r="AO1670" s="407"/>
      <c r="AP1670" s="407"/>
      <c r="AQ1670" s="407"/>
      <c r="AR1670" s="1236"/>
      <c r="AS1670" s="1236"/>
      <c r="AT1670" s="1619"/>
      <c r="AU1670" s="407"/>
      <c r="AV1670" s="407"/>
      <c r="AW1670" s="407"/>
      <c r="AX1670" s="407"/>
      <c r="AY1670" s="407"/>
      <c r="AZ1670" s="407"/>
      <c r="BA1670" s="407"/>
      <c r="BB1670" s="407"/>
      <c r="BC1670" s="407"/>
      <c r="BD1670" s="407"/>
      <c r="BE1670" s="407"/>
      <c r="BM1670" s="1217"/>
      <c r="BN1670" s="1217"/>
      <c r="BO1670" s="1217"/>
      <c r="BP1670" s="1217"/>
      <c r="BQ1670" s="1217"/>
      <c r="BR1670" s="1217"/>
    </row>
    <row r="1671" spans="1:70" x14ac:dyDescent="0.2">
      <c r="A1671" s="70"/>
      <c r="B1671" s="70"/>
      <c r="C1671" s="1164"/>
      <c r="D1671" s="1610"/>
      <c r="E1671" s="1610"/>
      <c r="F1671" s="1610"/>
      <c r="G1671" s="1610"/>
      <c r="H1671" s="1610"/>
      <c r="I1671" s="1610"/>
      <c r="J1671" s="1610"/>
      <c r="K1671" s="1610"/>
      <c r="L1671" s="1610"/>
      <c r="M1671" s="1610"/>
      <c r="N1671" s="1610"/>
      <c r="O1671" s="1610"/>
      <c r="P1671" s="1610"/>
      <c r="Q1671" s="1610"/>
      <c r="R1671" s="1610"/>
      <c r="S1671" s="1610"/>
      <c r="T1671" s="1610"/>
      <c r="U1671" s="1610"/>
      <c r="V1671" s="1610"/>
      <c r="W1671" s="1610"/>
      <c r="X1671" s="1610"/>
      <c r="Y1671" s="1610"/>
      <c r="Z1671" s="1610"/>
      <c r="AA1671" s="1610"/>
      <c r="AB1671" s="1610"/>
      <c r="AC1671" s="1610"/>
      <c r="AD1671" s="1610"/>
      <c r="AE1671" s="1610"/>
      <c r="AF1671" s="1610"/>
      <c r="AG1671" s="1610"/>
      <c r="AH1671" s="1610"/>
      <c r="AI1671" s="1610"/>
      <c r="AJ1671" s="1610"/>
      <c r="AK1671" s="1610"/>
      <c r="AL1671" s="1610"/>
      <c r="AM1671" s="1610"/>
      <c r="AN1671" s="1610"/>
      <c r="AO1671" s="1610"/>
      <c r="AP1671" s="1610"/>
      <c r="AQ1671" s="1610"/>
      <c r="AR1671" s="1236"/>
      <c r="AS1671" s="1236"/>
      <c r="AT1671" s="1610"/>
      <c r="AU1671" s="1610"/>
      <c r="AV1671" s="1610"/>
      <c r="AW1671" s="1610"/>
      <c r="AX1671" s="1610"/>
      <c r="AY1671" s="1610"/>
      <c r="AZ1671" s="1610"/>
      <c r="BA1671" s="1610"/>
      <c r="BB1671" s="1610"/>
      <c r="BC1671" s="1610"/>
      <c r="BD1671" s="1610"/>
      <c r="BE1671" s="1610"/>
      <c r="BM1671" s="1217"/>
      <c r="BN1671" s="1217"/>
      <c r="BO1671" s="1217"/>
      <c r="BP1671" s="1217"/>
      <c r="BQ1671" s="1217"/>
      <c r="BR1671" s="1217"/>
    </row>
    <row r="1672" spans="1:70" ht="12.75" x14ac:dyDescent="0.2">
      <c r="A1672" s="70"/>
      <c r="B1672" s="70"/>
      <c r="C1672" s="1170"/>
      <c r="D1672" s="1613"/>
      <c r="E1672" s="1613"/>
      <c r="F1672" s="1613"/>
      <c r="G1672" s="1613"/>
      <c r="H1672" s="1613"/>
      <c r="I1672" s="1613"/>
      <c r="J1672" s="1613"/>
      <c r="K1672" s="1613"/>
      <c r="L1672" s="1613"/>
      <c r="M1672" s="1613"/>
      <c r="N1672" s="1613"/>
      <c r="O1672" s="1613"/>
      <c r="P1672" s="407"/>
      <c r="Q1672" s="407"/>
      <c r="R1672" s="407"/>
      <c r="S1672" s="407"/>
      <c r="T1672" s="407"/>
      <c r="U1672" s="407"/>
      <c r="V1672" s="407"/>
      <c r="W1672" s="407"/>
      <c r="X1672" s="407"/>
      <c r="Y1672" s="407"/>
      <c r="Z1672" s="407"/>
      <c r="AA1672" s="407"/>
      <c r="AB1672" s="407"/>
      <c r="AC1672" s="407"/>
      <c r="AD1672" s="407"/>
      <c r="AE1672" s="407"/>
      <c r="AF1672" s="407"/>
      <c r="AG1672" s="407"/>
      <c r="AH1672" s="407"/>
      <c r="AI1672" s="407"/>
      <c r="AJ1672" s="407"/>
      <c r="AK1672" s="407"/>
      <c r="AL1672" s="407"/>
      <c r="AM1672" s="407"/>
      <c r="AN1672" s="407"/>
      <c r="AO1672" s="407"/>
      <c r="AP1672" s="407"/>
      <c r="AQ1672" s="407"/>
      <c r="AR1672" s="1236"/>
      <c r="AS1672" s="1236"/>
      <c r="AT1672" s="1618"/>
      <c r="AU1672" s="407"/>
      <c r="AV1672" s="407"/>
      <c r="AW1672" s="1615"/>
      <c r="AX1672" s="1615"/>
      <c r="AY1672" s="1615"/>
      <c r="AZ1672" s="1615"/>
      <c r="BA1672" s="1615"/>
      <c r="BB1672" s="1615"/>
      <c r="BC1672" s="1615"/>
      <c r="BD1672" s="1615"/>
      <c r="BE1672" s="1615"/>
      <c r="BG1672" s="1092"/>
      <c r="BH1672" s="1092"/>
      <c r="BI1672" s="1092"/>
      <c r="BJ1672" s="1092"/>
      <c r="BK1672" s="1092"/>
      <c r="BL1672" s="1092"/>
      <c r="BM1672" s="1217"/>
      <c r="BN1672" s="1217"/>
      <c r="BO1672" s="1217"/>
      <c r="BP1672" s="1217"/>
      <c r="BQ1672" s="1217"/>
      <c r="BR1672" s="1217"/>
    </row>
    <row r="1673" spans="1:70" ht="12.75" x14ac:dyDescent="0.2">
      <c r="A1673" s="70"/>
      <c r="B1673" s="70"/>
      <c r="C1673" s="1170"/>
      <c r="D1673" s="1613"/>
      <c r="E1673" s="1613"/>
      <c r="F1673" s="1613"/>
      <c r="G1673" s="1613"/>
      <c r="H1673" s="1613"/>
      <c r="I1673" s="1613"/>
      <c r="J1673" s="1613"/>
      <c r="K1673" s="1613"/>
      <c r="L1673" s="1613"/>
      <c r="M1673" s="1613"/>
      <c r="N1673" s="1613"/>
      <c r="O1673" s="1613"/>
      <c r="P1673" s="407"/>
      <c r="Q1673" s="407"/>
      <c r="R1673" s="407"/>
      <c r="S1673" s="407"/>
      <c r="T1673" s="407"/>
      <c r="U1673" s="407"/>
      <c r="V1673" s="407"/>
      <c r="W1673" s="407"/>
      <c r="X1673" s="407"/>
      <c r="Y1673" s="407"/>
      <c r="Z1673" s="407"/>
      <c r="AA1673" s="407"/>
      <c r="AB1673" s="407"/>
      <c r="AC1673" s="407"/>
      <c r="AD1673" s="407"/>
      <c r="AE1673" s="407"/>
      <c r="AF1673" s="407"/>
      <c r="AG1673" s="407"/>
      <c r="AH1673" s="407"/>
      <c r="AI1673" s="407"/>
      <c r="AJ1673" s="407"/>
      <c r="AK1673" s="407"/>
      <c r="AL1673" s="407"/>
      <c r="AM1673" s="407"/>
      <c r="AN1673" s="407"/>
      <c r="AO1673" s="407"/>
      <c r="AP1673" s="407"/>
      <c r="AQ1673" s="407"/>
      <c r="AR1673" s="1236"/>
      <c r="AS1673" s="1236"/>
      <c r="AT1673" s="1618"/>
      <c r="AU1673" s="407"/>
      <c r="AV1673" s="407"/>
      <c r="AW1673" s="1615"/>
      <c r="AX1673" s="1615"/>
      <c r="AY1673" s="1615"/>
      <c r="AZ1673" s="1615"/>
      <c r="BA1673" s="1615"/>
      <c r="BB1673" s="1615"/>
      <c r="BC1673" s="1615"/>
      <c r="BD1673" s="1615"/>
      <c r="BE1673" s="1615"/>
      <c r="BG1673" s="1092"/>
      <c r="BH1673" s="1092"/>
      <c r="BI1673" s="1092"/>
      <c r="BJ1673" s="1092"/>
      <c r="BK1673" s="1092"/>
      <c r="BL1673" s="1092"/>
      <c r="BM1673" s="1217"/>
      <c r="BN1673" s="1217"/>
      <c r="BO1673" s="1217"/>
      <c r="BP1673" s="1217"/>
      <c r="BQ1673" s="1217"/>
      <c r="BR1673" s="1217"/>
    </row>
    <row r="1674" spans="1:70" ht="12.75" x14ac:dyDescent="0.2">
      <c r="A1674" s="70"/>
      <c r="B1674" s="70"/>
      <c r="C1674" s="1170"/>
      <c r="D1674" s="1613"/>
      <c r="E1674" s="1613"/>
      <c r="F1674" s="1613"/>
      <c r="G1674" s="1613"/>
      <c r="H1674" s="1613"/>
      <c r="I1674" s="1613"/>
      <c r="J1674" s="1613"/>
      <c r="K1674" s="1613"/>
      <c r="L1674" s="1613"/>
      <c r="M1674" s="1613"/>
      <c r="N1674" s="1613"/>
      <c r="O1674" s="1613"/>
      <c r="P1674" s="407"/>
      <c r="Q1674" s="407"/>
      <c r="R1674" s="407"/>
      <c r="S1674" s="407"/>
      <c r="T1674" s="407"/>
      <c r="U1674" s="407"/>
      <c r="V1674" s="407"/>
      <c r="W1674" s="407"/>
      <c r="X1674" s="407"/>
      <c r="Y1674" s="407"/>
      <c r="Z1674" s="407"/>
      <c r="AA1674" s="407"/>
      <c r="AB1674" s="407"/>
      <c r="AC1674" s="407"/>
      <c r="AD1674" s="407"/>
      <c r="AE1674" s="407"/>
      <c r="AF1674" s="407"/>
      <c r="AG1674" s="407"/>
      <c r="AH1674" s="407"/>
      <c r="AI1674" s="407"/>
      <c r="AJ1674" s="407"/>
      <c r="AK1674" s="407"/>
      <c r="AL1674" s="407"/>
      <c r="AM1674" s="407"/>
      <c r="AN1674" s="407"/>
      <c r="AO1674" s="407"/>
      <c r="AP1674" s="407"/>
      <c r="AQ1674" s="407"/>
      <c r="AR1674" s="1236"/>
      <c r="AS1674" s="1236"/>
      <c r="AT1674" s="1618"/>
      <c r="AU1674" s="407"/>
      <c r="AV1674" s="407"/>
      <c r="AW1674" s="1615"/>
      <c r="AX1674" s="1615"/>
      <c r="AY1674" s="1615"/>
      <c r="AZ1674" s="1615"/>
      <c r="BA1674" s="1615"/>
      <c r="BB1674" s="1615"/>
      <c r="BC1674" s="1615"/>
      <c r="BD1674" s="1615"/>
      <c r="BE1674" s="1615"/>
      <c r="BG1674" s="1092"/>
      <c r="BH1674" s="1092"/>
      <c r="BI1674" s="1092"/>
      <c r="BJ1674" s="1092"/>
      <c r="BK1674" s="1092"/>
      <c r="BL1674" s="1092"/>
      <c r="BM1674" s="1217"/>
      <c r="BN1674" s="1217"/>
      <c r="BO1674" s="1217"/>
      <c r="BP1674" s="1217"/>
      <c r="BQ1674" s="1217"/>
      <c r="BR1674" s="1217"/>
    </row>
    <row r="1675" spans="1:70" ht="12.75" x14ac:dyDescent="0.2">
      <c r="A1675" s="70"/>
      <c r="B1675" s="70"/>
      <c r="C1675" s="1170"/>
      <c r="D1675" s="1613"/>
      <c r="E1675" s="1613"/>
      <c r="F1675" s="1613"/>
      <c r="G1675" s="1613"/>
      <c r="H1675" s="1613"/>
      <c r="I1675" s="1613"/>
      <c r="J1675" s="1613"/>
      <c r="K1675" s="1613"/>
      <c r="L1675" s="1613"/>
      <c r="M1675" s="1613"/>
      <c r="N1675" s="1613"/>
      <c r="O1675" s="1613"/>
      <c r="P1675" s="407"/>
      <c r="Q1675" s="407"/>
      <c r="R1675" s="407"/>
      <c r="S1675" s="407"/>
      <c r="T1675" s="407"/>
      <c r="U1675" s="407"/>
      <c r="V1675" s="407"/>
      <c r="W1675" s="407"/>
      <c r="X1675" s="407"/>
      <c r="Y1675" s="407"/>
      <c r="Z1675" s="407"/>
      <c r="AA1675" s="407"/>
      <c r="AB1675" s="407"/>
      <c r="AC1675" s="407"/>
      <c r="AD1675" s="407"/>
      <c r="AE1675" s="407"/>
      <c r="AF1675" s="407"/>
      <c r="AG1675" s="407"/>
      <c r="AH1675" s="407"/>
      <c r="AI1675" s="407"/>
      <c r="AJ1675" s="407"/>
      <c r="AK1675" s="407"/>
      <c r="AL1675" s="407"/>
      <c r="AM1675" s="407"/>
      <c r="AN1675" s="407"/>
      <c r="AO1675" s="407"/>
      <c r="AP1675" s="407"/>
      <c r="AQ1675" s="407"/>
      <c r="AR1675" s="1236"/>
      <c r="AS1675" s="1236"/>
      <c r="AT1675" s="1618"/>
      <c r="AU1675" s="407"/>
      <c r="AV1675" s="407"/>
      <c r="AW1675" s="1615"/>
      <c r="AX1675" s="1615"/>
      <c r="AY1675" s="1615"/>
      <c r="AZ1675" s="1615"/>
      <c r="BA1675" s="1615"/>
      <c r="BB1675" s="1615"/>
      <c r="BC1675" s="1615"/>
      <c r="BD1675" s="1615"/>
      <c r="BE1675" s="1615"/>
      <c r="BG1675" s="1092"/>
      <c r="BH1675" s="1092"/>
      <c r="BI1675" s="1092"/>
      <c r="BJ1675" s="1092"/>
      <c r="BK1675" s="1092"/>
      <c r="BL1675" s="1092"/>
      <c r="BM1675" s="1217"/>
      <c r="BN1675" s="1217"/>
      <c r="BO1675" s="1217"/>
      <c r="BP1675" s="1217"/>
      <c r="BQ1675" s="1217"/>
      <c r="BR1675" s="1217"/>
    </row>
    <row r="1676" spans="1:70" x14ac:dyDescent="0.2">
      <c r="A1676" s="70"/>
      <c r="D1676" s="407"/>
      <c r="E1676" s="407"/>
      <c r="F1676" s="407"/>
      <c r="G1676" s="407"/>
      <c r="H1676" s="407"/>
      <c r="I1676" s="407"/>
      <c r="J1676" s="407"/>
      <c r="K1676" s="407"/>
      <c r="L1676" s="407"/>
      <c r="M1676" s="407"/>
      <c r="N1676" s="407"/>
      <c r="O1676" s="407"/>
      <c r="P1676" s="407"/>
      <c r="Q1676" s="407"/>
      <c r="R1676" s="407"/>
      <c r="S1676" s="407"/>
      <c r="T1676" s="407"/>
      <c r="U1676" s="407"/>
      <c r="V1676" s="407"/>
      <c r="W1676" s="407"/>
      <c r="X1676" s="407"/>
      <c r="Y1676" s="407"/>
      <c r="Z1676" s="407"/>
      <c r="AA1676" s="407"/>
      <c r="AB1676" s="407"/>
      <c r="AC1676" s="407"/>
      <c r="AD1676" s="407"/>
      <c r="AE1676" s="407"/>
      <c r="AF1676" s="407"/>
      <c r="AG1676" s="407"/>
      <c r="AH1676" s="407"/>
      <c r="AI1676" s="407"/>
      <c r="AJ1676" s="407"/>
      <c r="AK1676" s="407"/>
      <c r="AL1676" s="407"/>
      <c r="AM1676" s="407"/>
      <c r="AN1676" s="407"/>
      <c r="AO1676" s="407"/>
      <c r="AP1676" s="407"/>
      <c r="AQ1676" s="407"/>
      <c r="AR1676" s="1236"/>
      <c r="AS1676" s="1236"/>
      <c r="AT1676" s="1236"/>
      <c r="AU1676" s="1236"/>
      <c r="AV1676" s="1236"/>
      <c r="AW1676" s="1236"/>
      <c r="AX1676" s="1236"/>
      <c r="AY1676" s="1236"/>
      <c r="AZ1676" s="1236"/>
      <c r="BA1676" s="1236"/>
      <c r="BB1676" s="1236"/>
      <c r="BC1676" s="1236"/>
      <c r="BD1676" s="1236"/>
      <c r="BE1676" s="1236"/>
    </row>
    <row r="1677" spans="1:70" x14ac:dyDescent="0.2">
      <c r="A1677" s="70"/>
      <c r="D1677" s="407"/>
      <c r="E1677" s="407"/>
      <c r="F1677" s="407"/>
      <c r="G1677" s="407"/>
      <c r="H1677" s="407"/>
      <c r="I1677" s="407"/>
      <c r="J1677" s="407"/>
      <c r="K1677" s="407"/>
      <c r="L1677" s="407"/>
      <c r="M1677" s="407"/>
      <c r="N1677" s="407"/>
      <c r="O1677" s="407"/>
      <c r="P1677" s="407"/>
      <c r="Q1677" s="407"/>
      <c r="R1677" s="407"/>
      <c r="S1677" s="407"/>
      <c r="T1677" s="407"/>
      <c r="U1677" s="407"/>
      <c r="V1677" s="407"/>
      <c r="W1677" s="407"/>
      <c r="X1677" s="407"/>
      <c r="Y1677" s="407"/>
      <c r="Z1677" s="407"/>
      <c r="AA1677" s="407"/>
      <c r="AB1677" s="407"/>
      <c r="AC1677" s="407"/>
      <c r="AD1677" s="407"/>
      <c r="AE1677" s="407"/>
      <c r="AF1677" s="407"/>
      <c r="AG1677" s="407"/>
      <c r="AH1677" s="407"/>
      <c r="AI1677" s="407"/>
      <c r="AJ1677" s="407"/>
      <c r="AK1677" s="407"/>
      <c r="AL1677" s="407"/>
      <c r="AM1677" s="407"/>
      <c r="AN1677" s="407"/>
      <c r="AO1677" s="407"/>
      <c r="AP1677" s="407"/>
      <c r="AQ1677" s="407"/>
      <c r="AR1677" s="1236"/>
      <c r="AS1677" s="1236"/>
      <c r="AT1677" s="1236"/>
      <c r="AU1677" s="1236"/>
      <c r="AV1677" s="1236"/>
      <c r="AW1677" s="1236"/>
      <c r="AX1677" s="1236"/>
      <c r="AY1677" s="1236"/>
      <c r="AZ1677" s="1236"/>
      <c r="BA1677" s="1236"/>
      <c r="BB1677" s="1236"/>
      <c r="BC1677" s="1236"/>
      <c r="BD1677" s="1236"/>
      <c r="BE1677" s="1236"/>
    </row>
    <row r="1678" spans="1:70" x14ac:dyDescent="0.2">
      <c r="A1678" s="70"/>
      <c r="D1678" s="407"/>
      <c r="E1678" s="407"/>
      <c r="F1678" s="407"/>
      <c r="G1678" s="407"/>
      <c r="H1678" s="407"/>
      <c r="I1678" s="407"/>
      <c r="J1678" s="407"/>
      <c r="K1678" s="407"/>
      <c r="L1678" s="407"/>
      <c r="M1678" s="407"/>
      <c r="N1678" s="407"/>
      <c r="O1678" s="407"/>
      <c r="P1678" s="407"/>
      <c r="Q1678" s="407"/>
      <c r="R1678" s="407"/>
      <c r="S1678" s="407"/>
      <c r="T1678" s="407"/>
      <c r="U1678" s="407"/>
      <c r="V1678" s="407"/>
      <c r="W1678" s="407"/>
      <c r="X1678" s="407"/>
      <c r="Y1678" s="407"/>
      <c r="Z1678" s="407"/>
      <c r="AA1678" s="407"/>
      <c r="AB1678" s="407"/>
      <c r="AC1678" s="407"/>
      <c r="AD1678" s="407"/>
      <c r="AE1678" s="407"/>
      <c r="AF1678" s="407"/>
      <c r="AG1678" s="407"/>
      <c r="AH1678" s="407"/>
      <c r="AI1678" s="407"/>
      <c r="AJ1678" s="407"/>
      <c r="AK1678" s="407"/>
      <c r="AL1678" s="407"/>
      <c r="AM1678" s="407"/>
      <c r="AN1678" s="407"/>
      <c r="AO1678" s="407"/>
      <c r="AP1678" s="407"/>
      <c r="AQ1678" s="407"/>
      <c r="AR1678" s="1236"/>
      <c r="AS1678" s="1236"/>
      <c r="AT1678" s="1236"/>
      <c r="AU1678" s="1236"/>
      <c r="AV1678" s="1236"/>
      <c r="AW1678" s="1236"/>
      <c r="AX1678" s="1236"/>
      <c r="AY1678" s="1236"/>
      <c r="AZ1678" s="1236"/>
      <c r="BA1678" s="1236"/>
      <c r="BB1678" s="1236"/>
      <c r="BC1678" s="1236"/>
      <c r="BD1678" s="1236"/>
      <c r="BE1678" s="1236"/>
    </row>
    <row r="1679" spans="1:70" s="417" customFormat="1" x14ac:dyDescent="0.2">
      <c r="D1679" s="1368"/>
      <c r="E1679" s="1368"/>
      <c r="F1679" s="1368"/>
      <c r="G1679" s="1368"/>
      <c r="H1679" s="1368"/>
      <c r="I1679" s="1368"/>
      <c r="J1679" s="1368"/>
      <c r="K1679" s="1368"/>
      <c r="L1679" s="1368"/>
      <c r="M1679" s="1368"/>
      <c r="N1679" s="1368"/>
      <c r="O1679" s="1368"/>
      <c r="P1679" s="1368"/>
      <c r="Q1679" s="1368"/>
      <c r="R1679" s="1368"/>
      <c r="S1679" s="1368"/>
      <c r="T1679" s="1368"/>
      <c r="U1679" s="1368"/>
      <c r="V1679" s="1368"/>
      <c r="W1679" s="1368"/>
      <c r="X1679" s="1368"/>
      <c r="Y1679" s="1368"/>
      <c r="Z1679" s="1368"/>
      <c r="AA1679" s="1368"/>
      <c r="AB1679" s="1368"/>
      <c r="AC1679" s="1368"/>
      <c r="AD1679" s="1368"/>
      <c r="AE1679" s="1368"/>
      <c r="AF1679" s="1368"/>
      <c r="AG1679" s="1368"/>
      <c r="AH1679" s="1368"/>
      <c r="AI1679" s="1368"/>
      <c r="AJ1679" s="1368"/>
      <c r="AK1679" s="1368"/>
      <c r="AL1679" s="1368"/>
      <c r="AM1679" s="1368"/>
      <c r="AN1679" s="1368"/>
      <c r="AO1679" s="1368"/>
      <c r="AP1679" s="1368"/>
      <c r="AQ1679" s="1368"/>
      <c r="AR1679" s="1368"/>
      <c r="AS1679" s="1368"/>
      <c r="AT1679" s="1368"/>
      <c r="AU1679" s="1368"/>
      <c r="AV1679" s="1368"/>
      <c r="AW1679" s="1368"/>
      <c r="AX1679" s="1368"/>
      <c r="AY1679" s="1368"/>
      <c r="AZ1679" s="1368"/>
      <c r="BA1679" s="1368"/>
      <c r="BB1679" s="1368"/>
      <c r="BC1679" s="1368"/>
      <c r="BD1679" s="1368"/>
      <c r="BE1679" s="1368"/>
    </row>
    <row r="1680" spans="1:70" x14ac:dyDescent="0.2">
      <c r="A1680" s="70"/>
      <c r="D1680" s="407"/>
      <c r="E1680" s="407"/>
      <c r="F1680" s="407"/>
      <c r="G1680" s="407"/>
      <c r="H1680" s="407"/>
      <c r="I1680" s="407"/>
      <c r="J1680" s="407"/>
      <c r="K1680" s="407"/>
      <c r="L1680" s="407"/>
      <c r="M1680" s="407"/>
      <c r="N1680" s="407"/>
      <c r="O1680" s="407"/>
      <c r="P1680" s="407"/>
      <c r="Q1680" s="407"/>
      <c r="R1680" s="407"/>
      <c r="S1680" s="407"/>
      <c r="T1680" s="407"/>
      <c r="U1680" s="407"/>
      <c r="V1680" s="407"/>
      <c r="W1680" s="407"/>
      <c r="X1680" s="407"/>
      <c r="Y1680" s="407"/>
      <c r="Z1680" s="407"/>
      <c r="AA1680" s="407"/>
      <c r="AB1680" s="407"/>
      <c r="AC1680" s="407"/>
      <c r="AD1680" s="407"/>
      <c r="AE1680" s="407"/>
      <c r="AF1680" s="407"/>
      <c r="AG1680" s="407"/>
      <c r="AH1680" s="407"/>
      <c r="AI1680" s="407"/>
      <c r="AJ1680" s="407"/>
      <c r="AK1680" s="407"/>
      <c r="AL1680" s="407"/>
      <c r="AM1680" s="407"/>
      <c r="AN1680" s="407"/>
      <c r="AO1680" s="407"/>
      <c r="AP1680" s="407"/>
      <c r="AQ1680" s="407"/>
      <c r="AR1680" s="1236"/>
      <c r="AS1680" s="1236"/>
      <c r="AT1680" s="1236"/>
      <c r="AU1680" s="1236"/>
      <c r="AV1680" s="1236"/>
      <c r="AW1680" s="1236"/>
      <c r="AX1680" s="1236"/>
      <c r="AY1680" s="1236"/>
      <c r="AZ1680" s="1236"/>
      <c r="BA1680" s="1236"/>
      <c r="BB1680" s="1236"/>
      <c r="BC1680" s="1236"/>
      <c r="BD1680" s="1236"/>
      <c r="BE1680" s="1236"/>
    </row>
    <row r="1681" spans="1:70" x14ac:dyDescent="0.2">
      <c r="A1681" s="70"/>
      <c r="D1681" s="407"/>
      <c r="E1681" s="407"/>
      <c r="F1681" s="407"/>
      <c r="G1681" s="407"/>
      <c r="H1681" s="407"/>
      <c r="I1681" s="407"/>
      <c r="J1681" s="407"/>
      <c r="K1681" s="407"/>
      <c r="L1681" s="407"/>
      <c r="M1681" s="407"/>
      <c r="N1681" s="407"/>
      <c r="O1681" s="407"/>
      <c r="P1681" s="407"/>
      <c r="Q1681" s="407"/>
      <c r="R1681" s="407"/>
      <c r="S1681" s="407"/>
      <c r="T1681" s="407"/>
      <c r="U1681" s="407"/>
      <c r="V1681" s="407"/>
      <c r="W1681" s="407"/>
      <c r="X1681" s="407"/>
      <c r="Y1681" s="407"/>
      <c r="Z1681" s="407"/>
      <c r="AA1681" s="407"/>
      <c r="AB1681" s="407"/>
      <c r="AC1681" s="407"/>
      <c r="AD1681" s="407"/>
      <c r="AE1681" s="407"/>
      <c r="AF1681" s="407"/>
      <c r="AG1681" s="407"/>
      <c r="AH1681" s="407"/>
      <c r="AI1681" s="407"/>
      <c r="AJ1681" s="407"/>
      <c r="AK1681" s="407"/>
      <c r="AL1681" s="407"/>
      <c r="AM1681" s="407"/>
      <c r="AN1681" s="407"/>
      <c r="AO1681" s="407"/>
      <c r="AP1681" s="407"/>
      <c r="AQ1681" s="407"/>
      <c r="AR1681" s="1236"/>
      <c r="AS1681" s="1236"/>
      <c r="AT1681" s="1236"/>
      <c r="AU1681" s="1236"/>
      <c r="AV1681" s="1236"/>
      <c r="AW1681" s="1236"/>
      <c r="AX1681" s="1236"/>
      <c r="AY1681" s="1236"/>
      <c r="AZ1681" s="1236"/>
      <c r="BA1681" s="1236"/>
      <c r="BB1681" s="1236"/>
      <c r="BC1681" s="1236"/>
      <c r="BD1681" s="1236"/>
      <c r="BE1681" s="1236"/>
    </row>
    <row r="1682" spans="1:70" x14ac:dyDescent="0.2">
      <c r="A1682" s="70"/>
      <c r="B1682" s="70"/>
      <c r="C1682" s="1164"/>
      <c r="D1682" s="1610"/>
      <c r="E1682" s="1610"/>
      <c r="F1682" s="1610"/>
      <c r="G1682" s="1610"/>
      <c r="H1682" s="1610"/>
      <c r="I1682" s="1610"/>
      <c r="J1682" s="1610"/>
      <c r="K1682" s="1610"/>
      <c r="L1682" s="1610"/>
      <c r="M1682" s="1610"/>
      <c r="N1682" s="1610"/>
      <c r="O1682" s="1610"/>
      <c r="P1682" s="1610"/>
      <c r="Q1682" s="1610"/>
      <c r="R1682" s="1610"/>
      <c r="S1682" s="1610"/>
      <c r="T1682" s="1610"/>
      <c r="U1682" s="1610"/>
      <c r="V1682" s="1610"/>
      <c r="W1682" s="1610"/>
      <c r="X1682" s="1610"/>
      <c r="Y1682" s="1610"/>
      <c r="Z1682" s="1610"/>
      <c r="AA1682" s="1610"/>
      <c r="AB1682" s="1610"/>
      <c r="AC1682" s="1610"/>
      <c r="AD1682" s="1610"/>
      <c r="AE1682" s="1610"/>
      <c r="AF1682" s="1610"/>
      <c r="AG1682" s="1610"/>
      <c r="AH1682" s="1610"/>
      <c r="AI1682" s="1610"/>
      <c r="AJ1682" s="1610"/>
      <c r="AK1682" s="1610"/>
      <c r="AL1682" s="1610"/>
      <c r="AM1682" s="1610"/>
      <c r="AN1682" s="1610"/>
      <c r="AO1682" s="1610"/>
      <c r="AP1682" s="1610"/>
      <c r="AQ1682" s="1610"/>
      <c r="AR1682" s="1236"/>
      <c r="AS1682" s="1236"/>
      <c r="AT1682" s="1610"/>
      <c r="AU1682" s="1610"/>
      <c r="AV1682" s="1610"/>
      <c r="AW1682" s="1610"/>
      <c r="AX1682" s="1610"/>
      <c r="AY1682" s="1610"/>
      <c r="AZ1682" s="1610"/>
      <c r="BA1682" s="1610"/>
      <c r="BB1682" s="1610"/>
      <c r="BC1682" s="1610"/>
      <c r="BD1682" s="1610"/>
      <c r="BE1682" s="1610"/>
      <c r="BM1682" s="1217"/>
      <c r="BN1682" s="1217"/>
      <c r="BO1682" s="1217"/>
      <c r="BP1682" s="1217"/>
      <c r="BQ1682" s="1217"/>
      <c r="BR1682" s="1217"/>
    </row>
    <row r="1683" spans="1:70" x14ac:dyDescent="0.2">
      <c r="A1683" s="70"/>
      <c r="D1683" s="407"/>
      <c r="E1683" s="407"/>
      <c r="F1683" s="407"/>
      <c r="G1683" s="407"/>
      <c r="H1683" s="407"/>
      <c r="I1683" s="407"/>
      <c r="J1683" s="407"/>
      <c r="K1683" s="407"/>
      <c r="L1683" s="407"/>
      <c r="M1683" s="407"/>
      <c r="N1683" s="407"/>
      <c r="O1683" s="407"/>
      <c r="P1683" s="407"/>
      <c r="Q1683" s="407"/>
      <c r="R1683" s="407"/>
      <c r="S1683" s="407"/>
      <c r="T1683" s="407"/>
      <c r="U1683" s="407"/>
      <c r="V1683" s="407"/>
      <c r="W1683" s="407"/>
      <c r="X1683" s="407"/>
      <c r="Y1683" s="407"/>
      <c r="Z1683" s="407"/>
      <c r="AA1683" s="407"/>
      <c r="AB1683" s="407"/>
      <c r="AC1683" s="407"/>
      <c r="AD1683" s="407"/>
      <c r="AE1683" s="407"/>
      <c r="AF1683" s="407"/>
      <c r="AG1683" s="407"/>
      <c r="AH1683" s="407"/>
      <c r="AI1683" s="407"/>
      <c r="AJ1683" s="407"/>
      <c r="AK1683" s="407"/>
      <c r="AL1683" s="407"/>
      <c r="AM1683" s="407"/>
      <c r="AN1683" s="407"/>
      <c r="AO1683" s="407"/>
      <c r="AP1683" s="407"/>
      <c r="AQ1683" s="407"/>
      <c r="AR1683" s="1236"/>
      <c r="AS1683" s="1236"/>
      <c r="AT1683" s="407"/>
      <c r="AU1683" s="407"/>
      <c r="AV1683" s="407"/>
      <c r="AW1683" s="407"/>
      <c r="AX1683" s="407"/>
      <c r="AY1683" s="407"/>
      <c r="AZ1683" s="407"/>
      <c r="BA1683" s="407"/>
      <c r="BB1683" s="407"/>
      <c r="BC1683" s="407"/>
      <c r="BD1683" s="407"/>
      <c r="BE1683" s="407"/>
    </row>
    <row r="1684" spans="1:70" x14ac:dyDescent="0.2">
      <c r="A1684" s="70"/>
      <c r="D1684" s="407"/>
      <c r="E1684" s="407"/>
      <c r="F1684" s="407"/>
      <c r="G1684" s="407"/>
      <c r="H1684" s="407"/>
      <c r="I1684" s="407"/>
      <c r="J1684" s="407"/>
      <c r="K1684" s="407"/>
      <c r="L1684" s="407"/>
      <c r="M1684" s="407"/>
      <c r="N1684" s="407"/>
      <c r="O1684" s="407"/>
      <c r="P1684" s="407"/>
      <c r="Q1684" s="407"/>
      <c r="R1684" s="407"/>
      <c r="S1684" s="407"/>
      <c r="T1684" s="407"/>
      <c r="U1684" s="407"/>
      <c r="V1684" s="407"/>
      <c r="W1684" s="407"/>
      <c r="X1684" s="407"/>
      <c r="Y1684" s="407"/>
      <c r="Z1684" s="407"/>
      <c r="AA1684" s="407"/>
      <c r="AB1684" s="407"/>
      <c r="AC1684" s="407"/>
      <c r="AD1684" s="407"/>
      <c r="AE1684" s="407"/>
      <c r="AF1684" s="407"/>
      <c r="AG1684" s="407"/>
      <c r="AH1684" s="407"/>
      <c r="AI1684" s="407"/>
      <c r="AJ1684" s="407"/>
      <c r="AK1684" s="407"/>
      <c r="AL1684" s="407"/>
      <c r="AM1684" s="407"/>
      <c r="AN1684" s="407"/>
      <c r="AO1684" s="407"/>
      <c r="AP1684" s="407"/>
      <c r="AQ1684" s="407"/>
      <c r="AR1684" s="1236"/>
      <c r="AS1684" s="1236"/>
      <c r="AT1684" s="407"/>
      <c r="AU1684" s="407"/>
      <c r="AV1684" s="407"/>
      <c r="AW1684" s="407"/>
      <c r="AX1684" s="407"/>
      <c r="AY1684" s="407"/>
      <c r="AZ1684" s="407"/>
      <c r="BA1684" s="407"/>
      <c r="BB1684" s="407"/>
      <c r="BC1684" s="407"/>
      <c r="BD1684" s="407"/>
      <c r="BE1684" s="407"/>
    </row>
    <row r="1685" spans="1:70" x14ac:dyDescent="0.2">
      <c r="A1685" s="70"/>
      <c r="D1685" s="1621"/>
      <c r="E1685" s="1621"/>
      <c r="F1685" s="1621"/>
      <c r="G1685" s="1621"/>
      <c r="H1685" s="1621"/>
      <c r="I1685" s="1621"/>
      <c r="J1685" s="1621"/>
      <c r="K1685" s="1621"/>
      <c r="L1685" s="1621"/>
      <c r="M1685" s="1621"/>
      <c r="N1685" s="1621"/>
      <c r="O1685" s="1621"/>
      <c r="P1685" s="1621"/>
      <c r="Q1685" s="1621"/>
      <c r="R1685" s="1621"/>
      <c r="S1685" s="1621"/>
      <c r="T1685" s="1621"/>
      <c r="U1685" s="1621"/>
      <c r="V1685" s="1621"/>
      <c r="W1685" s="1621"/>
      <c r="X1685" s="1621"/>
      <c r="Y1685" s="1621"/>
      <c r="Z1685" s="1621"/>
      <c r="AA1685" s="1621"/>
      <c r="AB1685" s="1621"/>
      <c r="AC1685" s="1621"/>
      <c r="AD1685" s="1621"/>
      <c r="AE1685" s="1621"/>
      <c r="AF1685" s="1621"/>
      <c r="AG1685" s="1621"/>
      <c r="AH1685" s="1621"/>
      <c r="AI1685" s="1621"/>
      <c r="AJ1685" s="1621"/>
      <c r="AK1685" s="1621"/>
      <c r="AL1685" s="1621"/>
      <c r="AM1685" s="1621"/>
      <c r="AN1685" s="1621"/>
      <c r="AO1685" s="1621"/>
      <c r="AP1685" s="1621"/>
      <c r="AQ1685" s="1621"/>
      <c r="AR1685" s="241"/>
      <c r="AS1685" s="241"/>
      <c r="AT1685" s="32"/>
      <c r="AU1685" s="1621"/>
      <c r="AV1685" s="1621"/>
      <c r="AW1685" s="1621"/>
      <c r="AX1685" s="1621"/>
      <c r="AY1685" s="1621"/>
      <c r="AZ1685" s="1621"/>
      <c r="BA1685" s="1621"/>
      <c r="BB1685" s="1621"/>
      <c r="BC1685" s="1621"/>
      <c r="BD1685" s="1621"/>
      <c r="BE1685" s="1621"/>
    </row>
    <row r="1686" spans="1:70" x14ac:dyDescent="0.2">
      <c r="A1686" s="70"/>
      <c r="D1686" s="314"/>
      <c r="E1686" s="314"/>
      <c r="F1686" s="314"/>
      <c r="G1686" s="314"/>
      <c r="H1686" s="314"/>
      <c r="I1686" s="314"/>
      <c r="J1686" s="314"/>
      <c r="K1686" s="314"/>
      <c r="L1686" s="314"/>
      <c r="M1686" s="314"/>
      <c r="N1686" s="314"/>
      <c r="O1686" s="314"/>
      <c r="P1686" s="314"/>
      <c r="Q1686" s="314"/>
      <c r="R1686" s="314"/>
      <c r="S1686" s="314"/>
      <c r="T1686" s="314"/>
      <c r="U1686" s="314"/>
      <c r="V1686" s="314"/>
      <c r="W1686" s="314"/>
      <c r="X1686" s="314"/>
      <c r="Y1686" s="314"/>
      <c r="Z1686" s="314"/>
      <c r="AA1686" s="314"/>
      <c r="AB1686" s="314"/>
      <c r="AC1686" s="314"/>
      <c r="AD1686" s="314"/>
      <c r="AE1686" s="314"/>
      <c r="AF1686" s="314"/>
      <c r="AG1686" s="314"/>
      <c r="AH1686" s="314"/>
      <c r="AI1686" s="314"/>
      <c r="AJ1686" s="314"/>
      <c r="AK1686" s="314"/>
      <c r="AL1686" s="314"/>
      <c r="AM1686" s="314"/>
      <c r="AN1686" s="314"/>
      <c r="AO1686" s="314"/>
      <c r="AP1686" s="314"/>
      <c r="AQ1686" s="314"/>
      <c r="AT1686" s="1217"/>
      <c r="AU1686" s="314"/>
      <c r="AV1686" s="314"/>
      <c r="AW1686" s="314"/>
      <c r="AX1686" s="314"/>
      <c r="AY1686" s="314"/>
      <c r="AZ1686" s="314"/>
      <c r="BA1686" s="314"/>
      <c r="BB1686" s="314"/>
      <c r="BC1686" s="314"/>
      <c r="BD1686" s="314"/>
      <c r="BE1686" s="314"/>
    </row>
  </sheetData>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CE1051"/>
  <sheetViews>
    <sheetView workbookViewId="0">
      <pane xSplit="2" ySplit="2" topLeftCell="X3" activePane="bottomRight" state="frozen"/>
      <selection pane="topRight" activeCell="C1" sqref="C1"/>
      <selection pane="bottomLeft" activeCell="A3" sqref="A3"/>
      <selection pane="bottomRight" activeCell="X3" sqref="X3"/>
    </sheetView>
  </sheetViews>
  <sheetFormatPr defaultRowHeight="11.25" outlineLevelCol="1" x14ac:dyDescent="0.2"/>
  <cols>
    <col min="1" max="1" width="40.83203125" style="9" customWidth="1"/>
    <col min="2" max="2" width="30.83203125" style="9" hidden="1" customWidth="1" outlineLevel="1"/>
    <col min="3" max="3" width="2.83203125" style="916" hidden="1" customWidth="1" outlineLevel="1"/>
    <col min="4" max="4" width="12.83203125" style="9" hidden="1" customWidth="1" outlineLevel="1" collapsed="1"/>
    <col min="5" max="19" width="12.83203125" style="9" hidden="1" customWidth="1" outlineLevel="1"/>
    <col min="20" max="20" width="12.83203125" style="9" hidden="1" customWidth="1" outlineLevel="1" collapsed="1"/>
    <col min="21" max="23" width="12.83203125" style="9" hidden="1" customWidth="1" outlineLevel="1"/>
    <col min="24" max="24" width="12.83203125" style="9" customWidth="1" collapsed="1"/>
    <col min="25" max="31" width="12.83203125" style="9" customWidth="1"/>
    <col min="32" max="35" width="12.83203125" style="1707" customWidth="1"/>
    <col min="36" max="43" width="12.83203125" style="1740" hidden="1" customWidth="1"/>
    <col min="44" max="44" width="3.83203125" style="9" customWidth="1"/>
    <col min="45" max="46" width="3.83203125" style="1160" customWidth="1"/>
    <col min="47" max="49" width="12.83203125" style="1198" hidden="1" customWidth="1" outlineLevel="1"/>
    <col min="50" max="50" width="12.83203125" style="1198" customWidth="1" collapsed="1"/>
    <col min="51" max="56" width="12.83203125" style="1198" customWidth="1"/>
    <col min="57" max="57" width="12.83203125" style="1702" customWidth="1"/>
    <col min="58" max="16384" width="9.33203125" style="9"/>
  </cols>
  <sheetData>
    <row r="1" spans="1:57" ht="18" x14ac:dyDescent="0.25">
      <c r="A1" s="4" t="s">
        <v>149</v>
      </c>
      <c r="B1" s="392"/>
      <c r="C1" s="392"/>
      <c r="D1" s="393">
        <f>Model!D1</f>
        <v>4.0219780219780219</v>
      </c>
      <c r="E1" s="393">
        <f>Model!E1</f>
        <v>4.0219780219780219</v>
      </c>
      <c r="F1" s="393">
        <f>Model!F1</f>
        <v>3.9782608695652173</v>
      </c>
      <c r="G1" s="393">
        <f>Model!G1</f>
        <v>3.9782608695652173</v>
      </c>
      <c r="H1" s="393">
        <f>Model!H1</f>
        <v>4.0555555555555554</v>
      </c>
      <c r="I1" s="393">
        <f>Model!I1</f>
        <v>4.0109890109890109</v>
      </c>
      <c r="J1" s="393">
        <f>Model!J1</f>
        <v>3.9673913043478257</v>
      </c>
      <c r="K1" s="393">
        <f>Model!K1</f>
        <v>3.9673913043478257</v>
      </c>
      <c r="L1" s="393">
        <f>Model!L1</f>
        <v>4.0555555555555554</v>
      </c>
      <c r="M1" s="393">
        <f>Model!M1</f>
        <v>4.0109890109890109</v>
      </c>
      <c r="N1" s="393">
        <f>Model!N1</f>
        <v>3.9673913043478257</v>
      </c>
      <c r="O1" s="393">
        <f>Model!O1</f>
        <v>3.9673913043478257</v>
      </c>
      <c r="P1" s="393">
        <f>Model!P1</f>
        <v>4.0555555555555554</v>
      </c>
      <c r="Q1" s="393">
        <f>Model!Q1</f>
        <v>4.0109890109890109</v>
      </c>
      <c r="R1" s="393">
        <f>Model!R1</f>
        <v>3.9673913043478257</v>
      </c>
      <c r="S1" s="393">
        <f>Model!S1</f>
        <v>3.9673913043478257</v>
      </c>
      <c r="T1" s="393">
        <f>Model!T1</f>
        <v>4.0219780219780219</v>
      </c>
      <c r="U1" s="393">
        <f>Model!U1</f>
        <v>4.0219780219780219</v>
      </c>
      <c r="V1" s="393">
        <f>Model!V1</f>
        <v>3.9782608695652173</v>
      </c>
      <c r="W1" s="393">
        <f>Model!W1</f>
        <v>3.9782608695652173</v>
      </c>
      <c r="X1" s="393">
        <f>Model!X1</f>
        <v>4.0555555555555554</v>
      </c>
      <c r="Y1" s="393">
        <f>Model!Y1</f>
        <v>4.0109890109890109</v>
      </c>
      <c r="Z1" s="393">
        <f>Model!Z1</f>
        <v>3.9673913043478257</v>
      </c>
      <c r="AA1" s="393">
        <f>Model!AA1</f>
        <v>3.9673913043478257</v>
      </c>
      <c r="AB1" s="393">
        <f>Model!AB1</f>
        <v>4.0555555555555554</v>
      </c>
      <c r="AC1" s="393">
        <f>Model!AC1</f>
        <v>4.0109890109890109</v>
      </c>
      <c r="AD1" s="393">
        <f>Model!AD1</f>
        <v>3.9673913043478257</v>
      </c>
      <c r="AE1" s="393">
        <f>Model!AE1</f>
        <v>3.9673913043478257</v>
      </c>
      <c r="AF1" s="393">
        <f>Model!AF1</f>
        <v>4.0555555555555554</v>
      </c>
      <c r="AG1" s="393">
        <f>Model!AG1</f>
        <v>4.0109890109890109</v>
      </c>
      <c r="AH1" s="393">
        <f>Model!AH1</f>
        <v>3.9673913043478257</v>
      </c>
      <c r="AI1" s="393">
        <f>Model!AI1</f>
        <v>3.9673913043478257</v>
      </c>
      <c r="AJ1" s="393"/>
      <c r="AK1" s="393"/>
      <c r="AL1" s="393"/>
      <c r="AM1" s="393"/>
      <c r="AN1" s="393"/>
      <c r="AO1" s="393"/>
      <c r="AP1" s="393"/>
      <c r="AQ1" s="393"/>
      <c r="AR1" s="393"/>
      <c r="AS1" s="393"/>
      <c r="AT1" s="393"/>
      <c r="AU1" s="393">
        <v>1</v>
      </c>
      <c r="AV1" s="393">
        <v>1</v>
      </c>
      <c r="AW1" s="393">
        <v>1</v>
      </c>
      <c r="AX1" s="393">
        <v>1</v>
      </c>
      <c r="AY1" s="393">
        <v>1</v>
      </c>
      <c r="AZ1" s="393">
        <v>1</v>
      </c>
      <c r="BA1" s="393">
        <v>1</v>
      </c>
      <c r="BB1" s="393">
        <v>1</v>
      </c>
      <c r="BC1" s="393">
        <v>1</v>
      </c>
      <c r="BD1" s="393">
        <v>1</v>
      </c>
      <c r="BE1" s="393">
        <v>1</v>
      </c>
    </row>
    <row r="2" spans="1:57" x14ac:dyDescent="0.2">
      <c r="A2" s="1063" t="s">
        <v>148</v>
      </c>
      <c r="B2" s="1063" t="s">
        <v>690</v>
      </c>
      <c r="C2" s="1063"/>
      <c r="D2" s="169" t="str">
        <f>Model!D2</f>
        <v>1Q12</v>
      </c>
      <c r="E2" s="169" t="str">
        <f>Model!E2</f>
        <v>2Q12</v>
      </c>
      <c r="F2" s="169" t="str">
        <f>Model!F2</f>
        <v>3Q12</v>
      </c>
      <c r="G2" s="169" t="str">
        <f>Model!G2</f>
        <v>4Q12</v>
      </c>
      <c r="H2" s="169" t="str">
        <f>Model!H2</f>
        <v>1Q13</v>
      </c>
      <c r="I2" s="169" t="str">
        <f>Model!I2</f>
        <v>2Q13</v>
      </c>
      <c r="J2" s="169" t="str">
        <f>Model!J2</f>
        <v>3Q13</v>
      </c>
      <c r="K2" s="169" t="str">
        <f>Model!K2</f>
        <v>4Q13</v>
      </c>
      <c r="L2" s="169" t="str">
        <f>Model!L2</f>
        <v>1Q14</v>
      </c>
      <c r="M2" s="169" t="str">
        <f>Model!M2</f>
        <v>2Q14</v>
      </c>
      <c r="N2" s="169" t="str">
        <f>Model!N2</f>
        <v>3Q14</v>
      </c>
      <c r="O2" s="169" t="str">
        <f>Model!O2</f>
        <v>4Q14</v>
      </c>
      <c r="P2" s="169" t="str">
        <f>Model!P2</f>
        <v>1Q15</v>
      </c>
      <c r="Q2" s="169" t="str">
        <f>Model!Q2</f>
        <v>2Q15</v>
      </c>
      <c r="R2" s="169" t="str">
        <f>Model!R2</f>
        <v>3Q15</v>
      </c>
      <c r="S2" s="169" t="str">
        <f>Model!S2</f>
        <v>4Q15</v>
      </c>
      <c r="T2" s="169" t="str">
        <f>Model!T2</f>
        <v>1Q16</v>
      </c>
      <c r="U2" s="169" t="str">
        <f>Model!U2</f>
        <v>2Q16</v>
      </c>
      <c r="V2" s="169" t="str">
        <f>Model!V2</f>
        <v>3Q16</v>
      </c>
      <c r="W2" s="169" t="str">
        <f>Model!W2</f>
        <v>4Q16</v>
      </c>
      <c r="X2" s="169" t="str">
        <f>Model!X2</f>
        <v>1Q17</v>
      </c>
      <c r="Y2" s="169" t="str">
        <f>Model!Y2</f>
        <v>2Q17</v>
      </c>
      <c r="Z2" s="169" t="str">
        <f>Model!Z2</f>
        <v>3Q17</v>
      </c>
      <c r="AA2" s="169" t="str">
        <f>Model!AA2</f>
        <v>4Q17</v>
      </c>
      <c r="AB2" s="169" t="str">
        <f>Model!AB2</f>
        <v>1Q18</v>
      </c>
      <c r="AC2" s="169" t="str">
        <f>Model!AC2</f>
        <v>2Q18E</v>
      </c>
      <c r="AD2" s="169" t="str">
        <f>Model!AD2</f>
        <v>3Q18E</v>
      </c>
      <c r="AE2" s="169" t="str">
        <f>Model!AE2</f>
        <v>4Q18E</v>
      </c>
      <c r="AF2" s="169" t="str">
        <f>Model!AF2</f>
        <v>1Q19E</v>
      </c>
      <c r="AG2" s="169" t="str">
        <f>Model!AG2</f>
        <v>2Q19E</v>
      </c>
      <c r="AH2" s="169" t="str">
        <f>Model!AH2</f>
        <v>3Q19E</v>
      </c>
      <c r="AI2" s="169" t="str">
        <f>Model!AI2</f>
        <v>4Q19E</v>
      </c>
      <c r="AJ2" s="169"/>
      <c r="AK2" s="169"/>
      <c r="AL2" s="169"/>
      <c r="AM2" s="169"/>
      <c r="AN2" s="169"/>
      <c r="AO2" s="169"/>
      <c r="AP2" s="169"/>
      <c r="AQ2" s="169"/>
      <c r="AU2" s="169">
        <f>Model!AU2</f>
        <v>2012</v>
      </c>
      <c r="AV2" s="169">
        <f>Model!AV2</f>
        <v>2013</v>
      </c>
      <c r="AW2" s="169">
        <f>Model!AW2</f>
        <v>2014</v>
      </c>
      <c r="AX2" s="169">
        <f>Model!AX2</f>
        <v>2015</v>
      </c>
      <c r="AY2" s="169">
        <f>Model!AY2</f>
        <v>2016</v>
      </c>
      <c r="AZ2" s="169">
        <f>Model!AZ2</f>
        <v>2017</v>
      </c>
      <c r="BA2" s="169" t="str">
        <f>Model!BA2</f>
        <v>2018E</v>
      </c>
      <c r="BB2" s="169" t="str">
        <f>Model!BB2</f>
        <v>2019E</v>
      </c>
      <c r="BC2" s="169" t="str">
        <f>Model!BC2</f>
        <v>2020E</v>
      </c>
      <c r="BD2" s="169" t="str">
        <f>Model!BD2</f>
        <v>2021E</v>
      </c>
      <c r="BE2" s="169" t="str">
        <f>Model!BE2</f>
        <v>2022E</v>
      </c>
    </row>
    <row r="3" spans="1:57" x14ac:dyDescent="0.2">
      <c r="A3" s="238"/>
      <c r="B3" s="238"/>
      <c r="C3" s="238"/>
      <c r="D3" s="238"/>
      <c r="E3" s="238"/>
      <c r="F3" s="238"/>
      <c r="G3" s="238"/>
      <c r="H3" s="238"/>
      <c r="I3" s="238"/>
      <c r="J3" s="238"/>
      <c r="K3" s="238"/>
      <c r="L3" s="238"/>
      <c r="M3" s="238"/>
      <c r="N3" s="238"/>
      <c r="O3" s="238"/>
      <c r="P3" s="238"/>
      <c r="Q3" s="238"/>
      <c r="R3" s="238"/>
      <c r="S3" s="238"/>
      <c r="T3" s="238"/>
      <c r="U3" s="238"/>
      <c r="V3" s="238"/>
      <c r="W3" s="238"/>
      <c r="X3" s="238"/>
      <c r="Y3" s="238"/>
      <c r="Z3" s="238"/>
      <c r="AA3" s="238"/>
      <c r="AB3" s="238"/>
      <c r="AC3" s="238"/>
      <c r="AD3" s="238"/>
      <c r="AE3" s="238"/>
      <c r="AF3" s="238"/>
      <c r="AG3" s="238"/>
      <c r="AH3" s="238"/>
      <c r="AI3" s="238"/>
      <c r="AJ3" s="238"/>
      <c r="AK3" s="238"/>
      <c r="AL3" s="238"/>
      <c r="AM3" s="238"/>
      <c r="AN3" s="238"/>
      <c r="AO3" s="238"/>
      <c r="AP3" s="238"/>
      <c r="AQ3" s="238"/>
      <c r="AR3" s="238"/>
      <c r="AS3" s="238"/>
      <c r="AT3" s="238"/>
      <c r="AU3" s="238"/>
      <c r="AV3" s="238"/>
      <c r="AW3" s="238"/>
      <c r="AX3" s="238"/>
      <c r="AY3" s="238"/>
      <c r="AZ3" s="238"/>
      <c r="BA3" s="238"/>
      <c r="BB3" s="238"/>
      <c r="BC3" s="238"/>
      <c r="BD3" s="238"/>
      <c r="BE3" s="238"/>
    </row>
    <row r="4" spans="1:57" s="1209" customFormat="1" x14ac:dyDescent="0.2">
      <c r="A4" s="238" t="s">
        <v>1255</v>
      </c>
      <c r="B4" s="238"/>
      <c r="C4" s="238"/>
      <c r="D4" s="1212">
        <f>D1</f>
        <v>4.0219780219780219</v>
      </c>
      <c r="E4" s="1212">
        <f t="shared" ref="E4:AE4" si="0">E1</f>
        <v>4.0219780219780219</v>
      </c>
      <c r="F4" s="1212">
        <f t="shared" si="0"/>
        <v>3.9782608695652173</v>
      </c>
      <c r="G4" s="1212">
        <f t="shared" si="0"/>
        <v>3.9782608695652173</v>
      </c>
      <c r="H4" s="1212">
        <f t="shared" si="0"/>
        <v>4.0555555555555554</v>
      </c>
      <c r="I4" s="1212">
        <f t="shared" si="0"/>
        <v>4.0109890109890109</v>
      </c>
      <c r="J4" s="1212">
        <f t="shared" si="0"/>
        <v>3.9673913043478257</v>
      </c>
      <c r="K4" s="1212">
        <f t="shared" si="0"/>
        <v>3.9673913043478257</v>
      </c>
      <c r="L4" s="1212">
        <f t="shared" si="0"/>
        <v>4.0555555555555554</v>
      </c>
      <c r="M4" s="1212">
        <f t="shared" si="0"/>
        <v>4.0109890109890109</v>
      </c>
      <c r="N4" s="1212">
        <f t="shared" si="0"/>
        <v>3.9673913043478257</v>
      </c>
      <c r="O4" s="1212">
        <f t="shared" si="0"/>
        <v>3.9673913043478257</v>
      </c>
      <c r="P4" s="1212">
        <f t="shared" si="0"/>
        <v>4.0555555555555554</v>
      </c>
      <c r="Q4" s="1212">
        <f t="shared" si="0"/>
        <v>4.0109890109890109</v>
      </c>
      <c r="R4" s="1212">
        <f t="shared" si="0"/>
        <v>3.9673913043478257</v>
      </c>
      <c r="S4" s="1212">
        <f t="shared" si="0"/>
        <v>3.9673913043478257</v>
      </c>
      <c r="T4" s="1212">
        <f t="shared" si="0"/>
        <v>4.0219780219780219</v>
      </c>
      <c r="U4" s="1212">
        <f t="shared" si="0"/>
        <v>4.0219780219780219</v>
      </c>
      <c r="V4" s="1212">
        <f t="shared" si="0"/>
        <v>3.9782608695652173</v>
      </c>
      <c r="W4" s="1212">
        <f t="shared" si="0"/>
        <v>3.9782608695652173</v>
      </c>
      <c r="X4" s="1212">
        <f t="shared" si="0"/>
        <v>4.0555555555555554</v>
      </c>
      <c r="Y4" s="1212">
        <f t="shared" si="0"/>
        <v>4.0109890109890109</v>
      </c>
      <c r="Z4" s="1212">
        <f t="shared" si="0"/>
        <v>3.9673913043478257</v>
      </c>
      <c r="AA4" s="1212">
        <f t="shared" si="0"/>
        <v>3.9673913043478257</v>
      </c>
      <c r="AB4" s="1212">
        <f t="shared" si="0"/>
        <v>4.0555555555555554</v>
      </c>
      <c r="AC4" s="1212">
        <f t="shared" si="0"/>
        <v>4.0109890109890109</v>
      </c>
      <c r="AD4" s="1212">
        <f t="shared" si="0"/>
        <v>3.9673913043478257</v>
      </c>
      <c r="AE4" s="1212">
        <f t="shared" si="0"/>
        <v>3.9673913043478257</v>
      </c>
      <c r="AF4" s="1212">
        <f t="shared" ref="AF4:AI4" si="1">AF1</f>
        <v>4.0555555555555554</v>
      </c>
      <c r="AG4" s="1212">
        <f t="shared" si="1"/>
        <v>4.0109890109890109</v>
      </c>
      <c r="AH4" s="1212">
        <f t="shared" si="1"/>
        <v>3.9673913043478257</v>
      </c>
      <c r="AI4" s="1212">
        <f t="shared" si="1"/>
        <v>3.9673913043478257</v>
      </c>
      <c r="AJ4" s="1212"/>
      <c r="AK4" s="1212"/>
      <c r="AL4" s="1212"/>
      <c r="AM4" s="1212"/>
      <c r="AN4" s="1212"/>
      <c r="AO4" s="1212"/>
      <c r="AP4" s="1212"/>
      <c r="AQ4" s="1212"/>
      <c r="AR4" s="1212"/>
      <c r="AS4" s="1212"/>
      <c r="AT4" s="1212"/>
      <c r="AU4" s="1212">
        <f t="shared" ref="AU4:BD4" si="2">AU1</f>
        <v>1</v>
      </c>
      <c r="AV4" s="1212">
        <f t="shared" si="2"/>
        <v>1</v>
      </c>
      <c r="AW4" s="1212">
        <f t="shared" si="2"/>
        <v>1</v>
      </c>
      <c r="AX4" s="1212">
        <f t="shared" si="2"/>
        <v>1</v>
      </c>
      <c r="AY4" s="1212">
        <f t="shared" si="2"/>
        <v>1</v>
      </c>
      <c r="AZ4" s="1212">
        <f t="shared" si="2"/>
        <v>1</v>
      </c>
      <c r="BA4" s="1212">
        <f t="shared" si="2"/>
        <v>1</v>
      </c>
      <c r="BB4" s="1212">
        <f t="shared" si="2"/>
        <v>1</v>
      </c>
      <c r="BC4" s="1212">
        <f t="shared" si="2"/>
        <v>1</v>
      </c>
      <c r="BD4" s="1212">
        <f t="shared" si="2"/>
        <v>1</v>
      </c>
      <c r="BE4" s="1212">
        <f t="shared" ref="BE4" si="3">BE1</f>
        <v>1</v>
      </c>
    </row>
    <row r="5" spans="1:57" s="1209" customFormat="1" x14ac:dyDescent="0.2">
      <c r="A5" s="238"/>
      <c r="B5" s="238"/>
      <c r="C5" s="238"/>
      <c r="D5" s="238"/>
      <c r="E5" s="238"/>
      <c r="F5" s="238"/>
      <c r="G5" s="238"/>
      <c r="H5" s="238"/>
      <c r="I5" s="238"/>
      <c r="J5" s="238"/>
      <c r="K5" s="238"/>
      <c r="L5" s="238"/>
      <c r="M5" s="238"/>
      <c r="N5" s="238"/>
      <c r="O5" s="238"/>
      <c r="P5" s="238"/>
      <c r="Q5" s="238"/>
      <c r="R5" s="238"/>
      <c r="S5" s="238"/>
      <c r="T5" s="238"/>
      <c r="U5" s="238"/>
      <c r="V5" s="238"/>
      <c r="W5" s="238"/>
      <c r="X5" s="238"/>
      <c r="Y5" s="238"/>
      <c r="Z5" s="238"/>
      <c r="AA5" s="238"/>
      <c r="AB5" s="238"/>
      <c r="AC5" s="238"/>
      <c r="AD5" s="238"/>
      <c r="AE5" s="238"/>
      <c r="AF5" s="238"/>
      <c r="AG5" s="238"/>
      <c r="AH5" s="238"/>
      <c r="AI5" s="238"/>
      <c r="AJ5" s="238"/>
      <c r="AK5" s="238"/>
      <c r="AL5" s="238"/>
      <c r="AM5" s="238"/>
      <c r="AN5" s="238"/>
      <c r="AO5" s="238"/>
      <c r="AP5" s="238"/>
      <c r="AQ5" s="238"/>
      <c r="AR5" s="238"/>
      <c r="AS5" s="238"/>
      <c r="AT5" s="238"/>
      <c r="AU5" s="238"/>
      <c r="AV5" s="238"/>
      <c r="AW5" s="238"/>
      <c r="AX5" s="238"/>
      <c r="AY5" s="238"/>
      <c r="AZ5" s="238"/>
      <c r="BA5" s="238"/>
      <c r="BB5" s="238"/>
      <c r="BC5" s="238"/>
      <c r="BD5" s="238"/>
      <c r="BE5" s="238"/>
    </row>
    <row r="6" spans="1:57" x14ac:dyDescent="0.2">
      <c r="A6" s="13" t="s">
        <v>181</v>
      </c>
      <c r="B6" s="13"/>
      <c r="C6" s="13"/>
      <c r="D6" s="13"/>
      <c r="E6" s="13"/>
      <c r="F6" s="13"/>
      <c r="G6" s="13"/>
      <c r="H6" s="13"/>
      <c r="I6" s="13"/>
      <c r="J6" s="13"/>
      <c r="K6" s="13"/>
      <c r="L6" s="13"/>
      <c r="M6" s="13"/>
      <c r="N6" s="13"/>
      <c r="O6" s="13"/>
      <c r="P6" s="13"/>
      <c r="Q6" s="13"/>
      <c r="R6" s="13"/>
      <c r="S6" s="13"/>
      <c r="T6" s="13"/>
      <c r="U6" s="13"/>
      <c r="V6" s="13"/>
      <c r="W6" s="13"/>
      <c r="X6" s="13"/>
      <c r="Y6" s="13"/>
      <c r="Z6" s="13"/>
      <c r="AA6" s="13"/>
      <c r="AB6" s="13"/>
      <c r="AC6" s="13"/>
      <c r="AD6" s="13"/>
      <c r="AE6" s="13"/>
      <c r="AF6" s="13"/>
      <c r="AG6" s="13"/>
      <c r="AH6" s="13"/>
      <c r="AI6" s="13"/>
      <c r="AJ6" s="13"/>
      <c r="AK6" s="13"/>
      <c r="AL6" s="13"/>
      <c r="AM6" s="13"/>
      <c r="AN6" s="13"/>
      <c r="AO6" s="13"/>
      <c r="AP6" s="13"/>
      <c r="AQ6" s="13"/>
      <c r="AR6" s="238"/>
      <c r="AS6" s="238"/>
      <c r="AT6" s="238"/>
      <c r="AU6" s="13"/>
      <c r="AV6" s="13"/>
      <c r="AW6" s="13"/>
      <c r="AX6" s="13"/>
      <c r="AY6" s="13"/>
      <c r="AZ6" s="13"/>
      <c r="BA6" s="13"/>
      <c r="BB6" s="13"/>
      <c r="BC6" s="13"/>
      <c r="BD6" s="13"/>
      <c r="BE6" s="13"/>
    </row>
    <row r="7" spans="1:57" x14ac:dyDescent="0.2">
      <c r="A7" s="59" t="s">
        <v>691</v>
      </c>
      <c r="B7" s="9" t="s">
        <v>691</v>
      </c>
      <c r="D7" s="238"/>
      <c r="E7" s="238"/>
      <c r="F7" s="238"/>
      <c r="G7" s="238"/>
      <c r="H7" s="238"/>
      <c r="I7" s="238"/>
      <c r="J7" s="238"/>
      <c r="K7" s="238"/>
      <c r="L7" s="238"/>
      <c r="M7" s="238"/>
      <c r="N7" s="238"/>
      <c r="O7" s="238"/>
      <c r="P7" s="238"/>
      <c r="Q7" s="238"/>
      <c r="R7" s="238"/>
      <c r="S7" s="238"/>
      <c r="T7" s="238"/>
      <c r="U7" s="238"/>
      <c r="V7" s="238"/>
      <c r="W7" s="238"/>
      <c r="X7" s="238"/>
      <c r="Y7" s="238"/>
      <c r="Z7" s="238"/>
      <c r="AA7" s="238"/>
      <c r="AB7" s="238"/>
      <c r="AC7" s="238"/>
      <c r="AD7" s="238"/>
      <c r="AE7" s="238"/>
      <c r="AF7" s="238"/>
      <c r="AG7" s="238"/>
      <c r="AH7" s="238"/>
      <c r="AI7" s="238"/>
      <c r="AJ7" s="238"/>
      <c r="AK7" s="238"/>
      <c r="AL7" s="238"/>
      <c r="AM7" s="238"/>
      <c r="AN7" s="238"/>
      <c r="AO7" s="238"/>
      <c r="AP7" s="238"/>
      <c r="AQ7" s="238"/>
      <c r="AR7" s="238"/>
      <c r="AS7" s="238"/>
      <c r="AT7" s="238"/>
      <c r="AU7" s="238"/>
      <c r="AV7" s="238"/>
      <c r="AW7" s="238"/>
      <c r="AX7" s="238"/>
      <c r="AY7" s="238"/>
      <c r="AZ7" s="238"/>
      <c r="BA7" s="238"/>
      <c r="BB7" s="238"/>
      <c r="BC7" s="238"/>
      <c r="BD7" s="238"/>
      <c r="BE7" s="238"/>
    </row>
    <row r="8" spans="1:57" x14ac:dyDescent="0.2">
      <c r="A8" s="238" t="s">
        <v>802</v>
      </c>
      <c r="B8" s="238" t="s">
        <v>692</v>
      </c>
      <c r="C8" s="238"/>
      <c r="D8" s="33">
        <f>Model!D538</f>
        <v>49120</v>
      </c>
      <c r="E8" s="33">
        <f>Model!E538</f>
        <v>79366</v>
      </c>
      <c r="F8" s="33">
        <f>Model!F538</f>
        <v>73812</v>
      </c>
      <c r="G8" s="33">
        <f>Model!G538</f>
        <v>77470</v>
      </c>
      <c r="H8" s="33">
        <f>Model!H538</f>
        <v>146231</v>
      </c>
      <c r="I8" s="33">
        <f>Model!I538</f>
        <v>122291</v>
      </c>
      <c r="J8" s="33">
        <f>Model!J538</f>
        <v>87252</v>
      </c>
      <c r="K8" s="33">
        <f>Model!K538</f>
        <v>92303</v>
      </c>
      <c r="L8" s="33">
        <f>Model!L538</f>
        <v>47416</v>
      </c>
      <c r="M8" s="33">
        <f>Model!M538</f>
        <v>76895</v>
      </c>
      <c r="N8" s="33">
        <f>Model!N538</f>
        <v>88818</v>
      </c>
      <c r="O8" s="33">
        <f>Model!O538</f>
        <v>205244</v>
      </c>
      <c r="P8" s="33">
        <f>Model!P538</f>
        <v>169710</v>
      </c>
      <c r="Q8" s="33">
        <f>Model!Q538</f>
        <v>136061</v>
      </c>
      <c r="R8" s="33">
        <f>Model!R538</f>
        <v>178701</v>
      </c>
      <c r="S8" s="33">
        <f>Model!S538</f>
        <v>124830</v>
      </c>
      <c r="T8" s="33">
        <f>Model!T538</f>
        <v>176285</v>
      </c>
      <c r="U8" s="33">
        <f>Model!U538</f>
        <v>194273</v>
      </c>
      <c r="V8" s="33">
        <f>Model!V538</f>
        <v>191764</v>
      </c>
      <c r="W8" s="33">
        <f>Model!W538</f>
        <v>88231</v>
      </c>
      <c r="X8" s="33">
        <f>Model!X538</f>
        <v>94751</v>
      </c>
      <c r="Y8" s="33">
        <f>Model!Y538</f>
        <v>183112</v>
      </c>
      <c r="Z8" s="33">
        <f>Model!Z538</f>
        <v>71315</v>
      </c>
      <c r="AA8" s="33">
        <f>Model!AA538</f>
        <v>127325.14</v>
      </c>
      <c r="AB8" s="33">
        <f>Model!AB538</f>
        <v>97188</v>
      </c>
      <c r="AC8" s="33">
        <f>Model!AC538</f>
        <v>126577.57476000006</v>
      </c>
      <c r="AD8" s="33">
        <f>Model!AD538</f>
        <v>139235.33223600007</v>
      </c>
      <c r="AE8" s="33">
        <f>Model!AE538</f>
        <v>153158.86545960009</v>
      </c>
      <c r="AF8" s="33">
        <f>Model!AF538</f>
        <v>158628.82494030008</v>
      </c>
      <c r="AG8" s="33">
        <f>Model!AG538</f>
        <v>153869.96019209106</v>
      </c>
      <c r="AH8" s="33">
        <f>Model!AH538</f>
        <v>150792.56098824923</v>
      </c>
      <c r="AI8" s="33">
        <f>Model!AI538</f>
        <v>147776.70976848426</v>
      </c>
      <c r="AJ8" s="33"/>
      <c r="AK8" s="33"/>
      <c r="AL8" s="33"/>
      <c r="AM8" s="33"/>
      <c r="AN8" s="33"/>
      <c r="AO8" s="33"/>
      <c r="AP8" s="33"/>
      <c r="AQ8" s="33"/>
      <c r="AR8" s="50"/>
      <c r="AS8" s="50"/>
      <c r="AT8" s="50"/>
      <c r="AU8" s="33">
        <f>Model!AU538</f>
        <v>279768</v>
      </c>
      <c r="AV8" s="33">
        <f>Model!AV538</f>
        <v>448077</v>
      </c>
      <c r="AW8" s="33">
        <f>Model!AW538</f>
        <v>418373</v>
      </c>
      <c r="AX8" s="33">
        <f>Model!AX538</f>
        <v>609302</v>
      </c>
      <c r="AY8" s="33">
        <f>Model!AY538</f>
        <v>650553</v>
      </c>
      <c r="AZ8" s="33">
        <f>Model!AZ538</f>
        <v>476503.14</v>
      </c>
      <c r="BA8" s="33">
        <f>Model!BA538</f>
        <v>516159.77245560021</v>
      </c>
      <c r="BB8" s="33">
        <f>Model!BB538</f>
        <v>611068.05588912463</v>
      </c>
      <c r="BC8" s="33">
        <f>Model!BC538</f>
        <v>663746.33656922157</v>
      </c>
      <c r="BD8" s="33">
        <f>Model!BD538</f>
        <v>696933.6533976827</v>
      </c>
      <c r="BE8" s="33">
        <f>Model!BE538</f>
        <v>731780.33606756688</v>
      </c>
    </row>
    <row r="9" spans="1:57" x14ac:dyDescent="0.2">
      <c r="A9" s="238" t="s">
        <v>803</v>
      </c>
      <c r="B9" s="238" t="s">
        <v>693</v>
      </c>
      <c r="C9" s="238"/>
      <c r="D9" s="33">
        <f>Model!D548</f>
        <v>14204</v>
      </c>
      <c r="E9" s="33">
        <f>Model!E548</f>
        <v>12009</v>
      </c>
      <c r="F9" s="33">
        <f>Model!F548</f>
        <v>13590</v>
      </c>
      <c r="G9" s="33">
        <f>Model!G548</f>
        <v>14891</v>
      </c>
      <c r="H9" s="33">
        <f>Model!H548</f>
        <v>14971</v>
      </c>
      <c r="I9" s="33">
        <f>Model!I548</f>
        <v>15016</v>
      </c>
      <c r="J9" s="33">
        <f>Model!J548</f>
        <v>8128</v>
      </c>
      <c r="K9" s="33">
        <f>Model!K548</f>
        <v>15027</v>
      </c>
      <c r="L9" s="33">
        <f>Model!L548</f>
        <v>10879</v>
      </c>
      <c r="M9" s="33">
        <f>Model!M548</f>
        <v>21168</v>
      </c>
      <c r="N9" s="33">
        <f>Model!N548</f>
        <v>19399</v>
      </c>
      <c r="O9" s="33">
        <f>Model!O548</f>
        <v>11200</v>
      </c>
      <c r="P9" s="33">
        <f>Model!P548</f>
        <v>13531</v>
      </c>
      <c r="Q9" s="33">
        <f>Model!Q548</f>
        <v>15112</v>
      </c>
      <c r="R9" s="33">
        <f>Model!R548</f>
        <v>7657</v>
      </c>
      <c r="S9" s="33">
        <f>Model!S548</f>
        <v>11106</v>
      </c>
      <c r="T9" s="33">
        <f>Model!T548</f>
        <v>5706</v>
      </c>
      <c r="U9" s="33">
        <f>Model!U548</f>
        <v>13762</v>
      </c>
      <c r="V9" s="33">
        <f>Model!V548</f>
        <v>6596</v>
      </c>
      <c r="W9" s="33">
        <f>Model!W548</f>
        <v>8386</v>
      </c>
      <c r="X9" s="33">
        <f>Model!X548</f>
        <v>11658</v>
      </c>
      <c r="Y9" s="33">
        <f>Model!Y548</f>
        <v>15548</v>
      </c>
      <c r="Z9" s="33">
        <f>Model!Z548</f>
        <v>10524</v>
      </c>
      <c r="AA9" s="33">
        <f>Model!AA548</f>
        <v>8466</v>
      </c>
      <c r="AB9" s="33">
        <f>Model!AB548</f>
        <v>16698</v>
      </c>
      <c r="AC9" s="33">
        <f>Model!AC548</f>
        <v>12404.54124</v>
      </c>
      <c r="AD9" s="33">
        <f>Model!AD548</f>
        <v>12404.54124</v>
      </c>
      <c r="AE9" s="33">
        <f>Model!AE548</f>
        <v>13024.768302000002</v>
      </c>
      <c r="AF9" s="33">
        <f>Model!AF548</f>
        <v>14493.014910589092</v>
      </c>
      <c r="AG9" s="33">
        <f>Model!AG548</f>
        <v>14782.875208800875</v>
      </c>
      <c r="AH9" s="33">
        <f>Model!AH548</f>
        <v>15078.532712976892</v>
      </c>
      <c r="AI9" s="33">
        <f>Model!AI548</f>
        <v>15380.10336723643</v>
      </c>
      <c r="AJ9" s="33"/>
      <c r="AK9" s="33"/>
      <c r="AL9" s="33"/>
      <c r="AM9" s="33"/>
      <c r="AN9" s="33"/>
      <c r="AO9" s="33"/>
      <c r="AP9" s="33"/>
      <c r="AQ9" s="33"/>
      <c r="AR9" s="50"/>
      <c r="AS9" s="50"/>
      <c r="AT9" s="50"/>
      <c r="AU9" s="33">
        <f>Model!AU548</f>
        <v>54694</v>
      </c>
      <c r="AV9" s="33">
        <f>Model!AV548</f>
        <v>53142</v>
      </c>
      <c r="AW9" s="33">
        <f>Model!AW548</f>
        <v>62646</v>
      </c>
      <c r="AX9" s="33">
        <f>Model!AX548</f>
        <v>47406</v>
      </c>
      <c r="AY9" s="33">
        <f>Model!AY548</f>
        <v>34450</v>
      </c>
      <c r="AZ9" s="33">
        <f>Model!AZ548</f>
        <v>46196</v>
      </c>
      <c r="BA9" s="33">
        <f>Model!BA548</f>
        <v>54531.850782000001</v>
      </c>
      <c r="BB9" s="33">
        <f>Model!BB548</f>
        <v>59734.526199603286</v>
      </c>
      <c r="BC9" s="33">
        <f>Model!BC548</f>
        <v>67948.023552048762</v>
      </c>
      <c r="BD9" s="33">
        <f>Model!BD548</f>
        <v>76833.53432423975</v>
      </c>
      <c r="BE9" s="33">
        <f>Model!BE548</f>
        <v>80675.211040451744</v>
      </c>
    </row>
    <row r="10" spans="1:57" x14ac:dyDescent="0.2">
      <c r="A10" s="238" t="s">
        <v>804</v>
      </c>
      <c r="B10" s="238" t="s">
        <v>694</v>
      </c>
      <c r="C10" s="238"/>
      <c r="D10" s="33">
        <f>Model!D558</f>
        <v>118221</v>
      </c>
      <c r="E10" s="33">
        <f>Model!E558</f>
        <v>79882</v>
      </c>
      <c r="F10" s="33">
        <f>Model!F558</f>
        <v>97062</v>
      </c>
      <c r="G10" s="33">
        <f>Model!G558</f>
        <v>83377</v>
      </c>
      <c r="H10" s="33">
        <f>Model!H558</f>
        <v>108654</v>
      </c>
      <c r="I10" s="33">
        <f>Model!I558</f>
        <v>89884</v>
      </c>
      <c r="J10" s="33">
        <f>Model!J558</f>
        <v>88961</v>
      </c>
      <c r="K10" s="33">
        <f>Model!K558</f>
        <v>77552</v>
      </c>
      <c r="L10" s="33">
        <f>Model!L558</f>
        <v>106605</v>
      </c>
      <c r="M10" s="33">
        <f>Model!M558</f>
        <v>98417</v>
      </c>
      <c r="N10" s="33">
        <f>Model!N558</f>
        <v>76617</v>
      </c>
      <c r="O10" s="33">
        <f>Model!O558</f>
        <v>72885</v>
      </c>
      <c r="P10" s="33">
        <f>Model!P558</f>
        <v>114442</v>
      </c>
      <c r="Q10" s="33">
        <f>Model!Q558</f>
        <v>93720</v>
      </c>
      <c r="R10" s="33">
        <f>Model!R558</f>
        <v>70326</v>
      </c>
      <c r="S10" s="33">
        <f>Model!S558</f>
        <v>86670</v>
      </c>
      <c r="T10" s="33">
        <f>Model!T558</f>
        <v>101424</v>
      </c>
      <c r="U10" s="33">
        <f>Model!U558</f>
        <v>116506</v>
      </c>
      <c r="V10" s="33">
        <f>Model!V558</f>
        <v>105862</v>
      </c>
      <c r="W10" s="33">
        <f>Model!W558</f>
        <v>76319</v>
      </c>
      <c r="X10" s="33">
        <f>Model!X558</f>
        <v>129288</v>
      </c>
      <c r="Y10" s="33">
        <f>Model!Y558</f>
        <v>121084</v>
      </c>
      <c r="Z10" s="33">
        <f>Model!Z558</f>
        <v>111054</v>
      </c>
      <c r="AA10" s="33">
        <f>Model!AA558</f>
        <v>103740</v>
      </c>
      <c r="AB10" s="33">
        <f>Model!AB558</f>
        <v>124740</v>
      </c>
      <c r="AC10" s="33">
        <f>Model!AC558</f>
        <v>129816.93030090914</v>
      </c>
      <c r="AD10" s="33">
        <f>Model!AD558</f>
        <v>123326.08378586368</v>
      </c>
      <c r="AE10" s="33">
        <f>Model!AE558</f>
        <v>117159.7795965705</v>
      </c>
      <c r="AF10" s="33">
        <f>Model!AF558</f>
        <v>126532.56196429615</v>
      </c>
      <c r="AG10" s="33">
        <f>Model!AG558</f>
        <v>131593.86444286798</v>
      </c>
      <c r="AH10" s="33">
        <f>Model!AH558</f>
        <v>127646.04850958196</v>
      </c>
      <c r="AI10" s="33">
        <f>Model!AI558</f>
        <v>129560.73923722567</v>
      </c>
      <c r="AJ10" s="33"/>
      <c r="AK10" s="33"/>
      <c r="AL10" s="33"/>
      <c r="AM10" s="33"/>
      <c r="AN10" s="33"/>
      <c r="AO10" s="33"/>
      <c r="AP10" s="33"/>
      <c r="AQ10" s="33"/>
      <c r="AR10" s="50"/>
      <c r="AS10" s="50"/>
      <c r="AT10" s="50"/>
      <c r="AU10" s="33">
        <f>Model!AU558</f>
        <v>378542</v>
      </c>
      <c r="AV10" s="33">
        <f>Model!AV558</f>
        <v>365051</v>
      </c>
      <c r="AW10" s="33">
        <f>Model!AW558</f>
        <v>354524</v>
      </c>
      <c r="AX10" s="33">
        <f>Model!AX558</f>
        <v>365158</v>
      </c>
      <c r="AY10" s="33">
        <f>Model!AY558</f>
        <v>400111</v>
      </c>
      <c r="AZ10" s="33">
        <f>Model!AZ558</f>
        <v>465166</v>
      </c>
      <c r="BA10" s="33">
        <f>Model!BA558</f>
        <v>495042.79368334333</v>
      </c>
      <c r="BB10" s="33">
        <f>Model!BB558</f>
        <v>515333.21415397176</v>
      </c>
      <c r="BC10" s="33">
        <f>Model!BC558</f>
        <v>535946.54272013064</v>
      </c>
      <c r="BD10" s="33">
        <f>Model!BD558</f>
        <v>557384.40442893584</v>
      </c>
      <c r="BE10" s="33">
        <f>Model!BE558</f>
        <v>579679.78060609335</v>
      </c>
    </row>
    <row r="11" spans="1:57" x14ac:dyDescent="0.2">
      <c r="A11" s="238"/>
      <c r="B11" s="238"/>
      <c r="C11" s="238"/>
    </row>
    <row r="12" spans="1:57" x14ac:dyDescent="0.2">
      <c r="A12" s="59" t="s">
        <v>695</v>
      </c>
      <c r="B12" s="9" t="s">
        <v>695</v>
      </c>
      <c r="D12" s="238"/>
      <c r="E12" s="238"/>
      <c r="F12" s="238"/>
      <c r="G12" s="238"/>
      <c r="H12" s="238"/>
      <c r="I12" s="238"/>
      <c r="J12" s="238"/>
      <c r="K12" s="238"/>
      <c r="L12" s="238"/>
      <c r="M12" s="238"/>
      <c r="N12" s="238"/>
      <c r="O12" s="238"/>
      <c r="P12" s="238"/>
      <c r="Q12" s="238"/>
      <c r="R12" s="238"/>
      <c r="S12" s="238"/>
      <c r="T12" s="238"/>
      <c r="U12" s="238"/>
      <c r="V12" s="238"/>
      <c r="W12" s="238"/>
      <c r="X12" s="238"/>
      <c r="Y12" s="238"/>
      <c r="Z12" s="238"/>
      <c r="AA12" s="238"/>
      <c r="AB12" s="238"/>
      <c r="AC12" s="238"/>
      <c r="AD12" s="238"/>
      <c r="AE12" s="238"/>
      <c r="AF12" s="238"/>
      <c r="AG12" s="238"/>
      <c r="AH12" s="238"/>
      <c r="AI12" s="238"/>
      <c r="AJ12" s="238"/>
      <c r="AK12" s="238"/>
      <c r="AL12" s="238"/>
      <c r="AM12" s="238"/>
      <c r="AN12" s="238"/>
      <c r="AO12" s="238"/>
      <c r="AP12" s="238"/>
      <c r="AQ12" s="238"/>
      <c r="AR12" s="238"/>
      <c r="AS12" s="238"/>
      <c r="AT12" s="238"/>
      <c r="AU12" s="238"/>
      <c r="AV12" s="238"/>
      <c r="AW12" s="238"/>
      <c r="AX12" s="238"/>
      <c r="AY12" s="238"/>
      <c r="AZ12" s="238"/>
      <c r="BA12" s="238"/>
      <c r="BB12" s="238"/>
      <c r="BC12" s="238"/>
      <c r="BD12" s="238"/>
      <c r="BE12" s="238"/>
    </row>
    <row r="13" spans="1:57" x14ac:dyDescent="0.2">
      <c r="A13" s="238" t="s">
        <v>799</v>
      </c>
      <c r="B13" s="238" t="s">
        <v>696</v>
      </c>
      <c r="C13" s="238"/>
      <c r="D13" s="33">
        <f>Model!D541</f>
        <v>108</v>
      </c>
      <c r="E13" s="33">
        <f>Model!E541</f>
        <v>196</v>
      </c>
      <c r="F13" s="33">
        <f>Model!F541</f>
        <v>193</v>
      </c>
      <c r="G13" s="33">
        <f>Model!G541</f>
        <v>201</v>
      </c>
      <c r="H13" s="33">
        <f>Model!H541</f>
        <v>198</v>
      </c>
      <c r="I13" s="33">
        <f>Model!I541</f>
        <v>207</v>
      </c>
      <c r="J13" s="33">
        <f>Model!J541</f>
        <v>162</v>
      </c>
      <c r="K13" s="33">
        <f>Model!K541</f>
        <v>256</v>
      </c>
      <c r="L13" s="33">
        <f>Model!L541</f>
        <v>174</v>
      </c>
      <c r="M13" s="33">
        <f>Model!M541</f>
        <v>190</v>
      </c>
      <c r="N13" s="33">
        <f>Model!N541</f>
        <v>314</v>
      </c>
      <c r="O13" s="33">
        <f>Model!O541</f>
        <v>260</v>
      </c>
      <c r="P13" s="33">
        <f>Model!P541</f>
        <v>295</v>
      </c>
      <c r="Q13" s="33">
        <f>Model!Q541</f>
        <v>257</v>
      </c>
      <c r="R13" s="33">
        <f>Model!R541</f>
        <v>239</v>
      </c>
      <c r="S13" s="33">
        <f>Model!S541</f>
        <v>302</v>
      </c>
      <c r="T13" s="33">
        <f>Model!T541</f>
        <v>227</v>
      </c>
      <c r="U13" s="33">
        <f>Model!U541</f>
        <v>238</v>
      </c>
      <c r="V13" s="33">
        <f>Model!V541</f>
        <v>239</v>
      </c>
      <c r="W13" s="33">
        <f>Model!W541</f>
        <v>296</v>
      </c>
      <c r="X13" s="33">
        <f>Model!X541</f>
        <v>249</v>
      </c>
      <c r="Y13" s="33">
        <f>Model!Y541</f>
        <v>318</v>
      </c>
      <c r="Z13" s="33">
        <f>Model!Z541</f>
        <v>240</v>
      </c>
      <c r="AA13" s="33">
        <f>Model!AA541</f>
        <v>316</v>
      </c>
      <c r="AB13" s="33">
        <f>Model!AB541</f>
        <v>215</v>
      </c>
      <c r="AC13" s="33">
        <f>Model!AC541</f>
        <v>278.47066447200012</v>
      </c>
      <c r="AD13" s="33">
        <f>Model!AD541</f>
        <v>306.31773091920019</v>
      </c>
      <c r="AE13" s="33">
        <f>Model!AE541</f>
        <v>336.94950401112021</v>
      </c>
      <c r="AF13" s="33">
        <f>Model!AF541</f>
        <v>348.98341486866019</v>
      </c>
      <c r="AG13" s="33">
        <f>Model!AG541</f>
        <v>338.51391242260036</v>
      </c>
      <c r="AH13" s="33">
        <f>Model!AH541</f>
        <v>331.74363417414833</v>
      </c>
      <c r="AI13" s="33">
        <f>Model!AI541</f>
        <v>325.10876149066542</v>
      </c>
      <c r="AJ13" s="33"/>
      <c r="AK13" s="33"/>
      <c r="AL13" s="33"/>
      <c r="AM13" s="33"/>
      <c r="AN13" s="33"/>
      <c r="AO13" s="33"/>
      <c r="AP13" s="33"/>
      <c r="AQ13" s="33"/>
      <c r="AR13" s="33"/>
      <c r="AS13" s="33"/>
      <c r="AT13" s="33"/>
      <c r="AU13" s="33">
        <f>Model!AU541</f>
        <v>698</v>
      </c>
      <c r="AV13" s="33">
        <f>Model!AV541</f>
        <v>823</v>
      </c>
      <c r="AW13" s="33">
        <f>Model!AW541</f>
        <v>938</v>
      </c>
      <c r="AX13" s="33">
        <f>Model!AX541</f>
        <v>1093</v>
      </c>
      <c r="AY13" s="33">
        <f>Model!AY541</f>
        <v>1000</v>
      </c>
      <c r="AZ13" s="33">
        <f>Model!AZ541</f>
        <v>1123</v>
      </c>
      <c r="BA13" s="33">
        <f>Model!BA541</f>
        <v>1136.7378994023206</v>
      </c>
      <c r="BB13" s="33">
        <f>Model!BB541</f>
        <v>1344.3497229560744</v>
      </c>
      <c r="BC13" s="33">
        <f>Model!BC541</f>
        <v>1460.2419404522875</v>
      </c>
      <c r="BD13" s="33">
        <f>Model!BD541</f>
        <v>1533.2540374749021</v>
      </c>
      <c r="BE13" s="33">
        <f>Model!BE541</f>
        <v>1609.9167393486473</v>
      </c>
    </row>
    <row r="14" spans="1:57" x14ac:dyDescent="0.2">
      <c r="A14" s="238" t="s">
        <v>800</v>
      </c>
      <c r="B14" s="238" t="s">
        <v>697</v>
      </c>
      <c r="C14" s="238"/>
      <c r="D14" s="33">
        <f>Model!D551</f>
        <v>169</v>
      </c>
      <c r="E14" s="33">
        <f>Model!E551</f>
        <v>207</v>
      </c>
      <c r="F14" s="33">
        <f>Model!F551</f>
        <v>171</v>
      </c>
      <c r="G14" s="33">
        <f>Model!G551</f>
        <v>185</v>
      </c>
      <c r="H14" s="33">
        <f>Model!H551</f>
        <v>251</v>
      </c>
      <c r="I14" s="33">
        <f>Model!I551</f>
        <v>307</v>
      </c>
      <c r="J14" s="33">
        <f>Model!J551</f>
        <v>200</v>
      </c>
      <c r="K14" s="33">
        <f>Model!K551</f>
        <v>311</v>
      </c>
      <c r="L14" s="33">
        <f>Model!L551</f>
        <v>299</v>
      </c>
      <c r="M14" s="33">
        <f>Model!M551</f>
        <v>399</v>
      </c>
      <c r="N14" s="33">
        <f>Model!N551</f>
        <v>300</v>
      </c>
      <c r="O14" s="33">
        <f>Model!O551</f>
        <v>252</v>
      </c>
      <c r="P14" s="33">
        <f>Model!P551</f>
        <v>231</v>
      </c>
      <c r="Q14" s="33">
        <f>Model!Q551</f>
        <v>296</v>
      </c>
      <c r="R14" s="33">
        <f>Model!R551</f>
        <v>173</v>
      </c>
      <c r="S14" s="33">
        <f>Model!S551</f>
        <v>206</v>
      </c>
      <c r="T14" s="33">
        <f>Model!T551</f>
        <v>118</v>
      </c>
      <c r="U14" s="33">
        <f>Model!U551</f>
        <v>174</v>
      </c>
      <c r="V14" s="33">
        <f>Model!V551</f>
        <v>146</v>
      </c>
      <c r="W14" s="33">
        <f>Model!W551</f>
        <v>190</v>
      </c>
      <c r="X14" s="33">
        <f>Model!X551</f>
        <v>250</v>
      </c>
      <c r="Y14" s="33">
        <f>Model!Y551</f>
        <v>309</v>
      </c>
      <c r="Z14" s="33">
        <f>Model!Z551</f>
        <v>311</v>
      </c>
      <c r="AA14" s="33">
        <f>Model!AA551</f>
        <v>251</v>
      </c>
      <c r="AB14" s="33">
        <f>Model!AB551</f>
        <v>216</v>
      </c>
      <c r="AC14" s="33">
        <f>Model!AC551</f>
        <v>204.67493046000001</v>
      </c>
      <c r="AD14" s="33">
        <f>Model!AD551</f>
        <v>204.67493046000001</v>
      </c>
      <c r="AE14" s="33">
        <f>Model!AE551</f>
        <v>214.90867698300005</v>
      </c>
      <c r="AF14" s="33">
        <f>Model!AF551</f>
        <v>231.88823856942548</v>
      </c>
      <c r="AG14" s="33">
        <f>Model!AG551</f>
        <v>236.52600334081401</v>
      </c>
      <c r="AH14" s="33">
        <f>Model!AH551</f>
        <v>241.25652340763028</v>
      </c>
      <c r="AI14" s="33">
        <f>Model!AI551</f>
        <v>246.08165387578288</v>
      </c>
      <c r="AJ14" s="33"/>
      <c r="AK14" s="33"/>
      <c r="AL14" s="33"/>
      <c r="AM14" s="33"/>
      <c r="AN14" s="33"/>
      <c r="AO14" s="33"/>
      <c r="AP14" s="33"/>
      <c r="AQ14" s="33"/>
      <c r="AR14" s="33"/>
      <c r="AS14" s="33"/>
      <c r="AT14" s="33"/>
      <c r="AU14" s="33">
        <f>Model!AU551</f>
        <v>732</v>
      </c>
      <c r="AV14" s="33">
        <f>Model!AV551</f>
        <v>1069</v>
      </c>
      <c r="AW14" s="33">
        <f>Model!AW551</f>
        <v>1250</v>
      </c>
      <c r="AX14" s="33">
        <f>Model!AX551</f>
        <v>906</v>
      </c>
      <c r="AY14" s="33">
        <f>Model!AY551</f>
        <v>628</v>
      </c>
      <c r="AZ14" s="33">
        <f>Model!AZ551</f>
        <v>1121</v>
      </c>
      <c r="BA14" s="33">
        <f>Model!BA551</f>
        <v>840.25853790300016</v>
      </c>
      <c r="BB14" s="33">
        <f>Model!BB551</f>
        <v>955.75241919365271</v>
      </c>
      <c r="BC14" s="33">
        <f>Model!BC551</f>
        <v>1087.1683768327803</v>
      </c>
      <c r="BD14" s="33">
        <f>Model!BD551</f>
        <v>1244.7032560526839</v>
      </c>
      <c r="BE14" s="33">
        <f>Model!BE551</f>
        <v>1315.0059399593633</v>
      </c>
    </row>
    <row r="15" spans="1:57" x14ac:dyDescent="0.2">
      <c r="A15" s="238" t="s">
        <v>801</v>
      </c>
      <c r="B15" s="238" t="s">
        <v>698</v>
      </c>
      <c r="C15" s="238"/>
      <c r="D15" s="33">
        <f>Model!D561</f>
        <v>684</v>
      </c>
      <c r="E15" s="33">
        <f>Model!E561</f>
        <v>581</v>
      </c>
      <c r="F15" s="33">
        <f>Model!F561</f>
        <v>685</v>
      </c>
      <c r="G15" s="33">
        <f>Model!G561</f>
        <v>723</v>
      </c>
      <c r="H15" s="33">
        <f>Model!H561</f>
        <v>721</v>
      </c>
      <c r="I15" s="33">
        <f>Model!I561</f>
        <v>644</v>
      </c>
      <c r="J15" s="33">
        <f>Model!J561</f>
        <v>583</v>
      </c>
      <c r="K15" s="33">
        <f>Model!K561</f>
        <v>581</v>
      </c>
      <c r="L15" s="33">
        <f>Model!L561</f>
        <v>587</v>
      </c>
      <c r="M15" s="33">
        <f>Model!M561</f>
        <v>756</v>
      </c>
      <c r="N15" s="33">
        <f>Model!N561</f>
        <v>641</v>
      </c>
      <c r="O15" s="33">
        <f>Model!O561</f>
        <v>558</v>
      </c>
      <c r="P15" s="33">
        <f>Model!P561</f>
        <v>674</v>
      </c>
      <c r="Q15" s="33">
        <f>Model!Q561</f>
        <v>735</v>
      </c>
      <c r="R15" s="33">
        <f>Model!R561</f>
        <v>528</v>
      </c>
      <c r="S15" s="33">
        <f>Model!S561</f>
        <v>621</v>
      </c>
      <c r="T15" s="33">
        <f>Model!T561</f>
        <v>528</v>
      </c>
      <c r="U15" s="33">
        <f>Model!U561</f>
        <v>803</v>
      </c>
      <c r="V15" s="33">
        <f>Model!V561</f>
        <v>698</v>
      </c>
      <c r="W15" s="33">
        <f>Model!W561</f>
        <v>645</v>
      </c>
      <c r="X15" s="33">
        <f>Model!X561</f>
        <v>763</v>
      </c>
      <c r="Y15" s="33">
        <f>Model!Y561</f>
        <v>908</v>
      </c>
      <c r="Z15" s="33">
        <f>Model!Z561</f>
        <v>729</v>
      </c>
      <c r="AA15" s="33">
        <f>Model!AA561</f>
        <v>726</v>
      </c>
      <c r="AB15" s="33">
        <f>Model!AB561</f>
        <v>699</v>
      </c>
      <c r="AC15" s="33">
        <f>Model!AC561</f>
        <v>817.84666089572761</v>
      </c>
      <c r="AD15" s="33">
        <f>Model!AD561</f>
        <v>776.95432785094124</v>
      </c>
      <c r="AE15" s="33">
        <f>Model!AE561</f>
        <v>738.10661145839413</v>
      </c>
      <c r="AF15" s="33">
        <f>Model!AF561</f>
        <v>797.1551403750658</v>
      </c>
      <c r="AG15" s="33">
        <f>Model!AG561</f>
        <v>829.04134599006829</v>
      </c>
      <c r="AH15" s="33">
        <f>Model!AH561</f>
        <v>791.40550075940814</v>
      </c>
      <c r="AI15" s="33">
        <f>Model!AI561</f>
        <v>803.27658327079916</v>
      </c>
      <c r="AJ15" s="33"/>
      <c r="AK15" s="33"/>
      <c r="AL15" s="33"/>
      <c r="AM15" s="33"/>
      <c r="AN15" s="33"/>
      <c r="AO15" s="33"/>
      <c r="AP15" s="33"/>
      <c r="AQ15" s="33"/>
      <c r="AR15" s="33"/>
      <c r="AS15" s="33"/>
      <c r="AT15" s="33"/>
      <c r="AU15" s="33">
        <f>Model!AU561</f>
        <v>2673</v>
      </c>
      <c r="AV15" s="33">
        <f>Model!AV561</f>
        <v>2529</v>
      </c>
      <c r="AW15" s="33">
        <f>Model!AW561</f>
        <v>2542</v>
      </c>
      <c r="AX15" s="33">
        <f>Model!AX561</f>
        <v>2558</v>
      </c>
      <c r="AY15" s="33">
        <f>Model!AY561</f>
        <v>2674</v>
      </c>
      <c r="AZ15" s="33">
        <f>Model!AZ561</f>
        <v>3126</v>
      </c>
      <c r="BA15" s="33">
        <f>Model!BA561</f>
        <v>3031.9076002050629</v>
      </c>
      <c r="BB15" s="33">
        <f>Model!BB561</f>
        <v>3220.8785703953417</v>
      </c>
      <c r="BC15" s="33">
        <f>Model!BC561</f>
        <v>3349.6658920008167</v>
      </c>
      <c r="BD15" s="33">
        <f>Model!BD561</f>
        <v>3483.6525276808493</v>
      </c>
      <c r="BE15" s="33">
        <f>Model!BE561</f>
        <v>3622.9986287880838</v>
      </c>
    </row>
    <row r="16" spans="1:57" s="1197" customFormat="1" x14ac:dyDescent="0.2">
      <c r="A16" s="238" t="s">
        <v>1242</v>
      </c>
      <c r="B16" s="238"/>
      <c r="C16" s="238"/>
      <c r="D16" s="33">
        <f>Model!D472</f>
        <v>961</v>
      </c>
      <c r="E16" s="33">
        <f>Model!E472</f>
        <v>984</v>
      </c>
      <c r="F16" s="33">
        <f>Model!F472</f>
        <v>1049</v>
      </c>
      <c r="G16" s="33">
        <f>Model!G472</f>
        <v>1109</v>
      </c>
      <c r="H16" s="33">
        <f>Model!H472</f>
        <v>1170</v>
      </c>
      <c r="I16" s="33">
        <f>Model!I472</f>
        <v>1158</v>
      </c>
      <c r="J16" s="33">
        <f>Model!J472</f>
        <v>945</v>
      </c>
      <c r="K16" s="33">
        <f>Model!K472</f>
        <v>1148</v>
      </c>
      <c r="L16" s="33">
        <f>Model!L472</f>
        <v>1060</v>
      </c>
      <c r="M16" s="33">
        <f>Model!M472</f>
        <v>1345</v>
      </c>
      <c r="N16" s="33">
        <f>Model!N472</f>
        <v>1255</v>
      </c>
      <c r="O16" s="33">
        <f>Model!O472</f>
        <v>1070</v>
      </c>
      <c r="P16" s="33">
        <f>Model!P472</f>
        <v>1200</v>
      </c>
      <c r="Q16" s="33">
        <f>Model!Q472</f>
        <v>1288</v>
      </c>
      <c r="R16" s="33">
        <f>Model!R472</f>
        <v>940</v>
      </c>
      <c r="S16" s="33">
        <f>Model!S472</f>
        <v>1129</v>
      </c>
      <c r="T16" s="33">
        <f>Model!T472</f>
        <v>873</v>
      </c>
      <c r="U16" s="33">
        <f>Model!U472</f>
        <v>1215</v>
      </c>
      <c r="V16" s="33">
        <f>Model!V472</f>
        <v>1083</v>
      </c>
      <c r="W16" s="33">
        <f>Model!W472</f>
        <v>1131</v>
      </c>
      <c r="X16" s="33">
        <f>Model!X472</f>
        <v>1262</v>
      </c>
      <c r="Y16" s="33">
        <f>Model!Y472</f>
        <v>1535</v>
      </c>
      <c r="Z16" s="33">
        <f>Model!Z472</f>
        <v>1280</v>
      </c>
      <c r="AA16" s="33">
        <f>Model!AA472</f>
        <v>1293</v>
      </c>
      <c r="AB16" s="33">
        <f>Model!AB472</f>
        <v>1130</v>
      </c>
      <c r="AC16" s="33">
        <f>Model!AC472</f>
        <v>1300.9922558277276</v>
      </c>
      <c r="AD16" s="33">
        <f>Model!AD472</f>
        <v>1287.9469892301413</v>
      </c>
      <c r="AE16" s="33">
        <f>Model!AE472</f>
        <v>1289.9647924525143</v>
      </c>
      <c r="AF16" s="33">
        <f>Model!AF472</f>
        <v>1378.0267938131515</v>
      </c>
      <c r="AG16" s="33">
        <f>Model!AG472</f>
        <v>1404.0812617534825</v>
      </c>
      <c r="AH16" s="33">
        <f>Model!AH472</f>
        <v>1364.4056583411866</v>
      </c>
      <c r="AI16" s="33">
        <f>Model!AI472</f>
        <v>1374.4669986372473</v>
      </c>
      <c r="AJ16" s="33"/>
      <c r="AK16" s="33"/>
      <c r="AL16" s="33"/>
      <c r="AM16" s="33"/>
      <c r="AN16" s="33"/>
      <c r="AO16" s="33"/>
      <c r="AP16" s="33"/>
      <c r="AQ16" s="33"/>
      <c r="AR16" s="33"/>
      <c r="AS16" s="33"/>
      <c r="AT16" s="33"/>
      <c r="AU16" s="33">
        <f>Model!AU472</f>
        <v>4103</v>
      </c>
      <c r="AV16" s="33">
        <f>Model!AV472</f>
        <v>4421</v>
      </c>
      <c r="AW16" s="33">
        <f>Model!AW472</f>
        <v>4730</v>
      </c>
      <c r="AX16" s="33">
        <f>Model!AX472</f>
        <v>4557</v>
      </c>
      <c r="AY16" s="33">
        <f>Model!AY472</f>
        <v>4302</v>
      </c>
      <c r="AZ16" s="33">
        <f>Model!AZ472</f>
        <v>5370</v>
      </c>
      <c r="BA16" s="33">
        <f>Model!BA472</f>
        <v>5008.9040375103832</v>
      </c>
      <c r="BB16" s="33">
        <f>Model!BB472</f>
        <v>5520.9807125450689</v>
      </c>
      <c r="BC16" s="33">
        <f>Model!BC472</f>
        <v>5897.076209285884</v>
      </c>
      <c r="BD16" s="33">
        <f>Model!BD472</f>
        <v>6261.6098212084353</v>
      </c>
      <c r="BE16" s="33">
        <f>Model!BE472</f>
        <v>6547.9213080960944</v>
      </c>
    </row>
    <row r="17" spans="1:57" s="916" customFormat="1" x14ac:dyDescent="0.2">
      <c r="A17" s="238"/>
      <c r="B17" s="238"/>
      <c r="C17" s="238"/>
      <c r="D17" s="33"/>
      <c r="E17" s="33"/>
      <c r="F17" s="33"/>
      <c r="G17" s="33"/>
      <c r="H17" s="33"/>
      <c r="I17" s="33"/>
      <c r="J17" s="33"/>
      <c r="K17" s="33"/>
      <c r="L17" s="33"/>
      <c r="M17" s="33"/>
      <c r="N17" s="33"/>
      <c r="O17" s="33"/>
      <c r="P17" s="33"/>
      <c r="Q17" s="33"/>
      <c r="R17" s="33"/>
      <c r="S17" s="33"/>
      <c r="T17" s="33"/>
      <c r="U17" s="33"/>
      <c r="V17" s="33"/>
      <c r="W17" s="33"/>
      <c r="X17" s="33"/>
      <c r="Y17" s="33"/>
      <c r="Z17" s="33"/>
      <c r="AA17" s="33"/>
      <c r="AB17" s="33"/>
      <c r="AC17" s="33"/>
      <c r="AD17" s="33"/>
      <c r="AE17" s="33"/>
      <c r="AF17" s="33"/>
      <c r="AG17" s="33"/>
      <c r="AH17" s="33"/>
      <c r="AI17" s="33"/>
      <c r="AJ17" s="33"/>
      <c r="AK17" s="33"/>
      <c r="AL17" s="33"/>
      <c r="AM17" s="33"/>
      <c r="AN17" s="33"/>
      <c r="AO17" s="33"/>
      <c r="AP17" s="33"/>
      <c r="AQ17" s="33"/>
      <c r="AR17" s="33"/>
      <c r="AS17" s="33"/>
      <c r="AT17" s="33"/>
      <c r="AU17" s="33"/>
      <c r="AV17" s="33"/>
      <c r="AW17" s="33"/>
      <c r="AX17" s="33"/>
      <c r="AY17" s="33"/>
      <c r="AZ17" s="33"/>
      <c r="BA17" s="33"/>
      <c r="BB17" s="33"/>
      <c r="BC17" s="33"/>
      <c r="BD17" s="33"/>
      <c r="BE17" s="33"/>
    </row>
    <row r="18" spans="1:57" x14ac:dyDescent="0.2">
      <c r="A18" s="59" t="s">
        <v>716</v>
      </c>
      <c r="B18" s="59" t="s">
        <v>716</v>
      </c>
      <c r="D18" s="238"/>
      <c r="E18" s="238"/>
      <c r="F18" s="238"/>
      <c r="G18" s="238"/>
      <c r="H18" s="238"/>
      <c r="I18" s="238"/>
      <c r="J18" s="238"/>
      <c r="K18" s="238"/>
      <c r="L18" s="238"/>
      <c r="M18" s="238"/>
      <c r="N18" s="238"/>
      <c r="O18" s="238"/>
      <c r="P18" s="238"/>
      <c r="Q18" s="238"/>
      <c r="R18" s="238"/>
      <c r="S18" s="238"/>
      <c r="T18" s="238"/>
      <c r="U18" s="238"/>
      <c r="V18" s="238"/>
      <c r="W18" s="238"/>
      <c r="X18" s="238"/>
      <c r="Y18" s="238"/>
      <c r="Z18" s="238"/>
      <c r="AA18" s="238"/>
      <c r="AB18" s="238"/>
      <c r="AC18" s="238"/>
      <c r="AD18" s="238"/>
      <c r="AE18" s="238"/>
      <c r="AF18" s="238"/>
      <c r="AG18" s="238"/>
      <c r="AH18" s="238"/>
      <c r="AI18" s="238"/>
      <c r="AJ18" s="238"/>
      <c r="AK18" s="238"/>
      <c r="AL18" s="238"/>
      <c r="AM18" s="238"/>
      <c r="AN18" s="238"/>
      <c r="AO18" s="238"/>
      <c r="AP18" s="238"/>
      <c r="AQ18" s="238"/>
      <c r="AR18" s="238"/>
      <c r="AS18" s="238"/>
      <c r="AT18" s="238"/>
      <c r="AU18" s="238"/>
      <c r="AV18" s="238"/>
      <c r="AW18" s="238"/>
      <c r="AX18" s="238"/>
      <c r="AY18" s="238"/>
      <c r="AZ18" s="238"/>
      <c r="BA18" s="238"/>
      <c r="BB18" s="238"/>
      <c r="BC18" s="238"/>
      <c r="BD18" s="238"/>
      <c r="BE18" s="238"/>
    </row>
    <row r="19" spans="1:57" x14ac:dyDescent="0.2">
      <c r="A19" s="238" t="s">
        <v>1123</v>
      </c>
      <c r="B19" s="238" t="s">
        <v>717</v>
      </c>
      <c r="C19" s="238"/>
      <c r="D19" s="67">
        <f>Model!D539</f>
        <v>9.1177713493859808E-2</v>
      </c>
      <c r="E19" s="67">
        <f>Model!E539</f>
        <v>0.11600819041269761</v>
      </c>
      <c r="F19" s="67">
        <f>Model!F539</f>
        <v>0.12976946106784309</v>
      </c>
      <c r="G19" s="67">
        <f>Model!G539</f>
        <v>0.10136485745944732</v>
      </c>
      <c r="H19" s="67">
        <f>Model!H539</f>
        <v>0.21662454543302495</v>
      </c>
      <c r="I19" s="67">
        <f>Model!I539</f>
        <v>0.18088608132109629</v>
      </c>
      <c r="J19" s="67">
        <f>Model!J539</f>
        <v>0.14076967609631935</v>
      </c>
      <c r="K19" s="67">
        <f>Model!K539</f>
        <v>0.11921649744609236</v>
      </c>
      <c r="L19" s="67">
        <f>Model!L539</f>
        <v>6.3805923201707374E-2</v>
      </c>
      <c r="M19" s="67">
        <f>Model!M539</f>
        <v>0.12359483108559081</v>
      </c>
      <c r="N19" s="67">
        <f>Model!N539</f>
        <v>0.12111936284707658</v>
      </c>
      <c r="O19" s="67">
        <f>Model!O539</f>
        <v>0.21566914904122728</v>
      </c>
      <c r="P19" s="67">
        <f>Model!P539</f>
        <v>0.18645757664940713</v>
      </c>
      <c r="Q19" s="67">
        <f>Model!Q539</f>
        <v>0.12491024494621691</v>
      </c>
      <c r="R19" s="67">
        <f>Model!R539</f>
        <v>0.16976058913035585</v>
      </c>
      <c r="S19" s="67">
        <f>Model!S539</f>
        <v>0.11647459368883491</v>
      </c>
      <c r="T19" s="67">
        <f>Model!T539</f>
        <v>0.19475153318016067</v>
      </c>
      <c r="U19" s="67">
        <f>Model!U539</f>
        <v>0.20537982597608404</v>
      </c>
      <c r="V19" s="67">
        <f>Model!V539</f>
        <v>0.20491982182306764</v>
      </c>
      <c r="W19" s="67">
        <f>Model!W539</f>
        <v>8.0580786629253651E-2</v>
      </c>
      <c r="X19" s="67">
        <f>Model!X539</f>
        <v>0.10783132340902621</v>
      </c>
      <c r="Y19" s="67">
        <f>Model!Y539</f>
        <v>0.19611749647777418</v>
      </c>
      <c r="Z19" s="67">
        <f>Model!Z539</f>
        <v>7.5893780293194199E-2</v>
      </c>
      <c r="AA19" s="67">
        <f>Model!AA539</f>
        <v>0.15476106564712264</v>
      </c>
      <c r="AB19" s="67">
        <f>Model!AB539</f>
        <v>0.11824331465015341</v>
      </c>
      <c r="AC19" s="67">
        <f>Model!AC539</f>
        <v>0.14000000000000001</v>
      </c>
      <c r="AD19" s="67">
        <f>Model!AD539</f>
        <v>0.14000000000000001</v>
      </c>
      <c r="AE19" s="67">
        <f>Model!AE539</f>
        <v>0.14000000000000001</v>
      </c>
      <c r="AF19" s="67">
        <f>Model!AF539</f>
        <v>0.14499999999999999</v>
      </c>
      <c r="AG19" s="67">
        <f>Model!AG539</f>
        <v>0.14499999999999999</v>
      </c>
      <c r="AH19" s="67">
        <f>Model!AH539</f>
        <v>0.14499999999999999</v>
      </c>
      <c r="AI19" s="67">
        <f>Model!AI539</f>
        <v>0.14499999999999999</v>
      </c>
      <c r="AJ19" s="67"/>
      <c r="AK19" s="67"/>
      <c r="AL19" s="67"/>
      <c r="AM19" s="67"/>
      <c r="AN19" s="67"/>
      <c r="AO19" s="67"/>
      <c r="AP19" s="67"/>
      <c r="AQ19" s="67"/>
      <c r="AR19" s="67"/>
      <c r="AS19" s="67"/>
      <c r="AT19" s="67"/>
      <c r="AU19" s="67">
        <f>Model!AU539</f>
        <v>0.10945832779931071</v>
      </c>
      <c r="AV19" s="67">
        <f>Model!AV539</f>
        <v>0.16322330802479645</v>
      </c>
      <c r="AW19" s="67">
        <f>Model!AW539</f>
        <v>0.13716007988057649</v>
      </c>
      <c r="AX19" s="67">
        <f>Model!AX539</f>
        <v>0.14775072890241578</v>
      </c>
      <c r="AY19" s="67">
        <f>Model!AY539</f>
        <v>0.16758890372593196</v>
      </c>
      <c r="AZ19" s="67">
        <f>Model!AZ539</f>
        <v>0.13329613225512008</v>
      </c>
      <c r="BA19" s="67">
        <f>Model!BA539</f>
        <v>0.13531206952168789</v>
      </c>
      <c r="BB19" s="67">
        <f>Model!BB539</f>
        <v>0.14499999999999999</v>
      </c>
      <c r="BC19" s="67">
        <f>Model!BC539</f>
        <v>0.15</v>
      </c>
      <c r="BD19" s="67">
        <f>Model!BD539</f>
        <v>0.15</v>
      </c>
      <c r="BE19" s="67">
        <f>Model!BE539</f>
        <v>0.15</v>
      </c>
    </row>
    <row r="20" spans="1:57" x14ac:dyDescent="0.2">
      <c r="A20" s="238" t="s">
        <v>1124</v>
      </c>
      <c r="B20" s="238" t="s">
        <v>718</v>
      </c>
      <c r="C20" s="238"/>
      <c r="D20" s="67">
        <f>Model!D549</f>
        <v>8.8249474380066709E-2</v>
      </c>
      <c r="E20" s="67">
        <f>Model!E549</f>
        <v>8.8027723785143744E-2</v>
      </c>
      <c r="F20" s="67">
        <f>Model!F549</f>
        <v>7.3410464918359619E-2</v>
      </c>
      <c r="G20" s="67">
        <f>Model!G549</f>
        <v>8.2278809739300338E-2</v>
      </c>
      <c r="H20" s="67">
        <f>Model!H549</f>
        <v>7.5151695134807461E-2</v>
      </c>
      <c r="I20" s="67">
        <f>Model!I549</f>
        <v>7.2950657838484048E-2</v>
      </c>
      <c r="J20" s="67">
        <f>Model!J549</f>
        <v>5.1535286136868544E-2</v>
      </c>
      <c r="K20" s="67">
        <f>Model!K549</f>
        <v>5.5194337362908075E-2</v>
      </c>
      <c r="L20" s="67">
        <f>Model!L549</f>
        <v>5.4067085827808635E-2</v>
      </c>
      <c r="M20" s="67">
        <f>Model!M549</f>
        <v>7.1970736796337975E-2</v>
      </c>
      <c r="N20" s="67">
        <f>Model!N549</f>
        <v>8.4512057769495941E-2</v>
      </c>
      <c r="O20" s="67">
        <f>Model!O549</f>
        <v>5.2768076670507744E-2</v>
      </c>
      <c r="P20" s="67">
        <f>Model!P549</f>
        <v>5.1861522414518565E-2</v>
      </c>
      <c r="Q20" s="67">
        <f>Model!Q549</f>
        <v>5.219323848890766E-2</v>
      </c>
      <c r="R20" s="67">
        <f>Model!R549</f>
        <v>5.213794159106995E-2</v>
      </c>
      <c r="S20" s="67">
        <f>Model!S549</f>
        <v>5.1394191225448346E-2</v>
      </c>
      <c r="T20" s="67">
        <f>Model!T549</f>
        <v>4.1229443805698769E-2</v>
      </c>
      <c r="U20" s="67">
        <f>Model!U549</f>
        <v>6.9799714582972058E-2</v>
      </c>
      <c r="V20" s="67">
        <f>Model!V549</f>
        <v>3.194566021886748E-2</v>
      </c>
      <c r="W20" s="67">
        <f>Model!W549</f>
        <v>4.5415727478340204E-2</v>
      </c>
      <c r="X20" s="67">
        <f>Model!X549</f>
        <v>5.2911671457825021E-2</v>
      </c>
      <c r="Y20" s="67">
        <f>Model!Y549</f>
        <v>6.8737264010202193E-2</v>
      </c>
      <c r="Z20" s="67">
        <f>Model!Z549</f>
        <v>5.2234929324512631E-2</v>
      </c>
      <c r="AA20" s="67">
        <f>Model!AA549</f>
        <v>3.7700479178166962E-2</v>
      </c>
      <c r="AB20" s="67">
        <f>Model!AB549</f>
        <v>8.2920986765972496E-2</v>
      </c>
      <c r="AC20" s="67">
        <f>Model!AC549</f>
        <v>5.5E-2</v>
      </c>
      <c r="AD20" s="67">
        <f>Model!AD549</f>
        <v>5.5E-2</v>
      </c>
      <c r="AE20" s="67">
        <f>Model!AE549</f>
        <v>5.5E-2</v>
      </c>
      <c r="AF20" s="67">
        <f>Model!AF549</f>
        <v>0.06</v>
      </c>
      <c r="AG20" s="67">
        <f>Model!AG549</f>
        <v>0.06</v>
      </c>
      <c r="AH20" s="67">
        <f>Model!AH549</f>
        <v>0.06</v>
      </c>
      <c r="AI20" s="67">
        <f>Model!AI549</f>
        <v>0.06</v>
      </c>
      <c r="AJ20" s="67"/>
      <c r="AK20" s="67"/>
      <c r="AL20" s="67"/>
      <c r="AM20" s="67"/>
      <c r="AN20" s="67"/>
      <c r="AO20" s="67"/>
      <c r="AP20" s="67"/>
      <c r="AQ20" s="67"/>
      <c r="AR20" s="67"/>
      <c r="AS20" s="67"/>
      <c r="AT20" s="67"/>
      <c r="AU20" s="67">
        <f>Model!AU549</f>
        <v>8.243486554408308E-2</v>
      </c>
      <c r="AV20" s="67">
        <f>Model!AV549</f>
        <v>6.3641472051128162E-2</v>
      </c>
      <c r="AW20" s="67">
        <f>Model!AW549</f>
        <v>6.6849262351053748E-2</v>
      </c>
      <c r="AX20" s="67">
        <f>Model!AX549</f>
        <v>5.1900554832105227E-2</v>
      </c>
      <c r="AY20" s="67">
        <f>Model!AY549</f>
        <v>4.7407016469624121E-2</v>
      </c>
      <c r="AZ20" s="67">
        <f>Model!AZ549</f>
        <v>5.294318847246765E-2</v>
      </c>
      <c r="BA20" s="67">
        <f>Model!BA549</f>
        <v>6.1322687220555359E-2</v>
      </c>
      <c r="BB20" s="67">
        <f>Model!BB549</f>
        <v>5.9999999999999991E-2</v>
      </c>
      <c r="BC20" s="67">
        <f>Model!BC549</f>
        <v>6.5000000000000002E-2</v>
      </c>
      <c r="BD20" s="67">
        <f>Model!BD549</f>
        <v>7.0000000000000007E-2</v>
      </c>
      <c r="BE20" s="67">
        <f>Model!BE549</f>
        <v>7.0000000000000007E-2</v>
      </c>
    </row>
    <row r="21" spans="1:57" x14ac:dyDescent="0.2">
      <c r="A21" s="238" t="s">
        <v>1125</v>
      </c>
      <c r="B21" s="238" t="s">
        <v>719</v>
      </c>
      <c r="C21" s="238"/>
      <c r="D21" s="67">
        <f>Model!D559</f>
        <v>5.838907697088546E-2</v>
      </c>
      <c r="E21" s="67">
        <f>Model!E559</f>
        <v>5.8426925431489911E-2</v>
      </c>
      <c r="F21" s="67">
        <f>Model!F559</f>
        <v>6.0090582736756007E-2</v>
      </c>
      <c r="G21" s="67">
        <f>Model!G559</f>
        <v>5.3756055873365058E-2</v>
      </c>
      <c r="H21" s="67">
        <f>Model!H559</f>
        <v>5.9642600878493005E-2</v>
      </c>
      <c r="I21" s="67">
        <f>Model!I559</f>
        <v>5.7349375709513817E-2</v>
      </c>
      <c r="J21" s="67">
        <f>Model!J559</f>
        <v>6.519094187321163E-2</v>
      </c>
      <c r="K21" s="67">
        <f>Model!K559</f>
        <v>5.5790896020983693E-2</v>
      </c>
      <c r="L21" s="67">
        <f>Model!L559</f>
        <v>6.0010941969754053E-2</v>
      </c>
      <c r="M21" s="67">
        <f>Model!M559</f>
        <v>5.4144730812464799E-2</v>
      </c>
      <c r="N21" s="67">
        <f>Model!N559</f>
        <v>5.3152181312672062E-2</v>
      </c>
      <c r="O21" s="67">
        <f>Model!O559</f>
        <v>5.4035166606873478E-2</v>
      </c>
      <c r="P21" s="67">
        <f>Model!P559</f>
        <v>6.344006053730164E-2</v>
      </c>
      <c r="Q21" s="67">
        <f>Model!Q559</f>
        <v>5.8385420714395952E-2</v>
      </c>
      <c r="R21" s="67">
        <f>Model!R559</f>
        <v>5.1199422887874747E-2</v>
      </c>
      <c r="S21" s="67">
        <f>Model!S559</f>
        <v>6.4029916621036034E-2</v>
      </c>
      <c r="T21" s="67">
        <f>Model!T559</f>
        <v>5.7513752344321649E-2</v>
      </c>
      <c r="U21" s="67">
        <f>Model!U559</f>
        <v>6.2580190840200431E-2</v>
      </c>
      <c r="V21" s="67">
        <f>Model!V559</f>
        <v>5.9818227898192619E-2</v>
      </c>
      <c r="W21" s="67">
        <f>Model!W559</f>
        <v>5.614408467604079E-2</v>
      </c>
      <c r="X21" s="67">
        <f>Model!X559</f>
        <v>6.542994714227085E-2</v>
      </c>
      <c r="Y21" s="67">
        <f>Model!Y559</f>
        <v>6.8624380916797678E-2</v>
      </c>
      <c r="Z21" s="67">
        <f>Model!Z559</f>
        <v>6.4595292120334089E-2</v>
      </c>
      <c r="AA21" s="67">
        <f>Model!AA559</f>
        <v>6.6906146039593425E-2</v>
      </c>
      <c r="AB21" s="67">
        <f>Model!AB559</f>
        <v>6.5917164888777788E-2</v>
      </c>
      <c r="AC21" s="67">
        <f>Model!AC559</f>
        <v>7.0000000000000007E-2</v>
      </c>
      <c r="AD21" s="67">
        <f>Model!AD559</f>
        <v>7.0000000000000007E-2</v>
      </c>
      <c r="AE21" s="67">
        <f>Model!AE559</f>
        <v>7.0000000000000007E-2</v>
      </c>
      <c r="AF21" s="67">
        <f>Model!AF559</f>
        <v>7.0000000000000007E-2</v>
      </c>
      <c r="AG21" s="67">
        <f>Model!AG559</f>
        <v>7.0000000000000007E-2</v>
      </c>
      <c r="AH21" s="67">
        <f>Model!AH559</f>
        <v>7.0000000000000007E-2</v>
      </c>
      <c r="AI21" s="67">
        <f>Model!AI559</f>
        <v>7.0000000000000007E-2</v>
      </c>
      <c r="AJ21" s="67"/>
      <c r="AK21" s="67"/>
      <c r="AL21" s="67"/>
      <c r="AM21" s="67"/>
      <c r="AN21" s="67"/>
      <c r="AO21" s="67"/>
      <c r="AP21" s="67"/>
      <c r="AQ21" s="67"/>
      <c r="AR21" s="67"/>
      <c r="AS21" s="67"/>
      <c r="AT21" s="67"/>
      <c r="AU21" s="67">
        <f>Model!AU559</f>
        <v>5.7720325980367748E-2</v>
      </c>
      <c r="AV21" s="67">
        <f>Model!AV559</f>
        <v>5.9418494395761592E-2</v>
      </c>
      <c r="AW21" s="67">
        <f>Model!AW559</f>
        <v>5.5529728626762531E-2</v>
      </c>
      <c r="AX21" s="67">
        <f>Model!AX559</f>
        <v>5.9507939360986417E-2</v>
      </c>
      <c r="AY21" s="67">
        <f>Model!AY559</f>
        <v>5.9238395713125926E-2</v>
      </c>
      <c r="AZ21" s="67">
        <f>Model!AZ559</f>
        <v>6.6355791406803907E-2</v>
      </c>
      <c r="BA21" s="67">
        <f>Model!BA559</f>
        <v>6.8924281676422505E-2</v>
      </c>
      <c r="BB21" s="67">
        <f>Model!BB559</f>
        <v>7.0000000000000007E-2</v>
      </c>
      <c r="BC21" s="67">
        <f>Model!BC559</f>
        <v>7.0000000000000007E-2</v>
      </c>
      <c r="BD21" s="67">
        <f>Model!BD559</f>
        <v>7.0000000000000007E-2</v>
      </c>
      <c r="BE21" s="67">
        <f>Model!BE559</f>
        <v>7.0000000000000007E-2</v>
      </c>
    </row>
    <row r="22" spans="1:57" s="916" customFormat="1" x14ac:dyDescent="0.2">
      <c r="A22" s="238"/>
      <c r="B22" s="238"/>
      <c r="C22" s="238"/>
      <c r="D22" s="33"/>
      <c r="E22" s="33"/>
      <c r="F22" s="33"/>
      <c r="G22" s="33"/>
      <c r="H22" s="33"/>
      <c r="I22" s="33"/>
      <c r="J22" s="33"/>
      <c r="K22" s="33"/>
      <c r="L22" s="33"/>
      <c r="M22" s="33"/>
      <c r="N22" s="33"/>
      <c r="O22" s="33"/>
      <c r="P22" s="33"/>
      <c r="Q22" s="33"/>
      <c r="R22" s="33"/>
      <c r="S22" s="33"/>
      <c r="T22" s="33"/>
      <c r="U22" s="33"/>
      <c r="V22" s="33"/>
      <c r="W22" s="33"/>
      <c r="X22" s="33"/>
      <c r="Y22" s="33"/>
      <c r="Z22" s="33"/>
      <c r="AA22" s="33"/>
      <c r="AB22" s="33"/>
      <c r="AC22" s="33"/>
      <c r="AD22" s="33"/>
      <c r="AE22" s="33"/>
      <c r="AF22" s="33"/>
      <c r="AG22" s="33"/>
      <c r="AH22" s="33"/>
      <c r="AI22" s="33"/>
      <c r="AJ22" s="33"/>
      <c r="AK22" s="33"/>
      <c r="AL22" s="33"/>
      <c r="AM22" s="33"/>
      <c r="AN22" s="33"/>
      <c r="AO22" s="33"/>
      <c r="AP22" s="33"/>
      <c r="AQ22" s="33"/>
      <c r="AR22" s="33"/>
      <c r="AS22" s="33"/>
      <c r="AT22" s="33"/>
      <c r="AU22" s="33"/>
      <c r="AV22" s="33"/>
      <c r="AW22" s="33"/>
      <c r="AX22" s="33"/>
      <c r="AY22" s="33"/>
      <c r="AZ22" s="33"/>
      <c r="BA22" s="33"/>
      <c r="BB22" s="33"/>
      <c r="BC22" s="33"/>
      <c r="BD22" s="33"/>
      <c r="BE22" s="33"/>
    </row>
    <row r="23" spans="1:57" s="916" customFormat="1" x14ac:dyDescent="0.2">
      <c r="A23" s="59" t="s">
        <v>1122</v>
      </c>
      <c r="B23" s="238"/>
      <c r="C23" s="238"/>
      <c r="D23" s="33"/>
      <c r="E23" s="33"/>
      <c r="F23" s="33"/>
      <c r="G23" s="33"/>
      <c r="H23" s="33"/>
      <c r="I23" s="33"/>
      <c r="J23" s="33"/>
      <c r="K23" s="33"/>
      <c r="L23" s="33"/>
      <c r="M23" s="33"/>
      <c r="N23" s="33"/>
      <c r="O23" s="33"/>
      <c r="P23" s="33"/>
      <c r="Q23" s="33"/>
      <c r="R23" s="33"/>
      <c r="S23" s="33"/>
      <c r="T23" s="33"/>
      <c r="U23" s="33"/>
      <c r="V23" s="33"/>
      <c r="W23" s="33"/>
      <c r="X23" s="33"/>
      <c r="Y23" s="33"/>
      <c r="Z23" s="33"/>
      <c r="AA23" s="33"/>
      <c r="AB23" s="33"/>
      <c r="AC23" s="33"/>
      <c r="AD23" s="33"/>
      <c r="AE23" s="33"/>
      <c r="AF23" s="33"/>
      <c r="AG23" s="33"/>
      <c r="AH23" s="33"/>
      <c r="AI23" s="33"/>
      <c r="AJ23" s="33"/>
      <c r="AK23" s="33"/>
      <c r="AL23" s="33"/>
      <c r="AM23" s="33"/>
      <c r="AN23" s="33"/>
      <c r="AO23" s="33"/>
      <c r="AP23" s="33"/>
      <c r="AQ23" s="33"/>
      <c r="AR23" s="33"/>
      <c r="AS23" s="33"/>
      <c r="AT23" s="33"/>
      <c r="AU23" s="33"/>
      <c r="AV23" s="33"/>
      <c r="AW23" s="33"/>
      <c r="AX23" s="33"/>
      <c r="AY23" s="33"/>
      <c r="AZ23" s="33"/>
      <c r="BA23" s="33"/>
      <c r="BB23" s="33"/>
      <c r="BC23" s="33"/>
      <c r="BD23" s="33"/>
      <c r="BE23" s="33"/>
    </row>
    <row r="24" spans="1:57" s="916" customFormat="1" x14ac:dyDescent="0.2">
      <c r="A24" s="238" t="s">
        <v>1126</v>
      </c>
      <c r="B24" s="238"/>
      <c r="C24" s="238"/>
      <c r="D24" s="66">
        <f>Model!D542</f>
        <v>2.1986970684039087E-3</v>
      </c>
      <c r="E24" s="66">
        <f>Model!E542</f>
        <v>2.4695713529723057E-3</v>
      </c>
      <c r="F24" s="66">
        <f>Model!F542</f>
        <v>2.6147509889990787E-3</v>
      </c>
      <c r="G24" s="66">
        <f>Model!G542</f>
        <v>2.5945527300890669E-3</v>
      </c>
      <c r="H24" s="66">
        <f>Model!H542</f>
        <v>1.3540220609857007E-3</v>
      </c>
      <c r="I24" s="66">
        <f>Model!I542</f>
        <v>1.6926838442730863E-3</v>
      </c>
      <c r="J24" s="66">
        <f>Model!J542</f>
        <v>1.8566909641039746E-3</v>
      </c>
      <c r="K24" s="66">
        <f>Model!K542</f>
        <v>2.7734743182778457E-3</v>
      </c>
      <c r="L24" s="66">
        <f>Model!L542</f>
        <v>3.6696473764130252E-3</v>
      </c>
      <c r="M24" s="66">
        <f>Model!M542</f>
        <v>2.4709018791859026E-3</v>
      </c>
      <c r="N24" s="66">
        <f>Model!N542</f>
        <v>3.5353194172352449E-3</v>
      </c>
      <c r="O24" s="66">
        <f>Model!O542</f>
        <v>1.2667848999239929E-3</v>
      </c>
      <c r="P24" s="66">
        <f>Model!P542</f>
        <v>1.7382593836544693E-3</v>
      </c>
      <c r="Q24" s="66">
        <f>Model!Q542</f>
        <v>1.8888586736831275E-3</v>
      </c>
      <c r="R24" s="66">
        <f>Model!R542</f>
        <v>1.3374295611104582E-3</v>
      </c>
      <c r="S24" s="66">
        <f>Model!S542</f>
        <v>2.4192902347192182E-3</v>
      </c>
      <c r="T24" s="66">
        <f>Model!T542</f>
        <v>1.287687551408231E-3</v>
      </c>
      <c r="U24" s="66">
        <f>Model!U542</f>
        <v>1.2250801706876406E-3</v>
      </c>
      <c r="V24" s="66">
        <f>Model!V542</f>
        <v>1.2463236060991636E-3</v>
      </c>
      <c r="W24" s="66">
        <f>Model!W542</f>
        <v>3.3548299350568394E-3</v>
      </c>
      <c r="X24" s="66">
        <f>Model!X542</f>
        <v>2.6279406022100033E-3</v>
      </c>
      <c r="Y24" s="66">
        <f>Model!Y542</f>
        <v>1.7366420551356548E-3</v>
      </c>
      <c r="Z24" s="66">
        <f>Model!Z542</f>
        <v>3.3653509079436305E-3</v>
      </c>
      <c r="AA24" s="66">
        <f>Model!AA542</f>
        <v>2.4818350877132355E-3</v>
      </c>
      <c r="AB24" s="66">
        <f>Model!AB542</f>
        <v>2.2122072683870438E-3</v>
      </c>
      <c r="AC24" s="66">
        <f>Model!AC542</f>
        <v>2.2000000000000001E-3</v>
      </c>
      <c r="AD24" s="66">
        <f>Model!AD542</f>
        <v>2.2000000000000001E-3</v>
      </c>
      <c r="AE24" s="66">
        <f>Model!AE542</f>
        <v>2.2000000000000001E-3</v>
      </c>
      <c r="AF24" s="66">
        <f>Model!AF542</f>
        <v>2.2000000000000001E-3</v>
      </c>
      <c r="AG24" s="66">
        <f>Model!AG542</f>
        <v>2.2000000000000001E-3</v>
      </c>
      <c r="AH24" s="66">
        <f>Model!AH542</f>
        <v>2.2000000000000001E-3</v>
      </c>
      <c r="AI24" s="66">
        <f>Model!AI542</f>
        <v>2.2000000000000001E-3</v>
      </c>
      <c r="AJ24" s="66"/>
      <c r="AK24" s="66"/>
      <c r="AL24" s="66"/>
      <c r="AM24" s="66"/>
      <c r="AN24" s="66"/>
      <c r="AO24" s="66"/>
      <c r="AP24" s="66"/>
      <c r="AQ24" s="66"/>
      <c r="AR24" s="33"/>
      <c r="AS24" s="33"/>
      <c r="AT24" s="33"/>
      <c r="AU24" s="66">
        <f>Model!AU542</f>
        <v>2.494924365903177E-3</v>
      </c>
      <c r="AV24" s="66">
        <f>Model!AV542</f>
        <v>1.8367378821050847E-3</v>
      </c>
      <c r="AW24" s="66">
        <f>Model!AW542</f>
        <v>2.2420184858965566E-3</v>
      </c>
      <c r="AX24" s="66">
        <f>Model!AX542</f>
        <v>1.7938559203810262E-3</v>
      </c>
      <c r="AY24" s="66">
        <f>Model!AY542</f>
        <v>1.5371537753265298E-3</v>
      </c>
      <c r="AZ24" s="66">
        <f>Model!AZ542</f>
        <v>2.356752570402789E-3</v>
      </c>
      <c r="BA24" s="66">
        <f>Model!BA542</f>
        <v>2.2022985131025536E-3</v>
      </c>
      <c r="BB24" s="66">
        <f>Model!BB542</f>
        <v>2.2000000000000001E-3</v>
      </c>
      <c r="BC24" s="66">
        <f>Model!BC542</f>
        <v>2.2000000000000001E-3</v>
      </c>
      <c r="BD24" s="66">
        <f>Model!BD542</f>
        <v>2.2000000000000001E-3</v>
      </c>
      <c r="BE24" s="66">
        <f>Model!BE542</f>
        <v>2.2000000000000001E-3</v>
      </c>
    </row>
    <row r="25" spans="1:57" s="916" customFormat="1" x14ac:dyDescent="0.2">
      <c r="A25" s="238" t="s">
        <v>1127</v>
      </c>
      <c r="B25" s="238"/>
      <c r="C25" s="238"/>
      <c r="D25" s="66">
        <f>Model!D552</f>
        <v>1.1898056885384398E-2</v>
      </c>
      <c r="E25" s="66">
        <f>Model!E552</f>
        <v>1.7237072195853111E-2</v>
      </c>
      <c r="F25" s="66">
        <f>Model!F552</f>
        <v>1.2582781456953643E-2</v>
      </c>
      <c r="G25" s="66">
        <f>Model!G552</f>
        <v>1.2423611577462896E-2</v>
      </c>
      <c r="H25" s="66">
        <f>Model!H552</f>
        <v>1.6765747111081423E-2</v>
      </c>
      <c r="I25" s="66">
        <f>Model!I552</f>
        <v>2.0444858817261588E-2</v>
      </c>
      <c r="J25" s="66">
        <f>Model!J552</f>
        <v>2.4606299212598427E-2</v>
      </c>
      <c r="K25" s="66">
        <f>Model!K552</f>
        <v>2.0696080388633794E-2</v>
      </c>
      <c r="L25" s="66">
        <f>Model!L552</f>
        <v>2.748414376321353E-2</v>
      </c>
      <c r="M25" s="66">
        <f>Model!M552</f>
        <v>1.8849206349206348E-2</v>
      </c>
      <c r="N25" s="66">
        <f>Model!N552</f>
        <v>1.5464714676014228E-2</v>
      </c>
      <c r="O25" s="66">
        <f>Model!O552</f>
        <v>2.2499999999999999E-2</v>
      </c>
      <c r="P25" s="66">
        <f>Model!P552</f>
        <v>1.7071908949818936E-2</v>
      </c>
      <c r="Q25" s="66">
        <f>Model!Q552</f>
        <v>1.9587083112758072E-2</v>
      </c>
      <c r="R25" s="66">
        <f>Model!R552</f>
        <v>2.2593705106438555E-2</v>
      </c>
      <c r="S25" s="66">
        <f>Model!S552</f>
        <v>1.854853232486944E-2</v>
      </c>
      <c r="T25" s="66">
        <f>Model!T552</f>
        <v>2.0679985979670523E-2</v>
      </c>
      <c r="U25" s="66">
        <f>Model!U552</f>
        <v>1.264351111757012E-2</v>
      </c>
      <c r="V25" s="66">
        <f>Model!V552</f>
        <v>2.2134627046694968E-2</v>
      </c>
      <c r="W25" s="66">
        <f>Model!W552</f>
        <v>2.2656808967326497E-2</v>
      </c>
      <c r="X25" s="66">
        <f>Model!X552</f>
        <v>2.1444501629782124E-2</v>
      </c>
      <c r="Y25" s="66">
        <f>Model!Y552</f>
        <v>1.9873938770259839E-2</v>
      </c>
      <c r="Z25" s="66">
        <f>Model!Z552</f>
        <v>2.9551501330292666E-2</v>
      </c>
      <c r="AA25" s="66">
        <f>Model!AA552</f>
        <v>2.9648003779825183E-2</v>
      </c>
      <c r="AB25" s="66">
        <f>Model!AB552</f>
        <v>1.2935680919870643E-2</v>
      </c>
      <c r="AC25" s="66">
        <f>Model!AC552</f>
        <v>1.6500000000000001E-2</v>
      </c>
      <c r="AD25" s="66">
        <f>Model!AD552</f>
        <v>1.6500000000000001E-2</v>
      </c>
      <c r="AE25" s="66">
        <f>Model!AE552</f>
        <v>1.6500000000000001E-2</v>
      </c>
      <c r="AF25" s="66">
        <f>Model!AF552</f>
        <v>1.6E-2</v>
      </c>
      <c r="AG25" s="66">
        <f>Model!AG552</f>
        <v>1.6E-2</v>
      </c>
      <c r="AH25" s="66">
        <f>Model!AH552</f>
        <v>1.6E-2</v>
      </c>
      <c r="AI25" s="66">
        <f>Model!AI552</f>
        <v>1.6E-2</v>
      </c>
      <c r="AJ25" s="66"/>
      <c r="AK25" s="66"/>
      <c r="AL25" s="66"/>
      <c r="AM25" s="66"/>
      <c r="AN25" s="66"/>
      <c r="AO25" s="66"/>
      <c r="AP25" s="66"/>
      <c r="AQ25" s="66"/>
      <c r="AR25" s="33"/>
      <c r="AS25" s="33"/>
      <c r="AT25" s="33"/>
      <c r="AU25" s="66">
        <f>Model!AU552</f>
        <v>1.3383552126375837E-2</v>
      </c>
      <c r="AV25" s="66">
        <f>Model!AV552</f>
        <v>2.0115915848105077E-2</v>
      </c>
      <c r="AW25" s="66">
        <f>Model!AW552</f>
        <v>1.9953388883567985E-2</v>
      </c>
      <c r="AX25" s="66">
        <f>Model!AX552</f>
        <v>1.9111504872800913E-2</v>
      </c>
      <c r="AY25" s="66">
        <f>Model!AY552</f>
        <v>1.8229317851959363E-2</v>
      </c>
      <c r="AZ25" s="66">
        <f>Model!AZ552</f>
        <v>2.4266170231188846E-2</v>
      </c>
      <c r="BA25" s="66">
        <f>Model!BA552</f>
        <v>1.5408582798006823E-2</v>
      </c>
      <c r="BB25" s="66">
        <f>Model!BB552</f>
        <v>1.6000000000000004E-2</v>
      </c>
      <c r="BC25" s="66">
        <f>Model!BC552</f>
        <v>1.6E-2</v>
      </c>
      <c r="BD25" s="66">
        <f>Model!BD552</f>
        <v>1.6199999999999999E-2</v>
      </c>
      <c r="BE25" s="66">
        <f>Model!BE552</f>
        <v>1.6299999999999999E-2</v>
      </c>
    </row>
    <row r="26" spans="1:57" s="916" customFormat="1" x14ac:dyDescent="0.2">
      <c r="A26" s="238" t="s">
        <v>1128</v>
      </c>
      <c r="B26" s="238"/>
      <c r="C26" s="238"/>
      <c r="D26" s="66">
        <f>Model!D562</f>
        <v>5.7857741010480367E-3</v>
      </c>
      <c r="E26" s="66">
        <f>Model!E562</f>
        <v>7.273228011316692E-3</v>
      </c>
      <c r="F26" s="66">
        <f>Model!F562</f>
        <v>7.0573447899280875E-3</v>
      </c>
      <c r="G26" s="66">
        <f>Model!G562</f>
        <v>8.6714561569737458E-3</v>
      </c>
      <c r="H26" s="66">
        <f>Model!H562</f>
        <v>6.6357428166473392E-3</v>
      </c>
      <c r="I26" s="66">
        <f>Model!I562</f>
        <v>7.164790174002047E-3</v>
      </c>
      <c r="J26" s="66">
        <f>Model!J562</f>
        <v>6.5534335270511796E-3</v>
      </c>
      <c r="K26" s="66">
        <f>Model!K562</f>
        <v>7.4917474726635029E-3</v>
      </c>
      <c r="L26" s="66">
        <f>Model!L562</f>
        <v>5.5063083345058862E-3</v>
      </c>
      <c r="M26" s="66">
        <f>Model!M562</f>
        <v>7.6815997236249836E-3</v>
      </c>
      <c r="N26" s="66">
        <f>Model!N562</f>
        <v>8.3662894657843562E-3</v>
      </c>
      <c r="O26" s="66">
        <f>Model!O562</f>
        <v>7.6558962749536941E-3</v>
      </c>
      <c r="P26" s="66">
        <f>Model!P562</f>
        <v>5.8894461823456425E-3</v>
      </c>
      <c r="Q26" s="66">
        <f>Model!Q562</f>
        <v>7.8425096030729832E-3</v>
      </c>
      <c r="R26" s="66">
        <f>Model!R562</f>
        <v>7.5078918181042571E-3</v>
      </c>
      <c r="S26" s="66">
        <f>Model!S562</f>
        <v>7.1651090342679125E-3</v>
      </c>
      <c r="T26" s="66">
        <f>Model!T562</f>
        <v>5.2058684335068621E-3</v>
      </c>
      <c r="U26" s="66">
        <f>Model!U562</f>
        <v>6.8923488919025626E-3</v>
      </c>
      <c r="V26" s="66">
        <f>Model!V562</f>
        <v>6.5934896374525327E-3</v>
      </c>
      <c r="W26" s="66">
        <f>Model!W562</f>
        <v>8.4513685975969293E-3</v>
      </c>
      <c r="X26" s="66">
        <f>Model!X562</f>
        <v>5.9015531217127652E-3</v>
      </c>
      <c r="Y26" s="66">
        <f>Model!Y562</f>
        <v>7.4989263651679822E-3</v>
      </c>
      <c r="Z26" s="66">
        <f>Model!Z562</f>
        <v>6.5643740882813766E-3</v>
      </c>
      <c r="AA26" s="66">
        <f>Model!AA562</f>
        <v>6.9982648930017348E-3</v>
      </c>
      <c r="AB26" s="66">
        <f>Model!AB562</f>
        <v>5.6036556036556037E-3</v>
      </c>
      <c r="AC26" s="66">
        <f>Model!AC562</f>
        <v>6.3E-3</v>
      </c>
      <c r="AD26" s="66">
        <f>Model!AD562</f>
        <v>6.3E-3</v>
      </c>
      <c r="AE26" s="66">
        <f>Model!AE562</f>
        <v>6.3E-3</v>
      </c>
      <c r="AF26" s="66">
        <f>Model!AF562</f>
        <v>6.3E-3</v>
      </c>
      <c r="AG26" s="66">
        <f>Model!AG562</f>
        <v>6.3E-3</v>
      </c>
      <c r="AH26" s="66">
        <f>Model!AH562</f>
        <v>6.1999999999999998E-3</v>
      </c>
      <c r="AI26" s="66">
        <f>Model!AI562</f>
        <v>6.1999999999999998E-3</v>
      </c>
      <c r="AJ26" s="66"/>
      <c r="AK26" s="66"/>
      <c r="AL26" s="66"/>
      <c r="AM26" s="66"/>
      <c r="AN26" s="66"/>
      <c r="AO26" s="66"/>
      <c r="AP26" s="66"/>
      <c r="AQ26" s="66"/>
      <c r="AR26" s="33"/>
      <c r="AS26" s="33"/>
      <c r="AT26" s="33"/>
      <c r="AU26" s="66">
        <f>Model!AU562</f>
        <v>7.0613036334145219E-3</v>
      </c>
      <c r="AV26" s="66">
        <f>Model!AV562</f>
        <v>6.9277991294367089E-3</v>
      </c>
      <c r="AW26" s="66">
        <f>Model!AW562</f>
        <v>7.1701774774063252E-3</v>
      </c>
      <c r="AX26" s="66">
        <f>Model!AX562</f>
        <v>7.0051867958527544E-3</v>
      </c>
      <c r="AY26" s="66">
        <f>Model!AY562</f>
        <v>6.6831454271439675E-3</v>
      </c>
      <c r="AZ26" s="66">
        <f>Model!AZ562</f>
        <v>6.7201816125856146E-3</v>
      </c>
      <c r="BA26" s="66">
        <f>Model!BA562</f>
        <v>6.1245363812818939E-3</v>
      </c>
      <c r="BB26" s="66">
        <f>Model!BB562</f>
        <v>6.2500892275750043E-3</v>
      </c>
      <c r="BC26" s="66">
        <f>Model!BC562</f>
        <v>6.2500000000000003E-3</v>
      </c>
      <c r="BD26" s="66">
        <f>Model!BD562</f>
        <v>6.2500000000000003E-3</v>
      </c>
      <c r="BE26" s="66">
        <f>Model!BE562</f>
        <v>6.2500000000000003E-3</v>
      </c>
    </row>
    <row r="27" spans="1:57" s="916" customFormat="1" x14ac:dyDescent="0.2">
      <c r="A27" s="238"/>
      <c r="B27" s="238"/>
      <c r="C27" s="238"/>
      <c r="D27" s="33"/>
      <c r="E27" s="33"/>
      <c r="F27" s="33"/>
      <c r="G27" s="33"/>
      <c r="H27" s="33"/>
      <c r="I27" s="33"/>
      <c r="J27" s="33"/>
      <c r="K27" s="33"/>
      <c r="L27" s="33"/>
      <c r="M27" s="33"/>
      <c r="N27" s="33"/>
      <c r="O27" s="33"/>
      <c r="P27" s="33"/>
      <c r="Q27" s="33"/>
      <c r="R27" s="33"/>
      <c r="S27" s="33"/>
      <c r="T27" s="33"/>
      <c r="U27" s="33"/>
      <c r="V27" s="33"/>
      <c r="W27" s="33"/>
      <c r="X27" s="33"/>
      <c r="Y27" s="33"/>
      <c r="Z27" s="33"/>
      <c r="AA27" s="33"/>
      <c r="AB27" s="33"/>
      <c r="AC27" s="33"/>
      <c r="AD27" s="33"/>
      <c r="AE27" s="33"/>
      <c r="AF27" s="33"/>
      <c r="AG27" s="33"/>
      <c r="AH27" s="33"/>
      <c r="AI27" s="33"/>
      <c r="AJ27" s="33"/>
      <c r="AK27" s="33"/>
      <c r="AL27" s="33"/>
      <c r="AM27" s="33"/>
      <c r="AN27" s="33"/>
      <c r="AO27" s="33"/>
      <c r="AP27" s="33"/>
      <c r="AQ27" s="33"/>
      <c r="AR27" s="33"/>
      <c r="AS27" s="33"/>
      <c r="AT27" s="33"/>
      <c r="AU27" s="33"/>
      <c r="AV27" s="33"/>
      <c r="AW27" s="33"/>
      <c r="AX27" s="33"/>
      <c r="AY27" s="33"/>
      <c r="AZ27" s="33"/>
      <c r="BA27" s="33"/>
      <c r="BB27" s="33"/>
      <c r="BC27" s="33"/>
      <c r="BD27" s="33"/>
      <c r="BE27" s="33"/>
    </row>
    <row r="28" spans="1:57" x14ac:dyDescent="0.2">
      <c r="A28" s="59" t="s">
        <v>699</v>
      </c>
      <c r="B28" s="9" t="s">
        <v>699</v>
      </c>
      <c r="D28" s="238"/>
      <c r="E28" s="238"/>
      <c r="F28" s="238"/>
      <c r="G28" s="238"/>
      <c r="H28" s="238"/>
      <c r="I28" s="238"/>
      <c r="J28" s="238"/>
      <c r="K28" s="238"/>
      <c r="L28" s="238"/>
      <c r="M28" s="238"/>
      <c r="N28" s="238"/>
      <c r="O28" s="238"/>
      <c r="P28" s="238"/>
      <c r="Q28" s="238"/>
      <c r="R28" s="238"/>
      <c r="S28" s="238"/>
      <c r="T28" s="238"/>
      <c r="U28" s="238"/>
      <c r="V28" s="238"/>
      <c r="W28" s="238"/>
      <c r="X28" s="238"/>
      <c r="Y28" s="238"/>
      <c r="Z28" s="238"/>
      <c r="AA28" s="238"/>
      <c r="AB28" s="238"/>
      <c r="AC28" s="238"/>
      <c r="AD28" s="238"/>
      <c r="AE28" s="238"/>
      <c r="AF28" s="238"/>
      <c r="AG28" s="238"/>
      <c r="AH28" s="238"/>
      <c r="AI28" s="238"/>
      <c r="AJ28" s="238"/>
      <c r="AK28" s="238"/>
      <c r="AL28" s="238"/>
      <c r="AM28" s="238"/>
      <c r="AN28" s="238"/>
      <c r="AO28" s="238"/>
      <c r="AP28" s="238"/>
      <c r="AQ28" s="238"/>
      <c r="AR28" s="238"/>
      <c r="AS28" s="238"/>
      <c r="AT28" s="238"/>
      <c r="AU28" s="238"/>
      <c r="AV28" s="238"/>
      <c r="AW28" s="238"/>
      <c r="AX28" s="238"/>
      <c r="AY28" s="238"/>
      <c r="AZ28" s="238"/>
      <c r="BA28" s="238"/>
      <c r="BB28" s="238"/>
      <c r="BC28" s="238"/>
      <c r="BD28" s="238"/>
      <c r="BE28" s="238"/>
    </row>
    <row r="29" spans="1:57" x14ac:dyDescent="0.2">
      <c r="A29" s="238" t="s">
        <v>700</v>
      </c>
      <c r="B29" s="238" t="s">
        <v>700</v>
      </c>
      <c r="C29" s="238"/>
      <c r="D29" s="33">
        <f>Model!D481</f>
        <v>4952</v>
      </c>
      <c r="E29" s="33">
        <f>Model!E481</f>
        <v>3002</v>
      </c>
      <c r="F29" s="33">
        <f>Model!F481</f>
        <v>3805</v>
      </c>
      <c r="G29" s="33">
        <f>Model!G481</f>
        <v>2879</v>
      </c>
      <c r="H29" s="33">
        <f>Model!H481</f>
        <v>4731</v>
      </c>
      <c r="I29" s="33">
        <f>Model!I481</f>
        <v>3505</v>
      </c>
      <c r="J29" s="33">
        <f>Model!J481</f>
        <v>2854</v>
      </c>
      <c r="K29" s="33">
        <f>Model!K481</f>
        <v>2448</v>
      </c>
      <c r="L29" s="33">
        <f>Model!L481</f>
        <v>3919</v>
      </c>
      <c r="M29" s="33">
        <f>Model!M481</f>
        <v>3121</v>
      </c>
      <c r="N29" s="33">
        <f>Model!N481</f>
        <v>3064</v>
      </c>
      <c r="O29" s="33">
        <f>Model!O481</f>
        <v>2070</v>
      </c>
      <c r="P29" s="33">
        <f>Model!P481</f>
        <v>3485</v>
      </c>
      <c r="Q29" s="33">
        <f>Model!Q481</f>
        <v>3032</v>
      </c>
      <c r="R29" s="33">
        <f>Model!R481</f>
        <v>2553</v>
      </c>
      <c r="S29" s="33">
        <f>Model!S481</f>
        <v>2207</v>
      </c>
      <c r="T29" s="33">
        <f>Model!T481</f>
        <v>3051</v>
      </c>
      <c r="U29" s="33">
        <f>Model!U481</f>
        <v>3432</v>
      </c>
      <c r="V29" s="33">
        <f>Model!V481</f>
        <v>3413</v>
      </c>
      <c r="W29" s="33">
        <f>Model!W481</f>
        <v>2957</v>
      </c>
      <c r="X29" s="33">
        <f>Model!X481</f>
        <v>3678</v>
      </c>
      <c r="Y29" s="33">
        <f>Model!Y481</f>
        <v>3274</v>
      </c>
      <c r="Z29" s="33">
        <f>Model!Z481</f>
        <v>2936</v>
      </c>
      <c r="AA29" s="33">
        <f>Model!AA481</f>
        <v>2463</v>
      </c>
      <c r="AB29" s="33">
        <f>Model!AB481</f>
        <v>3418</v>
      </c>
      <c r="AC29" s="33">
        <f>Model!AC481</f>
        <v>3535.92</v>
      </c>
      <c r="AD29" s="33">
        <f>Model!AD481</f>
        <v>3170.88</v>
      </c>
      <c r="AE29" s="33">
        <f>Model!AE481</f>
        <v>2660.04</v>
      </c>
      <c r="AF29" s="33">
        <f>Model!AF481</f>
        <v>3828.1600000000003</v>
      </c>
      <c r="AG29" s="33">
        <f>Model!AG481</f>
        <v>3889.5120000000002</v>
      </c>
      <c r="AH29" s="33">
        <f>Model!AH481</f>
        <v>3487.9680000000003</v>
      </c>
      <c r="AI29" s="33">
        <f>Model!AI481</f>
        <v>2926.0440000000003</v>
      </c>
      <c r="AJ29" s="33"/>
      <c r="AK29" s="33"/>
      <c r="AL29" s="33"/>
      <c r="AM29" s="33"/>
      <c r="AN29" s="33"/>
      <c r="AO29" s="33"/>
      <c r="AP29" s="33"/>
      <c r="AQ29" s="33"/>
      <c r="AU29" s="33">
        <f>Model!AU481</f>
        <v>14638</v>
      </c>
      <c r="AV29" s="33">
        <f>Model!AV481</f>
        <v>13538</v>
      </c>
      <c r="AW29" s="33">
        <f>Model!AW481</f>
        <v>12174</v>
      </c>
      <c r="AX29" s="33">
        <f>Model!AX481</f>
        <v>11277</v>
      </c>
      <c r="AY29" s="33">
        <f>Model!AY481</f>
        <v>12853</v>
      </c>
      <c r="AZ29" s="33">
        <f>Model!AZ481</f>
        <v>12351</v>
      </c>
      <c r="BA29" s="33">
        <f>Model!BA481</f>
        <v>12784.84</v>
      </c>
      <c r="BB29" s="33">
        <f>Model!BB481</f>
        <v>14131.684000000001</v>
      </c>
      <c r="BC29" s="33">
        <f>Model!BC481</f>
        <v>15262.218720000003</v>
      </c>
      <c r="BD29" s="33">
        <f>Model!BD481</f>
        <v>16330.574030400003</v>
      </c>
      <c r="BE29" s="33">
        <f>Model!BE481</f>
        <v>17473.714212528004</v>
      </c>
    </row>
    <row r="30" spans="1:57" x14ac:dyDescent="0.2">
      <c r="A30" s="238" t="s">
        <v>701</v>
      </c>
      <c r="B30" s="238" t="s">
        <v>701</v>
      </c>
      <c r="C30" s="238"/>
      <c r="D30" s="33">
        <f>Model!D522</f>
        <v>4952</v>
      </c>
      <c r="E30" s="33">
        <f>Model!E522</f>
        <v>3002</v>
      </c>
      <c r="F30" s="33">
        <f>Model!F522</f>
        <v>3805</v>
      </c>
      <c r="G30" s="33">
        <f>Model!G522</f>
        <v>2879</v>
      </c>
      <c r="H30" s="33">
        <f>Model!H522</f>
        <v>4731</v>
      </c>
      <c r="I30" s="33">
        <f>Model!I522</f>
        <v>3505</v>
      </c>
      <c r="J30" s="33">
        <f>Model!J522</f>
        <v>2854</v>
      </c>
      <c r="K30" s="33">
        <f>Model!K522</f>
        <v>2448</v>
      </c>
      <c r="L30" s="33">
        <f>Model!L522</f>
        <v>3919</v>
      </c>
      <c r="M30" s="33">
        <f>Model!M522</f>
        <v>3121</v>
      </c>
      <c r="N30" s="33">
        <f>Model!N522</f>
        <v>3064</v>
      </c>
      <c r="O30" s="33">
        <f>Model!O522</f>
        <v>2070</v>
      </c>
      <c r="P30" s="33">
        <f>Model!P522</f>
        <v>3485</v>
      </c>
      <c r="Q30" s="33">
        <f>Model!Q522</f>
        <v>3032</v>
      </c>
      <c r="R30" s="33">
        <f>Model!R522</f>
        <v>2553</v>
      </c>
      <c r="S30" s="33">
        <f>Model!S522</f>
        <v>2207</v>
      </c>
      <c r="T30" s="33">
        <f>Model!T522</f>
        <v>3051</v>
      </c>
      <c r="U30" s="33">
        <f>Model!U522</f>
        <v>3432</v>
      </c>
      <c r="V30" s="33">
        <f>Model!V522</f>
        <v>3413</v>
      </c>
      <c r="W30" s="33">
        <f>Model!W522</f>
        <v>2957</v>
      </c>
      <c r="X30" s="33">
        <f>Model!X522</f>
        <v>3678</v>
      </c>
      <c r="Y30" s="33">
        <f>Model!Y522</f>
        <v>3274</v>
      </c>
      <c r="Z30" s="33">
        <f>Model!Z522</f>
        <v>2936</v>
      </c>
      <c r="AA30" s="33">
        <f>Model!AA522</f>
        <v>2463</v>
      </c>
      <c r="AB30" s="33">
        <f>Model!AB522</f>
        <v>3418</v>
      </c>
      <c r="AC30" s="33">
        <f>Model!AC522</f>
        <v>3535.92</v>
      </c>
      <c r="AD30" s="33">
        <f>Model!AD522</f>
        <v>3170.88</v>
      </c>
      <c r="AE30" s="33">
        <f>Model!AE522</f>
        <v>2660.04</v>
      </c>
      <c r="AF30" s="33">
        <f>Model!AF522</f>
        <v>3828.1600000000003</v>
      </c>
      <c r="AG30" s="33">
        <f>Model!AG522</f>
        <v>3889.5120000000002</v>
      </c>
      <c r="AH30" s="33">
        <f>Model!AH522</f>
        <v>3487.9680000000003</v>
      </c>
      <c r="AI30" s="33">
        <f>Model!AI522</f>
        <v>2926.0440000000003</v>
      </c>
      <c r="AJ30" s="33"/>
      <c r="AK30" s="33"/>
      <c r="AL30" s="33"/>
      <c r="AM30" s="33"/>
      <c r="AN30" s="33"/>
      <c r="AO30" s="33"/>
      <c r="AP30" s="33"/>
      <c r="AQ30" s="33"/>
      <c r="AU30" s="33">
        <f>Model!AU522</f>
        <v>14638</v>
      </c>
      <c r="AV30" s="33">
        <f>Model!AV522</f>
        <v>13538</v>
      </c>
      <c r="AW30" s="33">
        <f>Model!AW522</f>
        <v>12174</v>
      </c>
      <c r="AX30" s="33">
        <f>Model!AX522</f>
        <v>11277</v>
      </c>
      <c r="AY30" s="33">
        <f>Model!AY522</f>
        <v>12853</v>
      </c>
      <c r="AZ30" s="33">
        <f>Model!AZ522</f>
        <v>12351</v>
      </c>
      <c r="BA30" s="33">
        <f>Model!BA522</f>
        <v>12784.84</v>
      </c>
      <c r="BB30" s="33">
        <f>Model!BB522</f>
        <v>14131.684000000001</v>
      </c>
      <c r="BC30" s="33">
        <f>Model!BC522</f>
        <v>15262.218720000003</v>
      </c>
      <c r="BD30" s="33">
        <f>Model!BD522</f>
        <v>16330.574030400003</v>
      </c>
      <c r="BE30" s="33">
        <f>Model!BE522</f>
        <v>17473.714212528004</v>
      </c>
    </row>
    <row r="31" spans="1:57" x14ac:dyDescent="0.2">
      <c r="A31" s="238" t="s">
        <v>1186</v>
      </c>
      <c r="B31" s="238" t="s">
        <v>702</v>
      </c>
      <c r="C31" s="238"/>
      <c r="D31" s="33">
        <f>Model!D522</f>
        <v>4952</v>
      </c>
      <c r="E31" s="33">
        <f>Model!E522</f>
        <v>3002</v>
      </c>
      <c r="F31" s="33">
        <f>Model!F522</f>
        <v>3805</v>
      </c>
      <c r="G31" s="33">
        <f>Model!G522</f>
        <v>2879</v>
      </c>
      <c r="H31" s="33">
        <f>Model!H522</f>
        <v>4731</v>
      </c>
      <c r="I31" s="33">
        <f>Model!I522</f>
        <v>3505</v>
      </c>
      <c r="J31" s="33">
        <f>Model!J522</f>
        <v>2854</v>
      </c>
      <c r="K31" s="33">
        <f>Model!K522</f>
        <v>2448</v>
      </c>
      <c r="L31" s="33">
        <f>Model!L522</f>
        <v>3919</v>
      </c>
      <c r="M31" s="33">
        <f>Model!M522</f>
        <v>3121</v>
      </c>
      <c r="N31" s="33">
        <f>Model!N522</f>
        <v>3064</v>
      </c>
      <c r="O31" s="33">
        <f>Model!O522</f>
        <v>2070</v>
      </c>
      <c r="P31" s="33">
        <f>Model!P522</f>
        <v>3485</v>
      </c>
      <c r="Q31" s="33">
        <f>Model!Q522</f>
        <v>3032</v>
      </c>
      <c r="R31" s="33">
        <f>Model!R522</f>
        <v>2553</v>
      </c>
      <c r="S31" s="33">
        <f>Model!S522</f>
        <v>2207</v>
      </c>
      <c r="T31" s="33">
        <f>Model!T522</f>
        <v>3051</v>
      </c>
      <c r="U31" s="33">
        <f>Model!U522</f>
        <v>3432</v>
      </c>
      <c r="V31" s="33">
        <f>Model!V522</f>
        <v>3413</v>
      </c>
      <c r="W31" s="33">
        <f>Model!W522</f>
        <v>2957</v>
      </c>
      <c r="X31" s="33">
        <f>Model!X522</f>
        <v>3678</v>
      </c>
      <c r="Y31" s="33">
        <f>Model!Y522</f>
        <v>3274</v>
      </c>
      <c r="Z31" s="33">
        <f>Model!Z522</f>
        <v>2936</v>
      </c>
      <c r="AA31" s="33">
        <f>Model!AA522</f>
        <v>2463</v>
      </c>
      <c r="AB31" s="33">
        <f>Model!AB522</f>
        <v>3418</v>
      </c>
      <c r="AC31" s="33">
        <f>Model!AC522</f>
        <v>3535.92</v>
      </c>
      <c r="AD31" s="33">
        <f>Model!AD522</f>
        <v>3170.88</v>
      </c>
      <c r="AE31" s="33">
        <f>Model!AE522</f>
        <v>2660.04</v>
      </c>
      <c r="AF31" s="33">
        <f>Model!AF522</f>
        <v>3828.1600000000003</v>
      </c>
      <c r="AG31" s="33">
        <f>Model!AG522</f>
        <v>3889.5120000000002</v>
      </c>
      <c r="AH31" s="33">
        <f>Model!AH522</f>
        <v>3487.9680000000003</v>
      </c>
      <c r="AI31" s="33">
        <f>Model!AI522</f>
        <v>2926.0440000000003</v>
      </c>
      <c r="AJ31" s="33"/>
      <c r="AK31" s="33"/>
      <c r="AL31" s="33"/>
      <c r="AM31" s="33"/>
      <c r="AN31" s="33"/>
      <c r="AO31" s="33"/>
      <c r="AP31" s="33"/>
      <c r="AQ31" s="33"/>
      <c r="AU31" s="33">
        <f>Model!AU522</f>
        <v>14638</v>
      </c>
      <c r="AV31" s="33">
        <f>Model!AV522</f>
        <v>13538</v>
      </c>
      <c r="AW31" s="33">
        <f>Model!AW522</f>
        <v>12174</v>
      </c>
      <c r="AX31" s="33">
        <f>Model!AX522</f>
        <v>11277</v>
      </c>
      <c r="AY31" s="33">
        <f>Model!AY522</f>
        <v>12853</v>
      </c>
      <c r="AZ31" s="33">
        <f>Model!AZ522</f>
        <v>12351</v>
      </c>
      <c r="BA31" s="33">
        <f>Model!BA522</f>
        <v>12784.84</v>
      </c>
      <c r="BB31" s="33">
        <f>Model!BB522</f>
        <v>14131.684000000001</v>
      </c>
      <c r="BC31" s="33">
        <f>Model!BC522</f>
        <v>15262.218720000003</v>
      </c>
      <c r="BD31" s="33">
        <f>Model!BD522</f>
        <v>16330.574030400003</v>
      </c>
      <c r="BE31" s="33">
        <f>Model!BE522</f>
        <v>17473.714212528004</v>
      </c>
    </row>
    <row r="32" spans="1:57" s="916" customFormat="1" x14ac:dyDescent="0.2">
      <c r="A32" s="238"/>
      <c r="B32" s="238"/>
      <c r="C32" s="238"/>
      <c r="D32" s="33"/>
      <c r="E32" s="33"/>
      <c r="F32" s="33"/>
      <c r="G32" s="33"/>
      <c r="H32" s="33"/>
      <c r="I32" s="33"/>
      <c r="J32" s="33"/>
      <c r="K32" s="33"/>
      <c r="L32" s="33"/>
      <c r="M32" s="33"/>
      <c r="N32" s="33"/>
      <c r="O32" s="33"/>
      <c r="P32" s="33"/>
      <c r="Q32" s="33"/>
      <c r="R32" s="33"/>
      <c r="S32" s="33"/>
      <c r="T32" s="33"/>
      <c r="U32" s="33"/>
      <c r="V32" s="33"/>
      <c r="W32" s="33"/>
      <c r="X32" s="33"/>
      <c r="Y32" s="33"/>
      <c r="Z32" s="33"/>
      <c r="AA32" s="33"/>
      <c r="AB32" s="33"/>
      <c r="AC32" s="33"/>
      <c r="AD32" s="33"/>
      <c r="AE32" s="33"/>
      <c r="AF32" s="33"/>
      <c r="AG32" s="33"/>
      <c r="AH32" s="33"/>
      <c r="AI32" s="33"/>
      <c r="AJ32" s="33"/>
      <c r="AK32" s="33"/>
      <c r="AL32" s="33"/>
      <c r="AM32" s="33"/>
      <c r="AN32" s="33"/>
      <c r="AO32" s="33"/>
      <c r="AP32" s="33"/>
      <c r="AQ32" s="33"/>
      <c r="AS32" s="1160"/>
      <c r="AT32" s="1160"/>
      <c r="AU32" s="33"/>
      <c r="AV32" s="33"/>
      <c r="AW32" s="33"/>
      <c r="AX32" s="33"/>
      <c r="AY32" s="33"/>
      <c r="AZ32" s="33"/>
      <c r="BA32" s="33"/>
      <c r="BB32" s="33"/>
      <c r="BC32" s="33"/>
      <c r="BD32" s="33"/>
      <c r="BE32" s="33"/>
    </row>
    <row r="33" spans="1:57" s="916" customFormat="1" x14ac:dyDescent="0.2">
      <c r="A33" s="59" t="s">
        <v>703</v>
      </c>
      <c r="B33" s="238"/>
      <c r="C33" s="238"/>
      <c r="AF33" s="1707"/>
      <c r="AG33" s="1707"/>
      <c r="AH33" s="1707"/>
      <c r="AI33" s="1707"/>
      <c r="AJ33" s="1740"/>
      <c r="AK33" s="1740"/>
      <c r="AL33" s="1740"/>
      <c r="AM33" s="1740"/>
      <c r="AN33" s="1740"/>
      <c r="AO33" s="1740"/>
      <c r="AP33" s="1740"/>
      <c r="AQ33" s="1740"/>
      <c r="AS33" s="1160"/>
      <c r="AT33" s="1160"/>
      <c r="AU33" s="1198"/>
      <c r="AV33" s="1198"/>
      <c r="AW33" s="1198"/>
      <c r="AX33" s="1198"/>
      <c r="AY33" s="1198"/>
      <c r="AZ33" s="1198"/>
      <c r="BA33" s="1198"/>
      <c r="BB33" s="1198"/>
      <c r="BC33" s="1198"/>
      <c r="BD33" s="1198"/>
      <c r="BE33" s="1702"/>
    </row>
    <row r="34" spans="1:57" s="916" customFormat="1" x14ac:dyDescent="0.2">
      <c r="A34" s="238" t="s">
        <v>805</v>
      </c>
      <c r="B34" s="238"/>
      <c r="C34" s="238"/>
      <c r="D34" s="33">
        <f>Model!D482</f>
        <v>897</v>
      </c>
      <c r="E34" s="33">
        <f>Model!E482</f>
        <v>533</v>
      </c>
      <c r="F34" s="33">
        <f>Model!F482</f>
        <v>499</v>
      </c>
      <c r="G34" s="33">
        <f>Model!G482</f>
        <v>435</v>
      </c>
      <c r="H34" s="33">
        <f>Model!H482</f>
        <v>805</v>
      </c>
      <c r="I34" s="33">
        <f>Model!I482</f>
        <v>904</v>
      </c>
      <c r="J34" s="33">
        <f>Model!J482</f>
        <v>692</v>
      </c>
      <c r="K34" s="33">
        <f>Model!K482</f>
        <v>504</v>
      </c>
      <c r="L34" s="33">
        <f>Model!L482</f>
        <v>883</v>
      </c>
      <c r="M34" s="33">
        <f>Model!M482</f>
        <v>610</v>
      </c>
      <c r="N34" s="33">
        <f>Model!N482</f>
        <v>755</v>
      </c>
      <c r="O34" s="33">
        <f>Model!O482</f>
        <v>473</v>
      </c>
      <c r="P34" s="33">
        <f>Model!P482</f>
        <v>862</v>
      </c>
      <c r="Q34" s="33">
        <f>Model!Q482</f>
        <v>644</v>
      </c>
      <c r="R34" s="33">
        <f>Model!R482</f>
        <v>997</v>
      </c>
      <c r="S34" s="33">
        <f>Model!S482</f>
        <v>598</v>
      </c>
      <c r="T34" s="33">
        <f>Model!T482</f>
        <v>697</v>
      </c>
      <c r="U34" s="33">
        <f>Model!U482</f>
        <v>776</v>
      </c>
      <c r="V34" s="33">
        <f>Model!V482</f>
        <v>654</v>
      </c>
      <c r="W34" s="33">
        <f>Model!W482</f>
        <v>685</v>
      </c>
      <c r="X34" s="33">
        <f>Model!X482</f>
        <v>802</v>
      </c>
      <c r="Y34" s="33">
        <f>Model!Y482</f>
        <v>725</v>
      </c>
      <c r="Z34" s="33">
        <f>Model!Z482</f>
        <v>785</v>
      </c>
      <c r="AA34" s="33">
        <f>Model!AA482</f>
        <v>567</v>
      </c>
      <c r="AB34" s="33">
        <f>Model!AB482</f>
        <v>1103</v>
      </c>
      <c r="AC34" s="33">
        <f>Model!AC482</f>
        <v>775.75</v>
      </c>
      <c r="AD34" s="33">
        <f>Model!AD482</f>
        <v>816.4</v>
      </c>
      <c r="AE34" s="33">
        <f>Model!AE482</f>
        <v>680.4</v>
      </c>
      <c r="AF34" s="33">
        <f>Model!AF482</f>
        <v>937.55</v>
      </c>
      <c r="AG34" s="33">
        <f>Model!AG482</f>
        <v>814.53750000000002</v>
      </c>
      <c r="AH34" s="33">
        <f>Model!AH482</f>
        <v>857.22</v>
      </c>
      <c r="AI34" s="33">
        <f>Model!AI482</f>
        <v>714.42</v>
      </c>
      <c r="AJ34" s="33"/>
      <c r="AK34" s="33"/>
      <c r="AL34" s="33"/>
      <c r="AM34" s="33"/>
      <c r="AN34" s="33"/>
      <c r="AO34" s="33"/>
      <c r="AP34" s="33"/>
      <c r="AQ34" s="33"/>
      <c r="AR34" s="9"/>
      <c r="AS34" s="1160"/>
      <c r="AT34" s="1160"/>
      <c r="AU34" s="33">
        <f>Model!AU482</f>
        <v>2364</v>
      </c>
      <c r="AV34" s="33">
        <f>Model!AV482</f>
        <v>2905</v>
      </c>
      <c r="AW34" s="33">
        <f>Model!AW482</f>
        <v>2721</v>
      </c>
      <c r="AX34" s="33">
        <f>Model!AX482</f>
        <v>3101</v>
      </c>
      <c r="AY34" s="33">
        <f>Model!AY482</f>
        <v>2812</v>
      </c>
      <c r="AZ34" s="33">
        <f>Model!AZ482</f>
        <v>2879</v>
      </c>
      <c r="BA34" s="33">
        <f>Model!BA482</f>
        <v>3375.55</v>
      </c>
      <c r="BB34" s="33">
        <f>Model!BB482</f>
        <v>3323.7275</v>
      </c>
      <c r="BC34" s="33">
        <f>Model!BC482</f>
        <v>3556.3884250000001</v>
      </c>
      <c r="BD34" s="33">
        <f>Model!BD482</f>
        <v>3805.3356147500003</v>
      </c>
      <c r="BE34" s="33">
        <f>Model!BE482</f>
        <v>4071.7091077825007</v>
      </c>
    </row>
    <row r="35" spans="1:57" s="916" customFormat="1" x14ac:dyDescent="0.2">
      <c r="A35" s="1069" t="s">
        <v>806</v>
      </c>
      <c r="B35" s="238"/>
      <c r="C35" s="238"/>
      <c r="D35" s="33">
        <f>Model!D534</f>
        <v>897</v>
      </c>
      <c r="E35" s="33">
        <f>Model!E534</f>
        <v>533</v>
      </c>
      <c r="F35" s="33">
        <f>Model!F534</f>
        <v>499</v>
      </c>
      <c r="G35" s="33">
        <f>Model!G534</f>
        <v>435</v>
      </c>
      <c r="H35" s="33">
        <f>Model!H534</f>
        <v>805</v>
      </c>
      <c r="I35" s="33">
        <f>Model!I534</f>
        <v>904</v>
      </c>
      <c r="J35" s="33">
        <f>Model!J534</f>
        <v>692</v>
      </c>
      <c r="K35" s="33">
        <f>Model!K534</f>
        <v>504</v>
      </c>
      <c r="L35" s="33">
        <f>Model!L534</f>
        <v>883</v>
      </c>
      <c r="M35" s="33">
        <f>Model!M534</f>
        <v>610</v>
      </c>
      <c r="N35" s="33">
        <f>Model!N534</f>
        <v>755</v>
      </c>
      <c r="O35" s="33">
        <f>Model!O534</f>
        <v>473</v>
      </c>
      <c r="P35" s="33">
        <f>Model!P534</f>
        <v>862</v>
      </c>
      <c r="Q35" s="33">
        <f>Model!Q534</f>
        <v>644</v>
      </c>
      <c r="R35" s="33">
        <f>Model!R534</f>
        <v>997</v>
      </c>
      <c r="S35" s="33">
        <f>Model!S534</f>
        <v>598</v>
      </c>
      <c r="T35" s="33">
        <f>Model!T534</f>
        <v>697</v>
      </c>
      <c r="U35" s="33">
        <f>Model!U534</f>
        <v>776</v>
      </c>
      <c r="V35" s="33">
        <f>Model!V534</f>
        <v>654</v>
      </c>
      <c r="W35" s="33">
        <f>Model!W534</f>
        <v>685</v>
      </c>
      <c r="X35" s="33">
        <f>Model!X534</f>
        <v>802</v>
      </c>
      <c r="Y35" s="33">
        <f>Model!Y534</f>
        <v>725</v>
      </c>
      <c r="Z35" s="33">
        <f>Model!Z534</f>
        <v>785</v>
      </c>
      <c r="AA35" s="33">
        <f>Model!AA534</f>
        <v>567</v>
      </c>
      <c r="AB35" s="33">
        <f>Model!AB534</f>
        <v>1103</v>
      </c>
      <c r="AC35" s="33">
        <f>Model!AC534</f>
        <v>775.75</v>
      </c>
      <c r="AD35" s="33">
        <f>Model!AD534</f>
        <v>816.4</v>
      </c>
      <c r="AE35" s="33">
        <f>Model!AE534</f>
        <v>680.4</v>
      </c>
      <c r="AF35" s="33">
        <f>Model!AF534</f>
        <v>937.55</v>
      </c>
      <c r="AG35" s="33">
        <f>Model!AG534</f>
        <v>814.53750000000002</v>
      </c>
      <c r="AH35" s="33">
        <f>Model!AH534</f>
        <v>857.22</v>
      </c>
      <c r="AI35" s="33">
        <f>Model!AI534</f>
        <v>714.42</v>
      </c>
      <c r="AJ35" s="33"/>
      <c r="AK35" s="33"/>
      <c r="AL35" s="33"/>
      <c r="AM35" s="33"/>
      <c r="AN35" s="33"/>
      <c r="AO35" s="33"/>
      <c r="AP35" s="33"/>
      <c r="AQ35" s="33"/>
      <c r="AR35" s="9"/>
      <c r="AS35" s="1160"/>
      <c r="AT35" s="1160"/>
      <c r="AU35" s="33">
        <f>Model!AU534</f>
        <v>2364</v>
      </c>
      <c r="AV35" s="33">
        <f>Model!AV534</f>
        <v>2905</v>
      </c>
      <c r="AW35" s="33">
        <f>Model!AW534</f>
        <v>2721</v>
      </c>
      <c r="AX35" s="33">
        <f>Model!AX534</f>
        <v>3101</v>
      </c>
      <c r="AY35" s="33">
        <f>Model!AY534</f>
        <v>2812</v>
      </c>
      <c r="AZ35" s="33">
        <f>Model!AZ534</f>
        <v>2879</v>
      </c>
      <c r="BA35" s="33">
        <f>Model!BA534</f>
        <v>3375.55</v>
      </c>
      <c r="BB35" s="33">
        <f>Model!BB534</f>
        <v>3323.7275</v>
      </c>
      <c r="BC35" s="33">
        <f>Model!BC534</f>
        <v>3556.3884250000001</v>
      </c>
      <c r="BD35" s="33">
        <f>Model!BD534</f>
        <v>3805.3356147500003</v>
      </c>
      <c r="BE35" s="33">
        <f>Model!BE534</f>
        <v>4071.7091077825007</v>
      </c>
    </row>
    <row r="36" spans="1:57" s="916" customFormat="1" x14ac:dyDescent="0.2">
      <c r="A36" s="1069"/>
      <c r="B36" s="238"/>
      <c r="C36" s="238"/>
      <c r="D36" s="33"/>
      <c r="E36" s="33"/>
      <c r="F36" s="33"/>
      <c r="G36" s="33"/>
      <c r="H36" s="33"/>
      <c r="I36" s="33"/>
      <c r="J36" s="33"/>
      <c r="K36" s="33"/>
      <c r="L36" s="33"/>
      <c r="M36" s="33"/>
      <c r="N36" s="33"/>
      <c r="O36" s="33"/>
      <c r="P36" s="33"/>
      <c r="Q36" s="33"/>
      <c r="R36" s="33"/>
      <c r="S36" s="33"/>
      <c r="T36" s="33"/>
      <c r="U36" s="33"/>
      <c r="V36" s="33"/>
      <c r="W36" s="33"/>
      <c r="X36" s="33"/>
      <c r="Y36" s="33"/>
      <c r="Z36" s="33"/>
      <c r="AA36" s="33"/>
      <c r="AB36" s="33"/>
      <c r="AC36" s="33"/>
      <c r="AD36" s="33"/>
      <c r="AE36" s="33"/>
      <c r="AF36" s="33"/>
      <c r="AG36" s="33"/>
      <c r="AH36" s="33"/>
      <c r="AI36" s="33"/>
      <c r="AJ36" s="33"/>
      <c r="AK36" s="33"/>
      <c r="AL36" s="33"/>
      <c r="AM36" s="33"/>
      <c r="AN36" s="33"/>
      <c r="AO36" s="33"/>
      <c r="AP36" s="33"/>
      <c r="AQ36" s="33"/>
      <c r="AS36" s="1160"/>
      <c r="AT36" s="1160"/>
      <c r="AU36" s="33"/>
      <c r="AV36" s="33"/>
      <c r="AW36" s="33"/>
      <c r="AX36" s="33"/>
      <c r="AY36" s="33"/>
      <c r="AZ36" s="33"/>
      <c r="BA36" s="33"/>
      <c r="BB36" s="33"/>
      <c r="BC36" s="33"/>
      <c r="BD36" s="33"/>
      <c r="BE36" s="33"/>
    </row>
    <row r="37" spans="1:57" x14ac:dyDescent="0.2">
      <c r="A37" s="334" t="s">
        <v>10</v>
      </c>
      <c r="B37" s="238" t="s">
        <v>704</v>
      </c>
      <c r="C37" s="238"/>
      <c r="D37" s="33">
        <f>Model!D473</f>
        <v>2001</v>
      </c>
      <c r="E37" s="33">
        <f>Model!E473</f>
        <v>2062</v>
      </c>
      <c r="F37" s="33">
        <f>Model!F473</f>
        <v>1968</v>
      </c>
      <c r="G37" s="33">
        <f>Model!G473</f>
        <v>1950</v>
      </c>
      <c r="H37" s="33">
        <f>Model!H473</f>
        <v>1905</v>
      </c>
      <c r="I37" s="33">
        <f>Model!I473</f>
        <v>1985</v>
      </c>
      <c r="J37" s="33">
        <f>Model!J473</f>
        <v>1927</v>
      </c>
      <c r="K37" s="33">
        <f>Model!K473</f>
        <v>1918</v>
      </c>
      <c r="L37" s="33">
        <f>Model!L473</f>
        <v>1932</v>
      </c>
      <c r="M37" s="33">
        <f>Model!M473</f>
        <v>1990</v>
      </c>
      <c r="N37" s="33">
        <f>Model!N473</f>
        <v>1944</v>
      </c>
      <c r="O37" s="33">
        <f>Model!O473</f>
        <v>1942</v>
      </c>
      <c r="P37" s="33">
        <f>Model!P473</f>
        <v>1820</v>
      </c>
      <c r="Q37" s="33">
        <f>Model!Q473</f>
        <v>1885</v>
      </c>
      <c r="R37" s="33">
        <f>Model!R473</f>
        <v>1862</v>
      </c>
      <c r="S37" s="33">
        <f>Model!S473</f>
        <v>1915</v>
      </c>
      <c r="T37" s="33">
        <f>Model!T473</f>
        <v>1903</v>
      </c>
      <c r="U37" s="33">
        <f>Model!U473</f>
        <v>1999</v>
      </c>
      <c r="V37" s="33">
        <f>Model!V473</f>
        <v>1986</v>
      </c>
      <c r="W37" s="33">
        <f>Model!W473</f>
        <v>2009</v>
      </c>
      <c r="X37" s="33">
        <f>Model!X473</f>
        <v>2108</v>
      </c>
      <c r="Y37" s="33">
        <f>Model!Y473</f>
        <v>2106</v>
      </c>
      <c r="Z37" s="33">
        <f>Model!Z473</f>
        <v>2185</v>
      </c>
      <c r="AA37" s="33">
        <f>Model!AA473</f>
        <v>2236</v>
      </c>
      <c r="AB37" s="33">
        <f>Model!AB473</f>
        <v>2268</v>
      </c>
      <c r="AC37" s="33">
        <f>Model!AC473</f>
        <v>2341.2128465753426</v>
      </c>
      <c r="AD37" s="33">
        <f>Model!AD473</f>
        <v>2414.2792694794521</v>
      </c>
      <c r="AE37" s="33">
        <f>Model!AE473</f>
        <v>2474.3474618301375</v>
      </c>
      <c r="AF37" s="33">
        <f>Model!AF473</f>
        <v>2463.1591080896878</v>
      </c>
      <c r="AG37" s="33">
        <f>Model!AG473</f>
        <v>2532.8782586200537</v>
      </c>
      <c r="AH37" s="33">
        <f>Model!AH473</f>
        <v>2579.9174262801407</v>
      </c>
      <c r="AI37" s="33">
        <f>Model!AI473</f>
        <v>2600.5567656903818</v>
      </c>
      <c r="AJ37" s="33"/>
      <c r="AK37" s="33"/>
      <c r="AL37" s="33"/>
      <c r="AM37" s="33"/>
      <c r="AN37" s="33"/>
      <c r="AO37" s="33"/>
      <c r="AP37" s="33"/>
      <c r="AQ37" s="33"/>
      <c r="AU37" s="33">
        <f>Model!AU473</f>
        <v>7981</v>
      </c>
      <c r="AV37" s="33">
        <f>Model!AV473</f>
        <v>7735</v>
      </c>
      <c r="AW37" s="33">
        <f>Model!AW473</f>
        <v>7808</v>
      </c>
      <c r="AX37" s="33">
        <f>Model!AX473</f>
        <v>7482</v>
      </c>
      <c r="AY37" s="33">
        <f>Model!AY473</f>
        <v>7897</v>
      </c>
      <c r="AZ37" s="33">
        <f>Model!AZ473</f>
        <v>8635</v>
      </c>
      <c r="BA37" s="33">
        <f>Model!BA473</f>
        <v>9497.8395778849317</v>
      </c>
      <c r="BB37" s="33">
        <f>Model!BB473</f>
        <v>10176.511558680264</v>
      </c>
      <c r="BC37" s="33">
        <f>Model!BC473</f>
        <v>10759.000813490404</v>
      </c>
      <c r="BD37" s="33">
        <f>Model!BD473</f>
        <v>11296.950854164923</v>
      </c>
      <c r="BE37" s="33">
        <f>Model!BE473</f>
        <v>11861.798396873173</v>
      </c>
    </row>
    <row r="38" spans="1:57" x14ac:dyDescent="0.2">
      <c r="A38" s="315" t="s">
        <v>261</v>
      </c>
      <c r="B38" s="238"/>
      <c r="C38" s="238"/>
      <c r="D38" s="33">
        <f>Model!D474</f>
        <v>396</v>
      </c>
      <c r="E38" s="33">
        <f>Model!E474</f>
        <v>453</v>
      </c>
      <c r="F38" s="33">
        <f>Model!F474</f>
        <v>460</v>
      </c>
      <c r="G38" s="33">
        <f>Model!G474</f>
        <v>418</v>
      </c>
      <c r="H38" s="33">
        <f>Model!H474</f>
        <v>368</v>
      </c>
      <c r="I38" s="33">
        <f>Model!I474</f>
        <v>437</v>
      </c>
      <c r="J38" s="33">
        <f>Model!J474</f>
        <v>410</v>
      </c>
      <c r="K38" s="33">
        <f>Model!K474</f>
        <v>427</v>
      </c>
      <c r="L38" s="33">
        <f>Model!L474</f>
        <v>451</v>
      </c>
      <c r="M38" s="33">
        <f>Model!M474</f>
        <v>490</v>
      </c>
      <c r="N38" s="33">
        <f>Model!N474</f>
        <v>479</v>
      </c>
      <c r="O38" s="33">
        <f>Model!O474</f>
        <v>466</v>
      </c>
      <c r="P38" s="33">
        <f>Model!P474</f>
        <v>480</v>
      </c>
      <c r="Q38" s="33">
        <f>Model!Q474</f>
        <v>477</v>
      </c>
      <c r="R38" s="33">
        <f>Model!R474</f>
        <v>437</v>
      </c>
      <c r="S38" s="33">
        <f>Model!S474</f>
        <v>433</v>
      </c>
      <c r="T38" s="33">
        <f>Model!T474</f>
        <v>448</v>
      </c>
      <c r="U38" s="33">
        <f>Model!U474</f>
        <v>383</v>
      </c>
      <c r="V38" s="33">
        <f>Model!V474</f>
        <v>439</v>
      </c>
      <c r="W38" s="33">
        <f>Model!W474</f>
        <v>448</v>
      </c>
      <c r="X38" s="33">
        <f>Model!X474</f>
        <v>438</v>
      </c>
      <c r="Y38" s="33">
        <f>Model!Y474</f>
        <v>481</v>
      </c>
      <c r="Z38" s="33">
        <f>Model!Z474</f>
        <v>506</v>
      </c>
      <c r="AA38" s="33">
        <f>Model!AA474</f>
        <v>513</v>
      </c>
      <c r="AB38" s="33">
        <f>Model!AB474</f>
        <v>521</v>
      </c>
      <c r="AC38" s="33">
        <f>Model!AC474</f>
        <v>534.49061917808228</v>
      </c>
      <c r="AD38" s="33">
        <f>Model!AD474</f>
        <v>548.46960460273976</v>
      </c>
      <c r="AE38" s="33">
        <f>Model!AE474</f>
        <v>556.69664867178074</v>
      </c>
      <c r="AF38" s="33">
        <f>Model!AF474</f>
        <v>555.48643856597255</v>
      </c>
      <c r="AG38" s="33">
        <f>Model!AG474</f>
        <v>572.89168030770634</v>
      </c>
      <c r="AH38" s="33">
        <f>Model!AH474</f>
        <v>593.66687311007377</v>
      </c>
      <c r="AI38" s="33">
        <f>Model!AI474</f>
        <v>608.50854493782549</v>
      </c>
      <c r="AJ38" s="33"/>
      <c r="AK38" s="33"/>
      <c r="AL38" s="33"/>
      <c r="AM38" s="33"/>
      <c r="AN38" s="33"/>
      <c r="AO38" s="33"/>
      <c r="AP38" s="33"/>
      <c r="AQ38" s="33"/>
      <c r="AU38" s="33">
        <f>Model!AU474</f>
        <v>1727</v>
      </c>
      <c r="AV38" s="33">
        <f>Model!AV474</f>
        <v>1642</v>
      </c>
      <c r="AW38" s="33">
        <f>Model!AW474</f>
        <v>1886</v>
      </c>
      <c r="AX38" s="33">
        <f>Model!AX474</f>
        <v>1827</v>
      </c>
      <c r="AY38" s="33">
        <f>Model!AY474</f>
        <v>1718</v>
      </c>
      <c r="AZ38" s="33">
        <f>Model!AZ474</f>
        <v>1938</v>
      </c>
      <c r="BA38" s="33">
        <f>Model!BA474</f>
        <v>2160.6568724526028</v>
      </c>
      <c r="BB38" s="33">
        <f>Model!BB474</f>
        <v>2330.5535369215781</v>
      </c>
      <c r="BC38" s="33">
        <f>Model!BC474</f>
        <v>2533.3571307608577</v>
      </c>
      <c r="BD38" s="33">
        <f>Model!BD474</f>
        <v>2710.6921299141181</v>
      </c>
      <c r="BE38" s="33">
        <f>Model!BE474</f>
        <v>2873.3336577089649</v>
      </c>
    </row>
    <row r="39" spans="1:57" x14ac:dyDescent="0.2">
      <c r="A39" s="334" t="s">
        <v>15</v>
      </c>
      <c r="B39" s="238"/>
      <c r="C39" s="238"/>
      <c r="D39" s="33">
        <f>Model!D475</f>
        <v>601</v>
      </c>
      <c r="E39" s="33">
        <f>Model!E475</f>
        <v>594</v>
      </c>
      <c r="F39" s="33">
        <f>Model!F475</f>
        <v>612</v>
      </c>
      <c r="G39" s="33">
        <f>Model!G475</f>
        <v>599</v>
      </c>
      <c r="H39" s="33">
        <f>Model!H475</f>
        <v>631</v>
      </c>
      <c r="I39" s="33">
        <f>Model!I475</f>
        <v>647</v>
      </c>
      <c r="J39" s="33">
        <f>Model!J475</f>
        <v>616</v>
      </c>
      <c r="K39" s="33">
        <f>Model!K475</f>
        <v>602</v>
      </c>
      <c r="L39" s="33">
        <f>Model!L475</f>
        <v>671</v>
      </c>
      <c r="M39" s="33">
        <f>Model!M475</f>
        <v>659</v>
      </c>
      <c r="N39" s="33">
        <f>Model!N475</f>
        <v>665</v>
      </c>
      <c r="O39" s="33">
        <f>Model!O475</f>
        <v>669</v>
      </c>
      <c r="P39" s="33">
        <f>Model!P475</f>
        <v>675</v>
      </c>
      <c r="Q39" s="33">
        <f>Model!Q475</f>
        <v>669</v>
      </c>
      <c r="R39" s="33">
        <f>Model!R475</f>
        <v>633</v>
      </c>
      <c r="S39" s="33">
        <f>Model!S475</f>
        <v>605</v>
      </c>
      <c r="T39" s="33">
        <f>Model!T475</f>
        <v>684</v>
      </c>
      <c r="U39" s="33">
        <f>Model!U475</f>
        <v>674</v>
      </c>
      <c r="V39" s="33">
        <f>Model!V475</f>
        <v>680</v>
      </c>
      <c r="W39" s="33">
        <f>Model!W475</f>
        <v>671</v>
      </c>
      <c r="X39" s="33">
        <f>Model!X475</f>
        <v>749</v>
      </c>
      <c r="Y39" s="33">
        <f>Model!Y475</f>
        <v>793</v>
      </c>
      <c r="Z39" s="33">
        <f>Model!Z475</f>
        <v>790</v>
      </c>
      <c r="AA39" s="33">
        <f>Model!AA475</f>
        <v>776</v>
      </c>
      <c r="AB39" s="33">
        <f>Model!AB475</f>
        <v>904</v>
      </c>
      <c r="AC39" s="33">
        <f>Model!AC475</f>
        <v>876.88</v>
      </c>
      <c r="AD39" s="33">
        <f>Model!AD475</f>
        <v>876.88</v>
      </c>
      <c r="AE39" s="33">
        <f>Model!AE475</f>
        <v>885.64880000000005</v>
      </c>
      <c r="AF39" s="33">
        <f>Model!AF475</f>
        <v>947.64421600000014</v>
      </c>
      <c r="AG39" s="33">
        <f>Model!AG475</f>
        <v>919.21488952000016</v>
      </c>
      <c r="AH39" s="33">
        <f>Model!AH475</f>
        <v>919.21488952000016</v>
      </c>
      <c r="AI39" s="33">
        <f>Model!AI475</f>
        <v>928.40703841520019</v>
      </c>
      <c r="AJ39" s="33"/>
      <c r="AK39" s="33"/>
      <c r="AL39" s="33"/>
      <c r="AM39" s="33"/>
      <c r="AN39" s="33"/>
      <c r="AO39" s="33"/>
      <c r="AP39" s="33"/>
      <c r="AQ39" s="33"/>
      <c r="AU39" s="33">
        <f>Model!AU475</f>
        <v>2406</v>
      </c>
      <c r="AV39" s="33">
        <f>Model!AV475</f>
        <v>2496</v>
      </c>
      <c r="AW39" s="33">
        <f>Model!AW475</f>
        <v>2664</v>
      </c>
      <c r="AX39" s="33">
        <f>Model!AX475</f>
        <v>2582</v>
      </c>
      <c r="AY39" s="33">
        <f>Model!AY475</f>
        <v>2709</v>
      </c>
      <c r="AZ39" s="33">
        <f>Model!AZ475</f>
        <v>3108</v>
      </c>
      <c r="BA39" s="33">
        <f>Model!BA475</f>
        <v>3543.4088000000002</v>
      </c>
      <c r="BB39" s="33">
        <f>Model!BB475</f>
        <v>3714.4810334552008</v>
      </c>
      <c r="BC39" s="33">
        <f>Model!BC475</f>
        <v>3900.205085127961</v>
      </c>
      <c r="BD39" s="33">
        <f>Model!BD475</f>
        <v>4095.2153393843591</v>
      </c>
      <c r="BE39" s="33">
        <f>Model!BE475</f>
        <v>4299.9761063535771</v>
      </c>
    </row>
    <row r="40" spans="1:57" s="1208" customFormat="1" x14ac:dyDescent="0.2">
      <c r="A40" s="334" t="s">
        <v>248</v>
      </c>
      <c r="B40" s="238"/>
      <c r="C40" s="238"/>
      <c r="D40" s="33">
        <f>Model!D478</f>
        <v>-344</v>
      </c>
      <c r="E40" s="33">
        <f>Model!E478</f>
        <v>157</v>
      </c>
      <c r="F40" s="33">
        <f>Model!F478</f>
        <v>-251</v>
      </c>
      <c r="G40" s="33">
        <f>Model!G478</f>
        <v>-258</v>
      </c>
      <c r="H40" s="33">
        <f>Model!H478</f>
        <v>-23</v>
      </c>
      <c r="I40" s="33">
        <f>Model!I478</f>
        <v>23</v>
      </c>
      <c r="J40" s="33">
        <f>Model!J478</f>
        <v>-147</v>
      </c>
      <c r="K40" s="33">
        <f>Model!K478</f>
        <v>-139</v>
      </c>
      <c r="L40" s="33">
        <f>Model!L478</f>
        <v>-17</v>
      </c>
      <c r="M40" s="33">
        <f>Model!M478</f>
        <v>-44</v>
      </c>
      <c r="N40" s="33">
        <f>Model!N478</f>
        <v>91</v>
      </c>
      <c r="O40" s="33">
        <f>Model!O478</f>
        <v>86</v>
      </c>
      <c r="P40" s="33">
        <f>Model!P478</f>
        <v>52</v>
      </c>
      <c r="Q40" s="33">
        <f>Model!Q478</f>
        <v>-66</v>
      </c>
      <c r="R40" s="33">
        <f>Model!R478</f>
        <v>352</v>
      </c>
      <c r="S40" s="33">
        <f>Model!S478</f>
        <v>-14</v>
      </c>
      <c r="T40" s="33">
        <f>Model!T478</f>
        <v>-66</v>
      </c>
      <c r="U40" s="33">
        <f>Model!U478</f>
        <v>-203</v>
      </c>
      <c r="V40" s="33">
        <f>Model!V478</f>
        <v>-218</v>
      </c>
      <c r="W40" s="33">
        <f>Model!W478</f>
        <v>-107</v>
      </c>
      <c r="X40" s="33">
        <f>Model!X478</f>
        <v>-115</v>
      </c>
      <c r="Y40" s="33">
        <f>Model!Y478</f>
        <v>9</v>
      </c>
      <c r="Z40" s="33">
        <f>Model!Z478</f>
        <v>-48</v>
      </c>
      <c r="AA40" s="33">
        <f>Model!AA478</f>
        <v>21</v>
      </c>
      <c r="AB40" s="33">
        <f>Model!AB478</f>
        <v>23</v>
      </c>
      <c r="AC40" s="33">
        <f>Model!AC478</f>
        <v>0</v>
      </c>
      <c r="AD40" s="33">
        <f>Model!AD478</f>
        <v>0</v>
      </c>
      <c r="AE40" s="33">
        <f>Model!AE478</f>
        <v>0</v>
      </c>
      <c r="AF40" s="33">
        <f>Model!AF478</f>
        <v>0</v>
      </c>
      <c r="AG40" s="33">
        <f>Model!AG478</f>
        <v>0</v>
      </c>
      <c r="AH40" s="33">
        <f>Model!AH478</f>
        <v>0</v>
      </c>
      <c r="AI40" s="33">
        <f>Model!AI478</f>
        <v>0</v>
      </c>
      <c r="AJ40" s="33"/>
      <c r="AK40" s="33"/>
      <c r="AL40" s="33"/>
      <c r="AM40" s="33"/>
      <c r="AN40" s="33"/>
      <c r="AO40" s="33"/>
      <c r="AP40" s="33"/>
      <c r="AQ40" s="33"/>
      <c r="AU40" s="33">
        <f>Model!AU478</f>
        <v>-696</v>
      </c>
      <c r="AV40" s="33">
        <f>Model!AV478</f>
        <v>-286</v>
      </c>
      <c r="AW40" s="33">
        <f>Model!AW478</f>
        <v>116</v>
      </c>
      <c r="AX40" s="33">
        <f>Model!AX478</f>
        <v>324</v>
      </c>
      <c r="AY40" s="33">
        <f>Model!AY478</f>
        <v>-594</v>
      </c>
      <c r="AZ40" s="33">
        <f>Model!AZ478</f>
        <v>-133</v>
      </c>
      <c r="BA40" s="33">
        <f>Model!BA478</f>
        <v>23</v>
      </c>
      <c r="BB40" s="33">
        <f>Model!BB478</f>
        <v>0</v>
      </c>
      <c r="BC40" s="33">
        <f>Model!BC478</f>
        <v>0</v>
      </c>
      <c r="BD40" s="33">
        <f>Model!BD478</f>
        <v>0</v>
      </c>
      <c r="BE40" s="33">
        <f>Model!BE478</f>
        <v>0</v>
      </c>
    </row>
    <row r="41" spans="1:57" x14ac:dyDescent="0.2">
      <c r="A41" s="238" t="s">
        <v>705</v>
      </c>
      <c r="B41" s="238" t="s">
        <v>705</v>
      </c>
      <c r="C41" s="238"/>
      <c r="D41" s="33">
        <f>Model!D483</f>
        <v>517</v>
      </c>
      <c r="E41" s="33">
        <f>Model!E483</f>
        <v>484</v>
      </c>
      <c r="F41" s="33">
        <f>Model!F483</f>
        <v>479</v>
      </c>
      <c r="G41" s="33">
        <f>Model!G483</f>
        <v>467</v>
      </c>
      <c r="H41" s="33">
        <f>Model!H483</f>
        <v>492</v>
      </c>
      <c r="I41" s="33">
        <f>Model!I483</f>
        <v>529</v>
      </c>
      <c r="J41" s="33">
        <f>Model!J483</f>
        <v>481</v>
      </c>
      <c r="K41" s="33">
        <f>Model!K483</f>
        <v>476</v>
      </c>
      <c r="L41" s="33">
        <f>Model!L483</f>
        <v>485</v>
      </c>
      <c r="M41" s="33">
        <f>Model!M483</f>
        <v>521</v>
      </c>
      <c r="N41" s="33">
        <f>Model!N483</f>
        <v>535</v>
      </c>
      <c r="O41" s="33">
        <f>Model!O483</f>
        <v>509</v>
      </c>
      <c r="P41" s="33">
        <f>Model!P483</f>
        <v>535</v>
      </c>
      <c r="Q41" s="33">
        <f>Model!Q483</f>
        <v>563</v>
      </c>
      <c r="R41" s="33">
        <f>Model!R483</f>
        <v>506</v>
      </c>
      <c r="S41" s="33">
        <f>Model!S483</f>
        <v>510</v>
      </c>
      <c r="T41" s="33">
        <f>Model!T483</f>
        <v>561</v>
      </c>
      <c r="U41" s="33">
        <f>Model!U483</f>
        <v>529</v>
      </c>
      <c r="V41" s="33">
        <f>Model!V483</f>
        <v>533</v>
      </c>
      <c r="W41" s="33">
        <f>Model!W483</f>
        <v>529</v>
      </c>
      <c r="X41" s="33">
        <f>Model!X483</f>
        <v>552</v>
      </c>
      <c r="Y41" s="33">
        <f>Model!Y483</f>
        <v>594</v>
      </c>
      <c r="Z41" s="33">
        <f>Model!Z483</f>
        <v>608</v>
      </c>
      <c r="AA41" s="33">
        <f>Model!AA483</f>
        <v>612</v>
      </c>
      <c r="AB41" s="33">
        <f>Model!AB483</f>
        <v>641</v>
      </c>
      <c r="AC41" s="33">
        <f>Model!AC483</f>
        <v>653.40000000000009</v>
      </c>
      <c r="AD41" s="33">
        <f>Model!AD483</f>
        <v>668.80000000000007</v>
      </c>
      <c r="AE41" s="33">
        <f>Model!AE483</f>
        <v>667.08</v>
      </c>
      <c r="AF41" s="33">
        <f>Model!AF483</f>
        <v>698.69</v>
      </c>
      <c r="AG41" s="33">
        <f>Model!AG483</f>
        <v>705.67200000000014</v>
      </c>
      <c r="AH41" s="33">
        <f>Model!AH483</f>
        <v>722.30400000000009</v>
      </c>
      <c r="AI41" s="33">
        <f>Model!AI483</f>
        <v>720.44640000000004</v>
      </c>
      <c r="AJ41" s="33"/>
      <c r="AK41" s="33"/>
      <c r="AL41" s="33"/>
      <c r="AM41" s="33"/>
      <c r="AN41" s="33"/>
      <c r="AO41" s="33"/>
      <c r="AP41" s="33"/>
      <c r="AQ41" s="33"/>
      <c r="AU41" s="33">
        <f>Model!AU483</f>
        <v>1947</v>
      </c>
      <c r="AV41" s="33">
        <f>Model!AV483</f>
        <v>1978</v>
      </c>
      <c r="AW41" s="33">
        <f>Model!AW483</f>
        <v>2050</v>
      </c>
      <c r="AX41" s="33">
        <f>Model!AX483</f>
        <v>2114</v>
      </c>
      <c r="AY41" s="33">
        <f>Model!AY483</f>
        <v>2152</v>
      </c>
      <c r="AZ41" s="33">
        <f>Model!AZ483</f>
        <v>2366</v>
      </c>
      <c r="BA41" s="33">
        <f>Model!BA483</f>
        <v>2630.28</v>
      </c>
      <c r="BB41" s="33">
        <f>Model!BB483</f>
        <v>2847.1124</v>
      </c>
      <c r="BC41" s="33">
        <f>Model!BC483</f>
        <v>3046.4102680000001</v>
      </c>
      <c r="BD41" s="33">
        <f>Model!BD483</f>
        <v>3259.6589867600001</v>
      </c>
      <c r="BE41" s="33">
        <f>Model!BE483</f>
        <v>3487.8351158332002</v>
      </c>
    </row>
    <row r="42" spans="1:57" s="1208" customFormat="1" x14ac:dyDescent="0.2">
      <c r="A42" s="238" t="s">
        <v>1251</v>
      </c>
      <c r="B42" s="238"/>
      <c r="C42" s="238"/>
      <c r="D42" s="33">
        <f>Model!D484</f>
        <v>-477</v>
      </c>
      <c r="E42" s="33">
        <f>Model!E484</f>
        <v>-200</v>
      </c>
      <c r="F42" s="33">
        <f>Model!F484</f>
        <v>-365</v>
      </c>
      <c r="G42" s="33">
        <f>Model!G484</f>
        <v>-70</v>
      </c>
      <c r="H42" s="33">
        <f>Model!H484</f>
        <v>-178</v>
      </c>
      <c r="I42" s="33">
        <f>Model!I484</f>
        <v>-56</v>
      </c>
      <c r="J42" s="33">
        <f>Model!J484</f>
        <v>-117</v>
      </c>
      <c r="K42" s="33">
        <f>Model!K484</f>
        <v>-153</v>
      </c>
      <c r="L42" s="33">
        <f>Model!L484</f>
        <v>-111</v>
      </c>
      <c r="M42" s="33">
        <f>Model!M484</f>
        <v>-189</v>
      </c>
      <c r="N42" s="33">
        <f>Model!N484</f>
        <v>-70</v>
      </c>
      <c r="O42" s="33">
        <f>Model!O484</f>
        <v>-74</v>
      </c>
      <c r="P42" s="33">
        <f>Model!P484</f>
        <v>-78</v>
      </c>
      <c r="Q42" s="33">
        <f>Model!Q484</f>
        <v>-26</v>
      </c>
      <c r="R42" s="33">
        <f>Model!R484</f>
        <v>-20</v>
      </c>
      <c r="S42" s="33">
        <f>Model!S484</f>
        <v>-77</v>
      </c>
      <c r="T42" s="33">
        <f>Model!T484</f>
        <v>-256</v>
      </c>
      <c r="U42" s="33">
        <f>Model!U484</f>
        <v>-116</v>
      </c>
      <c r="V42" s="33">
        <f>Model!V484</f>
        <v>-111</v>
      </c>
      <c r="W42" s="33">
        <f>Model!W484</f>
        <v>-139</v>
      </c>
      <c r="X42" s="33">
        <f>Model!X484</f>
        <v>-155</v>
      </c>
      <c r="Y42" s="33">
        <f>Model!Y484</f>
        <v>-96</v>
      </c>
      <c r="Z42" s="33">
        <f>Model!Z484</f>
        <v>388</v>
      </c>
      <c r="AA42" s="33">
        <f>Model!AA484</f>
        <v>-177</v>
      </c>
      <c r="AB42" s="33">
        <f>Model!AB484</f>
        <v>-160</v>
      </c>
      <c r="AC42" s="33">
        <f>Model!AC484</f>
        <v>144</v>
      </c>
      <c r="AD42" s="33">
        <f>Model!AD484</f>
        <v>155.20000000000002</v>
      </c>
      <c r="AE42" s="33">
        <f>Model!AE484</f>
        <v>150.45000000000002</v>
      </c>
      <c r="AF42" s="33">
        <f>Model!AF484</f>
        <v>152</v>
      </c>
      <c r="AG42" s="33">
        <f>Model!AG484</f>
        <v>144</v>
      </c>
      <c r="AH42" s="33">
        <f>Model!AH484</f>
        <v>155.20000000000002</v>
      </c>
      <c r="AI42" s="33">
        <f>Model!AI484</f>
        <v>150.45000000000002</v>
      </c>
      <c r="AJ42" s="33"/>
      <c r="AK42" s="33"/>
      <c r="AL42" s="33"/>
      <c r="AM42" s="33"/>
      <c r="AN42" s="33"/>
      <c r="AO42" s="33"/>
      <c r="AP42" s="33"/>
      <c r="AQ42" s="33"/>
      <c r="AU42" s="33">
        <f>Model!AU484</f>
        <v>-1112</v>
      </c>
      <c r="AV42" s="33">
        <f>Model!AV484</f>
        <v>-504</v>
      </c>
      <c r="AW42" s="33">
        <f>Model!AW484</f>
        <v>-444</v>
      </c>
      <c r="AX42" s="33">
        <f>Model!AX484</f>
        <v>-201</v>
      </c>
      <c r="AY42" s="33">
        <f>Model!AY484</f>
        <v>-622</v>
      </c>
      <c r="AZ42" s="33">
        <f>Model!AZ484</f>
        <v>-40</v>
      </c>
      <c r="BA42" s="33">
        <f>Model!BA484</f>
        <v>289.65000000000003</v>
      </c>
      <c r="BB42" s="33">
        <f>Model!BB484</f>
        <v>601.65000000000009</v>
      </c>
      <c r="BC42" s="33">
        <f>Model!BC484</f>
        <v>601.65000000000009</v>
      </c>
      <c r="BD42" s="33">
        <f>Model!BD484</f>
        <v>601.65000000000009</v>
      </c>
      <c r="BE42" s="33">
        <f>Model!BE484</f>
        <v>601.65000000000009</v>
      </c>
    </row>
    <row r="43" spans="1:57" x14ac:dyDescent="0.2">
      <c r="A43" s="916"/>
    </row>
    <row r="44" spans="1:57" x14ac:dyDescent="0.2">
      <c r="A44" s="238" t="s">
        <v>706</v>
      </c>
      <c r="B44" s="238" t="s">
        <v>706</v>
      </c>
      <c r="C44" s="238"/>
      <c r="D44" s="894">
        <f t="shared" ref="D44:AE44" si="4">D35/D14</f>
        <v>5.3076923076923075</v>
      </c>
      <c r="E44" s="894">
        <f t="shared" si="4"/>
        <v>2.57487922705314</v>
      </c>
      <c r="F44" s="894">
        <f t="shared" si="4"/>
        <v>2.9181286549707601</v>
      </c>
      <c r="G44" s="894">
        <f t="shared" si="4"/>
        <v>2.3513513513513513</v>
      </c>
      <c r="H44" s="894">
        <f t="shared" si="4"/>
        <v>3.2071713147410357</v>
      </c>
      <c r="I44" s="894">
        <f t="shared" si="4"/>
        <v>2.9446254071661238</v>
      </c>
      <c r="J44" s="894">
        <f t="shared" si="4"/>
        <v>3.46</v>
      </c>
      <c r="K44" s="894">
        <f t="shared" si="4"/>
        <v>1.6205787781350482</v>
      </c>
      <c r="L44" s="894">
        <f t="shared" si="4"/>
        <v>2.9531772575250836</v>
      </c>
      <c r="M44" s="894">
        <f t="shared" si="4"/>
        <v>1.5288220551378446</v>
      </c>
      <c r="N44" s="894">
        <f t="shared" si="4"/>
        <v>2.5166666666666666</v>
      </c>
      <c r="O44" s="894">
        <f t="shared" si="4"/>
        <v>1.876984126984127</v>
      </c>
      <c r="P44" s="894">
        <f t="shared" si="4"/>
        <v>3.7316017316017316</v>
      </c>
      <c r="Q44" s="894">
        <f t="shared" si="4"/>
        <v>2.1756756756756759</v>
      </c>
      <c r="R44" s="894">
        <f t="shared" si="4"/>
        <v>5.7630057803468207</v>
      </c>
      <c r="S44" s="894">
        <f t="shared" si="4"/>
        <v>2.9029126213592233</v>
      </c>
      <c r="T44" s="894">
        <f t="shared" si="4"/>
        <v>5.906779661016949</v>
      </c>
      <c r="U44" s="894">
        <f t="shared" si="4"/>
        <v>4.4597701149425291</v>
      </c>
      <c r="V44" s="894">
        <f t="shared" si="4"/>
        <v>4.4794520547945202</v>
      </c>
      <c r="W44" s="894">
        <f t="shared" si="4"/>
        <v>3.6052631578947367</v>
      </c>
      <c r="X44" s="894">
        <f t="shared" si="4"/>
        <v>3.2080000000000002</v>
      </c>
      <c r="Y44" s="894">
        <f t="shared" si="4"/>
        <v>2.3462783171521036</v>
      </c>
      <c r="Z44" s="894">
        <f t="shared" si="4"/>
        <v>2.5241157556270095</v>
      </c>
      <c r="AA44" s="894">
        <f t="shared" si="4"/>
        <v>2.258964143426295</v>
      </c>
      <c r="AB44" s="894">
        <f t="shared" si="4"/>
        <v>5.1064814814814818</v>
      </c>
      <c r="AC44" s="894">
        <f t="shared" si="4"/>
        <v>3.7901564117135793</v>
      </c>
      <c r="AD44" s="894">
        <f t="shared" si="4"/>
        <v>3.9887640277447192</v>
      </c>
      <c r="AE44" s="894">
        <f t="shared" si="4"/>
        <v>3.1659959455886546</v>
      </c>
      <c r="AF44" s="894">
        <f t="shared" ref="AF44:AI44" si="5">AF35/AF14</f>
        <v>4.0431114824277943</v>
      </c>
      <c r="AG44" s="894">
        <f t="shared" si="5"/>
        <v>3.4437545491618535</v>
      </c>
      <c r="AH44" s="894">
        <f t="shared" si="5"/>
        <v>3.5531474460967405</v>
      </c>
      <c r="AI44" s="894">
        <f t="shared" si="5"/>
        <v>2.9031826987014031</v>
      </c>
      <c r="AJ44" s="894"/>
      <c r="AK44" s="894"/>
      <c r="AL44" s="894"/>
      <c r="AM44" s="894"/>
      <c r="AN44" s="894"/>
      <c r="AO44" s="894"/>
      <c r="AP44" s="894"/>
      <c r="AQ44" s="894"/>
      <c r="AU44" s="894">
        <f t="shared" ref="AU44:BD44" si="6">AU35/AU14</f>
        <v>3.2295081967213113</v>
      </c>
      <c r="AV44" s="894">
        <f t="shared" si="6"/>
        <v>2.7174929840972872</v>
      </c>
      <c r="AW44" s="894">
        <f t="shared" si="6"/>
        <v>2.1768000000000001</v>
      </c>
      <c r="AX44" s="894">
        <f t="shared" si="6"/>
        <v>3.4227373068432669</v>
      </c>
      <c r="AY44" s="894">
        <f t="shared" si="6"/>
        <v>4.4777070063694264</v>
      </c>
      <c r="AZ44" s="894">
        <f t="shared" si="6"/>
        <v>2.568242640499554</v>
      </c>
      <c r="BA44" s="894">
        <f t="shared" si="6"/>
        <v>4.017275454795409</v>
      </c>
      <c r="BB44" s="894">
        <f t="shared" si="6"/>
        <v>3.4776030206694699</v>
      </c>
      <c r="BC44" s="894">
        <f t="shared" si="6"/>
        <v>3.2712397644978739</v>
      </c>
      <c r="BD44" s="894">
        <f t="shared" si="6"/>
        <v>3.0572231543908921</v>
      </c>
      <c r="BE44" s="894">
        <f t="shared" ref="BE44" si="7">BE35/BE14</f>
        <v>3.0963427495303373</v>
      </c>
    </row>
    <row r="45" spans="1:57" x14ac:dyDescent="0.2">
      <c r="A45" s="238" t="s">
        <v>707</v>
      </c>
      <c r="B45" s="238" t="s">
        <v>707</v>
      </c>
      <c r="C45" s="238"/>
      <c r="D45" s="894">
        <f t="shared" ref="D45:AE45" si="8">D31/D15</f>
        <v>7.2397660818713447</v>
      </c>
      <c r="E45" s="894">
        <f t="shared" si="8"/>
        <v>5.1669535283993113</v>
      </c>
      <c r="F45" s="894">
        <f t="shared" si="8"/>
        <v>5.554744525547445</v>
      </c>
      <c r="G45" s="894">
        <f t="shared" si="8"/>
        <v>3.9820193637621024</v>
      </c>
      <c r="H45" s="894">
        <f t="shared" si="8"/>
        <v>6.561719833564494</v>
      </c>
      <c r="I45" s="894">
        <f t="shared" si="8"/>
        <v>5.4425465838509313</v>
      </c>
      <c r="J45" s="894">
        <f t="shared" si="8"/>
        <v>4.8953687821612348</v>
      </c>
      <c r="K45" s="894">
        <f t="shared" si="8"/>
        <v>4.2134251290877796</v>
      </c>
      <c r="L45" s="894">
        <f t="shared" si="8"/>
        <v>6.6763202725724025</v>
      </c>
      <c r="M45" s="894">
        <f t="shared" si="8"/>
        <v>4.1283068783068781</v>
      </c>
      <c r="N45" s="894">
        <f t="shared" si="8"/>
        <v>4.7800312012480504</v>
      </c>
      <c r="O45" s="894">
        <f t="shared" si="8"/>
        <v>3.7096774193548385</v>
      </c>
      <c r="P45" s="894">
        <f t="shared" si="8"/>
        <v>5.1706231454005938</v>
      </c>
      <c r="Q45" s="894">
        <f t="shared" si="8"/>
        <v>4.1251700680272112</v>
      </c>
      <c r="R45" s="894">
        <f t="shared" si="8"/>
        <v>4.8352272727272725</v>
      </c>
      <c r="S45" s="894">
        <f t="shared" si="8"/>
        <v>3.5539452495974233</v>
      </c>
      <c r="T45" s="894">
        <f t="shared" si="8"/>
        <v>5.7784090909090908</v>
      </c>
      <c r="U45" s="894">
        <f t="shared" si="8"/>
        <v>4.2739726027397262</v>
      </c>
      <c r="V45" s="894">
        <f t="shared" si="8"/>
        <v>4.8896848137535818</v>
      </c>
      <c r="W45" s="894">
        <f t="shared" si="8"/>
        <v>4.5844961240310074</v>
      </c>
      <c r="X45" s="894">
        <f t="shared" si="8"/>
        <v>4.820445609436435</v>
      </c>
      <c r="Y45" s="894">
        <f t="shared" si="8"/>
        <v>3.605726872246696</v>
      </c>
      <c r="Z45" s="894">
        <f t="shared" si="8"/>
        <v>4.0274348422496571</v>
      </c>
      <c r="AA45" s="894">
        <f t="shared" si="8"/>
        <v>3.3925619834710745</v>
      </c>
      <c r="AB45" s="894">
        <f t="shared" si="8"/>
        <v>4.8898426323319031</v>
      </c>
      <c r="AC45" s="894">
        <f t="shared" si="8"/>
        <v>4.3234510441448348</v>
      </c>
      <c r="AD45" s="894">
        <f t="shared" si="8"/>
        <v>4.0811665323631914</v>
      </c>
      <c r="AE45" s="894">
        <f t="shared" si="8"/>
        <v>3.6038696290013412</v>
      </c>
      <c r="AF45" s="894">
        <f t="shared" ref="AF45:AI45" si="9">AF31/AF15</f>
        <v>4.8022772558411031</v>
      </c>
      <c r="AG45" s="894">
        <f t="shared" si="9"/>
        <v>4.6915778312057741</v>
      </c>
      <c r="AH45" s="894">
        <f t="shared" si="9"/>
        <v>4.4073082593601569</v>
      </c>
      <c r="AI45" s="894">
        <f t="shared" si="9"/>
        <v>3.6426357507966562</v>
      </c>
      <c r="AJ45" s="894"/>
      <c r="AK45" s="894"/>
      <c r="AL45" s="894"/>
      <c r="AM45" s="894"/>
      <c r="AN45" s="894"/>
      <c r="AO45" s="894"/>
      <c r="AP45" s="894"/>
      <c r="AQ45" s="894"/>
      <c r="AU45" s="894">
        <f t="shared" ref="AU45:BD45" si="10">AU31/AU15</f>
        <v>5.4762439206883649</v>
      </c>
      <c r="AV45" s="894">
        <f t="shared" si="10"/>
        <v>5.3531039936733888</v>
      </c>
      <c r="AW45" s="894">
        <f t="shared" si="10"/>
        <v>4.7891424075531077</v>
      </c>
      <c r="AX45" s="894">
        <f t="shared" si="10"/>
        <v>4.4085222830336201</v>
      </c>
      <c r="AY45" s="894">
        <f t="shared" si="10"/>
        <v>4.8066566940912487</v>
      </c>
      <c r="AZ45" s="894">
        <f t="shared" si="10"/>
        <v>3.9510556621880997</v>
      </c>
      <c r="BA45" s="894">
        <f t="shared" si="10"/>
        <v>4.2167643892364328</v>
      </c>
      <c r="BB45" s="894">
        <f t="shared" si="10"/>
        <v>4.3875246120394502</v>
      </c>
      <c r="BC45" s="894">
        <f t="shared" si="10"/>
        <v>4.5563406059234168</v>
      </c>
      <c r="BD45" s="894">
        <f t="shared" si="10"/>
        <v>4.6877735080173615</v>
      </c>
      <c r="BE45" s="894">
        <f t="shared" ref="BE45" si="11">BE31/BE15</f>
        <v>4.822997743825554</v>
      </c>
    </row>
    <row r="46" spans="1:57" s="916" customFormat="1" x14ac:dyDescent="0.2">
      <c r="A46" s="238"/>
      <c r="B46" s="238"/>
      <c r="C46" s="238"/>
      <c r="AF46" s="1707"/>
      <c r="AG46" s="1707"/>
      <c r="AH46" s="1707"/>
      <c r="AI46" s="1707"/>
      <c r="AJ46" s="1740"/>
      <c r="AK46" s="1740"/>
      <c r="AL46" s="1740"/>
      <c r="AM46" s="1740"/>
      <c r="AN46" s="1740"/>
      <c r="AO46" s="1740"/>
      <c r="AP46" s="1740"/>
      <c r="AQ46" s="1740"/>
      <c r="AS46" s="1160"/>
      <c r="AT46" s="1160"/>
      <c r="AU46" s="1198"/>
      <c r="AV46" s="1198"/>
      <c r="AW46" s="1198"/>
      <c r="AX46" s="1198"/>
      <c r="AY46" s="1198"/>
      <c r="AZ46" s="1198"/>
      <c r="BA46" s="1198"/>
      <c r="BB46" s="1198"/>
      <c r="BC46" s="1198"/>
      <c r="BD46" s="1198"/>
      <c r="BE46" s="1702"/>
    </row>
    <row r="47" spans="1:57" x14ac:dyDescent="0.2">
      <c r="A47" s="238" t="s">
        <v>807</v>
      </c>
      <c r="B47" s="238"/>
      <c r="C47" s="238"/>
    </row>
    <row r="48" spans="1:57" x14ac:dyDescent="0.2">
      <c r="A48" s="238" t="s">
        <v>808</v>
      </c>
      <c r="B48" s="238"/>
      <c r="C48" s="238"/>
      <c r="D48" s="50">
        <f t="shared" ref="D48:AE48" si="12">SUM(D13:D15,D31,D35)</f>
        <v>6810</v>
      </c>
      <c r="E48" s="50">
        <f t="shared" si="12"/>
        <v>4519</v>
      </c>
      <c r="F48" s="50">
        <f t="shared" si="12"/>
        <v>5353</v>
      </c>
      <c r="G48" s="50">
        <f t="shared" si="12"/>
        <v>4423</v>
      </c>
      <c r="H48" s="50">
        <f t="shared" si="12"/>
        <v>6706</v>
      </c>
      <c r="I48" s="50">
        <f t="shared" si="12"/>
        <v>5567</v>
      </c>
      <c r="J48" s="50">
        <f t="shared" si="12"/>
        <v>4491</v>
      </c>
      <c r="K48" s="50">
        <f t="shared" si="12"/>
        <v>4100</v>
      </c>
      <c r="L48" s="50">
        <f t="shared" si="12"/>
        <v>5862</v>
      </c>
      <c r="M48" s="50">
        <f t="shared" si="12"/>
        <v>5076</v>
      </c>
      <c r="N48" s="50">
        <f t="shared" si="12"/>
        <v>5074</v>
      </c>
      <c r="O48" s="50">
        <f t="shared" si="12"/>
        <v>3613</v>
      </c>
      <c r="P48" s="50">
        <f t="shared" si="12"/>
        <v>5547</v>
      </c>
      <c r="Q48" s="50">
        <f t="shared" si="12"/>
        <v>4964</v>
      </c>
      <c r="R48" s="50">
        <f t="shared" si="12"/>
        <v>4490</v>
      </c>
      <c r="S48" s="50">
        <f t="shared" si="12"/>
        <v>3934</v>
      </c>
      <c r="T48" s="50">
        <f t="shared" si="12"/>
        <v>4621</v>
      </c>
      <c r="U48" s="50">
        <f t="shared" si="12"/>
        <v>5423</v>
      </c>
      <c r="V48" s="50">
        <f t="shared" si="12"/>
        <v>5150</v>
      </c>
      <c r="W48" s="50">
        <f t="shared" si="12"/>
        <v>4773</v>
      </c>
      <c r="X48" s="50">
        <f t="shared" si="12"/>
        <v>5742</v>
      </c>
      <c r="Y48" s="50">
        <f t="shared" si="12"/>
        <v>5534</v>
      </c>
      <c r="Z48" s="50">
        <f t="shared" si="12"/>
        <v>5001</v>
      </c>
      <c r="AA48" s="50">
        <f t="shared" si="12"/>
        <v>4323</v>
      </c>
      <c r="AB48" s="50">
        <f t="shared" si="12"/>
        <v>5651</v>
      </c>
      <c r="AC48" s="50">
        <f t="shared" si="12"/>
        <v>5612.6622558277277</v>
      </c>
      <c r="AD48" s="50">
        <f t="shared" si="12"/>
        <v>5275.226989230141</v>
      </c>
      <c r="AE48" s="50">
        <f t="shared" si="12"/>
        <v>4630.4047924525139</v>
      </c>
      <c r="AF48" s="50">
        <f t="shared" ref="AF48:AI48" si="13">SUM(AF13:AF15,AF31,AF35)</f>
        <v>6143.736793813152</v>
      </c>
      <c r="AG48" s="50">
        <f t="shared" si="13"/>
        <v>6108.1307617534831</v>
      </c>
      <c r="AH48" s="50">
        <f t="shared" si="13"/>
        <v>5709.5936583411867</v>
      </c>
      <c r="AI48" s="50">
        <f t="shared" si="13"/>
        <v>5014.9309986372482</v>
      </c>
      <c r="AJ48" s="50"/>
      <c r="AK48" s="50"/>
      <c r="AL48" s="50"/>
      <c r="AM48" s="50"/>
      <c r="AN48" s="50"/>
      <c r="AO48" s="50"/>
      <c r="AP48" s="50"/>
      <c r="AQ48" s="50"/>
      <c r="AU48" s="50">
        <f t="shared" ref="AU48:BD48" si="14">SUM(AU13:AU15,AU31,AU35)</f>
        <v>21105</v>
      </c>
      <c r="AV48" s="50">
        <f t="shared" si="14"/>
        <v>20864</v>
      </c>
      <c r="AW48" s="50">
        <f t="shared" si="14"/>
        <v>19625</v>
      </c>
      <c r="AX48" s="50">
        <f t="shared" si="14"/>
        <v>18935</v>
      </c>
      <c r="AY48" s="50">
        <f t="shared" si="14"/>
        <v>19967</v>
      </c>
      <c r="AZ48" s="50">
        <f t="shared" si="14"/>
        <v>20600</v>
      </c>
      <c r="BA48" s="50">
        <f t="shared" si="14"/>
        <v>21169.294037510383</v>
      </c>
      <c r="BB48" s="50">
        <f t="shared" si="14"/>
        <v>22976.39221254507</v>
      </c>
      <c r="BC48" s="50">
        <f t="shared" si="14"/>
        <v>24715.683354285888</v>
      </c>
      <c r="BD48" s="50">
        <f t="shared" si="14"/>
        <v>26397.519466358441</v>
      </c>
      <c r="BE48" s="50">
        <f t="shared" ref="BE48" si="15">SUM(BE13:BE15,BE31,BE35)</f>
        <v>28093.344628406601</v>
      </c>
    </row>
    <row r="51" spans="1:57" s="916" customFormat="1" x14ac:dyDescent="0.2">
      <c r="A51" s="13" t="s">
        <v>1281</v>
      </c>
      <c r="B51" s="13"/>
      <c r="C51" s="13"/>
      <c r="D51" s="13"/>
      <c r="E51" s="13"/>
      <c r="F51" s="13"/>
      <c r="G51" s="13"/>
      <c r="H51" s="13"/>
      <c r="I51" s="13"/>
      <c r="J51" s="13"/>
      <c r="K51" s="13"/>
      <c r="L51" s="13"/>
      <c r="M51" s="13"/>
      <c r="N51" s="13"/>
      <c r="O51" s="13"/>
      <c r="P51" s="13"/>
      <c r="Q51" s="13"/>
      <c r="R51" s="13"/>
      <c r="S51" s="13"/>
      <c r="T51" s="13"/>
      <c r="U51" s="13"/>
      <c r="V51" s="13"/>
      <c r="W51" s="13"/>
      <c r="X51" s="13"/>
      <c r="Y51" s="13"/>
      <c r="Z51" s="13"/>
      <c r="AA51" s="13"/>
      <c r="AB51" s="13"/>
      <c r="AC51" s="13"/>
      <c r="AD51" s="13"/>
      <c r="AE51" s="13"/>
      <c r="AF51" s="13"/>
      <c r="AG51" s="13"/>
      <c r="AH51" s="13"/>
      <c r="AI51" s="13"/>
      <c r="AJ51" s="13"/>
      <c r="AK51" s="13"/>
      <c r="AL51" s="13"/>
      <c r="AM51" s="13"/>
      <c r="AN51" s="13"/>
      <c r="AO51" s="13"/>
      <c r="AP51" s="13"/>
      <c r="AQ51" s="13"/>
      <c r="AR51" s="238"/>
      <c r="AS51" s="238"/>
      <c r="AT51" s="238"/>
      <c r="AU51" s="13"/>
      <c r="AV51" s="13"/>
      <c r="AW51" s="13"/>
      <c r="AX51" s="13"/>
      <c r="AY51" s="13"/>
      <c r="AZ51" s="13"/>
      <c r="BA51" s="13"/>
      <c r="BB51" s="13"/>
      <c r="BC51" s="13"/>
      <c r="BD51" s="13"/>
      <c r="BE51" s="13"/>
    </row>
    <row r="53" spans="1:57" s="394" customFormat="1" x14ac:dyDescent="0.2">
      <c r="A53" s="175" t="s">
        <v>853</v>
      </c>
      <c r="D53" s="397"/>
      <c r="E53" s="397"/>
      <c r="F53" s="397"/>
      <c r="G53" s="397"/>
      <c r="H53" s="397"/>
      <c r="I53" s="397"/>
      <c r="J53" s="397"/>
      <c r="K53" s="397"/>
      <c r="L53" s="397"/>
      <c r="M53" s="397"/>
      <c r="N53" s="397"/>
      <c r="O53" s="397"/>
      <c r="P53" s="397"/>
      <c r="Q53" s="397"/>
      <c r="R53" s="397"/>
      <c r="S53" s="397"/>
      <c r="T53" s="397"/>
      <c r="U53" s="397"/>
      <c r="V53" s="397"/>
      <c r="W53" s="397"/>
      <c r="X53" s="397"/>
      <c r="Y53" s="397"/>
      <c r="Z53" s="397"/>
      <c r="AA53" s="397"/>
      <c r="AB53" s="397"/>
      <c r="AC53" s="397"/>
      <c r="AD53" s="397"/>
      <c r="AE53" s="397"/>
      <c r="AF53" s="397"/>
      <c r="AG53" s="397"/>
      <c r="AH53" s="397"/>
      <c r="AI53" s="397"/>
      <c r="AJ53" s="397"/>
      <c r="AK53" s="397"/>
      <c r="AL53" s="397"/>
      <c r="AM53" s="397"/>
      <c r="AN53" s="397"/>
      <c r="AO53" s="397"/>
      <c r="AP53" s="397"/>
      <c r="AQ53" s="397"/>
      <c r="AR53" s="397"/>
      <c r="AS53" s="397"/>
      <c r="AT53" s="397"/>
      <c r="AU53" s="397"/>
      <c r="AV53" s="397"/>
      <c r="AW53" s="397"/>
      <c r="AX53" s="397"/>
      <c r="AY53" s="397"/>
      <c r="AZ53" s="397"/>
      <c r="BA53" s="397"/>
      <c r="BB53" s="397"/>
      <c r="BC53" s="397"/>
      <c r="BD53" s="397"/>
      <c r="BE53" s="397"/>
    </row>
    <row r="54" spans="1:57" x14ac:dyDescent="0.2">
      <c r="A54" s="916" t="s">
        <v>854</v>
      </c>
      <c r="D54" s="33">
        <f>Model!D835</f>
        <v>413551</v>
      </c>
      <c r="E54" s="33">
        <f>Model!E835</f>
        <v>406510</v>
      </c>
      <c r="F54" s="33">
        <f>Model!F835</f>
        <v>404968</v>
      </c>
      <c r="G54" s="33">
        <f>Model!G835</f>
        <v>405834</v>
      </c>
      <c r="H54" s="33">
        <f>Model!H835</f>
        <v>392145</v>
      </c>
      <c r="I54" s="33">
        <f>Model!I835</f>
        <v>378996</v>
      </c>
      <c r="J54" s="33">
        <f>Model!J835</f>
        <v>384389</v>
      </c>
      <c r="K54" s="33">
        <f>Model!K835</f>
        <v>390293</v>
      </c>
      <c r="L54" s="33">
        <f>Model!L835</f>
        <v>380590</v>
      </c>
      <c r="M54" s="33">
        <f>Model!M835</f>
        <v>380113</v>
      </c>
      <c r="N54" s="33">
        <f>Model!N835</f>
        <v>372140</v>
      </c>
      <c r="O54" s="33">
        <f>Model!O835</f>
        <v>365643</v>
      </c>
      <c r="P54" s="33">
        <f>Model!P835</f>
        <v>337431</v>
      </c>
      <c r="Q54" s="33">
        <f>Model!Q835</f>
        <v>337878</v>
      </c>
      <c r="R54" s="33">
        <f>Model!R835</f>
        <v>328922</v>
      </c>
      <c r="S54" s="33">
        <f>Model!S835</f>
        <v>325454</v>
      </c>
      <c r="T54" s="33">
        <f>Model!T835</f>
        <v>317555</v>
      </c>
      <c r="U54" s="33">
        <f>Model!U835</f>
        <v>326082</v>
      </c>
      <c r="V54" s="33">
        <f>Model!V835</f>
        <v>328372</v>
      </c>
      <c r="W54" s="33">
        <f>Model!W835</f>
        <v>325063</v>
      </c>
      <c r="X54" s="33">
        <f>Model!X835</f>
        <v>320556</v>
      </c>
      <c r="Y54" s="33">
        <f>Model!Y835</f>
        <v>325261</v>
      </c>
      <c r="Z54" s="33">
        <f>Model!Z835</f>
        <v>325576</v>
      </c>
      <c r="AA54" s="33">
        <f>Model!AA835</f>
        <v>333656</v>
      </c>
      <c r="AB54" s="33">
        <f>Model!AB835</f>
        <v>325084</v>
      </c>
      <c r="AC54" s="33">
        <f>Model!AC835</f>
        <v>325647.00000000006</v>
      </c>
      <c r="AD54" s="33">
        <f>Model!AD835</f>
        <v>328414.61</v>
      </c>
      <c r="AE54" s="33">
        <f>Model!AE835</f>
        <v>333684.26944999996</v>
      </c>
      <c r="AF54" s="33">
        <f>Model!AF835</f>
        <v>332214.30546799989</v>
      </c>
      <c r="AG54" s="33">
        <f>Model!AG835</f>
        <v>333298.63559294003</v>
      </c>
      <c r="AH54" s="33">
        <f>Model!AH835</f>
        <v>336878.77123984467</v>
      </c>
      <c r="AI54" s="33">
        <f>Model!AI835</f>
        <v>343114.32993347722</v>
      </c>
      <c r="AJ54" s="33"/>
      <c r="AK54" s="33"/>
      <c r="AL54" s="33"/>
      <c r="AM54" s="33"/>
      <c r="AN54" s="33"/>
      <c r="AO54" s="33"/>
      <c r="AP54" s="33"/>
      <c r="AQ54" s="33"/>
      <c r="AU54" s="33">
        <f>Model!AU835</f>
        <v>405834</v>
      </c>
      <c r="AV54" s="33">
        <f>Model!AV835</f>
        <v>390293</v>
      </c>
      <c r="AW54" s="33">
        <f>Model!AW835</f>
        <v>365643</v>
      </c>
      <c r="AX54" s="33">
        <f>Model!AX835</f>
        <v>325454</v>
      </c>
      <c r="AY54" s="33">
        <f>Model!AY835</f>
        <v>325063</v>
      </c>
      <c r="AZ54" s="33">
        <f>Model!AZ835</f>
        <v>333656</v>
      </c>
      <c r="BA54" s="33">
        <f>Model!BA835</f>
        <v>333684.26944999996</v>
      </c>
      <c r="BB54" s="33">
        <f>Model!BB835</f>
        <v>343114.32993347722</v>
      </c>
      <c r="BC54" s="33">
        <f>Model!BC835</f>
        <v>354867.29707317037</v>
      </c>
      <c r="BD54" s="33">
        <f>Model!BD835</f>
        <v>368073.91818236711</v>
      </c>
      <c r="BE54" s="33">
        <f>Model!BE835</f>
        <v>382474.4464434546</v>
      </c>
    </row>
    <row r="55" spans="1:57" x14ac:dyDescent="0.2">
      <c r="A55" s="916" t="s">
        <v>1129</v>
      </c>
      <c r="D55" s="33">
        <f>Model!D836</f>
        <v>234471</v>
      </c>
      <c r="E55" s="33">
        <f>Model!E836</f>
        <v>248458</v>
      </c>
      <c r="F55" s="33">
        <f>Model!F836</f>
        <v>253455</v>
      </c>
      <c r="G55" s="33">
        <f>Model!G836</f>
        <v>249630</v>
      </c>
      <c r="H55" s="33">
        <f>Model!H836</f>
        <v>254219</v>
      </c>
      <c r="I55" s="33">
        <f>Model!I836</f>
        <v>264745</v>
      </c>
      <c r="J55" s="33">
        <f>Model!J836</f>
        <v>273162</v>
      </c>
      <c r="K55" s="33">
        <f>Model!K836</f>
        <v>275179</v>
      </c>
      <c r="L55" s="33">
        <f>Model!L836</f>
        <v>283631</v>
      </c>
      <c r="M55" s="33">
        <f>Model!M836</f>
        <v>287391</v>
      </c>
      <c r="N55" s="33">
        <f>Model!N836</f>
        <v>281686</v>
      </c>
      <c r="O55" s="33">
        <f>Model!O836</f>
        <v>278992</v>
      </c>
      <c r="P55" s="33">
        <f>Model!P836</f>
        <v>283623</v>
      </c>
      <c r="Q55" s="33">
        <f>Model!Q836</f>
        <v>294240</v>
      </c>
      <c r="R55" s="33">
        <f>Model!R836</f>
        <v>293522</v>
      </c>
      <c r="S55" s="33">
        <f>Model!S836</f>
        <v>292163</v>
      </c>
      <c r="T55" s="33">
        <f>Model!T836</f>
        <v>301269</v>
      </c>
      <c r="U55" s="33">
        <f>Model!U836</f>
        <v>307433</v>
      </c>
      <c r="V55" s="33">
        <f>Model!V836</f>
        <v>310063</v>
      </c>
      <c r="W55" s="33">
        <f>Model!W836</f>
        <v>299306</v>
      </c>
      <c r="X55" s="33">
        <f>Model!X836</f>
        <v>308039</v>
      </c>
      <c r="Y55" s="33">
        <f>Model!Y836</f>
        <v>319434</v>
      </c>
      <c r="Z55" s="33">
        <f>Model!Z836</f>
        <v>327607</v>
      </c>
      <c r="AA55" s="33">
        <f>Model!AA836</f>
        <v>333378</v>
      </c>
      <c r="AB55" s="33">
        <f>Model!AB836</f>
        <v>347854</v>
      </c>
      <c r="AC55" s="33">
        <f>Model!AC836</f>
        <v>354858</v>
      </c>
      <c r="AD55" s="33">
        <f>Model!AD836</f>
        <v>360180.87</v>
      </c>
      <c r="AE55" s="33">
        <f>Model!AE836</f>
        <v>365583.5830499999</v>
      </c>
      <c r="AF55" s="33">
        <f>Model!AF836</f>
        <v>372895.2547109999</v>
      </c>
      <c r="AG55" s="33">
        <f>Model!AG836</f>
        <v>380353.15980521991</v>
      </c>
      <c r="AH55" s="33">
        <f>Model!AH836</f>
        <v>389861.9888003504</v>
      </c>
      <c r="AI55" s="33">
        <f>Model!AI836</f>
        <v>399608.53852035908</v>
      </c>
      <c r="AJ55" s="33"/>
      <c r="AK55" s="33"/>
      <c r="AL55" s="33"/>
      <c r="AM55" s="33"/>
      <c r="AN55" s="33"/>
      <c r="AO55" s="33"/>
      <c r="AP55" s="33"/>
      <c r="AQ55" s="33"/>
      <c r="AU55" s="33">
        <f>Model!AU836</f>
        <v>249630</v>
      </c>
      <c r="AV55" s="33">
        <f>Model!AV836</f>
        <v>275179</v>
      </c>
      <c r="AW55" s="33">
        <f>Model!AW836</f>
        <v>278992</v>
      </c>
      <c r="AX55" s="33">
        <f>Model!AX836</f>
        <v>292163</v>
      </c>
      <c r="AY55" s="33">
        <f>Model!AY836</f>
        <v>299306</v>
      </c>
      <c r="AZ55" s="33">
        <f>Model!AZ836</f>
        <v>333378</v>
      </c>
      <c r="BA55" s="33">
        <f>Model!BA836</f>
        <v>365583.5830499999</v>
      </c>
      <c r="BB55" s="33">
        <f>Model!BB836</f>
        <v>399608.53852035908</v>
      </c>
      <c r="BC55" s="33">
        <f>Model!BC836</f>
        <v>427581.13621678425</v>
      </c>
      <c r="BD55" s="33">
        <f>Model!BD836</f>
        <v>457511.81575195922</v>
      </c>
      <c r="BE55" s="33">
        <f>Model!BE836</f>
        <v>484962.52469707676</v>
      </c>
    </row>
    <row r="56" spans="1:57" x14ac:dyDescent="0.2">
      <c r="A56" s="916" t="s">
        <v>855</v>
      </c>
      <c r="D56" s="33">
        <f>Model!D837</f>
        <v>648022</v>
      </c>
      <c r="E56" s="33">
        <f>Model!E837</f>
        <v>654968</v>
      </c>
      <c r="F56" s="33">
        <f>Model!F837</f>
        <v>658423</v>
      </c>
      <c r="G56" s="33">
        <f>Model!G837</f>
        <v>655464</v>
      </c>
      <c r="H56" s="33">
        <f>Model!H837</f>
        <v>646364</v>
      </c>
      <c r="I56" s="33">
        <f>Model!I837</f>
        <v>643741</v>
      </c>
      <c r="J56" s="33">
        <f>Model!J837</f>
        <v>657551</v>
      </c>
      <c r="K56" s="33">
        <f>Model!K837</f>
        <v>665472</v>
      </c>
      <c r="L56" s="33">
        <f>Model!L837</f>
        <v>664221</v>
      </c>
      <c r="M56" s="33">
        <f>Model!M837</f>
        <v>667504</v>
      </c>
      <c r="N56" s="33">
        <f>Model!N837</f>
        <v>653826</v>
      </c>
      <c r="O56" s="33">
        <f>Model!O837</f>
        <v>644635</v>
      </c>
      <c r="P56" s="33">
        <f>Model!P837</f>
        <v>621054</v>
      </c>
      <c r="Q56" s="33">
        <f>Model!Q837</f>
        <v>632118</v>
      </c>
      <c r="R56" s="33">
        <f>Model!R837</f>
        <v>622444</v>
      </c>
      <c r="S56" s="33">
        <f>Model!S837</f>
        <v>617617</v>
      </c>
      <c r="T56" s="33">
        <f>Model!T837</f>
        <v>618824</v>
      </c>
      <c r="U56" s="33">
        <f>Model!U837</f>
        <v>633515</v>
      </c>
      <c r="V56" s="33">
        <f>Model!V837</f>
        <v>638435</v>
      </c>
      <c r="W56" s="33">
        <f>Model!W837</f>
        <v>624369</v>
      </c>
      <c r="X56" s="33">
        <f>Model!X837</f>
        <v>628595</v>
      </c>
      <c r="Y56" s="33">
        <f>Model!Y837</f>
        <v>644695</v>
      </c>
      <c r="Z56" s="33">
        <f>Model!Z837</f>
        <v>653183</v>
      </c>
      <c r="AA56" s="33">
        <f>Model!AA837</f>
        <v>667034</v>
      </c>
      <c r="AB56" s="33">
        <f>Model!AB837</f>
        <v>672938</v>
      </c>
      <c r="AC56" s="33">
        <f>Model!AC837</f>
        <v>680505</v>
      </c>
      <c r="AD56" s="33">
        <f>Model!AD837</f>
        <v>688595.48</v>
      </c>
      <c r="AE56" s="33">
        <f>Model!AE837</f>
        <v>699267.8524999998</v>
      </c>
      <c r="AF56" s="33">
        <f>Model!AF837</f>
        <v>705109.56017899979</v>
      </c>
      <c r="AG56" s="33">
        <f>Model!AG837</f>
        <v>713651.79539815988</v>
      </c>
      <c r="AH56" s="33">
        <f>Model!AH837</f>
        <v>726740.76004019508</v>
      </c>
      <c r="AI56" s="33">
        <f>Model!AI837</f>
        <v>742722.8684538363</v>
      </c>
      <c r="AJ56" s="33"/>
      <c r="AK56" s="33"/>
      <c r="AL56" s="33"/>
      <c r="AM56" s="33"/>
      <c r="AN56" s="33"/>
      <c r="AO56" s="33"/>
      <c r="AP56" s="33"/>
      <c r="AQ56" s="33"/>
      <c r="AU56" s="33">
        <f>Model!AU837</f>
        <v>655464</v>
      </c>
      <c r="AV56" s="33">
        <f>Model!AV837</f>
        <v>665472</v>
      </c>
      <c r="AW56" s="33">
        <f>Model!AW837</f>
        <v>644635</v>
      </c>
      <c r="AX56" s="33">
        <f>Model!AX837</f>
        <v>617617</v>
      </c>
      <c r="AY56" s="33">
        <f>Model!AY837</f>
        <v>624369</v>
      </c>
      <c r="AZ56" s="33">
        <f>Model!AZ837</f>
        <v>667034</v>
      </c>
      <c r="BA56" s="33">
        <f>Model!BA837</f>
        <v>699267.8524999998</v>
      </c>
      <c r="BB56" s="33">
        <f>Model!BB837</f>
        <v>742722.8684538363</v>
      </c>
      <c r="BC56" s="33">
        <f>Model!BC837</f>
        <v>782448.43328995467</v>
      </c>
      <c r="BD56" s="33">
        <f>Model!BD837</f>
        <v>825585.73393432633</v>
      </c>
      <c r="BE56" s="33">
        <f>Model!BE837</f>
        <v>867436.97114053136</v>
      </c>
    </row>
    <row r="58" spans="1:57" x14ac:dyDescent="0.2">
      <c r="A58" s="9" t="s">
        <v>570</v>
      </c>
      <c r="D58" s="33">
        <f>Model!D887</f>
        <v>647011</v>
      </c>
      <c r="E58" s="33">
        <f>Model!E887</f>
        <v>646236</v>
      </c>
      <c r="F58" s="33">
        <f>Model!F887</f>
        <v>653839</v>
      </c>
      <c r="G58" s="33">
        <f>Model!G887</f>
        <v>649571</v>
      </c>
      <c r="H58" s="33">
        <f>Model!H887</f>
        <v>643063</v>
      </c>
      <c r="I58" s="33">
        <f>Model!I887</f>
        <v>642370</v>
      </c>
      <c r="J58" s="33">
        <f>Model!J887</f>
        <v>645454</v>
      </c>
      <c r="K58" s="33">
        <f>Model!K887</f>
        <v>659346</v>
      </c>
      <c r="L58" s="33">
        <f>Model!L887</f>
        <v>658706</v>
      </c>
      <c r="M58" s="33">
        <f>Model!M887</f>
        <v>665071</v>
      </c>
      <c r="N58" s="33">
        <f>Model!N887</f>
        <v>659102</v>
      </c>
      <c r="O58" s="33">
        <f>Model!O887</f>
        <v>650819</v>
      </c>
      <c r="P58" s="33">
        <f>Model!P887</f>
        <v>634865</v>
      </c>
      <c r="Q58" s="33">
        <f>Model!Q887</f>
        <v>627026</v>
      </c>
      <c r="R58" s="33">
        <f>Model!R887</f>
        <v>623205</v>
      </c>
      <c r="S58" s="33">
        <f>Model!S887</f>
        <v>624947</v>
      </c>
      <c r="T58" s="33">
        <f>Model!T887</f>
        <v>612240</v>
      </c>
      <c r="U58" s="33">
        <f>Model!U887</f>
        <v>620648</v>
      </c>
      <c r="V58" s="33">
        <f>Model!V887</f>
        <v>635771</v>
      </c>
      <c r="W58" s="33">
        <f>Model!W887</f>
        <v>626028</v>
      </c>
      <c r="X58" s="33">
        <f>Model!X887</f>
        <v>623338</v>
      </c>
      <c r="Y58" s="33">
        <f>Model!Y887</f>
        <v>634328</v>
      </c>
      <c r="Z58" s="33">
        <f>Model!Z887</f>
        <v>646321</v>
      </c>
      <c r="AA58" s="33">
        <f>Model!AA887</f>
        <v>653951</v>
      </c>
      <c r="AB58" s="33">
        <f>Model!AB887</f>
        <v>667925</v>
      </c>
      <c r="AC58" s="33">
        <f>Model!AC887</f>
        <v>674970.50000000012</v>
      </c>
      <c r="AD58" s="33">
        <f>Model!AD887</f>
        <v>682887.17249999987</v>
      </c>
      <c r="AE58" s="33">
        <f>Model!AE887</f>
        <v>693407.81544999988</v>
      </c>
      <c r="AF58" s="33">
        <f>Model!AF887</f>
        <v>698991.58347474982</v>
      </c>
      <c r="AG58" s="33">
        <f>Model!AG887</f>
        <v>707285.56645450299</v>
      </c>
      <c r="AH58" s="33">
        <f>Model!AH887</f>
        <v>720125.12567191094</v>
      </c>
      <c r="AI58" s="33">
        <f>Model!AI887</f>
        <v>735881.73509745777</v>
      </c>
      <c r="AJ58" s="33"/>
      <c r="AK58" s="33"/>
      <c r="AL58" s="33"/>
      <c r="AM58" s="33"/>
      <c r="AN58" s="33"/>
      <c r="AO58" s="33"/>
      <c r="AP58" s="33"/>
      <c r="AQ58" s="33"/>
      <c r="AU58" s="33">
        <f>Model!AU887</f>
        <v>649164.25</v>
      </c>
      <c r="AV58" s="33">
        <f>Model!AV887</f>
        <v>647558.25</v>
      </c>
      <c r="AW58" s="33">
        <f>Model!AW887</f>
        <v>658424.5</v>
      </c>
      <c r="AX58" s="33">
        <f>Model!AX887</f>
        <v>627510.75</v>
      </c>
      <c r="AY58" s="33">
        <f>Model!AY887</f>
        <v>623671.75</v>
      </c>
      <c r="AZ58" s="33">
        <f>Model!AZ887</f>
        <v>639484.5</v>
      </c>
      <c r="BA58" s="33">
        <f>Model!BA887</f>
        <v>679797.6219875</v>
      </c>
      <c r="BB58" s="33">
        <f>Model!BB887</f>
        <v>715571.00267465541</v>
      </c>
      <c r="BC58" s="33">
        <f>Model!BC887</f>
        <v>752884.16436881316</v>
      </c>
      <c r="BD58" s="33">
        <f>Model!BD887</f>
        <v>793596.32668285444</v>
      </c>
      <c r="BE58" s="33">
        <f>Model!BE887</f>
        <v>833242.96683645051</v>
      </c>
    </row>
    <row r="59" spans="1:57" x14ac:dyDescent="0.2">
      <c r="A59" s="238"/>
      <c r="B59" s="238"/>
      <c r="C59" s="238"/>
    </row>
    <row r="60" spans="1:57" x14ac:dyDescent="0.2">
      <c r="A60" s="916" t="s">
        <v>856</v>
      </c>
      <c r="B60" s="238"/>
      <c r="C60" s="238"/>
      <c r="D60" s="188">
        <f>Model!D202</f>
        <v>14.3</v>
      </c>
      <c r="E60" s="188">
        <f>Model!E202</f>
        <v>12.9</v>
      </c>
      <c r="F60" s="188">
        <f>Model!F202</f>
        <v>14.5</v>
      </c>
      <c r="G60" s="188">
        <f>Model!G202</f>
        <v>16.8</v>
      </c>
      <c r="H60" s="188">
        <f>Model!H202</f>
        <v>18</v>
      </c>
      <c r="I60" s="188">
        <f>Model!I202</f>
        <v>17.2</v>
      </c>
      <c r="J60" s="188">
        <f>Model!J202</f>
        <v>14.5</v>
      </c>
      <c r="K60" s="188">
        <f>Model!K202</f>
        <v>8.3000000000000007</v>
      </c>
      <c r="L60" s="188">
        <f>Model!L202</f>
        <v>5.2</v>
      </c>
      <c r="M60" s="188">
        <f>Model!M202</f>
        <v>6.2</v>
      </c>
      <c r="N60" s="188">
        <f>Model!N202</f>
        <v>7.1</v>
      </c>
      <c r="O60" s="188">
        <f>Model!O202</f>
        <v>6.7</v>
      </c>
      <c r="P60" s="188">
        <f>Model!P202</f>
        <v>7</v>
      </c>
      <c r="Q60" s="188">
        <f>Model!Q202</f>
        <v>8.8000000000000007</v>
      </c>
      <c r="R60" s="188">
        <f>Model!R202</f>
        <v>7.5</v>
      </c>
      <c r="S60" s="188">
        <f>Model!S202</f>
        <v>6.2</v>
      </c>
      <c r="T60" s="188">
        <f>Model!T202</f>
        <v>5.5</v>
      </c>
      <c r="U60" s="188">
        <f>Model!U202</f>
        <v>6.4</v>
      </c>
      <c r="V60" s="188">
        <f>Model!V202</f>
        <v>6.5</v>
      </c>
      <c r="W60" s="188">
        <f>Model!W202</f>
        <v>5.6</v>
      </c>
      <c r="X60" s="188">
        <f>Model!X202</f>
        <v>3.8</v>
      </c>
      <c r="Y60" s="188">
        <f>Model!Y202</f>
        <v>3.1</v>
      </c>
      <c r="Z60" s="188">
        <f>Model!Z202</f>
        <v>3.2</v>
      </c>
      <c r="AA60" s="188">
        <f>Model!AA202</f>
        <v>3</v>
      </c>
      <c r="AB60" s="188">
        <f>Model!AB202</f>
        <v>2.2999999999999998</v>
      </c>
      <c r="AC60" s="188">
        <f>Model!AC202</f>
        <v>3.1583653849999997</v>
      </c>
      <c r="AD60" s="188">
        <f>Model!AD202</f>
        <v>3.1444506383499999</v>
      </c>
      <c r="AE60" s="188">
        <f>Model!AE202</f>
        <v>2.6452309521050004</v>
      </c>
      <c r="AF60" s="188">
        <f>Model!AF202</f>
        <v>2.3543438364530003</v>
      </c>
      <c r="AG60" s="188">
        <f>Model!AG202</f>
        <v>3.1785239974669999</v>
      </c>
      <c r="AH60" s="188">
        <f>Model!AH202</f>
        <v>3.1785239974669999</v>
      </c>
      <c r="AI60" s="188">
        <f>Model!AI202</f>
        <v>2.7794035844336999</v>
      </c>
      <c r="AJ60" s="188"/>
      <c r="AK60" s="188"/>
      <c r="AL60" s="188"/>
      <c r="AM60" s="188"/>
      <c r="AN60" s="188"/>
      <c r="AO60" s="188"/>
      <c r="AP60" s="188"/>
      <c r="AQ60" s="188"/>
      <c r="AU60" s="188">
        <f>Model!AU202</f>
        <v>58.5</v>
      </c>
      <c r="AV60" s="188">
        <f>Model!AV202</f>
        <v>58</v>
      </c>
      <c r="AW60" s="188">
        <f>Model!AW202</f>
        <v>25.2</v>
      </c>
      <c r="AX60" s="188">
        <f>Model!AX202</f>
        <v>29.5</v>
      </c>
      <c r="AY60" s="188">
        <f>Model!AY202</f>
        <v>24</v>
      </c>
      <c r="AZ60" s="188">
        <f>Model!AZ202</f>
        <v>13.100000000000001</v>
      </c>
      <c r="BA60" s="188">
        <f>Model!BA202</f>
        <v>11.248046975455001</v>
      </c>
      <c r="BB60" s="188">
        <f>Model!BB202</f>
        <v>11.490795415820701</v>
      </c>
      <c r="BC60" s="188">
        <f>Model!BC202</f>
        <v>11.925550450755587</v>
      </c>
      <c r="BD60" s="188">
        <f>Model!BD202</f>
        <v>12.382043237437216</v>
      </c>
      <c r="BE60" s="188">
        <f>Model!BE202</f>
        <v>12.861360663452929</v>
      </c>
    </row>
    <row r="61" spans="1:57" x14ac:dyDescent="0.2">
      <c r="A61" s="9" t="s">
        <v>52</v>
      </c>
      <c r="B61" s="238"/>
      <c r="C61" s="238"/>
      <c r="D61" s="188">
        <f>Model!D207</f>
        <v>533</v>
      </c>
      <c r="E61" s="188">
        <f>Model!E207</f>
        <v>637</v>
      </c>
      <c r="F61" s="188">
        <f>Model!F207</f>
        <v>684</v>
      </c>
      <c r="G61" s="188">
        <f>Model!G207</f>
        <v>615</v>
      </c>
      <c r="H61" s="188">
        <f>Model!H207</f>
        <v>562</v>
      </c>
      <c r="I61" s="188">
        <f>Model!I207</f>
        <v>589</v>
      </c>
      <c r="J61" s="188">
        <f>Model!J207</f>
        <v>167</v>
      </c>
      <c r="K61" s="188">
        <f>Model!K207</f>
        <v>143</v>
      </c>
      <c r="L61" s="188">
        <f>Model!L207</f>
        <v>128</v>
      </c>
      <c r="M61" s="188">
        <f>Model!M207</f>
        <v>134</v>
      </c>
      <c r="N61" s="188">
        <f>Model!N207</f>
        <v>132</v>
      </c>
      <c r="O61" s="188">
        <f>Model!O207</f>
        <v>256</v>
      </c>
      <c r="P61" s="188">
        <f>Model!P207</f>
        <v>169</v>
      </c>
      <c r="Q61" s="188">
        <f>Model!Q207</f>
        <v>179</v>
      </c>
      <c r="R61" s="188">
        <f>Model!R207</f>
        <v>107</v>
      </c>
      <c r="S61" s="188">
        <f>Model!S207</f>
        <v>111</v>
      </c>
      <c r="T61" s="188">
        <f>Model!T207</f>
        <v>98</v>
      </c>
      <c r="U61" s="188">
        <f>Model!U207</f>
        <v>91</v>
      </c>
      <c r="V61" s="188">
        <f>Model!V207</f>
        <v>142</v>
      </c>
      <c r="W61" s="188">
        <f>Model!W207</f>
        <v>103</v>
      </c>
      <c r="X61" s="188">
        <f>Model!X207</f>
        <v>63</v>
      </c>
      <c r="Y61" s="188">
        <f>Model!Y207</f>
        <v>50</v>
      </c>
      <c r="Z61" s="188">
        <f>Model!Z207</f>
        <v>47.3</v>
      </c>
      <c r="AA61" s="188">
        <f>Model!AA207</f>
        <v>69.099999999999994</v>
      </c>
      <c r="AB61" s="188">
        <f>Model!AB207</f>
        <v>33.4</v>
      </c>
      <c r="AC61" s="188">
        <f>Model!AC207</f>
        <v>47.375480774999993</v>
      </c>
      <c r="AD61" s="188">
        <f>Model!AD207</f>
        <v>47.166759575249998</v>
      </c>
      <c r="AE61" s="188">
        <f>Model!AE207</f>
        <v>39.678464281575003</v>
      </c>
      <c r="AF61" s="188">
        <f>Model!AF207</f>
        <v>35.315157546795</v>
      </c>
      <c r="AG61" s="188">
        <f>Model!AG207</f>
        <v>47.677859962004995</v>
      </c>
      <c r="AH61" s="188">
        <f>Model!AH207</f>
        <v>47.677859962004995</v>
      </c>
      <c r="AI61" s="188">
        <f>Model!AI207</f>
        <v>41.691053766505497</v>
      </c>
      <c r="AJ61" s="188"/>
      <c r="AK61" s="188"/>
      <c r="AL61" s="188"/>
      <c r="AM61" s="188"/>
      <c r="AN61" s="188"/>
      <c r="AO61" s="188"/>
      <c r="AP61" s="188"/>
      <c r="AQ61" s="188"/>
      <c r="AU61" s="188">
        <f>Model!AU207</f>
        <v>2469</v>
      </c>
      <c r="AV61" s="188">
        <f>Model!AV207</f>
        <v>1461</v>
      </c>
      <c r="AW61" s="188">
        <f>Model!AW207</f>
        <v>650</v>
      </c>
      <c r="AX61" s="188">
        <f>Model!AX207</f>
        <v>566</v>
      </c>
      <c r="AY61" s="188">
        <f>Model!AY207</f>
        <v>434</v>
      </c>
      <c r="AZ61" s="188">
        <f>Model!AZ207</f>
        <v>229.4</v>
      </c>
      <c r="BA61" s="188">
        <f>Model!BA207</f>
        <v>167.62070463182499</v>
      </c>
      <c r="BB61" s="188">
        <f>Model!BB207</f>
        <v>172.36193123731047</v>
      </c>
      <c r="BC61" s="188">
        <f>Model!BC207</f>
        <v>184.84603198671161</v>
      </c>
      <c r="BD61" s="188">
        <f>Model!BD207</f>
        <v>198.11269179899546</v>
      </c>
      <c r="BE61" s="188">
        <f>Model!BE207</f>
        <v>205.78177061524687</v>
      </c>
    </row>
    <row r="62" spans="1:57" x14ac:dyDescent="0.2">
      <c r="A62" s="322" t="s">
        <v>1132</v>
      </c>
      <c r="B62" s="238"/>
      <c r="C62" s="238"/>
      <c r="D62" s="26">
        <f>Model!D208</f>
        <v>3.727272727272727E-2</v>
      </c>
      <c r="E62" s="26">
        <f>Model!E208</f>
        <v>4.9379844961240309E-2</v>
      </c>
      <c r="F62" s="26">
        <f>Model!F208</f>
        <v>4.7172413793103447E-2</v>
      </c>
      <c r="G62" s="26">
        <f>Model!G208</f>
        <v>3.6607142857142859E-2</v>
      </c>
      <c r="H62" s="26">
        <f>Model!H208</f>
        <v>3.1222222222222221E-2</v>
      </c>
      <c r="I62" s="26">
        <f>Model!I208</f>
        <v>3.4244186046511631E-2</v>
      </c>
      <c r="J62" s="26">
        <f>Model!J208</f>
        <v>1.1517241379310345E-2</v>
      </c>
      <c r="K62" s="26">
        <f>Model!K208</f>
        <v>1.7228915662650602E-2</v>
      </c>
      <c r="L62" s="26">
        <f>Model!L208</f>
        <v>2.4615384615384615E-2</v>
      </c>
      <c r="M62" s="26">
        <f>Model!M208</f>
        <v>2.1612903225806453E-2</v>
      </c>
      <c r="N62" s="26">
        <f>Model!N208</f>
        <v>1.8591549295774647E-2</v>
      </c>
      <c r="O62" s="26">
        <f>Model!O208</f>
        <v>3.8208955223880597E-2</v>
      </c>
      <c r="P62" s="26">
        <f>Model!P208</f>
        <v>2.4142857142857143E-2</v>
      </c>
      <c r="Q62" s="26">
        <f>Model!Q208</f>
        <v>2.034090909090909E-2</v>
      </c>
      <c r="R62" s="26">
        <f>Model!R208</f>
        <v>1.4266666666666667E-2</v>
      </c>
      <c r="S62" s="26">
        <f>Model!S208</f>
        <v>1.7903225806451612E-2</v>
      </c>
      <c r="T62" s="26">
        <f>Model!T208</f>
        <v>1.781818181818182E-2</v>
      </c>
      <c r="U62" s="26">
        <f>Model!U208</f>
        <v>1.421875E-2</v>
      </c>
      <c r="V62" s="26">
        <f>Model!V208</f>
        <v>2.1846153846153845E-2</v>
      </c>
      <c r="W62" s="26">
        <f>Model!W208</f>
        <v>1.8392857142857141E-2</v>
      </c>
      <c r="X62" s="26">
        <f>Model!X208</f>
        <v>1.6578947368421054E-2</v>
      </c>
      <c r="Y62" s="26">
        <f>Model!Y208</f>
        <v>1.6129032258064516E-2</v>
      </c>
      <c r="Z62" s="26">
        <f>Model!Z208</f>
        <v>1.4781249999999999E-2</v>
      </c>
      <c r="AA62" s="26">
        <f>Model!AA208</f>
        <v>2.3033333333333333E-2</v>
      </c>
      <c r="AB62" s="26">
        <f>Model!AB208</f>
        <v>1.4521739130434782E-2</v>
      </c>
      <c r="AC62" s="26">
        <f>Model!AC208</f>
        <v>1.4999999999999999E-2</v>
      </c>
      <c r="AD62" s="26">
        <f>Model!AD208</f>
        <v>1.4999999999999999E-2</v>
      </c>
      <c r="AE62" s="26">
        <f>Model!AE208</f>
        <v>1.4999999999999999E-2</v>
      </c>
      <c r="AF62" s="26">
        <f>Model!AF208</f>
        <v>1.4999999999999999E-2</v>
      </c>
      <c r="AG62" s="26">
        <f>Model!AG208</f>
        <v>1.4999999999999999E-2</v>
      </c>
      <c r="AH62" s="26">
        <f>Model!AH208</f>
        <v>1.4999999999999999E-2</v>
      </c>
      <c r="AI62" s="26">
        <f>Model!AI208</f>
        <v>1.4999999999999999E-2</v>
      </c>
      <c r="AJ62" s="26"/>
      <c r="AK62" s="26"/>
      <c r="AL62" s="26"/>
      <c r="AM62" s="26"/>
      <c r="AN62" s="26"/>
      <c r="AO62" s="26"/>
      <c r="AP62" s="26"/>
      <c r="AQ62" s="26"/>
      <c r="AU62" s="26">
        <f>Model!AU208</f>
        <v>4.2205128205128208E-2</v>
      </c>
      <c r="AV62" s="26">
        <f>Model!AV208</f>
        <v>2.5189655172413793E-2</v>
      </c>
      <c r="AW62" s="26">
        <f>Model!AW208</f>
        <v>2.5793650793650792E-2</v>
      </c>
      <c r="AX62" s="26">
        <f>Model!AX208</f>
        <v>1.9186440677966102E-2</v>
      </c>
      <c r="AY62" s="26">
        <f>Model!AY208</f>
        <v>1.8083333333333333E-2</v>
      </c>
      <c r="AZ62" s="26">
        <f>Model!AZ208</f>
        <v>1.7511450381679387E-2</v>
      </c>
      <c r="BA62" s="26">
        <f>Model!BA208</f>
        <v>1.4902205244839357E-2</v>
      </c>
      <c r="BB62" s="26">
        <f>Model!BB208</f>
        <v>1.4999999999999996E-2</v>
      </c>
      <c r="BC62" s="26">
        <f>Model!BC208</f>
        <v>1.55E-2</v>
      </c>
      <c r="BD62" s="26">
        <f>Model!BD208</f>
        <v>1.6E-2</v>
      </c>
      <c r="BE62" s="26">
        <f>Model!BE208</f>
        <v>1.6E-2</v>
      </c>
    </row>
    <row r="63" spans="1:57" x14ac:dyDescent="0.2">
      <c r="A63" s="916"/>
      <c r="B63" s="238"/>
      <c r="C63" s="238"/>
    </row>
    <row r="64" spans="1:57" x14ac:dyDescent="0.2">
      <c r="A64" s="916" t="s">
        <v>857</v>
      </c>
      <c r="B64" s="238"/>
      <c r="C64" s="238"/>
      <c r="D64" s="188">
        <f>Model!D243</f>
        <v>38.200000000000003</v>
      </c>
      <c r="E64" s="188">
        <f>Model!E243</f>
        <v>40.799999999999997</v>
      </c>
      <c r="F64" s="188">
        <f>Model!F243</f>
        <v>40.299999999999997</v>
      </c>
      <c r="G64" s="188">
        <f>Model!G243</f>
        <v>41.6</v>
      </c>
      <c r="H64" s="188">
        <f>Model!H243</f>
        <v>38.200000000000003</v>
      </c>
      <c r="I64" s="188">
        <f>Model!I243</f>
        <v>41.9</v>
      </c>
      <c r="J64" s="188">
        <f>Model!J243</f>
        <v>41.7</v>
      </c>
      <c r="K64" s="188">
        <f>Model!K243</f>
        <v>43.4</v>
      </c>
      <c r="L64" s="188">
        <f>Model!L243</f>
        <v>39.6</v>
      </c>
      <c r="M64" s="188">
        <f>Model!M243</f>
        <v>43.9</v>
      </c>
      <c r="N64" s="188">
        <f>Model!N243</f>
        <v>43.3</v>
      </c>
      <c r="O64" s="188">
        <f>Model!O243</f>
        <v>45.1</v>
      </c>
      <c r="P64" s="188">
        <f>Model!P243</f>
        <v>40.9</v>
      </c>
      <c r="Q64" s="188">
        <f>Model!Q243</f>
        <v>46.1</v>
      </c>
      <c r="R64" s="188">
        <f>Model!R243</f>
        <v>46.6</v>
      </c>
      <c r="S64" s="188">
        <f>Model!S243</f>
        <v>49</v>
      </c>
      <c r="T64" s="188">
        <f>Model!T243</f>
        <v>45.9</v>
      </c>
      <c r="U64" s="188">
        <f>Model!U243</f>
        <v>53.1</v>
      </c>
      <c r="V64" s="188">
        <f>Model!V243</f>
        <v>73.099999999999994</v>
      </c>
      <c r="W64" s="188">
        <f>Model!W243</f>
        <v>78.5</v>
      </c>
      <c r="X64" s="188">
        <f>Model!X243</f>
        <v>72.5</v>
      </c>
      <c r="Y64" s="188">
        <f>Model!Y243</f>
        <v>80.5</v>
      </c>
      <c r="Z64" s="188">
        <f>Model!Z243</f>
        <v>80.400000000000006</v>
      </c>
      <c r="AA64" s="188">
        <f>Model!AA243</f>
        <v>86.3</v>
      </c>
      <c r="AB64" s="188">
        <f>Model!AB243</f>
        <v>78.599999999999994</v>
      </c>
      <c r="AC64" s="188">
        <f>Model!AC243</f>
        <v>86.940000000000012</v>
      </c>
      <c r="AD64" s="188">
        <f>Model!AD243</f>
        <v>86.832000000000008</v>
      </c>
      <c r="AE64" s="188">
        <f>Model!AE243</f>
        <v>93.204000000000008</v>
      </c>
      <c r="AF64" s="188">
        <f>Model!AF243</f>
        <v>84.102000000000004</v>
      </c>
      <c r="AG64" s="188">
        <f>Model!AG243</f>
        <v>93.025800000000018</v>
      </c>
      <c r="AH64" s="188">
        <f>Model!AH243</f>
        <v>92.910240000000016</v>
      </c>
      <c r="AI64" s="188">
        <f>Model!AI243</f>
        <v>99.728280000000012</v>
      </c>
      <c r="AJ64" s="188"/>
      <c r="AK64" s="188"/>
      <c r="AL64" s="188"/>
      <c r="AM64" s="188"/>
      <c r="AN64" s="188"/>
      <c r="AO64" s="188"/>
      <c r="AP64" s="188"/>
      <c r="AQ64" s="188"/>
      <c r="AU64" s="188">
        <f>Model!AU243</f>
        <v>160.9</v>
      </c>
      <c r="AV64" s="188">
        <f>Model!AV243</f>
        <v>165.2</v>
      </c>
      <c r="AW64" s="188">
        <f>Model!AW243</f>
        <v>171.9</v>
      </c>
      <c r="AX64" s="188">
        <f>Model!AX243</f>
        <v>182.6</v>
      </c>
      <c r="AY64" s="188">
        <f>Model!AY243</f>
        <v>250.6</v>
      </c>
      <c r="AZ64" s="188">
        <f>Model!AZ243</f>
        <v>319.7</v>
      </c>
      <c r="BA64" s="188">
        <f>Model!BA243</f>
        <v>345.57600000000002</v>
      </c>
      <c r="BB64" s="188">
        <f>Model!BB243</f>
        <v>369.76632000000006</v>
      </c>
      <c r="BC64" s="188">
        <f>Model!BC243</f>
        <v>391.95229920000008</v>
      </c>
      <c r="BD64" s="188">
        <f>Model!BD243</f>
        <v>415.46943715200013</v>
      </c>
      <c r="BE64" s="188">
        <f>Model!BE243</f>
        <v>440.39760338112018</v>
      </c>
    </row>
    <row r="65" spans="1:57" s="916" customFormat="1" x14ac:dyDescent="0.2">
      <c r="A65" s="916" t="s">
        <v>1130</v>
      </c>
      <c r="B65" s="238"/>
      <c r="C65" s="238"/>
      <c r="D65" s="188">
        <f>Model!D344</f>
        <v>3.9</v>
      </c>
      <c r="E65" s="188">
        <f>Model!E344</f>
        <v>3.9</v>
      </c>
      <c r="F65" s="188">
        <f>Model!F344</f>
        <v>4.3</v>
      </c>
      <c r="G65" s="188">
        <f>Model!G344</f>
        <v>5</v>
      </c>
      <c r="H65" s="188">
        <f>Model!H344</f>
        <v>4.5</v>
      </c>
      <c r="I65" s="188">
        <f>Model!I344</f>
        <v>4.9000000000000004</v>
      </c>
      <c r="J65" s="188">
        <f>Model!J344</f>
        <v>5</v>
      </c>
      <c r="K65" s="188">
        <f>Model!K344</f>
        <v>5.5</v>
      </c>
      <c r="L65" s="188">
        <f>Model!L344</f>
        <v>4.5</v>
      </c>
      <c r="M65" s="188">
        <f>Model!M344</f>
        <v>4.9000000000000004</v>
      </c>
      <c r="N65" s="188">
        <f>Model!N344</f>
        <v>4.9000000000000004</v>
      </c>
      <c r="O65" s="188">
        <f>Model!O344</f>
        <v>5</v>
      </c>
      <c r="P65" s="188">
        <f>Model!P344</f>
        <v>4.0999999999999996</v>
      </c>
      <c r="Q65" s="188">
        <f>Model!Q344</f>
        <v>4.2</v>
      </c>
      <c r="R65" s="188">
        <f>Model!R344</f>
        <v>4</v>
      </c>
      <c r="S65" s="188">
        <f>Model!S344</f>
        <v>4.4000000000000004</v>
      </c>
      <c r="T65" s="188">
        <f>Model!T344</f>
        <v>3.7</v>
      </c>
      <c r="U65" s="188">
        <f>Model!U344</f>
        <v>3.8</v>
      </c>
      <c r="V65" s="188">
        <f>Model!V344</f>
        <v>3.8</v>
      </c>
      <c r="W65" s="188">
        <f>Model!W344</f>
        <v>4</v>
      </c>
      <c r="X65" s="188">
        <f>Model!X344</f>
        <v>3.6</v>
      </c>
      <c r="Y65" s="188">
        <f>Model!Y344</f>
        <v>4.0999999999999996</v>
      </c>
      <c r="Z65" s="188">
        <f>Model!Z344</f>
        <v>4.2</v>
      </c>
      <c r="AA65" s="188">
        <f>Model!AA344</f>
        <v>4.5</v>
      </c>
      <c r="AB65" s="188">
        <f>Model!AB344</f>
        <v>4.2</v>
      </c>
      <c r="AC65" s="188">
        <f>Model!AC344</f>
        <v>4.5919999999999996</v>
      </c>
      <c r="AD65" s="188">
        <f>Model!AD344</f>
        <v>4.620000000000001</v>
      </c>
      <c r="AE65" s="188">
        <f>Model!AE344</f>
        <v>4.9050000000000002</v>
      </c>
      <c r="AF65" s="188">
        <f>Model!AF344</f>
        <v>4.5360000000000005</v>
      </c>
      <c r="AG65" s="188">
        <f>Model!AG344</f>
        <v>4.9134399999999996</v>
      </c>
      <c r="AH65" s="188">
        <f>Model!AH344</f>
        <v>4.8972000000000016</v>
      </c>
      <c r="AI65" s="188">
        <f>Model!AI344</f>
        <v>5.1993000000000009</v>
      </c>
      <c r="AJ65" s="188"/>
      <c r="AK65" s="188"/>
      <c r="AL65" s="188"/>
      <c r="AM65" s="188"/>
      <c r="AN65" s="188"/>
      <c r="AO65" s="188"/>
      <c r="AP65" s="188"/>
      <c r="AQ65" s="188"/>
      <c r="AS65" s="1160"/>
      <c r="AT65" s="1160"/>
      <c r="AU65" s="188">
        <f>Model!AU344</f>
        <v>17.100000000000001</v>
      </c>
      <c r="AV65" s="188">
        <f>Model!AV344</f>
        <v>19.899999999999999</v>
      </c>
      <c r="AW65" s="188">
        <f>Model!AW344</f>
        <v>19.3</v>
      </c>
      <c r="AX65" s="188">
        <f>Model!AX344</f>
        <v>16.700000000000003</v>
      </c>
      <c r="AY65" s="188">
        <f>Model!AY344</f>
        <v>15.3</v>
      </c>
      <c r="AZ65" s="188">
        <f>Model!AZ344</f>
        <v>16.399999999999999</v>
      </c>
      <c r="BA65" s="188">
        <f>Model!BA344</f>
        <v>18.317</v>
      </c>
      <c r="BB65" s="188">
        <f>Model!BB344</f>
        <v>19.545940000000002</v>
      </c>
      <c r="BC65" s="188">
        <f>Model!BC344</f>
        <v>20.718696400000002</v>
      </c>
      <c r="BD65" s="188">
        <f>Model!BD344</f>
        <v>21.961818184000002</v>
      </c>
      <c r="BE65" s="188">
        <f>Model!BE344</f>
        <v>23.279527275040003</v>
      </c>
    </row>
    <row r="66" spans="1:57" s="15" customFormat="1" x14ac:dyDescent="0.2">
      <c r="A66" s="916" t="s">
        <v>1131</v>
      </c>
      <c r="B66" s="391"/>
      <c r="C66" s="391"/>
      <c r="D66" s="36">
        <f>Model!D422</f>
        <v>18.600000000000001</v>
      </c>
      <c r="E66" s="36">
        <f>Model!E422</f>
        <v>18.5</v>
      </c>
      <c r="F66" s="36">
        <f>Model!F422</f>
        <v>18.8</v>
      </c>
      <c r="G66" s="36">
        <f>Model!G422</f>
        <v>20.6</v>
      </c>
      <c r="H66" s="36">
        <f>Model!H422</f>
        <v>19.5</v>
      </c>
      <c r="I66" s="36">
        <f>Model!I422</f>
        <v>19.899999999999999</v>
      </c>
      <c r="J66" s="36">
        <f>Model!J422</f>
        <v>19</v>
      </c>
      <c r="K66" s="36">
        <f>Model!K422</f>
        <v>20.399999999999999</v>
      </c>
      <c r="L66" s="36">
        <f>Model!L422</f>
        <v>18.8</v>
      </c>
      <c r="M66" s="36">
        <f>Model!M422</f>
        <v>20</v>
      </c>
      <c r="N66" s="36">
        <f>Model!N422</f>
        <v>20.2</v>
      </c>
      <c r="O66" s="36">
        <f>Model!O422</f>
        <v>20.399999999999999</v>
      </c>
      <c r="P66" s="36">
        <f>Model!P422</f>
        <v>18.600000000000001</v>
      </c>
      <c r="Q66" s="36">
        <f>Model!Q422</f>
        <v>19.2</v>
      </c>
      <c r="R66" s="36">
        <f>Model!R422</f>
        <v>18.2</v>
      </c>
      <c r="S66" s="36">
        <f>Model!S422</f>
        <v>19.3</v>
      </c>
      <c r="T66" s="36">
        <f>Model!T422</f>
        <v>18.100000000000001</v>
      </c>
      <c r="U66" s="36">
        <f>Model!U422</f>
        <v>18.7</v>
      </c>
      <c r="V66" s="36">
        <f>Model!V422</f>
        <v>18.7</v>
      </c>
      <c r="W66" s="36">
        <f>Model!W422</f>
        <v>19.399999999999999</v>
      </c>
      <c r="X66" s="36">
        <f>Model!X422</f>
        <v>19.2</v>
      </c>
      <c r="Y66" s="36">
        <f>Model!Y422</f>
        <v>20.100000000000001</v>
      </c>
      <c r="Z66" s="36">
        <f>Model!Z422</f>
        <v>20.3</v>
      </c>
      <c r="AA66" s="36">
        <f>Model!AA422</f>
        <v>21.9</v>
      </c>
      <c r="AB66" s="36">
        <f>Model!AB422</f>
        <v>21.5</v>
      </c>
      <c r="AC66" s="36">
        <f>Model!AC422</f>
        <v>22.110000000000003</v>
      </c>
      <c r="AD66" s="36">
        <f>Model!AD422</f>
        <v>22.127000000000002</v>
      </c>
      <c r="AE66" s="36">
        <f>Model!AE422</f>
        <v>23.652000000000001</v>
      </c>
      <c r="AF66" s="36">
        <f>Model!AF422</f>
        <v>23.005000000000003</v>
      </c>
      <c r="AG66" s="36">
        <f>Model!AG422</f>
        <v>23.436600000000006</v>
      </c>
      <c r="AH66" s="36">
        <f>Model!AH422</f>
        <v>23.454620000000002</v>
      </c>
      <c r="AI66" s="36">
        <f>Model!AI422</f>
        <v>25.071120000000004</v>
      </c>
      <c r="AJ66" s="36"/>
      <c r="AK66" s="36"/>
      <c r="AL66" s="36"/>
      <c r="AM66" s="36"/>
      <c r="AN66" s="36"/>
      <c r="AO66" s="36"/>
      <c r="AP66" s="36"/>
      <c r="AQ66" s="36"/>
      <c r="AU66" s="36">
        <f>Model!AU422</f>
        <v>76.5</v>
      </c>
      <c r="AV66" s="36">
        <f>Model!AV422</f>
        <v>78.8</v>
      </c>
      <c r="AW66" s="36">
        <f>Model!AW422</f>
        <v>79.400000000000006</v>
      </c>
      <c r="AX66" s="36">
        <f>Model!AX422</f>
        <v>75.3</v>
      </c>
      <c r="AY66" s="36">
        <f>Model!AY422</f>
        <v>74.900000000000006</v>
      </c>
      <c r="AZ66" s="36">
        <f>Model!AZ422</f>
        <v>81.5</v>
      </c>
      <c r="BA66" s="36">
        <f>Model!BA422</f>
        <v>89.388999999999996</v>
      </c>
      <c r="BB66" s="36">
        <f>Model!BB422</f>
        <v>94.967340000000021</v>
      </c>
      <c r="BC66" s="36">
        <f>Model!BC422</f>
        <v>100.66538040000003</v>
      </c>
      <c r="BD66" s="36">
        <f>Model!BD422</f>
        <v>106.70530322400003</v>
      </c>
      <c r="BE66" s="36">
        <f>Model!BE422</f>
        <v>113.10762141744004</v>
      </c>
    </row>
    <row r="67" spans="1:57" s="15" customFormat="1" x14ac:dyDescent="0.2">
      <c r="A67" s="1213" t="s">
        <v>1287</v>
      </c>
      <c r="B67" s="391"/>
      <c r="C67" s="391"/>
      <c r="D67" s="36">
        <f>+D65+D66</f>
        <v>22.5</v>
      </c>
      <c r="E67" s="36">
        <f t="shared" ref="E67:AE67" si="16">+E65+E66</f>
        <v>22.4</v>
      </c>
      <c r="F67" s="36">
        <f t="shared" si="16"/>
        <v>23.1</v>
      </c>
      <c r="G67" s="36">
        <f t="shared" si="16"/>
        <v>25.6</v>
      </c>
      <c r="H67" s="36">
        <f t="shared" si="16"/>
        <v>24</v>
      </c>
      <c r="I67" s="36">
        <f t="shared" si="16"/>
        <v>24.799999999999997</v>
      </c>
      <c r="J67" s="36">
        <f t="shared" si="16"/>
        <v>24</v>
      </c>
      <c r="K67" s="36">
        <f t="shared" si="16"/>
        <v>25.9</v>
      </c>
      <c r="L67" s="36">
        <f t="shared" si="16"/>
        <v>23.3</v>
      </c>
      <c r="M67" s="36">
        <f t="shared" si="16"/>
        <v>24.9</v>
      </c>
      <c r="N67" s="36">
        <f t="shared" si="16"/>
        <v>25.1</v>
      </c>
      <c r="O67" s="36">
        <f t="shared" si="16"/>
        <v>25.4</v>
      </c>
      <c r="P67" s="36">
        <f t="shared" si="16"/>
        <v>22.700000000000003</v>
      </c>
      <c r="Q67" s="36">
        <f t="shared" si="16"/>
        <v>23.4</v>
      </c>
      <c r="R67" s="36">
        <f t="shared" si="16"/>
        <v>22.2</v>
      </c>
      <c r="S67" s="36">
        <f t="shared" si="16"/>
        <v>23.700000000000003</v>
      </c>
      <c r="T67" s="36">
        <f t="shared" si="16"/>
        <v>21.8</v>
      </c>
      <c r="U67" s="36">
        <f t="shared" si="16"/>
        <v>22.5</v>
      </c>
      <c r="V67" s="36">
        <f t="shared" si="16"/>
        <v>22.5</v>
      </c>
      <c r="W67" s="36">
        <f t="shared" si="16"/>
        <v>23.4</v>
      </c>
      <c r="X67" s="36">
        <f t="shared" si="16"/>
        <v>22.8</v>
      </c>
      <c r="Y67" s="36">
        <f t="shared" si="16"/>
        <v>24.200000000000003</v>
      </c>
      <c r="Z67" s="36">
        <f t="shared" si="16"/>
        <v>24.5</v>
      </c>
      <c r="AA67" s="36">
        <f t="shared" si="16"/>
        <v>26.4</v>
      </c>
      <c r="AB67" s="36">
        <f t="shared" si="16"/>
        <v>25.7</v>
      </c>
      <c r="AC67" s="36">
        <f t="shared" si="16"/>
        <v>26.702000000000002</v>
      </c>
      <c r="AD67" s="36">
        <f t="shared" si="16"/>
        <v>26.747000000000003</v>
      </c>
      <c r="AE67" s="36">
        <f t="shared" si="16"/>
        <v>28.557000000000002</v>
      </c>
      <c r="AF67" s="36">
        <f t="shared" ref="AF67:AI67" si="17">+AF65+AF66</f>
        <v>27.541000000000004</v>
      </c>
      <c r="AG67" s="36">
        <f t="shared" si="17"/>
        <v>28.350040000000007</v>
      </c>
      <c r="AH67" s="36">
        <f t="shared" si="17"/>
        <v>28.351820000000004</v>
      </c>
      <c r="AI67" s="36">
        <f t="shared" si="17"/>
        <v>30.270420000000005</v>
      </c>
      <c r="AJ67" s="36"/>
      <c r="AK67" s="36"/>
      <c r="AL67" s="36"/>
      <c r="AM67" s="36"/>
      <c r="AN67" s="36"/>
      <c r="AO67" s="36"/>
      <c r="AP67" s="36"/>
      <c r="AQ67" s="36"/>
      <c r="AU67" s="36">
        <f t="shared" ref="AU67" si="18">+AU65+AU66</f>
        <v>93.6</v>
      </c>
      <c r="AV67" s="36">
        <f t="shared" ref="AV67" si="19">+AV65+AV66</f>
        <v>98.699999999999989</v>
      </c>
      <c r="AW67" s="36">
        <f t="shared" ref="AW67" si="20">+AW65+AW66</f>
        <v>98.7</v>
      </c>
      <c r="AX67" s="36">
        <f t="shared" ref="AX67" si="21">+AX65+AX66</f>
        <v>92</v>
      </c>
      <c r="AY67" s="36">
        <f t="shared" ref="AY67" si="22">+AY65+AY66</f>
        <v>90.2</v>
      </c>
      <c r="AZ67" s="36">
        <f t="shared" ref="AZ67" si="23">+AZ65+AZ66</f>
        <v>97.9</v>
      </c>
      <c r="BA67" s="36">
        <f t="shared" ref="BA67" si="24">+BA65+BA66</f>
        <v>107.70599999999999</v>
      </c>
      <c r="BB67" s="36">
        <f t="shared" ref="BB67" si="25">+BB65+BB66</f>
        <v>114.51328000000002</v>
      </c>
      <c r="BC67" s="36">
        <f t="shared" ref="BC67" si="26">+BC65+BC66</f>
        <v>121.38407680000003</v>
      </c>
      <c r="BD67" s="36">
        <f t="shared" ref="BD67:BE67" si="27">+BD65+BD66</f>
        <v>128.66712140800004</v>
      </c>
      <c r="BE67" s="36">
        <f t="shared" si="27"/>
        <v>136.38714869248005</v>
      </c>
    </row>
    <row r="68" spans="1:57" x14ac:dyDescent="0.2">
      <c r="A68" s="916" t="s">
        <v>858</v>
      </c>
      <c r="B68" s="238"/>
      <c r="C68" s="238"/>
      <c r="D68" s="83">
        <f>+D64+D65+D66</f>
        <v>60.7</v>
      </c>
      <c r="E68" s="83">
        <f t="shared" ref="E68:AE68" si="28">+E64+E65+E66</f>
        <v>63.199999999999996</v>
      </c>
      <c r="F68" s="83">
        <f t="shared" si="28"/>
        <v>63.399999999999991</v>
      </c>
      <c r="G68" s="83">
        <f t="shared" si="28"/>
        <v>67.2</v>
      </c>
      <c r="H68" s="83">
        <f t="shared" si="28"/>
        <v>62.2</v>
      </c>
      <c r="I68" s="83">
        <f t="shared" si="28"/>
        <v>66.699999999999989</v>
      </c>
      <c r="J68" s="83">
        <f t="shared" si="28"/>
        <v>65.7</v>
      </c>
      <c r="K68" s="83">
        <f t="shared" si="28"/>
        <v>69.3</v>
      </c>
      <c r="L68" s="83">
        <f t="shared" si="28"/>
        <v>62.900000000000006</v>
      </c>
      <c r="M68" s="83">
        <f t="shared" si="28"/>
        <v>68.8</v>
      </c>
      <c r="N68" s="83">
        <f t="shared" si="28"/>
        <v>68.399999999999991</v>
      </c>
      <c r="O68" s="83">
        <f t="shared" si="28"/>
        <v>70.5</v>
      </c>
      <c r="P68" s="83">
        <f t="shared" si="28"/>
        <v>63.6</v>
      </c>
      <c r="Q68" s="83">
        <f t="shared" si="28"/>
        <v>69.5</v>
      </c>
      <c r="R68" s="83">
        <f t="shared" si="28"/>
        <v>68.8</v>
      </c>
      <c r="S68" s="83">
        <f t="shared" si="28"/>
        <v>72.7</v>
      </c>
      <c r="T68" s="83">
        <f t="shared" si="28"/>
        <v>67.7</v>
      </c>
      <c r="U68" s="83">
        <f t="shared" si="28"/>
        <v>75.599999999999994</v>
      </c>
      <c r="V68" s="83">
        <f t="shared" si="28"/>
        <v>95.6</v>
      </c>
      <c r="W68" s="83">
        <f t="shared" si="28"/>
        <v>101.9</v>
      </c>
      <c r="X68" s="83">
        <f t="shared" si="28"/>
        <v>95.3</v>
      </c>
      <c r="Y68" s="83">
        <f t="shared" si="28"/>
        <v>104.69999999999999</v>
      </c>
      <c r="Z68" s="83">
        <f t="shared" si="28"/>
        <v>104.9</v>
      </c>
      <c r="AA68" s="83">
        <f t="shared" si="28"/>
        <v>112.69999999999999</v>
      </c>
      <c r="AB68" s="83">
        <f t="shared" si="28"/>
        <v>104.3</v>
      </c>
      <c r="AC68" s="83">
        <f t="shared" si="28"/>
        <v>113.64200000000001</v>
      </c>
      <c r="AD68" s="83">
        <f t="shared" si="28"/>
        <v>113.57900000000001</v>
      </c>
      <c r="AE68" s="83">
        <f t="shared" si="28"/>
        <v>121.76100000000001</v>
      </c>
      <c r="AF68" s="83">
        <f t="shared" ref="AF68:AI68" si="29">+AF64+AF65+AF66</f>
        <v>111.643</v>
      </c>
      <c r="AG68" s="83">
        <f t="shared" si="29"/>
        <v>121.37584000000001</v>
      </c>
      <c r="AH68" s="83">
        <f t="shared" si="29"/>
        <v>121.26206000000002</v>
      </c>
      <c r="AI68" s="83">
        <f t="shared" si="29"/>
        <v>129.99870000000001</v>
      </c>
      <c r="AJ68" s="83"/>
      <c r="AK68" s="83"/>
      <c r="AL68" s="83"/>
      <c r="AM68" s="83"/>
      <c r="AN68" s="83"/>
      <c r="AO68" s="83"/>
      <c r="AP68" s="83"/>
      <c r="AQ68" s="83"/>
      <c r="AU68" s="83">
        <f t="shared" ref="AU68:BD68" si="30">+AU64+AU65+AU66</f>
        <v>254.5</v>
      </c>
      <c r="AV68" s="83">
        <f t="shared" si="30"/>
        <v>263.89999999999998</v>
      </c>
      <c r="AW68" s="83">
        <f t="shared" si="30"/>
        <v>270.60000000000002</v>
      </c>
      <c r="AX68" s="83">
        <f t="shared" si="30"/>
        <v>274.60000000000002</v>
      </c>
      <c r="AY68" s="83">
        <f t="shared" si="30"/>
        <v>340.79999999999995</v>
      </c>
      <c r="AZ68" s="83">
        <f t="shared" si="30"/>
        <v>417.59999999999997</v>
      </c>
      <c r="BA68" s="83">
        <f t="shared" si="30"/>
        <v>453.28200000000004</v>
      </c>
      <c r="BB68" s="83">
        <f t="shared" si="30"/>
        <v>484.27960000000007</v>
      </c>
      <c r="BC68" s="83">
        <f t="shared" si="30"/>
        <v>513.33637600000009</v>
      </c>
      <c r="BD68" s="83">
        <f t="shared" si="30"/>
        <v>544.13655856000014</v>
      </c>
      <c r="BE68" s="83">
        <f t="shared" ref="BE68" si="31">+BE64+BE65+BE66</f>
        <v>576.7847520736002</v>
      </c>
    </row>
    <row r="69" spans="1:57" x14ac:dyDescent="0.2">
      <c r="A69" s="916" t="s">
        <v>859</v>
      </c>
      <c r="B69" s="238"/>
      <c r="C69" s="238"/>
      <c r="D69" s="188">
        <f>Model!D244</f>
        <v>15.5</v>
      </c>
      <c r="E69" s="188">
        <f>Model!E244</f>
        <v>18.100000000000001</v>
      </c>
      <c r="F69" s="188">
        <f>Model!F244</f>
        <v>17.5</v>
      </c>
      <c r="G69" s="188">
        <f>Model!G244</f>
        <v>20.399999999999999</v>
      </c>
      <c r="H69" s="188">
        <f>Model!H244</f>
        <v>15.3</v>
      </c>
      <c r="I69" s="188">
        <f>Model!I244</f>
        <v>18.3</v>
      </c>
      <c r="J69" s="188">
        <f>Model!J244</f>
        <v>18.100000000000001</v>
      </c>
      <c r="K69" s="188">
        <f>Model!K244</f>
        <v>23.3</v>
      </c>
      <c r="L69" s="188">
        <f>Model!L244</f>
        <v>16.7</v>
      </c>
      <c r="M69" s="188">
        <f>Model!M244</f>
        <v>20.399999999999999</v>
      </c>
      <c r="N69" s="188">
        <f>Model!N244</f>
        <v>19.7</v>
      </c>
      <c r="O69" s="188">
        <f>Model!O244</f>
        <v>23.5</v>
      </c>
      <c r="P69" s="188">
        <f>Model!P244</f>
        <v>16.5</v>
      </c>
      <c r="Q69" s="188">
        <f>Model!Q244</f>
        <v>20.2</v>
      </c>
      <c r="R69" s="188">
        <f>Model!R244</f>
        <v>19.8</v>
      </c>
      <c r="S69" s="188">
        <f>Model!S244</f>
        <v>23.5</v>
      </c>
      <c r="T69" s="188">
        <f>Model!T244</f>
        <v>16.899999999999999</v>
      </c>
      <c r="U69" s="188">
        <f>Model!U244</f>
        <v>20.100000000000001</v>
      </c>
      <c r="V69" s="188">
        <f>Model!V244</f>
        <v>19.7</v>
      </c>
      <c r="W69" s="188">
        <f>Model!W244</f>
        <v>23.2</v>
      </c>
      <c r="X69" s="188">
        <f>Model!X244</f>
        <v>16.899999999999999</v>
      </c>
      <c r="Y69" s="188">
        <f>Model!Y244</f>
        <v>20.6</v>
      </c>
      <c r="Z69" s="188">
        <f>Model!Z244</f>
        <v>20</v>
      </c>
      <c r="AA69" s="188">
        <f>Model!AA244</f>
        <v>23.6</v>
      </c>
      <c r="AB69" s="188">
        <f>Model!AB244</f>
        <v>17.399999999999999</v>
      </c>
      <c r="AC69" s="188">
        <f>Model!AC244</f>
        <v>21.114999999999998</v>
      </c>
      <c r="AD69" s="188">
        <f>Model!AD244</f>
        <v>20.6</v>
      </c>
      <c r="AE69" s="188">
        <f>Model!AE244</f>
        <v>24.308000000000003</v>
      </c>
      <c r="AF69" s="188">
        <f>Model!AF244</f>
        <v>17.922000000000001</v>
      </c>
      <c r="AG69" s="188">
        <f>Model!AG244</f>
        <v>21.748449999999998</v>
      </c>
      <c r="AH69" s="188">
        <f>Model!AH244</f>
        <v>21.218000000000004</v>
      </c>
      <c r="AI69" s="188">
        <f>Model!AI244</f>
        <v>25.037240000000004</v>
      </c>
      <c r="AJ69" s="188"/>
      <c r="AK69" s="188"/>
      <c r="AL69" s="188"/>
      <c r="AM69" s="188"/>
      <c r="AN69" s="188"/>
      <c r="AO69" s="188"/>
      <c r="AP69" s="188"/>
      <c r="AQ69" s="188"/>
      <c r="AU69" s="188">
        <f>Model!AU244</f>
        <v>71.5</v>
      </c>
      <c r="AV69" s="188">
        <f>Model!AV244</f>
        <v>75</v>
      </c>
      <c r="AW69" s="188">
        <f>Model!AW244</f>
        <v>80.3</v>
      </c>
      <c r="AX69" s="188">
        <f>Model!AX244</f>
        <v>80</v>
      </c>
      <c r="AY69" s="188">
        <f>Model!AY244</f>
        <v>79.900000000000006</v>
      </c>
      <c r="AZ69" s="188">
        <f>Model!AZ244</f>
        <v>81.099999999999994</v>
      </c>
      <c r="BA69" s="188">
        <f>Model!BA244</f>
        <v>83.423000000000002</v>
      </c>
      <c r="BB69" s="188">
        <f>Model!BB244</f>
        <v>85.925690000000003</v>
      </c>
      <c r="BC69" s="188">
        <f>Model!BC244</f>
        <v>89.362717600000011</v>
      </c>
      <c r="BD69" s="188">
        <f>Model!BD244</f>
        <v>92.937226304000021</v>
      </c>
      <c r="BE69" s="188">
        <f>Model!BE244</f>
        <v>96.654715356160025</v>
      </c>
    </row>
    <row r="70" spans="1:57" x14ac:dyDescent="0.2">
      <c r="A70" s="238"/>
      <c r="B70" s="238"/>
      <c r="C70" s="238"/>
      <c r="D70" s="238"/>
      <c r="E70" s="238"/>
      <c r="F70" s="238"/>
      <c r="G70" s="238"/>
      <c r="H70" s="238"/>
      <c r="I70" s="238"/>
      <c r="J70" s="238"/>
      <c r="K70" s="238"/>
      <c r="L70" s="238"/>
      <c r="M70" s="238"/>
      <c r="N70" s="238"/>
      <c r="O70" s="238"/>
      <c r="P70" s="238"/>
      <c r="Q70" s="238"/>
      <c r="R70" s="238"/>
      <c r="S70" s="238"/>
      <c r="T70" s="238"/>
      <c r="U70" s="238"/>
      <c r="V70" s="238"/>
      <c r="W70" s="238"/>
      <c r="X70" s="238"/>
      <c r="Y70" s="238"/>
      <c r="Z70" s="238"/>
      <c r="AA70" s="238"/>
      <c r="AB70" s="238"/>
      <c r="AC70" s="238"/>
      <c r="AD70" s="238"/>
      <c r="AE70" s="238"/>
      <c r="AF70" s="238"/>
      <c r="AG70" s="238"/>
      <c r="AH70" s="238"/>
      <c r="AI70" s="238"/>
      <c r="AJ70" s="238"/>
      <c r="AK70" s="238"/>
      <c r="AL70" s="238"/>
      <c r="AM70" s="238"/>
      <c r="AN70" s="238"/>
      <c r="AO70" s="238"/>
      <c r="AP70" s="238"/>
      <c r="AQ70" s="238"/>
      <c r="AR70" s="238"/>
      <c r="AS70" s="238"/>
      <c r="AT70" s="238"/>
      <c r="AU70" s="238"/>
      <c r="AV70" s="238"/>
      <c r="AW70" s="238"/>
      <c r="AX70" s="238"/>
      <c r="AY70" s="238"/>
      <c r="AZ70" s="238"/>
      <c r="BA70" s="238"/>
      <c r="BB70" s="238"/>
      <c r="BC70" s="238"/>
      <c r="BD70" s="238"/>
      <c r="BE70" s="238"/>
    </row>
    <row r="71" spans="1:57" s="1213" customFormat="1" x14ac:dyDescent="0.2">
      <c r="A71" s="1213" t="s">
        <v>1282</v>
      </c>
      <c r="B71" s="238"/>
      <c r="C71" s="238"/>
      <c r="D71" s="238"/>
      <c r="E71" s="238"/>
      <c r="F71" s="238"/>
      <c r="G71" s="238"/>
      <c r="H71" s="1216">
        <f t="shared" ref="H71:Q76" si="32">H64/D64-1</f>
        <v>0</v>
      </c>
      <c r="I71" s="1216">
        <f t="shared" si="32"/>
        <v>2.6960784313725616E-2</v>
      </c>
      <c r="J71" s="1216">
        <f t="shared" si="32"/>
        <v>3.473945409429291E-2</v>
      </c>
      <c r="K71" s="1216">
        <f t="shared" si="32"/>
        <v>4.3269230769230616E-2</v>
      </c>
      <c r="L71" s="1216">
        <f t="shared" si="32"/>
        <v>3.6649214659685736E-2</v>
      </c>
      <c r="M71" s="1216">
        <f t="shared" si="32"/>
        <v>4.7732696897374804E-2</v>
      </c>
      <c r="N71" s="1216">
        <f t="shared" si="32"/>
        <v>3.8369304556354678E-2</v>
      </c>
      <c r="O71" s="1216">
        <f t="shared" si="32"/>
        <v>3.9170506912442393E-2</v>
      </c>
      <c r="P71" s="1216">
        <f t="shared" si="32"/>
        <v>3.2828282828282651E-2</v>
      </c>
      <c r="Q71" s="1216">
        <f t="shared" si="32"/>
        <v>5.0113895216401083E-2</v>
      </c>
      <c r="R71" s="1216">
        <f t="shared" ref="R71:AA76" si="33">R64/N64-1</f>
        <v>7.621247113163987E-2</v>
      </c>
      <c r="S71" s="1216">
        <f t="shared" si="33"/>
        <v>8.6474501108647406E-2</v>
      </c>
      <c r="T71" s="1216">
        <f t="shared" si="33"/>
        <v>0.12224938875305624</v>
      </c>
      <c r="U71" s="1216">
        <f t="shared" si="33"/>
        <v>0.15184381778741862</v>
      </c>
      <c r="V71" s="1216">
        <f t="shared" si="33"/>
        <v>0.56866952789699554</v>
      </c>
      <c r="W71" s="1216">
        <f t="shared" si="33"/>
        <v>0.6020408163265305</v>
      </c>
      <c r="X71" s="1216">
        <f t="shared" si="33"/>
        <v>0.579520697167756</v>
      </c>
      <c r="Y71" s="1216">
        <f t="shared" si="33"/>
        <v>0.51600753295668556</v>
      </c>
      <c r="Z71" s="1216">
        <f t="shared" si="33"/>
        <v>9.9863201094391396E-2</v>
      </c>
      <c r="AA71" s="1216">
        <f t="shared" si="33"/>
        <v>9.9363057324840742E-2</v>
      </c>
      <c r="AB71" s="1216">
        <f t="shared" ref="AB71:AE76" si="34">AB64/X64-1</f>
        <v>8.4137931034482749E-2</v>
      </c>
      <c r="AC71" s="1216">
        <f t="shared" si="34"/>
        <v>8.0000000000000071E-2</v>
      </c>
      <c r="AD71" s="1216">
        <f t="shared" si="34"/>
        <v>8.0000000000000071E-2</v>
      </c>
      <c r="AE71" s="1216">
        <f t="shared" si="34"/>
        <v>8.0000000000000071E-2</v>
      </c>
      <c r="AF71" s="1216">
        <f t="shared" ref="AF71:AF76" si="35">AF64/AB64-1</f>
        <v>7.0000000000000062E-2</v>
      </c>
      <c r="AG71" s="1216">
        <f t="shared" ref="AG71:AG76" si="36">AG64/AC64-1</f>
        <v>7.0000000000000062E-2</v>
      </c>
      <c r="AH71" s="1216">
        <f t="shared" ref="AH71:AH76" si="37">AH64/AD64-1</f>
        <v>7.0000000000000062E-2</v>
      </c>
      <c r="AI71" s="1216">
        <f t="shared" ref="AI71:AI76" si="38">AI64/AE64-1</f>
        <v>7.0000000000000062E-2</v>
      </c>
      <c r="AJ71" s="1216"/>
      <c r="AK71" s="1216"/>
      <c r="AL71" s="1216"/>
      <c r="AM71" s="1216"/>
      <c r="AN71" s="1216"/>
      <c r="AO71" s="1216"/>
      <c r="AP71" s="1216"/>
      <c r="AQ71" s="1216"/>
      <c r="AR71" s="238"/>
      <c r="AS71" s="238"/>
      <c r="AT71" s="238"/>
      <c r="AU71" s="1216"/>
      <c r="AV71" s="1216">
        <f t="shared" ref="AV71:AV76" si="39">AV64/AU64-1</f>
        <v>2.672467371037901E-2</v>
      </c>
      <c r="AW71" s="1216">
        <f t="shared" ref="AW71:BE71" si="40">AW64/AV64-1</f>
        <v>4.0556900726392398E-2</v>
      </c>
      <c r="AX71" s="1216">
        <f t="shared" si="40"/>
        <v>6.2245491564863142E-2</v>
      </c>
      <c r="AY71" s="1216">
        <f t="shared" si="40"/>
        <v>0.37239868565169765</v>
      </c>
      <c r="AZ71" s="1216">
        <f t="shared" si="40"/>
        <v>0.27573822825219474</v>
      </c>
      <c r="BA71" s="1216">
        <f t="shared" si="40"/>
        <v>8.0938379730997934E-2</v>
      </c>
      <c r="BB71" s="1216">
        <f t="shared" si="40"/>
        <v>7.0000000000000062E-2</v>
      </c>
      <c r="BC71" s="1216">
        <f t="shared" si="40"/>
        <v>6.0000000000000053E-2</v>
      </c>
      <c r="BD71" s="1216">
        <f t="shared" si="40"/>
        <v>6.0000000000000053E-2</v>
      </c>
      <c r="BE71" s="1216">
        <f t="shared" si="40"/>
        <v>6.0000000000000053E-2</v>
      </c>
    </row>
    <row r="72" spans="1:57" s="1213" customFormat="1" x14ac:dyDescent="0.2">
      <c r="A72" s="1213" t="s">
        <v>1283</v>
      </c>
      <c r="B72" s="238"/>
      <c r="C72" s="238"/>
      <c r="D72" s="238"/>
      <c r="E72" s="238"/>
      <c r="F72" s="238"/>
      <c r="G72" s="238"/>
      <c r="H72" s="1216">
        <f t="shared" si="32"/>
        <v>0.15384615384615397</v>
      </c>
      <c r="I72" s="1216">
        <f t="shared" si="32"/>
        <v>0.25641025641025661</v>
      </c>
      <c r="J72" s="1216">
        <f t="shared" si="32"/>
        <v>0.16279069767441867</v>
      </c>
      <c r="K72" s="1216">
        <f t="shared" si="32"/>
        <v>0.10000000000000009</v>
      </c>
      <c r="L72" s="1216">
        <f t="shared" si="32"/>
        <v>0</v>
      </c>
      <c r="M72" s="1216">
        <f t="shared" si="32"/>
        <v>0</v>
      </c>
      <c r="N72" s="1216">
        <f t="shared" si="32"/>
        <v>-1.9999999999999907E-2</v>
      </c>
      <c r="O72" s="1216">
        <f t="shared" si="32"/>
        <v>-9.0909090909090939E-2</v>
      </c>
      <c r="P72" s="1216">
        <f t="shared" si="32"/>
        <v>-8.8888888888889017E-2</v>
      </c>
      <c r="Q72" s="1216">
        <f t="shared" si="32"/>
        <v>-0.1428571428571429</v>
      </c>
      <c r="R72" s="1216">
        <f t="shared" si="33"/>
        <v>-0.18367346938775519</v>
      </c>
      <c r="S72" s="1216">
        <f t="shared" si="33"/>
        <v>-0.11999999999999988</v>
      </c>
      <c r="T72" s="1216">
        <f t="shared" si="33"/>
        <v>-9.7560975609755962E-2</v>
      </c>
      <c r="U72" s="1216">
        <f t="shared" si="33"/>
        <v>-9.5238095238095344E-2</v>
      </c>
      <c r="V72" s="1216">
        <f t="shared" si="33"/>
        <v>-5.0000000000000044E-2</v>
      </c>
      <c r="W72" s="1216">
        <f t="shared" si="33"/>
        <v>-9.0909090909090939E-2</v>
      </c>
      <c r="X72" s="1216">
        <f t="shared" si="33"/>
        <v>-2.7027027027027084E-2</v>
      </c>
      <c r="Y72" s="1216">
        <f t="shared" si="33"/>
        <v>7.8947368421052655E-2</v>
      </c>
      <c r="Z72" s="1216">
        <f t="shared" si="33"/>
        <v>0.10526315789473695</v>
      </c>
      <c r="AA72" s="1216">
        <f t="shared" si="33"/>
        <v>0.125</v>
      </c>
      <c r="AB72" s="1216">
        <f t="shared" si="34"/>
        <v>0.16666666666666674</v>
      </c>
      <c r="AC72" s="1216">
        <f t="shared" si="34"/>
        <v>0.12000000000000011</v>
      </c>
      <c r="AD72" s="1216">
        <f t="shared" si="34"/>
        <v>0.10000000000000009</v>
      </c>
      <c r="AE72" s="1216">
        <f t="shared" si="34"/>
        <v>9.000000000000008E-2</v>
      </c>
      <c r="AF72" s="1216">
        <f t="shared" si="35"/>
        <v>8.0000000000000071E-2</v>
      </c>
      <c r="AG72" s="1216">
        <f t="shared" si="36"/>
        <v>7.0000000000000062E-2</v>
      </c>
      <c r="AH72" s="1216">
        <f t="shared" si="37"/>
        <v>6.0000000000000053E-2</v>
      </c>
      <c r="AI72" s="1216">
        <f t="shared" si="38"/>
        <v>6.0000000000000053E-2</v>
      </c>
      <c r="AJ72" s="1216"/>
      <c r="AK72" s="1216"/>
      <c r="AL72" s="1216"/>
      <c r="AM72" s="1216"/>
      <c r="AN72" s="1216"/>
      <c r="AO72" s="1216"/>
      <c r="AP72" s="1216"/>
      <c r="AQ72" s="1216"/>
      <c r="AR72" s="238"/>
      <c r="AS72" s="238"/>
      <c r="AT72" s="238"/>
      <c r="AU72" s="1216"/>
      <c r="AV72" s="1216">
        <f t="shared" si="39"/>
        <v>0.1637426900584793</v>
      </c>
      <c r="AW72" s="1216">
        <f t="shared" ref="AW72:BE76" si="41">AW65/AV65-1</f>
        <v>-3.015075376884413E-2</v>
      </c>
      <c r="AX72" s="1216">
        <f t="shared" si="41"/>
        <v>-0.13471502590673567</v>
      </c>
      <c r="AY72" s="1216">
        <f t="shared" si="41"/>
        <v>-8.3832335329341423E-2</v>
      </c>
      <c r="AZ72" s="1216">
        <f t="shared" si="41"/>
        <v>7.1895424836601274E-2</v>
      </c>
      <c r="BA72" s="1216">
        <f t="shared" si="41"/>
        <v>0.11689024390243907</v>
      </c>
      <c r="BB72" s="1216">
        <f t="shared" si="41"/>
        <v>6.7092864552055653E-2</v>
      </c>
      <c r="BC72" s="1216">
        <f t="shared" si="41"/>
        <v>6.0000000000000053E-2</v>
      </c>
      <c r="BD72" s="1216">
        <f t="shared" si="41"/>
        <v>6.0000000000000053E-2</v>
      </c>
      <c r="BE72" s="1216">
        <f t="shared" si="41"/>
        <v>6.0000000000000053E-2</v>
      </c>
    </row>
    <row r="73" spans="1:57" s="1213" customFormat="1" x14ac:dyDescent="0.2">
      <c r="A73" s="1213" t="s">
        <v>1284</v>
      </c>
      <c r="B73" s="238"/>
      <c r="C73" s="238"/>
      <c r="D73" s="238"/>
      <c r="E73" s="238"/>
      <c r="F73" s="238"/>
      <c r="G73" s="238"/>
      <c r="H73" s="1216">
        <f t="shared" si="32"/>
        <v>4.8387096774193505E-2</v>
      </c>
      <c r="I73" s="1216">
        <f t="shared" si="32"/>
        <v>7.5675675675675569E-2</v>
      </c>
      <c r="J73" s="1216">
        <f t="shared" si="32"/>
        <v>1.0638297872340496E-2</v>
      </c>
      <c r="K73" s="1216">
        <f t="shared" si="32"/>
        <v>-9.7087378640777766E-3</v>
      </c>
      <c r="L73" s="1216">
        <f t="shared" si="32"/>
        <v>-3.5897435897435881E-2</v>
      </c>
      <c r="M73" s="1216">
        <f t="shared" si="32"/>
        <v>5.0251256281408363E-3</v>
      </c>
      <c r="N73" s="1216">
        <f t="shared" si="32"/>
        <v>6.315789473684208E-2</v>
      </c>
      <c r="O73" s="1216">
        <f t="shared" si="32"/>
        <v>0</v>
      </c>
      <c r="P73" s="1216">
        <f t="shared" si="32"/>
        <v>-1.0638297872340385E-2</v>
      </c>
      <c r="Q73" s="1216">
        <f t="shared" si="32"/>
        <v>-4.0000000000000036E-2</v>
      </c>
      <c r="R73" s="1216">
        <f t="shared" si="33"/>
        <v>-9.9009900990098987E-2</v>
      </c>
      <c r="S73" s="1216">
        <f t="shared" si="33"/>
        <v>-5.39215686274509E-2</v>
      </c>
      <c r="T73" s="1216">
        <f t="shared" si="33"/>
        <v>-2.6881720430107503E-2</v>
      </c>
      <c r="U73" s="1216">
        <f t="shared" si="33"/>
        <v>-2.604166666666663E-2</v>
      </c>
      <c r="V73" s="1216">
        <f t="shared" si="33"/>
        <v>2.7472527472527375E-2</v>
      </c>
      <c r="W73" s="1216">
        <f t="shared" si="33"/>
        <v>5.1813471502588637E-3</v>
      </c>
      <c r="X73" s="1216">
        <f t="shared" si="33"/>
        <v>6.0773480662983381E-2</v>
      </c>
      <c r="Y73" s="1216">
        <f t="shared" si="33"/>
        <v>7.4866310160427885E-2</v>
      </c>
      <c r="Z73" s="1216">
        <f t="shared" si="33"/>
        <v>8.5561497326203328E-2</v>
      </c>
      <c r="AA73" s="1216">
        <f t="shared" si="33"/>
        <v>0.12886597938144329</v>
      </c>
      <c r="AB73" s="1216">
        <f t="shared" si="34"/>
        <v>0.11979166666666674</v>
      </c>
      <c r="AC73" s="1216">
        <f t="shared" si="34"/>
        <v>0.10000000000000009</v>
      </c>
      <c r="AD73" s="1216">
        <f t="shared" si="34"/>
        <v>9.000000000000008E-2</v>
      </c>
      <c r="AE73" s="1216">
        <f t="shared" si="34"/>
        <v>8.0000000000000071E-2</v>
      </c>
      <c r="AF73" s="1216">
        <f t="shared" si="35"/>
        <v>7.0000000000000062E-2</v>
      </c>
      <c r="AG73" s="1216">
        <f t="shared" si="36"/>
        <v>6.0000000000000053E-2</v>
      </c>
      <c r="AH73" s="1216">
        <f t="shared" si="37"/>
        <v>6.0000000000000053E-2</v>
      </c>
      <c r="AI73" s="1216">
        <f t="shared" si="38"/>
        <v>6.0000000000000053E-2</v>
      </c>
      <c r="AJ73" s="1216"/>
      <c r="AK73" s="1216"/>
      <c r="AL73" s="1216"/>
      <c r="AM73" s="1216"/>
      <c r="AN73" s="1216"/>
      <c r="AO73" s="1216"/>
      <c r="AP73" s="1216"/>
      <c r="AQ73" s="1216"/>
      <c r="AR73" s="238"/>
      <c r="AS73" s="238"/>
      <c r="AT73" s="238"/>
      <c r="AU73" s="1216"/>
      <c r="AV73" s="1216">
        <f t="shared" si="39"/>
        <v>3.0065359477124076E-2</v>
      </c>
      <c r="AW73" s="1216">
        <f t="shared" si="41"/>
        <v>7.6142131979697325E-3</v>
      </c>
      <c r="AX73" s="1216">
        <f t="shared" si="41"/>
        <v>-5.1637279596977392E-2</v>
      </c>
      <c r="AY73" s="1216">
        <f t="shared" si="41"/>
        <v>-5.312084993359778E-3</v>
      </c>
      <c r="AZ73" s="1216">
        <f t="shared" si="41"/>
        <v>8.8117489986648811E-2</v>
      </c>
      <c r="BA73" s="1216">
        <f t="shared" si="41"/>
        <v>9.6797546012269864E-2</v>
      </c>
      <c r="BB73" s="1216">
        <f t="shared" si="41"/>
        <v>6.2405217644229349E-2</v>
      </c>
      <c r="BC73" s="1216">
        <f t="shared" si="41"/>
        <v>6.0000000000000053E-2</v>
      </c>
      <c r="BD73" s="1216">
        <f t="shared" si="41"/>
        <v>6.0000000000000053E-2</v>
      </c>
      <c r="BE73" s="1216">
        <f t="shared" si="41"/>
        <v>6.0000000000000053E-2</v>
      </c>
    </row>
    <row r="74" spans="1:57" s="1213" customFormat="1" x14ac:dyDescent="0.2">
      <c r="A74" s="1213" t="s">
        <v>1288</v>
      </c>
      <c r="B74" s="238"/>
      <c r="C74" s="238"/>
      <c r="D74" s="238"/>
      <c r="E74" s="238"/>
      <c r="F74" s="238"/>
      <c r="G74" s="238"/>
      <c r="H74" s="1216">
        <f t="shared" si="32"/>
        <v>6.6666666666666652E-2</v>
      </c>
      <c r="I74" s="1216">
        <f t="shared" si="32"/>
        <v>0.10714285714285698</v>
      </c>
      <c r="J74" s="1216">
        <f t="shared" si="32"/>
        <v>3.8961038961038863E-2</v>
      </c>
      <c r="K74" s="1216">
        <f t="shared" si="32"/>
        <v>1.1718749999999778E-2</v>
      </c>
      <c r="L74" s="1216">
        <f t="shared" si="32"/>
        <v>-2.9166666666666674E-2</v>
      </c>
      <c r="M74" s="1216">
        <f t="shared" si="32"/>
        <v>4.0322580645162365E-3</v>
      </c>
      <c r="N74" s="1216">
        <f t="shared" si="32"/>
        <v>4.5833333333333393E-2</v>
      </c>
      <c r="O74" s="1216">
        <f t="shared" si="32"/>
        <v>-1.9305019305019266E-2</v>
      </c>
      <c r="P74" s="1216">
        <f t="shared" si="32"/>
        <v>-2.5751072961373245E-2</v>
      </c>
      <c r="Q74" s="1216">
        <f t="shared" si="32"/>
        <v>-6.0240963855421659E-2</v>
      </c>
      <c r="R74" s="1216">
        <f t="shared" si="33"/>
        <v>-0.11553784860557781</v>
      </c>
      <c r="S74" s="1216">
        <f t="shared" si="33"/>
        <v>-6.6929133858267598E-2</v>
      </c>
      <c r="T74" s="1216">
        <f t="shared" si="33"/>
        <v>-3.9647577092511099E-2</v>
      </c>
      <c r="U74" s="1216">
        <f t="shared" si="33"/>
        <v>-3.8461538461538436E-2</v>
      </c>
      <c r="V74" s="1216">
        <f t="shared" si="33"/>
        <v>1.3513513513513598E-2</v>
      </c>
      <c r="W74" s="1216">
        <f t="shared" si="33"/>
        <v>-1.2658227848101444E-2</v>
      </c>
      <c r="X74" s="1216">
        <f t="shared" si="33"/>
        <v>4.587155963302747E-2</v>
      </c>
      <c r="Y74" s="1216">
        <f t="shared" si="33"/>
        <v>7.5555555555555598E-2</v>
      </c>
      <c r="Z74" s="1216">
        <f t="shared" si="33"/>
        <v>8.8888888888888795E-2</v>
      </c>
      <c r="AA74" s="1216">
        <f t="shared" si="33"/>
        <v>0.12820512820512819</v>
      </c>
      <c r="AB74" s="1216">
        <f t="shared" si="34"/>
        <v>0.12719298245614019</v>
      </c>
      <c r="AC74" s="1216">
        <f t="shared" si="34"/>
        <v>0.10338842975206597</v>
      </c>
      <c r="AD74" s="1216">
        <f t="shared" si="34"/>
        <v>9.1714285714285859E-2</v>
      </c>
      <c r="AE74" s="1216">
        <f t="shared" si="34"/>
        <v>8.170454545454553E-2</v>
      </c>
      <c r="AF74" s="1216">
        <f t="shared" si="35"/>
        <v>7.1634241245136288E-2</v>
      </c>
      <c r="AG74" s="1216">
        <f t="shared" si="36"/>
        <v>6.171972136918602E-2</v>
      </c>
      <c r="AH74" s="1216">
        <f t="shared" si="37"/>
        <v>6.0000000000000053E-2</v>
      </c>
      <c r="AI74" s="1216">
        <f t="shared" si="38"/>
        <v>6.0000000000000053E-2</v>
      </c>
      <c r="AJ74" s="1216"/>
      <c r="AK74" s="1216"/>
      <c r="AL74" s="1216"/>
      <c r="AM74" s="1216"/>
      <c r="AN74" s="1216"/>
      <c r="AO74" s="1216"/>
      <c r="AP74" s="1216"/>
      <c r="AQ74" s="1216"/>
      <c r="AR74" s="238"/>
      <c r="AS74" s="238"/>
      <c r="AT74" s="238"/>
      <c r="AU74" s="1216"/>
      <c r="AV74" s="1216">
        <f t="shared" si="39"/>
        <v>5.4487179487179516E-2</v>
      </c>
      <c r="AW74" s="1216">
        <f t="shared" si="41"/>
        <v>0</v>
      </c>
      <c r="AX74" s="1216">
        <f t="shared" si="41"/>
        <v>-6.7882472137791305E-2</v>
      </c>
      <c r="AY74" s="1216">
        <f t="shared" si="41"/>
        <v>-1.9565217391304346E-2</v>
      </c>
      <c r="AZ74" s="1216">
        <f t="shared" si="41"/>
        <v>8.5365853658536661E-2</v>
      </c>
      <c r="BA74" s="1216">
        <f t="shared" si="41"/>
        <v>0.10016343207354428</v>
      </c>
      <c r="BB74" s="1216">
        <f t="shared" si="41"/>
        <v>6.3202421406421516E-2</v>
      </c>
      <c r="BC74" s="1216">
        <f t="shared" si="41"/>
        <v>6.0000000000000053E-2</v>
      </c>
      <c r="BD74" s="1216">
        <f t="shared" si="41"/>
        <v>6.0000000000000053E-2</v>
      </c>
      <c r="BE74" s="1216">
        <f t="shared" si="41"/>
        <v>6.0000000000000053E-2</v>
      </c>
    </row>
    <row r="75" spans="1:57" s="1213" customFormat="1" x14ac:dyDescent="0.2">
      <c r="A75" s="1213" t="s">
        <v>1285</v>
      </c>
      <c r="B75" s="238"/>
      <c r="C75" s="238"/>
      <c r="D75" s="238"/>
      <c r="E75" s="238"/>
      <c r="F75" s="238"/>
      <c r="G75" s="238"/>
      <c r="H75" s="1216">
        <f t="shared" si="32"/>
        <v>2.4711696869851751E-2</v>
      </c>
      <c r="I75" s="1216">
        <f t="shared" si="32"/>
        <v>5.5379746835442889E-2</v>
      </c>
      <c r="J75" s="1216">
        <f t="shared" si="32"/>
        <v>3.6277602523659525E-2</v>
      </c>
      <c r="K75" s="1216">
        <f t="shared" si="32"/>
        <v>3.125E-2</v>
      </c>
      <c r="L75" s="1216">
        <f t="shared" si="32"/>
        <v>1.12540192926045E-2</v>
      </c>
      <c r="M75" s="1216">
        <f t="shared" si="32"/>
        <v>3.1484257871064569E-2</v>
      </c>
      <c r="N75" s="1216">
        <f t="shared" si="32"/>
        <v>4.1095890410958624E-2</v>
      </c>
      <c r="O75" s="1216">
        <f t="shared" si="32"/>
        <v>1.7316017316017396E-2</v>
      </c>
      <c r="P75" s="1216">
        <f t="shared" si="32"/>
        <v>1.11287758346581E-2</v>
      </c>
      <c r="Q75" s="1216">
        <f t="shared" si="32"/>
        <v>1.0174418604651292E-2</v>
      </c>
      <c r="R75" s="1216">
        <f t="shared" si="33"/>
        <v>5.8479532163744352E-3</v>
      </c>
      <c r="S75" s="1216">
        <f t="shared" si="33"/>
        <v>3.1205673758865293E-2</v>
      </c>
      <c r="T75" s="1216">
        <f t="shared" si="33"/>
        <v>6.4465408805031377E-2</v>
      </c>
      <c r="U75" s="1216">
        <f t="shared" si="33"/>
        <v>8.776978417266168E-2</v>
      </c>
      <c r="V75" s="1216">
        <f t="shared" si="33"/>
        <v>0.38953488372093026</v>
      </c>
      <c r="W75" s="1216">
        <f t="shared" si="33"/>
        <v>0.40165061898211829</v>
      </c>
      <c r="X75" s="1216">
        <f t="shared" si="33"/>
        <v>0.40768094534711952</v>
      </c>
      <c r="Y75" s="1216">
        <f t="shared" si="33"/>
        <v>0.38492063492063489</v>
      </c>
      <c r="Z75" s="1216">
        <f t="shared" si="33"/>
        <v>9.7280334728033546E-2</v>
      </c>
      <c r="AA75" s="1216">
        <f t="shared" si="33"/>
        <v>0.10598626104023534</v>
      </c>
      <c r="AB75" s="1216">
        <f t="shared" si="34"/>
        <v>9.4438614900314688E-2</v>
      </c>
      <c r="AC75" s="1216">
        <f t="shared" si="34"/>
        <v>8.540592168099348E-2</v>
      </c>
      <c r="AD75" s="1216">
        <f t="shared" si="34"/>
        <v>8.2735938989513924E-2</v>
      </c>
      <c r="AE75" s="1216">
        <f t="shared" si="34"/>
        <v>8.0399290150843239E-2</v>
      </c>
      <c r="AF75" s="1216">
        <f t="shared" si="35"/>
        <v>7.0402684563758422E-2</v>
      </c>
      <c r="AG75" s="1216">
        <f t="shared" si="36"/>
        <v>6.8054416500941572E-2</v>
      </c>
      <c r="AH75" s="1216">
        <f t="shared" si="37"/>
        <v>6.7645075233978114E-2</v>
      </c>
      <c r="AI75" s="1216">
        <f t="shared" si="38"/>
        <v>6.765466775075768E-2</v>
      </c>
      <c r="AJ75" s="1216"/>
      <c r="AK75" s="1216"/>
      <c r="AL75" s="1216"/>
      <c r="AM75" s="1216"/>
      <c r="AN75" s="1216"/>
      <c r="AO75" s="1216"/>
      <c r="AP75" s="1216"/>
      <c r="AQ75" s="1216"/>
      <c r="AR75" s="238"/>
      <c r="AS75" s="238"/>
      <c r="AT75" s="238"/>
      <c r="AU75" s="1216"/>
      <c r="AV75" s="1216">
        <f t="shared" si="39"/>
        <v>3.6935166994106039E-2</v>
      </c>
      <c r="AW75" s="1216">
        <f t="shared" si="41"/>
        <v>2.5388404698749811E-2</v>
      </c>
      <c r="AX75" s="1216">
        <f t="shared" si="41"/>
        <v>1.4781966001478297E-2</v>
      </c>
      <c r="AY75" s="1216">
        <f t="shared" si="41"/>
        <v>0.24107793153678059</v>
      </c>
      <c r="AZ75" s="1216">
        <f t="shared" si="41"/>
        <v>0.22535211267605648</v>
      </c>
      <c r="BA75" s="1216">
        <f t="shared" si="41"/>
        <v>8.544540229885067E-2</v>
      </c>
      <c r="BB75" s="1216">
        <f t="shared" si="41"/>
        <v>6.8384802396742161E-2</v>
      </c>
      <c r="BC75" s="1216">
        <f t="shared" si="41"/>
        <v>6.0000000000000053E-2</v>
      </c>
      <c r="BD75" s="1216">
        <f t="shared" si="41"/>
        <v>6.0000000000000053E-2</v>
      </c>
      <c r="BE75" s="1216">
        <f t="shared" si="41"/>
        <v>6.0000000000000053E-2</v>
      </c>
    </row>
    <row r="76" spans="1:57" s="1213" customFormat="1" x14ac:dyDescent="0.2">
      <c r="A76" s="1213" t="s">
        <v>1286</v>
      </c>
      <c r="B76" s="238"/>
      <c r="C76" s="238"/>
      <c r="D76" s="238"/>
      <c r="E76" s="238"/>
      <c r="F76" s="238"/>
      <c r="G76" s="238"/>
      <c r="H76" s="1216">
        <f t="shared" si="32"/>
        <v>-1.2903225806451535E-2</v>
      </c>
      <c r="I76" s="1216">
        <f t="shared" si="32"/>
        <v>1.1049723756906049E-2</v>
      </c>
      <c r="J76" s="1216">
        <f t="shared" si="32"/>
        <v>3.4285714285714475E-2</v>
      </c>
      <c r="K76" s="1216">
        <f t="shared" si="32"/>
        <v>0.1421568627450982</v>
      </c>
      <c r="L76" s="1216">
        <f t="shared" si="32"/>
        <v>9.1503267973856106E-2</v>
      </c>
      <c r="M76" s="1216">
        <f t="shared" si="32"/>
        <v>0.11475409836065564</v>
      </c>
      <c r="N76" s="1216">
        <f t="shared" si="32"/>
        <v>8.8397790055248393E-2</v>
      </c>
      <c r="O76" s="1216">
        <f t="shared" si="32"/>
        <v>8.5836909871244149E-3</v>
      </c>
      <c r="P76" s="1216">
        <f t="shared" si="32"/>
        <v>-1.19760479041916E-2</v>
      </c>
      <c r="Q76" s="1216">
        <f t="shared" si="32"/>
        <v>-9.8039215686274161E-3</v>
      </c>
      <c r="R76" s="1216">
        <f t="shared" si="33"/>
        <v>5.0761421319798217E-3</v>
      </c>
      <c r="S76" s="1216">
        <f t="shared" si="33"/>
        <v>0</v>
      </c>
      <c r="T76" s="1216">
        <f t="shared" si="33"/>
        <v>2.4242424242424176E-2</v>
      </c>
      <c r="U76" s="1216">
        <f t="shared" si="33"/>
        <v>-4.9504950495048439E-3</v>
      </c>
      <c r="V76" s="1216">
        <f t="shared" si="33"/>
        <v>-5.050505050505083E-3</v>
      </c>
      <c r="W76" s="1216">
        <f t="shared" si="33"/>
        <v>-1.2765957446808529E-2</v>
      </c>
      <c r="X76" s="1216">
        <f t="shared" si="33"/>
        <v>0</v>
      </c>
      <c r="Y76" s="1216">
        <f t="shared" si="33"/>
        <v>2.4875621890547261E-2</v>
      </c>
      <c r="Z76" s="1216">
        <f t="shared" si="33"/>
        <v>1.5228426395939021E-2</v>
      </c>
      <c r="AA76" s="1216">
        <f t="shared" si="33"/>
        <v>1.7241379310344973E-2</v>
      </c>
      <c r="AB76" s="1216">
        <f t="shared" si="34"/>
        <v>2.9585798816567976E-2</v>
      </c>
      <c r="AC76" s="1216">
        <f t="shared" si="34"/>
        <v>2.4999999999999911E-2</v>
      </c>
      <c r="AD76" s="1216">
        <f t="shared" si="34"/>
        <v>3.0000000000000027E-2</v>
      </c>
      <c r="AE76" s="1216">
        <f t="shared" si="34"/>
        <v>3.0000000000000027E-2</v>
      </c>
      <c r="AF76" s="1216">
        <f t="shared" si="35"/>
        <v>3.0000000000000027E-2</v>
      </c>
      <c r="AG76" s="1216">
        <f t="shared" si="36"/>
        <v>3.0000000000000027E-2</v>
      </c>
      <c r="AH76" s="1216">
        <f t="shared" si="37"/>
        <v>3.0000000000000027E-2</v>
      </c>
      <c r="AI76" s="1216">
        <f t="shared" si="38"/>
        <v>3.0000000000000027E-2</v>
      </c>
      <c r="AJ76" s="1216"/>
      <c r="AK76" s="1216"/>
      <c r="AL76" s="1216"/>
      <c r="AM76" s="1216"/>
      <c r="AN76" s="1216"/>
      <c r="AO76" s="1216"/>
      <c r="AP76" s="1216"/>
      <c r="AQ76" s="1216"/>
      <c r="AR76" s="238"/>
      <c r="AS76" s="238"/>
      <c r="AT76" s="238"/>
      <c r="AU76" s="1216"/>
      <c r="AV76" s="1216">
        <f t="shared" si="39"/>
        <v>4.8951048951048959E-2</v>
      </c>
      <c r="AW76" s="1216">
        <f t="shared" si="41"/>
        <v>7.0666666666666655E-2</v>
      </c>
      <c r="AX76" s="1216">
        <f t="shared" si="41"/>
        <v>-3.7359900373599153E-3</v>
      </c>
      <c r="AY76" s="1216">
        <f t="shared" si="41"/>
        <v>-1.2499999999999734E-3</v>
      </c>
      <c r="AZ76" s="1216">
        <f t="shared" si="41"/>
        <v>1.5018773466833446E-2</v>
      </c>
      <c r="BA76" s="1216">
        <f t="shared" si="41"/>
        <v>2.8643649815043304E-2</v>
      </c>
      <c r="BB76" s="1216">
        <f t="shared" si="41"/>
        <v>3.0000000000000027E-2</v>
      </c>
      <c r="BC76" s="1216">
        <f t="shared" si="41"/>
        <v>4.0000000000000036E-2</v>
      </c>
      <c r="BD76" s="1216">
        <f t="shared" si="41"/>
        <v>4.0000000000000036E-2</v>
      </c>
      <c r="BE76" s="1216">
        <f t="shared" si="41"/>
        <v>4.0000000000000036E-2</v>
      </c>
    </row>
    <row r="77" spans="1:57" s="1213" customFormat="1" x14ac:dyDescent="0.2">
      <c r="A77" s="238"/>
      <c r="B77" s="238"/>
      <c r="C77" s="238"/>
      <c r="D77" s="238"/>
      <c r="E77" s="238"/>
      <c r="F77" s="238"/>
      <c r="G77" s="238"/>
      <c r="H77" s="238"/>
      <c r="I77" s="238"/>
      <c r="J77" s="238"/>
      <c r="K77" s="238"/>
      <c r="L77" s="238"/>
      <c r="M77" s="238"/>
      <c r="N77" s="238"/>
      <c r="O77" s="238"/>
      <c r="P77" s="238"/>
      <c r="Q77" s="238"/>
      <c r="R77" s="238"/>
      <c r="S77" s="238"/>
      <c r="T77" s="238"/>
      <c r="U77" s="238"/>
      <c r="V77" s="238"/>
      <c r="W77" s="238"/>
      <c r="X77" s="238"/>
      <c r="Y77" s="238"/>
      <c r="Z77" s="238"/>
      <c r="AA77" s="238"/>
      <c r="AB77" s="238"/>
      <c r="AC77" s="238"/>
      <c r="AD77" s="238"/>
      <c r="AE77" s="238"/>
      <c r="AF77" s="238"/>
      <c r="AG77" s="238"/>
      <c r="AH77" s="238"/>
      <c r="AI77" s="238"/>
      <c r="AJ77" s="238"/>
      <c r="AK77" s="238"/>
      <c r="AL77" s="238"/>
      <c r="AM77" s="238"/>
      <c r="AN77" s="238"/>
      <c r="AO77" s="238"/>
      <c r="AP77" s="238"/>
      <c r="AQ77" s="238"/>
      <c r="AR77" s="238"/>
      <c r="AS77" s="238"/>
      <c r="AT77" s="238"/>
      <c r="AU77" s="238"/>
      <c r="AV77" s="238"/>
      <c r="AW77" s="238"/>
      <c r="AX77" s="238"/>
      <c r="AY77" s="238"/>
      <c r="AZ77" s="238"/>
      <c r="BA77" s="238"/>
      <c r="BB77" s="238"/>
      <c r="BC77" s="238"/>
      <c r="BD77" s="238"/>
      <c r="BE77" s="238"/>
    </row>
    <row r="78" spans="1:57" s="1213" customFormat="1" x14ac:dyDescent="0.2">
      <c r="A78" s="238"/>
      <c r="B78" s="238"/>
      <c r="C78" s="238"/>
      <c r="D78" s="238"/>
      <c r="E78" s="238"/>
      <c r="F78" s="238"/>
      <c r="G78" s="238"/>
      <c r="H78" s="238"/>
      <c r="I78" s="238"/>
      <c r="J78" s="238"/>
      <c r="K78" s="238"/>
      <c r="L78" s="238"/>
      <c r="M78" s="238"/>
      <c r="N78" s="238"/>
      <c r="O78" s="238"/>
      <c r="P78" s="238"/>
      <c r="Q78" s="238"/>
      <c r="R78" s="238"/>
      <c r="S78" s="238"/>
      <c r="T78" s="238"/>
      <c r="U78" s="238"/>
      <c r="V78" s="238"/>
      <c r="W78" s="238"/>
      <c r="X78" s="238"/>
      <c r="Y78" s="238"/>
      <c r="Z78" s="238"/>
      <c r="AA78" s="238"/>
      <c r="AB78" s="238"/>
      <c r="AC78" s="238"/>
      <c r="AD78" s="238"/>
      <c r="AE78" s="238"/>
      <c r="AF78" s="238"/>
      <c r="AG78" s="238"/>
      <c r="AH78" s="238"/>
      <c r="AI78" s="238"/>
      <c r="AJ78" s="238"/>
      <c r="AK78" s="238"/>
      <c r="AL78" s="238"/>
      <c r="AM78" s="238"/>
      <c r="AN78" s="238"/>
      <c r="AO78" s="238"/>
      <c r="AP78" s="238"/>
      <c r="AQ78" s="238"/>
      <c r="AR78" s="238"/>
      <c r="AS78" s="238"/>
      <c r="AT78" s="238"/>
      <c r="AU78" s="238"/>
      <c r="AV78" s="238"/>
      <c r="AW78" s="238"/>
      <c r="AX78" s="238"/>
      <c r="AY78" s="238"/>
      <c r="AZ78" s="238"/>
      <c r="BA78" s="238"/>
      <c r="BB78" s="238"/>
      <c r="BC78" s="238"/>
      <c r="BD78" s="238"/>
      <c r="BE78" s="238"/>
    </row>
    <row r="79" spans="1:57" s="395" customFormat="1" x14ac:dyDescent="0.2">
      <c r="A79" s="395" t="s">
        <v>720</v>
      </c>
      <c r="D79" s="396"/>
      <c r="E79" s="396"/>
      <c r="F79" s="396"/>
      <c r="G79" s="396"/>
      <c r="H79" s="396"/>
      <c r="I79" s="396"/>
      <c r="J79" s="396"/>
      <c r="K79" s="396"/>
      <c r="L79" s="396"/>
      <c r="M79" s="396"/>
      <c r="N79" s="396"/>
      <c r="O79" s="396"/>
      <c r="P79" s="396"/>
      <c r="Q79" s="396"/>
      <c r="R79" s="396"/>
      <c r="S79" s="396"/>
      <c r="T79" s="396"/>
      <c r="U79" s="396"/>
      <c r="V79" s="396"/>
      <c r="W79" s="396"/>
      <c r="X79" s="396"/>
      <c r="Y79" s="396"/>
      <c r="Z79" s="396"/>
      <c r="AA79" s="396"/>
      <c r="AB79" s="396"/>
      <c r="AC79" s="396"/>
      <c r="AD79" s="396"/>
      <c r="AE79" s="396"/>
      <c r="AF79" s="396"/>
      <c r="AG79" s="396"/>
      <c r="AH79" s="396"/>
      <c r="AI79" s="396"/>
      <c r="AJ79" s="396"/>
      <c r="AK79" s="396"/>
      <c r="AL79" s="396"/>
      <c r="AM79" s="396"/>
      <c r="AN79" s="396"/>
      <c r="AO79" s="396"/>
      <c r="AP79" s="396"/>
      <c r="AQ79" s="396"/>
      <c r="AR79" s="396"/>
      <c r="AS79" s="396"/>
      <c r="AT79" s="396"/>
      <c r="AU79" s="396"/>
      <c r="AV79" s="396"/>
      <c r="AW79" s="396"/>
      <c r="AX79" s="396"/>
      <c r="AY79" s="396"/>
      <c r="AZ79" s="396"/>
      <c r="BA79" s="396"/>
      <c r="BB79" s="396"/>
      <c r="BC79" s="396"/>
      <c r="BD79" s="396"/>
      <c r="BE79" s="396"/>
    </row>
    <row r="80" spans="1:57" s="19" customFormat="1" x14ac:dyDescent="0.2">
      <c r="D80" s="107"/>
      <c r="E80" s="107"/>
      <c r="F80" s="107"/>
      <c r="G80" s="107"/>
      <c r="H80" s="107"/>
      <c r="I80" s="107"/>
      <c r="J80" s="107"/>
      <c r="K80" s="107"/>
      <c r="L80" s="107"/>
      <c r="M80" s="107"/>
      <c r="N80" s="107"/>
      <c r="O80" s="107"/>
      <c r="P80" s="107"/>
      <c r="Q80" s="107"/>
      <c r="R80" s="107"/>
      <c r="S80" s="107"/>
      <c r="T80" s="107"/>
      <c r="U80" s="107"/>
      <c r="V80" s="107"/>
      <c r="W80" s="107"/>
      <c r="X80" s="107"/>
      <c r="Y80" s="107"/>
      <c r="Z80" s="107"/>
      <c r="AA80" s="107"/>
      <c r="AB80" s="107"/>
      <c r="AC80" s="107"/>
      <c r="AD80" s="107"/>
      <c r="AE80" s="107"/>
      <c r="AF80" s="107"/>
      <c r="AG80" s="107"/>
      <c r="AH80" s="107"/>
      <c r="AI80" s="107"/>
      <c r="AJ80" s="107"/>
      <c r="AK80" s="107"/>
      <c r="AL80" s="107"/>
      <c r="AM80" s="107"/>
      <c r="AN80" s="107"/>
      <c r="AO80" s="107"/>
      <c r="AP80" s="107"/>
      <c r="AQ80" s="107"/>
      <c r="AU80" s="107"/>
      <c r="AV80" s="107"/>
      <c r="AW80" s="107"/>
      <c r="AX80" s="107"/>
      <c r="AY80" s="107"/>
      <c r="AZ80" s="107"/>
      <c r="BA80" s="107"/>
      <c r="BB80" s="107"/>
      <c r="BC80" s="107"/>
      <c r="BD80" s="107"/>
      <c r="BE80" s="107"/>
    </row>
    <row r="81" spans="1:57" x14ac:dyDescent="0.2">
      <c r="A81" s="238" t="s">
        <v>721</v>
      </c>
      <c r="B81" s="238"/>
      <c r="C81" s="238"/>
      <c r="D81" s="33">
        <f>Model!D749</f>
        <v>17294</v>
      </c>
      <c r="E81" s="33">
        <f>Model!E749</f>
        <v>16686</v>
      </c>
      <c r="F81" s="33">
        <f>Model!F749</f>
        <v>16737</v>
      </c>
      <c r="G81" s="33">
        <f>Model!G749</f>
        <v>16581</v>
      </c>
      <c r="H81" s="33">
        <f>Model!H749</f>
        <v>15960</v>
      </c>
      <c r="I81" s="33">
        <f>Model!I749</f>
        <v>15840</v>
      </c>
      <c r="J81" s="33">
        <f>Model!J749</f>
        <v>15463</v>
      </c>
      <c r="K81" s="33">
        <f>Model!K749</f>
        <v>15707</v>
      </c>
      <c r="L81" s="33">
        <f>Model!L749</f>
        <v>15350</v>
      </c>
      <c r="M81" s="33">
        <f>Model!M749</f>
        <v>15561</v>
      </c>
      <c r="N81" s="33">
        <f>Model!N749</f>
        <v>15512</v>
      </c>
      <c r="O81" s="33">
        <f>Model!O749</f>
        <v>15260</v>
      </c>
      <c r="P81" s="33">
        <f>Model!P749</f>
        <v>14600</v>
      </c>
      <c r="Q81" s="33">
        <f>Model!Q749</f>
        <v>14873</v>
      </c>
      <c r="R81" s="33">
        <f>Model!R749</f>
        <v>14714</v>
      </c>
      <c r="S81" s="33">
        <f>Model!S749</f>
        <v>14364</v>
      </c>
      <c r="T81" s="33">
        <f>Model!T749</f>
        <v>14167</v>
      </c>
      <c r="U81" s="33">
        <f>Model!U749</f>
        <v>14356</v>
      </c>
      <c r="V81" s="33">
        <f>Model!V749</f>
        <v>14653</v>
      </c>
      <c r="W81" s="33">
        <f>Model!W749</f>
        <v>14439</v>
      </c>
      <c r="X81" s="144">
        <f>Model!X749</f>
        <v>14521</v>
      </c>
      <c r="Y81" s="144">
        <f>Model!Y749</f>
        <v>15294</v>
      </c>
      <c r="Z81" s="144">
        <f>Model!Z749</f>
        <v>15914</v>
      </c>
      <c r="AA81" s="144">
        <f>Model!AA749</f>
        <v>15850</v>
      </c>
      <c r="AB81" s="144">
        <f>Model!AB749</f>
        <v>16332</v>
      </c>
      <c r="AC81" s="144" t="str">
        <f>Model!AC749</f>
        <v>NF</v>
      </c>
      <c r="AD81" s="144" t="str">
        <f>Model!AD749</f>
        <v>NF</v>
      </c>
      <c r="AE81" s="144" t="str">
        <f>Model!AE749</f>
        <v>NF</v>
      </c>
      <c r="AF81" s="144" t="str">
        <f>Model!AF749</f>
        <v>NF</v>
      </c>
      <c r="AG81" s="144" t="str">
        <f>Model!AG749</f>
        <v>NF</v>
      </c>
      <c r="AH81" s="144" t="str">
        <f>Model!AH749</f>
        <v>NF</v>
      </c>
      <c r="AI81" s="144" t="str">
        <f>Model!AI749</f>
        <v>NF</v>
      </c>
      <c r="AJ81" s="144"/>
      <c r="AK81" s="144"/>
      <c r="AL81" s="144"/>
      <c r="AM81" s="144"/>
      <c r="AN81" s="144"/>
      <c r="AO81" s="144"/>
      <c r="AP81" s="144"/>
      <c r="AQ81" s="144"/>
      <c r="AU81" s="144">
        <f>Model!AU749</f>
        <v>67298</v>
      </c>
      <c r="AV81" s="144">
        <f>Model!AV749</f>
        <v>62970</v>
      </c>
      <c r="AW81" s="144">
        <f>Model!AW749</f>
        <v>61683</v>
      </c>
      <c r="AX81" s="144">
        <f>Model!AX749</f>
        <v>58551</v>
      </c>
      <c r="AY81" s="144">
        <f>Model!AY749</f>
        <v>57615</v>
      </c>
      <c r="AZ81" s="144" t="str">
        <f>Model!AZ749</f>
        <v>NF</v>
      </c>
      <c r="BA81" s="144" t="str">
        <f>Model!BA749</f>
        <v>NF</v>
      </c>
      <c r="BB81" s="144" t="str">
        <f>Model!BB749</f>
        <v>NF</v>
      </c>
      <c r="BC81" s="144" t="str">
        <f>Model!BC749</f>
        <v>NF</v>
      </c>
      <c r="BD81" s="144" t="str">
        <f>Model!BD749</f>
        <v>NF</v>
      </c>
      <c r="BE81" s="144" t="str">
        <f>Model!BE749</f>
        <v>NF</v>
      </c>
    </row>
    <row r="82" spans="1:57" x14ac:dyDescent="0.2">
      <c r="A82" s="238" t="s">
        <v>24</v>
      </c>
      <c r="B82" s="238"/>
      <c r="C82" s="238"/>
      <c r="D82" s="33">
        <f>Model!D750</f>
        <v>5578</v>
      </c>
      <c r="E82" s="33">
        <f>Model!E750</f>
        <v>5343</v>
      </c>
      <c r="F82" s="33">
        <f>Model!F750</f>
        <v>5026</v>
      </c>
      <c r="G82" s="33">
        <f>Model!G750</f>
        <v>4665</v>
      </c>
      <c r="H82" s="33">
        <f>Model!H750</f>
        <v>4330</v>
      </c>
      <c r="I82" s="33">
        <f>Model!I750</f>
        <v>4158</v>
      </c>
      <c r="J82" s="33">
        <f>Model!J750</f>
        <v>3952</v>
      </c>
      <c r="K82" s="33">
        <f>Model!K750</f>
        <v>3737</v>
      </c>
      <c r="L82" s="33">
        <f>Model!L750</f>
        <v>3591</v>
      </c>
      <c r="M82" s="33">
        <f>Model!M750</f>
        <v>3615</v>
      </c>
      <c r="N82" s="33">
        <f>Model!N750</f>
        <v>3325</v>
      </c>
      <c r="O82" s="33">
        <f>Model!O750</f>
        <v>3159</v>
      </c>
      <c r="P82" s="33">
        <f>Model!P750</f>
        <v>3028</v>
      </c>
      <c r="Q82" s="33">
        <f>Model!Q750</f>
        <v>3051</v>
      </c>
      <c r="R82" s="33">
        <f>Model!R750</f>
        <v>2941</v>
      </c>
      <c r="S82" s="33">
        <f>Model!S750</f>
        <v>2901</v>
      </c>
      <c r="T82" s="33">
        <f>Model!T750</f>
        <v>2940</v>
      </c>
      <c r="U82" s="33">
        <f>Model!U750</f>
        <v>3120</v>
      </c>
      <c r="V82" s="33">
        <f>Model!V750</f>
        <v>3174</v>
      </c>
      <c r="W82" s="33">
        <f>Model!W750</f>
        <v>3277</v>
      </c>
      <c r="X82" s="144">
        <f>Model!X750</f>
        <v>3566</v>
      </c>
      <c r="Y82" s="144">
        <f>Model!Y750</f>
        <v>4036</v>
      </c>
      <c r="Z82" s="144">
        <f>Model!Z750</f>
        <v>4379</v>
      </c>
      <c r="AA82" s="144">
        <f>Model!AA750</f>
        <v>4537</v>
      </c>
      <c r="AB82" s="144">
        <f>Model!AB750</f>
        <v>5160</v>
      </c>
      <c r="AC82" s="144" t="str">
        <f>Model!AC750</f>
        <v>NF</v>
      </c>
      <c r="AD82" s="144" t="str">
        <f>Model!AD750</f>
        <v>NF</v>
      </c>
      <c r="AE82" s="144" t="str">
        <f>Model!AE750</f>
        <v>NF</v>
      </c>
      <c r="AF82" s="144" t="str">
        <f>Model!AF750</f>
        <v>NF</v>
      </c>
      <c r="AG82" s="144" t="str">
        <f>Model!AG750</f>
        <v>NF</v>
      </c>
      <c r="AH82" s="144" t="str">
        <f>Model!AH750</f>
        <v>NF</v>
      </c>
      <c r="AI82" s="144" t="str">
        <f>Model!AI750</f>
        <v>NF</v>
      </c>
      <c r="AJ82" s="144"/>
      <c r="AK82" s="144"/>
      <c r="AL82" s="144"/>
      <c r="AM82" s="144"/>
      <c r="AN82" s="144"/>
      <c r="AO82" s="144"/>
      <c r="AP82" s="144"/>
      <c r="AQ82" s="144"/>
      <c r="AU82" s="144">
        <f>Model!AU750</f>
        <v>20612</v>
      </c>
      <c r="AV82" s="144">
        <f>Model!AV750</f>
        <v>16177</v>
      </c>
      <c r="AW82" s="144">
        <f>Model!AW750</f>
        <v>13690</v>
      </c>
      <c r="AX82" s="144">
        <f>Model!AX750</f>
        <v>11921</v>
      </c>
      <c r="AY82" s="144">
        <f>Model!AY750</f>
        <v>12511</v>
      </c>
      <c r="AZ82" s="144" t="str">
        <f>Model!AZ750</f>
        <v>NF</v>
      </c>
      <c r="BA82" s="144" t="str">
        <f>Model!BA750</f>
        <v>NF</v>
      </c>
      <c r="BB82" s="144" t="str">
        <f>Model!BB750</f>
        <v>NF</v>
      </c>
      <c r="BC82" s="144" t="str">
        <f>Model!BC750</f>
        <v>NF</v>
      </c>
      <c r="BD82" s="144" t="str">
        <f>Model!BD750</f>
        <v>NF</v>
      </c>
      <c r="BE82" s="144" t="str">
        <f>Model!BE750</f>
        <v>NF</v>
      </c>
    </row>
    <row r="83" spans="1:57" x14ac:dyDescent="0.2">
      <c r="A83" s="238" t="s">
        <v>209</v>
      </c>
      <c r="B83" s="238"/>
      <c r="C83" s="238"/>
      <c r="D83" s="96">
        <f>Model!D755</f>
        <v>11850</v>
      </c>
      <c r="E83" s="96">
        <f>Model!E755</f>
        <v>11559</v>
      </c>
      <c r="F83" s="96">
        <f>Model!F755</f>
        <v>11880</v>
      </c>
      <c r="G83" s="96">
        <f>Model!G755</f>
        <v>12049</v>
      </c>
      <c r="H83" s="96">
        <f>Model!H755</f>
        <v>11757</v>
      </c>
      <c r="I83" s="96">
        <f>Model!I755</f>
        <v>11824</v>
      </c>
      <c r="J83" s="96">
        <f>Model!J755</f>
        <v>11636</v>
      </c>
      <c r="K83" s="96">
        <f>Model!K755</f>
        <v>12097</v>
      </c>
      <c r="L83" s="96">
        <f>Model!L755</f>
        <v>11887</v>
      </c>
      <c r="M83" s="96">
        <f>Model!M755</f>
        <v>12067</v>
      </c>
      <c r="N83" s="96">
        <f>Model!N755</f>
        <v>12311</v>
      </c>
      <c r="O83" s="96">
        <f>Model!O755</f>
        <v>12225</v>
      </c>
      <c r="P83" s="96">
        <f>Model!P755</f>
        <v>11695</v>
      </c>
      <c r="Q83" s="96">
        <f>Model!Q755</f>
        <v>11949</v>
      </c>
      <c r="R83" s="96">
        <f>Model!R755</f>
        <v>11889</v>
      </c>
      <c r="S83" s="96">
        <f>Model!S755</f>
        <v>11591</v>
      </c>
      <c r="T83" s="96">
        <f>Model!T755</f>
        <v>11346</v>
      </c>
      <c r="U83" s="96">
        <f>Model!U755</f>
        <v>11351</v>
      </c>
      <c r="V83" s="96">
        <f>Model!V755</f>
        <v>11593</v>
      </c>
      <c r="W83" s="96">
        <f>Model!W755</f>
        <v>11275</v>
      </c>
      <c r="X83" s="96">
        <f>Model!X755</f>
        <v>11078</v>
      </c>
      <c r="Y83" s="96">
        <f>Model!Y755</f>
        <v>11380</v>
      </c>
      <c r="Z83" s="96">
        <f>Model!Z755</f>
        <v>11658</v>
      </c>
      <c r="AA83" s="96">
        <f>Model!AA755</f>
        <v>11441</v>
      </c>
      <c r="AB83" s="96">
        <f>Model!AB755</f>
        <v>11236</v>
      </c>
      <c r="AC83" s="96">
        <f>Model!AC755</f>
        <v>11466.590789838856</v>
      </c>
      <c r="AD83" s="96">
        <f>Model!AD755</f>
        <v>11853.038702033275</v>
      </c>
      <c r="AE83" s="96">
        <f>Model!AE755</f>
        <v>12158.20080100847</v>
      </c>
      <c r="AF83" s="96">
        <f>Model!AF755</f>
        <v>12014.964534956456</v>
      </c>
      <c r="AG83" s="96">
        <f>Model!AG755</f>
        <v>12359.694025665238</v>
      </c>
      <c r="AH83" s="96">
        <f>Model!AH755</f>
        <v>12845.881714910509</v>
      </c>
      <c r="AI83" s="96">
        <f>Model!AI755</f>
        <v>13210.868164188989</v>
      </c>
      <c r="AJ83" s="96"/>
      <c r="AK83" s="96"/>
      <c r="AL83" s="96"/>
      <c r="AM83" s="96"/>
      <c r="AN83" s="96"/>
      <c r="AO83" s="96"/>
      <c r="AP83" s="96"/>
      <c r="AQ83" s="96"/>
      <c r="AU83" s="96">
        <f>Model!AU755</f>
        <v>47338</v>
      </c>
      <c r="AV83" s="96">
        <f>Model!AV755</f>
        <v>47314</v>
      </c>
      <c r="AW83" s="96">
        <f>Model!AW755</f>
        <v>48490</v>
      </c>
      <c r="AX83" s="96">
        <f>Model!AX755</f>
        <v>47124</v>
      </c>
      <c r="AY83" s="96">
        <f>Model!AY755</f>
        <v>45565</v>
      </c>
      <c r="AZ83" s="96">
        <f>Model!AZ755</f>
        <v>45557</v>
      </c>
      <c r="BA83" s="96">
        <f>Model!BA755</f>
        <v>46713.830292880593</v>
      </c>
      <c r="BB83" s="96">
        <f>Model!BB755</f>
        <v>50431.408439721185</v>
      </c>
      <c r="BC83" s="96">
        <f>Model!BC755</f>
        <v>53668.280013172516</v>
      </c>
      <c r="BD83" s="96">
        <f>Model!BD755</f>
        <v>56806.723198482418</v>
      </c>
      <c r="BE83" s="96">
        <f>Model!BE755</f>
        <v>59806.111927837759</v>
      </c>
    </row>
    <row r="84" spans="1:57" x14ac:dyDescent="0.2">
      <c r="A84" s="238"/>
      <c r="B84" s="238"/>
      <c r="C84" s="238"/>
    </row>
    <row r="85" spans="1:57" x14ac:dyDescent="0.2">
      <c r="A85" s="238" t="s">
        <v>709</v>
      </c>
      <c r="B85" s="238"/>
      <c r="C85" s="238"/>
      <c r="D85" s="96">
        <f>Model!D765</f>
        <v>7067</v>
      </c>
      <c r="E85" s="96">
        <f>Model!E765</f>
        <v>7570</v>
      </c>
      <c r="F85" s="96">
        <f>Model!F765</f>
        <v>6712</v>
      </c>
      <c r="G85" s="96">
        <f>Model!G765</f>
        <v>6126</v>
      </c>
      <c r="H85" s="96">
        <f>Model!H765</f>
        <v>8688</v>
      </c>
      <c r="I85" s="96">
        <f>Model!I765</f>
        <v>8910</v>
      </c>
      <c r="J85" s="96">
        <f>Model!J765</f>
        <v>6430</v>
      </c>
      <c r="K85" s="96">
        <f>Model!K765</f>
        <v>5903</v>
      </c>
      <c r="L85" s="96">
        <f>Model!L765</f>
        <v>8447</v>
      </c>
      <c r="M85" s="96">
        <f>Model!M765</f>
        <v>7479</v>
      </c>
      <c r="N85" s="96">
        <f>Model!N765</f>
        <v>7502</v>
      </c>
      <c r="O85" s="96">
        <f>Model!O765</f>
        <v>5798</v>
      </c>
      <c r="P85" s="96">
        <f>Model!P765</f>
        <v>8164</v>
      </c>
      <c r="Q85" s="96">
        <f>Model!Q765</f>
        <v>7648</v>
      </c>
      <c r="R85" s="96">
        <f>Model!R765</f>
        <v>6919</v>
      </c>
      <c r="S85" s="96">
        <f>Model!S765</f>
        <v>6993</v>
      </c>
      <c r="T85" s="96">
        <f>Model!T765</f>
        <v>6328</v>
      </c>
      <c r="U85" s="96">
        <f>Model!U765</f>
        <v>6312</v>
      </c>
      <c r="V85" s="96">
        <f>Model!V765</f>
        <v>6281</v>
      </c>
      <c r="W85" s="96">
        <f>Model!W765</f>
        <v>5850</v>
      </c>
      <c r="X85" s="96">
        <f>Model!X765</f>
        <v>7411</v>
      </c>
      <c r="Y85" s="96">
        <f>Model!Y765</f>
        <v>6897</v>
      </c>
      <c r="Z85" s="96">
        <f>Model!Z765</f>
        <v>6884</v>
      </c>
      <c r="AA85" s="96">
        <f>Model!AA765</f>
        <v>6191</v>
      </c>
      <c r="AB85" s="96">
        <f>Model!AB765</f>
        <v>7700</v>
      </c>
      <c r="AC85" s="96">
        <f>Model!AC765</f>
        <v>7684.621510622248</v>
      </c>
      <c r="AD85" s="96">
        <f>Model!AD765</f>
        <v>7364.371373887675</v>
      </c>
      <c r="AE85" s="96">
        <f>Model!AE765</f>
        <v>6555.2403536174461</v>
      </c>
      <c r="AF85" s="96">
        <f>Model!AF765</f>
        <v>8124.4344810617486</v>
      </c>
      <c r="AG85" s="96">
        <f>Model!AG765</f>
        <v>7954.0606595777845</v>
      </c>
      <c r="AH85" s="96">
        <f>Model!AH765</f>
        <v>7451.484256021221</v>
      </c>
      <c r="AI85" s="96">
        <f>Model!AI765</f>
        <v>6510.7810224544392</v>
      </c>
      <c r="AJ85" s="96"/>
      <c r="AK85" s="96"/>
      <c r="AL85" s="96"/>
      <c r="AM85" s="96"/>
      <c r="AN85" s="96"/>
      <c r="AO85" s="96"/>
      <c r="AP85" s="96"/>
      <c r="AQ85" s="96"/>
      <c r="AU85" s="96">
        <f>Model!AU765</f>
        <v>27475</v>
      </c>
      <c r="AV85" s="96">
        <f>Model!AV765</f>
        <v>29931</v>
      </c>
      <c r="AW85" s="96">
        <f>Model!AW765</f>
        <v>29226</v>
      </c>
      <c r="AX85" s="96">
        <f>Model!AX765</f>
        <v>29724</v>
      </c>
      <c r="AY85" s="96">
        <f>Model!AY765</f>
        <v>24771</v>
      </c>
      <c r="AZ85" s="96">
        <f>Model!AZ765</f>
        <v>27383</v>
      </c>
      <c r="BA85" s="96">
        <f>Model!BA765</f>
        <v>29304.23323812737</v>
      </c>
      <c r="BB85" s="96">
        <f>Model!BB765</f>
        <v>30040.760419115191</v>
      </c>
      <c r="BC85" s="96">
        <f>Model!BC765</f>
        <v>31123.56323959717</v>
      </c>
      <c r="BD85" s="96">
        <f>Model!BD765</f>
        <v>32339.499516267591</v>
      </c>
      <c r="BE85" s="96">
        <f>Model!BE765</f>
        <v>33666.15336556836</v>
      </c>
    </row>
    <row r="86" spans="1:57" x14ac:dyDescent="0.2">
      <c r="A86" s="238"/>
      <c r="B86" s="238"/>
      <c r="C86" s="238"/>
      <c r="E86" s="916"/>
      <c r="F86" s="916"/>
      <c r="G86" s="916"/>
      <c r="H86" s="916"/>
      <c r="I86" s="916"/>
      <c r="J86" s="916"/>
      <c r="K86" s="916"/>
      <c r="L86" s="916"/>
      <c r="M86" s="916"/>
      <c r="N86" s="916"/>
      <c r="O86" s="916"/>
      <c r="P86" s="916"/>
      <c r="Q86" s="916"/>
      <c r="R86" s="916"/>
      <c r="S86" s="916"/>
      <c r="T86" s="916"/>
      <c r="U86" s="916"/>
      <c r="V86" s="916"/>
      <c r="W86" s="916"/>
      <c r="X86" s="916"/>
      <c r="Y86" s="916"/>
      <c r="Z86" s="916"/>
      <c r="AA86" s="916"/>
      <c r="AB86" s="916"/>
      <c r="AC86" s="916"/>
      <c r="AD86" s="916"/>
      <c r="AE86" s="916"/>
    </row>
    <row r="87" spans="1:57" x14ac:dyDescent="0.2">
      <c r="A87" s="916" t="s">
        <v>391</v>
      </c>
      <c r="B87" s="238"/>
      <c r="C87" s="238"/>
      <c r="D87" s="96">
        <f>Model!D769</f>
        <v>20205</v>
      </c>
      <c r="E87" s="96">
        <f>Model!E769</f>
        <v>18910</v>
      </c>
      <c r="F87" s="96">
        <f>Model!F769</f>
        <v>19368</v>
      </c>
      <c r="G87" s="96">
        <f>Model!G769</f>
        <v>18660</v>
      </c>
      <c r="H87" s="96">
        <f>Model!H769</f>
        <v>20764</v>
      </c>
      <c r="I87" s="96">
        <f>Model!I769</f>
        <v>20257</v>
      </c>
      <c r="J87" s="96">
        <f>Model!J769</f>
        <v>18402</v>
      </c>
      <c r="K87" s="96">
        <f>Model!K769</f>
        <v>18164</v>
      </c>
      <c r="L87" s="96">
        <f>Model!L769</f>
        <v>20327</v>
      </c>
      <c r="M87" s="96">
        <f>Model!M769</f>
        <v>19579</v>
      </c>
      <c r="N87" s="96">
        <f>Model!N769</f>
        <v>20184</v>
      </c>
      <c r="O87" s="96">
        <f>Model!O769</f>
        <v>18016</v>
      </c>
      <c r="P87" s="96">
        <f>Model!P769</f>
        <v>19932</v>
      </c>
      <c r="Q87" s="96">
        <f>Model!Q769</f>
        <v>19285</v>
      </c>
      <c r="R87" s="96">
        <f>Model!R769</f>
        <v>18612</v>
      </c>
      <c r="S87" s="96">
        <f>Model!S769</f>
        <v>18765</v>
      </c>
      <c r="T87" s="96">
        <f>Model!T769</f>
        <v>17674</v>
      </c>
      <c r="U87" s="96">
        <f>Model!U769</f>
        <v>17663</v>
      </c>
      <c r="V87" s="96">
        <f>Model!V769</f>
        <v>17874</v>
      </c>
      <c r="W87" s="96">
        <f>Model!W769</f>
        <v>17125</v>
      </c>
      <c r="X87" s="96">
        <f>Model!X769</f>
        <v>18489</v>
      </c>
      <c r="Y87" s="96">
        <f>Model!Y769</f>
        <v>18277</v>
      </c>
      <c r="Z87" s="96">
        <f>Model!Z769</f>
        <v>18542</v>
      </c>
      <c r="AA87" s="96">
        <f>Model!AA769</f>
        <v>17632</v>
      </c>
      <c r="AB87" s="96">
        <f>Model!AB769</f>
        <v>18936</v>
      </c>
      <c r="AC87" s="96">
        <f>Model!AC769</f>
        <v>19151.212300461106</v>
      </c>
      <c r="AD87" s="96">
        <f>Model!AD769</f>
        <v>19217.41007592095</v>
      </c>
      <c r="AE87" s="96">
        <f>Model!AE769</f>
        <v>18713.441154625914</v>
      </c>
      <c r="AF87" s="96">
        <f>Model!AF769</f>
        <v>20139.399016018204</v>
      </c>
      <c r="AG87" s="96">
        <f>Model!AG769</f>
        <v>20313.754685243024</v>
      </c>
      <c r="AH87" s="96">
        <f>Model!AH769</f>
        <v>20297.365970931729</v>
      </c>
      <c r="AI87" s="96">
        <f>Model!AI769</f>
        <v>19721.64918664343</v>
      </c>
      <c r="AJ87" s="96"/>
      <c r="AK87" s="96"/>
      <c r="AL87" s="96"/>
      <c r="AM87" s="96"/>
      <c r="AN87" s="96"/>
      <c r="AO87" s="96"/>
      <c r="AP87" s="96"/>
      <c r="AQ87" s="96"/>
      <c r="AU87" s="96">
        <f>Model!AU769</f>
        <v>77143</v>
      </c>
      <c r="AV87" s="96">
        <f>Model!AV769</f>
        <v>77587</v>
      </c>
      <c r="AW87" s="96">
        <f>Model!AW769</f>
        <v>78106</v>
      </c>
      <c r="AX87" s="96">
        <f>Model!AX769</f>
        <v>76594</v>
      </c>
      <c r="AY87" s="96">
        <f>Model!AY769</f>
        <v>70336</v>
      </c>
      <c r="AZ87" s="96">
        <f>Model!AZ769</f>
        <v>72940</v>
      </c>
      <c r="BA87" s="96">
        <f>Model!BA769</f>
        <v>76018.063531007967</v>
      </c>
      <c r="BB87" s="96">
        <f>Model!BB769</f>
        <v>80472.168858836376</v>
      </c>
      <c r="BC87" s="96">
        <f>Model!BC769</f>
        <v>84791.843252769686</v>
      </c>
      <c r="BD87" s="96">
        <f>Model!BD769</f>
        <v>89146.222714750009</v>
      </c>
      <c r="BE87" s="96">
        <f>Model!BE769</f>
        <v>93472.265293406119</v>
      </c>
    </row>
    <row r="88" spans="1:57" x14ac:dyDescent="0.2">
      <c r="A88" s="916" t="s">
        <v>722</v>
      </c>
      <c r="B88" s="238"/>
      <c r="C88" s="238"/>
      <c r="D88" s="33">
        <f>Model!D767</f>
        <v>18917</v>
      </c>
      <c r="E88" s="33">
        <f>Model!E767</f>
        <v>19129</v>
      </c>
      <c r="F88" s="33">
        <f>Model!F767</f>
        <v>18592</v>
      </c>
      <c r="G88" s="33">
        <f>Model!G767</f>
        <v>18175</v>
      </c>
      <c r="H88" s="33">
        <f>Model!H767</f>
        <v>20445</v>
      </c>
      <c r="I88" s="33">
        <f>Model!I767</f>
        <v>20734</v>
      </c>
      <c r="J88" s="33">
        <f>Model!J767</f>
        <v>18066</v>
      </c>
      <c r="K88" s="33">
        <f>Model!K767</f>
        <v>18000</v>
      </c>
      <c r="L88" s="33">
        <f>Model!L767</f>
        <v>20334</v>
      </c>
      <c r="M88" s="33">
        <f>Model!M767</f>
        <v>19546</v>
      </c>
      <c r="N88" s="33">
        <f>Model!N767</f>
        <v>19813</v>
      </c>
      <c r="O88" s="33">
        <f>Model!O767</f>
        <v>18023</v>
      </c>
      <c r="P88" s="33">
        <f>Model!P767</f>
        <v>19859</v>
      </c>
      <c r="Q88" s="33">
        <f>Model!Q767</f>
        <v>19597</v>
      </c>
      <c r="R88" s="33">
        <f>Model!R767</f>
        <v>18808</v>
      </c>
      <c r="S88" s="33">
        <f>Model!S767</f>
        <v>18584</v>
      </c>
      <c r="T88" s="33">
        <f>Model!T767</f>
        <v>17674</v>
      </c>
      <c r="U88" s="33">
        <f>Model!U767</f>
        <v>17663</v>
      </c>
      <c r="V88" s="33">
        <f>Model!V767</f>
        <v>17874</v>
      </c>
      <c r="W88" s="33">
        <f>Model!W767</f>
        <v>17125</v>
      </c>
      <c r="X88" s="33">
        <f>Model!X767</f>
        <v>18489</v>
      </c>
      <c r="Y88" s="33">
        <f>Model!Y767</f>
        <v>18277</v>
      </c>
      <c r="Z88" s="33">
        <f>Model!Z767</f>
        <v>18542</v>
      </c>
      <c r="AA88" s="33">
        <f>Model!AA767</f>
        <v>17632</v>
      </c>
      <c r="AB88" s="33">
        <f>Model!AB767</f>
        <v>18936</v>
      </c>
      <c r="AC88" s="33">
        <f>Model!AC767</f>
        <v>19151.212300461106</v>
      </c>
      <c r="AD88" s="33">
        <f>Model!AD767</f>
        <v>19217.41007592095</v>
      </c>
      <c r="AE88" s="33">
        <f>Model!AE767</f>
        <v>18713.441154625914</v>
      </c>
      <c r="AF88" s="33">
        <f>Model!AF767</f>
        <v>20139.399016018204</v>
      </c>
      <c r="AG88" s="33">
        <f>Model!AG767</f>
        <v>20313.754685243024</v>
      </c>
      <c r="AH88" s="33">
        <f>Model!AH767</f>
        <v>20297.365970931729</v>
      </c>
      <c r="AI88" s="33">
        <f>Model!AI767</f>
        <v>19721.64918664343</v>
      </c>
      <c r="AJ88" s="33"/>
      <c r="AK88" s="33"/>
      <c r="AL88" s="33"/>
      <c r="AM88" s="33"/>
      <c r="AN88" s="33"/>
      <c r="AO88" s="33"/>
      <c r="AP88" s="33"/>
      <c r="AQ88" s="33"/>
      <c r="AU88" s="33">
        <f>Model!AU767</f>
        <v>74813</v>
      </c>
      <c r="AV88" s="33">
        <f>Model!AV767</f>
        <v>77245</v>
      </c>
      <c r="AW88" s="33">
        <f>Model!AW767</f>
        <v>77716</v>
      </c>
      <c r="AX88" s="33">
        <f>Model!AX767</f>
        <v>76848</v>
      </c>
      <c r="AY88" s="33">
        <f>Model!AY767</f>
        <v>70336</v>
      </c>
      <c r="AZ88" s="33">
        <f>Model!AZ767</f>
        <v>72940</v>
      </c>
      <c r="BA88" s="33">
        <f>Model!BA767</f>
        <v>76018.063531007967</v>
      </c>
      <c r="BB88" s="33">
        <f>Model!BB767</f>
        <v>80472.168858836376</v>
      </c>
      <c r="BC88" s="33">
        <f>Model!BC767</f>
        <v>84791.843252769686</v>
      </c>
      <c r="BD88" s="33">
        <f>Model!BD767</f>
        <v>89146.222714750009</v>
      </c>
      <c r="BE88" s="33">
        <f>Model!BE767</f>
        <v>93472.265293406119</v>
      </c>
    </row>
    <row r="89" spans="1:57" x14ac:dyDescent="0.2">
      <c r="A89" s="238"/>
      <c r="B89" s="238"/>
      <c r="C89" s="238"/>
    </row>
    <row r="90" spans="1:57" s="1208" customFormat="1" x14ac:dyDescent="0.2">
      <c r="A90" s="238"/>
      <c r="B90" s="238"/>
      <c r="C90" s="238"/>
      <c r="D90" s="1064"/>
      <c r="E90" s="1064"/>
      <c r="F90" s="1064"/>
      <c r="G90" s="1064"/>
      <c r="H90" s="1064"/>
      <c r="I90" s="1064"/>
      <c r="J90" s="1064"/>
      <c r="K90" s="1064"/>
      <c r="L90" s="1064"/>
      <c r="M90" s="1064"/>
      <c r="N90" s="1064"/>
      <c r="O90" s="1064"/>
      <c r="P90" s="1064"/>
      <c r="Q90" s="1064"/>
      <c r="R90" s="1064"/>
      <c r="S90" s="1064"/>
      <c r="T90" s="1064"/>
      <c r="U90" s="1064"/>
      <c r="V90" s="1064"/>
      <c r="W90" s="1064"/>
      <c r="X90" s="1064"/>
      <c r="Y90" s="1064"/>
      <c r="Z90" s="1064"/>
      <c r="AA90" s="1064"/>
      <c r="AB90" s="1064"/>
      <c r="AC90" s="1064"/>
      <c r="AD90" s="1064"/>
      <c r="AE90" s="1064"/>
      <c r="AF90" s="1064"/>
      <c r="AG90" s="1064"/>
      <c r="AH90" s="1064"/>
      <c r="AI90" s="1064"/>
      <c r="AJ90" s="1064"/>
      <c r="AK90" s="1064"/>
      <c r="AL90" s="1064"/>
      <c r="AM90" s="1064"/>
      <c r="AN90" s="1064"/>
      <c r="AO90" s="1064"/>
      <c r="AP90" s="1064"/>
      <c r="AQ90" s="1064"/>
      <c r="AU90" s="1064"/>
      <c r="AV90" s="1064"/>
      <c r="AW90" s="1064"/>
      <c r="AX90" s="1064"/>
      <c r="AY90" s="1064"/>
      <c r="AZ90" s="1064"/>
      <c r="BA90" s="1064"/>
      <c r="BB90" s="1064"/>
      <c r="BC90" s="1064"/>
      <c r="BD90" s="1064"/>
      <c r="BE90" s="1064"/>
    </row>
    <row r="91" spans="1:57" x14ac:dyDescent="0.2">
      <c r="A91" s="238" t="s">
        <v>723</v>
      </c>
      <c r="B91" s="238"/>
      <c r="C91" s="238"/>
      <c r="D91" s="33">
        <f>Model!D772</f>
        <v>6362</v>
      </c>
      <c r="E91" s="33">
        <f>Model!E772</f>
        <v>6105</v>
      </c>
      <c r="F91" s="33">
        <f>Model!F772</f>
        <v>6113</v>
      </c>
      <c r="G91" s="33">
        <f>Model!G772</f>
        <v>6539</v>
      </c>
      <c r="H91" s="33">
        <f>Model!H772</f>
        <v>6335</v>
      </c>
      <c r="I91" s="33">
        <f>Model!I772</f>
        <v>6075</v>
      </c>
      <c r="J91" s="33">
        <f>Model!J772</f>
        <v>5828</v>
      </c>
      <c r="K91" s="33">
        <f>Model!K772</f>
        <v>5729</v>
      </c>
      <c r="L91" s="33">
        <f>Model!L772</f>
        <v>6010</v>
      </c>
      <c r="M91" s="33">
        <f>Model!M772</f>
        <v>6028</v>
      </c>
      <c r="N91" s="33">
        <f>Model!N772</f>
        <v>6114</v>
      </c>
      <c r="O91" s="33">
        <f>Model!O772</f>
        <v>5807</v>
      </c>
      <c r="P91" s="33">
        <f>Model!P772</f>
        <v>5520</v>
      </c>
      <c r="Q91" s="33">
        <f>Model!Q772</f>
        <v>5483</v>
      </c>
      <c r="R91" s="33">
        <f>Model!R772</f>
        <v>5321</v>
      </c>
      <c r="S91" s="33">
        <f>Model!S772</f>
        <v>5445</v>
      </c>
      <c r="T91" s="33">
        <f>Model!T772</f>
        <v>5556</v>
      </c>
      <c r="U91" s="33">
        <f>Model!U772</f>
        <v>5229</v>
      </c>
      <c r="V91" s="33">
        <f>Model!V772</f>
        <v>5203</v>
      </c>
      <c r="W91" s="33">
        <f>Model!W772</f>
        <v>4982</v>
      </c>
      <c r="X91" s="33">
        <f>Model!X772</f>
        <v>5534</v>
      </c>
      <c r="Y91" s="33">
        <f>Model!Y772</f>
        <v>5463</v>
      </c>
      <c r="Z91" s="33">
        <f>Model!Z772</f>
        <v>5304</v>
      </c>
      <c r="AA91" s="33">
        <f>Model!AA772</f>
        <v>4880</v>
      </c>
      <c r="AB91" s="33">
        <f>Model!AB772</f>
        <v>5807</v>
      </c>
      <c r="AC91" s="33">
        <f>Model!AC772</f>
        <v>5553.85156713372</v>
      </c>
      <c r="AD91" s="33">
        <f>Model!AD772</f>
        <v>5573.0489220170748</v>
      </c>
      <c r="AE91" s="33">
        <f>Model!AE772</f>
        <v>5239.7635232952562</v>
      </c>
      <c r="AF91" s="33">
        <f>Model!AF772</f>
        <v>5840.4257146452783</v>
      </c>
      <c r="AG91" s="33">
        <f>Model!AG772</f>
        <v>5586.282538441832</v>
      </c>
      <c r="AH91" s="33">
        <f>Model!AH772</f>
        <v>5581.775642006226</v>
      </c>
      <c r="AI91" s="33">
        <f>Model!AI772</f>
        <v>5423.4535263269436</v>
      </c>
      <c r="AJ91" s="33"/>
      <c r="AK91" s="33"/>
      <c r="AL91" s="33"/>
      <c r="AM91" s="33"/>
      <c r="AN91" s="33"/>
      <c r="AO91" s="33"/>
      <c r="AP91" s="33"/>
      <c r="AQ91" s="33"/>
      <c r="AU91" s="33">
        <f>Model!AU772</f>
        <v>25119</v>
      </c>
      <c r="AV91" s="33">
        <f>Model!AV772</f>
        <v>23967</v>
      </c>
      <c r="AW91" s="33">
        <f>Model!AW772</f>
        <v>23959</v>
      </c>
      <c r="AX91" s="33">
        <f>Model!AX772</f>
        <v>21769</v>
      </c>
      <c r="AY91" s="33">
        <f>Model!AY772</f>
        <v>20970</v>
      </c>
      <c r="AZ91" s="33">
        <f>Model!AZ772</f>
        <v>21181</v>
      </c>
      <c r="BA91" s="33">
        <f>Model!BA772</f>
        <v>22173.66401244605</v>
      </c>
      <c r="BB91" s="33">
        <f>Model!BB772</f>
        <v>22431.93742142028</v>
      </c>
      <c r="BC91" s="33">
        <f>Model!BC772</f>
        <v>23741.716110775513</v>
      </c>
      <c r="BD91" s="33">
        <f>Model!BD772</f>
        <v>24960.942360130004</v>
      </c>
      <c r="BE91" s="33">
        <f>Model!BE772</f>
        <v>26172.234282153717</v>
      </c>
    </row>
    <row r="92" spans="1:57" x14ac:dyDescent="0.2">
      <c r="A92" s="238" t="s">
        <v>724</v>
      </c>
      <c r="B92" s="238"/>
      <c r="C92" s="238"/>
      <c r="D92" s="33">
        <f>Model!D780</f>
        <v>12215</v>
      </c>
      <c r="E92" s="33">
        <f>Model!E780</f>
        <v>11993</v>
      </c>
      <c r="F92" s="33">
        <f>Model!F780</f>
        <v>12095</v>
      </c>
      <c r="G92" s="33">
        <f>Model!G780</f>
        <v>13733</v>
      </c>
      <c r="H92" s="33">
        <f>Model!H780</f>
        <v>12288</v>
      </c>
      <c r="I92" s="33">
        <f>Model!I780</f>
        <v>12149</v>
      </c>
      <c r="J92" s="33">
        <f>Model!J780</f>
        <v>11679</v>
      </c>
      <c r="K92" s="33">
        <f>Model!K780</f>
        <v>12292</v>
      </c>
      <c r="L92" s="33">
        <f>Model!L780</f>
        <v>12149</v>
      </c>
      <c r="M92" s="33">
        <f>Model!M780</f>
        <v>15521</v>
      </c>
      <c r="N92" s="33">
        <f>Model!N780</f>
        <v>12955</v>
      </c>
      <c r="O92" s="33">
        <f>Model!O780</f>
        <v>14426</v>
      </c>
      <c r="P92" s="33">
        <f>Model!P780</f>
        <v>10884</v>
      </c>
      <c r="Q92" s="33">
        <f>Model!Q780</f>
        <v>10928</v>
      </c>
      <c r="R92" s="33">
        <f>Model!R780</f>
        <v>10669</v>
      </c>
      <c r="S92" s="33">
        <f>Model!S780</f>
        <v>11134</v>
      </c>
      <c r="T92" s="33">
        <f>Model!T780</f>
        <v>10523</v>
      </c>
      <c r="U92" s="33">
        <f>Model!U780</f>
        <v>10369</v>
      </c>
      <c r="V92" s="33">
        <f>Model!V780</f>
        <v>10404</v>
      </c>
      <c r="W92" s="33">
        <f>Model!W780</f>
        <v>10120</v>
      </c>
      <c r="X92" s="33">
        <f>Model!X780</f>
        <v>10723</v>
      </c>
      <c r="Y92" s="33">
        <f>Model!Y780</f>
        <v>10760</v>
      </c>
      <c r="Z92" s="33">
        <f>Model!Z780</f>
        <v>10417</v>
      </c>
      <c r="AA92" s="33">
        <f>Model!AA780</f>
        <v>10332</v>
      </c>
      <c r="AB92" s="33">
        <f>Model!AB780</f>
        <v>10925</v>
      </c>
      <c r="AC92" s="33">
        <f>Model!AC780</f>
        <v>10913.303917359419</v>
      </c>
      <c r="AD92" s="33">
        <f>Model!AD780</f>
        <v>10790.647419418166</v>
      </c>
      <c r="AE92" s="33">
        <f>Model!AE780</f>
        <v>10414.00486034228</v>
      </c>
      <c r="AF92" s="33">
        <f>Model!AF780</f>
        <v>11148.808772994969</v>
      </c>
      <c r="AG92" s="33">
        <f>Model!AG780</f>
        <v>11062.063471053511</v>
      </c>
      <c r="AH92" s="33">
        <f>Model!AH780</f>
        <v>10984.492873533498</v>
      </c>
      <c r="AI92" s="33">
        <f>Model!AI780</f>
        <v>10609.928618046279</v>
      </c>
      <c r="AJ92" s="33"/>
      <c r="AK92" s="33"/>
      <c r="AL92" s="33"/>
      <c r="AM92" s="33"/>
      <c r="AN92" s="33"/>
      <c r="AO92" s="33"/>
      <c r="AP92" s="33"/>
      <c r="AQ92" s="33"/>
      <c r="AU92" s="33">
        <f>Model!AU780</f>
        <v>50036</v>
      </c>
      <c r="AV92" s="33">
        <f>Model!AV780</f>
        <v>48408</v>
      </c>
      <c r="AW92" s="33">
        <f>Model!AW780</f>
        <v>55051</v>
      </c>
      <c r="AX92" s="33">
        <f>Model!AX780</f>
        <v>43615</v>
      </c>
      <c r="AY92" s="33">
        <f>Model!AY780</f>
        <v>41416</v>
      </c>
      <c r="AZ92" s="33">
        <f>Model!AZ780</f>
        <v>42232</v>
      </c>
      <c r="BA92" s="33">
        <f>Model!BA780</f>
        <v>43042.956197119871</v>
      </c>
      <c r="BB92" s="33">
        <f>Model!BB780</f>
        <v>43805.293735628256</v>
      </c>
      <c r="BC92" s="33">
        <f>Model!BC780</f>
        <v>44792.393688997246</v>
      </c>
      <c r="BD92" s="33">
        <f>Model!BD780</f>
        <v>46210.09998873213</v>
      </c>
      <c r="BE92" s="33">
        <f>Model!BE780</f>
        <v>48026.605231929374</v>
      </c>
    </row>
    <row r="93" spans="1:57" x14ac:dyDescent="0.2">
      <c r="A93" s="238"/>
      <c r="B93" s="238"/>
      <c r="C93" s="238"/>
      <c r="E93" s="33"/>
      <c r="F93" s="33"/>
      <c r="G93" s="33"/>
      <c r="H93" s="33"/>
      <c r="I93" s="33"/>
      <c r="J93" s="33"/>
      <c r="K93" s="33"/>
      <c r="L93" s="33"/>
      <c r="M93" s="33"/>
      <c r="N93" s="33"/>
      <c r="O93" s="33"/>
      <c r="P93" s="33"/>
      <c r="Q93" s="33"/>
      <c r="R93" s="33"/>
      <c r="S93" s="33"/>
      <c r="T93" s="33"/>
      <c r="U93" s="33"/>
      <c r="V93" s="33"/>
      <c r="W93" s="33"/>
      <c r="X93" s="33"/>
      <c r="Y93" s="33"/>
      <c r="Z93" s="33"/>
      <c r="AA93" s="33"/>
      <c r="AB93" s="33"/>
      <c r="AC93" s="33"/>
      <c r="AD93" s="33"/>
      <c r="AE93" s="33"/>
      <c r="AF93" s="33"/>
      <c r="AG93" s="33"/>
      <c r="AH93" s="33"/>
      <c r="AI93" s="33"/>
      <c r="AJ93" s="33"/>
      <c r="AK93" s="33"/>
      <c r="AL93" s="33"/>
      <c r="AM93" s="33"/>
      <c r="AN93" s="33"/>
      <c r="AO93" s="33"/>
      <c r="AP93" s="33"/>
      <c r="AQ93" s="33"/>
      <c r="AU93" s="33"/>
      <c r="AV93" s="33"/>
      <c r="AW93" s="33"/>
      <c r="AX93" s="33"/>
      <c r="AY93" s="33"/>
      <c r="AZ93" s="33"/>
      <c r="BA93" s="33"/>
      <c r="BB93" s="33"/>
      <c r="BC93" s="33"/>
      <c r="BD93" s="33"/>
      <c r="BE93" s="33"/>
    </row>
    <row r="94" spans="1:57" x14ac:dyDescent="0.2">
      <c r="A94" s="916" t="s">
        <v>835</v>
      </c>
      <c r="B94" s="238"/>
      <c r="C94" s="238"/>
      <c r="D94" s="50">
        <f>Model!D782</f>
        <v>7990</v>
      </c>
      <c r="E94" s="33">
        <f>Model!E782</f>
        <v>6917</v>
      </c>
      <c r="F94" s="33">
        <f>Model!F782</f>
        <v>7273</v>
      </c>
      <c r="G94" s="33">
        <f>Model!G782</f>
        <v>4927</v>
      </c>
      <c r="H94" s="33">
        <f>Model!H782</f>
        <v>8476</v>
      </c>
      <c r="I94" s="33">
        <f>Model!I782</f>
        <v>8108</v>
      </c>
      <c r="J94" s="33">
        <f>Model!J782</f>
        <v>6723</v>
      </c>
      <c r="K94" s="33">
        <f>Model!K782</f>
        <v>5872</v>
      </c>
      <c r="L94" s="33">
        <f>Model!L782</f>
        <v>8178</v>
      </c>
      <c r="M94" s="33">
        <f>Model!M782</f>
        <v>4058</v>
      </c>
      <c r="N94" s="33">
        <f>Model!N782</f>
        <v>7229</v>
      </c>
      <c r="O94" s="33">
        <f>Model!O782</f>
        <v>3590</v>
      </c>
      <c r="P94" s="33">
        <f>Model!P782</f>
        <v>9048</v>
      </c>
      <c r="Q94" s="33">
        <f>Model!Q782</f>
        <v>8357</v>
      </c>
      <c r="R94" s="33">
        <f>Model!R782</f>
        <v>7943</v>
      </c>
      <c r="S94" s="33">
        <f>Model!S782</f>
        <v>7631</v>
      </c>
      <c r="T94" s="33">
        <f>Model!T782</f>
        <v>7151</v>
      </c>
      <c r="U94" s="33">
        <f>Model!U782</f>
        <v>7294</v>
      </c>
      <c r="V94" s="33">
        <f>Model!V782</f>
        <v>7470</v>
      </c>
      <c r="W94" s="33">
        <f>Model!W782</f>
        <v>7005</v>
      </c>
      <c r="X94" s="33">
        <f>Model!X782</f>
        <v>7766</v>
      </c>
      <c r="Y94" s="33">
        <f>Model!Y782</f>
        <v>7517</v>
      </c>
      <c r="Z94" s="33">
        <f>Model!Z782</f>
        <v>8125</v>
      </c>
      <c r="AA94" s="33">
        <f>Model!AA782</f>
        <v>7300</v>
      </c>
      <c r="AB94" s="33">
        <f>Model!AB782</f>
        <v>8011</v>
      </c>
      <c r="AC94" s="33">
        <f>Model!AC782</f>
        <v>8237.9083831016869</v>
      </c>
      <c r="AD94" s="33">
        <f>Model!AD782</f>
        <v>8426.762656502784</v>
      </c>
      <c r="AE94" s="33">
        <f>Model!AE782</f>
        <v>8299.4362942836342</v>
      </c>
      <c r="AF94" s="33">
        <f>Model!AF782</f>
        <v>8990.5902430232345</v>
      </c>
      <c r="AG94" s="33">
        <f>Model!AG782</f>
        <v>9251.6912141895136</v>
      </c>
      <c r="AH94" s="33">
        <f>Model!AH782</f>
        <v>9312.873097398231</v>
      </c>
      <c r="AI94" s="33">
        <f>Model!AI782</f>
        <v>9111.7205685971512</v>
      </c>
      <c r="AJ94" s="33"/>
      <c r="AK94" s="33"/>
      <c r="AL94" s="33"/>
      <c r="AM94" s="33"/>
      <c r="AN94" s="33"/>
      <c r="AO94" s="33"/>
      <c r="AP94" s="33"/>
      <c r="AQ94" s="33"/>
      <c r="AU94" s="33">
        <f>Model!AU782</f>
        <v>27107</v>
      </c>
      <c r="AV94" s="33">
        <f>Model!AV782</f>
        <v>29179</v>
      </c>
      <c r="AW94" s="33">
        <f>Model!AW782</f>
        <v>23055</v>
      </c>
      <c r="AX94" s="33">
        <f>Model!AX782</f>
        <v>32979</v>
      </c>
      <c r="AY94" s="33">
        <f>Model!AY782</f>
        <v>28920</v>
      </c>
      <c r="AZ94" s="33">
        <f>Model!AZ782</f>
        <v>30708</v>
      </c>
      <c r="BA94" s="33">
        <f>Model!BA782</f>
        <v>32975.107333888096</v>
      </c>
      <c r="BB94" s="33">
        <f>Model!BB782</f>
        <v>36666.875123208119</v>
      </c>
      <c r="BC94" s="33">
        <f>Model!BC782</f>
        <v>39999.449563772439</v>
      </c>
      <c r="BD94" s="33">
        <f>Model!BD782</f>
        <v>42936.122726017878</v>
      </c>
      <c r="BE94" s="33">
        <f>Model!BE782</f>
        <v>45445.660061476745</v>
      </c>
    </row>
    <row r="95" spans="1:57" x14ac:dyDescent="0.2">
      <c r="A95" s="916" t="s">
        <v>252</v>
      </c>
      <c r="B95" s="238"/>
      <c r="C95" s="238"/>
      <c r="D95" s="50">
        <f>Model!D784</f>
        <v>2900</v>
      </c>
      <c r="E95" s="33">
        <f>Model!E784</f>
        <v>2696</v>
      </c>
      <c r="F95" s="33">
        <f>Model!F784</f>
        <v>2620</v>
      </c>
      <c r="G95" s="33">
        <f>Model!G784</f>
        <v>3113</v>
      </c>
      <c r="H95" s="33">
        <f>Model!H784</f>
        <v>2459</v>
      </c>
      <c r="I95" s="33">
        <f>Model!I784</f>
        <v>2024</v>
      </c>
      <c r="J95" s="33">
        <f>Model!J784</f>
        <v>1959</v>
      </c>
      <c r="K95" s="33">
        <f>Model!K784</f>
        <v>2072</v>
      </c>
      <c r="L95" s="33">
        <f>Model!L784</f>
        <v>1974</v>
      </c>
      <c r="M95" s="33">
        <f>Model!M784</f>
        <v>1730</v>
      </c>
      <c r="N95" s="33">
        <f>Model!N784</f>
        <v>1750</v>
      </c>
      <c r="O95" s="33">
        <f>Model!O784</f>
        <v>2013</v>
      </c>
      <c r="P95" s="33">
        <f>Model!P784</f>
        <v>1915</v>
      </c>
      <c r="Q95" s="33">
        <f>Model!Q784</f>
        <v>1648</v>
      </c>
      <c r="R95" s="33">
        <f>Model!R784</f>
        <v>1836</v>
      </c>
      <c r="S95" s="33">
        <f>Model!S784</f>
        <v>2514</v>
      </c>
      <c r="T95" s="33">
        <f>Model!T784</f>
        <v>2045</v>
      </c>
      <c r="U95" s="33">
        <f>Model!U784</f>
        <v>1409</v>
      </c>
      <c r="V95" s="33">
        <f>Model!V784</f>
        <v>1736</v>
      </c>
      <c r="W95" s="33">
        <f>Model!W784</f>
        <v>1792</v>
      </c>
      <c r="X95" s="33">
        <f>Model!X784</f>
        <v>1662</v>
      </c>
      <c r="Y95" s="33">
        <f>Model!Y784</f>
        <v>1717</v>
      </c>
      <c r="Z95" s="33">
        <f>Model!Z784</f>
        <v>1999</v>
      </c>
      <c r="AA95" s="33">
        <f>Model!AA784</f>
        <v>2073</v>
      </c>
      <c r="AB95" s="33">
        <f>Model!AB784</f>
        <v>1857</v>
      </c>
      <c r="AC95" s="33">
        <f>Model!AC784</f>
        <v>2201.3508752602743</v>
      </c>
      <c r="AD95" s="33">
        <f>Model!AD784</f>
        <v>2318.1821994053621</v>
      </c>
      <c r="AE95" s="33">
        <f>Model!AE784</f>
        <v>2430.6596766483344</v>
      </c>
      <c r="AF95" s="33">
        <f>Model!AF784</f>
        <v>2399.0773951623601</v>
      </c>
      <c r="AG95" s="33">
        <f>Model!AG784</f>
        <v>2485.4811397022422</v>
      </c>
      <c r="AH95" s="33">
        <f>Model!AH784</f>
        <v>2652.3018689032192</v>
      </c>
      <c r="AI95" s="33">
        <f>Model!AI784</f>
        <v>2786.541411676526</v>
      </c>
      <c r="AJ95" s="33"/>
      <c r="AK95" s="33"/>
      <c r="AL95" s="33"/>
      <c r="AM95" s="33"/>
      <c r="AN95" s="33"/>
      <c r="AO95" s="33"/>
      <c r="AP95" s="33"/>
      <c r="AQ95" s="33"/>
      <c r="AU95" s="33">
        <f>Model!AU784</f>
        <v>11329</v>
      </c>
      <c r="AV95" s="33">
        <f>Model!AV784</f>
        <v>8514</v>
      </c>
      <c r="AW95" s="33">
        <f>Model!AW784</f>
        <v>7467</v>
      </c>
      <c r="AX95" s="33">
        <f>Model!AX784</f>
        <v>7913</v>
      </c>
      <c r="AY95" s="33">
        <f>Model!AY784</f>
        <v>6982</v>
      </c>
      <c r="AZ95" s="33">
        <f>Model!AZ784</f>
        <v>7451</v>
      </c>
      <c r="BA95" s="33">
        <f>Model!BA784</f>
        <v>8807.1927513139708</v>
      </c>
      <c r="BB95" s="33">
        <f>Model!BB784</f>
        <v>10323.401815444347</v>
      </c>
      <c r="BC95" s="33">
        <f>Model!BC784</f>
        <v>11647.660186926505</v>
      </c>
      <c r="BD95" s="33">
        <f>Model!BD784</f>
        <v>13020.253237788598</v>
      </c>
      <c r="BE95" s="33">
        <f>Model!BE784</f>
        <v>14783.777943021503</v>
      </c>
    </row>
    <row r="96" spans="1:57" x14ac:dyDescent="0.2">
      <c r="A96" s="916" t="s">
        <v>836</v>
      </c>
      <c r="B96" s="238"/>
      <c r="C96" s="238"/>
      <c r="D96" s="50">
        <f>Model!D785</f>
        <v>3858</v>
      </c>
      <c r="E96" s="33">
        <f>Model!E785</f>
        <v>3491</v>
      </c>
      <c r="F96" s="33">
        <f>Model!F785</f>
        <v>3897</v>
      </c>
      <c r="G96" s="33">
        <f>Model!G785</f>
        <v>2985</v>
      </c>
      <c r="H96" s="33">
        <f>Model!H785</f>
        <v>2878</v>
      </c>
      <c r="I96" s="33">
        <f>Model!I785</f>
        <v>2608</v>
      </c>
      <c r="J96" s="33">
        <f>Model!J785</f>
        <v>2430</v>
      </c>
      <c r="K96" s="33">
        <f>Model!K785</f>
        <v>2547</v>
      </c>
      <c r="L96" s="33">
        <f>Model!L785</f>
        <v>2439</v>
      </c>
      <c r="M96" s="33">
        <f>Model!M785</f>
        <v>2189</v>
      </c>
      <c r="N96" s="33">
        <f>Model!N785</f>
        <v>2097</v>
      </c>
      <c r="O96" s="33">
        <f>Model!O785</f>
        <v>2248</v>
      </c>
      <c r="P96" s="33">
        <f>Model!P785</f>
        <v>1957</v>
      </c>
      <c r="Q96" s="33">
        <f>Model!Q785</f>
        <v>1920</v>
      </c>
      <c r="R96" s="33">
        <f>Model!R785</f>
        <v>1663</v>
      </c>
      <c r="S96" s="33">
        <f>Model!S785</f>
        <v>1762</v>
      </c>
      <c r="T96" s="33">
        <f>Model!T785</f>
        <v>1724</v>
      </c>
      <c r="U96" s="33">
        <f>Model!U785</f>
        <v>1616</v>
      </c>
      <c r="V96" s="33">
        <f>Model!V785</f>
        <v>1525</v>
      </c>
      <c r="W96" s="33">
        <f>Model!W785</f>
        <v>1696</v>
      </c>
      <c r="X96" s="33">
        <f>Model!X785</f>
        <v>1709</v>
      </c>
      <c r="Y96" s="33">
        <f>Model!Y785</f>
        <v>1710</v>
      </c>
      <c r="Z96" s="33">
        <f>Model!Z785</f>
        <v>1777</v>
      </c>
      <c r="AA96" s="33">
        <f>Model!AA785</f>
        <v>1880</v>
      </c>
      <c r="AB96" s="33">
        <f>Model!AB785</f>
        <v>1867</v>
      </c>
      <c r="AC96" s="33">
        <f>Model!AC785</f>
        <v>2024.6163920547947</v>
      </c>
      <c r="AD96" s="33">
        <f>Model!AD785</f>
        <v>2132.6110641393698</v>
      </c>
      <c r="AE96" s="33">
        <f>Model!AE785</f>
        <v>2228.6826236058632</v>
      </c>
      <c r="AF96" s="33">
        <f>Model!AF785</f>
        <v>2215.6769575195153</v>
      </c>
      <c r="AG96" s="33">
        <f>Model!AG785</f>
        <v>2287.638527487954</v>
      </c>
      <c r="AH96" s="33">
        <f>Model!AH785</f>
        <v>2441.7495520412344</v>
      </c>
      <c r="AI96" s="33">
        <f>Model!AI785</f>
        <v>2566.0482502190785</v>
      </c>
      <c r="AJ96" s="33"/>
      <c r="AK96" s="33"/>
      <c r="AL96" s="33"/>
      <c r="AM96" s="33"/>
      <c r="AN96" s="33"/>
      <c r="AO96" s="33"/>
      <c r="AP96" s="33"/>
      <c r="AQ96" s="33"/>
      <c r="AU96" s="33">
        <f>Model!AU785</f>
        <v>14231</v>
      </c>
      <c r="AV96" s="33">
        <f>Model!AV785</f>
        <v>10463</v>
      </c>
      <c r="AW96" s="33">
        <f>Model!AW785</f>
        <v>8973</v>
      </c>
      <c r="AX96" s="33">
        <f>Model!AX785</f>
        <v>7302</v>
      </c>
      <c r="AY96" s="33">
        <f>Model!AY785</f>
        <v>6561</v>
      </c>
      <c r="AZ96" s="33">
        <f>Model!AZ785</f>
        <v>7076</v>
      </c>
      <c r="BA96" s="33">
        <f>Model!BA785</f>
        <v>8252.9100798000291</v>
      </c>
      <c r="BB96" s="33">
        <f>Model!BB785</f>
        <v>9511.1132872677827</v>
      </c>
      <c r="BC96" s="33">
        <f>Model!BC785</f>
        <v>10728.319938638546</v>
      </c>
      <c r="BD96" s="33">
        <f>Model!BD785</f>
        <v>12002.232023654329</v>
      </c>
      <c r="BE96" s="33">
        <f>Model!BE785</f>
        <v>13654.393473691665</v>
      </c>
    </row>
    <row r="97" spans="1:57" x14ac:dyDescent="0.2">
      <c r="A97" s="238"/>
      <c r="B97" s="238"/>
      <c r="C97" s="238"/>
      <c r="D97" s="50"/>
    </row>
    <row r="98" spans="1:57" x14ac:dyDescent="0.2">
      <c r="A98" s="238" t="s">
        <v>725</v>
      </c>
      <c r="B98" s="238"/>
      <c r="C98" s="238"/>
      <c r="D98" s="50"/>
    </row>
    <row r="99" spans="1:57" x14ac:dyDescent="0.2">
      <c r="A99" s="238" t="s">
        <v>726</v>
      </c>
      <c r="B99" s="238"/>
      <c r="C99" s="238"/>
      <c r="D99" s="50">
        <f>Model!D789</f>
        <v>5090</v>
      </c>
      <c r="E99" s="33">
        <f>Model!E789</f>
        <v>4221</v>
      </c>
      <c r="F99" s="33">
        <f>Model!F789</f>
        <v>4653</v>
      </c>
      <c r="G99" s="33">
        <f>Model!G789</f>
        <v>1814</v>
      </c>
      <c r="H99" s="33">
        <f>Model!H789</f>
        <v>6017</v>
      </c>
      <c r="I99" s="33">
        <f>Model!I789</f>
        <v>6084</v>
      </c>
      <c r="J99" s="33">
        <f>Model!J789</f>
        <v>4764</v>
      </c>
      <c r="K99" s="33">
        <f>Model!K789</f>
        <v>3800</v>
      </c>
      <c r="L99" s="33">
        <f>Model!L789</f>
        <v>6204</v>
      </c>
      <c r="M99" s="33">
        <f>Model!M789</f>
        <v>2328</v>
      </c>
      <c r="N99" s="33">
        <f>Model!N789</f>
        <v>5479</v>
      </c>
      <c r="O99" s="33">
        <f>Model!O789</f>
        <v>1577</v>
      </c>
      <c r="P99" s="33">
        <f>Model!P789</f>
        <v>7133</v>
      </c>
      <c r="Q99" s="33">
        <f>Model!Q789</f>
        <v>6709</v>
      </c>
      <c r="R99" s="33">
        <f>Model!R789</f>
        <v>6107</v>
      </c>
      <c r="S99" s="33">
        <f>Model!S789</f>
        <v>5117</v>
      </c>
      <c r="T99" s="33">
        <f>Model!T789</f>
        <v>5106</v>
      </c>
      <c r="U99" s="33">
        <f>Model!U789</f>
        <v>5885</v>
      </c>
      <c r="V99" s="33">
        <f>Model!V789</f>
        <v>5734</v>
      </c>
      <c r="W99" s="33">
        <f>Model!W789</f>
        <v>5213</v>
      </c>
      <c r="X99" s="33">
        <f>Model!X789</f>
        <v>6104</v>
      </c>
      <c r="Y99" s="33">
        <f>Model!Y789</f>
        <v>5800</v>
      </c>
      <c r="Z99" s="33">
        <f>Model!Z789</f>
        <v>6126</v>
      </c>
      <c r="AA99" s="33">
        <f>Model!AA789</f>
        <v>5227</v>
      </c>
      <c r="AB99" s="33">
        <f>Model!AB789</f>
        <v>6154</v>
      </c>
      <c r="AC99" s="33">
        <f>Model!AC789</f>
        <v>6036.5575078414131</v>
      </c>
      <c r="AD99" s="33">
        <f>Model!AD789</f>
        <v>6108.5804570974215</v>
      </c>
      <c r="AE99" s="33">
        <f>Model!AE789</f>
        <v>5868.7766176352998</v>
      </c>
      <c r="AF99" s="33">
        <f>Model!AF789</f>
        <v>6591.5128478608749</v>
      </c>
      <c r="AG99" s="33">
        <f>Model!AG789</f>
        <v>6766.2100744872714</v>
      </c>
      <c r="AH99" s="33">
        <f>Model!AH789</f>
        <v>6660.5712284950114</v>
      </c>
      <c r="AI99" s="33">
        <f>Model!AI789</f>
        <v>6325.1791569206252</v>
      </c>
      <c r="AJ99" s="33"/>
      <c r="AK99" s="33"/>
      <c r="AL99" s="33"/>
      <c r="AM99" s="33"/>
      <c r="AN99" s="33"/>
      <c r="AO99" s="33"/>
      <c r="AP99" s="33"/>
      <c r="AQ99" s="33"/>
      <c r="AU99" s="33">
        <f>Model!AU789</f>
        <v>15778</v>
      </c>
      <c r="AV99" s="33">
        <f>Model!AV789</f>
        <v>20665</v>
      </c>
      <c r="AW99" s="33">
        <f>Model!AW789</f>
        <v>15588</v>
      </c>
      <c r="AX99" s="33">
        <f>Model!AX789</f>
        <v>25066</v>
      </c>
      <c r="AY99" s="33">
        <f>Model!AY789</f>
        <v>21938</v>
      </c>
      <c r="AZ99" s="33">
        <f>Model!AZ789</f>
        <v>23257</v>
      </c>
      <c r="BA99" s="33">
        <f>Model!BA789</f>
        <v>24167.914582574125</v>
      </c>
      <c r="BB99" s="33">
        <f>Model!BB789</f>
        <v>26343.473307763772</v>
      </c>
      <c r="BC99" s="33">
        <f>Model!BC789</f>
        <v>28351.789376845933</v>
      </c>
      <c r="BD99" s="33">
        <f>Model!BD789</f>
        <v>29915.86948822928</v>
      </c>
      <c r="BE99" s="33">
        <f>Model!BE789</f>
        <v>30661.882118455243</v>
      </c>
    </row>
    <row r="100" spans="1:57" x14ac:dyDescent="0.2">
      <c r="A100" s="238" t="s">
        <v>402</v>
      </c>
      <c r="B100" s="238"/>
      <c r="C100" s="238"/>
      <c r="D100" s="26">
        <f>Model!D791</f>
        <v>0.31080550098231829</v>
      </c>
      <c r="E100" s="26">
        <f>Model!E791</f>
        <v>0.26984126984126983</v>
      </c>
      <c r="F100" s="26">
        <f>Model!F791</f>
        <v>0.28841607565011823</v>
      </c>
      <c r="G100" s="26">
        <f>Model!G791</f>
        <v>0.12127894156560089</v>
      </c>
      <c r="H100" s="26">
        <f>Model!H791</f>
        <v>0.31959448230014958</v>
      </c>
      <c r="I100" s="26">
        <f>Model!I791</f>
        <v>0.35880999342537806</v>
      </c>
      <c r="J100" s="26">
        <f>Model!J791</f>
        <v>0.32136859781696053</v>
      </c>
      <c r="K100" s="26">
        <f>Model!K791</f>
        <v>0.36184210526315791</v>
      </c>
      <c r="L100" s="26">
        <f>Model!L791</f>
        <v>0.32978723404255317</v>
      </c>
      <c r="M100" s="26">
        <f>Model!M791</f>
        <v>0.88273195876288657</v>
      </c>
      <c r="N100" s="26">
        <f>Model!N791</f>
        <v>0.42617265924438769</v>
      </c>
      <c r="O100" s="26">
        <f>Model!O791</f>
        <v>0.75967025998731774</v>
      </c>
      <c r="P100" s="26">
        <f>Model!P791</f>
        <v>0.31809897658769104</v>
      </c>
      <c r="Q100" s="26">
        <f>Model!Q791</f>
        <v>0.30511253540020866</v>
      </c>
      <c r="R100" s="26">
        <f>Model!R791</f>
        <v>0.31570329130505975</v>
      </c>
      <c r="S100" s="26">
        <f>Model!S791</f>
        <v>0.3122923588039867</v>
      </c>
      <c r="T100" s="26">
        <f>Model!T791</f>
        <v>0.31296513905209555</v>
      </c>
      <c r="U100" s="26">
        <f>Model!U791</f>
        <v>0.31231945624468987</v>
      </c>
      <c r="V100" s="26">
        <f>Model!V791</f>
        <v>0.32211370770840597</v>
      </c>
      <c r="W100" s="26">
        <f>Model!W791</f>
        <v>0.31114521388835603</v>
      </c>
      <c r="X100" s="26">
        <f>Model!X791</f>
        <v>0.32536041939711663</v>
      </c>
      <c r="Y100" s="26">
        <f>Model!Y791</f>
        <v>0.33051724137931032</v>
      </c>
      <c r="Z100" s="26">
        <f>Model!Z791</f>
        <v>0.32468168462291869</v>
      </c>
      <c r="AA100" s="26">
        <f>Model!AA791</f>
        <v>0.26745743256169885</v>
      </c>
      <c r="AB100" s="26">
        <f>Model!AB791</f>
        <v>0.24455638609034774</v>
      </c>
      <c r="AC100" s="26">
        <f>Model!AC791</f>
        <v>0.26</v>
      </c>
      <c r="AD100" s="26">
        <f>Model!AD791</f>
        <v>0.255</v>
      </c>
      <c r="AE100" s="26">
        <f>Model!AE791</f>
        <v>0.255</v>
      </c>
      <c r="AF100" s="26">
        <f>Model!AF791</f>
        <v>0.25</v>
      </c>
      <c r="AG100" s="26">
        <f>Model!AG791</f>
        <v>0.25</v>
      </c>
      <c r="AH100" s="26">
        <f>Model!AH791</f>
        <v>0.25</v>
      </c>
      <c r="AI100" s="26">
        <f>Model!AI791</f>
        <v>0.25</v>
      </c>
      <c r="AJ100" s="26"/>
      <c r="AK100" s="26"/>
      <c r="AL100" s="26"/>
      <c r="AM100" s="26"/>
      <c r="AN100" s="26"/>
      <c r="AO100" s="26"/>
      <c r="AP100" s="26"/>
      <c r="AQ100" s="26"/>
      <c r="AU100" s="26">
        <f>Model!AU791</f>
        <v>0.27145392318418049</v>
      </c>
      <c r="AV100" s="26">
        <f>Model!AV791</f>
        <v>0.33931768691023467</v>
      </c>
      <c r="AW100" s="26">
        <f>Model!AW791</f>
        <v>0.48973569412368489</v>
      </c>
      <c r="AX100" s="26">
        <f>Model!AX791</f>
        <v>0.31285406526769327</v>
      </c>
      <c r="AY100" s="26">
        <f>Model!AY791</f>
        <v>0.31475066095359649</v>
      </c>
      <c r="AZ100" s="26">
        <f>Model!AZ791</f>
        <v>0.31345401384529387</v>
      </c>
      <c r="BA100" s="26">
        <f>Model!BA791</f>
        <v>0.25358956748856687</v>
      </c>
      <c r="BB100" s="26">
        <f>Model!BB791</f>
        <v>0.24999999999999981</v>
      </c>
      <c r="BC100" s="26">
        <f>Model!BC791</f>
        <v>0.25</v>
      </c>
      <c r="BD100" s="26">
        <f>Model!BD791</f>
        <v>0.25</v>
      </c>
      <c r="BE100" s="26">
        <f>Model!BE791</f>
        <v>0.25</v>
      </c>
    </row>
    <row r="101" spans="1:57" x14ac:dyDescent="0.2">
      <c r="A101" s="238" t="s">
        <v>727</v>
      </c>
      <c r="B101" s="238"/>
      <c r="C101" s="238"/>
      <c r="D101" s="33">
        <f>Model!D790</f>
        <v>1582</v>
      </c>
      <c r="E101" s="33">
        <f>Model!E790</f>
        <v>1139</v>
      </c>
      <c r="F101" s="33">
        <f>Model!F790</f>
        <v>1342</v>
      </c>
      <c r="G101" s="33">
        <f>Model!G790</f>
        <v>220</v>
      </c>
      <c r="H101" s="33">
        <f>Model!H790</f>
        <v>1923</v>
      </c>
      <c r="I101" s="33">
        <f>Model!I790</f>
        <v>2183</v>
      </c>
      <c r="J101" s="33">
        <f>Model!J790</f>
        <v>1531</v>
      </c>
      <c r="K101" s="33">
        <f>Model!K790</f>
        <v>1375</v>
      </c>
      <c r="L101" s="33">
        <f>Model!L790</f>
        <v>2046</v>
      </c>
      <c r="M101" s="33">
        <f>Model!M790</f>
        <v>2055</v>
      </c>
      <c r="N101" s="33">
        <f>Model!N790</f>
        <v>2335</v>
      </c>
      <c r="O101" s="33">
        <f>Model!O790</f>
        <v>1198</v>
      </c>
      <c r="P101" s="33">
        <f>Model!P790</f>
        <v>2269</v>
      </c>
      <c r="Q101" s="33">
        <f>Model!Q790</f>
        <v>2047</v>
      </c>
      <c r="R101" s="33">
        <f>Model!R790</f>
        <v>1928</v>
      </c>
      <c r="S101" s="33">
        <f>Model!S790</f>
        <v>1598</v>
      </c>
      <c r="T101" s="33">
        <f>Model!T790</f>
        <v>1598</v>
      </c>
      <c r="U101" s="33">
        <f>Model!U790</f>
        <v>1838</v>
      </c>
      <c r="V101" s="33">
        <f>Model!V790</f>
        <v>1847</v>
      </c>
      <c r="W101" s="33">
        <f>Model!W790</f>
        <v>1622</v>
      </c>
      <c r="X101" s="33">
        <f>Model!X790</f>
        <v>1986</v>
      </c>
      <c r="Y101" s="33">
        <f>Model!Y790</f>
        <v>1917</v>
      </c>
      <c r="Z101" s="33">
        <f>Model!Z790</f>
        <v>1989</v>
      </c>
      <c r="AA101" s="33">
        <f>Model!AA790</f>
        <v>1398</v>
      </c>
      <c r="AB101" s="33">
        <f>Model!AB790</f>
        <v>1505</v>
      </c>
      <c r="AC101" s="33">
        <f>Model!AC790</f>
        <v>1569.5049520387674</v>
      </c>
      <c r="AD101" s="33">
        <f>Model!AD790</f>
        <v>1557.6880165598425</v>
      </c>
      <c r="AE101" s="33">
        <f>Model!AE790</f>
        <v>1496.5380374970014</v>
      </c>
      <c r="AF101" s="33">
        <f>Model!AF790</f>
        <v>1647.8782119652187</v>
      </c>
      <c r="AG101" s="33">
        <f>Model!AG790</f>
        <v>1691.5525186218179</v>
      </c>
      <c r="AH101" s="33">
        <f>Model!AH790</f>
        <v>1665.1428071237528</v>
      </c>
      <c r="AI101" s="33">
        <f>Model!AI790</f>
        <v>1581.2947892301563</v>
      </c>
      <c r="AJ101" s="33"/>
      <c r="AK101" s="33"/>
      <c r="AL101" s="33"/>
      <c r="AM101" s="33"/>
      <c r="AN101" s="33"/>
      <c r="AO101" s="33"/>
      <c r="AP101" s="33"/>
      <c r="AQ101" s="33"/>
      <c r="AU101" s="33">
        <f>Model!AU790</f>
        <v>4283</v>
      </c>
      <c r="AV101" s="33">
        <f>Model!AV790</f>
        <v>7012</v>
      </c>
      <c r="AW101" s="33">
        <f>Model!AW790</f>
        <v>7634</v>
      </c>
      <c r="AX101" s="33">
        <f>Model!AX790</f>
        <v>7842</v>
      </c>
      <c r="AY101" s="33">
        <f>Model!AY790</f>
        <v>6905</v>
      </c>
      <c r="AZ101" s="33">
        <f>Model!AZ790</f>
        <v>7290</v>
      </c>
      <c r="BA101" s="33">
        <f>Model!BA790</f>
        <v>6128.7310060956006</v>
      </c>
      <c r="BB101" s="33">
        <f>Model!BB790</f>
        <v>6585.8683269409375</v>
      </c>
      <c r="BC101" s="33">
        <f>Model!BC790</f>
        <v>7087.9473442114831</v>
      </c>
      <c r="BD101" s="33">
        <f>Model!BD790</f>
        <v>7478.9673720573201</v>
      </c>
      <c r="BE101" s="33">
        <f>Model!BE790</f>
        <v>7665.4705296138109</v>
      </c>
    </row>
    <row r="102" spans="1:57" x14ac:dyDescent="0.2">
      <c r="A102" s="238" t="s">
        <v>728</v>
      </c>
      <c r="B102" s="238"/>
      <c r="C102" s="238"/>
      <c r="D102" s="33">
        <f>Model!D793</f>
        <v>3508</v>
      </c>
      <c r="E102" s="33">
        <f>Model!E793</f>
        <v>3082</v>
      </c>
      <c r="F102" s="33">
        <f>Model!F793</f>
        <v>3311</v>
      </c>
      <c r="G102" s="33">
        <f>Model!G793</f>
        <v>1594</v>
      </c>
      <c r="H102" s="33">
        <f>Model!H793</f>
        <v>4094</v>
      </c>
      <c r="I102" s="33">
        <f>Model!I793</f>
        <v>3901</v>
      </c>
      <c r="J102" s="33">
        <f>Model!J793</f>
        <v>3233</v>
      </c>
      <c r="K102" s="33">
        <f>Model!K793</f>
        <v>2425</v>
      </c>
      <c r="L102" s="33">
        <f>Model!L793</f>
        <v>4158</v>
      </c>
      <c r="M102" s="33">
        <f>Model!M793</f>
        <v>273</v>
      </c>
      <c r="N102" s="33">
        <f>Model!N793</f>
        <v>3144</v>
      </c>
      <c r="O102" s="33">
        <f>Model!O793</f>
        <v>379</v>
      </c>
      <c r="P102" s="33">
        <f>Model!P793</f>
        <v>4864</v>
      </c>
      <c r="Q102" s="33">
        <f>Model!Q793</f>
        <v>4662</v>
      </c>
      <c r="R102" s="33">
        <f>Model!R793</f>
        <v>4179</v>
      </c>
      <c r="S102" s="33">
        <f>Model!S793</f>
        <v>3519</v>
      </c>
      <c r="T102" s="33">
        <f>Model!T793</f>
        <v>3508</v>
      </c>
      <c r="U102" s="33">
        <f>Model!U793</f>
        <v>4047</v>
      </c>
      <c r="V102" s="33">
        <f>Model!V793</f>
        <v>3887</v>
      </c>
      <c r="W102" s="33">
        <f>Model!W793</f>
        <v>3591</v>
      </c>
      <c r="X102" s="33">
        <f>Model!X793</f>
        <v>4118</v>
      </c>
      <c r="Y102" s="33">
        <f>Model!Y793</f>
        <v>3883</v>
      </c>
      <c r="Z102" s="33">
        <f>Model!Z793</f>
        <v>4137</v>
      </c>
      <c r="AA102" s="33">
        <f>Model!AA793</f>
        <v>3829</v>
      </c>
      <c r="AB102" s="33">
        <f>Model!AB793</f>
        <v>4649</v>
      </c>
      <c r="AC102" s="33">
        <f>Model!AC793</f>
        <v>4467.0525558026438</v>
      </c>
      <c r="AD102" s="33">
        <f>Model!AD793</f>
        <v>4550.8924405375792</v>
      </c>
      <c r="AE102" s="33">
        <f>Model!AE793</f>
        <v>4372.2385801382998</v>
      </c>
      <c r="AF102" s="33">
        <f>Model!AF793</f>
        <v>4943.6346358956571</v>
      </c>
      <c r="AG102" s="33">
        <f>Model!AG793</f>
        <v>5074.6575558654513</v>
      </c>
      <c r="AH102" s="33">
        <f>Model!AH793</f>
        <v>4995.4284213712617</v>
      </c>
      <c r="AI102" s="33">
        <f>Model!AI793</f>
        <v>4743.8843676904662</v>
      </c>
      <c r="AJ102" s="33"/>
      <c r="AK102" s="33"/>
      <c r="AL102" s="33"/>
      <c r="AM102" s="33"/>
      <c r="AN102" s="33"/>
      <c r="AO102" s="33"/>
      <c r="AP102" s="33"/>
      <c r="AQ102" s="33"/>
      <c r="AU102" s="33">
        <f>Model!AU793</f>
        <v>11495</v>
      </c>
      <c r="AV102" s="33">
        <f>Model!AV793</f>
        <v>13653</v>
      </c>
      <c r="AW102" s="33">
        <f>Model!AW793</f>
        <v>7954</v>
      </c>
      <c r="AX102" s="33">
        <f>Model!AX793</f>
        <v>17224</v>
      </c>
      <c r="AY102" s="33">
        <f>Model!AY793</f>
        <v>15033</v>
      </c>
      <c r="AZ102" s="33">
        <f>Model!AZ793</f>
        <v>15967</v>
      </c>
      <c r="BA102" s="33">
        <f>Model!BA793</f>
        <v>18039.183576478525</v>
      </c>
      <c r="BB102" s="33">
        <f>Model!BB793</f>
        <v>19757.604980822834</v>
      </c>
      <c r="BC102" s="33">
        <f>Model!BC793</f>
        <v>21263.842032634446</v>
      </c>
      <c r="BD102" s="33">
        <f>Model!BD793</f>
        <v>22436.902116171961</v>
      </c>
      <c r="BE102" s="33">
        <f>Model!BE793</f>
        <v>22996.411588841434</v>
      </c>
    </row>
    <row r="103" spans="1:57" x14ac:dyDescent="0.2">
      <c r="A103" s="238" t="s">
        <v>729</v>
      </c>
      <c r="B103" s="238"/>
      <c r="C103" s="238"/>
      <c r="D103" s="33">
        <f>Model!D794</f>
        <v>4</v>
      </c>
      <c r="E103" s="33">
        <f>Model!E794</f>
        <v>9</v>
      </c>
      <c r="F103" s="33">
        <f>Model!F794</f>
        <v>4</v>
      </c>
      <c r="G103" s="33">
        <f>Model!G794</f>
        <v>9</v>
      </c>
      <c r="H103" s="33">
        <f>Model!H794</f>
        <v>4</v>
      </c>
      <c r="I103" s="33">
        <f>Model!I794</f>
        <v>9</v>
      </c>
      <c r="J103" s="33">
        <f>Model!J794</f>
        <v>110</v>
      </c>
      <c r="K103" s="33">
        <f>Model!K794</f>
        <v>71</v>
      </c>
      <c r="L103" s="33">
        <f>Model!L794</f>
        <v>124</v>
      </c>
      <c r="M103" s="33">
        <f>Model!M794</f>
        <v>100</v>
      </c>
      <c r="N103" s="33">
        <f>Model!N794</f>
        <v>128</v>
      </c>
      <c r="O103" s="33">
        <f>Model!O794</f>
        <v>159</v>
      </c>
      <c r="P103" s="33">
        <f>Model!P794</f>
        <v>128</v>
      </c>
      <c r="Q103" s="33">
        <f>Model!Q794</f>
        <v>202</v>
      </c>
      <c r="R103" s="33">
        <f>Model!R794</f>
        <v>174</v>
      </c>
      <c r="S103" s="33">
        <f>Model!S794</f>
        <v>265</v>
      </c>
      <c r="T103" s="33">
        <f>Model!T794</f>
        <v>210</v>
      </c>
      <c r="U103" s="33">
        <f>Model!U794</f>
        <v>322</v>
      </c>
      <c r="V103" s="33">
        <f>Model!V794</f>
        <v>225</v>
      </c>
      <c r="W103" s="33">
        <f>Model!W794</f>
        <v>320</v>
      </c>
      <c r="X103" s="33">
        <f>Model!X794</f>
        <v>301</v>
      </c>
      <c r="Y103" s="33">
        <f>Model!Y794</f>
        <v>320</v>
      </c>
      <c r="Z103" s="33">
        <f>Model!Z794</f>
        <v>272</v>
      </c>
      <c r="AA103" s="33">
        <f>Model!AA794</f>
        <v>320</v>
      </c>
      <c r="AB103" s="33">
        <f>Model!AB794</f>
        <v>301</v>
      </c>
      <c r="AC103" s="33">
        <f>Model!AC794</f>
        <v>318</v>
      </c>
      <c r="AD103" s="33">
        <f>Model!AD794</f>
        <v>270</v>
      </c>
      <c r="AE103" s="33">
        <f>Model!AE794</f>
        <v>313</v>
      </c>
      <c r="AF103" s="33">
        <f>Model!AF794</f>
        <v>305</v>
      </c>
      <c r="AG103" s="33">
        <f>Model!AG794</f>
        <v>348</v>
      </c>
      <c r="AH103" s="33">
        <f>Model!AH794</f>
        <v>305</v>
      </c>
      <c r="AI103" s="33">
        <f>Model!AI794</f>
        <v>348</v>
      </c>
      <c r="AJ103" s="33"/>
      <c r="AK103" s="33"/>
      <c r="AL103" s="33"/>
      <c r="AM103" s="33"/>
      <c r="AN103" s="33"/>
      <c r="AO103" s="33"/>
      <c r="AP103" s="33"/>
      <c r="AQ103" s="33"/>
      <c r="AU103" s="33">
        <f>Model!AU794</f>
        <v>26</v>
      </c>
      <c r="AV103" s="33">
        <f>Model!AV794</f>
        <v>194</v>
      </c>
      <c r="AW103" s="33">
        <f>Model!AW794</f>
        <v>511</v>
      </c>
      <c r="AX103" s="33">
        <f>Model!AX794</f>
        <v>769</v>
      </c>
      <c r="AY103" s="33">
        <f>Model!AY794</f>
        <v>1077</v>
      </c>
      <c r="AZ103" s="33">
        <f>Model!AZ794</f>
        <v>1213</v>
      </c>
      <c r="BA103" s="33">
        <f>Model!BA794</f>
        <v>1202</v>
      </c>
      <c r="BB103" s="33">
        <f>Model!BB794</f>
        <v>1306</v>
      </c>
      <c r="BC103" s="33">
        <f>Model!BC794</f>
        <v>1306</v>
      </c>
      <c r="BD103" s="33">
        <f>Model!BD794</f>
        <v>1306</v>
      </c>
      <c r="BE103" s="33">
        <f>Model!BE794</f>
        <v>1306</v>
      </c>
    </row>
    <row r="104" spans="1:57" x14ac:dyDescent="0.2">
      <c r="A104" s="238" t="s">
        <v>730</v>
      </c>
      <c r="B104" s="238"/>
      <c r="C104" s="238"/>
      <c r="D104" s="33">
        <f>Model!D795+Model!D796</f>
        <v>175</v>
      </c>
      <c r="E104" s="33">
        <f>Model!E795+Model!E796</f>
        <v>105</v>
      </c>
      <c r="F104" s="33">
        <f>Model!F795+Model!F796</f>
        <v>35</v>
      </c>
      <c r="G104" s="33">
        <f>Model!G795+Model!G796</f>
        <v>54</v>
      </c>
      <c r="H104" s="33">
        <f>Model!H795+Model!H796</f>
        <v>161</v>
      </c>
      <c r="I104" s="33">
        <f>Model!I795+Model!I796</f>
        <v>119</v>
      </c>
      <c r="J104" s="33">
        <f>Model!J795+Model!J796</f>
        <v>113</v>
      </c>
      <c r="K104" s="33">
        <f>Model!K795+Model!K796</f>
        <v>97</v>
      </c>
      <c r="L104" s="33">
        <f>Model!L795+Model!L796</f>
        <v>107</v>
      </c>
      <c r="M104" s="33">
        <f>Model!M795+Model!M796</f>
        <v>51</v>
      </c>
      <c r="N104" s="33">
        <f>Model!N795+Model!N796</f>
        <v>103</v>
      </c>
      <c r="O104" s="33">
        <f>Model!O795+Model!O796</f>
        <v>41</v>
      </c>
      <c r="P104" s="33">
        <f>Model!P795+Model!P796</f>
        <v>104</v>
      </c>
      <c r="Q104" s="33">
        <f>Model!Q795+Model!Q796</f>
        <v>82</v>
      </c>
      <c r="R104" s="33">
        <f>Model!R795+Model!R796</f>
        <v>61</v>
      </c>
      <c r="S104" s="33">
        <f>Model!S795+Model!S796</f>
        <v>67</v>
      </c>
      <c r="T104" s="33">
        <f>Model!T795+Model!T796</f>
        <v>45</v>
      </c>
      <c r="U104" s="33">
        <f>Model!U795+Model!U796</f>
        <v>79</v>
      </c>
      <c r="V104" s="33">
        <f>Model!V795+Model!V796</f>
        <v>70</v>
      </c>
      <c r="W104" s="33">
        <f>Model!W795+Model!W796</f>
        <v>64</v>
      </c>
      <c r="X104" s="33">
        <f>Model!X795+Model!X796</f>
        <v>65</v>
      </c>
      <c r="Y104" s="33">
        <f>Model!Y795+Model!Y796</f>
        <v>80</v>
      </c>
      <c r="Z104" s="33">
        <f>Model!Z795+Model!Z796</f>
        <v>52</v>
      </c>
      <c r="AA104" s="33">
        <f>Model!AA795+Model!AA796</f>
        <v>31</v>
      </c>
      <c r="AB104" s="33">
        <f>Model!AB795+Model!AB796</f>
        <v>44</v>
      </c>
      <c r="AC104" s="33">
        <f>Model!AC795+Model!AC796</f>
        <v>56.047998487765014</v>
      </c>
      <c r="AD104" s="33">
        <f>Model!AD795+Model!AD796</f>
        <v>48.76649043504608</v>
      </c>
      <c r="AE104" s="33">
        <f>Model!AE795+Model!AE796</f>
        <v>44.935660571670759</v>
      </c>
      <c r="AF104" s="33">
        <f>Model!AF795+Model!AF796</f>
        <v>53.097189553512081</v>
      </c>
      <c r="AG104" s="33">
        <f>Model!AG795+Model!AG796</f>
        <v>56.146557681712792</v>
      </c>
      <c r="AH104" s="33">
        <f>Model!AH795+Model!AH796</f>
        <v>53.522995432193866</v>
      </c>
      <c r="AI104" s="33">
        <f>Model!AI795+Model!AI796</f>
        <v>50.826279681826904</v>
      </c>
      <c r="AJ104" s="33"/>
      <c r="AK104" s="33"/>
      <c r="AL104" s="33"/>
      <c r="AM104" s="33"/>
      <c r="AN104" s="33"/>
      <c r="AO104" s="33"/>
      <c r="AP104" s="33"/>
      <c r="AQ104" s="33"/>
      <c r="AU104" s="33">
        <f>Model!AU795+Model!AU796</f>
        <v>369</v>
      </c>
      <c r="AV104" s="33">
        <f>Model!AV795+Model!AV796</f>
        <v>490</v>
      </c>
      <c r="AW104" s="33">
        <f>Model!AW795+Model!AW796</f>
        <v>302</v>
      </c>
      <c r="AX104" s="33">
        <f>Model!AX795+Model!AX796</f>
        <v>314</v>
      </c>
      <c r="AY104" s="33">
        <f>Model!AY795+Model!AY796</f>
        <v>258</v>
      </c>
      <c r="AZ104" s="33">
        <f>Model!AZ795+Model!AZ796</f>
        <v>228</v>
      </c>
      <c r="BA104" s="33">
        <f>Model!BA795+Model!BA796</f>
        <v>193.75014949448186</v>
      </c>
      <c r="BB104" s="33">
        <f>Model!BB795+Model!BB796</f>
        <v>213.59302234924564</v>
      </c>
      <c r="BC104" s="33">
        <f>Model!BC795+Model!BC796</f>
        <v>229.87645976907106</v>
      </c>
      <c r="BD104" s="33">
        <f>Model!BD795+Model!BD796</f>
        <v>242.55802967004001</v>
      </c>
      <c r="BE104" s="33">
        <f>Model!BE795+Model!BE796</f>
        <v>248.60670406233106</v>
      </c>
    </row>
    <row r="105" spans="1:57" x14ac:dyDescent="0.2">
      <c r="A105" s="916" t="s">
        <v>731</v>
      </c>
      <c r="B105" s="238"/>
      <c r="C105" s="238"/>
      <c r="D105" s="33">
        <f>Model!D797</f>
        <v>3329</v>
      </c>
      <c r="E105" s="33">
        <f>Model!E797</f>
        <v>2968</v>
      </c>
      <c r="F105" s="33">
        <f>Model!F797</f>
        <v>3272</v>
      </c>
      <c r="G105" s="33">
        <f>Model!G797</f>
        <v>1531</v>
      </c>
      <c r="H105" s="33">
        <f>Model!H797</f>
        <v>3929</v>
      </c>
      <c r="I105" s="33">
        <f>Model!I797</f>
        <v>3773</v>
      </c>
      <c r="J105" s="33">
        <f>Model!J797</f>
        <v>3010</v>
      </c>
      <c r="K105" s="33">
        <f>Model!K797</f>
        <v>2257</v>
      </c>
      <c r="L105" s="33">
        <f>Model!L797</f>
        <v>3927</v>
      </c>
      <c r="M105" s="33">
        <f>Model!M797</f>
        <v>122</v>
      </c>
      <c r="N105" s="33">
        <f>Model!N797</f>
        <v>2913</v>
      </c>
      <c r="O105" s="33">
        <f>Model!O797</f>
        <v>179</v>
      </c>
      <c r="P105" s="33">
        <f>Model!P797</f>
        <v>4632</v>
      </c>
      <c r="Q105" s="33">
        <f>Model!Q797</f>
        <v>4378</v>
      </c>
      <c r="R105" s="33">
        <f>Model!R797</f>
        <v>3944</v>
      </c>
      <c r="S105" s="33">
        <f>Model!S797</f>
        <v>3187</v>
      </c>
      <c r="T105" s="33">
        <f>Model!T797</f>
        <v>3253</v>
      </c>
      <c r="U105" s="33">
        <f>Model!U797</f>
        <v>3646</v>
      </c>
      <c r="V105" s="33">
        <f>Model!V797</f>
        <v>3592</v>
      </c>
      <c r="W105" s="33">
        <f>Model!W797</f>
        <v>3207</v>
      </c>
      <c r="X105" s="33">
        <f>Model!X797</f>
        <v>3752</v>
      </c>
      <c r="Y105" s="33">
        <f>Model!Y797</f>
        <v>3483</v>
      </c>
      <c r="Z105" s="33">
        <f>Model!Z797</f>
        <v>3813</v>
      </c>
      <c r="AA105" s="33">
        <f>Model!AA797</f>
        <v>3478</v>
      </c>
      <c r="AB105" s="33">
        <f>Model!AB797</f>
        <v>4304</v>
      </c>
      <c r="AC105" s="33">
        <f>Model!AC797</f>
        <v>4093.0045573148786</v>
      </c>
      <c r="AD105" s="33">
        <f>Model!AD797</f>
        <v>4232.1259501025334</v>
      </c>
      <c r="AE105" s="33">
        <f>Model!AE797</f>
        <v>4014.302919566629</v>
      </c>
      <c r="AF105" s="33">
        <f>Model!AF797</f>
        <v>4585.5374463421449</v>
      </c>
      <c r="AG105" s="33">
        <f>Model!AG797</f>
        <v>4670.5109981837386</v>
      </c>
      <c r="AH105" s="33">
        <f>Model!AH797</f>
        <v>4636.9054259390678</v>
      </c>
      <c r="AI105" s="33">
        <f>Model!AI797</f>
        <v>4345.0580880086391</v>
      </c>
      <c r="AJ105" s="33"/>
      <c r="AK105" s="33"/>
      <c r="AL105" s="33"/>
      <c r="AM105" s="33"/>
      <c r="AN105" s="33"/>
      <c r="AO105" s="33"/>
      <c r="AP105" s="33"/>
      <c r="AQ105" s="33"/>
      <c r="AU105" s="33">
        <f>Model!AU797</f>
        <v>11100</v>
      </c>
      <c r="AV105" s="33">
        <f>Model!AV797</f>
        <v>12969</v>
      </c>
      <c r="AW105" s="33">
        <f>Model!AW797</f>
        <v>7141</v>
      </c>
      <c r="AX105" s="33">
        <f>Model!AX797</f>
        <v>16141</v>
      </c>
      <c r="AY105" s="33">
        <f>Model!AY797</f>
        <v>13698</v>
      </c>
      <c r="AZ105" s="33">
        <f>Model!AZ797</f>
        <v>14526</v>
      </c>
      <c r="BA105" s="33">
        <f>Model!BA797</f>
        <v>16643.433426984044</v>
      </c>
      <c r="BB105" s="33">
        <f>Model!BB797</f>
        <v>18238.011958473588</v>
      </c>
      <c r="BC105" s="33">
        <f>Model!BC797</f>
        <v>19727.965572865374</v>
      </c>
      <c r="BD105" s="33">
        <f>Model!BD797</f>
        <v>20888.344086501922</v>
      </c>
      <c r="BE105" s="33">
        <f>Model!BE797</f>
        <v>21441.804884779103</v>
      </c>
    </row>
    <row r="106" spans="1:57" x14ac:dyDescent="0.2">
      <c r="A106" s="916"/>
      <c r="B106" s="238"/>
      <c r="C106" s="238"/>
    </row>
    <row r="107" spans="1:57" x14ac:dyDescent="0.2">
      <c r="A107" s="916" t="s">
        <v>526</v>
      </c>
      <c r="B107" s="238"/>
      <c r="C107" s="238"/>
      <c r="D107" s="9">
        <f>Model!D799</f>
        <v>12</v>
      </c>
      <c r="E107" s="9">
        <f>Model!E799</f>
        <v>7</v>
      </c>
      <c r="F107" s="9">
        <f>Model!F799</f>
        <v>8</v>
      </c>
      <c r="G107" s="9">
        <f>Model!G799</f>
        <v>-85</v>
      </c>
      <c r="H107" s="9">
        <f>Model!H799</f>
        <v>-33</v>
      </c>
      <c r="I107" s="9">
        <f>Model!I799</f>
        <v>30</v>
      </c>
      <c r="J107" s="9">
        <f>Model!J799</f>
        <v>92</v>
      </c>
      <c r="K107" s="9">
        <f>Model!K799</f>
        <v>181</v>
      </c>
      <c r="L107" s="9">
        <f>Model!L799</f>
        <v>37</v>
      </c>
      <c r="M107" s="9">
        <f>Model!M799</f>
        <v>-22</v>
      </c>
      <c r="N107" s="9">
        <f>Model!N799</f>
        <v>-16</v>
      </c>
      <c r="O107" s="9">
        <f>Model!O799</f>
        <v>-1</v>
      </c>
      <c r="P107" s="9">
        <f>Model!P799</f>
        <v>-5</v>
      </c>
      <c r="Q107" s="9">
        <f>Model!Q799</f>
        <v>6</v>
      </c>
      <c r="R107" s="9">
        <f>Model!R799</f>
        <v>-10</v>
      </c>
      <c r="S107" s="9">
        <f>Model!S799</f>
        <v>-45</v>
      </c>
      <c r="T107" s="9">
        <f>Model!T799</f>
        <v>-2</v>
      </c>
      <c r="U107" s="9">
        <f>Model!U799</f>
        <v>-23</v>
      </c>
      <c r="V107" s="9">
        <f>Model!V799</f>
        <v>-30</v>
      </c>
      <c r="W107" s="9">
        <f>Model!W799</f>
        <v>-3</v>
      </c>
      <c r="X107" s="9">
        <f>Model!X799</f>
        <v>-18</v>
      </c>
      <c r="Y107" s="9">
        <f>Model!Y799</f>
        <v>21</v>
      </c>
      <c r="Z107" s="9">
        <f>Model!Z799</f>
        <v>-5</v>
      </c>
      <c r="AA107" s="9">
        <f>Model!AA799</f>
        <v>-109</v>
      </c>
      <c r="AB107" s="9">
        <f>Model!AB799</f>
        <v>-7</v>
      </c>
      <c r="AC107" s="9">
        <f>Model!AC799</f>
        <v>0</v>
      </c>
      <c r="AD107" s="9">
        <f>Model!AD799</f>
        <v>0</v>
      </c>
      <c r="AE107" s="9">
        <f>Model!AE799</f>
        <v>0</v>
      </c>
      <c r="AF107" s="1707">
        <f>Model!AF799</f>
        <v>0</v>
      </c>
      <c r="AG107" s="1707">
        <f>Model!AG799</f>
        <v>0</v>
      </c>
      <c r="AH107" s="1707">
        <f>Model!AH799</f>
        <v>0</v>
      </c>
      <c r="AI107" s="1707">
        <f>Model!AI799</f>
        <v>0</v>
      </c>
      <c r="AU107" s="1198">
        <f>Model!AU799</f>
        <v>-58</v>
      </c>
      <c r="AV107" s="1198">
        <f>Model!AV799</f>
        <v>270</v>
      </c>
      <c r="AW107" s="1198">
        <f>Model!AW799</f>
        <v>-2</v>
      </c>
      <c r="AX107" s="1198">
        <f>Model!AX799</f>
        <v>-54</v>
      </c>
      <c r="AY107" s="1198">
        <f>Model!AY799</f>
        <v>-58</v>
      </c>
      <c r="AZ107" s="1198">
        <f>Model!AZ799</f>
        <v>-111</v>
      </c>
      <c r="BA107" s="1198">
        <f>Model!BA799</f>
        <v>-7</v>
      </c>
      <c r="BB107" s="1198">
        <f>Model!BB799</f>
        <v>0</v>
      </c>
      <c r="BC107" s="1198">
        <f>Model!BC799</f>
        <v>0</v>
      </c>
      <c r="BD107" s="1198">
        <f>Model!BD799</f>
        <v>0</v>
      </c>
      <c r="BE107" s="1702">
        <f>Model!BE799</f>
        <v>0</v>
      </c>
    </row>
    <row r="108" spans="1:57" x14ac:dyDescent="0.2">
      <c r="A108" s="238"/>
      <c r="B108" s="238"/>
      <c r="C108" s="238"/>
      <c r="D108" s="33"/>
      <c r="E108" s="33"/>
      <c r="F108" s="33"/>
      <c r="G108" s="33"/>
      <c r="H108" s="33"/>
      <c r="I108" s="33"/>
      <c r="J108" s="33"/>
      <c r="K108" s="33"/>
      <c r="L108" s="33"/>
      <c r="M108" s="33"/>
      <c r="N108" s="33"/>
      <c r="O108" s="33"/>
      <c r="P108" s="33"/>
      <c r="Q108" s="33"/>
      <c r="R108" s="33"/>
      <c r="S108" s="33"/>
      <c r="T108" s="33"/>
      <c r="U108" s="33"/>
      <c r="V108" s="33"/>
      <c r="W108" s="33"/>
      <c r="X108" s="33"/>
      <c r="Y108" s="33"/>
      <c r="Z108" s="33"/>
      <c r="AA108" s="33"/>
      <c r="AB108" s="33"/>
      <c r="AC108" s="33"/>
      <c r="AD108" s="33"/>
      <c r="AE108" s="33"/>
      <c r="AF108" s="33"/>
      <c r="AG108" s="33"/>
      <c r="AH108" s="33"/>
      <c r="AI108" s="33"/>
      <c r="AJ108" s="33"/>
      <c r="AK108" s="33"/>
      <c r="AL108" s="33"/>
      <c r="AM108" s="33"/>
      <c r="AN108" s="33"/>
      <c r="AO108" s="33"/>
      <c r="AP108" s="33"/>
      <c r="AQ108" s="33"/>
      <c r="AR108" s="33"/>
      <c r="AS108" s="33"/>
      <c r="AT108" s="33"/>
      <c r="AU108" s="33"/>
      <c r="AV108" s="33"/>
      <c r="AW108" s="33"/>
      <c r="AX108" s="33"/>
      <c r="AY108" s="33"/>
      <c r="AZ108" s="33"/>
      <c r="BA108" s="33"/>
      <c r="BB108" s="33"/>
      <c r="BC108" s="33"/>
      <c r="BD108" s="33"/>
      <c r="BE108" s="33"/>
    </row>
    <row r="109" spans="1:57" s="22" customFormat="1" x14ac:dyDescent="0.2">
      <c r="A109" s="238" t="s">
        <v>732</v>
      </c>
      <c r="B109" s="238"/>
      <c r="C109" s="238"/>
    </row>
    <row r="110" spans="1:57" s="22" customFormat="1" x14ac:dyDescent="0.2">
      <c r="A110" s="238" t="s">
        <v>733</v>
      </c>
      <c r="B110" s="238"/>
      <c r="C110" s="238"/>
      <c r="D110" s="33">
        <f>Model!D802</f>
        <v>308</v>
      </c>
      <c r="E110" s="33">
        <f>Model!E802</f>
        <v>-274</v>
      </c>
      <c r="F110" s="33">
        <f>Model!F802</f>
        <v>-2315</v>
      </c>
      <c r="G110" s="33">
        <f>Model!G802</f>
        <v>0</v>
      </c>
      <c r="H110" s="33">
        <f>Model!H802</f>
        <v>0</v>
      </c>
      <c r="I110" s="33">
        <f>Model!I802</f>
        <v>0</v>
      </c>
      <c r="J110" s="33">
        <f>Model!J802</f>
        <v>176</v>
      </c>
      <c r="K110" s="33">
        <f>Model!K802</f>
        <v>0</v>
      </c>
      <c r="L110" s="33">
        <f>Model!L802</f>
        <v>-210</v>
      </c>
      <c r="M110" s="33">
        <f>Model!M802</f>
        <v>0</v>
      </c>
      <c r="N110" s="33">
        <f>Model!N802</f>
        <v>0</v>
      </c>
      <c r="O110" s="33">
        <f>Model!O802</f>
        <v>0</v>
      </c>
      <c r="P110" s="33">
        <f>Model!P802</f>
        <v>0</v>
      </c>
      <c r="Q110" s="33">
        <f>Model!Q802</f>
        <v>0</v>
      </c>
      <c r="R110" s="33">
        <f>Model!R802</f>
        <v>0</v>
      </c>
      <c r="S110" s="33">
        <f>Model!S802</f>
        <v>0</v>
      </c>
      <c r="T110" s="33">
        <f>Model!T802</f>
        <v>0</v>
      </c>
      <c r="U110" s="33">
        <f>Model!U802</f>
        <v>0</v>
      </c>
      <c r="V110" s="33">
        <f>Model!V802</f>
        <v>0</v>
      </c>
      <c r="W110" s="33">
        <f>Model!W802</f>
        <v>0</v>
      </c>
      <c r="X110" s="33">
        <f>Model!X802</f>
        <v>0</v>
      </c>
      <c r="Y110" s="33">
        <f>Model!Y802</f>
        <v>0</v>
      </c>
      <c r="Z110" s="33">
        <f>Model!Z802</f>
        <v>0</v>
      </c>
      <c r="AA110" s="33">
        <f>Model!AA802</f>
        <v>-22594</v>
      </c>
      <c r="AB110" s="33">
        <f>Model!AB802</f>
        <v>0</v>
      </c>
      <c r="AC110" s="33">
        <f>Model!AC802</f>
        <v>0</v>
      </c>
      <c r="AD110" s="33">
        <f>Model!AD802</f>
        <v>0</v>
      </c>
      <c r="AE110" s="33">
        <f>Model!AE802</f>
        <v>0</v>
      </c>
      <c r="AF110" s="33">
        <f>Model!AF802</f>
        <v>0</v>
      </c>
      <c r="AG110" s="33">
        <f>Model!AG802</f>
        <v>0</v>
      </c>
      <c r="AH110" s="33">
        <f>Model!AH802</f>
        <v>0</v>
      </c>
      <c r="AI110" s="33">
        <f>Model!AI802</f>
        <v>0</v>
      </c>
      <c r="AJ110" s="33"/>
      <c r="AK110" s="33"/>
      <c r="AL110" s="33"/>
      <c r="AM110" s="33"/>
      <c r="AN110" s="33"/>
      <c r="AO110" s="33"/>
      <c r="AP110" s="33"/>
      <c r="AQ110" s="33"/>
      <c r="AU110" s="33">
        <f>Model!AU802</f>
        <v>-2281</v>
      </c>
      <c r="AV110" s="33">
        <f>Model!AV802</f>
        <v>176</v>
      </c>
      <c r="AW110" s="33">
        <f>Model!AW802</f>
        <v>-210</v>
      </c>
      <c r="AX110" s="33">
        <f>Model!AX802</f>
        <v>0</v>
      </c>
      <c r="AY110" s="33">
        <f>Model!AY802</f>
        <v>0</v>
      </c>
      <c r="AZ110" s="33">
        <f>Model!AZ802</f>
        <v>-22594</v>
      </c>
      <c r="BA110" s="33">
        <f>Model!BA802</f>
        <v>0</v>
      </c>
      <c r="BB110" s="33">
        <f>Model!BB802</f>
        <v>0</v>
      </c>
      <c r="BC110" s="33">
        <f>Model!BC802</f>
        <v>0</v>
      </c>
      <c r="BD110" s="33">
        <f>Model!BD802</f>
        <v>0</v>
      </c>
      <c r="BE110" s="33">
        <f>Model!BE802</f>
        <v>0</v>
      </c>
    </row>
    <row r="111" spans="1:57" x14ac:dyDescent="0.2">
      <c r="A111" s="238"/>
      <c r="B111" s="238"/>
      <c r="C111" s="238"/>
      <c r="D111" s="33"/>
      <c r="E111" s="33"/>
      <c r="F111" s="33"/>
      <c r="G111" s="33"/>
      <c r="H111" s="33"/>
      <c r="I111" s="33"/>
      <c r="J111" s="33"/>
      <c r="K111" s="33"/>
      <c r="L111" s="33"/>
      <c r="M111" s="33"/>
      <c r="N111" s="33"/>
      <c r="O111" s="33"/>
      <c r="P111" s="33"/>
      <c r="Q111" s="33"/>
      <c r="R111" s="33"/>
      <c r="S111" s="33"/>
      <c r="T111" s="33"/>
      <c r="U111" s="33"/>
      <c r="V111" s="33"/>
      <c r="W111" s="33"/>
      <c r="X111" s="33"/>
      <c r="Y111" s="33"/>
      <c r="Z111" s="33"/>
      <c r="AA111" s="33"/>
      <c r="AB111" s="33"/>
      <c r="AC111" s="33"/>
      <c r="AD111" s="33"/>
      <c r="AE111" s="33"/>
      <c r="AF111" s="33"/>
      <c r="AG111" s="33"/>
      <c r="AH111" s="33"/>
      <c r="AI111" s="33"/>
      <c r="AJ111" s="33"/>
      <c r="AK111" s="33"/>
      <c r="AL111" s="33"/>
      <c r="AM111" s="33"/>
      <c r="AN111" s="33"/>
      <c r="AO111" s="33"/>
      <c r="AP111" s="33"/>
      <c r="AQ111" s="33"/>
      <c r="AR111" s="33"/>
      <c r="AS111" s="33"/>
      <c r="AT111" s="33"/>
      <c r="AU111" s="33"/>
      <c r="AV111" s="33"/>
      <c r="AW111" s="33"/>
      <c r="AX111" s="33"/>
      <c r="AY111" s="33"/>
      <c r="AZ111" s="33"/>
      <c r="BA111" s="33"/>
      <c r="BB111" s="33"/>
      <c r="BC111" s="33"/>
      <c r="BD111" s="33"/>
      <c r="BE111" s="33"/>
    </row>
    <row r="112" spans="1:57" x14ac:dyDescent="0.2">
      <c r="A112" s="238" t="s">
        <v>734</v>
      </c>
      <c r="B112" s="238"/>
      <c r="C112" s="238"/>
      <c r="D112" s="33">
        <f>Model!D804</f>
        <v>2849</v>
      </c>
      <c r="E112" s="33">
        <f>Model!E804</f>
        <v>2841</v>
      </c>
      <c r="F112" s="33">
        <f>Model!F804</f>
        <v>480</v>
      </c>
      <c r="G112" s="33">
        <f>Model!G804</f>
        <v>1145</v>
      </c>
      <c r="H112" s="33">
        <f>Model!H804</f>
        <v>3698</v>
      </c>
      <c r="I112" s="33">
        <f>Model!I804</f>
        <v>4096</v>
      </c>
      <c r="J112" s="33">
        <f>Model!J804</f>
        <v>3070</v>
      </c>
      <c r="K112" s="33">
        <f>Model!K804</f>
        <v>2338</v>
      </c>
      <c r="L112" s="33">
        <f>Model!L804</f>
        <v>3758</v>
      </c>
      <c r="M112" s="33">
        <f>Model!M804</f>
        <v>80</v>
      </c>
      <c r="N112" s="33">
        <f>Model!N804</f>
        <v>2669</v>
      </c>
      <c r="O112" s="33">
        <f>Model!O804</f>
        <v>182</v>
      </c>
      <c r="P112" s="33">
        <f>Model!P804</f>
        <v>4580</v>
      </c>
      <c r="Q112" s="33">
        <f>Model!Q804</f>
        <v>4580</v>
      </c>
      <c r="R112" s="33">
        <f>Model!R804</f>
        <v>4061</v>
      </c>
      <c r="S112" s="33">
        <f>Model!S804</f>
        <v>3028</v>
      </c>
      <c r="T112" s="33">
        <f>Model!T804</f>
        <v>3251</v>
      </c>
      <c r="U112" s="33">
        <f>Model!U804</f>
        <v>3623</v>
      </c>
      <c r="V112" s="33">
        <f>Model!V804</f>
        <v>3562</v>
      </c>
      <c r="W112" s="33">
        <f>Model!W804</f>
        <v>3204</v>
      </c>
      <c r="X112" s="33">
        <f>Model!X804</f>
        <v>3734</v>
      </c>
      <c r="Y112" s="33">
        <f>Model!Y804</f>
        <v>3504</v>
      </c>
      <c r="Z112" s="33">
        <f>Model!Z804</f>
        <v>3808</v>
      </c>
      <c r="AA112" s="33">
        <f>Model!AA804</f>
        <v>-19225</v>
      </c>
      <c r="AB112" s="33">
        <f>Model!AB804</f>
        <v>4297</v>
      </c>
      <c r="AC112" s="33">
        <f>Model!AC804</f>
        <v>4093.0045573148786</v>
      </c>
      <c r="AD112" s="33">
        <f>Model!AD804</f>
        <v>4232.1259501025334</v>
      </c>
      <c r="AE112" s="33">
        <f>Model!AE804</f>
        <v>4014.302919566629</v>
      </c>
      <c r="AF112" s="33">
        <f>Model!AF804</f>
        <v>4585.5374463421449</v>
      </c>
      <c r="AG112" s="33">
        <f>Model!AG804</f>
        <v>4670.5109981837386</v>
      </c>
      <c r="AH112" s="33">
        <f>Model!AH804</f>
        <v>4636.9054259390678</v>
      </c>
      <c r="AI112" s="33">
        <f>Model!AI804</f>
        <v>4345.0580880086391</v>
      </c>
      <c r="AJ112" s="33"/>
      <c r="AK112" s="33"/>
      <c r="AL112" s="33"/>
      <c r="AM112" s="33"/>
      <c r="AN112" s="33"/>
      <c r="AO112" s="33"/>
      <c r="AP112" s="33"/>
      <c r="AQ112" s="33"/>
      <c r="AU112" s="33">
        <f>Model!AU804</f>
        <v>11877</v>
      </c>
      <c r="AV112" s="33">
        <f>Model!AV804</f>
        <v>12850</v>
      </c>
      <c r="AW112" s="33">
        <f>Model!AW804</f>
        <v>7109</v>
      </c>
      <c r="AX112" s="33">
        <f>Model!AX804</f>
        <v>16249</v>
      </c>
      <c r="AY112" s="33">
        <f>Model!AY804</f>
        <v>13640</v>
      </c>
      <c r="AZ112" s="33">
        <f>Model!AZ804</f>
        <v>37009</v>
      </c>
      <c r="BA112" s="33">
        <f>Model!BA804</f>
        <v>16636.433426984044</v>
      </c>
      <c r="BB112" s="33">
        <f>Model!BB804</f>
        <v>18238.011958473588</v>
      </c>
      <c r="BC112" s="33">
        <f>Model!BC804</f>
        <v>19727.965572865374</v>
      </c>
      <c r="BD112" s="33">
        <f>Model!BD804</f>
        <v>20888.344086501922</v>
      </c>
      <c r="BE112" s="33">
        <f>Model!BE804</f>
        <v>21441.804884779103</v>
      </c>
    </row>
    <row r="113" spans="1:57" x14ac:dyDescent="0.2">
      <c r="A113" s="238"/>
      <c r="B113" s="238"/>
      <c r="C113" s="238"/>
      <c r="D113" s="238"/>
      <c r="E113" s="238"/>
      <c r="F113" s="238"/>
      <c r="G113" s="238"/>
      <c r="H113" s="238"/>
      <c r="I113" s="238"/>
      <c r="J113" s="238"/>
      <c r="K113" s="238"/>
      <c r="L113" s="238"/>
      <c r="M113" s="238"/>
      <c r="N113" s="238"/>
      <c r="O113" s="238"/>
      <c r="P113" s="238"/>
      <c r="Q113" s="238"/>
      <c r="R113" s="238"/>
      <c r="S113" s="238"/>
      <c r="T113" s="238"/>
      <c r="U113" s="238"/>
      <c r="V113" s="238"/>
      <c r="W113" s="238"/>
      <c r="X113" s="238"/>
      <c r="Y113" s="238"/>
      <c r="Z113" s="238"/>
      <c r="AA113" s="238"/>
      <c r="AB113" s="238"/>
      <c r="AC113" s="238"/>
      <c r="AD113" s="238"/>
      <c r="AE113" s="238"/>
      <c r="AF113" s="238"/>
      <c r="AG113" s="238"/>
      <c r="AH113" s="238"/>
      <c r="AI113" s="238"/>
      <c r="AJ113" s="238"/>
      <c r="AK113" s="238"/>
      <c r="AL113" s="238"/>
      <c r="AM113" s="238"/>
      <c r="AN113" s="238"/>
      <c r="AO113" s="238"/>
      <c r="AP113" s="238"/>
      <c r="AQ113" s="238"/>
      <c r="AR113" s="238"/>
      <c r="AS113" s="238"/>
      <c r="AT113" s="238"/>
      <c r="AU113" s="238"/>
      <c r="AV113" s="238"/>
      <c r="AW113" s="238"/>
      <c r="AX113" s="238"/>
      <c r="AY113" s="238"/>
      <c r="AZ113" s="238"/>
      <c r="BA113" s="238"/>
      <c r="BB113" s="238"/>
      <c r="BC113" s="238"/>
      <c r="BD113" s="238"/>
      <c r="BE113" s="238"/>
    </row>
    <row r="114" spans="1:57" x14ac:dyDescent="0.2">
      <c r="A114" s="238" t="s">
        <v>398</v>
      </c>
      <c r="B114" s="238"/>
      <c r="C114" s="238"/>
      <c r="D114" s="1064">
        <f>Model!D806</f>
        <v>1.1041459369817579</v>
      </c>
      <c r="E114" s="1064">
        <f>Model!E806</f>
        <v>0.98441127694859043</v>
      </c>
      <c r="F114" s="1064">
        <f>Model!F806</f>
        <v>1.085240464344942</v>
      </c>
      <c r="G114" s="1064">
        <f>Model!G806</f>
        <v>0.50745773947630091</v>
      </c>
      <c r="H114" s="1064">
        <f>Model!H806</f>
        <v>1.290311986863711</v>
      </c>
      <c r="I114" s="1064">
        <f>Model!I806</f>
        <v>1.2386736703873933</v>
      </c>
      <c r="J114" s="1064">
        <f>Model!J806</f>
        <v>0.98980598487339688</v>
      </c>
      <c r="K114" s="1064">
        <f>Model!K806</f>
        <v>0.74365733113673804</v>
      </c>
      <c r="L114" s="1064">
        <f>Model!L806</f>
        <v>1.2905027932960893</v>
      </c>
      <c r="M114" s="1064">
        <f>Model!M806</f>
        <v>4.0157998683344305E-2</v>
      </c>
      <c r="N114" s="1064">
        <f>Model!N806</f>
        <v>0.95980230642504116</v>
      </c>
      <c r="O114" s="1064">
        <f>Model!O806</f>
        <v>5.9036939313984169E-2</v>
      </c>
      <c r="P114" s="1064">
        <f>Model!P806</f>
        <v>1.5241855873642645</v>
      </c>
      <c r="Q114" s="1064">
        <f>Model!Q806</f>
        <v>1.4472727272727273</v>
      </c>
      <c r="R114" s="1064">
        <f>Model!R806</f>
        <v>1.3159826493159827</v>
      </c>
      <c r="S114" s="1064">
        <f>Model!S806</f>
        <v>1.0730639730639731</v>
      </c>
      <c r="T114" s="1064">
        <f>Model!T806</f>
        <v>1.1053346924906557</v>
      </c>
      <c r="U114" s="1064">
        <f>Model!U806</f>
        <v>1.2503429355281208</v>
      </c>
      <c r="V114" s="1064">
        <f>Model!V806</f>
        <v>1.2472222222222222</v>
      </c>
      <c r="W114" s="1064">
        <f>Model!W806</f>
        <v>1.1396588486140724</v>
      </c>
      <c r="X114" s="1064">
        <f>Model!X806</f>
        <v>1.35647143890094</v>
      </c>
      <c r="Y114" s="1064">
        <f>Model!Y806</f>
        <v>1.2715391355140189</v>
      </c>
      <c r="Z114" s="1064">
        <f>Model!Z806</f>
        <v>1.4207996422849052</v>
      </c>
      <c r="AA114" s="1064">
        <f>Model!AA806</f>
        <v>1.3345100145806155</v>
      </c>
      <c r="AB114" s="1064">
        <f>Model!AB806</f>
        <v>1.6792820912992588</v>
      </c>
      <c r="AC114" s="1064">
        <f>Model!AC806</f>
        <v>1.6131362248152867</v>
      </c>
      <c r="AD114" s="1064">
        <f>Model!AD806</f>
        <v>1.6992945156656953</v>
      </c>
      <c r="AE114" s="1064">
        <f>Model!AE806</f>
        <v>1.6548137115900834</v>
      </c>
      <c r="AF114" s="1064">
        <f>Model!AF806</f>
        <v>1.9360392326331692</v>
      </c>
      <c r="AG114" s="1064">
        <f>Model!AG806</f>
        <v>2.0173838383606579</v>
      </c>
      <c r="AH114" s="1064">
        <f>Model!AH806</f>
        <v>2.0497843491120911</v>
      </c>
      <c r="AI114" s="1064">
        <f>Model!AI806</f>
        <v>1.9637202647973697</v>
      </c>
      <c r="AJ114" s="1064"/>
      <c r="AK114" s="1064"/>
      <c r="AL114" s="1064"/>
      <c r="AM114" s="1064"/>
      <c r="AN114" s="1064"/>
      <c r="AO114" s="1064"/>
      <c r="AP114" s="1064"/>
      <c r="AQ114" s="1064"/>
      <c r="AU114" s="1064">
        <f>Model!AU806</f>
        <v>3.6809815950920246</v>
      </c>
      <c r="AV114" s="1064">
        <f>Model!AV806</f>
        <v>4.2636640092052271</v>
      </c>
      <c r="AW114" s="1064">
        <f>Model!AW806</f>
        <v>2.3513335528482053</v>
      </c>
      <c r="AX114" s="1064">
        <f>Model!AX806</f>
        <v>5.366469952622392</v>
      </c>
      <c r="AY114" s="1064">
        <f>Model!AY806</f>
        <v>4.7426642430537527</v>
      </c>
      <c r="AZ114" s="1064">
        <f>Model!AZ806</f>
        <v>5.382442033885745</v>
      </c>
      <c r="BA114" s="1064">
        <f>Model!BA806</f>
        <v>6.6463076569865081</v>
      </c>
      <c r="BB114" s="1064">
        <f>Model!BB806</f>
        <v>7.9655392750409657</v>
      </c>
      <c r="BC114" s="1064">
        <f>Model!BC806</f>
        <v>9.3023259924377815</v>
      </c>
      <c r="BD114" s="1064">
        <f>Model!BD806</f>
        <v>10.443193931519048</v>
      </c>
      <c r="BE114" s="1064">
        <f>Model!BE806</f>
        <v>11.302220448498844</v>
      </c>
    </row>
    <row r="115" spans="1:57" x14ac:dyDescent="0.2">
      <c r="A115" s="238" t="s">
        <v>401</v>
      </c>
      <c r="B115" s="238"/>
      <c r="C115" s="238"/>
      <c r="D115" s="1064">
        <f>Model!D807</f>
        <v>0.94494195688225535</v>
      </c>
      <c r="E115" s="1064">
        <f>Model!E807</f>
        <v>0.94228855721393034</v>
      </c>
      <c r="F115" s="1064">
        <f>Model!F807</f>
        <v>0.15920398009950248</v>
      </c>
      <c r="G115" s="1064">
        <f>Model!G807</f>
        <v>0.37951607557176004</v>
      </c>
      <c r="H115" s="1064">
        <f>Model!H807</f>
        <v>1.2144499178981938</v>
      </c>
      <c r="I115" s="1064">
        <f>Model!I807</f>
        <v>1.3447143795141168</v>
      </c>
      <c r="J115" s="1064">
        <f>Model!J807</f>
        <v>1.0095363367313384</v>
      </c>
      <c r="K115" s="1064">
        <f>Model!K807</f>
        <v>0.77034596375617792</v>
      </c>
      <c r="L115" s="1064">
        <f>Model!L807</f>
        <v>1.2349654945777193</v>
      </c>
      <c r="M115" s="1064">
        <f>Model!M807</f>
        <v>2.6333113890717578E-2</v>
      </c>
      <c r="N115" s="1064">
        <f>Model!N807</f>
        <v>0.8794069192751236</v>
      </c>
      <c r="O115" s="1064">
        <f>Model!O807</f>
        <v>6.0026385224274406E-2</v>
      </c>
      <c r="P115" s="1064">
        <f>Model!P807</f>
        <v>1.5070746956235603</v>
      </c>
      <c r="Q115" s="1064">
        <f>Model!Q807</f>
        <v>1.5140495867768595</v>
      </c>
      <c r="R115" s="1064">
        <f>Model!R807</f>
        <v>1.3550216883550217</v>
      </c>
      <c r="S115" s="1064">
        <f>Model!S807</f>
        <v>1.0195286195286195</v>
      </c>
      <c r="T115" s="1064">
        <f>Model!T807</f>
        <v>1.1046551138294258</v>
      </c>
      <c r="U115" s="1064">
        <f>Model!U807</f>
        <v>1.2424554183813443</v>
      </c>
      <c r="V115" s="1064">
        <f>Model!V807</f>
        <v>1.2368055555555555</v>
      </c>
      <c r="W115" s="1064">
        <f>Model!W807</f>
        <v>1.1385927505330491</v>
      </c>
      <c r="X115" s="1064">
        <f>Model!X807</f>
        <v>1.3499638467100505</v>
      </c>
      <c r="Y115" s="1064">
        <f>Model!Y807</f>
        <v>1.2792056074766356</v>
      </c>
      <c r="Z115" s="1064">
        <f>Model!Z807</f>
        <v>1.4189365428326566</v>
      </c>
      <c r="AA115" s="1064">
        <f>Model!AA807</f>
        <v>-7.3766403192387386</v>
      </c>
      <c r="AB115" s="1064">
        <f>Model!AB807</f>
        <v>1.6765509168942645</v>
      </c>
      <c r="AC115" s="1064">
        <f>Model!AC807</f>
        <v>1.6131362248152867</v>
      </c>
      <c r="AD115" s="1064">
        <f>Model!AD807</f>
        <v>1.6992945156656953</v>
      </c>
      <c r="AE115" s="1064">
        <f>Model!AE807</f>
        <v>1.6548137115900834</v>
      </c>
      <c r="AF115" s="1064">
        <f>Model!AF807</f>
        <v>1.9360392326331692</v>
      </c>
      <c r="AG115" s="1064">
        <f>Model!AG807</f>
        <v>2.0173838383606579</v>
      </c>
      <c r="AH115" s="1064">
        <f>Model!AH807</f>
        <v>2.0497843491120911</v>
      </c>
      <c r="AI115" s="1064">
        <f>Model!AI807</f>
        <v>1.9637202647973697</v>
      </c>
      <c r="AJ115" s="1064"/>
      <c r="AK115" s="1064"/>
      <c r="AL115" s="1064"/>
      <c r="AM115" s="1064"/>
      <c r="AN115" s="1064"/>
      <c r="AO115" s="1064"/>
      <c r="AP115" s="1064"/>
      <c r="AQ115" s="1064"/>
      <c r="AU115" s="1064">
        <f>Model!AU807</f>
        <v>3.9386503067484662</v>
      </c>
      <c r="AV115" s="1064">
        <f>Model!AV807</f>
        <v>4.2245417933755238</v>
      </c>
      <c r="AW115" s="1064">
        <f>Model!AW807</f>
        <v>2.3407968389858413</v>
      </c>
      <c r="AX115" s="1064">
        <f>Model!AX807</f>
        <v>5.4023771922533452</v>
      </c>
      <c r="AY115" s="1064">
        <f>Model!AY807</f>
        <v>4.7225828789059117</v>
      </c>
      <c r="AZ115" s="1064">
        <f>Model!AZ807</f>
        <v>13.713258793341426</v>
      </c>
      <c r="BA115" s="1064">
        <f>Model!BA807</f>
        <v>6.6435123110740788</v>
      </c>
      <c r="BB115" s="1064">
        <f>Model!BB807</f>
        <v>7.9655392750409657</v>
      </c>
      <c r="BC115" s="1064">
        <f>Model!BC807</f>
        <v>9.3023259924377815</v>
      </c>
      <c r="BD115" s="1064">
        <f>Model!BD807</f>
        <v>10.443193931519048</v>
      </c>
      <c r="BE115" s="1064">
        <f>Model!BE807</f>
        <v>11.302220448498844</v>
      </c>
    </row>
    <row r="116" spans="1:57" s="916" customFormat="1" x14ac:dyDescent="0.2">
      <c r="A116" s="238"/>
      <c r="B116" s="238"/>
      <c r="C116" s="238"/>
      <c r="D116" s="1064"/>
      <c r="E116" s="1064"/>
      <c r="F116" s="1064"/>
      <c r="G116" s="1064"/>
      <c r="H116" s="1064"/>
      <c r="I116" s="1064"/>
      <c r="J116" s="1064"/>
      <c r="K116" s="1064"/>
      <c r="L116" s="1064"/>
      <c r="M116" s="1064"/>
      <c r="N116" s="1064"/>
      <c r="O116" s="1064"/>
      <c r="P116" s="1064"/>
      <c r="Q116" s="1064"/>
      <c r="R116" s="1064"/>
      <c r="S116" s="1064"/>
      <c r="T116" s="1064"/>
      <c r="U116" s="1064"/>
      <c r="V116" s="1064"/>
      <c r="W116" s="1064"/>
      <c r="X116" s="1064"/>
      <c r="Y116" s="1064"/>
      <c r="Z116" s="1064"/>
      <c r="AA116" s="1064"/>
      <c r="AB116" s="1064"/>
      <c r="AC116" s="1064"/>
      <c r="AD116" s="1064"/>
      <c r="AE116" s="1064"/>
      <c r="AF116" s="1064"/>
      <c r="AG116" s="1064"/>
      <c r="AH116" s="1064"/>
      <c r="AI116" s="1064"/>
      <c r="AJ116" s="1064"/>
      <c r="AK116" s="1064"/>
      <c r="AL116" s="1064"/>
      <c r="AM116" s="1064"/>
      <c r="AN116" s="1064"/>
      <c r="AO116" s="1064"/>
      <c r="AP116" s="1064"/>
      <c r="AQ116" s="1064"/>
      <c r="AS116" s="1160"/>
      <c r="AT116" s="1160"/>
      <c r="AU116" s="1064"/>
      <c r="AV116" s="1064"/>
      <c r="AW116" s="1064"/>
      <c r="AX116" s="1064"/>
      <c r="AY116" s="1064"/>
      <c r="AZ116" s="1064"/>
      <c r="BA116" s="1064"/>
      <c r="BB116" s="1064"/>
      <c r="BC116" s="1064"/>
      <c r="BD116" s="1064"/>
      <c r="BE116" s="1064"/>
    </row>
    <row r="117" spans="1:57" s="916" customFormat="1" x14ac:dyDescent="0.2">
      <c r="A117" s="916" t="s">
        <v>708</v>
      </c>
      <c r="B117" s="238" t="s">
        <v>708</v>
      </c>
      <c r="C117" s="238"/>
      <c r="D117" s="33">
        <f>Model!D755</f>
        <v>11850</v>
      </c>
      <c r="E117" s="33">
        <f>Model!E755</f>
        <v>11559</v>
      </c>
      <c r="F117" s="33">
        <f>Model!F755</f>
        <v>11880</v>
      </c>
      <c r="G117" s="33">
        <f>Model!G755</f>
        <v>12049</v>
      </c>
      <c r="H117" s="33">
        <f>Model!H755</f>
        <v>11757</v>
      </c>
      <c r="I117" s="33">
        <f>Model!I755</f>
        <v>11824</v>
      </c>
      <c r="J117" s="33">
        <f>Model!J755</f>
        <v>11636</v>
      </c>
      <c r="K117" s="33">
        <f>Model!K755</f>
        <v>12097</v>
      </c>
      <c r="L117" s="33">
        <f>Model!L755</f>
        <v>11887</v>
      </c>
      <c r="M117" s="33">
        <f>Model!M755</f>
        <v>12067</v>
      </c>
      <c r="N117" s="33">
        <f>Model!N755</f>
        <v>12311</v>
      </c>
      <c r="O117" s="33">
        <f>Model!O755</f>
        <v>12225</v>
      </c>
      <c r="P117" s="33">
        <f>Model!P755</f>
        <v>11695</v>
      </c>
      <c r="Q117" s="33">
        <f>Model!Q755</f>
        <v>11949</v>
      </c>
      <c r="R117" s="33">
        <f>Model!R755</f>
        <v>11889</v>
      </c>
      <c r="S117" s="33">
        <f>Model!S755</f>
        <v>11591</v>
      </c>
      <c r="T117" s="33">
        <f>Model!T755</f>
        <v>11346</v>
      </c>
      <c r="U117" s="33">
        <f>Model!U755</f>
        <v>11351</v>
      </c>
      <c r="V117" s="33">
        <f>Model!V755</f>
        <v>11593</v>
      </c>
      <c r="W117" s="33">
        <f>Model!W755</f>
        <v>11275</v>
      </c>
      <c r="X117" s="33">
        <f>Model!X755</f>
        <v>11078</v>
      </c>
      <c r="Y117" s="33">
        <f>Model!Y755</f>
        <v>11380</v>
      </c>
      <c r="Z117" s="33">
        <f>Model!Z755</f>
        <v>11658</v>
      </c>
      <c r="AA117" s="33">
        <f>Model!AA755</f>
        <v>11441</v>
      </c>
      <c r="AB117" s="33">
        <f>Model!AB755</f>
        <v>11236</v>
      </c>
      <c r="AC117" s="33">
        <f>Model!AC755</f>
        <v>11466.590789838856</v>
      </c>
      <c r="AD117" s="33">
        <f>Model!AD755</f>
        <v>11853.038702033275</v>
      </c>
      <c r="AE117" s="33">
        <f>Model!AE755</f>
        <v>12158.20080100847</v>
      </c>
      <c r="AF117" s="33">
        <f>Model!AF755</f>
        <v>12014.964534956456</v>
      </c>
      <c r="AG117" s="33">
        <f>Model!AG755</f>
        <v>12359.694025665238</v>
      </c>
      <c r="AH117" s="33">
        <f>Model!AH755</f>
        <v>12845.881714910509</v>
      </c>
      <c r="AI117" s="33">
        <f>Model!AI755</f>
        <v>13210.868164188989</v>
      </c>
      <c r="AJ117" s="33"/>
      <c r="AK117" s="33"/>
      <c r="AL117" s="33"/>
      <c r="AM117" s="33"/>
      <c r="AN117" s="33"/>
      <c r="AO117" s="33"/>
      <c r="AP117" s="33"/>
      <c r="AQ117" s="33"/>
      <c r="AS117" s="1160"/>
      <c r="AT117" s="1160"/>
      <c r="AU117" s="33">
        <f>Model!AU755</f>
        <v>47338</v>
      </c>
      <c r="AV117" s="33">
        <f>Model!AV755</f>
        <v>47314</v>
      </c>
      <c r="AW117" s="33">
        <f>Model!AW755</f>
        <v>48490</v>
      </c>
      <c r="AX117" s="33">
        <f>Model!AX755</f>
        <v>47124</v>
      </c>
      <c r="AY117" s="33">
        <f>Model!AY755</f>
        <v>45565</v>
      </c>
      <c r="AZ117" s="33">
        <f>Model!AZ755</f>
        <v>45557</v>
      </c>
      <c r="BA117" s="33">
        <f>Model!BA755</f>
        <v>46713.830292880593</v>
      </c>
      <c r="BB117" s="33">
        <f>Model!BB755</f>
        <v>50431.408439721185</v>
      </c>
      <c r="BC117" s="33">
        <f>Model!BC755</f>
        <v>53668.280013172516</v>
      </c>
      <c r="BD117" s="33">
        <f>Model!BD755</f>
        <v>56806.723198482418</v>
      </c>
      <c r="BE117" s="33">
        <f>Model!BE755</f>
        <v>59806.111927837759</v>
      </c>
    </row>
    <row r="118" spans="1:57" x14ac:dyDescent="0.2">
      <c r="A118" s="916" t="s">
        <v>710</v>
      </c>
      <c r="B118" s="238" t="s">
        <v>710</v>
      </c>
      <c r="C118" s="238"/>
      <c r="D118" s="33">
        <f>Model!D769</f>
        <v>20205</v>
      </c>
      <c r="E118" s="33">
        <f>Model!E769</f>
        <v>18910</v>
      </c>
      <c r="F118" s="33">
        <f>Model!F769</f>
        <v>19368</v>
      </c>
      <c r="G118" s="33">
        <f>Model!G769</f>
        <v>18660</v>
      </c>
      <c r="H118" s="33">
        <f>Model!H769</f>
        <v>20764</v>
      </c>
      <c r="I118" s="33">
        <f>Model!I769</f>
        <v>20257</v>
      </c>
      <c r="J118" s="33">
        <f>Model!J769</f>
        <v>18402</v>
      </c>
      <c r="K118" s="33">
        <f>Model!K769</f>
        <v>18164</v>
      </c>
      <c r="L118" s="33">
        <f>Model!L769</f>
        <v>20327</v>
      </c>
      <c r="M118" s="33">
        <f>Model!M769</f>
        <v>19579</v>
      </c>
      <c r="N118" s="33">
        <f>Model!N769</f>
        <v>20184</v>
      </c>
      <c r="O118" s="33">
        <f>Model!O769</f>
        <v>18016</v>
      </c>
      <c r="P118" s="33">
        <f>Model!P769</f>
        <v>19932</v>
      </c>
      <c r="Q118" s="33">
        <f>Model!Q769</f>
        <v>19285</v>
      </c>
      <c r="R118" s="33">
        <f>Model!R769</f>
        <v>18612</v>
      </c>
      <c r="S118" s="33">
        <f>Model!S769</f>
        <v>18765</v>
      </c>
      <c r="T118" s="33">
        <f>Model!T769</f>
        <v>17674</v>
      </c>
      <c r="U118" s="33">
        <f>Model!U769</f>
        <v>17663</v>
      </c>
      <c r="V118" s="33">
        <f>Model!V769</f>
        <v>17874</v>
      </c>
      <c r="W118" s="33">
        <f>Model!W769</f>
        <v>17125</v>
      </c>
      <c r="X118" s="33">
        <f>Model!X769</f>
        <v>18489</v>
      </c>
      <c r="Y118" s="33">
        <f>Model!Y769</f>
        <v>18277</v>
      </c>
      <c r="Z118" s="33">
        <f>Model!Z769</f>
        <v>18542</v>
      </c>
      <c r="AA118" s="33">
        <f>Model!AA769</f>
        <v>17632</v>
      </c>
      <c r="AB118" s="33">
        <f>Model!AB769</f>
        <v>18936</v>
      </c>
      <c r="AC118" s="33">
        <f>Model!AC769</f>
        <v>19151.212300461106</v>
      </c>
      <c r="AD118" s="33">
        <f>Model!AD769</f>
        <v>19217.41007592095</v>
      </c>
      <c r="AE118" s="33">
        <f>Model!AE769</f>
        <v>18713.441154625914</v>
      </c>
      <c r="AF118" s="33">
        <f>Model!AF769</f>
        <v>20139.399016018204</v>
      </c>
      <c r="AG118" s="33">
        <f>Model!AG769</f>
        <v>20313.754685243024</v>
      </c>
      <c r="AH118" s="33">
        <f>Model!AH769</f>
        <v>20297.365970931729</v>
      </c>
      <c r="AI118" s="33">
        <f>Model!AI769</f>
        <v>19721.64918664343</v>
      </c>
      <c r="AJ118" s="33"/>
      <c r="AK118" s="33"/>
      <c r="AL118" s="33"/>
      <c r="AM118" s="33"/>
      <c r="AN118" s="33"/>
      <c r="AO118" s="33"/>
      <c r="AP118" s="33"/>
      <c r="AQ118" s="33"/>
      <c r="AU118" s="33">
        <f>Model!AU769</f>
        <v>77143</v>
      </c>
      <c r="AV118" s="33">
        <f>Model!AV769</f>
        <v>77587</v>
      </c>
      <c r="AW118" s="33">
        <f>Model!AW769</f>
        <v>78106</v>
      </c>
      <c r="AX118" s="33">
        <f>Model!AX769</f>
        <v>76594</v>
      </c>
      <c r="AY118" s="33">
        <f>Model!AY769</f>
        <v>70336</v>
      </c>
      <c r="AZ118" s="33">
        <f>Model!AZ769</f>
        <v>72940</v>
      </c>
      <c r="BA118" s="33">
        <f>Model!BA769</f>
        <v>76018.063531007967</v>
      </c>
      <c r="BB118" s="33">
        <f>Model!BB769</f>
        <v>80472.168858836376</v>
      </c>
      <c r="BC118" s="33">
        <f>Model!BC769</f>
        <v>84791.843252769686</v>
      </c>
      <c r="BD118" s="33">
        <f>Model!BD769</f>
        <v>89146.222714750009</v>
      </c>
      <c r="BE118" s="33">
        <f>Model!BE769</f>
        <v>93472.265293406119</v>
      </c>
    </row>
    <row r="119" spans="1:57" x14ac:dyDescent="0.2">
      <c r="A119" s="238" t="s">
        <v>48</v>
      </c>
      <c r="B119" s="238" t="s">
        <v>48</v>
      </c>
      <c r="C119" s="238"/>
      <c r="D119" s="33">
        <f>Model!D780</f>
        <v>12215</v>
      </c>
      <c r="E119" s="33">
        <f>Model!E780</f>
        <v>11993</v>
      </c>
      <c r="F119" s="33">
        <f>Model!F780</f>
        <v>12095</v>
      </c>
      <c r="G119" s="33">
        <f>Model!G780</f>
        <v>13733</v>
      </c>
      <c r="H119" s="33">
        <f>Model!H780</f>
        <v>12288</v>
      </c>
      <c r="I119" s="33">
        <f>Model!I780</f>
        <v>12149</v>
      </c>
      <c r="J119" s="33">
        <f>Model!J780</f>
        <v>11679</v>
      </c>
      <c r="K119" s="33">
        <f>Model!K780</f>
        <v>12292</v>
      </c>
      <c r="L119" s="33">
        <f>Model!L780</f>
        <v>12149</v>
      </c>
      <c r="M119" s="33">
        <f>Model!M780</f>
        <v>15521</v>
      </c>
      <c r="N119" s="33">
        <f>Model!N780</f>
        <v>12955</v>
      </c>
      <c r="O119" s="33">
        <f>Model!O780</f>
        <v>14426</v>
      </c>
      <c r="P119" s="33">
        <f>Model!P780</f>
        <v>10884</v>
      </c>
      <c r="Q119" s="33">
        <f>Model!Q780</f>
        <v>10928</v>
      </c>
      <c r="R119" s="33">
        <f>Model!R780</f>
        <v>10669</v>
      </c>
      <c r="S119" s="33">
        <f>Model!S780</f>
        <v>11134</v>
      </c>
      <c r="T119" s="33">
        <f>Model!T780</f>
        <v>10523</v>
      </c>
      <c r="U119" s="33">
        <f>Model!U780</f>
        <v>10369</v>
      </c>
      <c r="V119" s="33">
        <f>Model!V780</f>
        <v>10404</v>
      </c>
      <c r="W119" s="33">
        <f>Model!W780</f>
        <v>10120</v>
      </c>
      <c r="X119" s="33">
        <f>Model!X780</f>
        <v>10723</v>
      </c>
      <c r="Y119" s="33">
        <f>Model!Y780</f>
        <v>10760</v>
      </c>
      <c r="Z119" s="33">
        <f>Model!Z780</f>
        <v>10417</v>
      </c>
      <c r="AA119" s="33">
        <f>Model!AA780</f>
        <v>10332</v>
      </c>
      <c r="AB119" s="33">
        <f>Model!AB780</f>
        <v>10925</v>
      </c>
      <c r="AC119" s="33">
        <f>Model!AC780</f>
        <v>10913.303917359419</v>
      </c>
      <c r="AD119" s="33">
        <f>Model!AD780</f>
        <v>10790.647419418166</v>
      </c>
      <c r="AE119" s="33">
        <f>Model!AE780</f>
        <v>10414.00486034228</v>
      </c>
      <c r="AF119" s="33">
        <f>Model!AF780</f>
        <v>11148.808772994969</v>
      </c>
      <c r="AG119" s="33">
        <f>Model!AG780</f>
        <v>11062.063471053511</v>
      </c>
      <c r="AH119" s="33">
        <f>Model!AH780</f>
        <v>10984.492873533498</v>
      </c>
      <c r="AI119" s="33">
        <f>Model!AI780</f>
        <v>10609.928618046279</v>
      </c>
      <c r="AJ119" s="33"/>
      <c r="AK119" s="33"/>
      <c r="AL119" s="33"/>
      <c r="AM119" s="33"/>
      <c r="AN119" s="33"/>
      <c r="AO119" s="33"/>
      <c r="AP119" s="33"/>
      <c r="AQ119" s="33"/>
      <c r="AU119" s="33">
        <f>Model!AU780</f>
        <v>50036</v>
      </c>
      <c r="AV119" s="33">
        <f>Model!AV780</f>
        <v>48408</v>
      </c>
      <c r="AW119" s="33">
        <f>Model!AW780</f>
        <v>55051</v>
      </c>
      <c r="AX119" s="33">
        <f>Model!AX780</f>
        <v>43615</v>
      </c>
      <c r="AY119" s="33">
        <f>Model!AY780</f>
        <v>41416</v>
      </c>
      <c r="AZ119" s="33">
        <f>Model!AZ780</f>
        <v>42232</v>
      </c>
      <c r="BA119" s="33">
        <f>Model!BA780</f>
        <v>43042.956197119871</v>
      </c>
      <c r="BB119" s="33">
        <f>Model!BB780</f>
        <v>43805.293735628256</v>
      </c>
      <c r="BC119" s="33">
        <f>Model!BC780</f>
        <v>44792.393688997246</v>
      </c>
      <c r="BD119" s="33">
        <f>Model!BD780</f>
        <v>46210.09998873213</v>
      </c>
      <c r="BE119" s="33">
        <f>Model!BE780</f>
        <v>48026.605231929374</v>
      </c>
    </row>
    <row r="120" spans="1:57" x14ac:dyDescent="0.2">
      <c r="A120" s="238" t="s">
        <v>711</v>
      </c>
      <c r="B120" s="238" t="s">
        <v>711</v>
      </c>
      <c r="C120" s="238"/>
      <c r="D120" s="33">
        <f>Model!D789</f>
        <v>5090</v>
      </c>
      <c r="E120" s="33">
        <f>Model!E789</f>
        <v>4221</v>
      </c>
      <c r="F120" s="33">
        <f>Model!F789</f>
        <v>4653</v>
      </c>
      <c r="G120" s="33">
        <f>Model!G789</f>
        <v>1814</v>
      </c>
      <c r="H120" s="33">
        <f>Model!H789</f>
        <v>6017</v>
      </c>
      <c r="I120" s="33">
        <f>Model!I789</f>
        <v>6084</v>
      </c>
      <c r="J120" s="33">
        <f>Model!J789</f>
        <v>4764</v>
      </c>
      <c r="K120" s="33">
        <f>Model!K789</f>
        <v>3800</v>
      </c>
      <c r="L120" s="33">
        <f>Model!L789</f>
        <v>6204</v>
      </c>
      <c r="M120" s="33">
        <f>Model!M789</f>
        <v>2328</v>
      </c>
      <c r="N120" s="33">
        <f>Model!N789</f>
        <v>5479</v>
      </c>
      <c r="O120" s="33">
        <f>Model!O789</f>
        <v>1577</v>
      </c>
      <c r="P120" s="33">
        <f>Model!P789</f>
        <v>7133</v>
      </c>
      <c r="Q120" s="33">
        <f>Model!Q789</f>
        <v>6709</v>
      </c>
      <c r="R120" s="33">
        <f>Model!R789</f>
        <v>6107</v>
      </c>
      <c r="S120" s="33">
        <f>Model!S789</f>
        <v>5117</v>
      </c>
      <c r="T120" s="33">
        <f>Model!T789</f>
        <v>5106</v>
      </c>
      <c r="U120" s="33">
        <f>Model!U789</f>
        <v>5885</v>
      </c>
      <c r="V120" s="33">
        <f>Model!V789</f>
        <v>5734</v>
      </c>
      <c r="W120" s="33">
        <f>Model!W789</f>
        <v>5213</v>
      </c>
      <c r="X120" s="33">
        <f>Model!X789</f>
        <v>6104</v>
      </c>
      <c r="Y120" s="33">
        <f>Model!Y789</f>
        <v>5800</v>
      </c>
      <c r="Z120" s="33">
        <f>Model!Z789</f>
        <v>6126</v>
      </c>
      <c r="AA120" s="33">
        <f>Model!AA789</f>
        <v>5227</v>
      </c>
      <c r="AB120" s="33">
        <f>Model!AB789</f>
        <v>6154</v>
      </c>
      <c r="AC120" s="33">
        <f>Model!AC789</f>
        <v>6036.5575078414131</v>
      </c>
      <c r="AD120" s="33">
        <f>Model!AD789</f>
        <v>6108.5804570974215</v>
      </c>
      <c r="AE120" s="33">
        <f>Model!AE789</f>
        <v>5868.7766176352998</v>
      </c>
      <c r="AF120" s="33">
        <f>Model!AF789</f>
        <v>6591.5128478608749</v>
      </c>
      <c r="AG120" s="33">
        <f>Model!AG789</f>
        <v>6766.2100744872714</v>
      </c>
      <c r="AH120" s="33">
        <f>Model!AH789</f>
        <v>6660.5712284950114</v>
      </c>
      <c r="AI120" s="33">
        <f>Model!AI789</f>
        <v>6325.1791569206252</v>
      </c>
      <c r="AJ120" s="33"/>
      <c r="AK120" s="33"/>
      <c r="AL120" s="33"/>
      <c r="AM120" s="33"/>
      <c r="AN120" s="33"/>
      <c r="AO120" s="33"/>
      <c r="AP120" s="33"/>
      <c r="AQ120" s="33"/>
      <c r="AU120" s="33">
        <f>Model!AU789</f>
        <v>15778</v>
      </c>
      <c r="AV120" s="33">
        <f>Model!AV789</f>
        <v>20665</v>
      </c>
      <c r="AW120" s="33">
        <f>Model!AW789</f>
        <v>15588</v>
      </c>
      <c r="AX120" s="33">
        <f>Model!AX789</f>
        <v>25066</v>
      </c>
      <c r="AY120" s="33">
        <f>Model!AY789</f>
        <v>21938</v>
      </c>
      <c r="AZ120" s="33">
        <f>Model!AZ789</f>
        <v>23257</v>
      </c>
      <c r="BA120" s="33">
        <f>Model!BA789</f>
        <v>24167.914582574125</v>
      </c>
      <c r="BB120" s="33">
        <f>Model!BB789</f>
        <v>26343.473307763772</v>
      </c>
      <c r="BC120" s="33">
        <f>Model!BC789</f>
        <v>28351.789376845933</v>
      </c>
      <c r="BD120" s="33">
        <f>Model!BD789</f>
        <v>29915.86948822928</v>
      </c>
      <c r="BE120" s="33">
        <f>Model!BE789</f>
        <v>30661.882118455243</v>
      </c>
    </row>
    <row r="121" spans="1:57" x14ac:dyDescent="0.2">
      <c r="A121" s="238" t="s">
        <v>6</v>
      </c>
      <c r="B121" s="238" t="s">
        <v>6</v>
      </c>
      <c r="C121" s="238"/>
      <c r="D121" s="33">
        <f>Model!D804</f>
        <v>2849</v>
      </c>
      <c r="E121" s="33">
        <f>Model!E804</f>
        <v>2841</v>
      </c>
      <c r="F121" s="33">
        <f>Model!F804</f>
        <v>480</v>
      </c>
      <c r="G121" s="33">
        <f>Model!G804</f>
        <v>1145</v>
      </c>
      <c r="H121" s="33">
        <f>Model!H804</f>
        <v>3698</v>
      </c>
      <c r="I121" s="33">
        <f>Model!I804</f>
        <v>4096</v>
      </c>
      <c r="J121" s="33">
        <f>Model!J804</f>
        <v>3070</v>
      </c>
      <c r="K121" s="33">
        <f>Model!K804</f>
        <v>2338</v>
      </c>
      <c r="L121" s="33">
        <f>Model!L804</f>
        <v>3758</v>
      </c>
      <c r="M121" s="33">
        <f>Model!M804</f>
        <v>80</v>
      </c>
      <c r="N121" s="33">
        <f>Model!N804</f>
        <v>2669</v>
      </c>
      <c r="O121" s="33">
        <f>Model!O804</f>
        <v>182</v>
      </c>
      <c r="P121" s="33">
        <f>Model!P804</f>
        <v>4580</v>
      </c>
      <c r="Q121" s="33">
        <f>Model!Q804</f>
        <v>4580</v>
      </c>
      <c r="R121" s="33">
        <f>Model!R804</f>
        <v>4061</v>
      </c>
      <c r="S121" s="33">
        <f>Model!S804</f>
        <v>3028</v>
      </c>
      <c r="T121" s="33">
        <f>Model!T804</f>
        <v>3251</v>
      </c>
      <c r="U121" s="33">
        <f>Model!U804</f>
        <v>3623</v>
      </c>
      <c r="V121" s="33">
        <f>Model!V804</f>
        <v>3562</v>
      </c>
      <c r="W121" s="33">
        <f>Model!W804</f>
        <v>3204</v>
      </c>
      <c r="X121" s="33">
        <f>Model!X804</f>
        <v>3734</v>
      </c>
      <c r="Y121" s="33">
        <f>Model!Y804</f>
        <v>3504</v>
      </c>
      <c r="Z121" s="33">
        <f>Model!Z804</f>
        <v>3808</v>
      </c>
      <c r="AA121" s="33">
        <f>Model!AA804</f>
        <v>-19225</v>
      </c>
      <c r="AB121" s="33">
        <f>Model!AB804</f>
        <v>4297</v>
      </c>
      <c r="AC121" s="33">
        <f>Model!AC804</f>
        <v>4093.0045573148786</v>
      </c>
      <c r="AD121" s="33">
        <f>Model!AD804</f>
        <v>4232.1259501025334</v>
      </c>
      <c r="AE121" s="33">
        <f>Model!AE804</f>
        <v>4014.302919566629</v>
      </c>
      <c r="AF121" s="33">
        <f>Model!AF804</f>
        <v>4585.5374463421449</v>
      </c>
      <c r="AG121" s="33">
        <f>Model!AG804</f>
        <v>4670.5109981837386</v>
      </c>
      <c r="AH121" s="33">
        <f>Model!AH804</f>
        <v>4636.9054259390678</v>
      </c>
      <c r="AI121" s="33">
        <f>Model!AI804</f>
        <v>4345.0580880086391</v>
      </c>
      <c r="AJ121" s="33"/>
      <c r="AK121" s="33"/>
      <c r="AL121" s="33"/>
      <c r="AM121" s="33"/>
      <c r="AN121" s="33"/>
      <c r="AO121" s="33"/>
      <c r="AP121" s="33"/>
      <c r="AQ121" s="33"/>
      <c r="AU121" s="33">
        <f>Model!AU804</f>
        <v>11877</v>
      </c>
      <c r="AV121" s="33">
        <f>Model!AV804</f>
        <v>12850</v>
      </c>
      <c r="AW121" s="33">
        <f>Model!AW804</f>
        <v>7109</v>
      </c>
      <c r="AX121" s="33">
        <f>Model!AX804</f>
        <v>16249</v>
      </c>
      <c r="AY121" s="33">
        <f>Model!AY804</f>
        <v>13640</v>
      </c>
      <c r="AZ121" s="33">
        <f>Model!AZ804</f>
        <v>37009</v>
      </c>
      <c r="BA121" s="33">
        <f>Model!BA804</f>
        <v>16636.433426984044</v>
      </c>
      <c r="BB121" s="33">
        <f>Model!BB804</f>
        <v>18238.011958473588</v>
      </c>
      <c r="BC121" s="33">
        <f>Model!BC804</f>
        <v>19727.965572865374</v>
      </c>
      <c r="BD121" s="33">
        <f>Model!BD804</f>
        <v>20888.344086501922</v>
      </c>
      <c r="BE121" s="33">
        <f>Model!BE804</f>
        <v>21441.804884779103</v>
      </c>
    </row>
    <row r="122" spans="1:57" x14ac:dyDescent="0.2">
      <c r="A122" s="916" t="s">
        <v>712</v>
      </c>
      <c r="B122" s="238" t="s">
        <v>712</v>
      </c>
      <c r="C122" s="238"/>
      <c r="D122" s="1064">
        <f>Model!D806</f>
        <v>1.1041459369817579</v>
      </c>
      <c r="E122" s="1064">
        <f>Model!E806</f>
        <v>0.98441127694859043</v>
      </c>
      <c r="F122" s="1064">
        <f>Model!F806</f>
        <v>1.085240464344942</v>
      </c>
      <c r="G122" s="1064">
        <f>Model!G806</f>
        <v>0.50745773947630091</v>
      </c>
      <c r="H122" s="1064">
        <f>Model!H806</f>
        <v>1.290311986863711</v>
      </c>
      <c r="I122" s="1064">
        <f>Model!I806</f>
        <v>1.2386736703873933</v>
      </c>
      <c r="J122" s="1064">
        <f>Model!J806</f>
        <v>0.98980598487339688</v>
      </c>
      <c r="K122" s="1064">
        <f>Model!K806</f>
        <v>0.74365733113673804</v>
      </c>
      <c r="L122" s="1064">
        <f>Model!L806</f>
        <v>1.2905027932960893</v>
      </c>
      <c r="M122" s="1064">
        <f>Model!M806</f>
        <v>4.0157998683344305E-2</v>
      </c>
      <c r="N122" s="1064">
        <f>Model!N806</f>
        <v>0.95980230642504116</v>
      </c>
      <c r="O122" s="1064">
        <f>Model!O806</f>
        <v>5.9036939313984169E-2</v>
      </c>
      <c r="P122" s="1064">
        <f>Model!P806</f>
        <v>1.5241855873642645</v>
      </c>
      <c r="Q122" s="1064">
        <f>Model!Q806</f>
        <v>1.4472727272727273</v>
      </c>
      <c r="R122" s="1064">
        <f>Model!R806</f>
        <v>1.3159826493159827</v>
      </c>
      <c r="S122" s="1064">
        <f>Model!S806</f>
        <v>1.0730639730639731</v>
      </c>
      <c r="T122" s="1064">
        <f>Model!T806</f>
        <v>1.1053346924906557</v>
      </c>
      <c r="U122" s="1064">
        <f>Model!U806</f>
        <v>1.2503429355281208</v>
      </c>
      <c r="V122" s="1064">
        <f>Model!V806</f>
        <v>1.2472222222222222</v>
      </c>
      <c r="W122" s="1064">
        <f>Model!W806</f>
        <v>1.1396588486140724</v>
      </c>
      <c r="X122" s="1064">
        <f>Model!X806</f>
        <v>1.35647143890094</v>
      </c>
      <c r="Y122" s="1064">
        <f>Model!Y806</f>
        <v>1.2715391355140189</v>
      </c>
      <c r="Z122" s="1064">
        <f>Model!Z806</f>
        <v>1.4207996422849052</v>
      </c>
      <c r="AA122" s="1064">
        <f>Model!AA806</f>
        <v>1.3345100145806155</v>
      </c>
      <c r="AB122" s="1064">
        <f>Model!AB806</f>
        <v>1.6792820912992588</v>
      </c>
      <c r="AC122" s="1064">
        <f>Model!AC806</f>
        <v>1.6131362248152867</v>
      </c>
      <c r="AD122" s="1064">
        <f>Model!AD806</f>
        <v>1.6992945156656953</v>
      </c>
      <c r="AE122" s="1064">
        <f>Model!AE806</f>
        <v>1.6548137115900834</v>
      </c>
      <c r="AF122" s="1064">
        <f>Model!AF806</f>
        <v>1.9360392326331692</v>
      </c>
      <c r="AG122" s="1064">
        <f>Model!AG806</f>
        <v>2.0173838383606579</v>
      </c>
      <c r="AH122" s="1064">
        <f>Model!AH806</f>
        <v>2.0497843491120911</v>
      </c>
      <c r="AI122" s="1064">
        <f>Model!AI806</f>
        <v>1.9637202647973697</v>
      </c>
      <c r="AJ122" s="1064"/>
      <c r="AK122" s="1064"/>
      <c r="AL122" s="1064"/>
      <c r="AM122" s="1064"/>
      <c r="AN122" s="1064"/>
      <c r="AO122" s="1064"/>
      <c r="AP122" s="1064"/>
      <c r="AQ122" s="1064"/>
      <c r="AU122" s="1064">
        <f>Model!AU806</f>
        <v>3.6809815950920246</v>
      </c>
      <c r="AV122" s="1064">
        <f>Model!AV806</f>
        <v>4.2636640092052271</v>
      </c>
      <c r="AW122" s="1064">
        <f>Model!AW806</f>
        <v>2.3513335528482053</v>
      </c>
      <c r="AX122" s="1064">
        <f>Model!AX806</f>
        <v>5.366469952622392</v>
      </c>
      <c r="AY122" s="1064">
        <f>Model!AY806</f>
        <v>4.7426642430537527</v>
      </c>
      <c r="AZ122" s="1064">
        <f>Model!AZ806</f>
        <v>5.382442033885745</v>
      </c>
      <c r="BA122" s="1064">
        <f>Model!BA806</f>
        <v>6.6463076569865081</v>
      </c>
      <c r="BB122" s="1064">
        <f>Model!BB806</f>
        <v>7.9655392750409657</v>
      </c>
      <c r="BC122" s="1064">
        <f>Model!BC806</f>
        <v>9.3023259924377815</v>
      </c>
      <c r="BD122" s="1064">
        <f>Model!BD806</f>
        <v>10.443193931519048</v>
      </c>
      <c r="BE122" s="1064">
        <f>Model!BE806</f>
        <v>11.302220448498844</v>
      </c>
    </row>
    <row r="123" spans="1:57" x14ac:dyDescent="0.2">
      <c r="A123" s="238" t="s">
        <v>713</v>
      </c>
      <c r="B123" s="238" t="s">
        <v>713</v>
      </c>
      <c r="C123" s="238"/>
      <c r="D123" s="33">
        <f>Model!D1326</f>
        <v>3015</v>
      </c>
      <c r="E123" s="33">
        <f>Model!E1326</f>
        <v>3015</v>
      </c>
      <c r="F123" s="33">
        <f>Model!F1326</f>
        <v>3015</v>
      </c>
      <c r="G123" s="33">
        <f>Model!G1326</f>
        <v>3017</v>
      </c>
      <c r="H123" s="33">
        <f>Model!H1326</f>
        <v>3045</v>
      </c>
      <c r="I123" s="33">
        <f>Model!I1326</f>
        <v>3046</v>
      </c>
      <c r="J123" s="33">
        <f>Model!J1326</f>
        <v>3041</v>
      </c>
      <c r="K123" s="33">
        <f>Model!K1326</f>
        <v>3035</v>
      </c>
      <c r="L123" s="33">
        <f>Model!L1326</f>
        <v>3043</v>
      </c>
      <c r="M123" s="33">
        <f>Model!M1326</f>
        <v>3038</v>
      </c>
      <c r="N123" s="33">
        <f>Model!N1326</f>
        <v>3035</v>
      </c>
      <c r="O123" s="33">
        <f>Model!O1326</f>
        <v>3032</v>
      </c>
      <c r="P123" s="33">
        <f>Model!P1326</f>
        <v>3039</v>
      </c>
      <c r="Q123" s="33">
        <f>Model!Q1326</f>
        <v>3025</v>
      </c>
      <c r="R123" s="33">
        <f>Model!R1326</f>
        <v>2997</v>
      </c>
      <c r="S123" s="33">
        <f>Model!S1326</f>
        <v>2970</v>
      </c>
      <c r="T123" s="33">
        <f>Model!T1326</f>
        <v>2943</v>
      </c>
      <c r="U123" s="33">
        <f>Model!U1326</f>
        <v>2916</v>
      </c>
      <c r="V123" s="33">
        <f>Model!V1326</f>
        <v>2880</v>
      </c>
      <c r="W123" s="33">
        <f>Model!W1326</f>
        <v>2814</v>
      </c>
      <c r="X123" s="33">
        <f>Model!X1326</f>
        <v>2766</v>
      </c>
      <c r="Y123" s="33">
        <f>Model!Y1326</f>
        <v>2739.2</v>
      </c>
      <c r="Z123" s="33">
        <f>Model!Z1326</f>
        <v>2683.7</v>
      </c>
      <c r="AA123" s="33">
        <f>Model!AA1326</f>
        <v>2606.1999999999998</v>
      </c>
      <c r="AB123" s="33">
        <f>Model!AB1326</f>
        <v>2563</v>
      </c>
      <c r="AC123" s="33">
        <f>Model!AC1326</f>
        <v>2537.2962892725013</v>
      </c>
      <c r="AD123" s="33">
        <f>Model!AD1326</f>
        <v>2490.5193956002418</v>
      </c>
      <c r="AE123" s="33">
        <f>Model!AE1326</f>
        <v>2425.8337306797821</v>
      </c>
      <c r="AF123" s="33">
        <f>Model!AF1326</f>
        <v>2368.5147330952818</v>
      </c>
      <c r="AG123" s="33">
        <f>Model!AG1326</f>
        <v>2315.1325540404014</v>
      </c>
      <c r="AH123" s="33">
        <f>Model!AH1326</f>
        <v>2262.1430532180834</v>
      </c>
      <c r="AI123" s="33">
        <f>Model!AI1326</f>
        <v>2212.6665217548143</v>
      </c>
      <c r="AJ123" s="33"/>
      <c r="AK123" s="33"/>
      <c r="AL123" s="33"/>
      <c r="AM123" s="33"/>
      <c r="AN123" s="33"/>
      <c r="AO123" s="33"/>
      <c r="AP123" s="33"/>
      <c r="AQ123" s="33"/>
      <c r="AR123" s="238"/>
      <c r="AS123" s="238"/>
      <c r="AT123" s="238"/>
      <c r="AU123" s="33">
        <f>Model!AU1326</f>
        <v>3015.5</v>
      </c>
      <c r="AV123" s="33">
        <f>Model!AV1326</f>
        <v>3041.75</v>
      </c>
      <c r="AW123" s="33">
        <f>Model!AW1326</f>
        <v>3037</v>
      </c>
      <c r="AX123" s="33">
        <f>Model!AX1326</f>
        <v>3007.75</v>
      </c>
      <c r="AY123" s="33">
        <f>Model!AY1326</f>
        <v>2888.25</v>
      </c>
      <c r="AZ123" s="33">
        <f>Model!AZ1326</f>
        <v>2698.7749999999996</v>
      </c>
      <c r="BA123" s="33">
        <f>Model!BA1326</f>
        <v>2504.1623538881313</v>
      </c>
      <c r="BB123" s="33">
        <f>Model!BB1326</f>
        <v>2289.6142155271455</v>
      </c>
      <c r="BC123" s="33">
        <f>Model!BC1326</f>
        <v>2120.756205373043</v>
      </c>
      <c r="BD123" s="33">
        <f>Model!BD1326</f>
        <v>2000.1873204190838</v>
      </c>
      <c r="BE123" s="33">
        <f>Model!BE1326</f>
        <v>1897.1320708601995</v>
      </c>
    </row>
    <row r="124" spans="1:57" s="1209" customFormat="1" x14ac:dyDescent="0.2">
      <c r="A124" s="238"/>
      <c r="B124" s="238"/>
      <c r="C124" s="238"/>
      <c r="D124" s="33"/>
      <c r="E124" s="33"/>
      <c r="F124" s="33"/>
      <c r="G124" s="33"/>
      <c r="H124" s="33"/>
      <c r="I124" s="33"/>
      <c r="J124" s="33"/>
      <c r="K124" s="33"/>
      <c r="L124" s="33"/>
      <c r="M124" s="33"/>
      <c r="N124" s="33"/>
      <c r="O124" s="33"/>
      <c r="P124" s="33"/>
      <c r="Q124" s="33"/>
      <c r="R124" s="33"/>
      <c r="S124" s="33"/>
      <c r="T124" s="33"/>
      <c r="U124" s="33"/>
      <c r="V124" s="33"/>
      <c r="W124" s="33"/>
      <c r="X124" s="33"/>
      <c r="Y124" s="33"/>
      <c r="Z124" s="33"/>
      <c r="AA124" s="33"/>
      <c r="AB124" s="33"/>
      <c r="AC124" s="33"/>
      <c r="AD124" s="33"/>
      <c r="AE124" s="33"/>
      <c r="AF124" s="33"/>
      <c r="AG124" s="33"/>
      <c r="AH124" s="33"/>
      <c r="AI124" s="33"/>
      <c r="AJ124" s="33"/>
      <c r="AK124" s="33"/>
      <c r="AL124" s="33"/>
      <c r="AM124" s="33"/>
      <c r="AN124" s="33"/>
      <c r="AO124" s="33"/>
      <c r="AP124" s="33"/>
      <c r="AQ124" s="33"/>
      <c r="AR124" s="238"/>
      <c r="AS124" s="238"/>
      <c r="AT124" s="238"/>
      <c r="AU124" s="33"/>
      <c r="AV124" s="33"/>
      <c r="AW124" s="33"/>
      <c r="AX124" s="33"/>
      <c r="AY124" s="33"/>
      <c r="AZ124" s="33"/>
      <c r="BA124" s="33"/>
      <c r="BB124" s="33"/>
      <c r="BC124" s="33"/>
      <c r="BD124" s="33"/>
      <c r="BE124" s="33"/>
    </row>
    <row r="125" spans="1:57" s="395" customFormat="1" x14ac:dyDescent="0.2">
      <c r="A125" s="395" t="s">
        <v>1256</v>
      </c>
      <c r="D125" s="396"/>
      <c r="E125" s="396"/>
      <c r="F125" s="396"/>
      <c r="G125" s="396"/>
      <c r="H125" s="396"/>
      <c r="I125" s="396"/>
      <c r="J125" s="396"/>
      <c r="K125" s="396"/>
      <c r="L125" s="396"/>
      <c r="M125" s="396"/>
      <c r="N125" s="396"/>
      <c r="O125" s="396"/>
      <c r="P125" s="396"/>
      <c r="Q125" s="396"/>
      <c r="R125" s="396"/>
      <c r="S125" s="396"/>
      <c r="T125" s="396"/>
      <c r="U125" s="396"/>
      <c r="V125" s="396"/>
      <c r="W125" s="396"/>
      <c r="X125" s="396"/>
      <c r="Y125" s="396"/>
      <c r="Z125" s="396"/>
      <c r="AA125" s="396"/>
      <c r="AB125" s="396"/>
      <c r="AC125" s="396"/>
      <c r="AD125" s="396"/>
      <c r="AE125" s="396"/>
      <c r="AF125" s="396"/>
      <c r="AG125" s="396"/>
      <c r="AH125" s="396"/>
      <c r="AI125" s="396"/>
      <c r="AJ125" s="396"/>
      <c r="AK125" s="396"/>
      <c r="AL125" s="396"/>
      <c r="AM125" s="396"/>
      <c r="AN125" s="396"/>
      <c r="AO125" s="396"/>
      <c r="AP125" s="396"/>
      <c r="AQ125" s="396"/>
      <c r="AR125" s="396"/>
      <c r="AS125" s="396"/>
      <c r="AT125" s="396"/>
      <c r="AU125" s="396"/>
      <c r="AV125" s="396"/>
      <c r="AW125" s="396"/>
      <c r="AX125" s="396"/>
      <c r="AY125" s="396"/>
      <c r="AZ125" s="396"/>
      <c r="BA125" s="396"/>
      <c r="BB125" s="396"/>
      <c r="BC125" s="396"/>
      <c r="BD125" s="396"/>
      <c r="BE125" s="396"/>
    </row>
    <row r="126" spans="1:57" s="1208" customFormat="1" x14ac:dyDescent="0.2">
      <c r="A126" s="1210" t="s">
        <v>1252</v>
      </c>
      <c r="B126" s="238"/>
      <c r="C126" s="238"/>
      <c r="D126" s="33">
        <f>Model!D50</f>
        <v>8719</v>
      </c>
      <c r="E126" s="33">
        <f>Model!E50</f>
        <v>8544</v>
      </c>
      <c r="F126" s="33">
        <f>Model!F50</f>
        <v>8940</v>
      </c>
      <c r="G126" s="33">
        <f>Model!G50</f>
        <v>8988</v>
      </c>
      <c r="H126" s="33">
        <f>Model!H50</f>
        <v>8784</v>
      </c>
      <c r="I126" s="33">
        <f>Model!I50</f>
        <v>8763</v>
      </c>
      <c r="J126" s="33">
        <f>Model!J50</f>
        <v>8312</v>
      </c>
      <c r="K126" s="33">
        <f>Model!K50</f>
        <v>8536</v>
      </c>
      <c r="L126" s="33">
        <f>Model!L50</f>
        <v>8366</v>
      </c>
      <c r="M126" s="33">
        <f>Model!M50</f>
        <v>8480</v>
      </c>
      <c r="N126" s="33">
        <f>Model!N50</f>
        <v>8765</v>
      </c>
      <c r="O126" s="33">
        <f>Model!O50</f>
        <v>8636</v>
      </c>
      <c r="P126" s="33">
        <f>Model!P50</f>
        <v>8238</v>
      </c>
      <c r="Q126" s="33">
        <f>Model!Q50</f>
        <v>8128</v>
      </c>
      <c r="R126" s="33">
        <f>Model!R50</f>
        <v>8071</v>
      </c>
      <c r="S126" s="33">
        <f>Model!S50</f>
        <v>7814</v>
      </c>
      <c r="T126" s="33">
        <f>Model!T50</f>
        <v>7714</v>
      </c>
      <c r="U126" s="33">
        <f>Model!U50</f>
        <v>7674</v>
      </c>
      <c r="V126" s="33">
        <f>Model!V50</f>
        <v>8164</v>
      </c>
      <c r="W126" s="33">
        <f>Model!W50</f>
        <v>7967</v>
      </c>
      <c r="X126" s="33">
        <f>Model!X50</f>
        <v>7846</v>
      </c>
      <c r="Y126" s="33">
        <f>Model!Y50</f>
        <v>8073</v>
      </c>
      <c r="Z126" s="33">
        <f>Model!Z50</f>
        <v>8470</v>
      </c>
      <c r="AA126" s="33">
        <f>Model!AA50</f>
        <v>8449</v>
      </c>
      <c r="AB126" s="33">
        <f>Model!AB50</f>
        <v>8433</v>
      </c>
      <c r="AC126" s="33">
        <f>Model!AC50</f>
        <v>8374.5398401369857</v>
      </c>
      <c r="AD126" s="33">
        <f>Model!AD50</f>
        <v>8687.4049600191793</v>
      </c>
      <c r="AE126" s="33">
        <f>Model!AE50</f>
        <v>8781.8353472642739</v>
      </c>
      <c r="AF126" s="33">
        <f>Model!AF50</f>
        <v>8665.6098073894264</v>
      </c>
      <c r="AG126" s="33">
        <f>Model!AG50</f>
        <v>8828.2466101304253</v>
      </c>
      <c r="AH126" s="33">
        <f>Model!AH50</f>
        <v>9132.7422203267542</v>
      </c>
      <c r="AI126" s="33">
        <f>Model!AI50</f>
        <v>9232.2154973847119</v>
      </c>
      <c r="AJ126" s="33"/>
      <c r="AK126" s="33"/>
      <c r="AL126" s="33"/>
      <c r="AM126" s="33"/>
      <c r="AN126" s="33"/>
      <c r="AO126" s="33"/>
      <c r="AP126" s="33"/>
      <c r="AQ126" s="33"/>
      <c r="AR126" s="33"/>
      <c r="AS126" s="33"/>
      <c r="AT126" s="33"/>
      <c r="AU126" s="33">
        <f>Model!AU50</f>
        <v>35191</v>
      </c>
      <c r="AV126" s="33">
        <f>Model!AV50</f>
        <v>34395</v>
      </c>
      <c r="AW126" s="33">
        <f>Model!AW50</f>
        <v>34247</v>
      </c>
      <c r="AX126" s="33">
        <f>Model!AX50</f>
        <v>32251</v>
      </c>
      <c r="AY126" s="33">
        <f>Model!AY50</f>
        <v>31519</v>
      </c>
      <c r="AZ126" s="33">
        <f>Model!AZ50</f>
        <v>32838</v>
      </c>
      <c r="BA126" s="33">
        <f>Model!BA50</f>
        <v>34276.780147420439</v>
      </c>
      <c r="BB126" s="33">
        <f>Model!BB50</f>
        <v>35858.814135231318</v>
      </c>
      <c r="BC126" s="33">
        <f>Model!BC50</f>
        <v>37604.049129121064</v>
      </c>
      <c r="BD126" s="33">
        <f>Model!BD50</f>
        <v>39412.214226103104</v>
      </c>
      <c r="BE126" s="33">
        <f>Model!BE50</f>
        <v>41088.050693411191</v>
      </c>
    </row>
    <row r="127" spans="1:57" s="1208" customFormat="1" x14ac:dyDescent="0.2">
      <c r="A127" s="1210" t="s">
        <v>1253</v>
      </c>
      <c r="B127" s="238"/>
      <c r="C127" s="238"/>
      <c r="D127" s="33">
        <f>Model!D51</f>
        <v>9504</v>
      </c>
      <c r="E127" s="33">
        <f>Model!E51</f>
        <v>8069</v>
      </c>
      <c r="F127" s="33">
        <f>Model!F51</f>
        <v>8256</v>
      </c>
      <c r="G127" s="33">
        <f>Model!G51</f>
        <v>7529</v>
      </c>
      <c r="H127" s="33">
        <f>Model!H51</f>
        <v>9901</v>
      </c>
      <c r="I127" s="33">
        <f>Model!I51</f>
        <v>9132</v>
      </c>
      <c r="J127" s="33">
        <f>Model!J51</f>
        <v>7661</v>
      </c>
      <c r="K127" s="33">
        <f>Model!K51</f>
        <v>7231</v>
      </c>
      <c r="L127" s="33">
        <f>Model!L51</f>
        <v>9273</v>
      </c>
      <c r="M127" s="33">
        <f>Model!M51</f>
        <v>8503</v>
      </c>
      <c r="N127" s="33">
        <f>Model!N51</f>
        <v>8718</v>
      </c>
      <c r="O127" s="33">
        <f>Model!O51</f>
        <v>7211</v>
      </c>
      <c r="P127" s="33">
        <f>Model!P51</f>
        <v>9031</v>
      </c>
      <c r="Q127" s="33">
        <f>Model!Q51</f>
        <v>8466</v>
      </c>
      <c r="R127" s="33">
        <f>Model!R51</f>
        <v>8260</v>
      </c>
      <c r="S127" s="33">
        <f>Model!S51</f>
        <v>7306</v>
      </c>
      <c r="T127" s="33">
        <f>Model!T51</f>
        <v>7895</v>
      </c>
      <c r="U127" s="33">
        <f>Model!U51</f>
        <v>8689</v>
      </c>
      <c r="V127" s="33">
        <f>Model!V51</f>
        <v>8459</v>
      </c>
      <c r="W127" s="33">
        <f>Model!W51</f>
        <v>8184</v>
      </c>
      <c r="X127" s="33">
        <f>Model!X51</f>
        <v>9319</v>
      </c>
      <c r="Y127" s="33">
        <f>Model!Y51</f>
        <v>9421</v>
      </c>
      <c r="Z127" s="33">
        <f>Model!Z51</f>
        <v>9430</v>
      </c>
      <c r="AA127" s="33">
        <f>Model!AA51</f>
        <v>8304</v>
      </c>
      <c r="AB127" s="33">
        <f>Model!AB51</f>
        <v>9848</v>
      </c>
      <c r="AC127" s="33">
        <f>Model!AC51</f>
        <v>10162.645721581153</v>
      </c>
      <c r="AD127" s="33">
        <f>Model!AD51</f>
        <v>9938.8558633123321</v>
      </c>
      <c r="AE127" s="33">
        <f>Model!AE51</f>
        <v>9364.6277029544326</v>
      </c>
      <c r="AF127" s="33">
        <f>Model!AF51</f>
        <v>10960.716556468811</v>
      </c>
      <c r="AG127" s="33">
        <f>Model!AG51</f>
        <v>10982.787590201242</v>
      </c>
      <c r="AH127" s="33">
        <f>Model!AH51</f>
        <v>10679.896847251401</v>
      </c>
      <c r="AI127" s="33">
        <f>Model!AI51</f>
        <v>10023.299747680656</v>
      </c>
      <c r="AJ127" s="33"/>
      <c r="AK127" s="33"/>
      <c r="AL127" s="33"/>
      <c r="AM127" s="33"/>
      <c r="AN127" s="33"/>
      <c r="AO127" s="33"/>
      <c r="AP127" s="33"/>
      <c r="AQ127" s="33"/>
      <c r="AR127" s="33"/>
      <c r="AS127" s="33"/>
      <c r="AT127" s="33"/>
      <c r="AU127" s="33">
        <f>Model!AU51</f>
        <v>33358</v>
      </c>
      <c r="AV127" s="33">
        <f>Model!AV51</f>
        <v>33925</v>
      </c>
      <c r="AW127" s="33">
        <f>Model!AW51</f>
        <v>33705</v>
      </c>
      <c r="AX127" s="33">
        <f>Model!AX51</f>
        <v>33063</v>
      </c>
      <c r="AY127" s="33">
        <f>Model!AY51</f>
        <v>33227</v>
      </c>
      <c r="AZ127" s="33">
        <f>Model!AZ51</f>
        <v>36474</v>
      </c>
      <c r="BA127" s="33">
        <f>Model!BA51</f>
        <v>39314.129287847914</v>
      </c>
      <c r="BB127" s="33">
        <f>Model!BB51</f>
        <v>42646.700741602108</v>
      </c>
      <c r="BC127" s="33">
        <f>Model!BC51</f>
        <v>45556.306651665109</v>
      </c>
      <c r="BD127" s="33">
        <f>Model!BD51</f>
        <v>48361.686776581846</v>
      </c>
      <c r="BE127" s="33">
        <f>Model!BE51</f>
        <v>51217.937905175517</v>
      </c>
    </row>
    <row r="128" spans="1:57" s="1208" customFormat="1" x14ac:dyDescent="0.2">
      <c r="A128" s="1210" t="s">
        <v>1254</v>
      </c>
      <c r="B128" s="238"/>
      <c r="C128" s="238"/>
      <c r="D128" s="33">
        <f>Model!D52</f>
        <v>1848</v>
      </c>
      <c r="E128" s="33">
        <f>Model!E52</f>
        <v>2081</v>
      </c>
      <c r="F128" s="33">
        <f>Model!F52</f>
        <v>2003</v>
      </c>
      <c r="G128" s="33">
        <f>Model!G52</f>
        <v>2010</v>
      </c>
      <c r="H128" s="33">
        <f>Model!H52</f>
        <v>1952</v>
      </c>
      <c r="I128" s="33">
        <f>Model!I52</f>
        <v>2220</v>
      </c>
      <c r="J128" s="33">
        <f>Model!J52</f>
        <v>2304</v>
      </c>
      <c r="K128" s="33">
        <f>Model!K52</f>
        <v>2270</v>
      </c>
      <c r="L128" s="33">
        <f>Model!L52</f>
        <v>2560</v>
      </c>
      <c r="M128" s="33">
        <f>Model!M52</f>
        <v>2475</v>
      </c>
      <c r="N128" s="33">
        <f>Model!N52</f>
        <v>2577</v>
      </c>
      <c r="O128" s="33">
        <f>Model!O52</f>
        <v>2045</v>
      </c>
      <c r="P128" s="33">
        <f>Model!P52</f>
        <v>2540</v>
      </c>
      <c r="Q128" s="33">
        <f>Model!Q52</f>
        <v>2564</v>
      </c>
      <c r="R128" s="33">
        <f>Model!R52</f>
        <v>2165</v>
      </c>
      <c r="S128" s="33">
        <f>Model!S52</f>
        <v>3517</v>
      </c>
      <c r="T128" s="33">
        <f>Model!T52</f>
        <v>1946</v>
      </c>
      <c r="U128" s="33">
        <f>Model!U52</f>
        <v>1185</v>
      </c>
      <c r="V128" s="33">
        <f>Model!V52</f>
        <v>1137</v>
      </c>
      <c r="W128" s="33">
        <f>Model!W52</f>
        <v>861</v>
      </c>
      <c r="X128" s="33">
        <f>Model!X52</f>
        <v>1201</v>
      </c>
      <c r="Y128" s="33">
        <f>Model!Y52</f>
        <v>661</v>
      </c>
      <c r="Z128" s="33">
        <f>Model!Z52</f>
        <v>519</v>
      </c>
      <c r="AA128" s="33">
        <f>Model!AA52</f>
        <v>751</v>
      </c>
      <c r="AB128" s="33">
        <f>Model!AB52</f>
        <v>591</v>
      </c>
      <c r="AC128" s="33">
        <f>Model!AC52</f>
        <v>537.62799999999993</v>
      </c>
      <c r="AD128" s="33">
        <f>Model!AD52</f>
        <v>514.89187561643837</v>
      </c>
      <c r="AE128" s="33">
        <f>Model!AE52</f>
        <v>488.3247993150685</v>
      </c>
      <c r="AF128" s="33">
        <f>Model!AF52</f>
        <v>447.7258680041096</v>
      </c>
      <c r="AG128" s="33">
        <f>Model!AG52</f>
        <v>424.43103292627393</v>
      </c>
      <c r="AH128" s="33">
        <f>Model!AH52</f>
        <v>406.14128219208692</v>
      </c>
      <c r="AI128" s="33">
        <f>Model!AI52</f>
        <v>384.61746098534525</v>
      </c>
      <c r="AJ128" s="33"/>
      <c r="AK128" s="33"/>
      <c r="AL128" s="33"/>
      <c r="AM128" s="33"/>
      <c r="AN128" s="33"/>
      <c r="AO128" s="33"/>
      <c r="AP128" s="33"/>
      <c r="AQ128" s="33"/>
      <c r="AR128" s="33"/>
      <c r="AS128" s="33"/>
      <c r="AT128" s="33"/>
      <c r="AU128" s="33">
        <f>Model!AU52</f>
        <v>7942</v>
      </c>
      <c r="AV128" s="33">
        <f>Model!AV52</f>
        <v>8746</v>
      </c>
      <c r="AW128" s="33">
        <f>Model!AW52</f>
        <v>9657</v>
      </c>
      <c r="AX128" s="33">
        <f>Model!AX52</f>
        <v>10786</v>
      </c>
      <c r="AY128" s="33">
        <f>Model!AY52</f>
        <v>5129</v>
      </c>
      <c r="AZ128" s="33">
        <f>Model!AZ52</f>
        <v>3132</v>
      </c>
      <c r="BA128" s="33">
        <f>Model!BA52</f>
        <v>2131.8446749315067</v>
      </c>
      <c r="BB128" s="33">
        <f>Model!BB52</f>
        <v>1662.9156441078158</v>
      </c>
      <c r="BC128" s="33">
        <f>Model!BC52</f>
        <v>1319.5921652302852</v>
      </c>
      <c r="BD128" s="33">
        <f>Model!BD52</f>
        <v>1049.8333467670777</v>
      </c>
      <c r="BE128" s="33">
        <f>Model!BE52</f>
        <v>833.30252230196811</v>
      </c>
    </row>
    <row r="129" spans="1:57" s="1209" customFormat="1" x14ac:dyDescent="0.2">
      <c r="A129" s="1210"/>
      <c r="B129" s="238"/>
      <c r="C129" s="238"/>
      <c r="D129" s="33"/>
      <c r="E129" s="33"/>
      <c r="F129" s="33"/>
      <c r="G129" s="33"/>
      <c r="H129" s="33"/>
      <c r="I129" s="33"/>
      <c r="J129" s="33"/>
      <c r="K129" s="33"/>
      <c r="L129" s="33"/>
      <c r="M129" s="33"/>
      <c r="N129" s="33"/>
      <c r="O129" s="33"/>
      <c r="P129" s="33"/>
      <c r="Q129" s="33"/>
      <c r="R129" s="33"/>
      <c r="S129" s="33"/>
      <c r="T129" s="33"/>
      <c r="U129" s="33"/>
      <c r="V129" s="33"/>
      <c r="W129" s="33"/>
      <c r="X129" s="33"/>
      <c r="Y129" s="33"/>
      <c r="Z129" s="33"/>
      <c r="AA129" s="33"/>
      <c r="AB129" s="33"/>
      <c r="AC129" s="33"/>
      <c r="AD129" s="33"/>
      <c r="AE129" s="33"/>
      <c r="AF129" s="33"/>
      <c r="AG129" s="33"/>
      <c r="AH129" s="33"/>
      <c r="AI129" s="33"/>
      <c r="AJ129" s="33"/>
      <c r="AK129" s="33"/>
      <c r="AL129" s="33"/>
      <c r="AM129" s="33"/>
      <c r="AN129" s="33"/>
      <c r="AO129" s="33"/>
      <c r="AP129" s="33"/>
      <c r="AQ129" s="33"/>
      <c r="AR129" s="33"/>
      <c r="AS129" s="33"/>
      <c r="AT129" s="33"/>
      <c r="AU129" s="33"/>
      <c r="AV129" s="33"/>
      <c r="AW129" s="33"/>
      <c r="AX129" s="33"/>
      <c r="AY129" s="33"/>
      <c r="AZ129" s="33"/>
      <c r="BA129" s="33"/>
      <c r="BB129" s="33"/>
      <c r="BC129" s="33"/>
      <c r="BD129" s="33"/>
      <c r="BE129" s="33"/>
    </row>
    <row r="130" spans="1:57" s="1209" customFormat="1" x14ac:dyDescent="0.2">
      <c r="A130" s="1210" t="s">
        <v>1260</v>
      </c>
      <c r="B130" s="238"/>
      <c r="C130" s="238"/>
      <c r="D130" s="33">
        <f>Model!D131</f>
        <v>3968</v>
      </c>
      <c r="E130" s="33">
        <f>Model!E131</f>
        <v>3878</v>
      </c>
      <c r="F130" s="33">
        <f>Model!F131</f>
        <v>4074</v>
      </c>
      <c r="G130" s="33">
        <f>Model!G131</f>
        <v>4022</v>
      </c>
      <c r="H130" s="33">
        <f>Model!H131</f>
        <v>3970</v>
      </c>
      <c r="I130" s="33">
        <f>Model!I131</f>
        <v>3984</v>
      </c>
      <c r="J130" s="33">
        <f>Model!J131</f>
        <v>3400</v>
      </c>
      <c r="K130" s="33">
        <f>Model!K131</f>
        <v>3405</v>
      </c>
      <c r="L130" s="33">
        <f>Model!L131</f>
        <v>3466</v>
      </c>
      <c r="M130" s="33">
        <f>Model!M131</f>
        <v>3546</v>
      </c>
      <c r="N130" s="33">
        <f>Model!N131</f>
        <v>3649</v>
      </c>
      <c r="O130" s="33">
        <f>Model!O131</f>
        <v>3630</v>
      </c>
      <c r="P130" s="33">
        <f>Model!P131</f>
        <v>3483</v>
      </c>
      <c r="Q130" s="33">
        <f>Model!Q131</f>
        <v>3483</v>
      </c>
      <c r="R130" s="33">
        <f>Model!R131</f>
        <v>3461</v>
      </c>
      <c r="S130" s="33">
        <f>Model!S131</f>
        <v>3227</v>
      </c>
      <c r="T130" s="33">
        <f>Model!T131</f>
        <v>3187</v>
      </c>
      <c r="U130" s="33">
        <f>Model!U131</f>
        <v>3242</v>
      </c>
      <c r="V130" s="33">
        <f>Model!V131</f>
        <v>3330</v>
      </c>
      <c r="W130" s="33">
        <f>Model!W131</f>
        <v>3157</v>
      </c>
      <c r="X130" s="33">
        <f>Model!X131</f>
        <v>3175</v>
      </c>
      <c r="Y130" s="33">
        <f>Model!Y131</f>
        <v>3328</v>
      </c>
      <c r="Z130" s="33">
        <f>Model!Z131</f>
        <v>3521</v>
      </c>
      <c r="AA130" s="33">
        <f>Model!AA131</f>
        <v>3458</v>
      </c>
      <c r="AB130" s="33">
        <f>Model!AB131</f>
        <v>3471</v>
      </c>
      <c r="AC130" s="33">
        <f>Model!AC131</f>
        <v>3549.1135380821916</v>
      </c>
      <c r="AD130" s="33">
        <f>Model!AD131</f>
        <v>3650.157811539726</v>
      </c>
      <c r="AE130" s="33">
        <f>Model!AE131</f>
        <v>3694.2878178963292</v>
      </c>
      <c r="AF130" s="33">
        <f>Model!AF131</f>
        <v>3605.9652337116449</v>
      </c>
      <c r="AG130" s="33">
        <f>Model!AG131</f>
        <v>3705.1893862263155</v>
      </c>
      <c r="AH130" s="33">
        <f>Model!AH131</f>
        <v>3835.921130442287</v>
      </c>
      <c r="AI130" s="33">
        <f>Model!AI131</f>
        <v>3877.5277336454633</v>
      </c>
      <c r="AJ130" s="33"/>
      <c r="AK130" s="33"/>
      <c r="AL130" s="33"/>
      <c r="AM130" s="33"/>
      <c r="AN130" s="33"/>
      <c r="AO130" s="33"/>
      <c r="AP130" s="33"/>
      <c r="AQ130" s="33"/>
      <c r="AR130" s="33"/>
      <c r="AS130" s="33"/>
      <c r="AT130" s="33"/>
      <c r="AU130" s="33">
        <f>Model!AU131</f>
        <v>15942</v>
      </c>
      <c r="AV130" s="33">
        <f>Model!AV131</f>
        <v>14759</v>
      </c>
      <c r="AW130" s="33">
        <f>Model!AW131</f>
        <v>14291</v>
      </c>
      <c r="AX130" s="33">
        <f>Model!AX131</f>
        <v>13654</v>
      </c>
      <c r="AY130" s="33">
        <f>Model!AY131</f>
        <v>12916</v>
      </c>
      <c r="AZ130" s="33">
        <f>Model!AZ131</f>
        <v>13482</v>
      </c>
      <c r="BA130" s="33">
        <f>Model!BA131</f>
        <v>14364.559167518248</v>
      </c>
      <c r="BB130" s="33">
        <f>Model!BB131</f>
        <v>15024.603484025711</v>
      </c>
      <c r="BC130" s="33">
        <f>Model!BC131</f>
        <v>15739.383755890489</v>
      </c>
      <c r="BD130" s="33">
        <f>Model!BD131</f>
        <v>16511.068872152991</v>
      </c>
      <c r="BE130" s="33">
        <f>Model!BE131</f>
        <v>17308.36833040923</v>
      </c>
    </row>
    <row r="131" spans="1:57" s="1209" customFormat="1" x14ac:dyDescent="0.2">
      <c r="A131" s="1210" t="s">
        <v>1261</v>
      </c>
      <c r="B131" s="238"/>
      <c r="C131" s="238"/>
      <c r="D131" s="33">
        <f>Model!D132</f>
        <v>3260</v>
      </c>
      <c r="E131" s="33">
        <f>Model!E132</f>
        <v>3202</v>
      </c>
      <c r="F131" s="33">
        <f>Model!F132</f>
        <v>3325</v>
      </c>
      <c r="G131" s="33">
        <f>Model!G132</f>
        <v>3433</v>
      </c>
      <c r="H131" s="33">
        <f>Model!H132</f>
        <v>3303</v>
      </c>
      <c r="I131" s="33">
        <f>Model!I132</f>
        <v>3296</v>
      </c>
      <c r="J131" s="33">
        <f>Model!J132</f>
        <v>3384</v>
      </c>
      <c r="K131" s="33">
        <f>Model!K132</f>
        <v>3464</v>
      </c>
      <c r="L131" s="33">
        <f>Model!L132</f>
        <v>3275</v>
      </c>
      <c r="M131" s="33">
        <f>Model!M132</f>
        <v>3353</v>
      </c>
      <c r="N131" s="33">
        <f>Model!N132</f>
        <v>3470</v>
      </c>
      <c r="O131" s="33">
        <f>Model!O132</f>
        <v>3396</v>
      </c>
      <c r="P131" s="33">
        <f>Model!P132</f>
        <v>3120</v>
      </c>
      <c r="Q131" s="33">
        <f>Model!Q132</f>
        <v>3064</v>
      </c>
      <c r="R131" s="33">
        <f>Model!R132</f>
        <v>2997</v>
      </c>
      <c r="S131" s="33">
        <f>Model!S132</f>
        <v>2994</v>
      </c>
      <c r="T131" s="33">
        <f>Model!T132</f>
        <v>2847</v>
      </c>
      <c r="U131" s="33">
        <f>Model!U132</f>
        <v>2922</v>
      </c>
      <c r="V131" s="33">
        <f>Model!V132</f>
        <v>3220</v>
      </c>
      <c r="W131" s="33">
        <f>Model!W132</f>
        <v>3227</v>
      </c>
      <c r="X131" s="33">
        <f>Model!X132</f>
        <v>3079</v>
      </c>
      <c r="Y131" s="33">
        <f>Model!Y132</f>
        <v>3171</v>
      </c>
      <c r="Z131" s="33">
        <f>Model!Z132</f>
        <v>3296</v>
      </c>
      <c r="AA131" s="33">
        <f>Model!AA132</f>
        <v>3383</v>
      </c>
      <c r="AB131" s="33">
        <f>Model!AB132</f>
        <v>3344</v>
      </c>
      <c r="AC131" s="33">
        <f>Model!AC132</f>
        <v>3190.8605863013699</v>
      </c>
      <c r="AD131" s="33">
        <f>Model!AD132</f>
        <v>3305.1335080547951</v>
      </c>
      <c r="AE131" s="33">
        <f>Model!AE132</f>
        <v>3406.4722340515082</v>
      </c>
      <c r="AF131" s="33">
        <f>Model!AF132</f>
        <v>3323.1833784389046</v>
      </c>
      <c r="AG131" s="33">
        <f>Model!AG132</f>
        <v>3408.2758291991458</v>
      </c>
      <c r="AH131" s="33">
        <f>Model!AH132</f>
        <v>3501.815199585571</v>
      </c>
      <c r="AI131" s="33">
        <f>Model!AI132</f>
        <v>3642.5658679878188</v>
      </c>
      <c r="AJ131" s="33"/>
      <c r="AK131" s="33"/>
      <c r="AL131" s="33"/>
      <c r="AM131" s="33"/>
      <c r="AN131" s="33"/>
      <c r="AO131" s="33"/>
      <c r="AP131" s="33"/>
      <c r="AQ131" s="33"/>
      <c r="AR131" s="33"/>
      <c r="AS131" s="33"/>
      <c r="AT131" s="33"/>
      <c r="AU131" s="33">
        <f>Model!AU132</f>
        <v>13220</v>
      </c>
      <c r="AV131" s="33">
        <f>Model!AV132</f>
        <v>13447</v>
      </c>
      <c r="AW131" s="33">
        <f>Model!AW132</f>
        <v>13494</v>
      </c>
      <c r="AX131" s="33">
        <f>Model!AX132</f>
        <v>12175</v>
      </c>
      <c r="AY131" s="33">
        <f>Model!AY132</f>
        <v>12216</v>
      </c>
      <c r="AZ131" s="33">
        <f>Model!AZ132</f>
        <v>12929</v>
      </c>
      <c r="BA131" s="33">
        <f>Model!BA132</f>
        <v>13246.466328407674</v>
      </c>
      <c r="BB131" s="33">
        <f>Model!BB132</f>
        <v>13875.84027521144</v>
      </c>
      <c r="BC131" s="33">
        <f>Model!BC132</f>
        <v>14703.175490270285</v>
      </c>
      <c r="BD131" s="33">
        <f>Model!BD132</f>
        <v>15453.195875671403</v>
      </c>
      <c r="BE131" s="33">
        <f>Model!BE132</f>
        <v>16033.814905592102</v>
      </c>
    </row>
    <row r="132" spans="1:57" s="916" customFormat="1" x14ac:dyDescent="0.2">
      <c r="A132" s="1210" t="s">
        <v>1262</v>
      </c>
      <c r="B132" s="238"/>
      <c r="C132" s="238"/>
      <c r="D132" s="33">
        <f>Model!D133</f>
        <v>1491</v>
      </c>
      <c r="E132" s="33">
        <f>Model!E133</f>
        <v>1464</v>
      </c>
      <c r="F132" s="33">
        <f>Model!F133</f>
        <v>1541</v>
      </c>
      <c r="G132" s="33">
        <f>Model!G133</f>
        <v>1533</v>
      </c>
      <c r="H132" s="33">
        <f>Model!H133</f>
        <v>1511</v>
      </c>
      <c r="I132" s="33">
        <f>Model!I133</f>
        <v>1483</v>
      </c>
      <c r="J132" s="33">
        <f>Model!J133</f>
        <v>1528</v>
      </c>
      <c r="K132" s="33">
        <f>Model!K133</f>
        <v>1667</v>
      </c>
      <c r="L132" s="33">
        <f>Model!L133</f>
        <v>1625</v>
      </c>
      <c r="M132" s="33">
        <f>Model!M133</f>
        <v>1581</v>
      </c>
      <c r="N132" s="33">
        <f>Model!N133</f>
        <v>1646</v>
      </c>
      <c r="O132" s="33">
        <f>Model!O133</f>
        <v>1610</v>
      </c>
      <c r="P132" s="33">
        <f>Model!P133</f>
        <v>1635</v>
      </c>
      <c r="Q132" s="33">
        <f>Model!Q133</f>
        <v>1581</v>
      </c>
      <c r="R132" s="33">
        <f>Model!R133</f>
        <v>1613</v>
      </c>
      <c r="S132" s="33">
        <f>Model!S133</f>
        <v>1593</v>
      </c>
      <c r="T132" s="33">
        <f>Model!T133</f>
        <v>1680</v>
      </c>
      <c r="U132" s="33">
        <f>Model!U133</f>
        <v>1510</v>
      </c>
      <c r="V132" s="33">
        <f>Model!V133</f>
        <v>1614</v>
      </c>
      <c r="W132" s="33">
        <f>Model!W133</f>
        <v>1583</v>
      </c>
      <c r="X132" s="33">
        <f>Model!X133</f>
        <v>1592</v>
      </c>
      <c r="Y132" s="33">
        <f>Model!Y133</f>
        <v>1574</v>
      </c>
      <c r="Z132" s="33">
        <f>Model!Z133</f>
        <v>1653</v>
      </c>
      <c r="AA132" s="33">
        <f>Model!AA133</f>
        <v>1608</v>
      </c>
      <c r="AB132" s="33">
        <f>Model!AB133</f>
        <v>1618</v>
      </c>
      <c r="AC132" s="33">
        <f>Model!AC133</f>
        <v>1634.5657157534242</v>
      </c>
      <c r="AD132" s="33">
        <f>Model!AD133</f>
        <v>1732.1136404246577</v>
      </c>
      <c r="AE132" s="33">
        <f>Model!AE133</f>
        <v>1681.0752953164376</v>
      </c>
      <c r="AF132" s="33">
        <f>Model!AF133</f>
        <v>1736.4611952388766</v>
      </c>
      <c r="AG132" s="33">
        <f>Model!AG133</f>
        <v>1714.7813947049644</v>
      </c>
      <c r="AH132" s="33">
        <f>Model!AH133</f>
        <v>1795.0058902988953</v>
      </c>
      <c r="AI132" s="33">
        <f>Model!AI133</f>
        <v>1712.1218957514302</v>
      </c>
      <c r="AJ132" s="33"/>
      <c r="AK132" s="33"/>
      <c r="AL132" s="33"/>
      <c r="AM132" s="33"/>
      <c r="AN132" s="33"/>
      <c r="AO132" s="33"/>
      <c r="AP132" s="33"/>
      <c r="AQ132" s="33"/>
      <c r="AS132" s="1160"/>
      <c r="AT132" s="1160"/>
      <c r="AU132" s="33">
        <f>Model!AU133</f>
        <v>6029</v>
      </c>
      <c r="AV132" s="33">
        <f>Model!AV133</f>
        <v>6189</v>
      </c>
      <c r="AW132" s="33">
        <f>Model!AW133</f>
        <v>6462</v>
      </c>
      <c r="AX132" s="33">
        <f>Model!AX133</f>
        <v>6422</v>
      </c>
      <c r="AY132" s="33">
        <f>Model!AY133</f>
        <v>6387</v>
      </c>
      <c r="AZ132" s="33">
        <f>Model!AZ133</f>
        <v>6427</v>
      </c>
      <c r="BA132" s="33">
        <f>Model!BA133</f>
        <v>6665.7546514945188</v>
      </c>
      <c r="BB132" s="33">
        <f>Model!BB133</f>
        <v>6958.3703759941673</v>
      </c>
      <c r="BC132" s="33">
        <f>Model!BC133</f>
        <v>7161.4898829602971</v>
      </c>
      <c r="BD132" s="33">
        <f>Model!BD133</f>
        <v>7447.9494782787087</v>
      </c>
      <c r="BE132" s="33">
        <f>Model!BE133</f>
        <v>7745.8674574098577</v>
      </c>
    </row>
    <row r="133" spans="1:57" s="1209" customFormat="1" x14ac:dyDescent="0.2">
      <c r="A133" s="238"/>
      <c r="B133" s="238"/>
      <c r="C133" s="238"/>
      <c r="D133" s="1064"/>
      <c r="E133" s="1064"/>
      <c r="F133" s="1064"/>
      <c r="G133" s="1064"/>
      <c r="H133" s="1064"/>
      <c r="I133" s="1064"/>
      <c r="J133" s="1064"/>
      <c r="K133" s="1064"/>
      <c r="L133" s="1064"/>
      <c r="M133" s="1064"/>
      <c r="N133" s="1064"/>
      <c r="O133" s="1064"/>
      <c r="P133" s="1064"/>
      <c r="Q133" s="1064"/>
      <c r="R133" s="1064"/>
      <c r="S133" s="1064"/>
      <c r="T133" s="1064"/>
      <c r="U133" s="1064"/>
      <c r="V133" s="1064"/>
      <c r="W133" s="1064"/>
      <c r="X133" s="1064"/>
      <c r="Y133" s="1064"/>
      <c r="Z133" s="1064"/>
      <c r="AA133" s="1064"/>
      <c r="AB133" s="1064"/>
      <c r="AC133" s="1064"/>
      <c r="AD133" s="1064"/>
      <c r="AE133" s="1064"/>
      <c r="AF133" s="1064"/>
      <c r="AG133" s="1064"/>
      <c r="AH133" s="1064"/>
      <c r="AI133" s="1064"/>
      <c r="AJ133" s="1064"/>
      <c r="AK133" s="1064"/>
      <c r="AL133" s="1064"/>
      <c r="AM133" s="1064"/>
      <c r="AN133" s="1064"/>
      <c r="AO133" s="1064"/>
      <c r="AP133" s="1064"/>
      <c r="AQ133" s="1064"/>
      <c r="AU133" s="1064"/>
      <c r="AV133" s="1064"/>
      <c r="AW133" s="1064"/>
      <c r="AX133" s="1064"/>
      <c r="AY133" s="1064"/>
      <c r="AZ133" s="1064"/>
      <c r="BA133" s="1064"/>
      <c r="BB133" s="1064"/>
      <c r="BC133" s="1064"/>
      <c r="BD133" s="1064"/>
      <c r="BE133" s="1064"/>
    </row>
    <row r="134" spans="1:57" s="1209" customFormat="1" x14ac:dyDescent="0.2">
      <c r="A134" s="1210" t="s">
        <v>1257</v>
      </c>
      <c r="B134" s="238"/>
      <c r="C134" s="238"/>
      <c r="D134" s="33">
        <f>Model!D6</f>
        <v>2028</v>
      </c>
      <c r="E134" s="33">
        <f>Model!E6</f>
        <v>1851</v>
      </c>
      <c r="F134" s="33">
        <f>Model!F6</f>
        <v>1967</v>
      </c>
      <c r="G134" s="33">
        <f>Model!G6</f>
        <v>1656</v>
      </c>
      <c r="H134" s="33">
        <f>Model!H6</f>
        <v>1771</v>
      </c>
      <c r="I134" s="33">
        <f>Model!I6</f>
        <v>1753</v>
      </c>
      <c r="J134" s="33">
        <f>Model!J6</f>
        <v>1465</v>
      </c>
      <c r="K134" s="33">
        <f>Model!K6</f>
        <v>1493</v>
      </c>
      <c r="L134" s="33">
        <f>Model!L6</f>
        <v>1615</v>
      </c>
      <c r="M134" s="33">
        <f>Model!M6</f>
        <v>1510</v>
      </c>
      <c r="N134" s="33">
        <f>Model!N6</f>
        <v>1859</v>
      </c>
      <c r="O134" s="33">
        <f>Model!O6</f>
        <v>1683</v>
      </c>
      <c r="P134" s="33">
        <f>Model!P6</f>
        <v>1667</v>
      </c>
      <c r="Q134" s="33">
        <f>Model!Q6</f>
        <v>1575</v>
      </c>
      <c r="R134" s="33">
        <f>Model!R6</f>
        <v>1652</v>
      </c>
      <c r="S134" s="33">
        <f>Model!S6</f>
        <v>1320</v>
      </c>
      <c r="T134" s="33">
        <f>Model!T6</f>
        <v>1194</v>
      </c>
      <c r="U134" s="33">
        <f>Model!U6</f>
        <v>1285</v>
      </c>
      <c r="V134" s="33">
        <f>Model!V6</f>
        <v>1250</v>
      </c>
      <c r="W134" s="33">
        <f>Model!W6</f>
        <v>1225</v>
      </c>
      <c r="X134" s="33">
        <f>Model!X6</f>
        <v>998</v>
      </c>
      <c r="Y134" s="33">
        <f>Model!Y6</f>
        <v>1128</v>
      </c>
      <c r="Z134" s="33">
        <f>Model!Z6</f>
        <v>1170</v>
      </c>
      <c r="AA134" s="33">
        <f>Model!AA6</f>
        <v>582</v>
      </c>
      <c r="AB134" s="33">
        <f>Model!AB6</f>
        <v>1394</v>
      </c>
      <c r="AC134" s="33">
        <f>Model!AC6</f>
        <v>1414.2430648664379</v>
      </c>
      <c r="AD134" s="33">
        <f>Model!AD6</f>
        <v>1481.0265517692396</v>
      </c>
      <c r="AE134" s="33">
        <f>Model!AE6</f>
        <v>1447.7305469120643</v>
      </c>
      <c r="AF134" s="33">
        <f>Model!AF6</f>
        <v>1488.7325994842649</v>
      </c>
      <c r="AG134" s="33">
        <f>Model!AG6</f>
        <v>1533.2742422939928</v>
      </c>
      <c r="AH134" s="33">
        <f>Model!AH6</f>
        <v>1576.1657794948858</v>
      </c>
      <c r="AI134" s="33">
        <f>Model!AI6</f>
        <v>1527.0023883322422</v>
      </c>
      <c r="AJ134" s="33"/>
      <c r="AK134" s="33"/>
      <c r="AL134" s="33"/>
      <c r="AM134" s="33"/>
      <c r="AN134" s="33"/>
      <c r="AO134" s="33"/>
      <c r="AP134" s="33"/>
      <c r="AQ134" s="33"/>
      <c r="AR134" s="33"/>
      <c r="AS134" s="33"/>
      <c r="AT134" s="33"/>
      <c r="AU134" s="33">
        <f>Model!AU6</f>
        <v>7502</v>
      </c>
      <c r="AV134" s="33">
        <f>Model!AV6</f>
        <v>6482</v>
      </c>
      <c r="AW134" s="33">
        <f>Model!AW6</f>
        <v>6667</v>
      </c>
      <c r="AX134" s="33">
        <f>Model!AX6</f>
        <v>6214</v>
      </c>
      <c r="AY134" s="33">
        <f>Model!AY6</f>
        <v>4954</v>
      </c>
      <c r="AZ134" s="33">
        <f>Model!AZ6</f>
        <v>3878</v>
      </c>
      <c r="BA134" s="33">
        <f>Model!BA6</f>
        <v>5737.000163547742</v>
      </c>
      <c r="BB134" s="33">
        <f>Model!BB6</f>
        <v>6125.1750096053856</v>
      </c>
      <c r="BC134" s="33">
        <f>Model!BC6</f>
        <v>6331.8970720686684</v>
      </c>
      <c r="BD134" s="33">
        <f>Model!BD6</f>
        <v>6472.7234309504865</v>
      </c>
      <c r="BE134" s="33">
        <f>Model!BE6</f>
        <v>6155.0481752487858</v>
      </c>
    </row>
    <row r="135" spans="1:57" s="1209" customFormat="1" x14ac:dyDescent="0.2">
      <c r="A135" s="1210" t="s">
        <v>1258</v>
      </c>
      <c r="B135" s="238"/>
      <c r="C135" s="238"/>
      <c r="D135" s="33">
        <f>Model!D7</f>
        <v>3019</v>
      </c>
      <c r="E135" s="33">
        <f>Model!E7</f>
        <v>2157</v>
      </c>
      <c r="F135" s="33">
        <f>Model!F7</f>
        <v>2501</v>
      </c>
      <c r="G135" s="33">
        <f>Model!G7</f>
        <v>1714</v>
      </c>
      <c r="H135" s="33">
        <f>Model!H7</f>
        <v>3252</v>
      </c>
      <c r="I135" s="33">
        <f>Model!I7</f>
        <v>2877</v>
      </c>
      <c r="J135" s="33">
        <f>Model!J7</f>
        <v>1975</v>
      </c>
      <c r="K135" s="33">
        <f>Model!K7</f>
        <v>1580</v>
      </c>
      <c r="L135" s="33">
        <f>Model!L7</f>
        <v>3010</v>
      </c>
      <c r="M135" s="33">
        <f>Model!M7</f>
        <v>2617</v>
      </c>
      <c r="N135" s="33">
        <f>Model!N7</f>
        <v>2576</v>
      </c>
      <c r="O135" s="33">
        <f>Model!O7</f>
        <v>1697</v>
      </c>
      <c r="P135" s="33">
        <f>Model!P7</f>
        <v>2949</v>
      </c>
      <c r="Q135" s="33">
        <f>Model!Q7</f>
        <v>2555</v>
      </c>
      <c r="R135" s="33">
        <f>Model!R7</f>
        <v>2174</v>
      </c>
      <c r="S135" s="33">
        <f>Model!S7</f>
        <v>1260</v>
      </c>
      <c r="T135" s="33">
        <f>Model!T7</f>
        <v>1869</v>
      </c>
      <c r="U135" s="33">
        <f>Model!U7</f>
        <v>2615</v>
      </c>
      <c r="V135" s="33">
        <f>Model!V7</f>
        <v>2660</v>
      </c>
      <c r="W135" s="33">
        <f>Model!W7</f>
        <v>2381</v>
      </c>
      <c r="X135" s="33">
        <f>Model!X7</f>
        <v>3011</v>
      </c>
      <c r="Y135" s="33">
        <f>Model!Y7</f>
        <v>2780</v>
      </c>
      <c r="Z135" s="33">
        <f>Model!Z7</f>
        <v>3062</v>
      </c>
      <c r="AA135" s="33">
        <f>Model!AA7</f>
        <v>213</v>
      </c>
      <c r="AB135" s="33">
        <f>Model!AB7</f>
        <v>3329</v>
      </c>
      <c r="AC135" s="33">
        <f>Model!AC7</f>
        <v>3224.3608415464378</v>
      </c>
      <c r="AD135" s="33">
        <f>Model!AD7</f>
        <v>3208.4001687720211</v>
      </c>
      <c r="AE135" s="33">
        <f>Model!AE7</f>
        <v>3062.4407161870877</v>
      </c>
      <c r="AF135" s="33">
        <f>Model!AF7</f>
        <v>3606.3676929789513</v>
      </c>
      <c r="AG135" s="33">
        <f>Model!AG7</f>
        <v>3677.6633822161211</v>
      </c>
      <c r="AH135" s="33">
        <f>Model!AH7</f>
        <v>3548.6821340368165</v>
      </c>
      <c r="AI135" s="33">
        <f>Model!AI7</f>
        <v>3334.1711487902289</v>
      </c>
      <c r="AJ135" s="33"/>
      <c r="AK135" s="33"/>
      <c r="AL135" s="33"/>
      <c r="AM135" s="33"/>
      <c r="AN135" s="33"/>
      <c r="AO135" s="33"/>
      <c r="AP135" s="33"/>
      <c r="AQ135" s="33"/>
      <c r="AR135" s="33"/>
      <c r="AS135" s="33"/>
      <c r="AT135" s="33"/>
      <c r="AU135" s="33">
        <f>Model!AU7</f>
        <v>9391</v>
      </c>
      <c r="AV135" s="33">
        <f>Model!AV7</f>
        <v>9684</v>
      </c>
      <c r="AW135" s="33">
        <f>Model!AW7</f>
        <v>9900</v>
      </c>
      <c r="AX135" s="33">
        <f>Model!AX7</f>
        <v>8938</v>
      </c>
      <c r="AY135" s="33">
        <f>Model!AY7</f>
        <v>9525</v>
      </c>
      <c r="AZ135" s="33">
        <f>Model!AZ7</f>
        <v>9066</v>
      </c>
      <c r="BA135" s="33">
        <f>Model!BA7</f>
        <v>12824.201726505547</v>
      </c>
      <c r="BB135" s="33">
        <f>Model!BB7</f>
        <v>14166.884358022118</v>
      </c>
      <c r="BC135" s="33">
        <f>Model!BC7</f>
        <v>15376.18702381874</v>
      </c>
      <c r="BD135" s="33">
        <f>Model!BD7</f>
        <v>16334.326816265482</v>
      </c>
      <c r="BE135" s="33">
        <f>Model!BE7</f>
        <v>17145.810023070859</v>
      </c>
    </row>
    <row r="136" spans="1:57" s="1209" customFormat="1" x14ac:dyDescent="0.2">
      <c r="A136" s="1210" t="s">
        <v>1259</v>
      </c>
      <c r="B136" s="238"/>
      <c r="C136" s="238"/>
      <c r="D136" s="33">
        <f>Model!D8</f>
        <v>-1539</v>
      </c>
      <c r="E136" s="33">
        <f>Model!E8</f>
        <v>-926</v>
      </c>
      <c r="F136" s="33">
        <f>Model!F8</f>
        <v>-1157</v>
      </c>
      <c r="G136" s="33">
        <f>Model!G8</f>
        <v>-1776</v>
      </c>
      <c r="H136" s="33">
        <f>Model!H8</f>
        <v>-929</v>
      </c>
      <c r="I136" s="33">
        <f>Model!I8</f>
        <v>-729</v>
      </c>
      <c r="J136" s="33">
        <f>Model!J8</f>
        <v>-207</v>
      </c>
      <c r="K136" s="33">
        <f>Model!K8</f>
        <v>-648</v>
      </c>
      <c r="L136" s="33">
        <f>Model!L8</f>
        <v>-467</v>
      </c>
      <c r="M136" s="33">
        <f>Model!M8</f>
        <v>-3854</v>
      </c>
      <c r="N136" s="33">
        <f>Model!N8</f>
        <v>-1291</v>
      </c>
      <c r="O136" s="33">
        <f>Model!O8</f>
        <v>-3001</v>
      </c>
      <c r="P136" s="33">
        <f>Model!P8</f>
        <v>248</v>
      </c>
      <c r="Q136" s="33">
        <f>Model!Q8</f>
        <v>532</v>
      </c>
      <c r="R136" s="33">
        <f>Model!R8</f>
        <v>353</v>
      </c>
      <c r="S136" s="33">
        <f>Model!S8</f>
        <v>939</v>
      </c>
      <c r="T136" s="33">
        <f>Model!T8</f>
        <v>445</v>
      </c>
      <c r="U136" s="33">
        <f>Model!U8</f>
        <v>147</v>
      </c>
      <c r="V136" s="33">
        <f>Model!V8</f>
        <v>-23</v>
      </c>
      <c r="W136" s="33">
        <f>Model!W8</f>
        <v>-15</v>
      </c>
      <c r="X136" s="33">
        <f>Model!X8</f>
        <v>109</v>
      </c>
      <c r="Y136" s="33">
        <f>Model!Y8</f>
        <v>-25</v>
      </c>
      <c r="Z136" s="33">
        <f>Model!Z8</f>
        <v>-95</v>
      </c>
      <c r="AA136" s="33">
        <f>Model!AA8</f>
        <v>3034</v>
      </c>
      <c r="AB136" s="33">
        <f>Model!AB8</f>
        <v>-74</v>
      </c>
      <c r="AC136" s="33">
        <f>Model!AC8</f>
        <v>-171.55135061023185</v>
      </c>
      <c r="AD136" s="33">
        <f>Model!AD8</f>
        <v>-138.53428000368172</v>
      </c>
      <c r="AE136" s="33">
        <f>Model!AE8</f>
        <v>-137.93268296085199</v>
      </c>
      <c r="AF136" s="33">
        <f>Model!AF8</f>
        <v>-151.46565656755899</v>
      </c>
      <c r="AG136" s="33">
        <f>Model!AG8</f>
        <v>-136.28006864466232</v>
      </c>
      <c r="AH136" s="33">
        <f>Model!AH8</f>
        <v>-129.41949216044048</v>
      </c>
      <c r="AI136" s="33">
        <f>Model!AI8</f>
        <v>-117.28916943200483</v>
      </c>
      <c r="AJ136" s="33"/>
      <c r="AK136" s="33"/>
      <c r="AL136" s="33"/>
      <c r="AM136" s="33"/>
      <c r="AN136" s="33"/>
      <c r="AO136" s="33"/>
      <c r="AP136" s="33"/>
      <c r="AQ136" s="33"/>
      <c r="AR136" s="33"/>
      <c r="AS136" s="33"/>
      <c r="AT136" s="33"/>
      <c r="AU136" s="33">
        <f>Model!AU8</f>
        <v>-5398</v>
      </c>
      <c r="AV136" s="33">
        <f>Model!AV8</f>
        <v>-2513</v>
      </c>
      <c r="AW136" s="33">
        <f>Model!AW8</f>
        <v>-8613</v>
      </c>
      <c r="AX136" s="33">
        <f>Model!AX8</f>
        <v>2072</v>
      </c>
      <c r="AY136" s="33">
        <f>Model!AY8</f>
        <v>554</v>
      </c>
      <c r="AZ136" s="33">
        <f>Model!AZ8</f>
        <v>3023</v>
      </c>
      <c r="BA136" s="33">
        <f>Model!BA8</f>
        <v>-522.01831357476556</v>
      </c>
      <c r="BB136" s="33">
        <f>Model!BB8</f>
        <v>-534.45438680466668</v>
      </c>
      <c r="BC136" s="33">
        <f>Model!BC8</f>
        <v>-444.24206325296632</v>
      </c>
      <c r="BD136" s="33">
        <f>Model!BD8</f>
        <v>-370.14813104400787</v>
      </c>
      <c r="BE136" s="33">
        <f>Model!BE8</f>
        <v>-304.44660947821262</v>
      </c>
    </row>
    <row r="137" spans="1:57" s="1209" customFormat="1" x14ac:dyDescent="0.2">
      <c r="A137" s="238"/>
      <c r="B137" s="238"/>
      <c r="C137" s="238"/>
      <c r="D137" s="1064"/>
      <c r="E137" s="1064"/>
      <c r="F137" s="1064"/>
      <c r="G137" s="1064"/>
      <c r="H137" s="1064"/>
      <c r="I137" s="1064"/>
      <c r="J137" s="1064"/>
      <c r="K137" s="1064"/>
      <c r="L137" s="1064"/>
      <c r="M137" s="1064"/>
      <c r="N137" s="1064"/>
      <c r="O137" s="1064"/>
      <c r="P137" s="1064"/>
      <c r="Q137" s="1064"/>
      <c r="R137" s="1064"/>
      <c r="S137" s="1064"/>
      <c r="T137" s="1064"/>
      <c r="U137" s="1064"/>
      <c r="V137" s="1064"/>
      <c r="W137" s="1064"/>
      <c r="X137" s="1064"/>
      <c r="Y137" s="1064"/>
      <c r="Z137" s="1064"/>
      <c r="AA137" s="1064"/>
      <c r="AB137" s="1064"/>
      <c r="AC137" s="1064"/>
      <c r="AD137" s="1064"/>
      <c r="AE137" s="1064"/>
      <c r="AF137" s="1064"/>
      <c r="AG137" s="1064"/>
      <c r="AH137" s="1064"/>
      <c r="AI137" s="1064"/>
      <c r="AJ137" s="1064"/>
      <c r="AK137" s="1064"/>
      <c r="AL137" s="1064"/>
      <c r="AM137" s="1064"/>
      <c r="AN137" s="1064"/>
      <c r="AO137" s="1064"/>
      <c r="AP137" s="1064"/>
      <c r="AQ137" s="1064"/>
      <c r="AU137" s="1064"/>
      <c r="AV137" s="1064"/>
      <c r="AW137" s="1064"/>
      <c r="AX137" s="1064"/>
      <c r="AY137" s="1064"/>
      <c r="AZ137" s="1064"/>
      <c r="BA137" s="1064"/>
      <c r="BB137" s="1064"/>
      <c r="BC137" s="1064"/>
      <c r="BD137" s="1064"/>
      <c r="BE137" s="1064"/>
    </row>
    <row r="138" spans="1:57" s="1211" customFormat="1" x14ac:dyDescent="0.2">
      <c r="A138" s="1210" t="s">
        <v>1266</v>
      </c>
      <c r="B138" s="238"/>
      <c r="C138" s="238"/>
      <c r="D138" s="33">
        <f>Model!D56</f>
        <v>4475</v>
      </c>
      <c r="E138" s="33">
        <f>Model!E56</f>
        <v>4570</v>
      </c>
      <c r="F138" s="33">
        <f>Model!F56</f>
        <v>4668</v>
      </c>
      <c r="G138" s="33">
        <f>Model!G56</f>
        <v>5078</v>
      </c>
      <c r="H138" s="33">
        <f>Model!H56</f>
        <v>4628</v>
      </c>
      <c r="I138" s="33">
        <f>Model!I56</f>
        <v>4604</v>
      </c>
      <c r="J138" s="33">
        <f>Model!J56</f>
        <v>4528</v>
      </c>
      <c r="K138" s="33">
        <f>Model!K56</f>
        <v>4656</v>
      </c>
      <c r="L138" s="33">
        <f>Model!L56</f>
        <v>4554</v>
      </c>
      <c r="M138" s="33">
        <f>Model!M56</f>
        <v>4805</v>
      </c>
      <c r="N138" s="33">
        <f>Model!N56</f>
        <v>4634</v>
      </c>
      <c r="O138" s="33">
        <f>Model!O56</f>
        <v>4671</v>
      </c>
      <c r="P138" s="33">
        <f>Model!P56</f>
        <v>4300</v>
      </c>
      <c r="Q138" s="33">
        <f>Model!Q56</f>
        <v>4334</v>
      </c>
      <c r="R138" s="33">
        <f>Model!R56</f>
        <v>4225</v>
      </c>
      <c r="S138" s="33">
        <f>Model!S56</f>
        <v>4340</v>
      </c>
      <c r="T138" s="33">
        <f>Model!T56</f>
        <v>4401</v>
      </c>
      <c r="U138" s="33">
        <f>Model!U56</f>
        <v>4297</v>
      </c>
      <c r="V138" s="33">
        <f>Model!V56</f>
        <v>4429</v>
      </c>
      <c r="W138" s="33">
        <f>Model!W56</f>
        <v>4356</v>
      </c>
      <c r="X138" s="33">
        <f>Model!X56</f>
        <v>4451</v>
      </c>
      <c r="Y138" s="33">
        <f>Model!Y56</f>
        <v>4537</v>
      </c>
      <c r="Z138" s="33">
        <f>Model!Z56</f>
        <v>4452</v>
      </c>
      <c r="AA138" s="33">
        <f>Model!AA56</f>
        <v>4563</v>
      </c>
      <c r="AB138" s="33">
        <f>Model!AB56</f>
        <v>4681</v>
      </c>
      <c r="AC138" s="33">
        <f>Model!AC56</f>
        <v>4512.5533532739719</v>
      </c>
      <c r="AD138" s="33">
        <f>Model!AD56</f>
        <v>4639.4705000265212</v>
      </c>
      <c r="AE138" s="33">
        <f>Model!AE56</f>
        <v>4692.9841736783928</v>
      </c>
      <c r="AF138" s="33">
        <f>Model!AF56</f>
        <v>4593.1746213141241</v>
      </c>
      <c r="AG138" s="33">
        <f>Model!AG56</f>
        <v>4634.5117674916901</v>
      </c>
      <c r="AH138" s="33">
        <f>Model!AH56</f>
        <v>4742.7643934042844</v>
      </c>
      <c r="AI138" s="33">
        <f>Model!AI56</f>
        <v>4797.5770524945819</v>
      </c>
      <c r="AJ138" s="33"/>
      <c r="AK138" s="33"/>
      <c r="AL138" s="33"/>
      <c r="AM138" s="33"/>
      <c r="AN138" s="33"/>
      <c r="AO138" s="33"/>
      <c r="AP138" s="33"/>
      <c r="AQ138" s="33"/>
      <c r="AR138" s="33"/>
      <c r="AS138" s="33"/>
      <c r="AT138" s="33"/>
      <c r="AU138" s="33">
        <f>Model!AU56</f>
        <v>18791</v>
      </c>
      <c r="AV138" s="33">
        <f>Model!AV56</f>
        <v>18416</v>
      </c>
      <c r="AW138" s="33">
        <f>Model!AW56</f>
        <v>18664</v>
      </c>
      <c r="AX138" s="33">
        <f>Model!AX56</f>
        <v>17199</v>
      </c>
      <c r="AY138" s="33">
        <f>Model!AY56</f>
        <v>17483</v>
      </c>
      <c r="AZ138" s="33">
        <f>Model!AZ56</f>
        <v>18003</v>
      </c>
      <c r="BA138" s="33">
        <f>Model!BA56</f>
        <v>18526.008026978885</v>
      </c>
      <c r="BB138" s="33">
        <f>Model!BB56</f>
        <v>18768.027834704681</v>
      </c>
      <c r="BC138" s="33">
        <f>Model!BC56</f>
        <v>19159.862882073696</v>
      </c>
      <c r="BD138" s="33">
        <f>Model!BD56</f>
        <v>19697.239514112363</v>
      </c>
      <c r="BE138" s="33">
        <f>Model!BE56</f>
        <v>20566.073931771418</v>
      </c>
    </row>
    <row r="139" spans="1:57" s="1211" customFormat="1" x14ac:dyDescent="0.2">
      <c r="A139" s="1210" t="s">
        <v>1267</v>
      </c>
      <c r="B139" s="238"/>
      <c r="C139" s="238"/>
      <c r="D139" s="33">
        <f>Model!D57</f>
        <v>5135</v>
      </c>
      <c r="E139" s="33">
        <f>Model!E57</f>
        <v>5000</v>
      </c>
      <c r="F139" s="33">
        <f>Model!F57</f>
        <v>4881</v>
      </c>
      <c r="G139" s="33">
        <f>Model!G57</f>
        <v>5258</v>
      </c>
      <c r="H139" s="33">
        <f>Model!H57</f>
        <v>4975</v>
      </c>
      <c r="I139" s="33">
        <f>Model!I57</f>
        <v>4912</v>
      </c>
      <c r="J139" s="33">
        <f>Model!J57</f>
        <v>4786</v>
      </c>
      <c r="K139" s="33">
        <f>Model!K57</f>
        <v>5153</v>
      </c>
      <c r="L139" s="33">
        <f>Model!L57</f>
        <v>4887</v>
      </c>
      <c r="M139" s="33">
        <f>Model!M57</f>
        <v>4769</v>
      </c>
      <c r="N139" s="33">
        <f>Model!N57</f>
        <v>4938</v>
      </c>
      <c r="O139" s="33">
        <f>Model!O57</f>
        <v>4906</v>
      </c>
      <c r="P139" s="33">
        <f>Model!P57</f>
        <v>4654</v>
      </c>
      <c r="Q139" s="33">
        <f>Model!Q57</f>
        <v>4847</v>
      </c>
      <c r="R139" s="33">
        <f>Model!R57</f>
        <v>4718</v>
      </c>
      <c r="S139" s="33">
        <f>Model!S57</f>
        <v>4868</v>
      </c>
      <c r="T139" s="33">
        <f>Model!T57</f>
        <v>4872</v>
      </c>
      <c r="U139" s="33">
        <f>Model!U57</f>
        <v>4763</v>
      </c>
      <c r="V139" s="33">
        <f>Model!V57</f>
        <v>4687</v>
      </c>
      <c r="W139" s="33">
        <f>Model!W57</f>
        <v>4634</v>
      </c>
      <c r="X139" s="33">
        <f>Model!X57</f>
        <v>5138</v>
      </c>
      <c r="Y139" s="33">
        <f>Model!Y57</f>
        <v>5227</v>
      </c>
      <c r="Z139" s="33">
        <f>Model!Z57</f>
        <v>5138</v>
      </c>
      <c r="AA139" s="33">
        <f>Model!AA57</f>
        <v>4912</v>
      </c>
      <c r="AB139" s="33">
        <f>Model!AB57</f>
        <v>5503</v>
      </c>
      <c r="AC139" s="33">
        <f>Model!AC57</f>
        <v>5691.0816040854461</v>
      </c>
      <c r="AD139" s="33">
        <f>Model!AD57</f>
        <v>5466.3707248217834</v>
      </c>
      <c r="AE139" s="33">
        <f>Model!AE57</f>
        <v>5056.8989595953935</v>
      </c>
      <c r="AF139" s="33">
        <f>Model!AF57</f>
        <v>5973.5905232755022</v>
      </c>
      <c r="AG139" s="33">
        <f>Model!AG57</f>
        <v>5875.7913607576647</v>
      </c>
      <c r="AH139" s="33">
        <f>Model!AH57</f>
        <v>5713.7448132794998</v>
      </c>
      <c r="AI139" s="33">
        <f>Model!AI57</f>
        <v>5312.3488662707477</v>
      </c>
      <c r="AJ139" s="33"/>
      <c r="AK139" s="33"/>
      <c r="AL139" s="33"/>
      <c r="AM139" s="33"/>
      <c r="AN139" s="33"/>
      <c r="AO139" s="33"/>
      <c r="AP139" s="33"/>
      <c r="AQ139" s="33"/>
      <c r="AR139" s="33"/>
      <c r="AS139" s="33"/>
      <c r="AT139" s="33"/>
      <c r="AU139" s="33">
        <f>Model!AU57</f>
        <v>20274</v>
      </c>
      <c r="AV139" s="33">
        <f>Model!AV57</f>
        <v>19826</v>
      </c>
      <c r="AW139" s="33">
        <f>Model!AW57</f>
        <v>19500</v>
      </c>
      <c r="AX139" s="33">
        <f>Model!AX57</f>
        <v>19087</v>
      </c>
      <c r="AY139" s="33">
        <f>Model!AY57</f>
        <v>18956</v>
      </c>
      <c r="AZ139" s="33">
        <f>Model!AZ57</f>
        <v>20415</v>
      </c>
      <c r="BA139" s="33">
        <f>Model!BA57</f>
        <v>21717.351288502625</v>
      </c>
      <c r="BB139" s="33">
        <f>Model!BB57</f>
        <v>22875.475563583415</v>
      </c>
      <c r="BC139" s="33">
        <f>Model!BC57</f>
        <v>23917.060992124185</v>
      </c>
      <c r="BD139" s="33">
        <f>Model!BD57</f>
        <v>25148.077123822561</v>
      </c>
      <c r="BE139" s="33">
        <f>Model!BE57</f>
        <v>26377.238021165391</v>
      </c>
    </row>
    <row r="140" spans="1:57" s="1211" customFormat="1" x14ac:dyDescent="0.2">
      <c r="A140" s="1210" t="s">
        <v>1268</v>
      </c>
      <c r="B140" s="238"/>
      <c r="C140" s="238"/>
      <c r="D140" s="33">
        <f>Model!D58</f>
        <v>2605</v>
      </c>
      <c r="E140" s="33">
        <f>Model!E58</f>
        <v>2423</v>
      </c>
      <c r="F140" s="33">
        <f>Model!F58</f>
        <v>2546</v>
      </c>
      <c r="G140" s="33">
        <f>Model!G58</f>
        <v>3397</v>
      </c>
      <c r="H140" s="33">
        <f>Model!H58</f>
        <v>2685</v>
      </c>
      <c r="I140" s="33">
        <f>Model!I58</f>
        <v>2633</v>
      </c>
      <c r="J140" s="33">
        <f>Model!J58</f>
        <v>2365</v>
      </c>
      <c r="K140" s="33">
        <f>Model!K58</f>
        <v>2483</v>
      </c>
      <c r="L140" s="33">
        <f>Model!L58</f>
        <v>2708</v>
      </c>
      <c r="M140" s="33">
        <f>Model!M58</f>
        <v>5947</v>
      </c>
      <c r="N140" s="33">
        <f>Model!N58</f>
        <v>3383</v>
      </c>
      <c r="O140" s="33">
        <f>Model!O58</f>
        <v>4849</v>
      </c>
      <c r="P140" s="33">
        <f>Model!P58</f>
        <v>1930</v>
      </c>
      <c r="Q140" s="33">
        <f>Model!Q58</f>
        <v>1747</v>
      </c>
      <c r="R140" s="33">
        <f>Model!R58</f>
        <v>1726</v>
      </c>
      <c r="S140" s="33">
        <f>Model!S58</f>
        <v>1926</v>
      </c>
      <c r="T140" s="33">
        <f>Model!T58</f>
        <v>1250</v>
      </c>
      <c r="U140" s="33">
        <f>Model!U58</f>
        <v>1309</v>
      </c>
      <c r="V140" s="33">
        <f>Model!V58</f>
        <v>1288</v>
      </c>
      <c r="W140" s="33">
        <f>Model!W58</f>
        <v>1130</v>
      </c>
      <c r="X140" s="33">
        <f>Model!X58</f>
        <v>1134</v>
      </c>
      <c r="Y140" s="33">
        <f>Model!Y58</f>
        <v>996</v>
      </c>
      <c r="Z140" s="33">
        <f>Model!Z58</f>
        <v>827</v>
      </c>
      <c r="AA140" s="33">
        <f>Model!AA58</f>
        <v>857</v>
      </c>
      <c r="AB140" s="33">
        <f>Model!AB58</f>
        <v>741</v>
      </c>
      <c r="AC140" s="33">
        <f>Model!AC58</f>
        <v>709.66895999999997</v>
      </c>
      <c r="AD140" s="33">
        <f>Model!AD58</f>
        <v>684.80619456986312</v>
      </c>
      <c r="AE140" s="33">
        <f>Model!AE58</f>
        <v>664.12172706849321</v>
      </c>
      <c r="AF140" s="33">
        <f>Model!AF58</f>
        <v>582.04362840534247</v>
      </c>
      <c r="AG140" s="33">
        <f>Model!AG58</f>
        <v>551.76034280415615</v>
      </c>
      <c r="AH140" s="33">
        <f>Model!AH58</f>
        <v>527.98366684971302</v>
      </c>
      <c r="AI140" s="33">
        <f>Model!AI58</f>
        <v>500.00269928094883</v>
      </c>
      <c r="AJ140" s="33"/>
      <c r="AK140" s="33"/>
      <c r="AL140" s="33"/>
      <c r="AM140" s="33"/>
      <c r="AN140" s="33"/>
      <c r="AO140" s="33"/>
      <c r="AP140" s="33"/>
      <c r="AQ140" s="33"/>
      <c r="AR140" s="33"/>
      <c r="AS140" s="33"/>
      <c r="AT140" s="33"/>
      <c r="AU140" s="33">
        <f>Model!AU58</f>
        <v>10971</v>
      </c>
      <c r="AV140" s="33">
        <f>Model!AV58</f>
        <v>10166</v>
      </c>
      <c r="AW140" s="33">
        <f>Model!AW58</f>
        <v>16887</v>
      </c>
      <c r="AX140" s="33">
        <f>Model!AX58</f>
        <v>7329</v>
      </c>
      <c r="AY140" s="33">
        <f>Model!AY58</f>
        <v>4977</v>
      </c>
      <c r="AZ140" s="33">
        <f>Model!AZ58</f>
        <v>3814</v>
      </c>
      <c r="BA140" s="33">
        <f>Model!BA58</f>
        <v>2799.5968816383565</v>
      </c>
      <c r="BB140" s="33">
        <f>Model!BB58</f>
        <v>2161.7903373401605</v>
      </c>
      <c r="BC140" s="33">
        <f>Model!BC58</f>
        <v>1715.4698147993709</v>
      </c>
      <c r="BD140" s="33">
        <f>Model!BD58</f>
        <v>1364.7833507972011</v>
      </c>
      <c r="BE140" s="33">
        <f>Model!BE58</f>
        <v>1083.2932789925585</v>
      </c>
    </row>
    <row r="141" spans="1:57" s="1209" customFormat="1" x14ac:dyDescent="0.2">
      <c r="A141" s="238"/>
      <c r="B141" s="238"/>
      <c r="C141" s="238"/>
      <c r="D141" s="1064"/>
      <c r="E141" s="1064"/>
      <c r="F141" s="1064"/>
      <c r="G141" s="1064"/>
      <c r="H141" s="1064"/>
      <c r="I141" s="1064"/>
      <c r="J141" s="1064"/>
      <c r="K141" s="1064"/>
      <c r="L141" s="1064"/>
      <c r="M141" s="1064"/>
      <c r="N141" s="1064"/>
      <c r="O141" s="1064"/>
      <c r="P141" s="1064"/>
      <c r="Q141" s="1064"/>
      <c r="R141" s="1064"/>
      <c r="S141" s="1064"/>
      <c r="T141" s="1064"/>
      <c r="U141" s="1064"/>
      <c r="V141" s="1064"/>
      <c r="W141" s="1064"/>
      <c r="X141" s="1064"/>
      <c r="Y141" s="1064"/>
      <c r="Z141" s="1064"/>
      <c r="AA141" s="1064"/>
      <c r="AB141" s="1064"/>
      <c r="AC141" s="1064"/>
      <c r="AD141" s="1064"/>
      <c r="AE141" s="1064"/>
      <c r="AF141" s="1064"/>
      <c r="AG141" s="1064"/>
      <c r="AH141" s="1064"/>
      <c r="AI141" s="1064"/>
      <c r="AJ141" s="1064"/>
      <c r="AK141" s="1064"/>
      <c r="AL141" s="1064"/>
      <c r="AM141" s="1064"/>
      <c r="AN141" s="1064"/>
      <c r="AO141" s="1064"/>
      <c r="AP141" s="1064"/>
      <c r="AQ141" s="1064"/>
      <c r="AU141" s="1064"/>
      <c r="AV141" s="1064"/>
      <c r="AW141" s="1064"/>
      <c r="AX141" s="1064"/>
      <c r="AY141" s="1064"/>
      <c r="AZ141" s="1064"/>
      <c r="BA141" s="1064"/>
      <c r="BB141" s="1064"/>
      <c r="BC141" s="1064"/>
      <c r="BD141" s="1064"/>
      <c r="BE141" s="1064"/>
    </row>
    <row r="142" spans="1:57" s="1209" customFormat="1" x14ac:dyDescent="0.2">
      <c r="A142" s="1210" t="s">
        <v>1263</v>
      </c>
      <c r="B142" s="238"/>
      <c r="C142" s="238"/>
      <c r="D142" s="33">
        <f>Model!D62</f>
        <v>1278</v>
      </c>
      <c r="E142" s="33">
        <f>Model!E62</f>
        <v>1151</v>
      </c>
      <c r="F142" s="33">
        <f>Model!F62</f>
        <v>1328</v>
      </c>
      <c r="G142" s="33">
        <f>Model!G62</f>
        <v>1640</v>
      </c>
      <c r="H142" s="33">
        <f>Model!H62</f>
        <v>1464</v>
      </c>
      <c r="I142" s="33">
        <f>Model!I62</f>
        <v>1460</v>
      </c>
      <c r="J142" s="33">
        <f>Model!J62</f>
        <v>1536</v>
      </c>
      <c r="K142" s="33">
        <f>Model!K62</f>
        <v>1647</v>
      </c>
      <c r="L142" s="33">
        <f>Model!L62</f>
        <v>1463</v>
      </c>
      <c r="M142" s="33">
        <f>Model!M62</f>
        <v>1368</v>
      </c>
      <c r="N142" s="33">
        <f>Model!N62</f>
        <v>1281</v>
      </c>
      <c r="O142" s="33">
        <f>Model!O62</f>
        <v>1399</v>
      </c>
      <c r="P142" s="33">
        <f>Model!P62</f>
        <v>1368</v>
      </c>
      <c r="Q142" s="33">
        <f>Model!Q62</f>
        <v>1424</v>
      </c>
      <c r="R142" s="33">
        <f>Model!R62</f>
        <v>1280</v>
      </c>
      <c r="S142" s="33">
        <f>Model!S62</f>
        <v>1397</v>
      </c>
      <c r="T142" s="33">
        <f>Model!T62</f>
        <v>1485</v>
      </c>
      <c r="U142" s="33">
        <f>Model!U62</f>
        <v>1425</v>
      </c>
      <c r="V142" s="33">
        <f>Model!V62</f>
        <v>1808</v>
      </c>
      <c r="W142" s="33">
        <f>Model!W62</f>
        <v>1709</v>
      </c>
      <c r="X142" s="33">
        <f>Model!X62</f>
        <v>1815</v>
      </c>
      <c r="Y142" s="33">
        <f>Model!Y62</f>
        <v>1762</v>
      </c>
      <c r="Z142" s="33">
        <f>Model!Z62</f>
        <v>2213</v>
      </c>
      <c r="AA142" s="33">
        <f>Model!AA62</f>
        <v>1851</v>
      </c>
      <c r="AB142" s="33">
        <f>Model!AB62</f>
        <v>1905</v>
      </c>
      <c r="AC142" s="33">
        <f>Model!AC62</f>
        <v>1976.3290670410961</v>
      </c>
      <c r="AD142" s="33">
        <f>Model!AD62</f>
        <v>2073.2323909670058</v>
      </c>
      <c r="AE142" s="33">
        <f>Model!AE62</f>
        <v>2158.5437777031289</v>
      </c>
      <c r="AF142" s="33">
        <f>Model!AF62</f>
        <v>2113.5765025433739</v>
      </c>
      <c r="AG142" s="33">
        <f>Model!AG62</f>
        <v>2176.2687343571661</v>
      </c>
      <c r="AH142" s="33">
        <f>Model!AH62</f>
        <v>2316.0754854818306</v>
      </c>
      <c r="AI142" s="33">
        <f>Model!AI62</f>
        <v>2425.4247760319163</v>
      </c>
      <c r="AJ142" s="33"/>
      <c r="AK142" s="33"/>
      <c r="AL142" s="33"/>
      <c r="AM142" s="33"/>
      <c r="AN142" s="33"/>
      <c r="AO142" s="33"/>
      <c r="AP142" s="33"/>
      <c r="AQ142" s="33"/>
      <c r="AR142" s="33"/>
      <c r="AS142" s="33"/>
      <c r="AT142" s="33"/>
      <c r="AU142" s="33">
        <f>Model!AU62</f>
        <v>5397</v>
      </c>
      <c r="AV142" s="33">
        <f>Model!AV62</f>
        <v>6107</v>
      </c>
      <c r="AW142" s="33">
        <f>Model!AW62</f>
        <v>5511</v>
      </c>
      <c r="AX142" s="33">
        <f>Model!AX62</f>
        <v>5469</v>
      </c>
      <c r="AY142" s="33">
        <f>Model!AY62</f>
        <v>6427</v>
      </c>
      <c r="AZ142" s="33">
        <f>Model!AZ62</f>
        <v>7641</v>
      </c>
      <c r="BA142" s="33">
        <f>Model!BA62</f>
        <v>8113.1052357112312</v>
      </c>
      <c r="BB142" s="33">
        <f>Model!BB62</f>
        <v>9031.3454984142863</v>
      </c>
      <c r="BC142" s="33">
        <f>Model!BC62</f>
        <v>10112.742731167547</v>
      </c>
      <c r="BD142" s="33">
        <f>Model!BD62</f>
        <v>11198.233355476939</v>
      </c>
      <c r="BE142" s="33">
        <f>Model!BE62</f>
        <v>12423.229162628211</v>
      </c>
    </row>
    <row r="143" spans="1:57" s="1209" customFormat="1" x14ac:dyDescent="0.2">
      <c r="A143" s="1210" t="s">
        <v>1264</v>
      </c>
      <c r="B143" s="238"/>
      <c r="C143" s="238"/>
      <c r="D143" s="33">
        <f>Model!D63</f>
        <v>103</v>
      </c>
      <c r="E143" s="33">
        <f>Model!E63</f>
        <v>135</v>
      </c>
      <c r="F143" s="33">
        <f>Model!F63</f>
        <v>-27</v>
      </c>
      <c r="G143" s="33">
        <f>Model!G63</f>
        <v>97</v>
      </c>
      <c r="H143" s="33">
        <f>Model!H63</f>
        <v>65</v>
      </c>
      <c r="I143" s="33">
        <f>Model!I63</f>
        <v>-30</v>
      </c>
      <c r="J143" s="33">
        <f>Model!J63</f>
        <v>144</v>
      </c>
      <c r="K143" s="33">
        <f>Model!K63</f>
        <v>-93</v>
      </c>
      <c r="L143" s="33">
        <f>Model!L63</f>
        <v>26</v>
      </c>
      <c r="M143" s="33">
        <f>Model!M63</f>
        <v>-110</v>
      </c>
      <c r="N143" s="33">
        <f>Model!N63</f>
        <v>-32</v>
      </c>
      <c r="O143" s="33">
        <f>Model!O63</f>
        <v>163</v>
      </c>
      <c r="P143" s="33">
        <f>Model!P63</f>
        <v>86</v>
      </c>
      <c r="Q143" s="33">
        <f>Model!Q63</f>
        <v>-87</v>
      </c>
      <c r="R143" s="33">
        <f>Model!R63</f>
        <v>313</v>
      </c>
      <c r="S143" s="33">
        <f>Model!S63</f>
        <v>650</v>
      </c>
      <c r="T143" s="33">
        <f>Model!T63</f>
        <v>390</v>
      </c>
      <c r="U143" s="33">
        <f>Model!U63</f>
        <v>82</v>
      </c>
      <c r="V143" s="33">
        <f>Model!V63</f>
        <v>-90</v>
      </c>
      <c r="W143" s="33">
        <f>Model!W63</f>
        <v>104</v>
      </c>
      <c r="X143" s="33">
        <f>Model!X63</f>
        <v>-205</v>
      </c>
      <c r="Y143" s="33">
        <f>Model!Y63</f>
        <v>87</v>
      </c>
      <c r="Z143" s="33">
        <f>Model!Z63</f>
        <v>-164</v>
      </c>
      <c r="AA143" s="33">
        <f>Model!AA63</f>
        <v>267</v>
      </c>
      <c r="AB143" s="33">
        <f>Model!AB63</f>
        <v>-41</v>
      </c>
      <c r="AC143" s="33">
        <f>Model!AC63</f>
        <v>172.41632876712333</v>
      </c>
      <c r="AD143" s="33">
        <f>Model!AD63</f>
        <v>194.61824679452059</v>
      </c>
      <c r="AE143" s="33">
        <f>Model!AE63</f>
        <v>224.47445510958903</v>
      </c>
      <c r="AF143" s="33">
        <f>Model!AF63</f>
        <v>241.90538453679451</v>
      </c>
      <c r="AG143" s="33">
        <f>Model!AG63</f>
        <v>267.96546336973358</v>
      </c>
      <c r="AH143" s="33">
        <f>Model!AH63</f>
        <v>296.83343655503688</v>
      </c>
      <c r="AI143" s="33">
        <f>Model!AI63</f>
        <v>323.8835803701329</v>
      </c>
      <c r="AJ143" s="33"/>
      <c r="AK143" s="33"/>
      <c r="AL143" s="33"/>
      <c r="AM143" s="33"/>
      <c r="AN143" s="33"/>
      <c r="AO143" s="33"/>
      <c r="AP143" s="33"/>
      <c r="AQ143" s="33"/>
      <c r="AR143" s="33"/>
      <c r="AS143" s="33"/>
      <c r="AT143" s="33"/>
      <c r="AU143" s="33">
        <f>Model!AU63</f>
        <v>308</v>
      </c>
      <c r="AV143" s="33">
        <f>Model!AV63</f>
        <v>86</v>
      </c>
      <c r="AW143" s="33">
        <f>Model!AW63</f>
        <v>47</v>
      </c>
      <c r="AX143" s="33">
        <f>Model!AX63</f>
        <v>962</v>
      </c>
      <c r="AY143" s="33">
        <f>Model!AY63</f>
        <v>486</v>
      </c>
      <c r="AZ143" s="33">
        <f>Model!AZ63</f>
        <v>-15</v>
      </c>
      <c r="BA143" s="33">
        <f>Model!BA63</f>
        <v>550.50903067123295</v>
      </c>
      <c r="BB143" s="33">
        <f>Model!BB63</f>
        <v>1130.587864831698</v>
      </c>
      <c r="BC143" s="33">
        <f>Model!BC63</f>
        <v>1407.4206282004766</v>
      </c>
      <c r="BD143" s="33">
        <f>Model!BD63</f>
        <v>1721.07436819944</v>
      </c>
      <c r="BE143" s="33">
        <f>Model!BE63</f>
        <v>2280.4235378642579</v>
      </c>
    </row>
    <row r="144" spans="1:57" s="1209" customFormat="1" x14ac:dyDescent="0.2">
      <c r="A144" s="1210" t="s">
        <v>1265</v>
      </c>
      <c r="B144" s="238"/>
      <c r="C144" s="238"/>
      <c r="D144" s="33">
        <f>Model!D64</f>
        <v>1519</v>
      </c>
      <c r="E144" s="33">
        <f>Model!E64</f>
        <v>1410</v>
      </c>
      <c r="F144" s="33">
        <f>Model!F64</f>
        <v>1319</v>
      </c>
      <c r="G144" s="33">
        <f>Model!G64</f>
        <v>1376</v>
      </c>
      <c r="H144" s="33">
        <f>Model!H64</f>
        <v>930</v>
      </c>
      <c r="I144" s="33">
        <f>Model!I64</f>
        <v>594</v>
      </c>
      <c r="J144" s="33">
        <f>Model!J64</f>
        <v>279</v>
      </c>
      <c r="K144" s="33">
        <f>Model!K64</f>
        <v>518</v>
      </c>
      <c r="L144" s="33">
        <f>Model!L64</f>
        <v>485</v>
      </c>
      <c r="M144" s="33">
        <f>Model!M64</f>
        <v>472</v>
      </c>
      <c r="N144" s="33">
        <f>Model!N64</f>
        <v>501</v>
      </c>
      <c r="O144" s="33">
        <f>Model!O64</f>
        <v>451</v>
      </c>
      <c r="P144" s="33">
        <f>Model!P64</f>
        <v>461</v>
      </c>
      <c r="Q144" s="33">
        <f>Model!Q64</f>
        <v>311</v>
      </c>
      <c r="R144" s="33">
        <f>Model!R64</f>
        <v>243</v>
      </c>
      <c r="S144" s="33">
        <f>Model!S64</f>
        <v>467</v>
      </c>
      <c r="T144" s="33">
        <f>Model!T64</f>
        <v>170</v>
      </c>
      <c r="U144" s="33">
        <f>Model!U64</f>
        <v>-98</v>
      </c>
      <c r="V144" s="33">
        <f>Model!V64</f>
        <v>18</v>
      </c>
      <c r="W144" s="33">
        <f>Model!W64</f>
        <v>-21</v>
      </c>
      <c r="X144" s="33">
        <f>Model!X64</f>
        <v>52</v>
      </c>
      <c r="Y144" s="33">
        <f>Model!Y64</f>
        <v>-132</v>
      </c>
      <c r="Z144" s="33">
        <f>Model!Z64</f>
        <v>-50</v>
      </c>
      <c r="AA144" s="33">
        <f>Model!AA64</f>
        <v>-45</v>
      </c>
      <c r="AB144" s="33">
        <f>Model!AB64</f>
        <v>-7</v>
      </c>
      <c r="AC144" s="33">
        <f>Model!AC64</f>
        <v>52.605479452054794</v>
      </c>
      <c r="AD144" s="33">
        <f>Model!AD64</f>
        <v>50.33156164383562</v>
      </c>
      <c r="AE144" s="33">
        <f>Model!AE64</f>
        <v>47.641443835616442</v>
      </c>
      <c r="AF144" s="33">
        <f>Model!AF64</f>
        <v>43.595508082191778</v>
      </c>
      <c r="AG144" s="33">
        <f>Model!AG64</f>
        <v>41.246941975342466</v>
      </c>
      <c r="AH144" s="33">
        <f>Model!AH64</f>
        <v>39.392946866351785</v>
      </c>
      <c r="AI144" s="33">
        <f>Model!AI64</f>
        <v>37.233055274476797</v>
      </c>
      <c r="AJ144" s="33"/>
      <c r="AK144" s="33"/>
      <c r="AL144" s="33"/>
      <c r="AM144" s="33"/>
      <c r="AN144" s="33"/>
      <c r="AO144" s="33"/>
      <c r="AP144" s="33"/>
      <c r="AQ144" s="33"/>
      <c r="AR144" s="33"/>
      <c r="AS144" s="33"/>
      <c r="AT144" s="33"/>
      <c r="AU144" s="33">
        <f>Model!AU64</f>
        <v>5624</v>
      </c>
      <c r="AV144" s="33">
        <f>Model!AV64</f>
        <v>2321</v>
      </c>
      <c r="AW144" s="33">
        <f>Model!AW64</f>
        <v>1909</v>
      </c>
      <c r="AX144" s="33">
        <f>Model!AX64</f>
        <v>1482</v>
      </c>
      <c r="AY144" s="33">
        <f>Model!AY64</f>
        <v>69</v>
      </c>
      <c r="AZ144" s="33">
        <f>Model!AZ64</f>
        <v>-175</v>
      </c>
      <c r="BA144" s="33">
        <f>Model!BA64</f>
        <v>143.57848493150686</v>
      </c>
      <c r="BB144" s="33">
        <f>Model!BB64</f>
        <v>161.46845219836285</v>
      </c>
      <c r="BC144" s="33">
        <f>Model!BC64</f>
        <v>127.49682755848167</v>
      </c>
      <c r="BD144" s="33">
        <f>Model!BD64</f>
        <v>100.94551411221903</v>
      </c>
      <c r="BE144" s="33">
        <f>Model!BE64</f>
        <v>80.125242529035404</v>
      </c>
    </row>
    <row r="145" spans="1:57" s="1209" customFormat="1" x14ac:dyDescent="0.2">
      <c r="A145" s="238"/>
      <c r="B145" s="238"/>
      <c r="C145" s="238"/>
      <c r="D145" s="1064"/>
      <c r="E145" s="1064"/>
      <c r="F145" s="1064"/>
      <c r="G145" s="1064"/>
      <c r="H145" s="1064"/>
      <c r="I145" s="1064"/>
      <c r="J145" s="1064"/>
      <c r="K145" s="1064"/>
      <c r="L145" s="1064"/>
      <c r="M145" s="1064"/>
      <c r="N145" s="1064"/>
      <c r="O145" s="1064"/>
      <c r="P145" s="1064"/>
      <c r="Q145" s="1064"/>
      <c r="R145" s="1064"/>
      <c r="S145" s="1064"/>
      <c r="T145" s="1064"/>
      <c r="U145" s="1064"/>
      <c r="V145" s="1064"/>
      <c r="W145" s="1064"/>
      <c r="X145" s="1064"/>
      <c r="Y145" s="1064"/>
      <c r="Z145" s="1064"/>
      <c r="AA145" s="1064"/>
      <c r="AB145" s="1064"/>
      <c r="AC145" s="1064"/>
      <c r="AD145" s="1064"/>
      <c r="AE145" s="1064"/>
      <c r="AF145" s="1064"/>
      <c r="AG145" s="1064"/>
      <c r="AH145" s="1064"/>
      <c r="AI145" s="1064"/>
      <c r="AJ145" s="1064"/>
      <c r="AK145" s="1064"/>
      <c r="AL145" s="1064"/>
      <c r="AM145" s="1064"/>
      <c r="AN145" s="1064"/>
      <c r="AO145" s="1064"/>
      <c r="AP145" s="1064"/>
      <c r="AQ145" s="1064"/>
      <c r="AU145" s="1064"/>
      <c r="AV145" s="1064"/>
      <c r="AW145" s="1064"/>
      <c r="AX145" s="1064"/>
      <c r="AY145" s="1064"/>
      <c r="AZ145" s="1064"/>
      <c r="BA145" s="1064"/>
      <c r="BB145" s="1064"/>
      <c r="BC145" s="1064"/>
      <c r="BD145" s="1064"/>
      <c r="BE145" s="1064"/>
    </row>
    <row r="146" spans="1:57" s="1213" customFormat="1" x14ac:dyDescent="0.2">
      <c r="A146" s="1210" t="s">
        <v>1275</v>
      </c>
      <c r="B146" s="238"/>
      <c r="C146" s="238"/>
      <c r="D146" s="33">
        <f>Model!D1179</f>
        <v>2037</v>
      </c>
      <c r="E146" s="33">
        <f>Model!E1179</f>
        <v>1882</v>
      </c>
      <c r="F146" s="33">
        <f>Model!F1179</f>
        <v>1786</v>
      </c>
      <c r="G146" s="33">
        <f>Model!G1179</f>
        <v>1767</v>
      </c>
      <c r="H146" s="33">
        <f>Model!H1179</f>
        <v>1749</v>
      </c>
      <c r="I146" s="33">
        <f>Model!I1179</f>
        <v>1660</v>
      </c>
      <c r="J146" s="33">
        <f>Model!J1179</f>
        <v>1570</v>
      </c>
      <c r="K146" s="33">
        <f>Model!K1179</f>
        <v>1623</v>
      </c>
      <c r="L146" s="33">
        <f>Model!L1179</f>
        <v>1644</v>
      </c>
      <c r="M146" s="33">
        <f>Model!M1179</f>
        <v>1651</v>
      </c>
      <c r="N146" s="33">
        <f>Model!N1179</f>
        <v>1596</v>
      </c>
      <c r="O146" s="33">
        <f>Model!O1179</f>
        <v>1625</v>
      </c>
      <c r="P146" s="33">
        <f>Model!P1179</f>
        <v>1490</v>
      </c>
      <c r="Q146" s="33">
        <f>Model!Q1179</f>
        <v>1504</v>
      </c>
      <c r="R146" s="33">
        <f>Model!R1179</f>
        <v>1353</v>
      </c>
      <c r="S146" s="33">
        <f>Model!S1179</f>
        <v>1405</v>
      </c>
      <c r="T146" s="33">
        <f>Model!T1179</f>
        <v>1371</v>
      </c>
      <c r="U146" s="33">
        <f>Model!U1179</f>
        <v>1374</v>
      </c>
      <c r="V146" s="33">
        <f>Model!V1179</f>
        <v>1349</v>
      </c>
      <c r="W146" s="33">
        <f>Model!W1179</f>
        <v>1516</v>
      </c>
      <c r="X146" s="33">
        <f>Model!X1179</f>
        <v>1603</v>
      </c>
      <c r="Y146" s="33">
        <f>Model!Y1179</f>
        <v>1615</v>
      </c>
      <c r="Z146" s="33">
        <f>Model!Z1179</f>
        <v>1704</v>
      </c>
      <c r="AA146" s="33">
        <f>Model!AA1179</f>
        <v>1640</v>
      </c>
      <c r="AB146" s="33">
        <f>Model!AB1179</f>
        <v>1736</v>
      </c>
      <c r="AC146" s="33">
        <f>Model!AC1179</f>
        <v>1799.5945838356165</v>
      </c>
      <c r="AD146" s="33">
        <f>Model!AD1179</f>
        <v>1887.6612557010137</v>
      </c>
      <c r="AE146" s="33">
        <f>Model!AE1179</f>
        <v>1956.5667246606577</v>
      </c>
      <c r="AF146" s="33">
        <f>Model!AF1179</f>
        <v>1930.1760649005291</v>
      </c>
      <c r="AG146" s="33">
        <f>Model!AG1179</f>
        <v>1978.4261221428778</v>
      </c>
      <c r="AH146" s="33">
        <f>Model!AH1179</f>
        <v>2105.5231686198458</v>
      </c>
      <c r="AI146" s="33">
        <f>Model!AI1179</f>
        <v>2204.9316145744688</v>
      </c>
      <c r="AJ146" s="33"/>
      <c r="AK146" s="33"/>
      <c r="AL146" s="33"/>
      <c r="AM146" s="33"/>
      <c r="AN146" s="33"/>
      <c r="AO146" s="33"/>
      <c r="AP146" s="33"/>
      <c r="AQ146" s="33"/>
      <c r="AR146" s="33"/>
      <c r="AS146" s="33"/>
      <c r="AT146" s="33"/>
      <c r="AU146" s="33">
        <f>Model!AU1179</f>
        <v>7472</v>
      </c>
      <c r="AV146" s="33">
        <f>Model!AV1179</f>
        <v>6602</v>
      </c>
      <c r="AW146" s="33">
        <f>Model!AW1179</f>
        <v>6516</v>
      </c>
      <c r="AX146" s="33">
        <f>Model!AX1179</f>
        <v>5752</v>
      </c>
      <c r="AY146" s="33">
        <f>Model!AY1179</f>
        <v>5610</v>
      </c>
      <c r="AZ146" s="33">
        <f>Model!AZ1179</f>
        <v>6562</v>
      </c>
      <c r="BA146" s="33">
        <f>Model!BA1179</f>
        <v>7379.8225641972876</v>
      </c>
      <c r="BB146" s="33">
        <f>Model!BB1179</f>
        <v>8219.0569702377215</v>
      </c>
      <c r="BC146" s="33">
        <f>Model!BC1179</f>
        <v>9193.4024828795882</v>
      </c>
      <c r="BD146" s="33">
        <f>Model!BD1179</f>
        <v>10180.21214134267</v>
      </c>
      <c r="BE146" s="33">
        <f>Model!BE1179</f>
        <v>11293.844693298372</v>
      </c>
    </row>
    <row r="147" spans="1:57" s="1213" customFormat="1" x14ac:dyDescent="0.2">
      <c r="A147" s="1210" t="s">
        <v>1276</v>
      </c>
      <c r="B147" s="238"/>
      <c r="C147" s="238"/>
      <c r="D147" s="33">
        <f>Model!D1231</f>
        <v>-54</v>
      </c>
      <c r="E147" s="33">
        <f>Model!E1231</f>
        <v>128</v>
      </c>
      <c r="F147" s="33">
        <f>Model!F1231</f>
        <v>146</v>
      </c>
      <c r="G147" s="33">
        <f>Model!G1231</f>
        <v>79</v>
      </c>
      <c r="H147" s="33">
        <f>Model!H1231</f>
        <v>41</v>
      </c>
      <c r="I147" s="33">
        <f>Model!I1231</f>
        <v>56</v>
      </c>
      <c r="J147" s="33">
        <f>Model!J1231</f>
        <v>69</v>
      </c>
      <c r="K147" s="33">
        <f>Model!K1231</f>
        <v>28</v>
      </c>
      <c r="L147" s="33">
        <f>Model!L1231</f>
        <v>132</v>
      </c>
      <c r="M147" s="33">
        <f>Model!M1231</f>
        <v>9</v>
      </c>
      <c r="N147" s="33">
        <f>Model!N1231</f>
        <v>16</v>
      </c>
      <c r="O147" s="33">
        <f>Model!O1231</f>
        <v>118</v>
      </c>
      <c r="P147" s="33">
        <f>Model!P1231</f>
        <v>-1</v>
      </c>
      <c r="Q147" s="33">
        <f>Model!Q1231</f>
        <v>82</v>
      </c>
      <c r="R147" s="33">
        <f>Model!R1231</f>
        <v>37</v>
      </c>
      <c r="S147" s="33">
        <f>Model!S1231</f>
        <v>96</v>
      </c>
      <c r="T147" s="33">
        <f>Model!T1231</f>
        <v>211</v>
      </c>
      <c r="U147" s="33">
        <f>Model!U1231</f>
        <v>141</v>
      </c>
      <c r="V147" s="33">
        <f>Model!V1231</f>
        <v>45</v>
      </c>
      <c r="W147" s="33">
        <f>Model!W1231</f>
        <v>119</v>
      </c>
      <c r="X147" s="33">
        <f>Model!X1231</f>
        <v>25</v>
      </c>
      <c r="Y147" s="33">
        <f>Model!Y1231</f>
        <v>71</v>
      </c>
      <c r="Z147" s="33">
        <f>Model!Z1231</f>
        <v>44</v>
      </c>
      <c r="AA147" s="33">
        <f>Model!AA1231</f>
        <v>225</v>
      </c>
      <c r="AB147" s="33">
        <f>Model!AB1231</f>
        <v>105</v>
      </c>
      <c r="AC147" s="33">
        <f>Model!AC1231</f>
        <v>172.41632876712333</v>
      </c>
      <c r="AD147" s="33">
        <f>Model!AD1231</f>
        <v>194.61824679452059</v>
      </c>
      <c r="AE147" s="33">
        <f>Model!AE1231</f>
        <v>224.47445510958903</v>
      </c>
      <c r="AF147" s="33">
        <f>Model!AF1231</f>
        <v>241.90538453679451</v>
      </c>
      <c r="AG147" s="33">
        <f>Model!AG1231</f>
        <v>267.96546336973358</v>
      </c>
      <c r="AH147" s="33">
        <f>Model!AH1231</f>
        <v>296.83343655503688</v>
      </c>
      <c r="AI147" s="33">
        <f>Model!AI1231</f>
        <v>323.8835803701329</v>
      </c>
      <c r="AJ147" s="33"/>
      <c r="AK147" s="33"/>
      <c r="AL147" s="33"/>
      <c r="AM147" s="33"/>
      <c r="AN147" s="33"/>
      <c r="AO147" s="33"/>
      <c r="AP147" s="33"/>
      <c r="AQ147" s="33"/>
      <c r="AR147" s="33"/>
      <c r="AS147" s="33"/>
      <c r="AT147" s="33"/>
      <c r="AU147" s="33">
        <f>Model!AU1231</f>
        <v>299</v>
      </c>
      <c r="AV147" s="33">
        <f>Model!AV1231</f>
        <v>194</v>
      </c>
      <c r="AW147" s="33">
        <f>Model!AW1231</f>
        <v>275</v>
      </c>
      <c r="AX147" s="33">
        <f>Model!AX1231</f>
        <v>214</v>
      </c>
      <c r="AY147" s="33">
        <f>Model!AY1231</f>
        <v>516</v>
      </c>
      <c r="AZ147" s="33">
        <f>Model!AZ1231</f>
        <v>365</v>
      </c>
      <c r="BA147" s="33">
        <f>Model!BA1231</f>
        <v>696.50903067123295</v>
      </c>
      <c r="BB147" s="33">
        <f>Model!BB1231</f>
        <v>1130.587864831698</v>
      </c>
      <c r="BC147" s="33">
        <f>Model!BC1231</f>
        <v>1407.4206282004766</v>
      </c>
      <c r="BD147" s="33">
        <f>Model!BD1231</f>
        <v>1721.07436819944</v>
      </c>
      <c r="BE147" s="33">
        <f>Model!BE1231</f>
        <v>2280.4235378642579</v>
      </c>
    </row>
    <row r="148" spans="1:57" s="1213" customFormat="1" x14ac:dyDescent="0.2">
      <c r="A148" s="1210" t="s">
        <v>1277</v>
      </c>
      <c r="B148" s="238"/>
      <c r="C148" s="238"/>
      <c r="D148" s="33">
        <f>Model!D1236</f>
        <v>1875</v>
      </c>
      <c r="E148" s="33">
        <f>Model!E1236</f>
        <v>1481</v>
      </c>
      <c r="F148" s="33">
        <f>Model!F1236</f>
        <v>1965</v>
      </c>
      <c r="G148" s="33">
        <f>Model!G1236</f>
        <v>1139</v>
      </c>
      <c r="H148" s="33">
        <f>Model!H1236</f>
        <v>1088</v>
      </c>
      <c r="I148" s="33">
        <f>Model!I1236</f>
        <v>892</v>
      </c>
      <c r="J148" s="33">
        <f>Model!J1236</f>
        <v>791</v>
      </c>
      <c r="K148" s="33">
        <f>Model!K1236</f>
        <v>896</v>
      </c>
      <c r="L148" s="33">
        <f>Model!L1236</f>
        <v>663</v>
      </c>
      <c r="M148" s="33">
        <f>Model!M1236</f>
        <v>529</v>
      </c>
      <c r="N148" s="33">
        <f>Model!N1236</f>
        <v>485</v>
      </c>
      <c r="O148" s="33">
        <f>Model!O1236</f>
        <v>505</v>
      </c>
      <c r="P148" s="33">
        <f>Model!P1236</f>
        <v>468</v>
      </c>
      <c r="Q148" s="33">
        <f>Model!Q1236</f>
        <v>334</v>
      </c>
      <c r="R148" s="33">
        <f>Model!R1236</f>
        <v>273</v>
      </c>
      <c r="S148" s="33">
        <f>Model!S1236</f>
        <v>261</v>
      </c>
      <c r="T148" s="33">
        <f>Model!T1236</f>
        <v>142</v>
      </c>
      <c r="U148" s="33">
        <f>Model!U1236</f>
        <v>101</v>
      </c>
      <c r="V148" s="33">
        <f>Model!V1236</f>
        <v>131</v>
      </c>
      <c r="W148" s="33">
        <f>Model!W1236</f>
        <v>61</v>
      </c>
      <c r="X148" s="33">
        <f>Model!X1236</f>
        <v>81</v>
      </c>
      <c r="Y148" s="33">
        <f>Model!Y1236</f>
        <v>24</v>
      </c>
      <c r="Z148" s="33">
        <f>Model!Z1236</f>
        <v>29</v>
      </c>
      <c r="AA148" s="33">
        <f>Model!AA1236</f>
        <v>15</v>
      </c>
      <c r="AB148" s="33">
        <f>Model!AB1236</f>
        <v>26</v>
      </c>
      <c r="AC148" s="33">
        <f>Model!AC1236</f>
        <v>52.605479452054794</v>
      </c>
      <c r="AD148" s="33">
        <f>Model!AD1236</f>
        <v>50.33156164383562</v>
      </c>
      <c r="AE148" s="33">
        <f>Model!AE1236</f>
        <v>47.641443835616442</v>
      </c>
      <c r="AF148" s="33">
        <f>Model!AF1236</f>
        <v>43.595508082191778</v>
      </c>
      <c r="AG148" s="33">
        <f>Model!AG1236</f>
        <v>41.246941975342466</v>
      </c>
      <c r="AH148" s="33">
        <f>Model!AH1236</f>
        <v>39.392946866351785</v>
      </c>
      <c r="AI148" s="33">
        <f>Model!AI1236</f>
        <v>37.233055274476797</v>
      </c>
      <c r="AJ148" s="33"/>
      <c r="AK148" s="33"/>
      <c r="AL148" s="33"/>
      <c r="AM148" s="33"/>
      <c r="AN148" s="33"/>
      <c r="AO148" s="33"/>
      <c r="AP148" s="33"/>
      <c r="AQ148" s="33"/>
      <c r="AR148" s="33"/>
      <c r="AS148" s="33"/>
      <c r="AT148" s="33"/>
      <c r="AU148" s="33">
        <f>Model!AU1236</f>
        <v>6460</v>
      </c>
      <c r="AV148" s="33">
        <f>Model!AV1236</f>
        <v>3667</v>
      </c>
      <c r="AW148" s="33">
        <f>Model!AW1236</f>
        <v>2182</v>
      </c>
      <c r="AX148" s="33">
        <f>Model!AX1236</f>
        <v>1336</v>
      </c>
      <c r="AY148" s="33">
        <f>Model!AY1236</f>
        <v>435</v>
      </c>
      <c r="AZ148" s="33">
        <f>Model!AZ1236</f>
        <v>149</v>
      </c>
      <c r="BA148" s="33">
        <f>Model!BA1236</f>
        <v>176.57848493150686</v>
      </c>
      <c r="BB148" s="33">
        <f>Model!BB1236</f>
        <v>161.46845219836285</v>
      </c>
      <c r="BC148" s="33">
        <f>Model!BC1236</f>
        <v>127.49682755848167</v>
      </c>
      <c r="BD148" s="33">
        <f>Model!BD1236</f>
        <v>100.94551411221903</v>
      </c>
      <c r="BE148" s="33">
        <f>Model!BE1236</f>
        <v>80.125242529035404</v>
      </c>
    </row>
    <row r="149" spans="1:57" s="1213" customFormat="1" x14ac:dyDescent="0.2">
      <c r="A149" s="1210"/>
      <c r="B149" s="238"/>
      <c r="C149" s="238"/>
      <c r="D149" s="33"/>
      <c r="E149" s="33"/>
      <c r="F149" s="33"/>
      <c r="G149" s="33"/>
      <c r="H149" s="33"/>
      <c r="I149" s="33"/>
      <c r="J149" s="33"/>
      <c r="K149" s="33"/>
      <c r="L149" s="33"/>
      <c r="M149" s="33"/>
      <c r="N149" s="33"/>
      <c r="O149" s="33"/>
      <c r="P149" s="33"/>
      <c r="Q149" s="33"/>
      <c r="R149" s="33"/>
      <c r="S149" s="33"/>
      <c r="T149" s="33"/>
      <c r="U149" s="33"/>
      <c r="V149" s="33"/>
      <c r="W149" s="33"/>
      <c r="X149" s="33"/>
      <c r="Y149" s="33"/>
      <c r="Z149" s="33"/>
      <c r="AA149" s="33"/>
      <c r="AB149" s="33"/>
      <c r="AC149" s="33"/>
      <c r="AD149" s="33"/>
      <c r="AE149" s="33"/>
      <c r="AF149" s="33"/>
      <c r="AG149" s="33"/>
      <c r="AH149" s="33"/>
      <c r="AI149" s="33"/>
      <c r="AJ149" s="33"/>
      <c r="AK149" s="33"/>
      <c r="AL149" s="33"/>
      <c r="AM149" s="33"/>
      <c r="AN149" s="33"/>
      <c r="AO149" s="33"/>
      <c r="AP149" s="33"/>
      <c r="AQ149" s="33"/>
      <c r="AR149" s="33"/>
      <c r="AS149" s="33"/>
      <c r="AT149" s="33"/>
      <c r="AU149" s="33"/>
      <c r="AV149" s="33"/>
      <c r="AW149" s="33"/>
      <c r="AX149" s="33"/>
      <c r="AY149" s="33"/>
      <c r="AZ149" s="33"/>
      <c r="BA149" s="33"/>
      <c r="BB149" s="33"/>
      <c r="BC149" s="33"/>
      <c r="BD149" s="33"/>
      <c r="BE149" s="33"/>
    </row>
    <row r="150" spans="1:57" s="1209" customFormat="1" x14ac:dyDescent="0.2">
      <c r="A150" s="1210" t="s">
        <v>1269</v>
      </c>
      <c r="B150" s="238"/>
      <c r="C150" s="238"/>
      <c r="D150" s="1214">
        <f>Model!D1266</f>
        <v>3.0869514810735611E-2</v>
      </c>
      <c r="E150" s="1214">
        <f>Model!E1266</f>
        <v>2.902362974448864E-2</v>
      </c>
      <c r="F150" s="1214">
        <f>Model!F1266</f>
        <v>2.6913537549407111E-2</v>
      </c>
      <c r="G150" s="1214">
        <f>Model!G1266</f>
        <v>2.6220018487585751E-2</v>
      </c>
      <c r="H150" s="1214">
        <f>Model!H1266</f>
        <v>2.634905894006934E-2</v>
      </c>
      <c r="I150" s="1214">
        <f>Model!I1266</f>
        <v>2.5182457482003619E-2</v>
      </c>
      <c r="J150" s="1214">
        <f>Model!J1266</f>
        <v>2.3328855235303696E-2</v>
      </c>
      <c r="K150" s="1214">
        <f>Model!K1266</f>
        <v>2.3212242562929062E-2</v>
      </c>
      <c r="L150" s="1214">
        <f>Model!L1266</f>
        <v>2.3991843588820918E-2</v>
      </c>
      <c r="M150" s="1214">
        <f>Model!M1266</f>
        <v>2.3625197492482545E-2</v>
      </c>
      <c r="N150" s="1214">
        <f>Model!N1266</f>
        <v>2.2477658934111213E-2</v>
      </c>
      <c r="O150" s="1214">
        <f>Model!O1266</f>
        <v>2.3000395538941201E-2</v>
      </c>
      <c r="P150" s="1214">
        <f>Model!P1266</f>
        <v>2.2102332764366413E-2</v>
      </c>
      <c r="Q150" s="1214">
        <f>Model!Q1266</f>
        <v>2.2153975293894498E-2</v>
      </c>
      <c r="R150" s="1214">
        <f>Model!R1266</f>
        <v>1.9917923691215617E-2</v>
      </c>
      <c r="S150" s="1214">
        <f>Model!S1266</f>
        <v>2.047074837535327E-2</v>
      </c>
      <c r="T150" s="1214">
        <f>Model!T1266</f>
        <v>2.0354861085758097E-2</v>
      </c>
      <c r="U150" s="1214">
        <f>Model!U1266</f>
        <v>2.0242482791933341E-2</v>
      </c>
      <c r="V150" s="1214">
        <f>Model!V1266</f>
        <v>1.8666691871455577E-2</v>
      </c>
      <c r="W150" s="1214">
        <f>Model!W1266</f>
        <v>2.0984841608423344E-2</v>
      </c>
      <c r="X150" s="1214">
        <f>Model!X1266</f>
        <v>2.2448396255371397E-2</v>
      </c>
      <c r="Y150" s="1214">
        <f>Model!Y1266</f>
        <v>2.2048152664218015E-2</v>
      </c>
      <c r="Z150" s="1214">
        <f>Model!Z1266</f>
        <v>2.2557339948644294E-2</v>
      </c>
      <c r="AA150" s="1214">
        <f>Model!AA1266</f>
        <v>2.1452429077251683E-2</v>
      </c>
      <c r="AB150" s="1214">
        <f>Model!AB1266</f>
        <v>2.2985453622084377E-2</v>
      </c>
      <c r="AC150" s="1214">
        <f>Model!AC1266</f>
        <v>2.3428681182964099E-2</v>
      </c>
      <c r="AD150" s="1214">
        <f>Model!AD1266</f>
        <v>2.4007191848810956E-2</v>
      </c>
      <c r="AE150" s="1214">
        <f>Model!AE1266</f>
        <v>2.4389148689801174E-2</v>
      </c>
      <c r="AF150" s="1214">
        <f>Model!AF1266</f>
        <v>2.461960792548034E-2</v>
      </c>
      <c r="AG150" s="1214">
        <f>Model!AG1266</f>
        <v>2.4789085544340478E-2</v>
      </c>
      <c r="AH150" s="1214">
        <f>Model!AH1266</f>
        <v>2.5733922765892252E-2</v>
      </c>
      <c r="AI150" s="1214">
        <f>Model!AI1266</f>
        <v>2.6370782035333152E-2</v>
      </c>
      <c r="AJ150" s="1214"/>
      <c r="AK150" s="1214"/>
      <c r="AL150" s="1214"/>
      <c r="AM150" s="1214"/>
      <c r="AN150" s="1214"/>
      <c r="AO150" s="1214"/>
      <c r="AP150" s="1214"/>
      <c r="AQ150" s="1214"/>
      <c r="AR150" s="33"/>
      <c r="AS150" s="33"/>
      <c r="AT150" s="33"/>
      <c r="AU150" s="1214">
        <f>Model!AU1266</f>
        <v>2.8241519417934416E-2</v>
      </c>
      <c r="AV150" s="1214">
        <f>Model!AV1266</f>
        <v>2.4497217068645639E-2</v>
      </c>
      <c r="AW150" s="1214">
        <f>Model!AW1266</f>
        <v>2.3267273701124799E-2</v>
      </c>
      <c r="AX150" s="1214">
        <f>Model!AX1266</f>
        <v>2.1156781609195402E-2</v>
      </c>
      <c r="AY150" s="1214">
        <f>Model!AY1266</f>
        <v>2.0057204147300681E-2</v>
      </c>
      <c r="AZ150" s="1214">
        <f>Model!AZ1266</f>
        <v>2.2124072825354012E-2</v>
      </c>
      <c r="BA150" s="1214">
        <f>Model!BA1266</f>
        <v>2.3717553111989847E-2</v>
      </c>
      <c r="BB150" s="1214">
        <f>Model!BB1266</f>
        <v>2.5398699279051022E-2</v>
      </c>
      <c r="BC150" s="1214">
        <f>Model!BC1266</f>
        <v>2.7198264762839219E-2</v>
      </c>
      <c r="BD150" s="1214">
        <f>Model!BD1266</f>
        <v>2.8820090028040111E-2</v>
      </c>
      <c r="BE150" s="1214">
        <f>Model!BE1266</f>
        <v>3.0594541998355068E-2</v>
      </c>
    </row>
    <row r="151" spans="1:57" s="1209" customFormat="1" x14ac:dyDescent="0.2">
      <c r="A151" s="1210" t="s">
        <v>1270</v>
      </c>
      <c r="B151" s="238"/>
      <c r="C151" s="238"/>
      <c r="D151" s="1214">
        <f>Model!D1269</f>
        <v>-9.6958398744113026E-4</v>
      </c>
      <c r="E151" s="1214">
        <f>Model!E1269</f>
        <v>2.2000563539025077E-3</v>
      </c>
      <c r="F151" s="1214">
        <f>Model!F1269</f>
        <v>2.3707187222715173E-3</v>
      </c>
      <c r="G151" s="1214">
        <f>Model!G1269</f>
        <v>1.2880434782608695E-3</v>
      </c>
      <c r="H151" s="1214">
        <f>Model!H1269</f>
        <v>6.7868480725623574E-4</v>
      </c>
      <c r="I151" s="1214">
        <f>Model!I1269</f>
        <v>8.7398982340616588E-4</v>
      </c>
      <c r="J151" s="1214">
        <f>Model!J1269</f>
        <v>1.0408745247148287E-3</v>
      </c>
      <c r="K151" s="1214">
        <f>Model!K1269</f>
        <v>4.0991496871490451E-4</v>
      </c>
      <c r="L151" s="1214">
        <f>Model!L1269</f>
        <v>1.9396135265700482E-3</v>
      </c>
      <c r="M151" s="1214">
        <f>Model!M1269</f>
        <v>1.2755795441307807E-4</v>
      </c>
      <c r="N151" s="1214">
        <f>Model!N1269</f>
        <v>2.2430480872637882E-4</v>
      </c>
      <c r="O151" s="1214">
        <f>Model!O1269</f>
        <v>1.6660219712207951E-3</v>
      </c>
      <c r="P151" s="1214">
        <f>Model!P1269</f>
        <v>-1.4588329336530774E-5</v>
      </c>
      <c r="Q151" s="1214">
        <f>Model!Q1269</f>
        <v>1.138066086162972E-3</v>
      </c>
      <c r="R151" s="1214">
        <f>Model!R1269</f>
        <v>5.0271739130434783E-4</v>
      </c>
      <c r="S151" s="1214">
        <f>Model!S1269</f>
        <v>1.2954747116237799E-3</v>
      </c>
      <c r="T151" s="1214">
        <f>Model!T1269</f>
        <v>2.8767368224995342E-3</v>
      </c>
      <c r="U151" s="1214">
        <f>Model!U1269</f>
        <v>1.8654569115095429E-3</v>
      </c>
      <c r="V151" s="1214">
        <f>Model!V1269</f>
        <v>5.8313270075060195E-4</v>
      </c>
      <c r="W151" s="1214">
        <f>Model!W1269</f>
        <v>1.5572797482837528E-3</v>
      </c>
      <c r="X151" s="1214">
        <f>Model!X1269</f>
        <v>3.3572479764532742E-4</v>
      </c>
      <c r="Y151" s="1214">
        <f>Model!Y1269</f>
        <v>9.098409577642804E-4</v>
      </c>
      <c r="Z151" s="1214">
        <f>Model!Z1269</f>
        <v>5.4381687660842466E-4</v>
      </c>
      <c r="AA151" s="1214">
        <f>Model!AA1269</f>
        <v>2.721533669141039E-3</v>
      </c>
      <c r="AB151" s="1214">
        <f>Model!AB1269</f>
        <v>1.2561455260570304E-3</v>
      </c>
      <c r="AC151" s="1214">
        <f>Model!AC1269</f>
        <v>2E-3</v>
      </c>
      <c r="AD151" s="1214">
        <f>Model!AD1269</f>
        <v>2.2000000000000001E-3</v>
      </c>
      <c r="AE151" s="1214">
        <f>Model!AE1269</f>
        <v>2.5000000000000001E-3</v>
      </c>
      <c r="AF151" s="1214">
        <f>Model!AF1269</f>
        <v>2.7000000000000001E-3</v>
      </c>
      <c r="AG151" s="1214">
        <f>Model!AG1269</f>
        <v>2.8999999999999998E-3</v>
      </c>
      <c r="AH151" s="1214">
        <f>Model!AH1269</f>
        <v>3.0999999999999999E-3</v>
      </c>
      <c r="AI151" s="1214">
        <f>Model!AI1269</f>
        <v>3.3E-3</v>
      </c>
      <c r="AJ151" s="1214"/>
      <c r="AK151" s="1214"/>
      <c r="AL151" s="1214"/>
      <c r="AM151" s="1214"/>
      <c r="AN151" s="1214"/>
      <c r="AO151" s="1214"/>
      <c r="AP151" s="1214"/>
      <c r="AQ151" s="1214"/>
      <c r="AR151" s="33"/>
      <c r="AS151" s="33"/>
      <c r="AT151" s="33"/>
      <c r="AU151" s="1214">
        <f>Model!AU1269</f>
        <v>1.2629355860612459E-3</v>
      </c>
      <c r="AV151" s="1214">
        <f>Model!AV1269</f>
        <v>7.4903474903474903E-4</v>
      </c>
      <c r="AW151" s="1214">
        <f>Model!AW1269</f>
        <v>9.7951914514692777E-4</v>
      </c>
      <c r="AX151" s="1214">
        <f>Model!AX1269</f>
        <v>7.424111014744146E-4</v>
      </c>
      <c r="AY151" s="1214">
        <f>Model!AY1269</f>
        <v>1.7057851239669422E-3</v>
      </c>
      <c r="AZ151" s="1214">
        <f>Model!AZ1269</f>
        <v>1.1550632911392405E-3</v>
      </c>
      <c r="BA151" s="1214">
        <f>Model!BA1269</f>
        <v>2.0014945076959807E-3</v>
      </c>
      <c r="BB151" s="1214">
        <f>Model!BB1269</f>
        <v>3.0083767915270324E-3</v>
      </c>
      <c r="BC151" s="1214">
        <f>Model!BC1269</f>
        <v>3.5000000000000001E-3</v>
      </c>
      <c r="BD151" s="1214">
        <f>Model!BD1269</f>
        <v>4.0000000000000001E-3</v>
      </c>
      <c r="BE151" s="1214">
        <f>Model!BE1269</f>
        <v>5.0000000000000001E-3</v>
      </c>
    </row>
    <row r="152" spans="1:57" s="1209" customFormat="1" x14ac:dyDescent="0.2">
      <c r="A152" s="1210" t="s">
        <v>1271</v>
      </c>
      <c r="B152" s="238"/>
      <c r="C152" s="238"/>
      <c r="D152" s="1214" t="str">
        <f>Model!D1271</f>
        <v>NA</v>
      </c>
      <c r="E152" s="1214">
        <f>Model!E1271</f>
        <v>4.0700713703788513E-2</v>
      </c>
      <c r="F152" s="1214">
        <f>Model!F1271</f>
        <v>5.5148378191856452E-2</v>
      </c>
      <c r="G152" s="1214">
        <f>Model!G1271</f>
        <v>3.3367003905999872E-2</v>
      </c>
      <c r="H152" s="1214">
        <f>Model!H1271</f>
        <v>3.4033509020011142E-2</v>
      </c>
      <c r="I152" s="1214">
        <f>Model!I1271</f>
        <v>2.9326247522968835E-2</v>
      </c>
      <c r="J152" s="1214">
        <f>Model!J1271</f>
        <v>2.7858025048727298E-2</v>
      </c>
      <c r="K152" s="1214">
        <f>Model!K1271</f>
        <v>3.2732804868284088E-2</v>
      </c>
      <c r="L152" s="1214">
        <f>Model!L1271</f>
        <v>2.5779801853627354E-2</v>
      </c>
      <c r="M152" s="1214">
        <f>Model!M1271</f>
        <v>2.1207528104079824E-2</v>
      </c>
      <c r="N152" s="1214">
        <f>Model!N1271</f>
        <v>2.0340219689309675E-2</v>
      </c>
      <c r="O152" s="1214">
        <f>Model!O1271</f>
        <v>2.2575015309246781E-2</v>
      </c>
      <c r="P152" s="1214">
        <f>Model!P1271</f>
        <v>2.320293398533007E-2</v>
      </c>
      <c r="Q152" s="1214">
        <f>Model!Q1271</f>
        <v>2.028266963921771E-2</v>
      </c>
      <c r="R152" s="1214">
        <f>Model!R1271</f>
        <v>1.7483419307295502E-2</v>
      </c>
      <c r="S152" s="1214">
        <f>Model!S1271</f>
        <v>1.802417981609717E-2</v>
      </c>
      <c r="T152" s="1214">
        <f>Model!T1271</f>
        <v>1.232191756463601E-2</v>
      </c>
      <c r="U152" s="1214">
        <f>Model!U1271</f>
        <v>9.3383857521788551E-3</v>
      </c>
      <c r="V152" s="1214">
        <f>Model!V1271</f>
        <v>1.2742106941639205E-2</v>
      </c>
      <c r="W152" s="1214">
        <f>Model!W1271</f>
        <v>7.0442355019877572E-3</v>
      </c>
      <c r="X152" s="1214">
        <f>Model!X1271</f>
        <v>1.0362776025236591E-2</v>
      </c>
      <c r="Y152" s="1214">
        <f>Model!Y1271</f>
        <v>3.4627243260336791E-3</v>
      </c>
      <c r="Z152" s="1214">
        <f>Model!Z1271</f>
        <v>4.4594708459723626E-3</v>
      </c>
      <c r="AA152" s="1214">
        <f>Model!AA1271</f>
        <v>2.521647015475313E-3</v>
      </c>
      <c r="AB152" s="1214">
        <f>Model!AB1271</f>
        <v>4.7284504235176874E-3</v>
      </c>
      <c r="AC152" s="1214">
        <f>Model!AC1271</f>
        <v>0.01</v>
      </c>
      <c r="AD152" s="1214">
        <f>Model!AD1271</f>
        <v>0.01</v>
      </c>
      <c r="AE152" s="1214">
        <f>Model!AE1271</f>
        <v>0.01</v>
      </c>
      <c r="AF152" s="1214">
        <f>Model!AF1271</f>
        <v>0.01</v>
      </c>
      <c r="AG152" s="1214">
        <f>Model!AG1271</f>
        <v>0.01</v>
      </c>
      <c r="AH152" s="1214">
        <f>Model!AH1271</f>
        <v>0.01</v>
      </c>
      <c r="AI152" s="1214">
        <f>Model!AI1271</f>
        <v>0.01</v>
      </c>
      <c r="AJ152" s="1214"/>
      <c r="AK152" s="1214"/>
      <c r="AL152" s="1214"/>
      <c r="AM152" s="1214"/>
      <c r="AN152" s="1214"/>
      <c r="AO152" s="1214"/>
      <c r="AP152" s="1214"/>
      <c r="AQ152" s="1214"/>
      <c r="AR152" s="33"/>
      <c r="AS152" s="33"/>
      <c r="AT152" s="33"/>
      <c r="AU152" s="1214">
        <f>Model!AU1271</f>
        <v>4.5718329794762917E-2</v>
      </c>
      <c r="AV152" s="1214">
        <f>Model!AV1271</f>
        <v>3.1017128356946502E-2</v>
      </c>
      <c r="AW152" s="1214">
        <f>Model!AW1271</f>
        <v>2.2512251741036882E-2</v>
      </c>
      <c r="AX152" s="1214">
        <f>Model!AX1271</f>
        <v>1.9996258185219832E-2</v>
      </c>
      <c r="AY152" s="1214">
        <f>Model!AY1271</f>
        <v>1.0532687651331718E-2</v>
      </c>
      <c r="AZ152" s="1214">
        <f>Model!AZ1271</f>
        <v>5.4729109274563826E-3</v>
      </c>
      <c r="BA152" s="1214">
        <f>Model!BA1271</f>
        <v>8.5853446055159099E-3</v>
      </c>
      <c r="BB152" s="1214">
        <f>Model!BB1271</f>
        <v>9.9941731284939658E-3</v>
      </c>
      <c r="BC152" s="1214">
        <f>Model!BC1271</f>
        <v>0.01</v>
      </c>
      <c r="BD152" s="1214">
        <f>Model!BD1271</f>
        <v>0.01</v>
      </c>
      <c r="BE152" s="1214">
        <f>Model!BE1271</f>
        <v>0.01</v>
      </c>
    </row>
    <row r="153" spans="1:57" s="1209" customFormat="1" x14ac:dyDescent="0.2">
      <c r="A153" s="238"/>
      <c r="B153" s="238"/>
      <c r="C153" s="238"/>
      <c r="D153" s="1064"/>
      <c r="E153" s="1064"/>
      <c r="F153" s="1064"/>
      <c r="G153" s="1064"/>
      <c r="H153" s="1064"/>
      <c r="I153" s="1064"/>
      <c r="J153" s="1064"/>
      <c r="K153" s="1064"/>
      <c r="L153" s="1064"/>
      <c r="M153" s="1064"/>
      <c r="N153" s="1064"/>
      <c r="O153" s="1064"/>
      <c r="P153" s="1064"/>
      <c r="Q153" s="1064"/>
      <c r="R153" s="1064"/>
      <c r="S153" s="1064"/>
      <c r="T153" s="1064"/>
      <c r="U153" s="1064"/>
      <c r="V153" s="1064"/>
      <c r="W153" s="1064"/>
      <c r="X153" s="1064"/>
      <c r="Y153" s="1064"/>
      <c r="Z153" s="1064"/>
      <c r="AA153" s="1064"/>
      <c r="AB153" s="1064"/>
      <c r="AC153" s="1064"/>
      <c r="AD153" s="1064"/>
      <c r="AE153" s="1064"/>
      <c r="AF153" s="1064"/>
      <c r="AG153" s="1064"/>
      <c r="AH153" s="1064"/>
      <c r="AI153" s="1064"/>
      <c r="AJ153" s="1064"/>
      <c r="AK153" s="1064"/>
      <c r="AL153" s="1064"/>
      <c r="AM153" s="1064"/>
      <c r="AN153" s="1064"/>
      <c r="AO153" s="1064"/>
      <c r="AP153" s="1064"/>
      <c r="AQ153" s="1064"/>
      <c r="AU153" s="1064"/>
      <c r="AV153" s="1064"/>
      <c r="AW153" s="1064"/>
      <c r="AX153" s="1064"/>
      <c r="AY153" s="1064"/>
      <c r="AZ153" s="1064"/>
      <c r="BA153" s="1064"/>
      <c r="BB153" s="1064"/>
      <c r="BC153" s="1064"/>
      <c r="BD153" s="1064"/>
      <c r="BE153" s="1064"/>
    </row>
    <row r="154" spans="1:57" s="1211" customFormat="1" x14ac:dyDescent="0.2">
      <c r="A154" s="1210" t="s">
        <v>1272</v>
      </c>
      <c r="B154" s="238"/>
      <c r="C154" s="238"/>
      <c r="D154" s="1214">
        <f>Model!D1262</f>
        <v>6.8392449983713643E-3</v>
      </c>
      <c r="E154" s="1214">
        <f>Model!E1262</f>
        <v>6.2241136710893194E-3</v>
      </c>
      <c r="F154" s="1214">
        <f>Model!F1262</f>
        <v>7.3444816053511702E-3</v>
      </c>
      <c r="G154" s="1214">
        <f>Model!G1262</f>
        <v>8.2370592648162034E-3</v>
      </c>
      <c r="H154" s="1214">
        <f>Model!H1262</f>
        <v>7.5069649295313014E-3</v>
      </c>
      <c r="I154" s="1214">
        <f>Model!I1262</f>
        <v>7.2708564843396309E-3</v>
      </c>
      <c r="J154" s="1214">
        <f>Model!J1262</f>
        <v>7.3014075002410094E-3</v>
      </c>
      <c r="K154" s="1214">
        <f>Model!K1262</f>
        <v>7.951883433283357E-3</v>
      </c>
      <c r="L154" s="1214">
        <f>Model!L1262</f>
        <v>7.8113401247729601E-3</v>
      </c>
      <c r="M154" s="1214">
        <f>Model!M1262</f>
        <v>7.7783844864590208E-3</v>
      </c>
      <c r="N154" s="1214">
        <f>Model!N1262</f>
        <v>7.4897400820793424E-3</v>
      </c>
      <c r="O154" s="1214">
        <f>Model!O1262</f>
        <v>9.0839580209895049E-3</v>
      </c>
      <c r="P154" s="1214">
        <f>Model!P1262</f>
        <v>7.3632781717888098E-3</v>
      </c>
      <c r="Q154" s="1214">
        <f>Model!Q1262</f>
        <v>7.3516020496357578E-3</v>
      </c>
      <c r="R154" s="1214">
        <f>Model!R1262</f>
        <v>6.9812465012129123E-3</v>
      </c>
      <c r="S154" s="1214">
        <f>Model!S1262</f>
        <v>8.3123610424901181E-3</v>
      </c>
      <c r="T154" s="1214">
        <f>Model!T1262</f>
        <v>6.3671715104379857E-3</v>
      </c>
      <c r="U154" s="1214">
        <f>Model!U1262</f>
        <v>6.9265815686793721E-3</v>
      </c>
      <c r="V154" s="1214">
        <f>Model!V1262</f>
        <v>7.2000918554807102E-3</v>
      </c>
      <c r="W154" s="1214">
        <f>Model!W1262</f>
        <v>8.2388313446462857E-3</v>
      </c>
      <c r="X154" s="1214">
        <f>Model!X1262</f>
        <v>6.8956131924431631E-3</v>
      </c>
      <c r="Y154" s="1214">
        <f>Model!Y1262</f>
        <v>6.8775918389411012E-3</v>
      </c>
      <c r="Z154" s="1214">
        <f>Model!Z1262</f>
        <v>8.2482147699538995E-3</v>
      </c>
      <c r="AA154" s="1214">
        <f>Model!AA1262</f>
        <v>6.6442183801276476E-3</v>
      </c>
      <c r="AB154" s="1214">
        <f>Model!AB1262</f>
        <v>6.3962534934662732E-3</v>
      </c>
      <c r="AC154" s="1214">
        <f>Model!AC1262</f>
        <v>6.9030591434398368E-3</v>
      </c>
      <c r="AD154" s="1214">
        <f>Model!AD1262</f>
        <v>7.5245893389161789E-3</v>
      </c>
      <c r="AE154" s="1214">
        <f>Model!AE1262</f>
        <v>7.837376197761493E-3</v>
      </c>
      <c r="AF154" s="1214">
        <f>Model!AF1262</f>
        <v>8.202427185641202E-3</v>
      </c>
      <c r="AG154" s="1214">
        <f>Model!AG1262</f>
        <v>8.429615833905689E-3</v>
      </c>
      <c r="AH154" s="1214">
        <f>Model!AH1262</f>
        <v>8.6923109119935778E-3</v>
      </c>
      <c r="AI154" s="1214">
        <f>Model!AI1262</f>
        <v>9.0025356436141003E-3</v>
      </c>
      <c r="AJ154" s="1214"/>
      <c r="AK154" s="1214"/>
      <c r="AL154" s="1214"/>
      <c r="AM154" s="1214"/>
      <c r="AN154" s="1214"/>
      <c r="AO154" s="1214"/>
      <c r="AP154" s="1214"/>
      <c r="AQ154" s="1214"/>
      <c r="AR154" s="33"/>
      <c r="AS154" s="33"/>
      <c r="AT154" s="33"/>
      <c r="AU154" s="1214">
        <f>Model!AU1262</f>
        <v>7.1781033153431005E-3</v>
      </c>
      <c r="AV154" s="1214">
        <f>Model!AV1262</f>
        <v>7.5128771155261219E-3</v>
      </c>
      <c r="AW154" s="1214">
        <f>Model!AW1262</f>
        <v>8.0443828016643557E-3</v>
      </c>
      <c r="AX154" s="1214">
        <f>Model!AX1262</f>
        <v>7.5035460992907803E-3</v>
      </c>
      <c r="AY154" s="1214">
        <f>Model!AY1262</f>
        <v>7.1825962910128391E-3</v>
      </c>
      <c r="AZ154" s="1214">
        <f>Model!AZ1262</f>
        <v>7.1726555652936019E-3</v>
      </c>
      <c r="BA154" s="1214">
        <f>Model!BA1262</f>
        <v>7.1797642413727958E-3</v>
      </c>
      <c r="BB154" s="1214">
        <f>Model!BB1262</f>
        <v>8.5890084662792812E-3</v>
      </c>
      <c r="BC154" s="1214">
        <f>Model!BC1262</f>
        <v>9.6355073601749018E-3</v>
      </c>
      <c r="BD154" s="1214">
        <f>Model!BD1262</f>
        <v>1.0696653641763162E-2</v>
      </c>
      <c r="BE154" s="1214">
        <f>Model!BE1262</f>
        <v>1.199361383598793E-2</v>
      </c>
    </row>
    <row r="155" spans="1:57" s="1211" customFormat="1" x14ac:dyDescent="0.2">
      <c r="A155" s="1210" t="s">
        <v>1274</v>
      </c>
      <c r="B155" s="238"/>
      <c r="C155" s="238"/>
      <c r="D155" s="1214">
        <f>Model!D1263</f>
        <v>7.1133387888707045E-2</v>
      </c>
      <c r="E155" s="1214">
        <f>Model!E1263</f>
        <v>6.7106427818756587E-2</v>
      </c>
      <c r="F155" s="1214">
        <f>Model!F1263</f>
        <v>5.820250148898154E-2</v>
      </c>
      <c r="G155" s="1214">
        <f>Model!G1263</f>
        <v>5.5265569917743833E-2</v>
      </c>
      <c r="H155" s="1214">
        <f>Model!H1263</f>
        <v>5.6136845292158642E-2</v>
      </c>
      <c r="I155" s="1214">
        <f>Model!I1263</f>
        <v>5.3890662410215485E-2</v>
      </c>
      <c r="J155" s="1214">
        <f>Model!J1263</f>
        <v>4.5656487232574185E-2</v>
      </c>
      <c r="K155" s="1214">
        <f>Model!K1263</f>
        <v>4.2858745512564814E-2</v>
      </c>
      <c r="L155" s="1214">
        <f>Model!L1263</f>
        <v>4.4741335372069313E-2</v>
      </c>
      <c r="M155" s="1214">
        <f>Model!M1263</f>
        <v>4.3988440804478536E-2</v>
      </c>
      <c r="N155" s="1214">
        <f>Model!N1263</f>
        <v>4.2263352589439543E-2</v>
      </c>
      <c r="O155" s="1214">
        <f>Model!O1263</f>
        <v>4.1842874121026045E-2</v>
      </c>
      <c r="P155" s="1214">
        <f>Model!P1263</f>
        <v>4.0001265502404453E-2</v>
      </c>
      <c r="Q155" s="1214">
        <f>Model!Q1263</f>
        <v>4.3028684930093375E-2</v>
      </c>
      <c r="R155" s="1214">
        <f>Model!R1263</f>
        <v>3.6912387773630588E-2</v>
      </c>
      <c r="S155" s="1214">
        <f>Model!S1263</f>
        <v>3.7604752045745829E-2</v>
      </c>
      <c r="T155" s="1214">
        <f>Model!T1263</f>
        <v>4.1408091908091908E-2</v>
      </c>
      <c r="U155" s="1214">
        <f>Model!U1263</f>
        <v>4.1632653061224489E-2</v>
      </c>
      <c r="V155" s="1214">
        <f>Model!V1263</f>
        <v>3.8961408057439167E-2</v>
      </c>
      <c r="W155" s="1214">
        <f>Model!W1263</f>
        <v>4.2795100222717146E-2</v>
      </c>
      <c r="X155" s="1214">
        <f>Model!X1263</f>
        <v>4.6553838606818734E-2</v>
      </c>
      <c r="Y155" s="1214">
        <f>Model!Y1263</f>
        <v>4.7861464378318314E-2</v>
      </c>
      <c r="Z155" s="1214">
        <f>Model!Z1263</f>
        <v>4.6982265446224254E-2</v>
      </c>
      <c r="AA155" s="1214">
        <f>Model!AA1263</f>
        <v>4.7710206730323529E-2</v>
      </c>
      <c r="AB155" s="1214">
        <f>Model!AB1263</f>
        <v>5.1835338523236608E-2</v>
      </c>
      <c r="AC155" s="1214">
        <f>Model!AC1263</f>
        <v>5.1999999999999998E-2</v>
      </c>
      <c r="AD155" s="1214">
        <f>Model!AD1263</f>
        <v>5.1813000000000005E-2</v>
      </c>
      <c r="AE155" s="1214">
        <f>Model!AE1263</f>
        <v>5.1300000000000005E-2</v>
      </c>
      <c r="AF155" s="1214">
        <f>Model!AF1263</f>
        <v>5.1999999999999998E-2</v>
      </c>
      <c r="AG155" s="1214">
        <f>Model!AG1263</f>
        <v>5.2499999999999998E-2</v>
      </c>
      <c r="AH155" s="1214">
        <f>Model!AH1263</f>
        <v>5.3999999999999999E-2</v>
      </c>
      <c r="AI155" s="1214">
        <f>Model!AI1263</f>
        <v>5.5E-2</v>
      </c>
      <c r="AJ155" s="1214"/>
      <c r="AK155" s="1214"/>
      <c r="AL155" s="1214"/>
      <c r="AM155" s="1214"/>
      <c r="AN155" s="1214"/>
      <c r="AO155" s="1214"/>
      <c r="AP155" s="1214"/>
      <c r="AQ155" s="1214"/>
      <c r="AR155" s="33"/>
      <c r="AS155" s="33"/>
      <c r="AT155" s="33"/>
      <c r="AU155" s="1214">
        <f>Model!AU1263</f>
        <v>6.2926829268292683E-2</v>
      </c>
      <c r="AV155" s="1214">
        <f>Model!AV1263</f>
        <v>4.9252761533463287E-2</v>
      </c>
      <c r="AW155" s="1214">
        <f>Model!AW1263</f>
        <v>4.3194444444444445E-2</v>
      </c>
      <c r="AX155" s="1214">
        <f>Model!AX1263</f>
        <v>3.9355210132412208E-2</v>
      </c>
      <c r="AY155" s="1214">
        <f>Model!AY1263</f>
        <v>4.1210045662100452E-2</v>
      </c>
      <c r="AZ155" s="1214">
        <f>Model!AZ1263</f>
        <v>4.7284695556774545E-2</v>
      </c>
      <c r="BA155" s="1214">
        <f>Model!BA1263</f>
        <v>5.17383183208701E-2</v>
      </c>
      <c r="BB155" s="1214">
        <f>Model!BB1263</f>
        <v>5.3412553346394526E-2</v>
      </c>
      <c r="BC155" s="1214">
        <f>Model!BC1263</f>
        <v>5.5E-2</v>
      </c>
      <c r="BD155" s="1214">
        <f>Model!BD1263</f>
        <v>5.6500000000000002E-2</v>
      </c>
      <c r="BE155" s="1214">
        <f>Model!BE1263</f>
        <v>5.8500000000000003E-2</v>
      </c>
    </row>
    <row r="156" spans="1:57" s="1211" customFormat="1" x14ac:dyDescent="0.2">
      <c r="A156" s="1210" t="s">
        <v>1273</v>
      </c>
      <c r="B156" s="238"/>
      <c r="C156" s="238"/>
      <c r="D156" s="1214">
        <f>Model!D1264</f>
        <v>4.6600026479544539E-2</v>
      </c>
      <c r="E156" s="1214">
        <f>Model!E1264</f>
        <v>4.4614931460292273E-2</v>
      </c>
      <c r="F156" s="1214">
        <f>Model!F1264</f>
        <v>4.1292307692307691E-2</v>
      </c>
      <c r="G156" s="1214">
        <f>Model!G1264</f>
        <v>3.9741931181648441E-2</v>
      </c>
      <c r="H156" s="1214">
        <f>Model!H1264</f>
        <v>4.1434468524251811E-2</v>
      </c>
      <c r="I156" s="1214">
        <f>Model!I1264</f>
        <v>3.9519418541500553E-2</v>
      </c>
      <c r="J156" s="1214">
        <f>Model!J1264</f>
        <v>3.7434597397786727E-2</v>
      </c>
      <c r="K156" s="1214">
        <f>Model!K1264</f>
        <v>3.6612395440757416E-2</v>
      </c>
      <c r="L156" s="1214">
        <f>Model!L1264</f>
        <v>3.864909781576447E-2</v>
      </c>
      <c r="M156" s="1214">
        <f>Model!M1264</f>
        <v>3.9031667257473701E-2</v>
      </c>
      <c r="N156" s="1214">
        <f>Model!N1264</f>
        <v>3.6974715935768614E-2</v>
      </c>
      <c r="O156" s="1214">
        <f>Model!O1264</f>
        <v>3.6027732851298636E-2</v>
      </c>
      <c r="P156" s="1214">
        <f>Model!P1264</f>
        <v>3.6706214689265534E-2</v>
      </c>
      <c r="Q156" s="1214">
        <f>Model!Q1264</f>
        <v>3.611268456629281E-2</v>
      </c>
      <c r="R156" s="1214">
        <f>Model!R1264</f>
        <v>3.2343859825283663E-2</v>
      </c>
      <c r="S156" s="1214">
        <f>Model!S1264</f>
        <v>3.1412297283852357E-2</v>
      </c>
      <c r="T156" s="1214">
        <f>Model!T1264</f>
        <v>3.2111325101015824E-2</v>
      </c>
      <c r="U156" s="1214">
        <f>Model!U1264</f>
        <v>3.1066623959000644E-2</v>
      </c>
      <c r="V156" s="1214">
        <f>Model!V1264</f>
        <v>2.5962153859282331E-2</v>
      </c>
      <c r="W156" s="1214">
        <f>Model!W1264</f>
        <v>2.846514242878561E-2</v>
      </c>
      <c r="X156" s="1214">
        <f>Model!X1264</f>
        <v>3.2559768299104799E-2</v>
      </c>
      <c r="Y156" s="1214">
        <f>Model!Y1264</f>
        <v>3.148813803019411E-2</v>
      </c>
      <c r="Z156" s="1214">
        <f>Model!Z1264</f>
        <v>3.1218816821097645E-2</v>
      </c>
      <c r="AA156" s="1214">
        <f>Model!AA1264</f>
        <v>2.9693054416188126E-2</v>
      </c>
      <c r="AB156" s="1214">
        <f>Model!AB1264</f>
        <v>3.2632570125879674E-2</v>
      </c>
      <c r="AC156" s="1214">
        <f>Model!AC1264</f>
        <v>3.325887559723311E-2</v>
      </c>
      <c r="AD156" s="1214">
        <f>Model!AD1264</f>
        <v>3.4105143173678798E-2</v>
      </c>
      <c r="AE156" s="1214">
        <f>Model!AE1264</f>
        <v>3.4950431971918876E-2</v>
      </c>
      <c r="AF156" s="1214">
        <f>Model!AF1264</f>
        <v>3.5038158488657614E-2</v>
      </c>
      <c r="AG156" s="1214">
        <f>Model!AG1264</f>
        <v>3.5159130338377323E-2</v>
      </c>
      <c r="AH156" s="1214">
        <f>Model!AH1264</f>
        <v>3.6616136221420473E-2</v>
      </c>
      <c r="AI156" s="1214">
        <f>Model!AI1264</f>
        <v>3.7248390455141833E-2</v>
      </c>
      <c r="AJ156" s="1214"/>
      <c r="AK156" s="1214"/>
      <c r="AL156" s="1214"/>
      <c r="AM156" s="1214"/>
      <c r="AN156" s="1214"/>
      <c r="AO156" s="1214"/>
      <c r="AP156" s="1214"/>
      <c r="AQ156" s="1214"/>
      <c r="AU156" s="1214">
        <f>Model!AU1264</f>
        <v>4.3062005613676957E-2</v>
      </c>
      <c r="AV156" s="1214">
        <f>Model!AV1264</f>
        <v>3.8749014454664908E-2</v>
      </c>
      <c r="AW156" s="1214">
        <f>Model!AW1264</f>
        <v>3.7668645439827307E-2</v>
      </c>
      <c r="AX156" s="1214">
        <f>Model!AX1264</f>
        <v>3.4133790737564319E-2</v>
      </c>
      <c r="AY156" s="1214">
        <f>Model!AY1264</f>
        <v>2.9237199582027168E-2</v>
      </c>
      <c r="AZ156" s="1214">
        <f>Model!AZ1264</f>
        <v>3.121771217712177E-2</v>
      </c>
      <c r="BA156" s="1214">
        <f>Model!BA1264</f>
        <v>3.3757821585906692E-2</v>
      </c>
      <c r="BB156" s="1214">
        <f>Model!BB1264</f>
        <v>3.6046890499576149E-2</v>
      </c>
      <c r="BC156" s="1214">
        <f>Model!BC1264</f>
        <v>3.9092928539367619E-2</v>
      </c>
      <c r="BD156" s="1214">
        <f>Model!BD1264</f>
        <v>4.1695536351678927E-2</v>
      </c>
      <c r="BE156" s="1214">
        <f>Model!BE1264</f>
        <v>4.4200737085461454E-2</v>
      </c>
    </row>
    <row r="157" spans="1:57" s="1211" customFormat="1" x14ac:dyDescent="0.2">
      <c r="A157" s="1210"/>
      <c r="B157" s="238"/>
      <c r="C157" s="238"/>
      <c r="D157" s="1064"/>
      <c r="E157" s="1064"/>
      <c r="F157" s="1064"/>
      <c r="G157" s="1064"/>
      <c r="H157" s="1064"/>
      <c r="I157" s="1064"/>
      <c r="J157" s="1064"/>
      <c r="K157" s="1064"/>
      <c r="L157" s="1064"/>
      <c r="M157" s="1064"/>
      <c r="N157" s="1064"/>
      <c r="O157" s="1064"/>
      <c r="P157" s="1064"/>
      <c r="Q157" s="1064"/>
      <c r="R157" s="1064"/>
      <c r="S157" s="1064"/>
      <c r="T157" s="1064"/>
      <c r="U157" s="1064"/>
      <c r="V157" s="1064"/>
      <c r="W157" s="1064"/>
      <c r="X157" s="1064"/>
      <c r="Y157" s="1064"/>
      <c r="Z157" s="1064"/>
      <c r="AA157" s="1064"/>
      <c r="AB157" s="1064"/>
      <c r="AC157" s="1064"/>
      <c r="AD157" s="1064"/>
      <c r="AE157" s="1064"/>
      <c r="AF157" s="1064"/>
      <c r="AG157" s="1064"/>
      <c r="AH157" s="1064"/>
      <c r="AI157" s="1064"/>
      <c r="AJ157" s="1064"/>
      <c r="AK157" s="1064"/>
      <c r="AL157" s="1064"/>
      <c r="AM157" s="1064"/>
      <c r="AN157" s="1064"/>
      <c r="AO157" s="1064"/>
      <c r="AP157" s="1064"/>
      <c r="AQ157" s="1064"/>
      <c r="AU157" s="1064"/>
      <c r="AV157" s="1064"/>
      <c r="AW157" s="1064"/>
      <c r="AX157" s="1064"/>
      <c r="AY157" s="1064"/>
      <c r="AZ157" s="1064"/>
      <c r="BA157" s="1064"/>
      <c r="BB157" s="1064"/>
      <c r="BC157" s="1064"/>
      <c r="BD157" s="1064"/>
      <c r="BE157" s="1064"/>
    </row>
    <row r="158" spans="1:57" s="395" customFormat="1" x14ac:dyDescent="0.2">
      <c r="A158" s="395" t="s">
        <v>274</v>
      </c>
      <c r="D158" s="396"/>
      <c r="E158" s="396"/>
      <c r="F158" s="396"/>
      <c r="G158" s="396"/>
      <c r="H158" s="396"/>
      <c r="I158" s="396"/>
      <c r="J158" s="396"/>
      <c r="K158" s="396"/>
      <c r="L158" s="396"/>
      <c r="M158" s="396"/>
      <c r="N158" s="396"/>
      <c r="O158" s="396"/>
      <c r="P158" s="396"/>
      <c r="Q158" s="396"/>
      <c r="R158" s="396"/>
      <c r="S158" s="396"/>
      <c r="T158" s="396"/>
      <c r="U158" s="396"/>
      <c r="V158" s="396"/>
      <c r="W158" s="396"/>
      <c r="X158" s="396"/>
      <c r="Y158" s="396"/>
      <c r="Z158" s="396"/>
      <c r="AA158" s="396"/>
      <c r="AB158" s="396"/>
      <c r="AC158" s="396"/>
      <c r="AD158" s="396"/>
      <c r="AE158" s="396"/>
      <c r="AF158" s="396"/>
      <c r="AG158" s="396"/>
      <c r="AH158" s="396"/>
      <c r="AI158" s="396"/>
      <c r="AJ158" s="396"/>
      <c r="AK158" s="396"/>
      <c r="AL158" s="396"/>
      <c r="AM158" s="396"/>
      <c r="AN158" s="396"/>
      <c r="AO158" s="396"/>
      <c r="AP158" s="396"/>
      <c r="AQ158" s="396"/>
      <c r="AR158" s="396"/>
      <c r="AS158" s="396"/>
      <c r="AT158" s="396"/>
      <c r="AU158" s="396"/>
      <c r="AV158" s="396"/>
      <c r="AW158" s="396"/>
      <c r="AX158" s="396"/>
      <c r="AY158" s="396"/>
      <c r="AZ158" s="396"/>
      <c r="BA158" s="396"/>
      <c r="BB158" s="396"/>
      <c r="BC158" s="396"/>
      <c r="BD158" s="396"/>
      <c r="BE158" s="396"/>
    </row>
    <row r="159" spans="1:57" x14ac:dyDescent="0.2">
      <c r="A159" s="238" t="s">
        <v>735</v>
      </c>
      <c r="B159" s="238"/>
      <c r="C159" s="238"/>
      <c r="D159" s="32" t="s">
        <v>229</v>
      </c>
      <c r="E159" s="66">
        <f>Model!E889/Model!D889-1</f>
        <v>1.2502731251409216E-3</v>
      </c>
      <c r="F159" s="66">
        <f>Model!F889/Model!E889-1</f>
        <v>-2.4700710517068236E-3</v>
      </c>
      <c r="G159" s="66">
        <f>Model!G889/Model!F889-1</f>
        <v>-6.8282924380907994E-3</v>
      </c>
      <c r="H159" s="66">
        <f>Model!H889/Model!G889-1</f>
        <v>-6.8992463946261351E-3</v>
      </c>
      <c r="I159" s="66">
        <f>Model!I889/Model!H889-1</f>
        <v>6.8553131850099813E-3</v>
      </c>
      <c r="J159" s="66">
        <f>Model!J889/Model!I889-1</f>
        <v>-1.4043453311340159E-2</v>
      </c>
      <c r="K159" s="66">
        <f>Model!K889/Model!J889-1</f>
        <v>1.5632762197913541E-2</v>
      </c>
      <c r="L159" s="66">
        <f>Model!L889/Model!K889-1</f>
        <v>-2.0338629489274895E-3</v>
      </c>
      <c r="M159" s="66">
        <f>Model!M889/Model!L889-1</f>
        <v>1.3673213559570518E-2</v>
      </c>
      <c r="N159" s="66">
        <f>Model!N889/Model!M889-1</f>
        <v>-6.9221539145248867E-3</v>
      </c>
      <c r="O159" s="66">
        <f>Model!O889/Model!N889-1</f>
        <v>-9.3087891413967672E-3</v>
      </c>
      <c r="P159" s="66">
        <f>Model!P889/Model!O889-1</f>
        <v>-2.1095653786990853E-2</v>
      </c>
      <c r="Q159" s="66">
        <f>Model!Q889/Model!P889-1</f>
        <v>-1.4397200298280621E-3</v>
      </c>
      <c r="R159" s="66">
        <f>Model!R889/Model!Q889-1</f>
        <v>-1.282951811979971E-2</v>
      </c>
      <c r="S159" s="66">
        <f>Model!S889/Model!R889-1</f>
        <v>-1.8264161872079687E-2</v>
      </c>
      <c r="T159" s="66">
        <f>Model!T889/Model!S889-1</f>
        <v>-6.5255592882410562E-3</v>
      </c>
      <c r="U159" s="66">
        <f>Model!U889/Model!T889-1</f>
        <v>2.0884049178691244E-2</v>
      </c>
      <c r="V159" s="66">
        <f>Model!V889/Model!U889-1</f>
        <v>9.8660909618608628E-3</v>
      </c>
      <c r="W159" s="66">
        <f>Model!W889/Model!V889-1</f>
        <v>-3.1502153009216327E-3</v>
      </c>
      <c r="X159" s="66">
        <f>Model!X889/Model!W889-1</f>
        <v>1.1925207014519934E-2</v>
      </c>
      <c r="Y159" s="66">
        <f>Model!Y889/Model!X889-1</f>
        <v>2.3106597410461172E-2</v>
      </c>
      <c r="Z159" s="66">
        <f>Model!Z889/Model!Y889-1</f>
        <v>1.467376627469652E-2</v>
      </c>
      <c r="AA159" s="66">
        <f>Model!AA889/Model!Z889-1</f>
        <v>1.503950151272293E-2</v>
      </c>
      <c r="AB159" s="66">
        <f>Model!AB889/Model!AA889-1</f>
        <v>9.2501968002727253E-3</v>
      </c>
      <c r="AC159" s="66">
        <f>Model!AC889/Model!AB889-1</f>
        <v>4.0767001728929664E-3</v>
      </c>
      <c r="AD159" s="66">
        <f>Model!AD889/Model!AC889-1</f>
        <v>4.5621834267235428E-3</v>
      </c>
      <c r="AE159" s="66">
        <f>Model!AE889/Model!AD889-1</f>
        <v>6.0352535448748856E-3</v>
      </c>
      <c r="AF159" s="66">
        <f>Model!AF889/Model!AE889-1</f>
        <v>6.2069944901383955E-3</v>
      </c>
      <c r="AG159" s="66">
        <f>Model!AG889/Model!AF889-1</f>
        <v>7.7196043337670606E-3</v>
      </c>
      <c r="AH159" s="66">
        <f>Model!AH889/Model!AG889-1</f>
        <v>1.0231691821682487E-2</v>
      </c>
      <c r="AI159" s="66">
        <f>Model!AI889/Model!AH889-1</f>
        <v>1.1766781028700102E-2</v>
      </c>
      <c r="AJ159" s="66"/>
      <c r="AK159" s="66"/>
      <c r="AL159" s="66"/>
      <c r="AM159" s="66"/>
      <c r="AN159" s="66"/>
      <c r="AO159" s="66"/>
      <c r="AP159" s="66"/>
      <c r="AQ159" s="66"/>
      <c r="AU159" s="66" t="s">
        <v>229</v>
      </c>
      <c r="AV159" s="66">
        <f>Model!AV889/Model!AU889-1</f>
        <v>-1.0982437317199834E-2</v>
      </c>
      <c r="AW159" s="66">
        <f>Model!AW889/Model!AV889-1</f>
        <v>8.6467008402861811E-3</v>
      </c>
      <c r="AX159" s="66">
        <f>Model!AX889/Model!AW889-1</f>
        <v>-3.9683373821588486E-2</v>
      </c>
      <c r="AY159" s="66">
        <f>Model!AY889/Model!AX889-1</f>
        <v>-7.553860625114206E-3</v>
      </c>
      <c r="AZ159" s="66">
        <f>Model!AZ889/Model!AY889-1</f>
        <v>4.8990739655742299E-2</v>
      </c>
      <c r="BA159" s="66">
        <f>Model!BA889/Model!AZ889-1</f>
        <v>4.0871155963311034E-2</v>
      </c>
      <c r="BB159" s="66">
        <f>Model!BB889/Model!BA889-1</f>
        <v>2.8213010868165966E-2</v>
      </c>
      <c r="BC159" s="66">
        <f>Model!BC889/Model!BB889-1</f>
        <v>2.6855249536858583E-2</v>
      </c>
      <c r="BD159" s="66">
        <f>Model!BD889/Model!BC889-1</f>
        <v>3.3963507354545452E-2</v>
      </c>
      <c r="BE159" s="66">
        <f>Model!BE889/Model!BD889-1</f>
        <v>3.2515303954525399E-2</v>
      </c>
    </row>
    <row r="160" spans="1:57" x14ac:dyDescent="0.2">
      <c r="A160" s="238" t="s">
        <v>736</v>
      </c>
      <c r="B160" s="238"/>
      <c r="C160" s="238"/>
      <c r="D160" s="32" t="s">
        <v>229</v>
      </c>
      <c r="E160" s="66">
        <f>Model!E896/Model!D896-1</f>
        <v>2.2491892457370266E-3</v>
      </c>
      <c r="F160" s="66">
        <f>Model!F896/Model!E896-1</f>
        <v>-3.4966859767235903E-3</v>
      </c>
      <c r="G160" s="66">
        <f>Model!G896/Model!F896-1</f>
        <v>-2.0948989211270197E-3</v>
      </c>
      <c r="H160" s="66">
        <f>Model!H896/Model!G896-1</f>
        <v>-9.7617298205101566E-3</v>
      </c>
      <c r="I160" s="66">
        <f>Model!I896/Model!H896-1</f>
        <v>6.412974348102507E-3</v>
      </c>
      <c r="J160" s="66">
        <f>Model!J896/Model!I896-1</f>
        <v>-2.2012744220338054E-2</v>
      </c>
      <c r="K160" s="66">
        <f>Model!K896/Model!J896-1</f>
        <v>1.66388455118196E-2</v>
      </c>
      <c r="L160" s="66">
        <f>Model!L896/Model!K896-1</f>
        <v>1.5889830508464264E-4</v>
      </c>
      <c r="M160" s="66">
        <f>Model!M896/Model!L896-1</f>
        <v>7.9436530212360079E-3</v>
      </c>
      <c r="N160" s="66">
        <f>Model!N896/Model!M896-1</f>
        <v>-4.1506856512373291E-3</v>
      </c>
      <c r="O160" s="66">
        <f>Model!O896/Model!N896-1</f>
        <v>2.5324469768914781E-3</v>
      </c>
      <c r="P160" s="66">
        <f>Model!P896/Model!O896-1</f>
        <v>-2.478686454057466E-2</v>
      </c>
      <c r="Q160" s="66">
        <f>Model!Q896/Model!P896-1</f>
        <v>-7.2311262209271421E-3</v>
      </c>
      <c r="R160" s="66">
        <f>Model!R896/Model!Q896-1</f>
        <v>-1.1577974669783164E-2</v>
      </c>
      <c r="S160" s="66">
        <f>Model!S896/Model!R896-1</f>
        <v>-1.8752749670039592E-2</v>
      </c>
      <c r="T160" s="66">
        <f>Model!T896/Model!S896-1</f>
        <v>-3.7549739393599735E-3</v>
      </c>
      <c r="U160" s="66">
        <f>Model!U896/Model!T896-1</f>
        <v>1.6707920792079278E-2</v>
      </c>
      <c r="V160" s="66">
        <f>Model!V896/Model!U896-1</f>
        <v>1.2670834947158705E-2</v>
      </c>
      <c r="W160" s="66">
        <f>Model!W896/Model!V896-1</f>
        <v>-5.6824390776963885E-3</v>
      </c>
      <c r="X160" s="66">
        <f>Model!X896/Model!W896-1</f>
        <v>5.9347181008901906E-3</v>
      </c>
      <c r="Y160" s="66">
        <f>Model!Y896/Model!X896-1</f>
        <v>2.1085982737900189E-2</v>
      </c>
      <c r="Z160" s="66">
        <f>Model!Z896/Model!Y896-1</f>
        <v>1.2358228118981351E-2</v>
      </c>
      <c r="AA160" s="66">
        <f>Model!AA896/Model!Z896-1</f>
        <v>9.1951593299159917E-3</v>
      </c>
      <c r="AB160" s="66">
        <f>Model!AB896/Model!AA896-1</f>
        <v>-2.880033513117275E-3</v>
      </c>
      <c r="AC160" s="66">
        <f>Model!AC896/Model!AB896-1</f>
        <v>4.0750880281130719E-3</v>
      </c>
      <c r="AD160" s="66">
        <f>Model!AD896/Model!AC896-1</f>
        <v>4.4189456960941342E-3</v>
      </c>
      <c r="AE160" s="66">
        <f>Model!AE896/Model!AD896-1</f>
        <v>5.8733101422474565E-3</v>
      </c>
      <c r="AF160" s="66">
        <f>Model!AF896/Model!AE896-1</f>
        <v>6.0458267924732301E-3</v>
      </c>
      <c r="AG160" s="66">
        <f>Model!AG896/Model!AF896-1</f>
        <v>7.5487543095031917E-3</v>
      </c>
      <c r="AH160" s="66">
        <f>Model!AH896/Model!AG896-1</f>
        <v>1.0035057894270949E-2</v>
      </c>
      <c r="AI160" s="66">
        <f>Model!AI896/Model!AH896-1</f>
        <v>1.1554884154225231E-2</v>
      </c>
      <c r="AJ160" s="66"/>
      <c r="AK160" s="66"/>
      <c r="AL160" s="66"/>
      <c r="AM160" s="66"/>
      <c r="AN160" s="66"/>
      <c r="AO160" s="66"/>
      <c r="AP160" s="66"/>
      <c r="AQ160" s="66"/>
      <c r="AU160" s="66" t="s">
        <v>229</v>
      </c>
      <c r="AV160" s="66">
        <f>Model!AV896/Model!AU896-1</f>
        <v>-1.4641422533921311E-2</v>
      </c>
      <c r="AW160" s="66">
        <f>Model!AW896/Model!AV896-1</f>
        <v>7.4892441706060353E-3</v>
      </c>
      <c r="AX160" s="66">
        <f>Model!AX896/Model!AW896-1</f>
        <v>-3.8446330662167849E-2</v>
      </c>
      <c r="AY160" s="66">
        <f>Model!AY896/Model!AX896-1</f>
        <v>-8.3064903022410652E-3</v>
      </c>
      <c r="AZ160" s="66">
        <f>Model!AZ896/Model!AY896-1</f>
        <v>3.689062737563753E-2</v>
      </c>
      <c r="BA160" s="66">
        <f>Model!BA896/Model!AZ896-1</f>
        <v>2.2188834180178585E-2</v>
      </c>
      <c r="BB160" s="66">
        <f>Model!BB896/Model!BA896-1</f>
        <v>2.7564216277167652E-2</v>
      </c>
      <c r="BC160" s="66">
        <f>Model!BC896/Model!BB896-1</f>
        <v>2.6152383756319786E-2</v>
      </c>
      <c r="BD160" s="66">
        <f>Model!BD896/Model!BC896-1</f>
        <v>3.3192264433851371E-2</v>
      </c>
      <c r="BE160" s="66">
        <f>Model!BE896/Model!BD896-1</f>
        <v>3.1740615776852277E-2</v>
      </c>
    </row>
    <row r="161" spans="1:57" x14ac:dyDescent="0.2">
      <c r="A161" s="238" t="s">
        <v>737</v>
      </c>
      <c r="B161" s="238"/>
      <c r="C161" s="238"/>
      <c r="D161" s="26">
        <f>Model!D1501</f>
        <v>0.65032209977106958</v>
      </c>
      <c r="E161" s="26">
        <f>Model!E1501</f>
        <v>0.63411410141172742</v>
      </c>
      <c r="F161" s="26">
        <f>Model!F1501</f>
        <v>0.65651631113282305</v>
      </c>
      <c r="G161" s="26">
        <f>Model!G1501</f>
        <v>0.76116838487972505</v>
      </c>
      <c r="H161" s="26">
        <f>Model!H1501</f>
        <v>0.60478393542671527</v>
      </c>
      <c r="I161" s="26">
        <f>Model!I1501</f>
        <v>0.58998640248640244</v>
      </c>
      <c r="J161" s="26">
        <f>Model!J1501</f>
        <v>0.65096705869238058</v>
      </c>
      <c r="K161" s="26">
        <f>Model!K1501</f>
        <v>0.68774128573826443</v>
      </c>
      <c r="L161" s="26">
        <f>Model!L1501</f>
        <v>0.60125705236068494</v>
      </c>
      <c r="M161" s="26">
        <f>Model!M1501</f>
        <v>0.79902187902187904</v>
      </c>
      <c r="N161" s="26">
        <f>Model!N1501</f>
        <v>0.65798161409924327</v>
      </c>
      <c r="O161" s="26">
        <f>Model!O1501</f>
        <v>0.80596681378847979</v>
      </c>
      <c r="P161" s="26">
        <f>Model!P1501</f>
        <v>0.55147952979327119</v>
      </c>
      <c r="Q161" s="26">
        <f>Model!Q1501</f>
        <v>0.56127375449409345</v>
      </c>
      <c r="R161" s="26">
        <f>Model!R1501</f>
        <v>0.57077894286325703</v>
      </c>
      <c r="S161" s="26">
        <f>Model!S1501</f>
        <v>0.60327264846120499</v>
      </c>
      <c r="T161" s="26">
        <f>Model!T1501</f>
        <v>0.59943036172030761</v>
      </c>
      <c r="U161" s="26">
        <f>Model!U1501</f>
        <v>0.5908935491224071</v>
      </c>
      <c r="V161" s="26">
        <f>Model!V1501</f>
        <v>0.58581081081081077</v>
      </c>
      <c r="W161" s="26">
        <f>Model!W1501</f>
        <v>0.59487420644251121</v>
      </c>
      <c r="X161" s="26">
        <f>Model!X1501</f>
        <v>0.58385059348796686</v>
      </c>
      <c r="Y161" s="26">
        <f>Model!Y1501</f>
        <v>0.59267419443679425</v>
      </c>
      <c r="Z161" s="26">
        <f>Model!Z1501</f>
        <v>0.58133824432166969</v>
      </c>
      <c r="AA161" s="26">
        <f>Model!AA1501</f>
        <v>0.59026508226691043</v>
      </c>
      <c r="AB161" s="26">
        <f>Model!AB1501</f>
        <v>0.57889995760915647</v>
      </c>
      <c r="AC161" s="26">
        <f>Model!AC1501</f>
        <v>0.5721316164925293</v>
      </c>
      <c r="AD161" s="26">
        <f>Model!AD1501</f>
        <v>0.5637407312471443</v>
      </c>
      <c r="AE161" s="26">
        <f>Model!AE1501</f>
        <v>0.55884751382360542</v>
      </c>
      <c r="AF161" s="26">
        <f>Model!AF1501</f>
        <v>0.55538406716403421</v>
      </c>
      <c r="AG161" s="26">
        <f>Model!AG1501</f>
        <v>0.54666711852379291</v>
      </c>
      <c r="AH161" s="26">
        <f>Model!AH1501</f>
        <v>0.54328167592256982</v>
      </c>
      <c r="AI161" s="26">
        <f>Model!AI1501</f>
        <v>0.54021674786227802</v>
      </c>
      <c r="AJ161" s="26"/>
      <c r="AK161" s="26"/>
      <c r="AL161" s="26"/>
      <c r="AM161" s="26"/>
      <c r="AN161" s="26"/>
      <c r="AO161" s="26"/>
      <c r="AP161" s="26"/>
      <c r="AQ161" s="26"/>
      <c r="AU161" s="26">
        <f>Model!AU1501</f>
        <v>0.67469424630196462</v>
      </c>
      <c r="AV161" s="26">
        <f>Model!AV1501</f>
        <v>0.63093686460559928</v>
      </c>
      <c r="AW161" s="26">
        <f>Model!AW1501</f>
        <v>0.71292039523951356</v>
      </c>
      <c r="AX161" s="26">
        <f>Model!AX1501</f>
        <v>0.57122089216020122</v>
      </c>
      <c r="AY161" s="26">
        <f>Model!AY1501</f>
        <v>0.5927155635062612</v>
      </c>
      <c r="AZ161" s="26">
        <f>Model!AZ1501</f>
        <v>0.5870121205381964</v>
      </c>
      <c r="BA161" s="26">
        <f>Model!BA1501</f>
        <v>0.56842829745044865</v>
      </c>
      <c r="BB161" s="26">
        <f>Model!BB1501</f>
        <v>0.54641575806059506</v>
      </c>
      <c r="BC161" s="26">
        <f>Model!BC1501</f>
        <v>0.53021332017889067</v>
      </c>
      <c r="BD161" s="26">
        <f>Model!BD1501</f>
        <v>0.52024495848070829</v>
      </c>
      <c r="BE161" s="26">
        <f>Model!BE1501</f>
        <v>0.51564280395471329</v>
      </c>
    </row>
    <row r="162" spans="1:57" x14ac:dyDescent="0.2">
      <c r="A162" s="238" t="s">
        <v>668</v>
      </c>
      <c r="B162" s="238"/>
      <c r="C162" s="238"/>
      <c r="D162" s="26">
        <f>Model!D1498</f>
        <v>0.31487255629794603</v>
      </c>
      <c r="E162" s="26">
        <f>Model!E1498</f>
        <v>0.32284505552617665</v>
      </c>
      <c r="F162" s="26">
        <f>Model!F1498</f>
        <v>0.3156237092110698</v>
      </c>
      <c r="G162" s="26">
        <f>Model!G1498</f>
        <v>0.35042872454448015</v>
      </c>
      <c r="H162" s="26">
        <f>Model!H1498</f>
        <v>0.30509535734925836</v>
      </c>
      <c r="I162" s="26">
        <f>Model!I1498</f>
        <v>0.29989633213210248</v>
      </c>
      <c r="J162" s="26">
        <f>Model!J1498</f>
        <v>0.31670470601021627</v>
      </c>
      <c r="K162" s="26">
        <f>Model!K1498</f>
        <v>0.3154040960140938</v>
      </c>
      <c r="L162" s="26">
        <f>Model!L1498</f>
        <v>0.2956658631376986</v>
      </c>
      <c r="M162" s="26">
        <f>Model!M1498</f>
        <v>0.30788089279329894</v>
      </c>
      <c r="N162" s="26">
        <f>Model!N1498</f>
        <v>0.30291319857312721</v>
      </c>
      <c r="O162" s="26">
        <f>Model!O1498</f>
        <v>0.3223246003552398</v>
      </c>
      <c r="P162" s="26">
        <f>Model!P1498</f>
        <v>0.2769416014449127</v>
      </c>
      <c r="Q162" s="26">
        <f>Model!Q1498</f>
        <v>0.28431423386051335</v>
      </c>
      <c r="R162" s="26">
        <f>Model!R1498</f>
        <v>0.28589082312486569</v>
      </c>
      <c r="S162" s="26">
        <f>Model!S1498</f>
        <v>0.29016786570743403</v>
      </c>
      <c r="T162" s="26">
        <f>Model!T1498</f>
        <v>0.31436007694919088</v>
      </c>
      <c r="U162" s="26">
        <f>Model!U1498</f>
        <v>0.29604257487403046</v>
      </c>
      <c r="V162" s="26">
        <f>Model!V1498</f>
        <v>0.29109320801163702</v>
      </c>
      <c r="W162" s="26">
        <f>Model!W1498</f>
        <v>0.29091970802919709</v>
      </c>
      <c r="X162" s="26">
        <f>Model!X1498</f>
        <v>0.2993131050895127</v>
      </c>
      <c r="Y162" s="26">
        <f>Model!Y1498</f>
        <v>0.29890025715379986</v>
      </c>
      <c r="Z162" s="26">
        <f>Model!Z1498</f>
        <v>0.28605328443533601</v>
      </c>
      <c r="AA162" s="26">
        <f>Model!AA1498</f>
        <v>0.27676950998185118</v>
      </c>
      <c r="AB162" s="26">
        <f>Model!AB1498</f>
        <v>0.30666455428812844</v>
      </c>
      <c r="AC162" s="26">
        <f>Model!AC1498</f>
        <v>0.28999999999999998</v>
      </c>
      <c r="AD162" s="26">
        <f>Model!AD1498</f>
        <v>0.28999999999999998</v>
      </c>
      <c r="AE162" s="26">
        <f>Model!AE1498</f>
        <v>0.28000000000000003</v>
      </c>
      <c r="AF162" s="26">
        <f>Model!AF1498</f>
        <v>0.28999999999999998</v>
      </c>
      <c r="AG162" s="26">
        <f>Model!AG1498</f>
        <v>0.27500000000000002</v>
      </c>
      <c r="AH162" s="26">
        <f>Model!AH1498</f>
        <v>0.27500000000000002</v>
      </c>
      <c r="AI162" s="26">
        <f>Model!AI1498</f>
        <v>0.27500000000000002</v>
      </c>
      <c r="AJ162" s="26"/>
      <c r="AK162" s="26"/>
      <c r="AL162" s="26"/>
      <c r="AM162" s="26"/>
      <c r="AN162" s="26"/>
      <c r="AO162" s="26"/>
      <c r="AP162" s="26"/>
      <c r="AQ162" s="26"/>
      <c r="AU162" s="26">
        <f>Model!AU1498</f>
        <v>0.32561606367395618</v>
      </c>
      <c r="AV162" s="26">
        <f>Model!AV1498</f>
        <v>0.30890484230605642</v>
      </c>
      <c r="AW162" s="26">
        <f>Model!AW1498</f>
        <v>0.30674980155173737</v>
      </c>
      <c r="AX162" s="26">
        <f>Model!AX1498</f>
        <v>0.2842128626263154</v>
      </c>
      <c r="AY162" s="26">
        <f>Model!AY1498</f>
        <v>0.2981403548680619</v>
      </c>
      <c r="AZ162" s="26">
        <f>Model!AZ1498</f>
        <v>0.29038936111872771</v>
      </c>
      <c r="BA162" s="26">
        <f>Model!BA1498</f>
        <v>0.2916894088390104</v>
      </c>
      <c r="BB162" s="26">
        <f>Model!BB1498</f>
        <v>0.27875398090450626</v>
      </c>
      <c r="BC162" s="26">
        <f>Model!BC1498</f>
        <v>0.28000000000000003</v>
      </c>
      <c r="BD162" s="26">
        <f>Model!BD1498</f>
        <v>0.28000000000000003</v>
      </c>
      <c r="BE162" s="26">
        <f>Model!BE1498</f>
        <v>0.28000000000000003</v>
      </c>
    </row>
    <row r="163" spans="1:57" x14ac:dyDescent="0.2">
      <c r="A163" s="238" t="s">
        <v>738</v>
      </c>
      <c r="B163" s="238"/>
      <c r="C163" s="238"/>
      <c r="D163" s="26">
        <f>Model!D1497</f>
        <v>0.60455332838406339</v>
      </c>
      <c r="E163" s="26">
        <f>Model!E1497</f>
        <v>0.63421470121628765</v>
      </c>
      <c r="F163" s="26">
        <f>Model!F1497</f>
        <v>0.62448368442792235</v>
      </c>
      <c r="G163" s="26">
        <f>Model!G1497</f>
        <v>0.73595927116827442</v>
      </c>
      <c r="H163" s="26">
        <f>Model!H1497</f>
        <v>0.59179348873049509</v>
      </c>
      <c r="I163" s="26">
        <f>Model!I1497</f>
        <v>0.59974329861282516</v>
      </c>
      <c r="J163" s="26">
        <f>Model!J1497</f>
        <v>0.63465927616563422</v>
      </c>
      <c r="K163" s="26">
        <f>Model!K1497</f>
        <v>0.67672318872495041</v>
      </c>
      <c r="L163" s="26">
        <f>Model!L1497</f>
        <v>0.59767796526787031</v>
      </c>
      <c r="M163" s="26">
        <f>Model!M1497</f>
        <v>0.79273711629807442</v>
      </c>
      <c r="N163" s="26">
        <f>Model!N1497</f>
        <v>0.64184502576298053</v>
      </c>
      <c r="O163" s="26">
        <f>Model!O1497</f>
        <v>0.80073268206039072</v>
      </c>
      <c r="P163" s="26">
        <f>Model!P1497</f>
        <v>0.54605659241420834</v>
      </c>
      <c r="Q163" s="26">
        <f>Model!Q1497</f>
        <v>0.56665802437127299</v>
      </c>
      <c r="R163" s="26">
        <f>Model!R1497</f>
        <v>0.5732323232323232</v>
      </c>
      <c r="S163" s="26">
        <f>Model!S1497</f>
        <v>0.5933386624034106</v>
      </c>
      <c r="T163" s="26">
        <f>Model!T1497</f>
        <v>0.59539436460337214</v>
      </c>
      <c r="U163" s="26">
        <f>Model!U1497</f>
        <v>0.58704636811413691</v>
      </c>
      <c r="V163" s="26">
        <f>Model!V1497</f>
        <v>0.58207452165156093</v>
      </c>
      <c r="W163" s="26">
        <f>Model!W1497</f>
        <v>0.59094890510948905</v>
      </c>
      <c r="X163" s="26">
        <f>Model!X1497</f>
        <v>0.57996646654767703</v>
      </c>
      <c r="Y163" s="26">
        <f>Model!Y1497</f>
        <v>0.58871806095092194</v>
      </c>
      <c r="Z163" s="26">
        <f>Model!Z1497</f>
        <v>0.56180563046057597</v>
      </c>
      <c r="AA163" s="26">
        <f>Model!AA1497</f>
        <v>0.58598003629764062</v>
      </c>
      <c r="AB163" s="26">
        <f>Model!AB1497</f>
        <v>0.57694338825517533</v>
      </c>
      <c r="AC163" s="26">
        <f>Model!AC1497</f>
        <v>0.56984924745973697</v>
      </c>
      <c r="AD163" s="26">
        <f>Model!AD1497</f>
        <v>0.56150372900345413</v>
      </c>
      <c r="AE163" s="26">
        <f>Model!AE1497</f>
        <v>0.55649865646265517</v>
      </c>
      <c r="AF163" s="26">
        <f>Model!AF1497</f>
        <v>0.5535819993500094</v>
      </c>
      <c r="AG163" s="26">
        <f>Model!AG1497</f>
        <v>0.54456025695188559</v>
      </c>
      <c r="AH163" s="26">
        <f>Model!AH1497</f>
        <v>0.54117824397828829</v>
      </c>
      <c r="AI163" s="26">
        <f>Model!AI1497</f>
        <v>0.53798384291471413</v>
      </c>
      <c r="AJ163" s="26"/>
      <c r="AK163" s="26"/>
      <c r="AL163" s="26"/>
      <c r="AM163" s="26"/>
      <c r="AN163" s="26"/>
      <c r="AO163" s="26"/>
      <c r="AP163" s="26"/>
      <c r="AQ163" s="26"/>
      <c r="AU163" s="26">
        <f>Model!AU1497</f>
        <v>0.64861361367849324</v>
      </c>
      <c r="AV163" s="26">
        <f>Model!AV1497</f>
        <v>0.62391895549512155</v>
      </c>
      <c r="AW163" s="26">
        <f>Model!AW1497</f>
        <v>0.70482421324866207</v>
      </c>
      <c r="AX163" s="26">
        <f>Model!AX1497</f>
        <v>0.56943102592892392</v>
      </c>
      <c r="AY163" s="26">
        <f>Model!AY1497</f>
        <v>0.5888307552320291</v>
      </c>
      <c r="AZ163" s="26">
        <f>Model!AZ1497</f>
        <v>0.5789964354263778</v>
      </c>
      <c r="BA163" s="26">
        <f>Model!BA1497</f>
        <v>0.56622010871879858</v>
      </c>
      <c r="BB163" s="26">
        <f>Model!BB1497</f>
        <v>0.54435333801517327</v>
      </c>
      <c r="BC163" s="26">
        <f>Model!BC1497</f>
        <v>0.52826300232049883</v>
      </c>
      <c r="BD163" s="26">
        <f>Model!BD1497</f>
        <v>0.51836296122826386</v>
      </c>
      <c r="BE163" s="26">
        <f>Model!BE1497</f>
        <v>0.51380594105829758</v>
      </c>
    </row>
    <row r="164" spans="1:57" x14ac:dyDescent="0.2">
      <c r="A164" s="238" t="s">
        <v>208</v>
      </c>
      <c r="B164" s="238"/>
      <c r="C164" s="238"/>
      <c r="D164" s="67">
        <f>Model!D1067</f>
        <v>2.8375507959440879E-2</v>
      </c>
      <c r="E164" s="67">
        <f>Model!E1067</f>
        <v>2.7644128976504569E-2</v>
      </c>
      <c r="F164" s="67">
        <f>Model!F1067</f>
        <v>2.8172586286806633E-2</v>
      </c>
      <c r="G164" s="67">
        <f>Model!G1067</f>
        <v>2.8769806579457054E-2</v>
      </c>
      <c r="H164" s="67">
        <f>Model!H1067</f>
        <v>2.8816832454082859E-2</v>
      </c>
      <c r="I164" s="67">
        <f>Model!I1067</f>
        <v>2.8467425662576599E-2</v>
      </c>
      <c r="J164" s="67">
        <f>Model!J1067</f>
        <v>2.8104979749729267E-2</v>
      </c>
      <c r="K164" s="67">
        <f>Model!K1067</f>
        <v>2.8768720236064561E-2</v>
      </c>
      <c r="L164" s="67">
        <f>Model!L1067</f>
        <v>2.8956404702187681E-2</v>
      </c>
      <c r="M164" s="67">
        <f>Model!M1067</f>
        <v>2.8679715218490123E-2</v>
      </c>
      <c r="N164" s="67">
        <f>Model!N1067</f>
        <v>2.9143326681054238E-2</v>
      </c>
      <c r="O164" s="67">
        <f>Model!O1067</f>
        <v>2.9211667653803959E-2</v>
      </c>
      <c r="P164" s="67">
        <f>Model!P1067</f>
        <v>2.9181846620732348E-2</v>
      </c>
      <c r="Q164" s="67">
        <f>Model!Q1067</f>
        <v>2.9530509195642873E-2</v>
      </c>
      <c r="R164" s="67">
        <f>Model!R1067</f>
        <v>2.9440562653397426E-2</v>
      </c>
      <c r="S164" s="67">
        <f>Model!S1067</f>
        <v>2.9236611673716727E-2</v>
      </c>
      <c r="T164" s="67">
        <f>Model!T1067</f>
        <v>2.920295978144679E-2</v>
      </c>
      <c r="U164" s="67">
        <f>Model!U1067</f>
        <v>2.8618165873362824E-2</v>
      </c>
      <c r="V164" s="67">
        <f>Model!V1067</f>
        <v>2.8628149989273478E-2</v>
      </c>
      <c r="W164" s="67">
        <f>Model!W1067</f>
        <v>2.793085814934675E-2</v>
      </c>
      <c r="X164" s="67">
        <f>Model!X1067</f>
        <v>2.7646348108086229E-2</v>
      </c>
      <c r="Y164" s="67">
        <f>Model!Y1067</f>
        <v>2.7453574941977331E-2</v>
      </c>
      <c r="Z164" s="67">
        <f>Model!Z1067</f>
        <v>2.741623582479381E-2</v>
      </c>
      <c r="AA164" s="67">
        <f>Model!AA1067</f>
        <v>2.6507258784208485E-2</v>
      </c>
      <c r="AB164" s="67">
        <f>Model!AB1067</f>
        <v>2.6366897936521527E-2</v>
      </c>
      <c r="AC164" s="67">
        <f>Model!AC1067</f>
        <v>2.6504270143807476E-2</v>
      </c>
      <c r="AD164" s="67">
        <f>Model!AD1067</f>
        <v>2.6976647531188856E-2</v>
      </c>
      <c r="AE164" s="67">
        <f>Model!AE1067</f>
        <v>2.7505173411769803E-2</v>
      </c>
      <c r="AF164" s="67">
        <f>Model!AF1067</f>
        <v>2.76137605636942E-2</v>
      </c>
      <c r="AG164" s="67">
        <f>Model!AG1067</f>
        <v>2.7878678964346846E-2</v>
      </c>
      <c r="AH164" s="67">
        <f>Model!AH1067</f>
        <v>2.8370106514149743E-2</v>
      </c>
      <c r="AI164" s="67">
        <f>Model!AI1067</f>
        <v>2.883686139312585E-2</v>
      </c>
      <c r="AJ164" s="67"/>
      <c r="AK164" s="67"/>
      <c r="AL164" s="67"/>
      <c r="AM164" s="67"/>
      <c r="AN164" s="67"/>
      <c r="AO164" s="67"/>
      <c r="AP164" s="67"/>
      <c r="AQ164" s="67"/>
      <c r="AR164" s="67"/>
      <c r="AS164" s="67"/>
      <c r="AT164" s="67"/>
      <c r="AU164" s="67">
        <f>Model!AU1067</f>
        <v>2.8240126984524692E-2</v>
      </c>
      <c r="AV164" s="67">
        <f>Model!AV1067</f>
        <v>2.8539239871454593E-2</v>
      </c>
      <c r="AW164" s="67">
        <f>Model!AW1067</f>
        <v>2.8997853267812578E-2</v>
      </c>
      <c r="AX164" s="67">
        <f>Model!AX1067</f>
        <v>2.934548983721548E-2</v>
      </c>
      <c r="AY164" s="67">
        <f>Model!AY1067</f>
        <v>2.8590624640675959E-2</v>
      </c>
      <c r="AZ164" s="67">
        <f>Model!AZ1067</f>
        <v>2.725057887366826E-2</v>
      </c>
      <c r="BA164" s="67">
        <f>Model!BA1067</f>
        <v>2.6845353044412511E-2</v>
      </c>
      <c r="BB164" s="67">
        <f>Model!BB1067</f>
        <v>2.8186531909965604E-2</v>
      </c>
      <c r="BC164" s="67">
        <f>Model!BC1067</f>
        <v>2.9211172906330306E-2</v>
      </c>
      <c r="BD164" s="67">
        <f>Model!BD1067</f>
        <v>2.9903763252624723E-2</v>
      </c>
      <c r="BE164" s="67">
        <f>Model!BE1067</f>
        <v>3.0491246511116343E-2</v>
      </c>
    </row>
    <row r="165" spans="1:57" x14ac:dyDescent="0.2">
      <c r="A165" s="238"/>
      <c r="B165" s="238"/>
      <c r="C165" s="238"/>
    </row>
    <row r="166" spans="1:57" s="395" customFormat="1" x14ac:dyDescent="0.2">
      <c r="A166" s="395" t="s">
        <v>739</v>
      </c>
      <c r="D166" s="396"/>
      <c r="E166" s="396"/>
      <c r="F166" s="396"/>
      <c r="G166" s="396"/>
      <c r="H166" s="396"/>
      <c r="I166" s="396"/>
      <c r="J166" s="396"/>
      <c r="K166" s="396"/>
      <c r="L166" s="396"/>
      <c r="M166" s="396"/>
      <c r="N166" s="396"/>
      <c r="O166" s="396"/>
      <c r="P166" s="396"/>
      <c r="Q166" s="396"/>
      <c r="R166" s="396"/>
      <c r="S166" s="396"/>
      <c r="T166" s="396"/>
      <c r="U166" s="396"/>
      <c r="V166" s="396"/>
      <c r="W166" s="396"/>
      <c r="X166" s="396"/>
      <c r="Y166" s="396"/>
      <c r="Z166" s="396"/>
      <c r="AA166" s="396"/>
      <c r="AB166" s="396"/>
      <c r="AC166" s="396"/>
      <c r="AD166" s="396"/>
      <c r="AE166" s="396"/>
      <c r="AF166" s="396"/>
      <c r="AG166" s="396"/>
      <c r="AH166" s="396"/>
      <c r="AI166" s="396"/>
      <c r="AJ166" s="396"/>
      <c r="AK166" s="396"/>
      <c r="AL166" s="396"/>
      <c r="AM166" s="396"/>
      <c r="AN166" s="396"/>
      <c r="AO166" s="396"/>
      <c r="AP166" s="396"/>
      <c r="AQ166" s="396"/>
      <c r="AR166" s="396"/>
      <c r="AS166" s="396"/>
      <c r="AT166" s="396"/>
      <c r="AU166" s="396"/>
      <c r="AV166" s="396"/>
      <c r="AW166" s="396"/>
      <c r="AX166" s="396"/>
      <c r="AY166" s="396"/>
      <c r="AZ166" s="396"/>
      <c r="BA166" s="396"/>
      <c r="BB166" s="396"/>
      <c r="BC166" s="396"/>
      <c r="BD166" s="396"/>
      <c r="BE166" s="396"/>
    </row>
    <row r="167" spans="1:57" x14ac:dyDescent="0.2">
      <c r="A167" s="238" t="s">
        <v>740</v>
      </c>
      <c r="B167" s="238"/>
      <c r="C167" s="238"/>
      <c r="D167" s="33">
        <f>Model!D842</f>
        <v>25810</v>
      </c>
      <c r="E167" s="33">
        <f>Model!E842</f>
        <v>25483</v>
      </c>
      <c r="F167" s="33">
        <f>Model!F842</f>
        <v>25915</v>
      </c>
      <c r="G167" s="33">
        <f>Model!G842</f>
        <v>25673</v>
      </c>
      <c r="H167" s="33">
        <f>Model!H842</f>
        <v>25474</v>
      </c>
      <c r="I167" s="33">
        <f>Model!I842</f>
        <v>24896</v>
      </c>
      <c r="J167" s="33">
        <f>Model!J842</f>
        <v>25098</v>
      </c>
      <c r="K167" s="33">
        <f>Model!K842</f>
        <v>25009</v>
      </c>
      <c r="L167" s="33">
        <f>Model!L842</f>
        <v>25008</v>
      </c>
      <c r="M167" s="33">
        <f>Model!M842</f>
        <v>25087</v>
      </c>
      <c r="N167" s="33">
        <f>Model!N842</f>
        <v>24500</v>
      </c>
      <c r="O167" s="33">
        <f>Model!O842</f>
        <v>23592</v>
      </c>
      <c r="P167" s="33">
        <f>Model!P842</f>
        <v>23150</v>
      </c>
      <c r="Q167" s="33">
        <f>Model!Q842</f>
        <v>23012</v>
      </c>
      <c r="R167" s="33">
        <f>Model!R842</f>
        <v>22444</v>
      </c>
      <c r="S167" s="33">
        <f>Model!S842</f>
        <v>22349</v>
      </c>
      <c r="T167" s="33">
        <f>Model!T842</f>
        <v>22575</v>
      </c>
      <c r="U167" s="33">
        <f>Model!U842</f>
        <v>22496</v>
      </c>
      <c r="V167" s="33">
        <f>Model!V842</f>
        <v>22539</v>
      </c>
      <c r="W167" s="33">
        <f>Model!W842</f>
        <v>21659</v>
      </c>
      <c r="X167" s="33">
        <f>Model!X842</f>
        <v>22265</v>
      </c>
      <c r="Y167" s="33">
        <f>Model!Y842</f>
        <v>22349</v>
      </c>
      <c r="Z167" s="33">
        <f>Model!Z842</f>
        <v>22345</v>
      </c>
      <c r="AA167" s="33">
        <f>Model!AA842</f>
        <v>22256</v>
      </c>
      <c r="AB167" s="33">
        <f>Model!AB842</f>
        <v>22659</v>
      </c>
      <c r="AC167" s="33">
        <f>Model!AC842</f>
        <v>22659</v>
      </c>
      <c r="AD167" s="33">
        <f>Model!AD842</f>
        <v>22659</v>
      </c>
      <c r="AE167" s="33">
        <f>Model!AE842</f>
        <v>22659</v>
      </c>
      <c r="AF167" s="33">
        <f>Model!AF842</f>
        <v>22659</v>
      </c>
      <c r="AG167" s="33">
        <f>Model!AG842</f>
        <v>22659</v>
      </c>
      <c r="AH167" s="33">
        <f>Model!AH842</f>
        <v>22659</v>
      </c>
      <c r="AI167" s="33">
        <f>Model!AI842</f>
        <v>22659</v>
      </c>
      <c r="AJ167" s="33"/>
      <c r="AK167" s="33"/>
      <c r="AL167" s="33"/>
      <c r="AM167" s="33"/>
      <c r="AN167" s="33"/>
      <c r="AO167" s="33"/>
      <c r="AP167" s="33"/>
      <c r="AQ167" s="33"/>
      <c r="AU167" s="33">
        <f>Model!AU842</f>
        <v>25673</v>
      </c>
      <c r="AV167" s="33">
        <f>Model!AV842</f>
        <v>25009</v>
      </c>
      <c r="AW167" s="33">
        <f>Model!AW842</f>
        <v>23592</v>
      </c>
      <c r="AX167" s="33">
        <f>Model!AX842</f>
        <v>22349</v>
      </c>
      <c r="AY167" s="33">
        <f>Model!AY842</f>
        <v>21659</v>
      </c>
      <c r="AZ167" s="33">
        <f>Model!AZ842</f>
        <v>22256</v>
      </c>
      <c r="BA167" s="33">
        <f>Model!BA842</f>
        <v>22659</v>
      </c>
      <c r="BB167" s="33">
        <f>Model!BB842</f>
        <v>22659</v>
      </c>
      <c r="BC167" s="33">
        <f>Model!BC842</f>
        <v>22659</v>
      </c>
      <c r="BD167" s="33">
        <f>Model!BD842</f>
        <v>22659</v>
      </c>
      <c r="BE167" s="33">
        <f>Model!BE842</f>
        <v>22659</v>
      </c>
    </row>
    <row r="168" spans="1:57" x14ac:dyDescent="0.2">
      <c r="A168" s="238" t="s">
        <v>741</v>
      </c>
      <c r="B168" s="238"/>
      <c r="C168" s="238"/>
      <c r="D168" s="33">
        <f>Model!D843+Model!D844</f>
        <v>9104</v>
      </c>
      <c r="E168" s="33">
        <f>Model!E843+Model!E844</f>
        <v>8273</v>
      </c>
      <c r="F168" s="33">
        <f>Model!F843+Model!F844</f>
        <v>7883</v>
      </c>
      <c r="G168" s="33">
        <f>Model!G843+Model!G844</f>
        <v>7639</v>
      </c>
      <c r="H168" s="33">
        <f>Model!H843+Model!H844</f>
        <v>7660</v>
      </c>
      <c r="I168" s="33">
        <f>Model!I843+Model!I844</f>
        <v>7505</v>
      </c>
      <c r="J168" s="33">
        <f>Model!J843+Model!J844</f>
        <v>7468</v>
      </c>
      <c r="K168" s="33">
        <f>Model!K843+Model!K844</f>
        <v>7774</v>
      </c>
      <c r="L168" s="33">
        <f>Model!L843+Model!L844</f>
        <v>7477</v>
      </c>
      <c r="M168" s="33">
        <f>Model!M843+Model!M844</f>
        <v>6984</v>
      </c>
      <c r="N168" s="33">
        <f>Model!N843+Model!N844</f>
        <v>6618</v>
      </c>
      <c r="O168" s="33">
        <f>Model!O843+Model!O844</f>
        <v>6411</v>
      </c>
      <c r="P168" s="33">
        <f>Model!P843+Model!P844</f>
        <v>5929</v>
      </c>
      <c r="Q168" s="33">
        <f>Model!Q843+Model!Q844</f>
        <v>5995</v>
      </c>
      <c r="R168" s="33">
        <f>Model!R843+Model!R844</f>
        <v>5646</v>
      </c>
      <c r="S168" s="33">
        <f>Model!S843+Model!S844</f>
        <v>5502</v>
      </c>
      <c r="T168" s="33">
        <f>Model!T843+Model!T844</f>
        <v>5017</v>
      </c>
      <c r="U168" s="33">
        <f>Model!U843+Model!U844</f>
        <v>6845</v>
      </c>
      <c r="V168" s="33">
        <f>Model!V843+Model!V844</f>
        <v>6628</v>
      </c>
      <c r="W168" s="33">
        <f>Model!W843+Model!W844</f>
        <v>6678</v>
      </c>
      <c r="X168" s="33">
        <f>Model!X843+Model!X844</f>
        <v>5580</v>
      </c>
      <c r="Y168" s="33">
        <f>Model!Y843+Model!Y844</f>
        <v>5447</v>
      </c>
      <c r="Z168" s="33">
        <f>Model!Z843+Model!Z844</f>
        <v>5285</v>
      </c>
      <c r="AA168" s="33">
        <f>Model!AA843+Model!AA844</f>
        <v>5146</v>
      </c>
      <c r="AB168" s="33">
        <f>Model!AB843+Model!AB844</f>
        <v>5037</v>
      </c>
      <c r="AC168" s="33">
        <f>Model!AC843+Model!AC844</f>
        <v>5037</v>
      </c>
      <c r="AD168" s="33">
        <f>Model!AD843+Model!AD844</f>
        <v>5037</v>
      </c>
      <c r="AE168" s="33">
        <f>Model!AE843+Model!AE844</f>
        <v>5037</v>
      </c>
      <c r="AF168" s="33">
        <f>Model!AF843+Model!AF844</f>
        <v>5037</v>
      </c>
      <c r="AG168" s="33">
        <f>Model!AG843+Model!AG844</f>
        <v>5037</v>
      </c>
      <c r="AH168" s="33">
        <f>Model!AH843+Model!AH844</f>
        <v>5037</v>
      </c>
      <c r="AI168" s="33">
        <f>Model!AI843+Model!AI844</f>
        <v>5037</v>
      </c>
      <c r="AJ168" s="33"/>
      <c r="AK168" s="33"/>
      <c r="AL168" s="33"/>
      <c r="AM168" s="33"/>
      <c r="AN168" s="33"/>
      <c r="AO168" s="33"/>
      <c r="AP168" s="33"/>
      <c r="AQ168" s="33"/>
      <c r="AU168" s="33">
        <f>Model!AU843+Model!AU844</f>
        <v>7639</v>
      </c>
      <c r="AV168" s="33">
        <f>Model!AV843+Model!AV844</f>
        <v>7774</v>
      </c>
      <c r="AW168" s="33">
        <f>Model!AW843+Model!AW844</f>
        <v>6411</v>
      </c>
      <c r="AX168" s="33">
        <f>Model!AX843+Model!AX844</f>
        <v>5502</v>
      </c>
      <c r="AY168" s="33">
        <f>Model!AY843+Model!AY844</f>
        <v>6678</v>
      </c>
      <c r="AZ168" s="33">
        <f>Model!AZ843+Model!AZ844</f>
        <v>5146</v>
      </c>
      <c r="BA168" s="33">
        <f>Model!BA843+Model!BA844</f>
        <v>5037</v>
      </c>
      <c r="BB168" s="33">
        <f>Model!BB843+Model!BB844</f>
        <v>5037</v>
      </c>
      <c r="BC168" s="33">
        <f>Model!BC843+Model!BC844</f>
        <v>5037</v>
      </c>
      <c r="BD168" s="33">
        <f>Model!BD843+Model!BD844</f>
        <v>5037</v>
      </c>
      <c r="BE168" s="33">
        <f>Model!BE843+Model!BE844</f>
        <v>5037</v>
      </c>
    </row>
    <row r="169" spans="1:57" x14ac:dyDescent="0.2">
      <c r="A169" s="238" t="s">
        <v>30</v>
      </c>
      <c r="B169" s="238"/>
      <c r="C169" s="238"/>
      <c r="D169" s="33">
        <f>Model!D846</f>
        <v>1944113</v>
      </c>
      <c r="E169" s="33">
        <f>Model!E846</f>
        <v>1916110</v>
      </c>
      <c r="F169" s="33">
        <f>Model!F846</f>
        <v>1931031</v>
      </c>
      <c r="G169" s="33">
        <f>Model!G846</f>
        <v>1864328</v>
      </c>
      <c r="H169" s="33">
        <f>Model!H846</f>
        <v>1881367</v>
      </c>
      <c r="I169" s="33">
        <f>Model!I846</f>
        <v>1883627</v>
      </c>
      <c r="J169" s="33">
        <f>Model!J846</f>
        <v>1899164</v>
      </c>
      <c r="K169" s="33">
        <f>Model!K846</f>
        <v>1880035</v>
      </c>
      <c r="L169" s="33">
        <f>Model!L846</f>
        <v>1894390</v>
      </c>
      <c r="M169" s="33">
        <f>Model!M846</f>
        <v>1909369</v>
      </c>
      <c r="N169" s="33">
        <f>Model!N846</f>
        <v>1882505</v>
      </c>
      <c r="O169" s="33">
        <f>Model!O846</f>
        <v>1842181</v>
      </c>
      <c r="P169" s="33">
        <f>Model!P846</f>
        <v>1831801</v>
      </c>
      <c r="Q169" s="33">
        <f>Model!Q846</f>
        <v>1829370</v>
      </c>
      <c r="R169" s="33">
        <f>Model!R846</f>
        <v>1808356</v>
      </c>
      <c r="S169" s="33">
        <f>Model!S846</f>
        <v>1731210</v>
      </c>
      <c r="T169" s="33">
        <f>Model!T846</f>
        <v>1800967</v>
      </c>
      <c r="U169" s="33">
        <f>Model!U846</f>
        <v>1818771</v>
      </c>
      <c r="V169" s="33">
        <f>Model!V846</f>
        <v>1818117</v>
      </c>
      <c r="W169" s="33">
        <f>Model!W846</f>
        <v>1792077</v>
      </c>
      <c r="X169" s="33">
        <f>Model!X846</f>
        <v>1821479</v>
      </c>
      <c r="Y169" s="33">
        <f>Model!Y846</f>
        <v>1864063</v>
      </c>
      <c r="Z169" s="33">
        <f>Model!Z846</f>
        <v>1889133</v>
      </c>
      <c r="AA169" s="33">
        <f>Model!AA846</f>
        <v>1843059</v>
      </c>
      <c r="AB169" s="33">
        <f>Model!AB846</f>
        <v>1922104</v>
      </c>
      <c r="AC169" s="33">
        <f>Model!AC846</f>
        <v>1929936.7429991881</v>
      </c>
      <c r="AD169" s="33">
        <f>Model!AD846</f>
        <v>1938465.0286633982</v>
      </c>
      <c r="AE169" s="33">
        <f>Model!AE846</f>
        <v>1949850.234976639</v>
      </c>
      <c r="AF169" s="33">
        <f>Model!AF846</f>
        <v>1961638.6917685708</v>
      </c>
      <c r="AG169" s="33">
        <f>Model!AG846</f>
        <v>1976446.620296747</v>
      </c>
      <c r="AH169" s="33">
        <f>Model!AH846</f>
        <v>1996280.3765563609</v>
      </c>
      <c r="AI169" s="33">
        <f>Model!AI846</f>
        <v>2019347.1650468227</v>
      </c>
      <c r="AJ169" s="33"/>
      <c r="AK169" s="33"/>
      <c r="AL169" s="33"/>
      <c r="AM169" s="33"/>
      <c r="AN169" s="33"/>
      <c r="AO169" s="33"/>
      <c r="AP169" s="33"/>
      <c r="AQ169" s="33"/>
      <c r="AU169" s="33">
        <f>Model!AU846</f>
        <v>1864328</v>
      </c>
      <c r="AV169" s="33">
        <f>Model!AV846</f>
        <v>1880035</v>
      </c>
      <c r="AW169" s="33">
        <f>Model!AW846</f>
        <v>1842181</v>
      </c>
      <c r="AX169" s="33">
        <f>Model!AX846</f>
        <v>1731210</v>
      </c>
      <c r="AY169" s="33">
        <f>Model!AY846</f>
        <v>1792077</v>
      </c>
      <c r="AZ169" s="33">
        <f>Model!AZ846</f>
        <v>1843059</v>
      </c>
      <c r="BA169" s="33">
        <f>Model!BA846</f>
        <v>1949850.234976639</v>
      </c>
      <c r="BB169" s="33">
        <f>Model!BB846</f>
        <v>2019347.1650468227</v>
      </c>
      <c r="BC169" s="33">
        <f>Model!BC846</f>
        <v>2072157.9070443634</v>
      </c>
      <c r="BD169" s="33">
        <f>Model!BD846</f>
        <v>2140937.5202436759</v>
      </c>
      <c r="BE169" s="33">
        <f>Model!BE846</f>
        <v>2208892.1954759774</v>
      </c>
    </row>
    <row r="170" spans="1:57" x14ac:dyDescent="0.2">
      <c r="A170" s="238" t="s">
        <v>742</v>
      </c>
      <c r="B170" s="238"/>
      <c r="C170" s="238"/>
      <c r="D170" s="33">
        <f>Model!D846-Model!D842-Model!D843</f>
        <v>1911890</v>
      </c>
      <c r="E170" s="33">
        <f>Model!E846-Model!E842-Model!E843</f>
        <v>1884471</v>
      </c>
      <c r="F170" s="33">
        <f>Model!F846-Model!F842-Model!F843</f>
        <v>1899153</v>
      </c>
      <c r="G170" s="33">
        <f>Model!G846-Model!G842-Model!G843</f>
        <v>1832958</v>
      </c>
      <c r="H170" s="33">
        <f>Model!H846-Model!H842-Model!H843</f>
        <v>1850436</v>
      </c>
      <c r="I170" s="33">
        <f>Model!I846-Model!I842-Model!I843</f>
        <v>1853750</v>
      </c>
      <c r="J170" s="33">
        <f>Model!J846-Model!J842-Model!J843</f>
        <v>1869178</v>
      </c>
      <c r="K170" s="33">
        <f>Model!K846-Model!K842-Model!K843</f>
        <v>1849970</v>
      </c>
      <c r="L170" s="33">
        <f>Model!L846-Model!L842-Model!L843</f>
        <v>1864491</v>
      </c>
      <c r="M170" s="33">
        <f>Model!M846-Model!M842-Model!M843</f>
        <v>1879580</v>
      </c>
      <c r="N170" s="33">
        <f>Model!N846-Model!N842-Model!N843</f>
        <v>1853480</v>
      </c>
      <c r="O170" s="33">
        <f>Model!O846-Model!O842-Model!O843</f>
        <v>1814023</v>
      </c>
      <c r="P170" s="33">
        <f>Model!P846-Model!P842-Model!P843</f>
        <v>1804407</v>
      </c>
      <c r="Q170" s="33">
        <f>Model!Q846-Model!Q842-Model!Q843</f>
        <v>1802287</v>
      </c>
      <c r="R170" s="33">
        <f>Model!R846-Model!R842-Model!R843</f>
        <v>1782032</v>
      </c>
      <c r="S170" s="33">
        <f>Model!S846-Model!S842-Model!S843</f>
        <v>1705140</v>
      </c>
      <c r="T170" s="33">
        <f>Model!T846-Model!T842-Model!T843</f>
        <v>1774899</v>
      </c>
      <c r="U170" s="33">
        <f>Model!U846-Model!U842-Model!U843</f>
        <v>1790754</v>
      </c>
      <c r="V170" s="33">
        <f>Model!V846-Model!V842-Model!V843</f>
        <v>1790220</v>
      </c>
      <c r="W170" s="33">
        <f>Model!W846-Model!W842-Model!W843</f>
        <v>1765304</v>
      </c>
      <c r="X170" s="33">
        <f>Model!X846-Model!X842-Model!X843</f>
        <v>1794201</v>
      </c>
      <c r="Y170" s="33">
        <f>Model!Y846-Model!Y842-Model!Y843</f>
        <v>1836827</v>
      </c>
      <c r="Z170" s="33">
        <f>Model!Z846-Model!Z842-Model!Z843</f>
        <v>1862056</v>
      </c>
      <c r="AA170" s="33">
        <f>Model!AA846-Model!AA842-Model!AA843</f>
        <v>1816215</v>
      </c>
      <c r="AB170" s="33">
        <f>Model!AB846-Model!AB842-Model!AB843</f>
        <v>1894995</v>
      </c>
      <c r="AC170" s="33">
        <f>Model!AC846-Model!AC842-Model!AC843</f>
        <v>1902827.7429991881</v>
      </c>
      <c r="AD170" s="33">
        <f>Model!AD846-Model!AD842-Model!AD843</f>
        <v>1911356.0286633982</v>
      </c>
      <c r="AE170" s="33">
        <f>Model!AE846-Model!AE842-Model!AE843</f>
        <v>1922741.234976639</v>
      </c>
      <c r="AF170" s="33">
        <f>Model!AF846-Model!AF842-Model!AF843</f>
        <v>1934529.6917685708</v>
      </c>
      <c r="AG170" s="33">
        <f>Model!AG846-Model!AG842-Model!AG843</f>
        <v>1949337.620296747</v>
      </c>
      <c r="AH170" s="33">
        <f>Model!AH846-Model!AH842-Model!AH843</f>
        <v>1969171.3765563609</v>
      </c>
      <c r="AI170" s="33">
        <f>Model!AI846-Model!AI842-Model!AI843</f>
        <v>1992238.1650468227</v>
      </c>
      <c r="AJ170" s="33"/>
      <c r="AK170" s="33"/>
      <c r="AL170" s="33"/>
      <c r="AM170" s="33"/>
      <c r="AN170" s="33"/>
      <c r="AO170" s="33"/>
      <c r="AP170" s="33"/>
      <c r="AQ170" s="33"/>
      <c r="AU170" s="33">
        <f>Model!AU846-Model!AU842-Model!AU843</f>
        <v>1832958</v>
      </c>
      <c r="AV170" s="33">
        <f>Model!AV846-Model!AV842-Model!AV843</f>
        <v>1849970</v>
      </c>
      <c r="AW170" s="33">
        <f>Model!AW846-Model!AW842-Model!AW843</f>
        <v>1814023</v>
      </c>
      <c r="AX170" s="33">
        <f>Model!AX846-Model!AX842-Model!AX843</f>
        <v>1705140</v>
      </c>
      <c r="AY170" s="33">
        <f>Model!AY846-Model!AY842-Model!AY843</f>
        <v>1765304</v>
      </c>
      <c r="AZ170" s="33">
        <f>Model!AZ846-Model!AZ842-Model!AZ843</f>
        <v>1816215</v>
      </c>
      <c r="BA170" s="33">
        <f>Model!BA846-Model!BA842-Model!BA843</f>
        <v>1922741.234976639</v>
      </c>
      <c r="BB170" s="33">
        <f>Model!BB846-Model!BB842-Model!BB843</f>
        <v>1992238.1650468227</v>
      </c>
      <c r="BC170" s="33">
        <f>Model!BC846-Model!BC842-Model!BC843</f>
        <v>2045048.9070443634</v>
      </c>
      <c r="BD170" s="33">
        <f>Model!BD846-Model!BD842-Model!BD843</f>
        <v>2113828.5202436759</v>
      </c>
      <c r="BE170" s="33">
        <f>Model!BE846-Model!BE842-Model!BE843</f>
        <v>2181783.1954759774</v>
      </c>
    </row>
    <row r="171" spans="1:57" x14ac:dyDescent="0.2">
      <c r="A171" s="238" t="s">
        <v>743</v>
      </c>
      <c r="B171" s="238"/>
      <c r="C171" s="238"/>
      <c r="D171" s="33">
        <f>Model!D855</f>
        <v>906012</v>
      </c>
      <c r="E171" s="33">
        <f>Model!E855</f>
        <v>914308</v>
      </c>
      <c r="F171" s="33">
        <f>Model!F855</f>
        <v>944644</v>
      </c>
      <c r="G171" s="33">
        <f>Model!G855</f>
        <v>930560</v>
      </c>
      <c r="H171" s="33">
        <f>Model!H855</f>
        <v>933762</v>
      </c>
      <c r="I171" s="33">
        <f>Model!I855</f>
        <v>938427</v>
      </c>
      <c r="J171" s="33">
        <f>Model!J855</f>
        <v>955460</v>
      </c>
      <c r="K171" s="33">
        <f>Model!K855</f>
        <v>968273</v>
      </c>
      <c r="L171" s="33">
        <f>Model!L855</f>
        <v>966263</v>
      </c>
      <c r="M171" s="33">
        <f>Model!M855</f>
        <v>965725</v>
      </c>
      <c r="N171" s="33">
        <f>Model!N855</f>
        <v>942655</v>
      </c>
      <c r="O171" s="33">
        <f>Model!O855</f>
        <v>899332</v>
      </c>
      <c r="P171" s="33">
        <f>Model!P855</f>
        <v>899647</v>
      </c>
      <c r="Q171" s="33">
        <f>Model!Q855</f>
        <v>908037</v>
      </c>
      <c r="R171" s="33">
        <f>Model!R855</f>
        <v>904243</v>
      </c>
      <c r="S171" s="33">
        <f>Model!S855</f>
        <v>907887</v>
      </c>
      <c r="T171" s="33">
        <f>Model!T855</f>
        <v>934591</v>
      </c>
      <c r="U171" s="33">
        <f>Model!U855</f>
        <v>937852</v>
      </c>
      <c r="V171" s="33">
        <f>Model!V855</f>
        <v>940252</v>
      </c>
      <c r="W171" s="33">
        <f>Model!W855</f>
        <v>929406</v>
      </c>
      <c r="X171" s="33">
        <f>Model!X855</f>
        <v>949990</v>
      </c>
      <c r="Y171" s="33">
        <f>Model!Y855</f>
        <v>958743</v>
      </c>
      <c r="Z171" s="33">
        <f>Model!Z855</f>
        <v>964038</v>
      </c>
      <c r="AA171" s="33">
        <f>Model!AA855</f>
        <v>959822</v>
      </c>
      <c r="AB171" s="33">
        <f>Model!AB855</f>
        <v>1001219</v>
      </c>
      <c r="AC171" s="33">
        <f>Model!AC855</f>
        <v>1008724.5499999999</v>
      </c>
      <c r="AD171" s="33">
        <f>Model!AD855</f>
        <v>1016330.2219</v>
      </c>
      <c r="AE171" s="33">
        <f>Model!AE855</f>
        <v>1024036.766255</v>
      </c>
      <c r="AF171" s="33">
        <f>Model!AF855</f>
        <v>1030912.75819642</v>
      </c>
      <c r="AG171" s="33">
        <f>Model!AG855</f>
        <v>1037881.8319601079</v>
      </c>
      <c r="AH171" s="33">
        <f>Model!AH855</f>
        <v>1044944.6751452577</v>
      </c>
      <c r="AI171" s="33">
        <f>Model!AI855</f>
        <v>1050198.5323961093</v>
      </c>
      <c r="AJ171" s="33"/>
      <c r="AK171" s="33"/>
      <c r="AL171" s="33"/>
      <c r="AM171" s="33"/>
      <c r="AN171" s="33"/>
      <c r="AO171" s="33"/>
      <c r="AP171" s="33"/>
      <c r="AQ171" s="33"/>
      <c r="AU171" s="33">
        <f>Model!AU855</f>
        <v>930560</v>
      </c>
      <c r="AV171" s="33">
        <f>Model!AV855</f>
        <v>968273</v>
      </c>
      <c r="AW171" s="33">
        <f>Model!AW855</f>
        <v>899332</v>
      </c>
      <c r="AX171" s="33">
        <f>Model!AX855</f>
        <v>907887</v>
      </c>
      <c r="AY171" s="33">
        <f>Model!AY855</f>
        <v>929406</v>
      </c>
      <c r="AZ171" s="33">
        <f>Model!AZ855</f>
        <v>959822</v>
      </c>
      <c r="BA171" s="33">
        <f>Model!BA855</f>
        <v>1024036.766255</v>
      </c>
      <c r="BB171" s="33">
        <f>Model!BB855</f>
        <v>1050198.5323961093</v>
      </c>
      <c r="BC171" s="33">
        <f>Model!BC855</f>
        <v>1083834.2583027214</v>
      </c>
      <c r="BD171" s="33">
        <f>Model!BD855</f>
        <v>1118814.6249608151</v>
      </c>
      <c r="BE171" s="33">
        <f>Model!BE855</f>
        <v>1155193.4178666282</v>
      </c>
    </row>
    <row r="172" spans="1:57" x14ac:dyDescent="0.2">
      <c r="A172" s="238" t="s">
        <v>744</v>
      </c>
      <c r="B172" s="238"/>
      <c r="C172" s="238"/>
      <c r="D172" s="33">
        <f>Model!D859</f>
        <v>1760700</v>
      </c>
      <c r="E172" s="33">
        <f>Model!E859</f>
        <v>1730612</v>
      </c>
      <c r="F172" s="33">
        <f>Model!F859</f>
        <v>1742608</v>
      </c>
      <c r="G172" s="33">
        <f>Model!G859</f>
        <v>1673663</v>
      </c>
      <c r="H172" s="33">
        <f>Model!H859</f>
        <v>1686395</v>
      </c>
      <c r="I172" s="33">
        <f>Model!I859</f>
        <v>1686162</v>
      </c>
      <c r="J172" s="33">
        <f>Model!J859</f>
        <v>1696772</v>
      </c>
      <c r="K172" s="33">
        <f>Model!K859</f>
        <v>1674249</v>
      </c>
      <c r="L172" s="33">
        <f>Model!L859</f>
        <v>1684494</v>
      </c>
      <c r="M172" s="33">
        <f>Model!M859</f>
        <v>1696616</v>
      </c>
      <c r="N172" s="33">
        <f>Model!N859</f>
        <v>1668958</v>
      </c>
      <c r="O172" s="33">
        <f>Model!O859</f>
        <v>1630485</v>
      </c>
      <c r="P172" s="33">
        <f>Model!P859</f>
        <v>1615778</v>
      </c>
      <c r="Q172" s="33">
        <f>Model!Q859</f>
        <v>1608545</v>
      </c>
      <c r="R172" s="33">
        <f>Model!R859</f>
        <v>1586219</v>
      </c>
      <c r="S172" s="33">
        <f>Model!S859</f>
        <v>1508118</v>
      </c>
      <c r="T172" s="33">
        <f>Model!T859</f>
        <v>1572206</v>
      </c>
      <c r="U172" s="33">
        <f>Model!U859</f>
        <v>1585750</v>
      </c>
      <c r="V172" s="33">
        <f>Model!V859</f>
        <v>1585427</v>
      </c>
      <c r="W172" s="33">
        <f>Model!W859</f>
        <v>1565934</v>
      </c>
      <c r="X172" s="33">
        <f>Model!X859</f>
        <v>1592482</v>
      </c>
      <c r="Y172" s="33">
        <f>Model!Y859</f>
        <v>1632956</v>
      </c>
      <c r="Z172" s="33">
        <f>Model!Z859</f>
        <v>1660511</v>
      </c>
      <c r="AA172" s="33">
        <f>Model!AA859</f>
        <v>1640793</v>
      </c>
      <c r="AB172" s="33">
        <f>Model!AB859</f>
        <v>1719238</v>
      </c>
      <c r="AC172" s="33">
        <f>Model!AC859</f>
        <v>1725866.1622714715</v>
      </c>
      <c r="AD172" s="33">
        <f>Model!AD859</f>
        <v>1736308.3191411656</v>
      </c>
      <c r="AE172" s="33">
        <f>Model!AE859</f>
        <v>1749965.7563646836</v>
      </c>
      <c r="AF172" s="33">
        <f>Model!AF859</f>
        <v>1760602.9392454054</v>
      </c>
      <c r="AG172" s="33">
        <f>Model!AG859</f>
        <v>1776854.6614895996</v>
      </c>
      <c r="AH172" s="33">
        <f>Model!AH859</f>
        <v>1797800.0497030504</v>
      </c>
      <c r="AI172" s="33">
        <f>Model!AI859</f>
        <v>1822236.5672355415</v>
      </c>
      <c r="AJ172" s="33"/>
      <c r="AK172" s="33"/>
      <c r="AL172" s="33"/>
      <c r="AM172" s="33"/>
      <c r="AN172" s="33"/>
      <c r="AO172" s="33"/>
      <c r="AP172" s="33"/>
      <c r="AQ172" s="33"/>
      <c r="AU172" s="33">
        <f>Model!AU859</f>
        <v>1673663</v>
      </c>
      <c r="AV172" s="33">
        <f>Model!AV859</f>
        <v>1674249</v>
      </c>
      <c r="AW172" s="33">
        <f>Model!AW859</f>
        <v>1630485</v>
      </c>
      <c r="AX172" s="33">
        <f>Model!AX859</f>
        <v>1508118</v>
      </c>
      <c r="AY172" s="33">
        <f>Model!AY859</f>
        <v>1565934</v>
      </c>
      <c r="AZ172" s="33">
        <f>Model!AZ859</f>
        <v>1640793</v>
      </c>
      <c r="BA172" s="33">
        <f>Model!BA859</f>
        <v>1749965.7563646836</v>
      </c>
      <c r="BB172" s="33">
        <f>Model!BB859</f>
        <v>1822236.5672355415</v>
      </c>
      <c r="BC172" s="33">
        <f>Model!BC859</f>
        <v>1872774.8992119068</v>
      </c>
      <c r="BD172" s="33">
        <f>Model!BD859</f>
        <v>1936283.5943065723</v>
      </c>
      <c r="BE172" s="33">
        <f>Model!BE859</f>
        <v>1998748.6067221235</v>
      </c>
    </row>
    <row r="173" spans="1:57" x14ac:dyDescent="0.2">
      <c r="A173" s="238" t="s">
        <v>745</v>
      </c>
      <c r="B173" s="238"/>
      <c r="C173" s="238"/>
      <c r="D173" s="33">
        <f>Model!D862</f>
        <v>312</v>
      </c>
      <c r="E173" s="33">
        <f>Model!E862</f>
        <v>312</v>
      </c>
      <c r="F173" s="33">
        <f>Model!F862</f>
        <v>312</v>
      </c>
      <c r="G173" s="33">
        <f>Model!G862</f>
        <v>2562</v>
      </c>
      <c r="H173" s="33">
        <f>Model!H862</f>
        <v>3137</v>
      </c>
      <c r="I173" s="33">
        <f>Model!I862</f>
        <v>4293</v>
      </c>
      <c r="J173" s="33">
        <f>Model!J862</f>
        <v>5243</v>
      </c>
      <c r="K173" s="33">
        <f>Model!K862</f>
        <v>6738</v>
      </c>
      <c r="L173" s="33">
        <f>Model!L862</f>
        <v>7218</v>
      </c>
      <c r="M173" s="33">
        <f>Model!M862</f>
        <v>8968</v>
      </c>
      <c r="N173" s="33">
        <f>Model!N862</f>
        <v>8968</v>
      </c>
      <c r="O173" s="33">
        <f>Model!O862</f>
        <v>10468</v>
      </c>
      <c r="P173" s="33">
        <f>Model!P862</f>
        <v>11968</v>
      </c>
      <c r="Q173" s="33">
        <f>Model!Q862</f>
        <v>13968</v>
      </c>
      <c r="R173" s="33">
        <f>Model!R862</f>
        <v>15218</v>
      </c>
      <c r="S173" s="33">
        <f>Model!S862</f>
        <v>16718</v>
      </c>
      <c r="T173" s="33">
        <f>Model!T862</f>
        <v>17753</v>
      </c>
      <c r="U173" s="33">
        <f>Model!U862</f>
        <v>19253</v>
      </c>
      <c r="V173" s="33">
        <f>Model!V862</f>
        <v>19253</v>
      </c>
      <c r="W173" s="33">
        <f>Model!W862</f>
        <v>19253</v>
      </c>
      <c r="X173" s="33">
        <f>Model!X862</f>
        <v>19253</v>
      </c>
      <c r="Y173" s="33">
        <f>Model!Y862</f>
        <v>19253</v>
      </c>
      <c r="Z173" s="33">
        <f>Model!Z862</f>
        <v>19253</v>
      </c>
      <c r="AA173" s="33">
        <f>Model!AA862</f>
        <v>19253</v>
      </c>
      <c r="AB173" s="33">
        <f>Model!AB862</f>
        <v>19156</v>
      </c>
      <c r="AC173" s="33">
        <f>Model!AC862</f>
        <v>19156</v>
      </c>
      <c r="AD173" s="33">
        <f>Model!AD862</f>
        <v>19156</v>
      </c>
      <c r="AE173" s="33">
        <f>Model!AE862</f>
        <v>19156</v>
      </c>
      <c r="AF173" s="33">
        <f>Model!AF862</f>
        <v>21156</v>
      </c>
      <c r="AG173" s="33">
        <f>Model!AG862</f>
        <v>21156</v>
      </c>
      <c r="AH173" s="33">
        <f>Model!AH862</f>
        <v>21156</v>
      </c>
      <c r="AI173" s="33">
        <f>Model!AI862</f>
        <v>21156</v>
      </c>
      <c r="AJ173" s="33"/>
      <c r="AK173" s="33"/>
      <c r="AL173" s="33"/>
      <c r="AM173" s="33"/>
      <c r="AN173" s="33"/>
      <c r="AO173" s="33"/>
      <c r="AP173" s="33"/>
      <c r="AQ173" s="33"/>
      <c r="AU173" s="33">
        <f>Model!AU862</f>
        <v>2562</v>
      </c>
      <c r="AV173" s="33">
        <f>Model!AV862</f>
        <v>6738</v>
      </c>
      <c r="AW173" s="33">
        <f>Model!AW862</f>
        <v>10468</v>
      </c>
      <c r="AX173" s="33">
        <f>Model!AX862</f>
        <v>16718</v>
      </c>
      <c r="AY173" s="33">
        <f>Model!AY862</f>
        <v>19253</v>
      </c>
      <c r="AZ173" s="33">
        <f>Model!AZ862</f>
        <v>19253</v>
      </c>
      <c r="BA173" s="33">
        <f>Model!BA862</f>
        <v>19156</v>
      </c>
      <c r="BB173" s="33">
        <f>Model!BB862</f>
        <v>21156</v>
      </c>
      <c r="BC173" s="33">
        <f>Model!BC862</f>
        <v>21156</v>
      </c>
      <c r="BD173" s="33">
        <f>Model!BD862</f>
        <v>21156</v>
      </c>
      <c r="BE173" s="33">
        <f>Model!BE862</f>
        <v>21156</v>
      </c>
    </row>
    <row r="174" spans="1:57" x14ac:dyDescent="0.2">
      <c r="A174" s="238" t="s">
        <v>746</v>
      </c>
      <c r="B174" s="238"/>
      <c r="C174" s="238"/>
      <c r="D174" s="33">
        <f>Model!D868</f>
        <v>181198</v>
      </c>
      <c r="E174" s="33">
        <f>Model!E868</f>
        <v>183258</v>
      </c>
      <c r="F174" s="33">
        <f>Model!F868</f>
        <v>186150</v>
      </c>
      <c r="G174" s="33">
        <f>Model!G868</f>
        <v>186155</v>
      </c>
      <c r="H174" s="33">
        <f>Model!H868</f>
        <v>189855</v>
      </c>
      <c r="I174" s="33">
        <f>Model!I868</f>
        <v>191272</v>
      </c>
      <c r="J174" s="33">
        <f>Model!J868</f>
        <v>195256</v>
      </c>
      <c r="K174" s="33">
        <f>Model!K868</f>
        <v>197254</v>
      </c>
      <c r="L174" s="33">
        <f>Model!L868</f>
        <v>200898</v>
      </c>
      <c r="M174" s="33">
        <f>Model!M868</f>
        <v>202048</v>
      </c>
      <c r="N174" s="33">
        <f>Model!N868</f>
        <v>202960</v>
      </c>
      <c r="O174" s="33">
        <f>Model!O868</f>
        <v>199717</v>
      </c>
      <c r="P174" s="33">
        <f>Model!P868</f>
        <v>202652</v>
      </c>
      <c r="Q174" s="33">
        <f>Model!Q868</f>
        <v>205472</v>
      </c>
      <c r="R174" s="33">
        <f>Model!R868</f>
        <v>205630</v>
      </c>
      <c r="S174" s="33">
        <f>Model!S868</f>
        <v>205139</v>
      </c>
      <c r="T174" s="33">
        <f>Model!T868</f>
        <v>209769</v>
      </c>
      <c r="U174" s="33">
        <f>Model!U868</f>
        <v>212635</v>
      </c>
      <c r="V174" s="33">
        <f>Model!V868</f>
        <v>212322</v>
      </c>
      <c r="W174" s="33">
        <f>Model!W868</f>
        <v>205867</v>
      </c>
      <c r="X174" s="33">
        <f>Model!X868</f>
        <v>208879</v>
      </c>
      <c r="Y174" s="33">
        <f>Model!Y868</f>
        <v>210766</v>
      </c>
      <c r="Z174" s="33">
        <f>Model!Z868</f>
        <v>208381</v>
      </c>
      <c r="AA174" s="33">
        <f>Model!AA868</f>
        <v>181487</v>
      </c>
      <c r="AB174" s="33">
        <f>Model!AB868</f>
        <v>182759</v>
      </c>
      <c r="AC174" s="33">
        <f>Model!AC868</f>
        <v>183963.58072771662</v>
      </c>
      <c r="AD174" s="33">
        <f>Model!AD868</f>
        <v>182049.70952223256</v>
      </c>
      <c r="AE174" s="33">
        <f>Model!AE868</f>
        <v>179777.47861195539</v>
      </c>
      <c r="AF174" s="33">
        <f>Model!AF868</f>
        <v>178928.75252316543</v>
      </c>
      <c r="AG174" s="33">
        <f>Model!AG868</f>
        <v>177484.95880714731</v>
      </c>
      <c r="AH174" s="33">
        <f>Model!AH868</f>
        <v>176373.32685331046</v>
      </c>
      <c r="AI174" s="33">
        <f>Model!AI868</f>
        <v>175003.5978112811</v>
      </c>
      <c r="AJ174" s="33"/>
      <c r="AK174" s="33"/>
      <c r="AL174" s="33"/>
      <c r="AM174" s="33"/>
      <c r="AN174" s="33"/>
      <c r="AO174" s="33"/>
      <c r="AP174" s="33"/>
      <c r="AQ174" s="33"/>
      <c r="AU174" s="33">
        <f>Model!AU868</f>
        <v>186155</v>
      </c>
      <c r="AV174" s="33">
        <f>Model!AV868</f>
        <v>197254</v>
      </c>
      <c r="AW174" s="33">
        <f>Model!AW868</f>
        <v>199717</v>
      </c>
      <c r="AX174" s="33">
        <f>Model!AX868</f>
        <v>205139</v>
      </c>
      <c r="AY174" s="33">
        <f>Model!AY868</f>
        <v>205867</v>
      </c>
      <c r="AZ174" s="33">
        <f>Model!AZ868</f>
        <v>181487</v>
      </c>
      <c r="BA174" s="33">
        <f>Model!BA868</f>
        <v>179777.47861195539</v>
      </c>
      <c r="BB174" s="33">
        <f>Model!BB868</f>
        <v>175003.5978112811</v>
      </c>
      <c r="BC174" s="33">
        <f>Model!BC868</f>
        <v>177276.00783245653</v>
      </c>
      <c r="BD174" s="33">
        <f>Model!BD868</f>
        <v>182546.92593710366</v>
      </c>
      <c r="BE174" s="33">
        <f>Model!BE868</f>
        <v>188036.58875385395</v>
      </c>
    </row>
    <row r="175" spans="1:57" x14ac:dyDescent="0.2">
      <c r="A175" s="238" t="s">
        <v>747</v>
      </c>
      <c r="B175" s="238"/>
      <c r="C175" s="238"/>
      <c r="D175" s="33">
        <f>Model!D872</f>
        <v>183413</v>
      </c>
      <c r="E175" s="33">
        <f>Model!E872</f>
        <v>185498</v>
      </c>
      <c r="F175" s="33">
        <f>Model!F872</f>
        <v>188423</v>
      </c>
      <c r="G175" s="33">
        <f>Model!G872</f>
        <v>190665</v>
      </c>
      <c r="H175" s="33">
        <f>Model!H872</f>
        <v>194972</v>
      </c>
      <c r="I175" s="33">
        <f>Model!I872</f>
        <v>197465</v>
      </c>
      <c r="J175" s="33">
        <f>Model!J872</f>
        <v>202392</v>
      </c>
      <c r="K175" s="33">
        <f>Model!K872</f>
        <v>205786</v>
      </c>
      <c r="L175" s="33">
        <f>Model!L872</f>
        <v>209896</v>
      </c>
      <c r="M175" s="33">
        <f>Model!M872</f>
        <v>212753</v>
      </c>
      <c r="N175" s="33">
        <f>Model!N872</f>
        <v>213547</v>
      </c>
      <c r="O175" s="33">
        <f>Model!O872</f>
        <v>211696</v>
      </c>
      <c r="P175" s="33">
        <f>Model!P872</f>
        <v>216023</v>
      </c>
      <c r="Q175" s="33">
        <f>Model!Q872</f>
        <v>220825</v>
      </c>
      <c r="R175" s="33">
        <f>Model!R872</f>
        <v>222137</v>
      </c>
      <c r="S175" s="33">
        <f>Model!S872</f>
        <v>223092</v>
      </c>
      <c r="T175" s="33">
        <f>Model!T872</f>
        <v>228761</v>
      </c>
      <c r="U175" s="33">
        <f>Model!U872</f>
        <v>233021</v>
      </c>
      <c r="V175" s="33">
        <f>Model!V872</f>
        <v>232690</v>
      </c>
      <c r="W175" s="33">
        <f>Model!W872</f>
        <v>226143</v>
      </c>
      <c r="X175" s="33">
        <f>Model!X872</f>
        <v>228997</v>
      </c>
      <c r="Y175" s="33">
        <f>Model!Y872</f>
        <v>231107</v>
      </c>
      <c r="Z175" s="33">
        <f>Model!Z872</f>
        <v>228622</v>
      </c>
      <c r="AA175" s="33">
        <f>Model!AA872</f>
        <v>202266</v>
      </c>
      <c r="AB175" s="33">
        <f>Model!AB872</f>
        <v>202866</v>
      </c>
      <c r="AC175" s="33">
        <f>Model!AC872</f>
        <v>204070.58072771662</v>
      </c>
      <c r="AD175" s="33">
        <f>Model!AD872</f>
        <v>202156.70952223256</v>
      </c>
      <c r="AE175" s="33">
        <f>Model!AE872</f>
        <v>199884.47861195539</v>
      </c>
      <c r="AF175" s="33">
        <f>Model!AF872</f>
        <v>201035.75252316543</v>
      </c>
      <c r="AG175" s="33">
        <f>Model!AG872</f>
        <v>199591.95880714731</v>
      </c>
      <c r="AH175" s="33">
        <f>Model!AH872</f>
        <v>198480.32685331046</v>
      </c>
      <c r="AI175" s="33">
        <f>Model!AI872</f>
        <v>197110.5978112811</v>
      </c>
      <c r="AJ175" s="33"/>
      <c r="AK175" s="33"/>
      <c r="AL175" s="33"/>
      <c r="AM175" s="33"/>
      <c r="AN175" s="33"/>
      <c r="AO175" s="33"/>
      <c r="AP175" s="33"/>
      <c r="AQ175" s="33"/>
      <c r="AU175" s="33">
        <f>Model!AU872</f>
        <v>190665</v>
      </c>
      <c r="AV175" s="33">
        <f>Model!AV872</f>
        <v>205786</v>
      </c>
      <c r="AW175" s="33">
        <f>Model!AW872</f>
        <v>211696</v>
      </c>
      <c r="AX175" s="33">
        <f>Model!AX872</f>
        <v>223092</v>
      </c>
      <c r="AY175" s="33">
        <f>Model!AY872</f>
        <v>226143</v>
      </c>
      <c r="AZ175" s="33">
        <f>Model!AZ872</f>
        <v>202266</v>
      </c>
      <c r="BA175" s="33">
        <f>Model!BA872</f>
        <v>199884.47861195542</v>
      </c>
      <c r="BB175" s="33">
        <f>Model!BB872</f>
        <v>197110.59781128122</v>
      </c>
      <c r="BC175" s="33">
        <f>Model!BC872</f>
        <v>199383.00783245653</v>
      </c>
      <c r="BD175" s="33">
        <f>Model!BD872</f>
        <v>204653.92593710366</v>
      </c>
      <c r="BE175" s="33">
        <f>Model!BE872</f>
        <v>210143.58875385395</v>
      </c>
    </row>
    <row r="176" spans="1:57" x14ac:dyDescent="0.2">
      <c r="A176" s="238" t="s">
        <v>748</v>
      </c>
      <c r="B176" s="238"/>
      <c r="C176" s="238"/>
      <c r="D176" s="33">
        <f>Model!D1312</f>
        <v>148931</v>
      </c>
      <c r="E176" s="33">
        <f>Model!E1312</f>
        <v>151581</v>
      </c>
      <c r="F176" s="33">
        <f>Model!F1312</f>
        <v>154200</v>
      </c>
      <c r="G176" s="33">
        <f>Model!G1312</f>
        <v>154721</v>
      </c>
      <c r="H176" s="33">
        <f>Model!H1312</f>
        <v>158922</v>
      </c>
      <c r="I176" s="33">
        <f>Model!I1312</f>
        <v>161128</v>
      </c>
      <c r="J176" s="33">
        <f>Model!J1312</f>
        <v>165003</v>
      </c>
      <c r="K176" s="33">
        <f>Model!K1312</f>
        <v>167189</v>
      </c>
      <c r="L176" s="33">
        <f>Model!L1312</f>
        <v>170999</v>
      </c>
      <c r="M176" s="33">
        <f>Model!M1312</f>
        <v>172143</v>
      </c>
      <c r="N176" s="33">
        <f>Model!N1312</f>
        <v>173935</v>
      </c>
      <c r="O176" s="33">
        <f>Model!O1312</f>
        <v>171488</v>
      </c>
      <c r="P176" s="33">
        <f>Model!P1312</f>
        <v>174961</v>
      </c>
      <c r="Q176" s="33">
        <f>Model!Q1312</f>
        <v>178115</v>
      </c>
      <c r="R176" s="33">
        <f>Model!R1312</f>
        <v>178961</v>
      </c>
      <c r="S176" s="33">
        <f>Model!S1312</f>
        <v>179001</v>
      </c>
      <c r="T176" s="33">
        <f>Model!T1312</f>
        <v>183671</v>
      </c>
      <c r="U176" s="33">
        <f>Model!U1312</f>
        <v>184588</v>
      </c>
      <c r="V176" s="33">
        <f>Model!V1312</f>
        <v>184395</v>
      </c>
      <c r="W176" s="33">
        <f>Model!W1312</f>
        <v>179022</v>
      </c>
      <c r="X176" s="33">
        <f>Model!X1312</f>
        <v>181553</v>
      </c>
      <c r="Y176" s="33">
        <f>Model!Y1312</f>
        <v>183410</v>
      </c>
      <c r="Z176" s="33">
        <f>Model!Z1312</f>
        <v>181256</v>
      </c>
      <c r="AA176" s="33">
        <f>Model!AA1312</f>
        <v>154611</v>
      </c>
      <c r="AB176" s="33">
        <f>Model!AB1312</f>
        <v>155602</v>
      </c>
      <c r="AC176" s="33">
        <f>Model!AC1312</f>
        <v>156854.58072771662</v>
      </c>
      <c r="AD176" s="33">
        <f>Model!AD1312</f>
        <v>154940.70952223256</v>
      </c>
      <c r="AE176" s="33">
        <f>Model!AE1312</f>
        <v>152668.47861195539</v>
      </c>
      <c r="AF176" s="33">
        <f>Model!AF1312</f>
        <v>151819.75252316543</v>
      </c>
      <c r="AG176" s="33">
        <f>Model!AG1312</f>
        <v>150375.95880714731</v>
      </c>
      <c r="AH176" s="33">
        <f>Model!AH1312</f>
        <v>149264.32685331046</v>
      </c>
      <c r="AI176" s="33">
        <f>Model!AI1312</f>
        <v>147894.5978112811</v>
      </c>
      <c r="AJ176" s="33"/>
      <c r="AK176" s="33"/>
      <c r="AL176" s="33"/>
      <c r="AM176" s="33"/>
      <c r="AN176" s="33"/>
      <c r="AO176" s="33"/>
      <c r="AP176" s="33"/>
      <c r="AQ176" s="33"/>
      <c r="AU176" s="33">
        <f>Model!AU1312</f>
        <v>154721</v>
      </c>
      <c r="AV176" s="33">
        <f>Model!AV1312</f>
        <v>167189</v>
      </c>
      <c r="AW176" s="33">
        <f>Model!AW1312</f>
        <v>171488</v>
      </c>
      <c r="AX176" s="33">
        <f>Model!AX1312</f>
        <v>179001</v>
      </c>
      <c r="AY176" s="33">
        <f>Model!AY1312</f>
        <v>179022</v>
      </c>
      <c r="AZ176" s="33">
        <f>Model!AZ1312</f>
        <v>154611</v>
      </c>
      <c r="BA176" s="33">
        <f>Model!BA1312</f>
        <v>152668.47861195539</v>
      </c>
      <c r="BB176" s="33">
        <f>Model!BB1312</f>
        <v>147894.5978112811</v>
      </c>
      <c r="BC176" s="33">
        <f>Model!BC1312</f>
        <v>150167.00783245653</v>
      </c>
      <c r="BD176" s="33">
        <f>Model!BD1312</f>
        <v>155437.92593710366</v>
      </c>
      <c r="BE176" s="33">
        <f>Model!BE1312</f>
        <v>160927.58875385395</v>
      </c>
    </row>
    <row r="177" spans="1:57" x14ac:dyDescent="0.2">
      <c r="A177" s="238"/>
      <c r="B177" s="238"/>
      <c r="C177" s="238"/>
      <c r="J177" s="916"/>
      <c r="K177" s="916"/>
      <c r="L177" s="916"/>
      <c r="M177" s="916"/>
      <c r="N177" s="916"/>
      <c r="O177" s="916"/>
      <c r="P177" s="916"/>
      <c r="Q177" s="916"/>
      <c r="R177" s="916"/>
      <c r="S177" s="916"/>
      <c r="T177" s="916"/>
      <c r="U177" s="916"/>
      <c r="V177" s="916"/>
      <c r="W177" s="916"/>
      <c r="X177" s="916"/>
      <c r="Y177" s="916"/>
      <c r="Z177" s="916"/>
      <c r="AA177" s="916"/>
      <c r="AB177" s="916"/>
      <c r="AC177" s="916"/>
      <c r="AD177" s="916"/>
      <c r="AE177" s="916"/>
    </row>
    <row r="178" spans="1:57" s="1213" customFormat="1" x14ac:dyDescent="0.2">
      <c r="A178" s="238" t="s">
        <v>1278</v>
      </c>
      <c r="B178" s="238"/>
      <c r="C178" s="238"/>
      <c r="D178" s="33">
        <f>Model!D835</f>
        <v>413551</v>
      </c>
      <c r="E178" s="33">
        <f>Model!E835</f>
        <v>406510</v>
      </c>
      <c r="F178" s="33">
        <f>Model!F835</f>
        <v>404968</v>
      </c>
      <c r="G178" s="33">
        <f>Model!G835</f>
        <v>405834</v>
      </c>
      <c r="H178" s="33">
        <f>Model!H835</f>
        <v>392145</v>
      </c>
      <c r="I178" s="33">
        <f>Model!I835</f>
        <v>378996</v>
      </c>
      <c r="J178" s="33">
        <f>Model!J835</f>
        <v>384389</v>
      </c>
      <c r="K178" s="33">
        <f>Model!K835</f>
        <v>390293</v>
      </c>
      <c r="L178" s="33">
        <f>Model!L835</f>
        <v>380590</v>
      </c>
      <c r="M178" s="33">
        <f>Model!M835</f>
        <v>380113</v>
      </c>
      <c r="N178" s="33">
        <f>Model!N835</f>
        <v>372140</v>
      </c>
      <c r="O178" s="33">
        <f>Model!O835</f>
        <v>365643</v>
      </c>
      <c r="P178" s="33">
        <f>Model!P835</f>
        <v>337431</v>
      </c>
      <c r="Q178" s="33">
        <f>Model!Q835</f>
        <v>337878</v>
      </c>
      <c r="R178" s="33">
        <f>Model!R835</f>
        <v>328922</v>
      </c>
      <c r="S178" s="33">
        <f>Model!S835</f>
        <v>325454</v>
      </c>
      <c r="T178" s="33">
        <f>Model!T835</f>
        <v>317555</v>
      </c>
      <c r="U178" s="33">
        <f>Model!U835</f>
        <v>326082</v>
      </c>
      <c r="V178" s="33">
        <f>Model!V835</f>
        <v>328372</v>
      </c>
      <c r="W178" s="33">
        <f>Model!W835</f>
        <v>325063</v>
      </c>
      <c r="X178" s="33">
        <f>Model!X835</f>
        <v>320556</v>
      </c>
      <c r="Y178" s="33">
        <f>Model!Y835</f>
        <v>325261</v>
      </c>
      <c r="Z178" s="33">
        <f>Model!Z835</f>
        <v>325576</v>
      </c>
      <c r="AA178" s="33">
        <f>Model!AA835</f>
        <v>333656</v>
      </c>
      <c r="AB178" s="33">
        <f>Model!AB835</f>
        <v>325084</v>
      </c>
      <c r="AC178" s="33">
        <f>Model!AC835</f>
        <v>325647.00000000006</v>
      </c>
      <c r="AD178" s="33">
        <f>Model!AD835</f>
        <v>328414.61</v>
      </c>
      <c r="AE178" s="33">
        <f>Model!AE835</f>
        <v>333684.26944999996</v>
      </c>
      <c r="AF178" s="33">
        <f>Model!AF835</f>
        <v>332214.30546799989</v>
      </c>
      <c r="AG178" s="33">
        <f>Model!AG835</f>
        <v>333298.63559294003</v>
      </c>
      <c r="AH178" s="33">
        <f>Model!AH835</f>
        <v>336878.77123984467</v>
      </c>
      <c r="AI178" s="33">
        <f>Model!AI835</f>
        <v>343114.32993347722</v>
      </c>
      <c r="AJ178" s="33"/>
      <c r="AK178" s="33"/>
      <c r="AL178" s="33"/>
      <c r="AM178" s="33"/>
      <c r="AN178" s="33"/>
      <c r="AO178" s="33"/>
      <c r="AP178" s="33"/>
      <c r="AQ178" s="33"/>
      <c r="AR178" s="33"/>
      <c r="AS178" s="33"/>
      <c r="AT178" s="33"/>
      <c r="AU178" s="33">
        <f>Model!AU835</f>
        <v>405834</v>
      </c>
      <c r="AV178" s="33">
        <f>Model!AV835</f>
        <v>390293</v>
      </c>
      <c r="AW178" s="33">
        <f>Model!AW835</f>
        <v>365643</v>
      </c>
      <c r="AX178" s="33">
        <f>Model!AX835</f>
        <v>325454</v>
      </c>
      <c r="AY178" s="33">
        <f>Model!AY835</f>
        <v>325063</v>
      </c>
      <c r="AZ178" s="33">
        <f>Model!AZ835</f>
        <v>333656</v>
      </c>
      <c r="BA178" s="33">
        <f>Model!BA835</f>
        <v>333684.26944999996</v>
      </c>
      <c r="BB178" s="33">
        <f>Model!BB835</f>
        <v>343114.32993347722</v>
      </c>
      <c r="BC178" s="33">
        <f>Model!BC835</f>
        <v>354867.29707317037</v>
      </c>
      <c r="BD178" s="33">
        <f>Model!BD835</f>
        <v>368073.91818236711</v>
      </c>
      <c r="BE178" s="33">
        <f>Model!BE835</f>
        <v>382474.4464434546</v>
      </c>
    </row>
    <row r="179" spans="1:57" s="1213" customFormat="1" x14ac:dyDescent="0.2">
      <c r="A179" s="238" t="s">
        <v>1279</v>
      </c>
      <c r="B179" s="238"/>
      <c r="C179" s="238"/>
      <c r="D179" s="33">
        <f>Model!D836</f>
        <v>234471</v>
      </c>
      <c r="E179" s="33">
        <f>Model!E836</f>
        <v>248458</v>
      </c>
      <c r="F179" s="33">
        <f>Model!F836</f>
        <v>253455</v>
      </c>
      <c r="G179" s="33">
        <f>Model!G836</f>
        <v>249630</v>
      </c>
      <c r="H179" s="33">
        <f>Model!H836</f>
        <v>254219</v>
      </c>
      <c r="I179" s="33">
        <f>Model!I836</f>
        <v>264745</v>
      </c>
      <c r="J179" s="33">
        <f>Model!J836</f>
        <v>273162</v>
      </c>
      <c r="K179" s="33">
        <f>Model!K836</f>
        <v>275179</v>
      </c>
      <c r="L179" s="33">
        <f>Model!L836</f>
        <v>283631</v>
      </c>
      <c r="M179" s="33">
        <f>Model!M836</f>
        <v>287391</v>
      </c>
      <c r="N179" s="33">
        <f>Model!N836</f>
        <v>281686</v>
      </c>
      <c r="O179" s="33">
        <f>Model!O836</f>
        <v>278992</v>
      </c>
      <c r="P179" s="33">
        <f>Model!P836</f>
        <v>283623</v>
      </c>
      <c r="Q179" s="33">
        <f>Model!Q836</f>
        <v>294240</v>
      </c>
      <c r="R179" s="33">
        <f>Model!R836</f>
        <v>293522</v>
      </c>
      <c r="S179" s="33">
        <f>Model!S836</f>
        <v>292163</v>
      </c>
      <c r="T179" s="33">
        <f>Model!T836</f>
        <v>301269</v>
      </c>
      <c r="U179" s="33">
        <f>Model!U836</f>
        <v>307433</v>
      </c>
      <c r="V179" s="33">
        <f>Model!V836</f>
        <v>310063</v>
      </c>
      <c r="W179" s="33">
        <f>Model!W836</f>
        <v>299306</v>
      </c>
      <c r="X179" s="33">
        <f>Model!X836</f>
        <v>308039</v>
      </c>
      <c r="Y179" s="33">
        <f>Model!Y836</f>
        <v>319434</v>
      </c>
      <c r="Z179" s="33">
        <f>Model!Z836</f>
        <v>327607</v>
      </c>
      <c r="AA179" s="33">
        <f>Model!AA836</f>
        <v>333378</v>
      </c>
      <c r="AB179" s="33">
        <f>Model!AB836</f>
        <v>347854</v>
      </c>
      <c r="AC179" s="33">
        <f>Model!AC836</f>
        <v>354858</v>
      </c>
      <c r="AD179" s="33">
        <f>Model!AD836</f>
        <v>360180.87</v>
      </c>
      <c r="AE179" s="33">
        <f>Model!AE836</f>
        <v>365583.5830499999</v>
      </c>
      <c r="AF179" s="33">
        <f>Model!AF836</f>
        <v>372895.2547109999</v>
      </c>
      <c r="AG179" s="33">
        <f>Model!AG836</f>
        <v>380353.15980521991</v>
      </c>
      <c r="AH179" s="33">
        <f>Model!AH836</f>
        <v>389861.9888003504</v>
      </c>
      <c r="AI179" s="33">
        <f>Model!AI836</f>
        <v>399608.53852035908</v>
      </c>
      <c r="AJ179" s="33"/>
      <c r="AK179" s="33"/>
      <c r="AL179" s="33"/>
      <c r="AM179" s="33"/>
      <c r="AN179" s="33"/>
      <c r="AO179" s="33"/>
      <c r="AP179" s="33"/>
      <c r="AQ179" s="33"/>
      <c r="AR179" s="33"/>
      <c r="AS179" s="33"/>
      <c r="AT179" s="33"/>
      <c r="AU179" s="33">
        <f>Model!AU836</f>
        <v>249630</v>
      </c>
      <c r="AV179" s="33">
        <f>Model!AV836</f>
        <v>275179</v>
      </c>
      <c r="AW179" s="33">
        <f>Model!AW836</f>
        <v>278992</v>
      </c>
      <c r="AX179" s="33">
        <f>Model!AX836</f>
        <v>292163</v>
      </c>
      <c r="AY179" s="33">
        <f>Model!AY836</f>
        <v>299306</v>
      </c>
      <c r="AZ179" s="33">
        <f>Model!AZ836</f>
        <v>333378</v>
      </c>
      <c r="BA179" s="33">
        <f>Model!BA836</f>
        <v>365583.5830499999</v>
      </c>
      <c r="BB179" s="33">
        <f>Model!BB836</f>
        <v>399608.53852035908</v>
      </c>
      <c r="BC179" s="33">
        <f>Model!BC836</f>
        <v>427581.13621678425</v>
      </c>
      <c r="BD179" s="33">
        <f>Model!BD836</f>
        <v>457511.81575195922</v>
      </c>
      <c r="BE179" s="33">
        <f>Model!BE836</f>
        <v>484962.52469707676</v>
      </c>
    </row>
    <row r="180" spans="1:57" s="1213" customFormat="1" x14ac:dyDescent="0.2">
      <c r="A180" s="238" t="s">
        <v>1280</v>
      </c>
      <c r="B180" s="238"/>
      <c r="C180" s="238"/>
      <c r="D180" s="33">
        <f>Model!D837</f>
        <v>648022</v>
      </c>
      <c r="E180" s="33">
        <f>Model!E837</f>
        <v>654968</v>
      </c>
      <c r="F180" s="33">
        <f>Model!F837</f>
        <v>658423</v>
      </c>
      <c r="G180" s="33">
        <f>Model!G837</f>
        <v>655464</v>
      </c>
      <c r="H180" s="33">
        <f>Model!H837</f>
        <v>646364</v>
      </c>
      <c r="I180" s="33">
        <f>Model!I837</f>
        <v>643741</v>
      </c>
      <c r="J180" s="33">
        <f>Model!J837</f>
        <v>657551</v>
      </c>
      <c r="K180" s="33">
        <f>Model!K837</f>
        <v>665472</v>
      </c>
      <c r="L180" s="33">
        <f>Model!L837</f>
        <v>664221</v>
      </c>
      <c r="M180" s="33">
        <f>Model!M837</f>
        <v>667504</v>
      </c>
      <c r="N180" s="33">
        <f>Model!N837</f>
        <v>653826</v>
      </c>
      <c r="O180" s="33">
        <f>Model!O837</f>
        <v>644635</v>
      </c>
      <c r="P180" s="33">
        <f>Model!P837</f>
        <v>621054</v>
      </c>
      <c r="Q180" s="33">
        <f>Model!Q837</f>
        <v>632118</v>
      </c>
      <c r="R180" s="33">
        <f>Model!R837</f>
        <v>622444</v>
      </c>
      <c r="S180" s="33">
        <f>Model!S837</f>
        <v>617617</v>
      </c>
      <c r="T180" s="33">
        <f>Model!T837</f>
        <v>618824</v>
      </c>
      <c r="U180" s="33">
        <f>Model!U837</f>
        <v>633515</v>
      </c>
      <c r="V180" s="33">
        <f>Model!V837</f>
        <v>638435</v>
      </c>
      <c r="W180" s="33">
        <f>Model!W837</f>
        <v>624369</v>
      </c>
      <c r="X180" s="33">
        <f>Model!X837</f>
        <v>628595</v>
      </c>
      <c r="Y180" s="33">
        <f>Model!Y837</f>
        <v>644695</v>
      </c>
      <c r="Z180" s="33">
        <f>Model!Z837</f>
        <v>653183</v>
      </c>
      <c r="AA180" s="33">
        <f>Model!AA837</f>
        <v>667034</v>
      </c>
      <c r="AB180" s="33">
        <f>Model!AB837</f>
        <v>672938</v>
      </c>
      <c r="AC180" s="33">
        <f>Model!AC837</f>
        <v>680505</v>
      </c>
      <c r="AD180" s="33">
        <f>Model!AD837</f>
        <v>688595.48</v>
      </c>
      <c r="AE180" s="33">
        <f>Model!AE837</f>
        <v>699267.8524999998</v>
      </c>
      <c r="AF180" s="33">
        <f>Model!AF837</f>
        <v>705109.56017899979</v>
      </c>
      <c r="AG180" s="33">
        <f>Model!AG837</f>
        <v>713651.79539815988</v>
      </c>
      <c r="AH180" s="33">
        <f>Model!AH837</f>
        <v>726740.76004019508</v>
      </c>
      <c r="AI180" s="33">
        <f>Model!AI837</f>
        <v>742722.8684538363</v>
      </c>
      <c r="AJ180" s="33"/>
      <c r="AK180" s="33"/>
      <c r="AL180" s="33"/>
      <c r="AM180" s="33"/>
      <c r="AN180" s="33"/>
      <c r="AO180" s="33"/>
      <c r="AP180" s="33"/>
      <c r="AQ180" s="33"/>
      <c r="AR180" s="33"/>
      <c r="AS180" s="33"/>
      <c r="AT180" s="33"/>
      <c r="AU180" s="33">
        <f>Model!AU837</f>
        <v>655464</v>
      </c>
      <c r="AV180" s="33">
        <f>Model!AV837</f>
        <v>665472</v>
      </c>
      <c r="AW180" s="33">
        <f>Model!AW837</f>
        <v>644635</v>
      </c>
      <c r="AX180" s="33">
        <f>Model!AX837</f>
        <v>617617</v>
      </c>
      <c r="AY180" s="33">
        <f>Model!AY837</f>
        <v>624369</v>
      </c>
      <c r="AZ180" s="33">
        <f>Model!AZ837</f>
        <v>667034</v>
      </c>
      <c r="BA180" s="33">
        <f>Model!BA837</f>
        <v>699267.8524999998</v>
      </c>
      <c r="BB180" s="33">
        <f>Model!BB837</f>
        <v>742722.8684538363</v>
      </c>
      <c r="BC180" s="33">
        <f>Model!BC837</f>
        <v>782448.43328995467</v>
      </c>
      <c r="BD180" s="33">
        <f>Model!BD837</f>
        <v>825585.73393432633</v>
      </c>
      <c r="BE180" s="33">
        <f>Model!BE837</f>
        <v>867436.97114053136</v>
      </c>
    </row>
    <row r="181" spans="1:57" s="1213" customFormat="1" x14ac:dyDescent="0.2">
      <c r="A181" s="238"/>
      <c r="B181" s="238"/>
      <c r="C181" s="238"/>
      <c r="AF181" s="1707"/>
      <c r="AG181" s="1707"/>
      <c r="AH181" s="1707"/>
      <c r="AI181" s="1707"/>
      <c r="AJ181" s="1740"/>
      <c r="AK181" s="1740"/>
      <c r="AL181" s="1740"/>
      <c r="AM181" s="1740"/>
      <c r="AN181" s="1740"/>
      <c r="AO181" s="1740"/>
      <c r="AP181" s="1740"/>
      <c r="AQ181" s="1740"/>
      <c r="BE181" s="1702"/>
    </row>
    <row r="182" spans="1:57" x14ac:dyDescent="0.2">
      <c r="A182" s="238" t="s">
        <v>1110</v>
      </c>
      <c r="B182" s="238"/>
      <c r="C182" s="238"/>
      <c r="D182" s="144">
        <f>Model!D607*1000</f>
        <v>224000</v>
      </c>
      <c r="E182" s="144">
        <f>Model!E607*1000</f>
        <v>234000</v>
      </c>
      <c r="F182" s="144">
        <f>Model!F607*1000</f>
        <v>245000</v>
      </c>
      <c r="G182" s="144">
        <f>Model!G607*1000</f>
        <v>244000</v>
      </c>
      <c r="H182" s="144">
        <f>Model!H607*1000</f>
        <v>245000</v>
      </c>
      <c r="I182" s="144">
        <f>Model!I607*1000</f>
        <v>257000</v>
      </c>
      <c r="J182" s="144">
        <f>Model!J607*1000</f>
        <v>263000</v>
      </c>
      <c r="K182" s="144">
        <f>Model!K607*1000</f>
        <v>271000</v>
      </c>
      <c r="L182" s="144">
        <f>Model!L607*1000</f>
        <v>276000</v>
      </c>
      <c r="M182" s="144">
        <f>Model!M607*1000</f>
        <v>283000</v>
      </c>
      <c r="N182" s="144">
        <f>Model!N607*1000</f>
        <v>283000</v>
      </c>
      <c r="O182" s="144">
        <f>Model!O607*1000</f>
        <v>281000</v>
      </c>
      <c r="P182" s="144">
        <f>Model!P607*1000</f>
        <v>278000</v>
      </c>
      <c r="Q182" s="144">
        <f>Model!Q607*1000</f>
        <v>289000</v>
      </c>
      <c r="R182" s="144">
        <f>Model!R607*1000</f>
        <v>292000</v>
      </c>
      <c r="S182" s="144">
        <f>Model!S607*1000</f>
        <v>294000</v>
      </c>
      <c r="T182" s="144">
        <f>Model!T607*1000</f>
        <v>295000</v>
      </c>
      <c r="U182" s="144">
        <f>Model!U607*1000</f>
        <v>304000</v>
      </c>
      <c r="V182" s="144">
        <f>Model!V607*1000</f>
        <v>307000</v>
      </c>
      <c r="W182" s="144">
        <f>Model!W607*1000</f>
        <v>304000</v>
      </c>
      <c r="X182" s="144">
        <f>Model!X607*1000</f>
        <v>302000</v>
      </c>
      <c r="Y182" s="144">
        <f>Model!Y607*1000</f>
        <v>313000</v>
      </c>
      <c r="Z182" s="144">
        <f>Model!Z607*1000</f>
        <v>321000</v>
      </c>
      <c r="AA182" s="144">
        <f>Model!AA607*1000</f>
        <v>328000</v>
      </c>
      <c r="AB182" s="144">
        <f>Model!AB607*1000</f>
        <v>339000</v>
      </c>
      <c r="AC182" s="144">
        <f>Model!AC607*1000</f>
        <v>345780.00000000006</v>
      </c>
      <c r="AD182" s="144">
        <f>Model!AD607*1000</f>
        <v>350966.7</v>
      </c>
      <c r="AE182" s="144">
        <f>Model!AE607*1000</f>
        <v>356231.20049999992</v>
      </c>
      <c r="AF182" s="144">
        <f>Model!AF607*1000</f>
        <v>363355.82450999995</v>
      </c>
      <c r="AG182" s="144">
        <f>Model!AG607*1000</f>
        <v>370622.94100019993</v>
      </c>
      <c r="AH182" s="144">
        <f>Model!AH607*1000</f>
        <v>379888.5145252049</v>
      </c>
      <c r="AI182" s="144">
        <f>Model!AI607*1000</f>
        <v>389385.72738833498</v>
      </c>
      <c r="AJ182" s="144"/>
      <c r="AK182" s="144"/>
      <c r="AL182" s="144"/>
      <c r="AM182" s="144"/>
      <c r="AN182" s="144"/>
      <c r="AO182" s="144"/>
      <c r="AP182" s="144"/>
      <c r="AQ182" s="144"/>
      <c r="AU182" s="144">
        <f>Model!AU607*1000</f>
        <v>236750</v>
      </c>
      <c r="AV182" s="144">
        <f>Model!AV607*1000</f>
        <v>259000</v>
      </c>
      <c r="AW182" s="144">
        <f>Model!AW607*1000</f>
        <v>280750</v>
      </c>
      <c r="AX182" s="144">
        <f>Model!AX607*1000</f>
        <v>288250</v>
      </c>
      <c r="AY182" s="144">
        <f>Model!AY607*1000</f>
        <v>302500</v>
      </c>
      <c r="AZ182" s="144">
        <f>Model!AZ607*1000</f>
        <v>316000</v>
      </c>
      <c r="BA182" s="144">
        <f>Model!BA607*1000</f>
        <v>347994.47512499994</v>
      </c>
      <c r="BB182" s="144">
        <f>Model!BB607*1000</f>
        <v>375813.25185593491</v>
      </c>
      <c r="BC182" s="144">
        <f>Model!BC607*1000</f>
        <v>402120.17948585044</v>
      </c>
      <c r="BD182" s="144">
        <f>Model!BD607*1000</f>
        <v>430268.59204985999</v>
      </c>
      <c r="BE182" s="144">
        <f>Model!BE607*1000</f>
        <v>456084.70757285156</v>
      </c>
    </row>
    <row r="183" spans="1:57" s="916" customFormat="1" x14ac:dyDescent="0.2">
      <c r="A183" s="238" t="s">
        <v>1111</v>
      </c>
      <c r="B183" s="238"/>
      <c r="C183" s="238"/>
      <c r="D183" s="144">
        <f>Model!D457*1000</f>
        <v>137200</v>
      </c>
      <c r="E183" s="144">
        <f>Model!E457*1000</f>
        <v>133500</v>
      </c>
      <c r="F183" s="144">
        <f>Model!F457*1000</f>
        <v>134000</v>
      </c>
      <c r="G183" s="144">
        <f>Model!G457*1000</f>
        <v>134800</v>
      </c>
      <c r="H183" s="144">
        <f>Model!H457*1000</f>
        <v>133600</v>
      </c>
      <c r="I183" s="144">
        <f>Model!I457*1000</f>
        <v>130900</v>
      </c>
      <c r="J183" s="144">
        <f>Model!J457*1000</f>
        <v>131700</v>
      </c>
      <c r="K183" s="144">
        <f>Model!K457*1000</f>
        <v>138200</v>
      </c>
      <c r="L183" s="144">
        <f>Model!L457*1000</f>
        <v>137200</v>
      </c>
      <c r="M183" s="144">
        <f>Model!M457*1000</f>
        <v>135400</v>
      </c>
      <c r="N183" s="144">
        <f>Model!N457*1000</f>
        <v>135500</v>
      </c>
      <c r="O183" s="144">
        <f>Model!O457*1000</f>
        <v>135300</v>
      </c>
      <c r="P183" s="144">
        <f>Model!P457*1000</f>
        <v>132400</v>
      </c>
      <c r="Q183" s="144">
        <f>Model!Q457*1000</f>
        <v>129900</v>
      </c>
      <c r="R183" s="144">
        <f>Model!R457*1000</f>
        <v>129699.99999999999</v>
      </c>
      <c r="S183" s="144">
        <f>Model!S457*1000</f>
        <v>131500</v>
      </c>
      <c r="T183" s="144">
        <f>Model!T457*1000</f>
        <v>131300</v>
      </c>
      <c r="U183" s="144">
        <f>Model!U457*1000</f>
        <v>131900</v>
      </c>
      <c r="V183" s="144">
        <f>Model!V457*1000</f>
        <v>145500</v>
      </c>
      <c r="W183" s="144">
        <f>Model!W457*1000</f>
        <v>149300</v>
      </c>
      <c r="X183" s="144">
        <f>Model!X457*1000</f>
        <v>150800</v>
      </c>
      <c r="Y183" s="144">
        <f>Model!Y457*1000</f>
        <v>151500</v>
      </c>
      <c r="Z183" s="144">
        <f>Model!Z457*1000</f>
        <v>155400</v>
      </c>
      <c r="AA183" s="144">
        <f>Model!AA457*1000</f>
        <v>158200</v>
      </c>
      <c r="AB183" s="144">
        <f>Model!AB457*1000</f>
        <v>159200</v>
      </c>
      <c r="AC183" s="144">
        <f>Model!AC457*1000</f>
        <v>159519.5</v>
      </c>
      <c r="AD183" s="144">
        <f>Model!AD457*1000</f>
        <v>161433.6925</v>
      </c>
      <c r="AE183" s="144">
        <f>Model!AE457*1000</f>
        <v>164746.74434999999</v>
      </c>
      <c r="AF183" s="144">
        <f>Model!AF457*1000</f>
        <v>163693.96508624998</v>
      </c>
      <c r="AG183" s="144">
        <f>Model!AG457*1000</f>
        <v>164100.64635905551</v>
      </c>
      <c r="AH183" s="144">
        <f>Model!AH457*1000</f>
        <v>167108.29062340132</v>
      </c>
      <c r="AI183" s="144">
        <f>Model!AI457*1000</f>
        <v>171902.12564397266</v>
      </c>
      <c r="AJ183" s="144"/>
      <c r="AK183" s="144"/>
      <c r="AL183" s="144"/>
      <c r="AM183" s="144"/>
      <c r="AN183" s="144"/>
      <c r="AO183" s="144"/>
      <c r="AP183" s="144"/>
      <c r="AQ183" s="144"/>
      <c r="AS183" s="1160"/>
      <c r="AT183" s="1160"/>
      <c r="AU183" s="144">
        <f>Model!AU457*1000</f>
        <v>134875</v>
      </c>
      <c r="AV183" s="144">
        <f>Model!AV457*1000</f>
        <v>133600</v>
      </c>
      <c r="AW183" s="144">
        <f>Model!AW457*1000</f>
        <v>135850.00000000003</v>
      </c>
      <c r="AX183" s="144">
        <f>Model!AX457*1000</f>
        <v>130875</v>
      </c>
      <c r="AY183" s="144">
        <f>Model!AY457*1000</f>
        <v>139500</v>
      </c>
      <c r="AZ183" s="144">
        <f>Model!AZ457*1000</f>
        <v>153975.00000000003</v>
      </c>
      <c r="BA183" s="144">
        <f>Model!BA457*1000</f>
        <v>161224.98421250001</v>
      </c>
      <c r="BB183" s="144">
        <f>Model!BB457*1000</f>
        <v>166701.25692816987</v>
      </c>
      <c r="BC183" s="144">
        <f>Model!BC457*1000</f>
        <v>173637.78608693139</v>
      </c>
      <c r="BD183" s="144">
        <f>Model!BD457*1000</f>
        <v>180865.20035612505</v>
      </c>
      <c r="BE183" s="144">
        <f>Model!BE457*1000</f>
        <v>188395.80633737231</v>
      </c>
    </row>
    <row r="184" spans="1:57" s="916" customFormat="1" x14ac:dyDescent="0.2">
      <c r="A184" s="864" t="s">
        <v>570</v>
      </c>
      <c r="B184" s="238"/>
      <c r="C184" s="238"/>
      <c r="D184" s="144" t="str">
        <f>IFERROR(Model!D1057*1000,"NA")</f>
        <v>NA</v>
      </c>
      <c r="E184" s="144">
        <f>IFERROR(Model!E1057*1000,"NA")</f>
        <v>641150.00000000012</v>
      </c>
      <c r="F184" s="144">
        <f>IFERROR(Model!F1057*1000,"NA")</f>
        <v>650750</v>
      </c>
      <c r="G184" s="144">
        <f>IFERROR(Model!G1057*1000,"NA")</f>
        <v>647900.00000000012</v>
      </c>
      <c r="H184" s="144">
        <f>IFERROR(Model!H1057*1000,"NA")</f>
        <v>643850</v>
      </c>
      <c r="I184" s="144">
        <f>IFERROR(Model!I1057*1000,"NA")</f>
        <v>643400</v>
      </c>
      <c r="J184" s="144">
        <f>IFERROR(Model!J1057*1000,"NA")</f>
        <v>642650</v>
      </c>
      <c r="K184" s="144">
        <f>IFERROR(Model!K1057*1000,"NA")</f>
        <v>657000</v>
      </c>
      <c r="L184" s="144">
        <f>IFERROR(Model!L1057*1000,"NA")</f>
        <v>658200</v>
      </c>
      <c r="M184" s="144">
        <f>IFERROR(Model!M1057*1000,"NA")</f>
        <v>663349.99999999988</v>
      </c>
      <c r="N184" s="144">
        <f>IFERROR(Model!N1057*1000,"NA")</f>
        <v>659300</v>
      </c>
      <c r="O184" s="144">
        <f>IFERROR(Model!O1057*1000,"NA")</f>
        <v>650050</v>
      </c>
      <c r="P184" s="144">
        <f>IFERROR(Model!P1057*1000,"NA")</f>
        <v>633200</v>
      </c>
      <c r="Q184" s="144">
        <f>IFERROR(Model!Q1057*1000,"NA")</f>
        <v>627349.99999999988</v>
      </c>
      <c r="R184" s="144">
        <f>IFERROR(Model!R1057*1000,"NA")</f>
        <v>623450</v>
      </c>
      <c r="S184" s="144">
        <f>IFERROR(Model!S1057*1000,"NA")</f>
        <v>623750</v>
      </c>
      <c r="T184" s="144">
        <f>IFERROR(Model!T1057*1000,"NA")</f>
        <v>612250</v>
      </c>
      <c r="U184" s="144">
        <f>IFERROR(Model!U1057*1000,"NA")</f>
        <v>620500</v>
      </c>
      <c r="V184" s="144">
        <f>IFERROR(Model!V1057*1000,"NA")</f>
        <v>635400</v>
      </c>
      <c r="W184" s="144">
        <f>IFERROR(Model!W1057*1000,"NA")</f>
        <v>625849.99999999988</v>
      </c>
      <c r="X184" s="144">
        <f>IFERROR(Model!X1057*1000,"NA")</f>
        <v>623300</v>
      </c>
      <c r="Y184" s="144">
        <f>IFERROR(Model!Y1057*1000,"NA")</f>
        <v>634600</v>
      </c>
      <c r="Z184" s="144">
        <f>IFERROR(Model!Z1057*1000,"NA")</f>
        <v>646500</v>
      </c>
      <c r="AA184" s="144">
        <f>IFERROR(Model!AA1057*1000,"NA")</f>
        <v>654900</v>
      </c>
      <c r="AB184" s="144">
        <f>IFERROR(Model!AB1057*1000,"NA")</f>
        <v>667600</v>
      </c>
      <c r="AC184" s="144">
        <f>IFERROR(Model!AC1057*1000,"NA")</f>
        <v>674970.50000000012</v>
      </c>
      <c r="AD184" s="144">
        <f>IFERROR(Model!AD1057*1000,"NA")</f>
        <v>682887.17249999987</v>
      </c>
      <c r="AE184" s="144">
        <f>IFERROR(Model!AE1057*1000,"NA")</f>
        <v>693407.81544999988</v>
      </c>
      <c r="AF184" s="144">
        <f>IFERROR(Model!AF1057*1000,"NA")</f>
        <v>698991.58347474982</v>
      </c>
      <c r="AG184" s="144">
        <f>IFERROR(Model!AG1057*1000,"NA")</f>
        <v>707285.56645450299</v>
      </c>
      <c r="AH184" s="144">
        <f>IFERROR(Model!AH1057*1000,"NA")</f>
        <v>720125.12567191094</v>
      </c>
      <c r="AI184" s="144">
        <f>IFERROR(Model!AI1057*1000,"NA")</f>
        <v>735881.73509745777</v>
      </c>
      <c r="AJ184" s="144"/>
      <c r="AK184" s="144"/>
      <c r="AL184" s="144"/>
      <c r="AM184" s="144"/>
      <c r="AN184" s="144"/>
      <c r="AO184" s="144"/>
      <c r="AP184" s="144"/>
      <c r="AQ184" s="144"/>
      <c r="AS184" s="1160"/>
      <c r="AT184" s="1160"/>
      <c r="AU184" s="144">
        <f>IFERROR(Model!AU1057*1000,"NA")</f>
        <v>642625</v>
      </c>
      <c r="AV184" s="144">
        <f>IFERROR(Model!AV1057*1000,"NA")</f>
        <v>646725</v>
      </c>
      <c r="AW184" s="144">
        <f>IFERROR(Model!AW1057*1000,"NA")</f>
        <v>657725</v>
      </c>
      <c r="AX184" s="144">
        <f>IFERROR(Model!AX1057*1000,"NA")</f>
        <v>626937.5</v>
      </c>
      <c r="AY184" s="144">
        <f>IFERROR(Model!AY1057*1000,"NA")</f>
        <v>623500</v>
      </c>
      <c r="AZ184" s="144">
        <f>IFERROR(Model!AZ1057*1000,"NA")</f>
        <v>639825</v>
      </c>
      <c r="BA184" s="144">
        <f>IFERROR(Model!BA1057*1000,"NA")</f>
        <v>679716.3719875</v>
      </c>
      <c r="BB184" s="144">
        <f>IFERROR(Model!BB1057*1000,"NA")</f>
        <v>715571.00267465529</v>
      </c>
      <c r="BC184" s="144">
        <f>IFERROR(Model!BC1057*1000,"NA")</f>
        <v>752884.16436881316</v>
      </c>
      <c r="BD184" s="144">
        <f>IFERROR(Model!BD1057*1000,"NA")</f>
        <v>793596.32668285444</v>
      </c>
      <c r="BE184" s="144">
        <f>IFERROR(Model!BE1057*1000,"NA")</f>
        <v>833242.96683645051</v>
      </c>
    </row>
    <row r="185" spans="1:57" s="916" customFormat="1" x14ac:dyDescent="0.2">
      <c r="A185" s="238" t="s">
        <v>1112</v>
      </c>
      <c r="B185" s="238"/>
      <c r="C185" s="238"/>
      <c r="D185" s="50">
        <f>Model!D888</f>
        <v>1032622</v>
      </c>
      <c r="E185" s="50">
        <f>Model!E888</f>
        <v>1035497</v>
      </c>
      <c r="F185" s="50">
        <f>Model!F888</f>
        <v>1023740</v>
      </c>
      <c r="G185" s="50">
        <f>Model!G888</f>
        <v>1016553</v>
      </c>
      <c r="H185" s="50">
        <f>Model!H888</f>
        <v>1011566</v>
      </c>
      <c r="I185" s="50">
        <f>Model!I888</f>
        <v>1023602</v>
      </c>
      <c r="J185" s="50">
        <f>Model!J888</f>
        <v>997122</v>
      </c>
      <c r="K185" s="50">
        <f>Model!K888</f>
        <v>1008908</v>
      </c>
      <c r="L185" s="50">
        <f>Model!L888</f>
        <v>1006155</v>
      </c>
      <c r="M185" s="50">
        <f>Model!M888</f>
        <v>1022554</v>
      </c>
      <c r="N185" s="50">
        <f>Model!N888</f>
        <v>1016841</v>
      </c>
      <c r="O185" s="50">
        <f>Model!O888</f>
        <v>1009523</v>
      </c>
      <c r="P185" s="50">
        <f>Model!P888</f>
        <v>990451</v>
      </c>
      <c r="Q185" s="50">
        <f>Model!Q888</f>
        <v>995950</v>
      </c>
      <c r="R185" s="50">
        <f>Model!R888</f>
        <v>978949</v>
      </c>
      <c r="S185" s="50">
        <f>Model!S888</f>
        <v>947945</v>
      </c>
      <c r="T185" s="50">
        <f>Model!T888</f>
        <v>950388</v>
      </c>
      <c r="U185" s="50">
        <f>Model!U888</f>
        <v>974614</v>
      </c>
      <c r="V185" s="50">
        <f>Model!V888</f>
        <v>975230</v>
      </c>
      <c r="W185" s="50">
        <f>Model!W888</f>
        <v>979898</v>
      </c>
      <c r="X185" s="50">
        <f>Model!X888</f>
        <v>1001739</v>
      </c>
      <c r="Y185" s="50">
        <f>Model!Y888</f>
        <v>1028299</v>
      </c>
      <c r="Z185" s="50">
        <f>Model!Z888</f>
        <v>1040703</v>
      </c>
      <c r="AA185" s="50">
        <f>Model!AA888</f>
        <v>1058445</v>
      </c>
      <c r="AB185" s="50">
        <f>Model!AB888</f>
        <v>1060311</v>
      </c>
      <c r="AC185" s="50">
        <f>Model!AC888</f>
        <v>1060311</v>
      </c>
      <c r="AD185" s="50">
        <f>Model!AD888</f>
        <v>1060311</v>
      </c>
      <c r="AE185" s="50">
        <f>Model!AE888</f>
        <v>1060311</v>
      </c>
      <c r="AF185" s="50">
        <f>Model!AF888</f>
        <v>1065612.5549999999</v>
      </c>
      <c r="AG185" s="50">
        <f>Model!AG888</f>
        <v>1070940.6177749999</v>
      </c>
      <c r="AH185" s="50">
        <f>Model!AH888</f>
        <v>1076295.3208638749</v>
      </c>
      <c r="AI185" s="50">
        <f>Model!AI888</f>
        <v>1081676.797468194</v>
      </c>
      <c r="AJ185" s="50"/>
      <c r="AK185" s="50"/>
      <c r="AL185" s="50"/>
      <c r="AM185" s="50"/>
      <c r="AN185" s="50"/>
      <c r="AO185" s="50"/>
      <c r="AP185" s="50"/>
      <c r="AQ185" s="50"/>
      <c r="AS185" s="1160"/>
      <c r="AT185" s="1160"/>
      <c r="AU185" s="50">
        <f>Model!AU888</f>
        <v>1027103</v>
      </c>
      <c r="AV185" s="50">
        <f>Model!AV888</f>
        <v>1010299.5</v>
      </c>
      <c r="AW185" s="50">
        <f>Model!AW888</f>
        <v>1013768.25</v>
      </c>
      <c r="AX185" s="50">
        <f>Model!AX888</f>
        <v>978323.75</v>
      </c>
      <c r="AY185" s="50">
        <f>Model!AY888</f>
        <v>970032.5</v>
      </c>
      <c r="AZ185" s="50">
        <f>Model!AZ888</f>
        <v>1032296.5</v>
      </c>
      <c r="BA185" s="50">
        <f>Model!BA888</f>
        <v>1060311</v>
      </c>
      <c r="BB185" s="50">
        <f>Model!BB888</f>
        <v>1073631.3227767672</v>
      </c>
      <c r="BC185" s="50">
        <f>Model!BC888</f>
        <v>1084367.6360045348</v>
      </c>
      <c r="BD185" s="50">
        <f>Model!BD888</f>
        <v>1106054.9887246254</v>
      </c>
      <c r="BE185" s="50">
        <f>Model!BE888</f>
        <v>1128176.0884991179</v>
      </c>
    </row>
    <row r="186" spans="1:57" s="1157" customFormat="1" x14ac:dyDescent="0.2">
      <c r="A186" s="238" t="s">
        <v>1153</v>
      </c>
      <c r="B186" s="238"/>
      <c r="C186" s="238"/>
      <c r="D186" s="50">
        <f>Model!D889</f>
        <v>1679633</v>
      </c>
      <c r="E186" s="50">
        <f>Model!E889</f>
        <v>1681733</v>
      </c>
      <c r="F186" s="50">
        <f>Model!F889</f>
        <v>1677579</v>
      </c>
      <c r="G186" s="50">
        <f>Model!G889</f>
        <v>1666124</v>
      </c>
      <c r="H186" s="50">
        <f>Model!H889</f>
        <v>1654629</v>
      </c>
      <c r="I186" s="50">
        <f>Model!I889</f>
        <v>1665972</v>
      </c>
      <c r="J186" s="50">
        <f>Model!J889</f>
        <v>1642576</v>
      </c>
      <c r="K186" s="50">
        <f>Model!K889</f>
        <v>1668254</v>
      </c>
      <c r="L186" s="50">
        <f>Model!L889</f>
        <v>1664861</v>
      </c>
      <c r="M186" s="50">
        <f>Model!M889</f>
        <v>1687625</v>
      </c>
      <c r="N186" s="50">
        <f>Model!N889</f>
        <v>1675943</v>
      </c>
      <c r="O186" s="50">
        <f>Model!O889</f>
        <v>1660342</v>
      </c>
      <c r="P186" s="50">
        <f>Model!P889</f>
        <v>1625316</v>
      </c>
      <c r="Q186" s="50">
        <f>Model!Q889</f>
        <v>1622976</v>
      </c>
      <c r="R186" s="50">
        <f>Model!R889</f>
        <v>1602154</v>
      </c>
      <c r="S186" s="50">
        <f>Model!S889</f>
        <v>1572892</v>
      </c>
      <c r="T186" s="50">
        <f>Model!T889</f>
        <v>1562628</v>
      </c>
      <c r="U186" s="50">
        <f>Model!U889</f>
        <v>1595262</v>
      </c>
      <c r="V186" s="50">
        <f>Model!V889</f>
        <v>1611001</v>
      </c>
      <c r="W186" s="50">
        <f>Model!W889</f>
        <v>1605926</v>
      </c>
      <c r="X186" s="50">
        <f>Model!X889</f>
        <v>1625077</v>
      </c>
      <c r="Y186" s="50">
        <f>Model!Y889</f>
        <v>1662627</v>
      </c>
      <c r="Z186" s="50">
        <f>Model!Z889</f>
        <v>1687024</v>
      </c>
      <c r="AA186" s="50">
        <f>Model!AA889</f>
        <v>1712396</v>
      </c>
      <c r="AB186" s="50">
        <f>Model!AB889</f>
        <v>1728236</v>
      </c>
      <c r="AC186" s="50">
        <f>Model!AC889</f>
        <v>1735281.5</v>
      </c>
      <c r="AD186" s="50">
        <f>Model!AD889</f>
        <v>1743198.1724999999</v>
      </c>
      <c r="AE186" s="50">
        <f>Model!AE889</f>
        <v>1753718.8154499999</v>
      </c>
      <c r="AF186" s="50">
        <f>Model!AF889</f>
        <v>1764604.1384747499</v>
      </c>
      <c r="AG186" s="50">
        <f>Model!AG889</f>
        <v>1778226.1842295029</v>
      </c>
      <c r="AH186" s="50">
        <f>Model!AH889</f>
        <v>1796420.4465357857</v>
      </c>
      <c r="AI186" s="50">
        <f>Model!AI889</f>
        <v>1817558.5325656519</v>
      </c>
      <c r="AJ186" s="50"/>
      <c r="AK186" s="50"/>
      <c r="AL186" s="50"/>
      <c r="AM186" s="50"/>
      <c r="AN186" s="50"/>
      <c r="AO186" s="50"/>
      <c r="AP186" s="50"/>
      <c r="AQ186" s="50"/>
      <c r="AS186" s="1160"/>
      <c r="AT186" s="1160"/>
      <c r="AU186" s="50">
        <f>Model!AU889</f>
        <v>1676267.25</v>
      </c>
      <c r="AV186" s="50">
        <f>Model!AV889</f>
        <v>1657857.75</v>
      </c>
      <c r="AW186" s="50">
        <f>Model!AW889</f>
        <v>1672192.75</v>
      </c>
      <c r="AX186" s="50">
        <f>Model!AX889</f>
        <v>1605834.5</v>
      </c>
      <c r="AY186" s="50">
        <f>Model!AY889</f>
        <v>1593704.25</v>
      </c>
      <c r="AZ186" s="50">
        <f>Model!AZ889</f>
        <v>1671781</v>
      </c>
      <c r="BA186" s="50">
        <f>Model!BA889</f>
        <v>1740108.6219875</v>
      </c>
      <c r="BB186" s="50">
        <f>Model!BB889</f>
        <v>1789202.3254514225</v>
      </c>
      <c r="BC186" s="50">
        <f>Model!BC889</f>
        <v>1837251.8003733479</v>
      </c>
      <c r="BD186" s="50">
        <f>Model!BD889</f>
        <v>1899651.3154074799</v>
      </c>
      <c r="BE186" s="50">
        <f>Model!BE889</f>
        <v>1961419.0553355683</v>
      </c>
    </row>
    <row r="187" spans="1:57" x14ac:dyDescent="0.2">
      <c r="A187" s="238" t="s">
        <v>66</v>
      </c>
      <c r="B187" s="238"/>
      <c r="C187" s="238"/>
      <c r="D187" s="33">
        <f>Model!D896</f>
        <v>1911800</v>
      </c>
      <c r="E187" s="33">
        <f>Model!E896</f>
        <v>1916100</v>
      </c>
      <c r="F187" s="33">
        <f>Model!F896</f>
        <v>1909400</v>
      </c>
      <c r="G187" s="33">
        <f>Model!G896</f>
        <v>1905400</v>
      </c>
      <c r="H187" s="33">
        <f>Model!H896</f>
        <v>1886800</v>
      </c>
      <c r="I187" s="33">
        <f>Model!I896</f>
        <v>1898900</v>
      </c>
      <c r="J187" s="33">
        <f>Model!J896</f>
        <v>1857100</v>
      </c>
      <c r="K187" s="33">
        <f>Model!K896</f>
        <v>1888000</v>
      </c>
      <c r="L187" s="33">
        <f>Model!L896</f>
        <v>1888300</v>
      </c>
      <c r="M187" s="33">
        <f>Model!M896</f>
        <v>1903300</v>
      </c>
      <c r="N187" s="33">
        <f>Model!N896</f>
        <v>1895400</v>
      </c>
      <c r="O187" s="33">
        <f>Model!O896</f>
        <v>1900200</v>
      </c>
      <c r="P187" s="33">
        <f>Model!P896</f>
        <v>1853100</v>
      </c>
      <c r="Q187" s="33">
        <f>Model!Q896</f>
        <v>1839700</v>
      </c>
      <c r="R187" s="33">
        <f>Model!R896</f>
        <v>1818400</v>
      </c>
      <c r="S187" s="33">
        <f>Model!S896</f>
        <v>1784300</v>
      </c>
      <c r="T187" s="33">
        <f>Model!T896</f>
        <v>1777600</v>
      </c>
      <c r="U187" s="33">
        <f>Model!U896</f>
        <v>1807300</v>
      </c>
      <c r="V187" s="33">
        <f>Model!V896</f>
        <v>1830200</v>
      </c>
      <c r="W187" s="33">
        <f>Model!W896</f>
        <v>1819800</v>
      </c>
      <c r="X187" s="33">
        <f>Model!X896</f>
        <v>1830600</v>
      </c>
      <c r="Y187" s="33">
        <f>Model!Y896</f>
        <v>1869200</v>
      </c>
      <c r="Z187" s="33">
        <f>Model!Z896</f>
        <v>1892300</v>
      </c>
      <c r="AA187" s="33">
        <f>Model!AA896</f>
        <v>1909700</v>
      </c>
      <c r="AB187" s="33">
        <f>Model!AB896</f>
        <v>1904200</v>
      </c>
      <c r="AC187" s="33">
        <f>Model!AC896</f>
        <v>1911959.7826231329</v>
      </c>
      <c r="AD187" s="33">
        <f>Model!AD896</f>
        <v>1920408.6290756604</v>
      </c>
      <c r="AE187" s="33">
        <f>Model!AE896</f>
        <v>1931687.7845540701</v>
      </c>
      <c r="AF187" s="33">
        <f>Model!AF896</f>
        <v>1943366.4343166202</v>
      </c>
      <c r="AG187" s="33">
        <f>Model!AG896</f>
        <v>1958036.4300626116</v>
      </c>
      <c r="AH187" s="33">
        <f>Model!AH896</f>
        <v>1977685.4389973814</v>
      </c>
      <c r="AI187" s="33">
        <f>Model!AI896</f>
        <v>2000537.3651384942</v>
      </c>
      <c r="AJ187" s="33"/>
      <c r="AK187" s="33"/>
      <c r="AL187" s="33"/>
      <c r="AM187" s="33"/>
      <c r="AN187" s="33"/>
      <c r="AO187" s="33"/>
      <c r="AP187" s="33"/>
      <c r="AQ187" s="33"/>
      <c r="AU187" s="33">
        <f>Model!AU896</f>
        <v>1910675</v>
      </c>
      <c r="AV187" s="33">
        <f>Model!AV896</f>
        <v>1882700</v>
      </c>
      <c r="AW187" s="33">
        <f>Model!AW896</f>
        <v>1896800</v>
      </c>
      <c r="AX187" s="33">
        <f>Model!AX896</f>
        <v>1823875</v>
      </c>
      <c r="AY187" s="33">
        <f>Model!AY896</f>
        <v>1808725</v>
      </c>
      <c r="AZ187" s="33">
        <f>Model!AZ896</f>
        <v>1875450</v>
      </c>
      <c r="BA187" s="33">
        <f>Model!BA896</f>
        <v>1917064.0490632157</v>
      </c>
      <c r="BB187" s="33">
        <f>Model!BB896</f>
        <v>1969906.4171287769</v>
      </c>
      <c r="BC187" s="33">
        <f>Model!BC896</f>
        <v>2021424.1657135654</v>
      </c>
      <c r="BD187" s="33">
        <f>Model!BD896</f>
        <v>2088519.8111549076</v>
      </c>
      <c r="BE187" s="33">
        <f>Model!BE896</f>
        <v>2154810.7160231196</v>
      </c>
    </row>
    <row r="188" spans="1:57" x14ac:dyDescent="0.2">
      <c r="A188" s="238" t="s">
        <v>749</v>
      </c>
      <c r="B188" s="238"/>
      <c r="C188" s="238"/>
      <c r="D188" s="144" t="s">
        <v>229</v>
      </c>
      <c r="E188" s="33">
        <f>Model!E896-Model!E893-Model!E892</f>
        <v>1884169</v>
      </c>
      <c r="F188" s="33">
        <f>Model!F896-Model!F893-Model!F892</f>
        <v>1877641.5</v>
      </c>
      <c r="G188" s="33">
        <f>Model!G896-Model!G893-Model!G892</f>
        <v>1873776</v>
      </c>
      <c r="H188" s="33">
        <f>Model!H896-Model!H893-Model!H892</f>
        <v>1855649.5</v>
      </c>
      <c r="I188" s="33">
        <f>Model!I896-Model!I893-Model!I892</f>
        <v>1868496</v>
      </c>
      <c r="J188" s="33">
        <f>Model!J896-Model!J893-Model!J892</f>
        <v>1827168.5</v>
      </c>
      <c r="K188" s="33">
        <f>Model!K896-Model!K893-Model!K892</f>
        <v>1857974.5</v>
      </c>
      <c r="L188" s="33">
        <f>Model!L896-Model!L893-Model!L892</f>
        <v>1858318</v>
      </c>
      <c r="M188" s="33">
        <f>Model!M896-Model!M893-Model!M892</f>
        <v>1873456</v>
      </c>
      <c r="N188" s="33">
        <f>Model!N896-Model!N893-Model!N892</f>
        <v>1865993</v>
      </c>
      <c r="O188" s="33">
        <f>Model!O896-Model!O893-Model!O892</f>
        <v>1871608.5</v>
      </c>
      <c r="P188" s="33">
        <f>Model!P896-Model!P893-Model!P892</f>
        <v>1825324</v>
      </c>
      <c r="Q188" s="33">
        <f>Model!Q896-Model!Q893-Model!Q892</f>
        <v>1812461.5</v>
      </c>
      <c r="R188" s="33">
        <f>Model!R896-Model!R893-Model!R892</f>
        <v>1791696.5</v>
      </c>
      <c r="S188" s="33">
        <f>Model!S896-Model!S893-Model!S892</f>
        <v>1758103</v>
      </c>
      <c r="T188" s="33">
        <f>Model!T896-Model!T893-Model!T892</f>
        <v>1751531</v>
      </c>
      <c r="U188" s="33">
        <f>Model!U896-Model!U893-Model!U892</f>
        <v>1780257.5</v>
      </c>
      <c r="V188" s="33">
        <f>Model!V896-Model!V893-Model!V892</f>
        <v>1802243</v>
      </c>
      <c r="W188" s="33">
        <f>Model!W896-Model!W893-Model!W892</f>
        <v>1792465</v>
      </c>
      <c r="X188" s="33">
        <f>Model!X896-Model!X893-Model!X892</f>
        <v>1803574.5</v>
      </c>
      <c r="Y188" s="33">
        <f>Model!Y896-Model!Y893-Model!Y892</f>
        <v>1841943</v>
      </c>
      <c r="Z188" s="33">
        <f>Model!Z896-Model!Z893-Model!Z892</f>
        <v>1865143.5</v>
      </c>
      <c r="AA188" s="33">
        <f>Model!AA896-Model!AA893-Model!AA892</f>
        <v>1882739.5</v>
      </c>
      <c r="AB188" s="33">
        <f>Model!AB896-Model!AB893-Model!AB892</f>
        <v>1877223.5</v>
      </c>
      <c r="AC188" s="33">
        <f>Model!AC896-Model!AC893-Model!AC892</f>
        <v>1884850.7826231329</v>
      </c>
      <c r="AD188" s="33">
        <f>Model!AD896-Model!AD893-Model!AD892</f>
        <v>1893299.6290756604</v>
      </c>
      <c r="AE188" s="33">
        <f>Model!AE896-Model!AE893-Model!AE892</f>
        <v>1904578.7845540701</v>
      </c>
      <c r="AF188" s="33">
        <f>Model!AF896-Model!AF893-Model!AF892</f>
        <v>1916257.4343166202</v>
      </c>
      <c r="AG188" s="33">
        <f>Model!AG896-Model!AG893-Model!AG892</f>
        <v>1930927.4300626116</v>
      </c>
      <c r="AH188" s="33">
        <f>Model!AH896-Model!AH893-Model!AH892</f>
        <v>1950576.4389973814</v>
      </c>
      <c r="AI188" s="33">
        <f>Model!AI896-Model!AI893-Model!AI892</f>
        <v>1973428.3651384942</v>
      </c>
      <c r="AJ188" s="33"/>
      <c r="AK188" s="33"/>
      <c r="AL188" s="33"/>
      <c r="AM188" s="33"/>
      <c r="AN188" s="33"/>
      <c r="AO188" s="33"/>
      <c r="AP188" s="33"/>
      <c r="AQ188" s="33"/>
      <c r="AU188" s="33">
        <f>Model!AU896-Model!AU893-Model!AU892</f>
        <v>1878903.8333333333</v>
      </c>
      <c r="AV188" s="33">
        <f>Model!AV896-Model!AV893-Model!AV892</f>
        <v>1852322.125</v>
      </c>
      <c r="AW188" s="33">
        <f>Model!AW896-Model!AW893-Model!AW892</f>
        <v>1867343.875</v>
      </c>
      <c r="AX188" s="33">
        <f>Model!AX896-Model!AX893-Model!AX892</f>
        <v>1796896.25</v>
      </c>
      <c r="AY188" s="33">
        <f>Model!AY896-Model!AY893-Model!AY892</f>
        <v>1781624.125</v>
      </c>
      <c r="AZ188" s="33">
        <f>Model!AZ896-Model!AZ893-Model!AZ892</f>
        <v>1848350.125</v>
      </c>
      <c r="BA188" s="33">
        <f>Model!BA896-Model!BA893-Model!BA892</f>
        <v>1889988.1740632157</v>
      </c>
      <c r="BB188" s="33">
        <f>Model!BB896-Model!BB893-Model!BB892</f>
        <v>1942797.4171287769</v>
      </c>
      <c r="BC188" s="33">
        <f>Model!BC896-Model!BC893-Model!BC892</f>
        <v>1994315.1657135654</v>
      </c>
      <c r="BD188" s="33">
        <f>Model!BD896-Model!BD893-Model!BD892</f>
        <v>2061410.8111549076</v>
      </c>
      <c r="BE188" s="33">
        <f>Model!BE896-Model!BE893-Model!BE892</f>
        <v>2127701.7160231196</v>
      </c>
    </row>
    <row r="189" spans="1:57" x14ac:dyDescent="0.2">
      <c r="A189" s="238" t="s">
        <v>750</v>
      </c>
      <c r="B189" s="238"/>
      <c r="C189" s="238"/>
      <c r="D189" s="144" t="str">
        <f>Model!D922</f>
        <v>NA</v>
      </c>
      <c r="E189" s="144">
        <f>Model!E922</f>
        <v>182228</v>
      </c>
      <c r="F189" s="144">
        <f>Model!F922</f>
        <v>184704</v>
      </c>
      <c r="G189" s="144">
        <f>Model!G922</f>
        <v>186152.5</v>
      </c>
      <c r="H189" s="144">
        <f>Model!H922</f>
        <v>188005</v>
      </c>
      <c r="I189" s="144">
        <f>Model!I922</f>
        <v>190563.5</v>
      </c>
      <c r="J189" s="144">
        <f>Model!J922</f>
        <v>193264</v>
      </c>
      <c r="K189" s="144">
        <f>Model!K922</f>
        <v>196255</v>
      </c>
      <c r="L189" s="144">
        <f>Model!L922</f>
        <v>199076</v>
      </c>
      <c r="M189" s="144">
        <f>Model!M922</f>
        <v>201473</v>
      </c>
      <c r="N189" s="144">
        <f>Model!N922</f>
        <v>202504</v>
      </c>
      <c r="O189" s="144">
        <f>Model!O922</f>
        <v>201338.5</v>
      </c>
      <c r="P189" s="144">
        <f>Model!P922</f>
        <v>201184.5</v>
      </c>
      <c r="Q189" s="144">
        <f>Model!Q922</f>
        <v>204062</v>
      </c>
      <c r="R189" s="144">
        <f>Model!R922</f>
        <v>205551</v>
      </c>
      <c r="S189" s="144">
        <f>Model!S922</f>
        <v>205384.5</v>
      </c>
      <c r="T189" s="144">
        <f>Model!T922</f>
        <v>207454</v>
      </c>
      <c r="U189" s="144">
        <f>Model!U922</f>
        <v>211202</v>
      </c>
      <c r="V189" s="144">
        <f>Model!V922</f>
        <v>212478.5</v>
      </c>
      <c r="W189" s="144">
        <f>Model!W922</f>
        <v>209094.5</v>
      </c>
      <c r="X189" s="144">
        <f>Model!X922</f>
        <v>207373</v>
      </c>
      <c r="Y189" s="144">
        <f>Model!Y922</f>
        <v>209822.5</v>
      </c>
      <c r="Z189" s="144">
        <f>Model!Z922</f>
        <v>209573.5</v>
      </c>
      <c r="AA189" s="144">
        <f>Model!AA922</f>
        <v>194934</v>
      </c>
      <c r="AB189" s="144">
        <f>Model!AB922</f>
        <v>182123</v>
      </c>
      <c r="AC189" s="144">
        <f>Model!AC922</f>
        <v>183361.29036385831</v>
      </c>
      <c r="AD189" s="144">
        <f>Model!AD922</f>
        <v>183006.6451249746</v>
      </c>
      <c r="AE189" s="144">
        <f>Model!AE922</f>
        <v>180913.59406709397</v>
      </c>
      <c r="AF189" s="144">
        <f>Model!AF922</f>
        <v>179353.11556756042</v>
      </c>
      <c r="AG189" s="144">
        <f>Model!AG922</f>
        <v>178206.85566515638</v>
      </c>
      <c r="AH189" s="144">
        <f>Model!AH922</f>
        <v>176929.1428302289</v>
      </c>
      <c r="AI189" s="144">
        <f>Model!AI922</f>
        <v>175688.46233229578</v>
      </c>
      <c r="AJ189" s="144"/>
      <c r="AK189" s="144"/>
      <c r="AL189" s="144"/>
      <c r="AM189" s="144"/>
      <c r="AN189" s="144"/>
      <c r="AO189" s="144"/>
      <c r="AP189" s="144"/>
      <c r="AQ189" s="144"/>
      <c r="AU189" s="144">
        <f>Model!AU922</f>
        <v>184361.5</v>
      </c>
      <c r="AV189" s="144">
        <f>Model!AV922</f>
        <v>192021.875</v>
      </c>
      <c r="AW189" s="144">
        <f>Model!AW922</f>
        <v>201097.875</v>
      </c>
      <c r="AX189" s="144">
        <f>Model!AX922</f>
        <v>204045.5</v>
      </c>
      <c r="AY189" s="144">
        <f>Model!AY922</f>
        <v>210057.25</v>
      </c>
      <c r="AZ189" s="144">
        <f>Model!AZ922</f>
        <v>205425.75</v>
      </c>
      <c r="BA189" s="144">
        <f>Model!BA922</f>
        <v>182351.13238898173</v>
      </c>
      <c r="BB189" s="144">
        <f>Model!BB922</f>
        <v>177544.39409881039</v>
      </c>
      <c r="BC189" s="144">
        <f>Model!BC922</f>
        <v>176139.8028218688</v>
      </c>
      <c r="BD189" s="144">
        <f>Model!BD922</f>
        <v>179911.46688478009</v>
      </c>
      <c r="BE189" s="144">
        <f>Model!BE922</f>
        <v>185291.75734547881</v>
      </c>
    </row>
    <row r="190" spans="1:57" x14ac:dyDescent="0.2">
      <c r="A190" s="238" t="s">
        <v>751</v>
      </c>
      <c r="B190" s="238"/>
      <c r="C190" s="238"/>
      <c r="D190" s="144" t="str">
        <f>Model!D1313</f>
        <v>NA</v>
      </c>
      <c r="E190" s="33">
        <f>Model!E1313</f>
        <v>150256</v>
      </c>
      <c r="F190" s="33">
        <f>Model!F1313</f>
        <v>152890.5</v>
      </c>
      <c r="G190" s="33">
        <f>Model!G1313</f>
        <v>154460.5</v>
      </c>
      <c r="H190" s="33">
        <f>Model!H1313</f>
        <v>156821.5</v>
      </c>
      <c r="I190" s="33">
        <f>Model!I1313</f>
        <v>160025</v>
      </c>
      <c r="J190" s="33">
        <f>Model!J1313</f>
        <v>163065.5</v>
      </c>
      <c r="K190" s="33">
        <f>Model!K1313</f>
        <v>166096</v>
      </c>
      <c r="L190" s="33">
        <f>Model!L1313</f>
        <v>169094</v>
      </c>
      <c r="M190" s="33">
        <f>Model!M1313</f>
        <v>171571</v>
      </c>
      <c r="N190" s="33">
        <f>Model!N1313</f>
        <v>173039</v>
      </c>
      <c r="O190" s="33">
        <f>Model!O1313</f>
        <v>172711.5</v>
      </c>
      <c r="P190" s="33">
        <f>Model!P1313</f>
        <v>173224.5</v>
      </c>
      <c r="Q190" s="33">
        <f>Model!Q1313</f>
        <v>176538</v>
      </c>
      <c r="R190" s="33">
        <f>Model!R1313</f>
        <v>178538</v>
      </c>
      <c r="S190" s="33">
        <f>Model!S1313</f>
        <v>178981</v>
      </c>
      <c r="T190" s="33">
        <f>Model!T1313</f>
        <v>181336</v>
      </c>
      <c r="U190" s="33">
        <f>Model!U1313</f>
        <v>184129.5</v>
      </c>
      <c r="V190" s="33">
        <f>Model!V1313</f>
        <v>184491.5</v>
      </c>
      <c r="W190" s="33">
        <f>Model!W1313</f>
        <v>181708.5</v>
      </c>
      <c r="X190" s="33">
        <f>Model!X1313</f>
        <v>180287.5</v>
      </c>
      <c r="Y190" s="33">
        <f>Model!Y1313</f>
        <v>182481.5</v>
      </c>
      <c r="Z190" s="33">
        <f>Model!Z1313</f>
        <v>182333</v>
      </c>
      <c r="AA190" s="33">
        <f>Model!AA1313</f>
        <v>167933.5</v>
      </c>
      <c r="AB190" s="33">
        <f>Model!AB1313</f>
        <v>155106.5</v>
      </c>
      <c r="AC190" s="33">
        <f>Model!AC1313</f>
        <v>156228.29036385831</v>
      </c>
      <c r="AD190" s="33">
        <f>Model!AD1313</f>
        <v>155897.6451249746</v>
      </c>
      <c r="AE190" s="33">
        <f>Model!AE1313</f>
        <v>153804.59406709397</v>
      </c>
      <c r="AF190" s="33">
        <f>Model!AF1313</f>
        <v>152244.11556756042</v>
      </c>
      <c r="AG190" s="33">
        <f>Model!AG1313</f>
        <v>151097.85566515638</v>
      </c>
      <c r="AH190" s="33">
        <f>Model!AH1313</f>
        <v>149820.1428302289</v>
      </c>
      <c r="AI190" s="33">
        <f>Model!AI1313</f>
        <v>148579.46233229578</v>
      </c>
      <c r="AJ190" s="33"/>
      <c r="AK190" s="33"/>
      <c r="AL190" s="33"/>
      <c r="AM190" s="33"/>
      <c r="AN190" s="33"/>
      <c r="AO190" s="33"/>
      <c r="AP190" s="33"/>
      <c r="AQ190" s="33"/>
      <c r="AU190" s="33">
        <f>Model!AU1313</f>
        <v>152535.66666666666</v>
      </c>
      <c r="AV190" s="33">
        <f>Model!AV1313</f>
        <v>161502</v>
      </c>
      <c r="AW190" s="33">
        <f>Model!AW1313</f>
        <v>171603.875</v>
      </c>
      <c r="AX190" s="33">
        <f>Model!AX1313</f>
        <v>176820.375</v>
      </c>
      <c r="AY190" s="33">
        <f>Model!AY1313</f>
        <v>182916.375</v>
      </c>
      <c r="AZ190" s="33">
        <f>Model!AZ1313</f>
        <v>178258.875</v>
      </c>
      <c r="BA190" s="33">
        <f>Model!BA1313</f>
        <v>155259.25738898173</v>
      </c>
      <c r="BB190" s="33">
        <f>Model!BB1313</f>
        <v>150435.39409881039</v>
      </c>
      <c r="BC190" s="33">
        <f>Model!BC1313</f>
        <v>149030.8028218688</v>
      </c>
      <c r="BD190" s="33">
        <f>Model!BD1313</f>
        <v>152802.46688478009</v>
      </c>
      <c r="BE190" s="33">
        <f>Model!BE1313</f>
        <v>158182.75734547881</v>
      </c>
    </row>
    <row r="191" spans="1:57" s="1705" customFormat="1" x14ac:dyDescent="0.2">
      <c r="A191" s="238" t="s">
        <v>1421</v>
      </c>
      <c r="B191" s="238"/>
      <c r="C191" s="238"/>
      <c r="D191" s="33"/>
      <c r="E191" s="33">
        <f>Model!E916+Model!E922-Model!E893-Model!E892</f>
        <v>150609</v>
      </c>
      <c r="F191" s="33">
        <f>Model!F916+Model!F922-Model!F893-Model!F892</f>
        <v>153257.5</v>
      </c>
      <c r="G191" s="33">
        <f>Model!G916+Model!G922-Model!G893-Model!G892</f>
        <v>155965.5</v>
      </c>
      <c r="H191" s="33">
        <f>Model!H916+Model!H922-Model!H893-Model!H892</f>
        <v>159704</v>
      </c>
      <c r="I191" s="33">
        <f>Model!I916+Model!I922-Model!I893-Model!I892</f>
        <v>163874.5</v>
      </c>
      <c r="J191" s="33">
        <f>Model!J916+Model!J922-Model!J893-Model!J892</f>
        <v>168100.5</v>
      </c>
      <c r="K191" s="33">
        <f>Model!K916+Model!K922-Model!K893-Model!K892</f>
        <v>172220</v>
      </c>
      <c r="L191" s="33">
        <f>Model!L916+Model!L922-Model!L893-Model!L892</f>
        <v>176072</v>
      </c>
      <c r="M191" s="33">
        <f>Model!M916+Model!M922-Model!M893-Model!M892</f>
        <v>179722</v>
      </c>
      <c r="N191" s="33">
        <f>Model!N916+Model!N922-Model!N893-Model!N892</f>
        <v>182065</v>
      </c>
      <c r="O191" s="33">
        <f>Model!O916+Model!O922-Model!O893-Model!O892</f>
        <v>182465</v>
      </c>
      <c r="P191" s="33">
        <f>Model!P916+Model!P922-Model!P893-Model!P892</f>
        <v>184626.5</v>
      </c>
      <c r="Q191" s="33">
        <f>Model!Q916+Model!Q922-Model!Q893-Model!Q892</f>
        <v>189791.5</v>
      </c>
      <c r="R191" s="33">
        <f>Model!R916+Model!R922-Model!R893-Model!R892</f>
        <v>193440.5</v>
      </c>
      <c r="S191" s="33">
        <f>Model!S916+Model!S922-Model!S893-Model!S892</f>
        <v>195155.5</v>
      </c>
      <c r="T191" s="33">
        <f>Model!T916+Model!T922-Model!T893-Model!T892</f>
        <v>198620.5</v>
      </c>
      <c r="U191" s="33">
        <f>Model!U916+Model!U922-Model!U893-Model!U892</f>
        <v>202662.5</v>
      </c>
      <c r="V191" s="33">
        <f>Model!V916+Model!V922-Model!V893-Model!V892</f>
        <v>203774.5</v>
      </c>
      <c r="W191" s="33">
        <f>Model!W916+Model!W922-Model!W893-Model!W892</f>
        <v>201012.5</v>
      </c>
      <c r="X191" s="33">
        <f>Model!X916+Model!X922-Model!X893-Model!X892</f>
        <v>199600.5</v>
      </c>
      <c r="Y191" s="33">
        <f>Model!Y916+Model!Y922-Model!Y893-Model!Y892</f>
        <v>201818.5</v>
      </c>
      <c r="Z191" s="33">
        <f>Model!Z916+Model!Z922-Model!Z893-Model!Z892</f>
        <v>201670</v>
      </c>
      <c r="AA191" s="33">
        <f>Model!AA916+Model!AA922-Model!AA893-Model!AA892</f>
        <v>187226.5</v>
      </c>
      <c r="AB191" s="33">
        <f>Model!AB916+Model!AB922-Model!AB893-Model!AB892</f>
        <v>174351</v>
      </c>
      <c r="AC191" s="33">
        <f>Model!AC916+Model!AC922-Model!AC893-Model!AC892</f>
        <v>175408.29036385831</v>
      </c>
      <c r="AD191" s="33">
        <f>Model!AD916+Model!AD922-Model!AD893-Model!AD892</f>
        <v>175053.6451249746</v>
      </c>
      <c r="AE191" s="33">
        <f>Model!AE916+Model!AE922-Model!AE893-Model!AE892</f>
        <v>172960.59406709397</v>
      </c>
      <c r="AF191" s="33">
        <f>Model!AF916+Model!AF922-Model!AF893-Model!AF892</f>
        <v>172400.11556756042</v>
      </c>
      <c r="AG191" s="33">
        <f>Model!AG916+Model!AG922-Model!AG893-Model!AG892</f>
        <v>172253.85566515638</v>
      </c>
      <c r="AH191" s="33">
        <f>Model!AH916+Model!AH922-Model!AH893-Model!AH892</f>
        <v>170976.1428302289</v>
      </c>
      <c r="AI191" s="33">
        <f>Model!AI916+Model!AI922-Model!AI893-Model!AI892</f>
        <v>169735.46233229578</v>
      </c>
      <c r="AJ191" s="33"/>
      <c r="AK191" s="33"/>
      <c r="AL191" s="33"/>
      <c r="AM191" s="33"/>
      <c r="AN191" s="33"/>
      <c r="AO191" s="33"/>
      <c r="AP191" s="33"/>
      <c r="AQ191" s="33"/>
      <c r="AU191" s="33">
        <f>Model!AU916+Model!AU922-Model!AU893-Model!AU892</f>
        <v>153277.33333333334</v>
      </c>
      <c r="AV191" s="33">
        <f>Model!AV916+Model!AV922-Model!AV893-Model!AV892</f>
        <v>165974.75</v>
      </c>
      <c r="AW191" s="33">
        <f>Model!AW916+Model!AW922-Model!AW893-Model!AW892</f>
        <v>180081</v>
      </c>
      <c r="AX191" s="33">
        <f>Model!AX916+Model!AX922-Model!AX893-Model!AX892</f>
        <v>190753.5</v>
      </c>
      <c r="AY191" s="33">
        <f>Model!AY916+Model!AY922-Model!AY893-Model!AY892</f>
        <v>201517.5</v>
      </c>
      <c r="AZ191" s="33">
        <f>Model!AZ916+Model!AZ922-Model!AZ893-Model!AZ892</f>
        <v>197578.875</v>
      </c>
      <c r="BA191" s="33">
        <f>Model!BA916+Model!BA922-Model!BA893-Model!BA892</f>
        <v>174443.38238898173</v>
      </c>
      <c r="BB191" s="33">
        <f>Model!BB916+Model!BB922-Model!BB893-Model!BB892</f>
        <v>171341.39409881039</v>
      </c>
      <c r="BC191" s="33">
        <f>Model!BC916+Model!BC922-Model!BC893-Model!BC892</f>
        <v>170186.8028218688</v>
      </c>
      <c r="BD191" s="33">
        <f>Model!BD916+Model!BD922-Model!BD893-Model!BD892</f>
        <v>173958.46688478009</v>
      </c>
      <c r="BE191" s="33">
        <f>Model!BE916+Model!BE922-Model!BE893-Model!BE892</f>
        <v>179338.75734547881</v>
      </c>
    </row>
    <row r="192" spans="1:57" x14ac:dyDescent="0.2">
      <c r="A192" s="916" t="s">
        <v>752</v>
      </c>
      <c r="B192" s="238"/>
      <c r="C192" s="238"/>
      <c r="D192" s="33">
        <f>SUM(Model!D910:D912)</f>
        <v>0</v>
      </c>
      <c r="E192" s="33">
        <f>SUM(Model!E910:E912)</f>
        <v>320627.5</v>
      </c>
      <c r="F192" s="33">
        <f>SUM(Model!F910:F912)</f>
        <v>323940.5</v>
      </c>
      <c r="G192" s="33">
        <f>SUM(Model!G910:G912)</f>
        <v>345805</v>
      </c>
      <c r="H192" s="33">
        <f>SUM(Model!H910:H912)</f>
        <v>329241.5</v>
      </c>
      <c r="I192" s="33">
        <f>SUM(Model!I910:I912)</f>
        <v>322044.5</v>
      </c>
      <c r="J192" s="33">
        <f>SUM(Model!J910:J912)</f>
        <v>309902.5</v>
      </c>
      <c r="K192" s="33">
        <f>SUM(Model!K910:K912)</f>
        <v>324129</v>
      </c>
      <c r="L192" s="33">
        <f>SUM(Model!L910:L912)</f>
        <v>336274</v>
      </c>
      <c r="M192" s="33">
        <f>SUM(Model!M910:M912)</f>
        <v>340513.5</v>
      </c>
      <c r="N192" s="33">
        <f>SUM(Model!N910:N912)</f>
        <v>342063</v>
      </c>
      <c r="O192" s="33">
        <f>SUM(Model!O910:O912)</f>
        <v>369766.5</v>
      </c>
      <c r="P192" s="33">
        <f>SUM(Model!P910:P912)</f>
        <v>362831.5</v>
      </c>
      <c r="Q192" s="33">
        <f>SUM(Model!Q910:Q912)</f>
        <v>361837</v>
      </c>
      <c r="R192" s="33">
        <f>SUM(Model!R910:R912)</f>
        <v>335665</v>
      </c>
      <c r="S192" s="33">
        <f>SUM(Model!S910:S912)</f>
        <v>362823.5</v>
      </c>
      <c r="T192" s="33">
        <f>SUM(Model!T910:T912)</f>
        <v>362984.5</v>
      </c>
      <c r="U192" s="33">
        <f>SUM(Model!U910:U912)</f>
        <v>372634</v>
      </c>
      <c r="V192" s="33">
        <f>SUM(Model!V910:V912)</f>
        <v>368655.5</v>
      </c>
      <c r="W192" s="33">
        <f>SUM(Model!W910:W912)</f>
        <v>361133.5</v>
      </c>
      <c r="X192" s="33">
        <f>SUM(Model!X910:X912)</f>
        <v>351643</v>
      </c>
      <c r="Y192" s="33">
        <f>SUM(Model!Y910:Y912)</f>
        <v>351888</v>
      </c>
      <c r="Z192" s="33">
        <f>SUM(Model!Z910:Z912)</f>
        <v>355917.5</v>
      </c>
      <c r="AA192" s="33">
        <f>SUM(Model!AA910:AA912)</f>
        <v>368862</v>
      </c>
      <c r="AB192" s="33">
        <f>SUM(Model!AB910:AB912)</f>
        <v>358716</v>
      </c>
      <c r="AC192" s="33">
        <f>SUM(Model!AC910:AC912)</f>
        <v>347847.8622592747</v>
      </c>
      <c r="AD192" s="33">
        <f>SUM(Model!AD910:AD912)</f>
        <v>338640.0018506858</v>
      </c>
      <c r="AE192" s="33">
        <f>SUM(Model!AE910:AE912)</f>
        <v>333709.43154597597</v>
      </c>
      <c r="AF192" s="33">
        <f>SUM(Model!AF910:AF912)</f>
        <v>327348.52136712975</v>
      </c>
      <c r="AG192" s="33">
        <f>SUM(Model!AG910:AG912)</f>
        <v>323261.50240330189</v>
      </c>
      <c r="AH192" s="33">
        <f>SUM(Model!AH910:AH912)</f>
        <v>324975.59751493612</v>
      </c>
      <c r="AI192" s="33">
        <f>SUM(Model!AI910:AI912)</f>
        <v>331165.05851941515</v>
      </c>
      <c r="AJ192" s="33"/>
      <c r="AK192" s="33"/>
      <c r="AL192" s="33"/>
      <c r="AM192" s="33"/>
      <c r="AN192" s="33"/>
      <c r="AO192" s="33"/>
      <c r="AP192" s="33"/>
      <c r="AQ192" s="33"/>
      <c r="AU192" s="33">
        <f>SUM(Model!AU910:AU912)</f>
        <v>320511.5</v>
      </c>
      <c r="AV192" s="33">
        <f>SUM(Model!AV910:AV912)</f>
        <v>321367.5</v>
      </c>
      <c r="AW192" s="33">
        <f>SUM(Model!AW910:AW912)</f>
        <v>349647.5</v>
      </c>
      <c r="AX192" s="33">
        <f>SUM(Model!AX910:AX912)</f>
        <v>357489.99999999994</v>
      </c>
      <c r="AY192" s="33">
        <f>SUM(Model!AY910:AY912)</f>
        <v>371506.75</v>
      </c>
      <c r="AZ192" s="33">
        <f>SUM(Model!AZ910:AZ912)</f>
        <v>368605.75</v>
      </c>
      <c r="BA192" s="33">
        <f>SUM(Model!BA910:BA912)</f>
        <v>346195.21699698805</v>
      </c>
      <c r="BB192" s="33">
        <f>SUM(Model!BB910:BB912)</f>
        <v>327591.52583838813</v>
      </c>
      <c r="BC192" s="33">
        <f>SUM(Model!BC910:BC912)</f>
        <v>323505.87636817532</v>
      </c>
      <c r="BD192" s="33">
        <f>SUM(Model!BD910:BD912)</f>
        <v>328671.38395602797</v>
      </c>
      <c r="BE192" s="33">
        <f>SUM(Model!BE910:BE912)</f>
        <v>329020.19980206224</v>
      </c>
    </row>
    <row r="193" spans="1:57" x14ac:dyDescent="0.2">
      <c r="A193" s="238"/>
      <c r="B193" s="238"/>
      <c r="C193" s="238"/>
      <c r="D193" s="238"/>
      <c r="E193" s="238"/>
      <c r="F193" s="238"/>
      <c r="G193" s="238"/>
      <c r="H193" s="238"/>
      <c r="I193" s="238"/>
      <c r="J193" s="238"/>
      <c r="K193" s="238"/>
      <c r="L193" s="238"/>
      <c r="M193" s="238"/>
      <c r="N193" s="238"/>
      <c r="O193" s="238"/>
      <c r="P193" s="238"/>
      <c r="Q193" s="238"/>
      <c r="R193" s="238"/>
      <c r="S193" s="238"/>
      <c r="T193" s="238"/>
      <c r="U193" s="238"/>
      <c r="V193" s="238"/>
      <c r="W193" s="238"/>
      <c r="X193" s="238"/>
      <c r="Y193" s="238"/>
      <c r="Z193" s="238"/>
      <c r="AA193" s="238"/>
      <c r="AB193" s="238"/>
      <c r="AC193" s="238"/>
      <c r="AD193" s="238"/>
      <c r="AE193" s="238"/>
      <c r="AF193" s="238"/>
      <c r="AG193" s="238"/>
      <c r="AH193" s="238"/>
      <c r="AI193" s="238"/>
      <c r="AJ193" s="238"/>
      <c r="AK193" s="238"/>
      <c r="AL193" s="238"/>
      <c r="AM193" s="238"/>
      <c r="AN193" s="238"/>
      <c r="AO193" s="238"/>
      <c r="AP193" s="238"/>
      <c r="AQ193" s="238"/>
      <c r="AR193" s="238"/>
      <c r="AS193" s="238"/>
      <c r="AT193" s="238"/>
      <c r="AU193" s="238"/>
      <c r="AV193" s="238"/>
      <c r="AW193" s="238"/>
      <c r="AX193" s="238"/>
      <c r="AY193" s="238"/>
      <c r="AZ193" s="238"/>
      <c r="BA193" s="238"/>
      <c r="BB193" s="238"/>
      <c r="BC193" s="238"/>
      <c r="BD193" s="238"/>
      <c r="BE193" s="238"/>
    </row>
    <row r="194" spans="1:57" s="395" customFormat="1" x14ac:dyDescent="0.2">
      <c r="A194" s="395" t="s">
        <v>753</v>
      </c>
      <c r="D194" s="396"/>
      <c r="E194" s="396"/>
      <c r="F194" s="396"/>
      <c r="G194" s="396"/>
      <c r="H194" s="396"/>
      <c r="I194" s="396"/>
      <c r="J194" s="396"/>
      <c r="K194" s="396"/>
      <c r="L194" s="396"/>
      <c r="M194" s="396"/>
      <c r="N194" s="396"/>
      <c r="O194" s="396"/>
      <c r="P194" s="396"/>
      <c r="Q194" s="396"/>
      <c r="R194" s="396"/>
      <c r="S194" s="396"/>
      <c r="T194" s="396"/>
      <c r="U194" s="396"/>
      <c r="V194" s="396"/>
      <c r="W194" s="396"/>
      <c r="X194" s="396"/>
      <c r="Y194" s="396"/>
      <c r="Z194" s="396"/>
      <c r="AA194" s="396"/>
      <c r="AB194" s="396"/>
      <c r="AC194" s="396"/>
      <c r="AD194" s="396"/>
      <c r="AE194" s="396"/>
      <c r="AF194" s="396"/>
      <c r="AG194" s="396"/>
      <c r="AH194" s="396"/>
      <c r="AI194" s="396"/>
      <c r="AJ194" s="396"/>
      <c r="AK194" s="396"/>
      <c r="AL194" s="396"/>
      <c r="AM194" s="396"/>
      <c r="AN194" s="396"/>
      <c r="AO194" s="396"/>
      <c r="AP194" s="396"/>
      <c r="AQ194" s="396"/>
      <c r="AR194" s="396"/>
      <c r="AS194" s="396"/>
      <c r="AT194" s="396"/>
      <c r="AU194" s="396"/>
      <c r="AV194" s="396"/>
      <c r="AW194" s="396"/>
      <c r="AX194" s="396"/>
      <c r="AY194" s="396"/>
      <c r="AZ194" s="396"/>
      <c r="BA194" s="396"/>
      <c r="BB194" s="396"/>
      <c r="BC194" s="396"/>
      <c r="BD194" s="396"/>
      <c r="BE194" s="396"/>
    </row>
    <row r="195" spans="1:57" x14ac:dyDescent="0.2">
      <c r="A195" s="238" t="s">
        <v>754</v>
      </c>
      <c r="B195" s="238"/>
      <c r="C195" s="238"/>
      <c r="D195" s="67">
        <f>Model!D1480</f>
        <v>7.0034338503843678E-3</v>
      </c>
      <c r="E195" s="26">
        <f>Model!E1480</f>
        <v>6.2299623032361405E-3</v>
      </c>
      <c r="F195" s="26">
        <f>Model!F1480</f>
        <v>6.8172565021563797E-3</v>
      </c>
      <c r="G195" s="26">
        <f>Model!G1480</f>
        <v>3.1965557842470599E-3</v>
      </c>
      <c r="H195" s="26">
        <f>Model!H1480</f>
        <v>8.4451334416884554E-3</v>
      </c>
      <c r="I195" s="26">
        <f>Model!I1480</f>
        <v>7.9695937324037805E-3</v>
      </c>
      <c r="J195" s="26">
        <f>Model!J1480</f>
        <v>6.430374145757878E-3</v>
      </c>
      <c r="K195" s="26">
        <f>Model!K1480</f>
        <v>4.7427977616064845E-3</v>
      </c>
      <c r="L195" s="26">
        <f>Model!L1480</f>
        <v>8.434129463891684E-3</v>
      </c>
      <c r="M195" s="26">
        <f>Model!M1480</f>
        <v>2.5710117130282108E-4</v>
      </c>
      <c r="N195" s="26">
        <f>Model!N1480</f>
        <v>6.0973994246941096E-3</v>
      </c>
      <c r="O195" s="26">
        <f>Model!O1480</f>
        <v>3.7373068281142027E-4</v>
      </c>
      <c r="P195" s="26">
        <f>Model!P1480</f>
        <v>1.0137247495188243E-2</v>
      </c>
      <c r="Q195" s="26">
        <f>Model!Q1480</f>
        <v>9.5450942491220794E-3</v>
      </c>
      <c r="R195" s="26">
        <f>Model!R1480</f>
        <v>8.6050326134776856E-3</v>
      </c>
      <c r="S195" s="26">
        <f>Model!S1480</f>
        <v>7.0862949542994571E-3</v>
      </c>
      <c r="T195" s="26">
        <f>Model!T1480</f>
        <v>7.3602016795086102E-3</v>
      </c>
      <c r="U195" s="26">
        <f>Model!U1480</f>
        <v>8.1138338229025993E-3</v>
      </c>
      <c r="V195" s="26">
        <f>Model!V1480</f>
        <v>7.8078423360716104E-3</v>
      </c>
      <c r="W195" s="26">
        <f>Model!W1480</f>
        <v>7.0108158087128537E-3</v>
      </c>
      <c r="X195" s="26">
        <f>Model!X1480</f>
        <v>8.3122716292168917E-3</v>
      </c>
      <c r="Y195" s="26">
        <f>Model!Y1480</f>
        <v>7.4739325515058453E-3</v>
      </c>
      <c r="Z195" s="26">
        <f>Model!Z1480</f>
        <v>7.9943259755209332E-3</v>
      </c>
      <c r="AA195" s="26">
        <f>Model!AA1480</f>
        <v>7.2255259760809227E-3</v>
      </c>
      <c r="AB195" s="26">
        <f>Model!AB1480</f>
        <v>9.1666374913932942E-3</v>
      </c>
      <c r="AC195" s="26">
        <f>Model!AC1480</f>
        <v>8.5864757462599198E-3</v>
      </c>
      <c r="AD195" s="26">
        <f>Model!AD1480</f>
        <v>8.7431911308497139E-3</v>
      </c>
      <c r="AE195" s="26">
        <f>Model!AE1480</f>
        <v>8.2447643058338859E-3</v>
      </c>
      <c r="AF195" s="26">
        <f>Model!AF1480</f>
        <v>9.5694262992972144E-3</v>
      </c>
      <c r="AG195" s="26">
        <f>Model!AG1480</f>
        <v>9.567425815881915E-3</v>
      </c>
      <c r="AH195" s="26">
        <f>Model!AH1480</f>
        <v>9.3019940902635476E-3</v>
      </c>
      <c r="AI195" s="26">
        <f>Model!AI1480</f>
        <v>8.6169576113157304E-3</v>
      </c>
      <c r="AJ195" s="26"/>
      <c r="AK195" s="26"/>
      <c r="AL195" s="26"/>
      <c r="AM195" s="26"/>
      <c r="AN195" s="26"/>
      <c r="AO195" s="26"/>
      <c r="AP195" s="26"/>
      <c r="AQ195" s="26"/>
      <c r="AU195" s="26">
        <f>Model!AU1480</f>
        <v>5.809465241341411E-3</v>
      </c>
      <c r="AV195" s="26">
        <f>Model!AV1480</f>
        <v>6.8885111807510486E-3</v>
      </c>
      <c r="AW195" s="26">
        <f>Model!AW1480</f>
        <v>3.7647617039223958E-3</v>
      </c>
      <c r="AX195" s="26">
        <f>Model!AX1480</f>
        <v>8.8498389418134472E-3</v>
      </c>
      <c r="AY195" s="26">
        <f>Model!AY1480</f>
        <v>7.5732905776168292E-3</v>
      </c>
      <c r="AZ195" s="26">
        <f>Model!AZ1480</f>
        <v>7.7453411181316488E-3</v>
      </c>
      <c r="BA195" s="26">
        <f>Model!BA1480</f>
        <v>8.6817305009276834E-3</v>
      </c>
      <c r="BB195" s="26">
        <f>Model!BB1480</f>
        <v>9.2583138974978683E-3</v>
      </c>
      <c r="BC195" s="26">
        <f>Model!BC1480</f>
        <v>9.7594388686361513E-3</v>
      </c>
      <c r="BD195" s="26">
        <f>Model!BD1480</f>
        <v>1.0001506317984653E-2</v>
      </c>
      <c r="BE195" s="26">
        <f>Model!BE1480</f>
        <v>9.9506674648210947E-3</v>
      </c>
    </row>
    <row r="196" spans="1:57" x14ac:dyDescent="0.2">
      <c r="A196" s="238" t="s">
        <v>755</v>
      </c>
      <c r="B196" s="238"/>
      <c r="C196" s="238"/>
      <c r="D196" s="32" t="str">
        <f>Model!D1494</f>
        <v>NA</v>
      </c>
      <c r="E196" s="1065">
        <f>Model!E1494</f>
        <v>10.496877396734963</v>
      </c>
      <c r="F196" s="1065">
        <f>Model!F1494</f>
        <v>10.320188524235741</v>
      </c>
      <c r="G196" s="1065">
        <f>Model!G1494</f>
        <v>10.157284922663582</v>
      </c>
      <c r="H196" s="1065">
        <f>Model!H1494</f>
        <v>9.8860650390742695</v>
      </c>
      <c r="I196" s="1065">
        <f>Model!I1494</f>
        <v>9.7741129358112193</v>
      </c>
      <c r="J196" s="1065">
        <f>Model!J1494</f>
        <v>9.3777773289165385</v>
      </c>
      <c r="K196" s="1065">
        <f>Model!K1494</f>
        <v>9.3351891636649516</v>
      </c>
      <c r="L196" s="1065">
        <f>Model!L1494</f>
        <v>9.1641026138779154</v>
      </c>
      <c r="M196" s="1065">
        <f>Model!M1494</f>
        <v>9.0821030128933131</v>
      </c>
      <c r="N196" s="1065">
        <f>Model!N1494</f>
        <v>8.9628887039418927</v>
      </c>
      <c r="O196" s="1065">
        <f>Model!O1494</f>
        <v>9.0032763738619757</v>
      </c>
      <c r="P196" s="1065">
        <f>Model!P1494</f>
        <v>8.7244735819964454</v>
      </c>
      <c r="Q196" s="1065">
        <f>Model!Q1494</f>
        <v>8.4767082891766119</v>
      </c>
      <c r="R196" s="1065">
        <f>Model!R1494</f>
        <v>8.26004796860237</v>
      </c>
      <c r="S196" s="1065">
        <f>Model!S1494</f>
        <v>8.060898340881625</v>
      </c>
      <c r="T196" s="1065">
        <f>Model!T1494</f>
        <v>7.911362124175807</v>
      </c>
      <c r="U196" s="1065">
        <f>Model!U1494</f>
        <v>7.8679175464182318</v>
      </c>
      <c r="V196" s="1065">
        <f>Model!V1494</f>
        <v>7.8979335998774447</v>
      </c>
      <c r="W196" s="1065">
        <f>Model!W1494</f>
        <v>7.9694325534547126</v>
      </c>
      <c r="X196" s="1065">
        <f>Model!X1494</f>
        <v>8.0776256916682119</v>
      </c>
      <c r="Y196" s="1065">
        <f>Model!Y1494</f>
        <v>8.1597551898828122</v>
      </c>
      <c r="Z196" s="1065">
        <f>Model!Z1494</f>
        <v>8.269584160925417</v>
      </c>
      <c r="AA196" s="1065">
        <f>Model!AA1494</f>
        <v>8.9160406560622256</v>
      </c>
      <c r="AB196" s="1065">
        <f>Model!AB1494</f>
        <v>9.4582210577293218</v>
      </c>
      <c r="AC196" s="1065">
        <f>Model!AC1494</f>
        <v>9.4409705916366811</v>
      </c>
      <c r="AD196" s="1065">
        <f>Model!AD1494</f>
        <v>9.4993248029995154</v>
      </c>
      <c r="AE196" s="1065">
        <f>Model!AE1494</f>
        <v>9.6550792416076607</v>
      </c>
      <c r="AF196" s="1065">
        <f>Model!AF1494</f>
        <v>9.7407400598622349</v>
      </c>
      <c r="AG196" s="1065">
        <f>Model!AG1494</f>
        <v>9.8214706221467267</v>
      </c>
      <c r="AH196" s="1065">
        <f>Model!AH1494</f>
        <v>9.9840170279321701</v>
      </c>
      <c r="AI196" s="1065">
        <f>Model!AI1494</f>
        <v>10.163036040919252</v>
      </c>
      <c r="AJ196" s="1065"/>
      <c r="AK196" s="1065"/>
      <c r="AL196" s="1065"/>
      <c r="AM196" s="1065"/>
      <c r="AN196" s="1065"/>
      <c r="AO196" s="1065"/>
      <c r="AP196" s="1065"/>
      <c r="AQ196" s="1065"/>
      <c r="AU196" s="1065">
        <f>Model!AU1494</f>
        <v>10.124551577229397</v>
      </c>
      <c r="AV196" s="1065">
        <f>Model!AV1494</f>
        <v>9.5882701949789801</v>
      </c>
      <c r="AW196" s="1065">
        <f>Model!AW1494</f>
        <v>9.1593690620193779</v>
      </c>
      <c r="AX196" s="1065">
        <f>Model!AX1494</f>
        <v>8.4430448891542955</v>
      </c>
      <c r="AY196" s="1065">
        <f>Model!AY1494</f>
        <v>8.093145732330747</v>
      </c>
      <c r="AZ196" s="1065">
        <f>Model!AZ1494</f>
        <v>8.8078241675668068</v>
      </c>
      <c r="BA196" s="1065">
        <f>Model!BA1494</f>
        <v>9.5931511679037413</v>
      </c>
      <c r="BB196" s="1065">
        <f>Model!BB1494</f>
        <v>9.971859972653883</v>
      </c>
      <c r="BC196" s="1065">
        <f>Model!BC1494</f>
        <v>10.245652146683707</v>
      </c>
      <c r="BD196" s="1065">
        <f>Model!BD1494</f>
        <v>10.38715931280775</v>
      </c>
      <c r="BE196" s="1065">
        <f>Model!BE1494</f>
        <v>10.437559330892435</v>
      </c>
    </row>
    <row r="197" spans="1:57" x14ac:dyDescent="0.2">
      <c r="A197" s="238" t="s">
        <v>756</v>
      </c>
      <c r="B197" s="238"/>
      <c r="C197" s="238"/>
      <c r="D197" s="80" t="str">
        <f>Model!D1481</f>
        <v>NA</v>
      </c>
      <c r="E197" s="60">
        <f>Model!E1481</f>
        <v>6.5507116190875E-2</v>
      </c>
      <c r="F197" s="60">
        <f>Model!F1481</f>
        <v>7.0474215854650635E-2</v>
      </c>
      <c r="G197" s="60">
        <f>Model!G1481</f>
        <v>3.2718966392094373E-2</v>
      </c>
      <c r="H197" s="60">
        <f>Model!H1481</f>
        <v>8.4754542580132319E-2</v>
      </c>
      <c r="I197" s="60">
        <f>Model!I1481</f>
        <v>7.9414271560196661E-2</v>
      </c>
      <c r="J197" s="60">
        <f>Model!J1481</f>
        <v>6.1790337704316148E-2</v>
      </c>
      <c r="K197" s="60">
        <f>Model!K1481</f>
        <v>4.5626364545683126E-2</v>
      </c>
      <c r="L197" s="60">
        <f>Model!L1481</f>
        <v>8.0000435344625503E-2</v>
      </c>
      <c r="M197" s="60">
        <f>Model!M1481</f>
        <v>2.4288150736856023E-3</v>
      </c>
      <c r="N197" s="60">
        <f>Model!N1481</f>
        <v>5.7070531296000156E-2</v>
      </c>
      <c r="O197" s="60">
        <f>Model!O1481</f>
        <v>3.5272093686913373E-3</v>
      </c>
      <c r="P197" s="60">
        <f>Model!P1481</f>
        <v>9.3373661158455704E-2</v>
      </c>
      <c r="Q197" s="60">
        <f>Model!Q1481</f>
        <v>8.6052816742509086E-2</v>
      </c>
      <c r="R197" s="60">
        <f>Model!R1481</f>
        <v>7.6124131258655151E-2</v>
      </c>
      <c r="S197" s="60">
        <f>Model!S1481</f>
        <v>6.1562951863244404E-2</v>
      </c>
      <c r="T197" s="60">
        <f>Model!T1481</f>
        <v>6.3066966679333758E-2</v>
      </c>
      <c r="U197" s="60">
        <f>Model!U1481</f>
        <v>6.9431785059477988E-2</v>
      </c>
      <c r="V197" s="60">
        <f>Model!V1481</f>
        <v>6.7253454083487318E-2</v>
      </c>
      <c r="W197" s="60">
        <f>Model!W1481</f>
        <v>6.1016825448281291E-2</v>
      </c>
      <c r="X197" s="60">
        <f>Model!X1481</f>
        <v>7.3377172748836372E-2</v>
      </c>
      <c r="Y197" s="60">
        <f>Model!Y1481</f>
        <v>6.6581394870782323E-2</v>
      </c>
      <c r="Z197" s="60">
        <f>Model!Z1481</f>
        <v>7.2183091103971919E-2</v>
      </c>
      <c r="AA197" s="60">
        <f>Model!AA1481</f>
        <v>7.0785942711490746E-2</v>
      </c>
      <c r="AB197" s="60">
        <f>Model!AB1481</f>
        <v>9.5842431275078438E-2</v>
      </c>
      <c r="AC197" s="60">
        <f>Model!AC1481</f>
        <v>8.9533599314993786E-2</v>
      </c>
      <c r="AD197" s="60">
        <f>Model!AD1481</f>
        <v>9.1748032875393112E-2</v>
      </c>
      <c r="AE197" s="60">
        <f>Model!AE1481</f>
        <v>8.8032690844670691E-2</v>
      </c>
      <c r="AF197" s="60">
        <f>Model!AF1481</f>
        <v>0.10368875838521836</v>
      </c>
      <c r="AG197" s="60">
        <f>Model!AG1481</f>
        <v>0.10512147930278029</v>
      </c>
      <c r="AH197" s="60">
        <f>Model!AH1481</f>
        <v>0.10397619053411715</v>
      </c>
      <c r="AI197" s="60">
        <f>Model!AI1481</f>
        <v>9.811996443253522E-2</v>
      </c>
      <c r="AJ197" s="60"/>
      <c r="AK197" s="60"/>
      <c r="AL197" s="60"/>
      <c r="AM197" s="60"/>
      <c r="AN197" s="60"/>
      <c r="AO197" s="60"/>
      <c r="AP197" s="60"/>
      <c r="AQ197" s="60"/>
      <c r="AU197" s="60">
        <f>Model!AU1481</f>
        <v>6.0207798265906928E-2</v>
      </c>
      <c r="AV197" s="60">
        <f>Model!AV1481</f>
        <v>6.7539180106433186E-2</v>
      </c>
      <c r="AW197" s="60">
        <f>Model!AW1481</f>
        <v>3.5510071899069046E-2</v>
      </c>
      <c r="AX197" s="60">
        <f>Model!AX1481</f>
        <v>7.9104905523522936E-2</v>
      </c>
      <c r="AY197" s="60">
        <f>Model!AY1481</f>
        <v>6.5210793724091887E-2</v>
      </c>
      <c r="AZ197" s="60">
        <f>Model!AZ1481</f>
        <v>7.0711680497698076E-2</v>
      </c>
      <c r="BA197" s="60">
        <f>Model!BA1481</f>
        <v>9.1271346708619042E-2</v>
      </c>
      <c r="BB197" s="60">
        <f>Model!BB1481</f>
        <v>0.10272367117557889</v>
      </c>
      <c r="BC197" s="60">
        <f>Model!BC1481</f>
        <v>0.11200174666265739</v>
      </c>
      <c r="BD197" s="60">
        <f>Model!BD1481</f>
        <v>0.11610346159802784</v>
      </c>
      <c r="BE197" s="60">
        <f>Model!BE1481</f>
        <v>0.11571915120217997</v>
      </c>
    </row>
    <row r="198" spans="1:57" x14ac:dyDescent="0.2">
      <c r="A198" s="238" t="s">
        <v>757</v>
      </c>
      <c r="B198" s="238"/>
      <c r="C198" s="238"/>
      <c r="D198" s="32" t="str">
        <f>Model!D1483</f>
        <v>NA</v>
      </c>
      <c r="E198" s="60">
        <f>Model!E1483</f>
        <v>6.335541434569175E-3</v>
      </c>
      <c r="F198" s="60">
        <f>Model!F1483</f>
        <v>6.9325638388464421E-3</v>
      </c>
      <c r="G198" s="60">
        <f>Model!G1483</f>
        <v>3.2505045380580963E-3</v>
      </c>
      <c r="H198" s="60">
        <f>Model!H1483</f>
        <v>8.5869005853625776E-3</v>
      </c>
      <c r="I198" s="60">
        <f>Model!I1483</f>
        <v>8.0992742496968344E-3</v>
      </c>
      <c r="J198" s="60">
        <f>Model!J1483</f>
        <v>6.5357124020510183E-3</v>
      </c>
      <c r="K198" s="60">
        <f>Model!K1483</f>
        <v>4.8194429869263767E-3</v>
      </c>
      <c r="L198" s="60">
        <f>Model!L1483</f>
        <v>8.5702052429490888E-3</v>
      </c>
      <c r="M198" s="60">
        <f>Model!M1483</f>
        <v>2.6119677181671698E-4</v>
      </c>
      <c r="N198" s="60">
        <f>Model!N1483</f>
        <v>6.1934910096475256E-3</v>
      </c>
      <c r="O198" s="60">
        <f>Model!O1483</f>
        <v>3.7943995417752207E-4</v>
      </c>
      <c r="P198" s="60">
        <f>Model!P1483</f>
        <v>1.0291506238527152E-2</v>
      </c>
      <c r="Q198" s="60">
        <f>Model!Q1483</f>
        <v>9.6885422890968381E-3</v>
      </c>
      <c r="R198" s="60">
        <f>Model!R1483</f>
        <v>8.7332822854472424E-3</v>
      </c>
      <c r="S198" s="60">
        <f>Model!S1483</f>
        <v>7.1918858490978748E-3</v>
      </c>
      <c r="T198" s="60">
        <f>Model!T1483</f>
        <v>7.4697476125141406E-3</v>
      </c>
      <c r="U198" s="60">
        <f>Model!U1483</f>
        <v>8.2370847296707739E-3</v>
      </c>
      <c r="V198" s="60">
        <f>Model!V1483</f>
        <v>7.9289602142875622E-3</v>
      </c>
      <c r="W198" s="60">
        <f>Model!W1483</f>
        <v>7.1177303928922752E-3</v>
      </c>
      <c r="X198" s="60">
        <f>Model!X1483</f>
        <v>8.4368261163841277E-3</v>
      </c>
      <c r="Y198" s="60">
        <f>Model!Y1483</f>
        <v>7.5845315111676779E-3</v>
      </c>
      <c r="Z198" s="60">
        <f>Model!Z1483</f>
        <v>8.1107234073293875E-3</v>
      </c>
      <c r="AA198" s="60">
        <f>Model!AA1483</f>
        <v>7.3289942429750569E-3</v>
      </c>
      <c r="AB198" s="60">
        <f>Model!AB1483</f>
        <v>9.2983659703339064E-3</v>
      </c>
      <c r="AC198" s="60">
        <f>Model!AC1483</f>
        <v>8.7099713423842012E-3</v>
      </c>
      <c r="AD198" s="60">
        <f>Model!AD1483</f>
        <v>8.8683795398718616E-3</v>
      </c>
      <c r="AE198" s="60">
        <f>Model!AE1483</f>
        <v>8.3621169285657306E-3</v>
      </c>
      <c r="AF198" s="60">
        <f>Model!AF1483</f>
        <v>9.7048035053562548E-3</v>
      </c>
      <c r="AG198" s="60">
        <f>Model!AG1483</f>
        <v>9.7017464238989305E-3</v>
      </c>
      <c r="AH198" s="60">
        <f>Model!AH1483</f>
        <v>9.431272673123171E-3</v>
      </c>
      <c r="AI198" s="60">
        <f>Model!AI1483</f>
        <v>8.7353288215464928E-3</v>
      </c>
      <c r="AJ198" s="60"/>
      <c r="AK198" s="60"/>
      <c r="AL198" s="60"/>
      <c r="AM198" s="60"/>
      <c r="AN198" s="60"/>
      <c r="AO198" s="60"/>
      <c r="AP198" s="60"/>
      <c r="AQ198" s="60"/>
      <c r="AU198" s="60">
        <f>Model!AU1483</f>
        <v>5.9076999062307872E-3</v>
      </c>
      <c r="AV198" s="60">
        <f>Model!AV1483</f>
        <v>7.0014819911520523E-3</v>
      </c>
      <c r="AW198" s="60">
        <f>Model!AW1483</f>
        <v>3.8241483508226356E-3</v>
      </c>
      <c r="AX198" s="60">
        <f>Model!AX1483</f>
        <v>8.9827111609810523E-3</v>
      </c>
      <c r="AY198" s="60">
        <f>Model!AY1483</f>
        <v>7.6884904104001176E-3</v>
      </c>
      <c r="AZ198" s="60">
        <f>Model!AZ1483</f>
        <v>7.8589006506545947E-3</v>
      </c>
      <c r="BA198" s="60">
        <f>Model!BA1483</f>
        <v>8.806104533026226E-3</v>
      </c>
      <c r="BB198" s="60">
        <f>Model!BB1483</f>
        <v>9.3875006203308613E-3</v>
      </c>
      <c r="BC198" s="60">
        <f>Model!BC1483</f>
        <v>9.8921002617992498E-3</v>
      </c>
      <c r="BD198" s="60">
        <f>Model!BD1483</f>
        <v>1.0133033150631051E-2</v>
      </c>
      <c r="BE198" s="60">
        <f>Model!BE1483</f>
        <v>1.0077448696547517E-2</v>
      </c>
    </row>
    <row r="199" spans="1:57" x14ac:dyDescent="0.2">
      <c r="A199" s="238" t="s">
        <v>758</v>
      </c>
      <c r="B199" s="238"/>
      <c r="C199" s="238"/>
      <c r="D199" s="32" t="str">
        <f>Model!D1485</f>
        <v>NA</v>
      </c>
      <c r="E199" s="60">
        <f>Model!E1485</f>
        <v>7.9445950705667442E-2</v>
      </c>
      <c r="F199" s="60">
        <f>Model!F1485</f>
        <v>8.5138511321615082E-2</v>
      </c>
      <c r="G199" s="60">
        <f>Model!G1485</f>
        <v>3.9432200409194249E-2</v>
      </c>
      <c r="H199" s="60">
        <f>Model!H1485</f>
        <v>0.10160773731776432</v>
      </c>
      <c r="I199" s="60">
        <f>Model!I1485</f>
        <v>9.4569358153173175E-2</v>
      </c>
      <c r="J199" s="60">
        <f>Model!J1485</f>
        <v>7.3233441936442434E-2</v>
      </c>
      <c r="K199" s="60">
        <f>Model!K1485</f>
        <v>5.3911004322277738E-2</v>
      </c>
      <c r="L199" s="60">
        <f>Model!L1485</f>
        <v>9.41852855019496E-2</v>
      </c>
      <c r="M199" s="60">
        <f>Model!M1485</f>
        <v>2.8521175451600759E-3</v>
      </c>
      <c r="N199" s="60">
        <f>Model!N1485</f>
        <v>6.6788474676605952E-2</v>
      </c>
      <c r="O199" s="60">
        <f>Model!O1485</f>
        <v>4.1118457281551068E-3</v>
      </c>
      <c r="P199" s="60">
        <f>Model!P1485</f>
        <v>0.10844501403284947</v>
      </c>
      <c r="Q199" s="60">
        <f>Model!Q1485</f>
        <v>9.9469292107704235E-2</v>
      </c>
      <c r="R199" s="60">
        <f>Model!R1485</f>
        <v>8.7641797848905134E-2</v>
      </c>
      <c r="S199" s="60">
        <f>Model!S1485</f>
        <v>7.0644795184720846E-2</v>
      </c>
      <c r="T199" s="60">
        <f>Model!T1485</f>
        <v>7.2150563073490673E-2</v>
      </c>
      <c r="U199" s="60">
        <f>Model!U1485</f>
        <v>7.9640317646720749E-2</v>
      </c>
      <c r="V199" s="60">
        <f>Model!V1485</f>
        <v>7.7455671635160747E-2</v>
      </c>
      <c r="W199" s="60">
        <f>Model!W1485</f>
        <v>7.0212910285956096E-2</v>
      </c>
      <c r="X199" s="60">
        <f>Model!X1485</f>
        <v>8.4400995323826916E-2</v>
      </c>
      <c r="Y199" s="60">
        <f>Model!Y1485</f>
        <v>7.6557211143456871E-2</v>
      </c>
      <c r="Z199" s="60">
        <f>Model!Z1485</f>
        <v>8.2967225041425618E-2</v>
      </c>
      <c r="AA199" s="60">
        <f>Model!AA1485</f>
        <v>8.2166970595633021E-2</v>
      </c>
      <c r="AB199" s="60">
        <f>Model!AB1485</f>
        <v>0.11253629674521126</v>
      </c>
      <c r="AC199" s="60">
        <f>Model!AC1485</f>
        <v>0.10508337678843224</v>
      </c>
      <c r="AD199" s="60">
        <f>Model!AD1485</f>
        <v>0.10770207388239601</v>
      </c>
      <c r="AE199" s="60">
        <f>Model!AE1485</f>
        <v>0.10354899080036074</v>
      </c>
      <c r="AF199" s="60">
        <f>Model!AF1485</f>
        <v>0.12215185983637107</v>
      </c>
      <c r="AG199" s="60">
        <f>Model!AG1485</f>
        <v>0.12398169521963814</v>
      </c>
      <c r="AH199" s="60">
        <f>Model!AH1485</f>
        <v>0.1227900195422995</v>
      </c>
      <c r="AI199" s="60">
        <f>Model!AI1485</f>
        <v>0.1160223990897067</v>
      </c>
      <c r="AJ199" s="60"/>
      <c r="AK199" s="60"/>
      <c r="AL199" s="60"/>
      <c r="AM199" s="60"/>
      <c r="AN199" s="60"/>
      <c r="AO199" s="60"/>
      <c r="AP199" s="60"/>
      <c r="AQ199" s="60"/>
      <c r="AU199" s="60">
        <f>Model!AU1485</f>
        <v>7.2769865845583662E-2</v>
      </c>
      <c r="AV199" s="60">
        <f>Model!AV1485</f>
        <v>8.0302411115651812E-2</v>
      </c>
      <c r="AW199" s="60">
        <f>Model!AW1485</f>
        <v>4.1613279420409356E-2</v>
      </c>
      <c r="AX199" s="60">
        <f>Model!AX1485</f>
        <v>9.1284728923349476E-2</v>
      </c>
      <c r="AY199" s="60">
        <f>Model!AY1485</f>
        <v>7.4886679773749076E-2</v>
      </c>
      <c r="AZ199" s="60">
        <f>Model!AZ1485</f>
        <v>8.1488228846950825E-2</v>
      </c>
      <c r="BA199" s="60">
        <f>Model!BA1485</f>
        <v>0.10719768796321176</v>
      </c>
      <c r="BB199" s="60">
        <f>Model!BB1485</f>
        <v>0.12123484681068024</v>
      </c>
      <c r="BC199" s="60">
        <f>Model!BC1485</f>
        <v>0.13237508756123059</v>
      </c>
      <c r="BD199" s="60">
        <f>Model!BD1485</f>
        <v>0.1367016155717739</v>
      </c>
      <c r="BE199" s="60">
        <f>Model!BE1485</f>
        <v>0.13555083527814074</v>
      </c>
    </row>
    <row r="200" spans="1:57" x14ac:dyDescent="0.2">
      <c r="A200" s="238" t="s">
        <v>759</v>
      </c>
      <c r="B200" s="238"/>
      <c r="C200" s="238"/>
      <c r="D200" s="32" t="s">
        <v>229</v>
      </c>
      <c r="E200" s="60" t="s">
        <v>229</v>
      </c>
      <c r="F200" s="60" t="s">
        <v>229</v>
      </c>
      <c r="G200" s="60" t="s">
        <v>229</v>
      </c>
      <c r="H200" s="60" t="s">
        <v>229</v>
      </c>
      <c r="I200" s="60" t="s">
        <v>229</v>
      </c>
      <c r="J200" s="60" t="s">
        <v>229</v>
      </c>
      <c r="K200" s="60" t="s">
        <v>229</v>
      </c>
      <c r="L200" s="60" t="s">
        <v>229</v>
      </c>
      <c r="M200" s="60" t="s">
        <v>229</v>
      </c>
      <c r="N200" s="60" t="s">
        <v>229</v>
      </c>
      <c r="O200" s="60" t="s">
        <v>229</v>
      </c>
      <c r="P200" s="60" t="s">
        <v>229</v>
      </c>
      <c r="Q200" s="60" t="s">
        <v>229</v>
      </c>
      <c r="R200" s="60" t="s">
        <v>229</v>
      </c>
      <c r="S200" s="60" t="s">
        <v>229</v>
      </c>
      <c r="T200" s="60" t="s">
        <v>229</v>
      </c>
      <c r="U200" s="60" t="s">
        <v>229</v>
      </c>
      <c r="V200" s="60" t="s">
        <v>229</v>
      </c>
      <c r="W200" s="60" t="s">
        <v>229</v>
      </c>
      <c r="X200" s="60" t="s">
        <v>229</v>
      </c>
      <c r="Y200" s="60" t="s">
        <v>229</v>
      </c>
      <c r="Z200" s="60" t="s">
        <v>229</v>
      </c>
      <c r="AA200" s="60" t="s">
        <v>229</v>
      </c>
      <c r="AB200" s="60" t="s">
        <v>229</v>
      </c>
      <c r="AC200" s="60" t="s">
        <v>229</v>
      </c>
      <c r="AD200" s="60" t="s">
        <v>229</v>
      </c>
      <c r="AE200" s="60" t="s">
        <v>229</v>
      </c>
      <c r="AF200" s="60" t="s">
        <v>229</v>
      </c>
      <c r="AG200" s="60" t="s">
        <v>229</v>
      </c>
      <c r="AH200" s="60" t="s">
        <v>229</v>
      </c>
      <c r="AI200" s="60" t="s">
        <v>229</v>
      </c>
      <c r="AJ200" s="60"/>
      <c r="AK200" s="60"/>
      <c r="AL200" s="60"/>
      <c r="AM200" s="60"/>
      <c r="AN200" s="60"/>
      <c r="AO200" s="60"/>
      <c r="AP200" s="60"/>
      <c r="AQ200" s="60"/>
      <c r="AU200" s="60" t="s">
        <v>229</v>
      </c>
      <c r="AV200" s="60" t="s">
        <v>229</v>
      </c>
      <c r="AW200" s="60" t="s">
        <v>229</v>
      </c>
      <c r="AX200" s="60" t="s">
        <v>229</v>
      </c>
      <c r="AY200" s="60" t="s">
        <v>229</v>
      </c>
      <c r="AZ200" s="60" t="s">
        <v>229</v>
      </c>
      <c r="BA200" s="60" t="s">
        <v>229</v>
      </c>
      <c r="BB200" s="60" t="s">
        <v>229</v>
      </c>
      <c r="BC200" s="60" t="s">
        <v>229</v>
      </c>
      <c r="BD200" s="60" t="s">
        <v>229</v>
      </c>
      <c r="BE200" s="60" t="s">
        <v>229</v>
      </c>
    </row>
    <row r="201" spans="1:57" x14ac:dyDescent="0.2">
      <c r="A201" s="238" t="s">
        <v>760</v>
      </c>
      <c r="B201" s="238"/>
      <c r="C201" s="238"/>
      <c r="F201" s="916"/>
      <c r="G201" s="916"/>
      <c r="H201" s="916"/>
      <c r="I201" s="916"/>
      <c r="J201" s="916"/>
      <c r="K201" s="916"/>
      <c r="L201" s="916"/>
      <c r="M201" s="916"/>
      <c r="N201" s="916"/>
      <c r="O201" s="916"/>
      <c r="P201" s="916"/>
      <c r="Q201" s="916"/>
      <c r="R201" s="916"/>
      <c r="S201" s="916"/>
      <c r="T201" s="916"/>
      <c r="U201" s="916"/>
      <c r="V201" s="916"/>
      <c r="W201" s="916"/>
      <c r="X201" s="916"/>
      <c r="Y201" s="916"/>
      <c r="Z201" s="916"/>
      <c r="AA201" s="916"/>
      <c r="AB201" s="916"/>
      <c r="AC201" s="916"/>
      <c r="AD201" s="916"/>
      <c r="AE201" s="916"/>
    </row>
    <row r="202" spans="1:57" s="238" customFormat="1" x14ac:dyDescent="0.2">
      <c r="D202" s="9"/>
      <c r="E202" s="9"/>
      <c r="F202" s="916"/>
      <c r="G202" s="916"/>
      <c r="H202" s="916"/>
      <c r="I202" s="916"/>
      <c r="J202" s="916"/>
      <c r="K202" s="916"/>
      <c r="L202" s="916"/>
      <c r="M202" s="916"/>
      <c r="N202" s="916"/>
      <c r="O202" s="916"/>
      <c r="P202" s="916"/>
      <c r="Q202" s="916"/>
      <c r="R202" s="916"/>
      <c r="S202" s="916"/>
      <c r="T202" s="916"/>
      <c r="U202" s="916"/>
      <c r="V202" s="916"/>
      <c r="W202" s="916"/>
      <c r="X202" s="916"/>
      <c r="Y202" s="916"/>
      <c r="Z202" s="916"/>
      <c r="AA202" s="916"/>
      <c r="AB202" s="916"/>
      <c r="AC202" s="916"/>
      <c r="AD202" s="916"/>
      <c r="AE202" s="916"/>
      <c r="AF202" s="1707"/>
      <c r="AG202" s="1707"/>
      <c r="AH202" s="1707"/>
      <c r="AI202" s="1707"/>
      <c r="AJ202" s="1740"/>
      <c r="AK202" s="1740"/>
      <c r="AL202" s="1740"/>
      <c r="AM202" s="1740"/>
      <c r="AN202" s="1740"/>
      <c r="AO202" s="1740"/>
      <c r="AP202" s="1740"/>
      <c r="AQ202" s="1740"/>
      <c r="AR202" s="9"/>
      <c r="AS202" s="1160"/>
      <c r="AT202" s="1160"/>
      <c r="AU202" s="1198"/>
      <c r="AV202" s="1198"/>
      <c r="AW202" s="1198"/>
      <c r="AX202" s="1198"/>
      <c r="AY202" s="1198"/>
      <c r="AZ202" s="1198"/>
      <c r="BA202" s="1198"/>
      <c r="BB202" s="1198"/>
      <c r="BC202" s="1198"/>
      <c r="BD202" s="1198"/>
      <c r="BE202" s="1702"/>
    </row>
    <row r="203" spans="1:57" s="238" customFormat="1" x14ac:dyDescent="0.2">
      <c r="A203" s="238" t="s">
        <v>761</v>
      </c>
      <c r="D203" s="32" t="s">
        <v>229</v>
      </c>
      <c r="E203" s="32" t="s">
        <v>229</v>
      </c>
      <c r="F203" s="32" t="s">
        <v>229</v>
      </c>
      <c r="G203" s="32" t="s">
        <v>229</v>
      </c>
      <c r="H203" s="32" t="s">
        <v>229</v>
      </c>
      <c r="I203" s="32" t="s">
        <v>229</v>
      </c>
      <c r="J203" s="32" t="s">
        <v>229</v>
      </c>
      <c r="K203" s="32" t="s">
        <v>229</v>
      </c>
      <c r="L203" s="32" t="s">
        <v>229</v>
      </c>
      <c r="M203" s="32" t="s">
        <v>229</v>
      </c>
      <c r="N203" s="32" t="s">
        <v>229</v>
      </c>
      <c r="O203" s="32" t="s">
        <v>229</v>
      </c>
      <c r="P203" s="32" t="s">
        <v>229</v>
      </c>
      <c r="Q203" s="32" t="s">
        <v>229</v>
      </c>
      <c r="R203" s="32" t="s">
        <v>229</v>
      </c>
      <c r="S203" s="32" t="s">
        <v>229</v>
      </c>
      <c r="T203" s="32" t="s">
        <v>229</v>
      </c>
      <c r="U203" s="32" t="s">
        <v>229</v>
      </c>
      <c r="V203" s="32" t="s">
        <v>229</v>
      </c>
      <c r="W203" s="32" t="s">
        <v>229</v>
      </c>
      <c r="X203" s="32" t="s">
        <v>229</v>
      </c>
      <c r="Y203" s="32" t="s">
        <v>229</v>
      </c>
      <c r="Z203" s="32" t="s">
        <v>229</v>
      </c>
      <c r="AA203" s="32" t="s">
        <v>229</v>
      </c>
      <c r="AB203" s="32" t="s">
        <v>229</v>
      </c>
      <c r="AC203" s="32" t="s">
        <v>229</v>
      </c>
      <c r="AD203" s="32" t="s">
        <v>229</v>
      </c>
      <c r="AE203" s="32" t="s">
        <v>229</v>
      </c>
      <c r="AF203" s="32" t="s">
        <v>229</v>
      </c>
      <c r="AG203" s="32" t="s">
        <v>229</v>
      </c>
      <c r="AH203" s="32" t="s">
        <v>229</v>
      </c>
      <c r="AI203" s="32" t="s">
        <v>229</v>
      </c>
      <c r="AJ203" s="32"/>
      <c r="AK203" s="32"/>
      <c r="AL203" s="32"/>
      <c r="AM203" s="32"/>
      <c r="AN203" s="32"/>
      <c r="AO203" s="32"/>
      <c r="AP203" s="32"/>
      <c r="AQ203" s="32"/>
      <c r="AR203" s="9"/>
      <c r="AS203" s="1160"/>
      <c r="AT203" s="1160"/>
      <c r="AU203" s="32" t="s">
        <v>229</v>
      </c>
      <c r="AV203" s="32" t="s">
        <v>229</v>
      </c>
      <c r="AW203" s="32" t="s">
        <v>229</v>
      </c>
      <c r="AX203" s="32" t="s">
        <v>229</v>
      </c>
      <c r="AY203" s="32" t="s">
        <v>229</v>
      </c>
      <c r="AZ203" s="32" t="s">
        <v>229</v>
      </c>
      <c r="BA203" s="32" t="s">
        <v>229</v>
      </c>
      <c r="BB203" s="32" t="s">
        <v>229</v>
      </c>
      <c r="BC203" s="32" t="s">
        <v>229</v>
      </c>
      <c r="BD203" s="32" t="s">
        <v>229</v>
      </c>
      <c r="BE203" s="32" t="s">
        <v>229</v>
      </c>
    </row>
    <row r="204" spans="1:57" s="238" customFormat="1" x14ac:dyDescent="0.2">
      <c r="A204" s="238" t="s">
        <v>762</v>
      </c>
      <c r="D204" s="32" t="s">
        <v>229</v>
      </c>
      <c r="E204" s="32" t="s">
        <v>229</v>
      </c>
      <c r="F204" s="32" t="s">
        <v>229</v>
      </c>
      <c r="G204" s="32" t="s">
        <v>229</v>
      </c>
      <c r="H204" s="32" t="s">
        <v>229</v>
      </c>
      <c r="I204" s="32" t="s">
        <v>229</v>
      </c>
      <c r="J204" s="32" t="s">
        <v>229</v>
      </c>
      <c r="K204" s="32" t="s">
        <v>229</v>
      </c>
      <c r="L204" s="32" t="s">
        <v>229</v>
      </c>
      <c r="M204" s="32" t="s">
        <v>229</v>
      </c>
      <c r="N204" s="32" t="s">
        <v>229</v>
      </c>
      <c r="O204" s="32" t="s">
        <v>229</v>
      </c>
      <c r="P204" s="32" t="s">
        <v>229</v>
      </c>
      <c r="Q204" s="32" t="s">
        <v>229</v>
      </c>
      <c r="R204" s="32" t="s">
        <v>229</v>
      </c>
      <c r="S204" s="32" t="s">
        <v>229</v>
      </c>
      <c r="T204" s="32" t="s">
        <v>229</v>
      </c>
      <c r="U204" s="32" t="s">
        <v>229</v>
      </c>
      <c r="V204" s="32" t="s">
        <v>229</v>
      </c>
      <c r="W204" s="32" t="s">
        <v>229</v>
      </c>
      <c r="X204" s="32" t="s">
        <v>229</v>
      </c>
      <c r="Y204" s="32" t="s">
        <v>229</v>
      </c>
      <c r="Z204" s="32" t="s">
        <v>229</v>
      </c>
      <c r="AA204" s="32" t="s">
        <v>229</v>
      </c>
      <c r="AB204" s="32" t="s">
        <v>229</v>
      </c>
      <c r="AC204" s="32" t="s">
        <v>229</v>
      </c>
      <c r="AD204" s="32" t="s">
        <v>229</v>
      </c>
      <c r="AE204" s="32" t="s">
        <v>229</v>
      </c>
      <c r="AF204" s="32" t="s">
        <v>229</v>
      </c>
      <c r="AG204" s="32" t="s">
        <v>229</v>
      </c>
      <c r="AH204" s="32" t="s">
        <v>229</v>
      </c>
      <c r="AI204" s="32" t="s">
        <v>229</v>
      </c>
      <c r="AJ204" s="32"/>
      <c r="AK204" s="32"/>
      <c r="AL204" s="32"/>
      <c r="AM204" s="32"/>
      <c r="AN204" s="32"/>
      <c r="AO204" s="32"/>
      <c r="AP204" s="32"/>
      <c r="AQ204" s="32"/>
      <c r="AR204" s="9"/>
      <c r="AS204" s="1160"/>
      <c r="AT204" s="1160"/>
      <c r="AU204" s="32" t="s">
        <v>229</v>
      </c>
      <c r="AV204" s="32" t="s">
        <v>229</v>
      </c>
      <c r="AW204" s="32" t="s">
        <v>229</v>
      </c>
      <c r="AX204" s="32" t="s">
        <v>229</v>
      </c>
      <c r="AY204" s="32" t="s">
        <v>229</v>
      </c>
      <c r="AZ204" s="32" t="s">
        <v>229</v>
      </c>
      <c r="BA204" s="32" t="s">
        <v>229</v>
      </c>
      <c r="BB204" s="32" t="s">
        <v>229</v>
      </c>
      <c r="BC204" s="32" t="s">
        <v>229</v>
      </c>
      <c r="BD204" s="32" t="s">
        <v>229</v>
      </c>
      <c r="BE204" s="32" t="s">
        <v>229</v>
      </c>
    </row>
    <row r="205" spans="1:57" s="238" customFormat="1" x14ac:dyDescent="0.2">
      <c r="A205" s="238" t="s">
        <v>763</v>
      </c>
      <c r="D205" s="32" t="s">
        <v>229</v>
      </c>
      <c r="E205" s="32" t="s">
        <v>229</v>
      </c>
      <c r="F205" s="32" t="s">
        <v>229</v>
      </c>
      <c r="G205" s="32" t="s">
        <v>229</v>
      </c>
      <c r="H205" s="32" t="s">
        <v>229</v>
      </c>
      <c r="I205" s="32" t="s">
        <v>229</v>
      </c>
      <c r="J205" s="32" t="s">
        <v>229</v>
      </c>
      <c r="K205" s="32" t="s">
        <v>229</v>
      </c>
      <c r="L205" s="32" t="s">
        <v>229</v>
      </c>
      <c r="M205" s="32" t="s">
        <v>229</v>
      </c>
      <c r="N205" s="32" t="s">
        <v>229</v>
      </c>
      <c r="O205" s="32" t="s">
        <v>229</v>
      </c>
      <c r="P205" s="32" t="s">
        <v>229</v>
      </c>
      <c r="Q205" s="32" t="s">
        <v>229</v>
      </c>
      <c r="R205" s="32" t="s">
        <v>229</v>
      </c>
      <c r="S205" s="32" t="s">
        <v>229</v>
      </c>
      <c r="T205" s="32" t="s">
        <v>229</v>
      </c>
      <c r="U205" s="32" t="s">
        <v>229</v>
      </c>
      <c r="V205" s="32" t="s">
        <v>229</v>
      </c>
      <c r="W205" s="32" t="s">
        <v>229</v>
      </c>
      <c r="X205" s="32" t="s">
        <v>229</v>
      </c>
      <c r="Y205" s="32" t="s">
        <v>229</v>
      </c>
      <c r="Z205" s="32" t="s">
        <v>229</v>
      </c>
      <c r="AA205" s="32" t="s">
        <v>229</v>
      </c>
      <c r="AB205" s="32" t="s">
        <v>229</v>
      </c>
      <c r="AC205" s="32" t="s">
        <v>229</v>
      </c>
      <c r="AD205" s="32" t="s">
        <v>229</v>
      </c>
      <c r="AE205" s="32" t="s">
        <v>229</v>
      </c>
      <c r="AF205" s="32" t="s">
        <v>229</v>
      </c>
      <c r="AG205" s="32" t="s">
        <v>229</v>
      </c>
      <c r="AH205" s="32" t="s">
        <v>229</v>
      </c>
      <c r="AI205" s="32" t="s">
        <v>229</v>
      </c>
      <c r="AJ205" s="32"/>
      <c r="AK205" s="32"/>
      <c r="AL205" s="32"/>
      <c r="AM205" s="32"/>
      <c r="AN205" s="32"/>
      <c r="AO205" s="32"/>
      <c r="AP205" s="32"/>
      <c r="AQ205" s="32"/>
      <c r="AR205" s="9"/>
      <c r="AS205" s="1160"/>
      <c r="AT205" s="1160"/>
      <c r="AU205" s="32" t="s">
        <v>229</v>
      </c>
      <c r="AV205" s="32" t="s">
        <v>229</v>
      </c>
      <c r="AW205" s="32" t="s">
        <v>229</v>
      </c>
      <c r="AX205" s="32" t="s">
        <v>229</v>
      </c>
      <c r="AY205" s="32" t="s">
        <v>229</v>
      </c>
      <c r="AZ205" s="32" t="s">
        <v>229</v>
      </c>
      <c r="BA205" s="32" t="s">
        <v>229</v>
      </c>
      <c r="BB205" s="32" t="s">
        <v>229</v>
      </c>
      <c r="BC205" s="32" t="s">
        <v>229</v>
      </c>
      <c r="BD205" s="32" t="s">
        <v>229</v>
      </c>
      <c r="BE205" s="32" t="s">
        <v>229</v>
      </c>
    </row>
    <row r="206" spans="1:57" s="238" customFormat="1" x14ac:dyDescent="0.2">
      <c r="A206" s="238" t="s">
        <v>764</v>
      </c>
      <c r="D206" s="32" t="s">
        <v>229</v>
      </c>
      <c r="E206" s="32" t="s">
        <v>229</v>
      </c>
      <c r="F206" s="32" t="s">
        <v>229</v>
      </c>
      <c r="G206" s="32" t="s">
        <v>229</v>
      </c>
      <c r="H206" s="32" t="s">
        <v>229</v>
      </c>
      <c r="I206" s="32" t="s">
        <v>229</v>
      </c>
      <c r="J206" s="32" t="s">
        <v>229</v>
      </c>
      <c r="K206" s="32" t="s">
        <v>229</v>
      </c>
      <c r="L206" s="32" t="s">
        <v>229</v>
      </c>
      <c r="M206" s="32" t="s">
        <v>229</v>
      </c>
      <c r="N206" s="32" t="s">
        <v>229</v>
      </c>
      <c r="O206" s="32" t="s">
        <v>229</v>
      </c>
      <c r="P206" s="32" t="s">
        <v>229</v>
      </c>
      <c r="Q206" s="32" t="s">
        <v>229</v>
      </c>
      <c r="R206" s="32" t="s">
        <v>229</v>
      </c>
      <c r="S206" s="32" t="s">
        <v>229</v>
      </c>
      <c r="T206" s="32" t="s">
        <v>229</v>
      </c>
      <c r="U206" s="32" t="s">
        <v>229</v>
      </c>
      <c r="V206" s="32" t="s">
        <v>229</v>
      </c>
      <c r="W206" s="32" t="s">
        <v>229</v>
      </c>
      <c r="X206" s="32" t="s">
        <v>229</v>
      </c>
      <c r="Y206" s="32" t="s">
        <v>229</v>
      </c>
      <c r="Z206" s="32" t="s">
        <v>229</v>
      </c>
      <c r="AA206" s="32" t="s">
        <v>229</v>
      </c>
      <c r="AB206" s="32" t="s">
        <v>229</v>
      </c>
      <c r="AC206" s="32" t="s">
        <v>229</v>
      </c>
      <c r="AD206" s="32" t="s">
        <v>229</v>
      </c>
      <c r="AE206" s="32" t="s">
        <v>229</v>
      </c>
      <c r="AF206" s="32" t="s">
        <v>229</v>
      </c>
      <c r="AG206" s="32" t="s">
        <v>229</v>
      </c>
      <c r="AH206" s="32" t="s">
        <v>229</v>
      </c>
      <c r="AI206" s="32" t="s">
        <v>229</v>
      </c>
      <c r="AJ206" s="32"/>
      <c r="AK206" s="32"/>
      <c r="AL206" s="32"/>
      <c r="AM206" s="32"/>
      <c r="AN206" s="32"/>
      <c r="AO206" s="32"/>
      <c r="AP206" s="32"/>
      <c r="AQ206" s="32"/>
      <c r="AR206" s="9"/>
      <c r="AS206" s="1160"/>
      <c r="AT206" s="1160"/>
      <c r="AU206" s="32" t="s">
        <v>229</v>
      </c>
      <c r="AV206" s="32" t="s">
        <v>229</v>
      </c>
      <c r="AW206" s="32" t="s">
        <v>229</v>
      </c>
      <c r="AX206" s="32" t="s">
        <v>229</v>
      </c>
      <c r="AY206" s="32" t="s">
        <v>229</v>
      </c>
      <c r="AZ206" s="32" t="s">
        <v>229</v>
      </c>
      <c r="BA206" s="32" t="s">
        <v>229</v>
      </c>
      <c r="BB206" s="32" t="s">
        <v>229</v>
      </c>
      <c r="BC206" s="32" t="s">
        <v>229</v>
      </c>
      <c r="BD206" s="32" t="s">
        <v>229</v>
      </c>
      <c r="BE206" s="32" t="s">
        <v>229</v>
      </c>
    </row>
    <row r="207" spans="1:57" s="238" customFormat="1" x14ac:dyDescent="0.2">
      <c r="A207" s="238" t="s">
        <v>765</v>
      </c>
      <c r="D207" s="32" t="s">
        <v>229</v>
      </c>
      <c r="E207" s="32" t="s">
        <v>229</v>
      </c>
      <c r="F207" s="32" t="s">
        <v>229</v>
      </c>
      <c r="G207" s="32" t="s">
        <v>229</v>
      </c>
      <c r="H207" s="32" t="s">
        <v>229</v>
      </c>
      <c r="I207" s="32" t="s">
        <v>229</v>
      </c>
      <c r="J207" s="32" t="s">
        <v>229</v>
      </c>
      <c r="K207" s="32" t="s">
        <v>229</v>
      </c>
      <c r="L207" s="32" t="s">
        <v>229</v>
      </c>
      <c r="M207" s="32" t="s">
        <v>229</v>
      </c>
      <c r="N207" s="32" t="s">
        <v>229</v>
      </c>
      <c r="O207" s="32" t="s">
        <v>229</v>
      </c>
      <c r="P207" s="32" t="s">
        <v>229</v>
      </c>
      <c r="Q207" s="32" t="s">
        <v>229</v>
      </c>
      <c r="R207" s="32" t="s">
        <v>229</v>
      </c>
      <c r="S207" s="32" t="s">
        <v>229</v>
      </c>
      <c r="T207" s="32" t="s">
        <v>229</v>
      </c>
      <c r="U207" s="32" t="s">
        <v>229</v>
      </c>
      <c r="V207" s="32" t="s">
        <v>229</v>
      </c>
      <c r="W207" s="32" t="s">
        <v>229</v>
      </c>
      <c r="X207" s="32" t="s">
        <v>229</v>
      </c>
      <c r="Y207" s="32" t="s">
        <v>229</v>
      </c>
      <c r="Z207" s="32" t="s">
        <v>229</v>
      </c>
      <c r="AA207" s="32" t="s">
        <v>229</v>
      </c>
      <c r="AB207" s="32" t="s">
        <v>229</v>
      </c>
      <c r="AC207" s="32" t="s">
        <v>229</v>
      </c>
      <c r="AD207" s="32" t="s">
        <v>229</v>
      </c>
      <c r="AE207" s="32" t="s">
        <v>229</v>
      </c>
      <c r="AF207" s="32" t="s">
        <v>229</v>
      </c>
      <c r="AG207" s="32" t="s">
        <v>229</v>
      </c>
      <c r="AH207" s="32" t="s">
        <v>229</v>
      </c>
      <c r="AI207" s="32" t="s">
        <v>229</v>
      </c>
      <c r="AJ207" s="32"/>
      <c r="AK207" s="32"/>
      <c r="AL207" s="32"/>
      <c r="AM207" s="32"/>
      <c r="AN207" s="32"/>
      <c r="AO207" s="32"/>
      <c r="AP207" s="32"/>
      <c r="AQ207" s="32"/>
      <c r="AR207" s="9"/>
      <c r="AS207" s="1160"/>
      <c r="AT207" s="1160"/>
      <c r="AU207" s="32" t="s">
        <v>229</v>
      </c>
      <c r="AV207" s="32" t="s">
        <v>229</v>
      </c>
      <c r="AW207" s="32" t="s">
        <v>229</v>
      </c>
      <c r="AX207" s="32" t="s">
        <v>229</v>
      </c>
      <c r="AY207" s="32" t="s">
        <v>229</v>
      </c>
      <c r="AZ207" s="32" t="s">
        <v>229</v>
      </c>
      <c r="BA207" s="32" t="s">
        <v>229</v>
      </c>
      <c r="BB207" s="32" t="s">
        <v>229</v>
      </c>
      <c r="BC207" s="32" t="s">
        <v>229</v>
      </c>
      <c r="BD207" s="32" t="s">
        <v>229</v>
      </c>
      <c r="BE207" s="32" t="s">
        <v>229</v>
      </c>
    </row>
    <row r="208" spans="1:57" x14ac:dyDescent="0.2">
      <c r="A208" s="238"/>
      <c r="B208" s="238"/>
      <c r="C208" s="238"/>
      <c r="D208" s="238"/>
      <c r="E208" s="238"/>
      <c r="F208" s="238"/>
      <c r="G208" s="238"/>
      <c r="H208" s="238"/>
      <c r="I208" s="238"/>
      <c r="J208" s="238"/>
      <c r="K208" s="238"/>
      <c r="L208" s="238"/>
      <c r="M208" s="238"/>
      <c r="N208" s="238"/>
      <c r="O208" s="238"/>
      <c r="P208" s="238"/>
      <c r="Q208" s="238"/>
      <c r="R208" s="238"/>
      <c r="S208" s="238"/>
      <c r="T208" s="238"/>
      <c r="U208" s="238"/>
      <c r="V208" s="238"/>
      <c r="W208" s="238"/>
      <c r="X208" s="238"/>
      <c r="Y208" s="238"/>
      <c r="Z208" s="238"/>
      <c r="AA208" s="238"/>
      <c r="AB208" s="238"/>
      <c r="AC208" s="238"/>
      <c r="AD208" s="238"/>
      <c r="AE208" s="238"/>
      <c r="AF208" s="238"/>
      <c r="AG208" s="238"/>
      <c r="AH208" s="238"/>
      <c r="AI208" s="238"/>
      <c r="AJ208" s="238"/>
      <c r="AK208" s="238"/>
      <c r="AL208" s="238"/>
      <c r="AM208" s="238"/>
      <c r="AN208" s="238"/>
      <c r="AO208" s="238"/>
      <c r="AP208" s="238"/>
      <c r="AQ208" s="238"/>
      <c r="AR208" s="238"/>
      <c r="AS208" s="238"/>
      <c r="AT208" s="238"/>
      <c r="AU208" s="238"/>
      <c r="AV208" s="238"/>
      <c r="AW208" s="238"/>
      <c r="AX208" s="238"/>
      <c r="AY208" s="238"/>
      <c r="AZ208" s="238"/>
      <c r="BA208" s="238"/>
      <c r="BB208" s="238"/>
      <c r="BC208" s="238"/>
      <c r="BD208" s="238"/>
      <c r="BE208" s="238"/>
    </row>
    <row r="209" spans="1:57" s="395" customFormat="1" x14ac:dyDescent="0.2">
      <c r="A209" s="395" t="s">
        <v>766</v>
      </c>
      <c r="D209" s="396"/>
      <c r="E209" s="396"/>
      <c r="F209" s="396"/>
      <c r="G209" s="396"/>
      <c r="H209" s="396"/>
      <c r="I209" s="396"/>
      <c r="J209" s="396"/>
      <c r="K209" s="396"/>
      <c r="L209" s="396"/>
      <c r="M209" s="396"/>
      <c r="N209" s="396"/>
      <c r="O209" s="396"/>
      <c r="P209" s="396"/>
      <c r="Q209" s="396"/>
      <c r="R209" s="396"/>
      <c r="S209" s="396"/>
      <c r="T209" s="396"/>
      <c r="U209" s="396"/>
      <c r="V209" s="396"/>
      <c r="W209" s="396"/>
      <c r="X209" s="396"/>
      <c r="Y209" s="396"/>
      <c r="Z209" s="396"/>
      <c r="AA209" s="396"/>
      <c r="AB209" s="396"/>
      <c r="AC209" s="396"/>
      <c r="AD209" s="396"/>
      <c r="AE209" s="396"/>
      <c r="AF209" s="396"/>
      <c r="AG209" s="396"/>
      <c r="AH209" s="396"/>
      <c r="AI209" s="396"/>
      <c r="AJ209" s="396"/>
      <c r="AK209" s="396"/>
      <c r="AL209" s="396"/>
      <c r="AM209" s="396"/>
      <c r="AN209" s="396"/>
      <c r="AO209" s="396"/>
      <c r="AP209" s="396"/>
      <c r="AQ209" s="396"/>
      <c r="AR209" s="396"/>
      <c r="AS209" s="396"/>
      <c r="AT209" s="396"/>
      <c r="AU209" s="396"/>
      <c r="AV209" s="396"/>
      <c r="AW209" s="396"/>
      <c r="AX209" s="396"/>
      <c r="AY209" s="396"/>
      <c r="AZ209" s="396"/>
      <c r="BA209" s="396"/>
      <c r="BB209" s="396"/>
      <c r="BC209" s="396"/>
      <c r="BD209" s="396"/>
      <c r="BE209" s="396"/>
    </row>
    <row r="210" spans="1:57" x14ac:dyDescent="0.2">
      <c r="A210" s="238" t="s">
        <v>455</v>
      </c>
      <c r="B210" s="238"/>
      <c r="C210" s="238"/>
      <c r="D210" s="60">
        <f>Model!D1353</f>
        <v>7.7897263963930985E-2</v>
      </c>
      <c r="E210" s="60">
        <f>Model!E1353</f>
        <v>8.0436897145140462E-2</v>
      </c>
      <c r="F210" s="60">
        <f>Model!F1353</f>
        <v>8.1194090207582018E-2</v>
      </c>
      <c r="G210" s="60">
        <f>Model!G1353</f>
        <v>8.4410553869755878E-2</v>
      </c>
      <c r="H210" s="60">
        <f>Model!H1353</f>
        <v>8.5883543121729147E-2</v>
      </c>
      <c r="I210" s="60">
        <f>Model!I1353</f>
        <v>8.6920026972353334E-2</v>
      </c>
      <c r="J210" s="60">
        <f>Model!J1353</f>
        <v>8.8275701939569157E-2</v>
      </c>
      <c r="K210" s="60">
        <f>Model!K1353</f>
        <v>9.0373897955101978E-2</v>
      </c>
      <c r="L210" s="60">
        <f>Model!L1353</f>
        <v>9.1713502505509553E-2</v>
      </c>
      <c r="M210" s="60">
        <f>Model!M1353</f>
        <v>9.158588620862107E-2</v>
      </c>
      <c r="N210" s="60">
        <f>Model!N1353</f>
        <v>9.3842393767399696E-2</v>
      </c>
      <c r="O210" s="60">
        <f>Model!O1353</f>
        <v>9.4534633794610107E-2</v>
      </c>
      <c r="P210" s="60">
        <f>Model!P1353</f>
        <v>9.6963157425126373E-2</v>
      </c>
      <c r="Q210" s="60">
        <f>Model!Q1353</f>
        <v>9.8827212314131996E-2</v>
      </c>
      <c r="R210" s="60">
        <f>Model!R1353</f>
        <v>0.10042524488898066</v>
      </c>
      <c r="S210" s="60">
        <f>Model!S1353</f>
        <v>0.10497730391639397</v>
      </c>
      <c r="T210" s="60">
        <f>Model!T1353</f>
        <v>0.10348250801876614</v>
      </c>
      <c r="U210" s="60">
        <f>Model!U1353</f>
        <v>0.10307836810639541</v>
      </c>
      <c r="V210" s="60">
        <f>Model!V1353</f>
        <v>0.10300130710192043</v>
      </c>
      <c r="W210" s="60">
        <f>Model!W1353</f>
        <v>0.10141142828657274</v>
      </c>
      <c r="X210" s="60">
        <f>Model!X1353</f>
        <v>0.10118877427891301</v>
      </c>
      <c r="Y210" s="60">
        <f>Model!Y1353</f>
        <v>9.9851537461067369E-2</v>
      </c>
      <c r="Z210" s="60">
        <f>Model!Z1353</f>
        <v>9.7341862972971815E-2</v>
      </c>
      <c r="AA210" s="60">
        <f>Model!AA1353</f>
        <v>8.5128137362591991E-2</v>
      </c>
      <c r="AB210" s="60">
        <f>Model!AB1353</f>
        <v>8.2112090005514532E-2</v>
      </c>
      <c r="AC210" s="60">
        <f>Model!AC1353</f>
        <v>8.2432359578952979E-2</v>
      </c>
      <c r="AD210" s="60">
        <f>Model!AD1353</f>
        <v>8.106323845410518E-2</v>
      </c>
      <c r="AE210" s="60">
        <f>Model!AE1353</f>
        <v>7.9401469024931115E-2</v>
      </c>
      <c r="AF210" s="60">
        <f>Model!AF1353</f>
        <v>7.8478894983705291E-2</v>
      </c>
      <c r="AG210" s="60">
        <f>Model!AG1353</f>
        <v>7.7142080079619882E-2</v>
      </c>
      <c r="AH210" s="60">
        <f>Model!AH1353</f>
        <v>7.5800577151563256E-2</v>
      </c>
      <c r="AI210" s="60">
        <f>Model!AI1353</f>
        <v>7.4235400368311485E-2</v>
      </c>
      <c r="AJ210" s="60"/>
      <c r="AK210" s="60"/>
      <c r="AL210" s="60"/>
      <c r="AM210" s="60"/>
      <c r="AN210" s="60"/>
      <c r="AO210" s="60"/>
      <c r="AP210" s="60"/>
      <c r="AQ210" s="60"/>
      <c r="AU210" s="60">
        <f>Model!AU1353</f>
        <v>8.4410553869755878E-2</v>
      </c>
      <c r="AV210" s="60">
        <f>Model!AV1353</f>
        <v>9.0373897955101978E-2</v>
      </c>
      <c r="AW210" s="60">
        <f>Model!AW1353</f>
        <v>9.4534633794610107E-2</v>
      </c>
      <c r="AX210" s="60">
        <f>Model!AX1353</f>
        <v>0.10497730391639397</v>
      </c>
      <c r="AY210" s="60">
        <f>Model!AY1353</f>
        <v>0.10141142828657274</v>
      </c>
      <c r="AZ210" s="60">
        <f>Model!AZ1353</f>
        <v>8.5128137362591991E-2</v>
      </c>
      <c r="BA210" s="60">
        <f>Model!BA1353</f>
        <v>7.9401469024931115E-2</v>
      </c>
      <c r="BB210" s="60">
        <f>Model!BB1353</f>
        <v>7.4235400368311485E-2</v>
      </c>
      <c r="BC210" s="60">
        <f>Model!BC1353</f>
        <v>7.3429543574822162E-2</v>
      </c>
      <c r="BD210" s="60">
        <f>Model!BD1353</f>
        <v>7.353383893182841E-2</v>
      </c>
      <c r="BE210" s="60">
        <f>Model!BE1353</f>
        <v>7.3759660945021635E-2</v>
      </c>
    </row>
    <row r="211" spans="1:57" x14ac:dyDescent="0.2">
      <c r="A211" s="238" t="s">
        <v>456</v>
      </c>
      <c r="B211" s="238"/>
      <c r="C211" s="238"/>
      <c r="D211" s="60" t="str">
        <f>Model!D1354</f>
        <v>NA</v>
      </c>
      <c r="E211" s="60" t="str">
        <f>Model!E1354</f>
        <v>NA</v>
      </c>
      <c r="F211" s="60" t="str">
        <f>Model!F1354</f>
        <v>NA</v>
      </c>
      <c r="G211" s="60">
        <f>Model!G1354</f>
        <v>0.12831185417392313</v>
      </c>
      <c r="H211" s="60">
        <f>Model!H1354</f>
        <v>0.13340966880534708</v>
      </c>
      <c r="I211" s="60">
        <f>Model!I1354</f>
        <v>0.13802307522963442</v>
      </c>
      <c r="J211" s="60">
        <f>Model!J1354</f>
        <v>0.14240085197312211</v>
      </c>
      <c r="K211" s="60">
        <f>Model!K1354</f>
        <v>0.14103503922162433</v>
      </c>
      <c r="L211" s="60">
        <f>Model!L1354</f>
        <v>0.1356991682623977</v>
      </c>
      <c r="M211" s="60">
        <f>Model!M1354</f>
        <v>0.13439799507356473</v>
      </c>
      <c r="N211" s="60">
        <f>Model!N1354</f>
        <v>0.13362552433047031</v>
      </c>
      <c r="O211" s="60">
        <f>Model!O1354</f>
        <v>0.13266852596114048</v>
      </c>
      <c r="P211" s="60">
        <f>Model!P1354</f>
        <v>0.13628814776616777</v>
      </c>
      <c r="Q211" s="60">
        <f>Model!Q1354</f>
        <v>0.13930547093563003</v>
      </c>
      <c r="R211" s="60">
        <f>Model!R1354</f>
        <v>0.14265831149813507</v>
      </c>
      <c r="S211" s="60">
        <f>Model!S1354</f>
        <v>0.1471712447082367</v>
      </c>
      <c r="T211" s="60">
        <f>Model!T1354</f>
        <v>0.14817255914325475</v>
      </c>
      <c r="U211" s="60">
        <f>Model!U1354</f>
        <v>0.14972389313918252</v>
      </c>
      <c r="V211" s="60">
        <f>Model!V1354</f>
        <v>0.15012419776224209</v>
      </c>
      <c r="W211" s="60">
        <f>Model!W1354</f>
        <v>0.15047912043574743</v>
      </c>
      <c r="X211" s="60">
        <f>Model!X1354</f>
        <v>0.15238665197243237</v>
      </c>
      <c r="Y211" s="60">
        <f>Model!Y1354</f>
        <v>0.15436382259396195</v>
      </c>
      <c r="Z211" s="60">
        <f>Model!Z1354</f>
        <v>0.15322786532963401</v>
      </c>
      <c r="AA211" s="60">
        <f>Model!AA1354</f>
        <v>0.13623746986423044</v>
      </c>
      <c r="AB211" s="60">
        <f>Model!AB1354</f>
        <v>0.13197794741306193</v>
      </c>
      <c r="AC211" s="60">
        <f>Model!AC1354</f>
        <v>0.13323683165443062</v>
      </c>
      <c r="AD211" s="60">
        <f>Model!AD1354</f>
        <v>0.13103211014662391</v>
      </c>
      <c r="AE211" s="60">
        <f>Model!AE1354</f>
        <v>0.12835662450189517</v>
      </c>
      <c r="AF211" s="60">
        <f>Model!AF1354</f>
        <v>0.12792454632991962</v>
      </c>
      <c r="AG211" s="60">
        <f>Model!AG1354</f>
        <v>0.12575867279236114</v>
      </c>
      <c r="AH211" s="60">
        <f>Model!AH1354</f>
        <v>0.12358879971104147</v>
      </c>
      <c r="AI211" s="60">
        <f>Model!AI1354</f>
        <v>0.1210558961386589</v>
      </c>
      <c r="AJ211" s="60"/>
      <c r="AK211" s="60"/>
      <c r="AL211" s="60"/>
      <c r="AM211" s="60"/>
      <c r="AN211" s="60"/>
      <c r="AO211" s="60"/>
      <c r="AP211" s="60"/>
      <c r="AQ211" s="60"/>
      <c r="AU211" s="60">
        <f>Model!AU1354</f>
        <v>0.12831185417392313</v>
      </c>
      <c r="AV211" s="60">
        <f>Model!AV1354</f>
        <v>0.14103503922162433</v>
      </c>
      <c r="AW211" s="60">
        <f>Model!AW1354</f>
        <v>0.13266852596114048</v>
      </c>
      <c r="AX211" s="60">
        <f>Model!AX1354</f>
        <v>0.1471712447082367</v>
      </c>
      <c r="AY211" s="60">
        <f>Model!AY1354</f>
        <v>0.15047912043574743</v>
      </c>
      <c r="AZ211" s="60">
        <f>Model!AZ1354</f>
        <v>0.13623746986423044</v>
      </c>
      <c r="BA211" s="60">
        <f>Model!BA1354</f>
        <v>0.12835662450189517</v>
      </c>
      <c r="BB211" s="60">
        <f>Model!BB1354</f>
        <v>0.1210558961386589</v>
      </c>
      <c r="BC211" s="60">
        <f>Model!BC1354</f>
        <v>0.11978330872265279</v>
      </c>
      <c r="BD211" s="60">
        <f>Model!BD1354</f>
        <v>0.12000452568197044</v>
      </c>
      <c r="BE211" s="60">
        <f>Model!BE1354</f>
        <v>0.12042055063346477</v>
      </c>
    </row>
    <row r="212" spans="1:57" x14ac:dyDescent="0.2">
      <c r="A212" s="238" t="s">
        <v>767</v>
      </c>
      <c r="B212" s="238"/>
      <c r="C212" s="238"/>
      <c r="D212" s="32" t="s">
        <v>229</v>
      </c>
      <c r="E212" s="32" t="s">
        <v>229</v>
      </c>
      <c r="F212" s="32" t="s">
        <v>229</v>
      </c>
      <c r="G212" s="32" t="s">
        <v>229</v>
      </c>
      <c r="H212" s="32" t="s">
        <v>229</v>
      </c>
      <c r="I212" s="32" t="s">
        <v>229</v>
      </c>
      <c r="J212" s="32" t="s">
        <v>229</v>
      </c>
      <c r="K212" s="32" t="s">
        <v>229</v>
      </c>
      <c r="L212" s="32" t="s">
        <v>229</v>
      </c>
      <c r="M212" s="32" t="s">
        <v>229</v>
      </c>
      <c r="N212" s="32" t="s">
        <v>229</v>
      </c>
      <c r="O212" s="32" t="s">
        <v>229</v>
      </c>
      <c r="P212" s="32" t="s">
        <v>229</v>
      </c>
      <c r="Q212" s="32" t="s">
        <v>229</v>
      </c>
      <c r="R212" s="32" t="s">
        <v>229</v>
      </c>
      <c r="S212" s="32" t="s">
        <v>229</v>
      </c>
      <c r="T212" s="32" t="s">
        <v>229</v>
      </c>
      <c r="U212" s="32" t="s">
        <v>229</v>
      </c>
      <c r="V212" s="32" t="s">
        <v>229</v>
      </c>
      <c r="W212" s="32" t="s">
        <v>229</v>
      </c>
      <c r="X212" s="32" t="s">
        <v>229</v>
      </c>
      <c r="Y212" s="32" t="s">
        <v>229</v>
      </c>
      <c r="Z212" s="32" t="s">
        <v>229</v>
      </c>
      <c r="AA212" s="32" t="s">
        <v>229</v>
      </c>
      <c r="AB212" s="32" t="s">
        <v>229</v>
      </c>
      <c r="AC212" s="32" t="s">
        <v>229</v>
      </c>
      <c r="AD212" s="32" t="s">
        <v>229</v>
      </c>
      <c r="AE212" s="32" t="s">
        <v>229</v>
      </c>
      <c r="AF212" s="32" t="s">
        <v>229</v>
      </c>
      <c r="AG212" s="32" t="s">
        <v>229</v>
      </c>
      <c r="AH212" s="32" t="s">
        <v>229</v>
      </c>
      <c r="AI212" s="32" t="s">
        <v>229</v>
      </c>
      <c r="AJ212" s="32"/>
      <c r="AK212" s="32"/>
      <c r="AL212" s="32"/>
      <c r="AM212" s="32"/>
      <c r="AN212" s="32"/>
      <c r="AO212" s="32"/>
      <c r="AP212" s="32"/>
      <c r="AQ212" s="32"/>
      <c r="AU212" s="32" t="s">
        <v>229</v>
      </c>
      <c r="AV212" s="32" t="s">
        <v>229</v>
      </c>
      <c r="AW212" s="32" t="s">
        <v>229</v>
      </c>
      <c r="AX212" s="32" t="s">
        <v>229</v>
      </c>
      <c r="AY212" s="32" t="s">
        <v>229</v>
      </c>
      <c r="AZ212" s="32" t="s">
        <v>229</v>
      </c>
      <c r="BA212" s="32" t="s">
        <v>229</v>
      </c>
      <c r="BB212" s="32" t="s">
        <v>229</v>
      </c>
      <c r="BC212" s="32" t="s">
        <v>229</v>
      </c>
      <c r="BD212" s="32" t="s">
        <v>229</v>
      </c>
      <c r="BE212" s="32" t="s">
        <v>229</v>
      </c>
    </row>
    <row r="213" spans="1:57" x14ac:dyDescent="0.2">
      <c r="A213" s="238" t="s">
        <v>768</v>
      </c>
      <c r="B213" s="238"/>
      <c r="C213" s="238"/>
      <c r="D213" s="108">
        <f>Model!D1392</f>
        <v>0</v>
      </c>
      <c r="E213" s="108">
        <f>Model!E1392</f>
        <v>0</v>
      </c>
      <c r="F213" s="108">
        <f>Model!F1392</f>
        <v>0</v>
      </c>
      <c r="G213" s="108">
        <f>Model!G1392</f>
        <v>8.7193776848949259E-2</v>
      </c>
      <c r="H213" s="108">
        <f>Model!H1392</f>
        <v>9.3145505539218604E-2</v>
      </c>
      <c r="I213" s="108">
        <f>Model!I1392</f>
        <v>0.10021851997474727</v>
      </c>
      <c r="J213" s="108">
        <f>Model!J1392</f>
        <v>0.10470242215130117</v>
      </c>
      <c r="K213" s="108">
        <f>Model!K1392</f>
        <v>0.10574021694843194</v>
      </c>
      <c r="L213" s="108">
        <f>Model!L1392</f>
        <v>0.10450087411408161</v>
      </c>
      <c r="M213" s="108">
        <f>Model!M1392</f>
        <v>0.10566305837162186</v>
      </c>
      <c r="N213" s="108">
        <f>Model!N1392</f>
        <v>0.1064387013505831</v>
      </c>
      <c r="O213" s="108">
        <f>Model!O1392</f>
        <v>0.10567574781158977</v>
      </c>
      <c r="P213" s="108">
        <f>Model!P1392</f>
        <v>0.1105699049197746</v>
      </c>
      <c r="Q213" s="108">
        <f>Model!Q1392</f>
        <v>0.11374612562402578</v>
      </c>
      <c r="R213" s="108">
        <f>Model!R1392</f>
        <v>0.11674304668175402</v>
      </c>
      <c r="S213" s="108">
        <f>Model!S1392</f>
        <v>0.1207496318683984</v>
      </c>
      <c r="T213" s="108">
        <f>Model!T1392</f>
        <v>0.12344795595264506</v>
      </c>
      <c r="U213" s="108">
        <f>Model!U1392</f>
        <v>0.12534635026312888</v>
      </c>
      <c r="V213" s="108">
        <f>Model!V1392</f>
        <v>0.12629988365873338</v>
      </c>
      <c r="W213" s="108">
        <f>Model!W1392</f>
        <v>0.12567749310739021</v>
      </c>
      <c r="X213" s="108">
        <f>Model!X1392</f>
        <v>0.12813864731907165</v>
      </c>
      <c r="Y213" s="108">
        <f>Model!Y1392</f>
        <v>0.1305994864358293</v>
      </c>
      <c r="Z213" s="108">
        <f>Model!Z1392</f>
        <v>0.12979259762722353</v>
      </c>
      <c r="AA213" s="108">
        <f>Model!AA1392</f>
        <v>0.12584944099028605</v>
      </c>
      <c r="AB213" s="108">
        <f>Model!AB1392</f>
        <v>0.122245122985581</v>
      </c>
      <c r="AC213" s="108">
        <f>Model!AC1392</f>
        <v>0.12350308054413217</v>
      </c>
      <c r="AD213" s="108">
        <f>Model!AD1392</f>
        <v>0.12138718020585028</v>
      </c>
      <c r="AE213" s="108">
        <f>Model!AE1392</f>
        <v>0.11881216271223326</v>
      </c>
      <c r="AF213" s="108">
        <f>Model!AF1392</f>
        <v>0.11840755128170059</v>
      </c>
      <c r="AG213" s="108">
        <f>Model!AG1392</f>
        <v>0.11636231058454591</v>
      </c>
      <c r="AH213" s="108">
        <f>Model!AH1392</f>
        <v>0.11433421532152371</v>
      </c>
      <c r="AI213" s="108">
        <f>Model!AI1392</f>
        <v>0.11195274341991254</v>
      </c>
      <c r="AJ213" s="108"/>
      <c r="AK213" s="108"/>
      <c r="AL213" s="108"/>
      <c r="AM213" s="108"/>
      <c r="AN213" s="108"/>
      <c r="AO213" s="108"/>
      <c r="AP213" s="108"/>
      <c r="AQ213" s="108"/>
      <c r="AU213" s="108">
        <f>Model!AU1392</f>
        <v>8.7193776848949259E-2</v>
      </c>
      <c r="AV213" s="108">
        <f>Model!AV1392</f>
        <v>0.10574021694843194</v>
      </c>
      <c r="AW213" s="108">
        <f>Model!AW1392</f>
        <v>0.10567574781158977</v>
      </c>
      <c r="AX213" s="108">
        <f>Model!AX1392</f>
        <v>0.1207496318683984</v>
      </c>
      <c r="AY213" s="108">
        <f>Model!AY1392</f>
        <v>0.12567749310739021</v>
      </c>
      <c r="AZ213" s="108">
        <f>Model!AZ1392</f>
        <v>0.12584944099028605</v>
      </c>
      <c r="BA213" s="108">
        <f>Model!BA1392</f>
        <v>0.11881216271223326</v>
      </c>
      <c r="BB213" s="108">
        <f>Model!BB1392</f>
        <v>0.11195274341991254</v>
      </c>
      <c r="BC213" s="108">
        <f>Model!BC1392</f>
        <v>0.11110842674949507</v>
      </c>
      <c r="BD213" s="108">
        <f>Model!BD1392</f>
        <v>0.11180713337578038</v>
      </c>
      <c r="BE213" s="108">
        <f>Model!BE1392</f>
        <v>0.1126717543701712</v>
      </c>
    </row>
    <row r="214" spans="1:57" x14ac:dyDescent="0.2">
      <c r="A214" s="238" t="s">
        <v>769</v>
      </c>
      <c r="B214" s="238"/>
      <c r="C214" s="238"/>
      <c r="D214" s="108" t="str">
        <f>Model!D1393</f>
        <v>NA</v>
      </c>
      <c r="E214" s="108" t="str">
        <f>Model!E1393</f>
        <v>NA</v>
      </c>
      <c r="F214" s="108" t="str">
        <f>Model!F1393</f>
        <v>NA</v>
      </c>
      <c r="G214" s="108" t="str">
        <f>Model!G1393</f>
        <v>NA</v>
      </c>
      <c r="H214" s="108" t="str">
        <f>Model!H1393</f>
        <v>NA</v>
      </c>
      <c r="I214" s="108">
        <f>Model!I1393</f>
        <v>0.10487331238077127</v>
      </c>
      <c r="J214" s="108">
        <f>Model!J1393</f>
        <v>0.11019295396134707</v>
      </c>
      <c r="K214" s="108">
        <f>Model!K1393</f>
        <v>0.11233268912971775</v>
      </c>
      <c r="L214" s="108">
        <f>Model!L1393</f>
        <v>0.11107081554089926</v>
      </c>
      <c r="M214" s="108">
        <f>Model!M1393</f>
        <v>0.11347977311852722</v>
      </c>
      <c r="N214" s="108">
        <f>Model!N1393</f>
        <v>0.11412888158197994</v>
      </c>
      <c r="O214" s="108">
        <f>Model!O1393</f>
        <v>0.1145485279725825</v>
      </c>
      <c r="P214" s="108">
        <f>Model!P1393</f>
        <v>0.12066526557186012</v>
      </c>
      <c r="Q214" s="108">
        <f>Model!Q1393</f>
        <v>0.12544335844166205</v>
      </c>
      <c r="R214" s="108">
        <f>Model!R1393</f>
        <v>0.12913709581633084</v>
      </c>
      <c r="S214" s="108">
        <f>Model!S1393</f>
        <v>0.13486730407629183</v>
      </c>
      <c r="T214" s="108">
        <f>Model!T1393</f>
        <v>0.13806506262226972</v>
      </c>
      <c r="U214" s="108">
        <f>Model!U1393</f>
        <v>0.14115760478109365</v>
      </c>
      <c r="V214" s="108">
        <f>Model!V1393</f>
        <v>0.14227991431941989</v>
      </c>
      <c r="W214" s="108">
        <f>Model!W1393</f>
        <v>0.14238282563378388</v>
      </c>
      <c r="X214" s="108">
        <f>Model!X1393</f>
        <v>0.14475023858545891</v>
      </c>
      <c r="Y214" s="108">
        <f>Model!Y1393</f>
        <v>0.14739426360099211</v>
      </c>
      <c r="Z214" s="108">
        <f>Model!Z1393</f>
        <v>0.14612086382995271</v>
      </c>
      <c r="AA214" s="108">
        <f>Model!AA1393</f>
        <v>0.14308058058058057</v>
      </c>
      <c r="AB214" s="108">
        <f>Model!AB1393</f>
        <v>0.13865733672603903</v>
      </c>
      <c r="AC214" s="108">
        <f>Model!AC1393</f>
        <v>0.13993953194103848</v>
      </c>
      <c r="AD214" s="108">
        <f>Model!AD1393</f>
        <v>0.13775131936046903</v>
      </c>
      <c r="AE214" s="108">
        <f>Model!AE1393</f>
        <v>0.1350807513999126</v>
      </c>
      <c r="AF214" s="108">
        <f>Model!AF1393</f>
        <v>0.1364143000642184</v>
      </c>
      <c r="AG214" s="108">
        <f>Model!AG1393</f>
        <v>0.1342341492479347</v>
      </c>
      <c r="AH214" s="108">
        <f>Model!AH1393</f>
        <v>0.1320284909050348</v>
      </c>
      <c r="AI214" s="108">
        <f>Model!AI1393</f>
        <v>0.12944489917012228</v>
      </c>
      <c r="AJ214" s="108"/>
      <c r="AK214" s="108"/>
      <c r="AL214" s="108"/>
      <c r="AM214" s="108"/>
      <c r="AN214" s="108"/>
      <c r="AO214" s="108"/>
      <c r="AP214" s="108"/>
      <c r="AQ214" s="108"/>
      <c r="AU214" s="108">
        <f>Model!AU1393</f>
        <v>0</v>
      </c>
      <c r="AV214" s="108">
        <f>Model!AV1393</f>
        <v>0.11233268912971775</v>
      </c>
      <c r="AW214" s="108">
        <f>Model!AW1393</f>
        <v>0.1145485279725825</v>
      </c>
      <c r="AX214" s="108">
        <f>Model!AX1393</f>
        <v>0.13486730407629183</v>
      </c>
      <c r="AY214" s="108">
        <f>Model!AY1393</f>
        <v>0.14238282563378388</v>
      </c>
      <c r="AZ214" s="108">
        <f>Model!AZ1393</f>
        <v>0.14308058058058057</v>
      </c>
      <c r="BA214" s="108">
        <f>Model!BA1393</f>
        <v>0.1350807513999126</v>
      </c>
      <c r="BB214" s="108">
        <f>Model!BB1393</f>
        <v>0.12944489917012228</v>
      </c>
      <c r="BC214" s="108">
        <f>Model!BC1393</f>
        <v>0.12815477973478775</v>
      </c>
      <c r="BD214" s="108">
        <f>Model!BD1393</f>
        <v>0.12830585638415812</v>
      </c>
      <c r="BE214" s="108">
        <f>Model!BE1393</f>
        <v>0.12866290830565427</v>
      </c>
    </row>
    <row r="215" spans="1:57" x14ac:dyDescent="0.2">
      <c r="A215" s="238"/>
      <c r="B215" s="238"/>
      <c r="C215" s="238"/>
      <c r="I215" s="916"/>
      <c r="J215" s="916"/>
      <c r="K215" s="916"/>
      <c r="L215" s="916"/>
      <c r="M215" s="916"/>
      <c r="N215" s="916"/>
      <c r="O215" s="916"/>
      <c r="P215" s="916"/>
      <c r="Q215" s="916"/>
      <c r="R215" s="916"/>
      <c r="S215" s="916"/>
      <c r="T215" s="916"/>
      <c r="U215" s="916"/>
      <c r="V215" s="916"/>
      <c r="W215" s="916"/>
      <c r="X215" s="916"/>
      <c r="Y215" s="916"/>
      <c r="Z215" s="916"/>
      <c r="AA215" s="916"/>
      <c r="AB215" s="916"/>
      <c r="AC215" s="916"/>
      <c r="AD215" s="916"/>
      <c r="AE215" s="916"/>
    </row>
    <row r="216" spans="1:57" x14ac:dyDescent="0.2">
      <c r="A216" s="238" t="s">
        <v>770</v>
      </c>
      <c r="B216" s="238"/>
      <c r="C216" s="238"/>
      <c r="D216" s="33">
        <f>Model!D1371</f>
        <v>0</v>
      </c>
      <c r="E216" s="33">
        <f>Model!E1371</f>
        <v>0</v>
      </c>
      <c r="F216" s="33">
        <f>Model!F1371</f>
        <v>0</v>
      </c>
      <c r="G216" s="33">
        <f>Model!G1371</f>
        <v>105140</v>
      </c>
      <c r="H216" s="33">
        <f>Model!H1371</f>
        <v>110958</v>
      </c>
      <c r="I216" s="33">
        <f>Model!I1371</f>
        <v>116995</v>
      </c>
      <c r="J216" s="33">
        <f>Model!J1371</f>
        <v>121321</v>
      </c>
      <c r="K216" s="33">
        <f>Model!K1371</f>
        <v>125349</v>
      </c>
      <c r="L216" s="33">
        <f>Model!L1371</f>
        <v>131685</v>
      </c>
      <c r="M216" s="33">
        <f>Model!M1371</f>
        <v>135338</v>
      </c>
      <c r="N216" s="33">
        <f>Model!N1371</f>
        <v>138547</v>
      </c>
      <c r="O216" s="33">
        <f>Model!O1371</f>
        <v>136597</v>
      </c>
      <c r="P216" s="33">
        <f>Model!P1371</f>
        <v>141945</v>
      </c>
      <c r="Q216" s="33">
        <f>Model!Q1371</f>
        <v>145435</v>
      </c>
      <c r="R216" s="33">
        <f>Model!R1371</f>
        <v>146451</v>
      </c>
      <c r="S216" s="33">
        <f>Model!S1371</f>
        <v>146865</v>
      </c>
      <c r="T216" s="33">
        <f>Model!T1371</f>
        <v>153023</v>
      </c>
      <c r="U216" s="33">
        <f>Model!U1371</f>
        <v>154534</v>
      </c>
      <c r="V216" s="33">
        <f>Model!V1371</f>
        <v>155132</v>
      </c>
      <c r="W216" s="33">
        <f>Model!W1371</f>
        <v>149516</v>
      </c>
      <c r="X216" s="33">
        <f>Model!X1371</f>
        <v>152664</v>
      </c>
      <c r="Y216" s="33">
        <f>Model!Y1371</f>
        <v>155174</v>
      </c>
      <c r="Z216" s="33">
        <f>Model!Z1371</f>
        <v>153534</v>
      </c>
      <c r="AA216" s="33">
        <f>Model!AA1371</f>
        <v>142822</v>
      </c>
      <c r="AB216" s="33">
        <f>Model!AB1371</f>
        <v>144127</v>
      </c>
      <c r="AC216" s="33">
        <f>Model!AC1371</f>
        <v>145395.4111395824</v>
      </c>
      <c r="AD216" s="33">
        <f>Model!AD1371</f>
        <v>143535.93029183263</v>
      </c>
      <c r="AE216" s="33">
        <f>Model!AE1371</f>
        <v>141316.21326334373</v>
      </c>
      <c r="AF216" s="33">
        <f>Model!AF1371</f>
        <v>140525.06456501185</v>
      </c>
      <c r="AG216" s="33">
        <f>Model!AG1371</f>
        <v>139140.25676827141</v>
      </c>
      <c r="AH216" s="33">
        <f>Model!AH1371</f>
        <v>138087.10600127309</v>
      </c>
      <c r="AI216" s="33">
        <f>Model!AI1371</f>
        <v>136773.23030174992</v>
      </c>
      <c r="AJ216" s="33"/>
      <c r="AK216" s="33"/>
      <c r="AL216" s="33"/>
      <c r="AM216" s="33"/>
      <c r="AN216" s="33"/>
      <c r="AO216" s="33"/>
      <c r="AP216" s="33"/>
      <c r="AQ216" s="33"/>
      <c r="AU216" s="33">
        <f>Model!AU1371</f>
        <v>105140</v>
      </c>
      <c r="AV216" s="33">
        <f>Model!AV1371</f>
        <v>125349</v>
      </c>
      <c r="AW216" s="33">
        <f>Model!AW1371</f>
        <v>136597</v>
      </c>
      <c r="AX216" s="33">
        <f>Model!AX1371</f>
        <v>146865</v>
      </c>
      <c r="AY216" s="33">
        <f>Model!AY1371</f>
        <v>149516</v>
      </c>
      <c r="AZ216" s="33">
        <f>Model!AZ1371</f>
        <v>142822</v>
      </c>
      <c r="BA216" s="33">
        <f>Model!BA1371</f>
        <v>141316.21326334373</v>
      </c>
      <c r="BB216" s="33">
        <f>Model!BB1371</f>
        <v>136773.23030174992</v>
      </c>
      <c r="BC216" s="33">
        <f>Model!BC1371</f>
        <v>139291.69404207653</v>
      </c>
      <c r="BD216" s="33">
        <f>Model!BD1371</f>
        <v>144820.11255943379</v>
      </c>
      <c r="BE216" s="33">
        <f>Model!BE1371</f>
        <v>150572.2541217088</v>
      </c>
    </row>
    <row r="217" spans="1:57" x14ac:dyDescent="0.2">
      <c r="A217" s="238" t="s">
        <v>771</v>
      </c>
      <c r="B217" s="238"/>
      <c r="C217" s="238"/>
      <c r="D217" s="33">
        <f>Model!D1384</f>
        <v>0</v>
      </c>
      <c r="E217" s="33">
        <f>Model!E1384</f>
        <v>0</v>
      </c>
      <c r="F217" s="33">
        <f>Model!F1384</f>
        <v>0</v>
      </c>
      <c r="G217" s="33">
        <f>Model!G1384</f>
        <v>0</v>
      </c>
      <c r="H217" s="33">
        <f>Model!H1384</f>
        <v>0</v>
      </c>
      <c r="I217" s="33">
        <f>Model!I1384</f>
        <v>122429</v>
      </c>
      <c r="J217" s="33">
        <f>Model!J1384</f>
        <v>127683</v>
      </c>
      <c r="K217" s="33">
        <f>Model!K1384</f>
        <v>133164</v>
      </c>
      <c r="L217" s="33">
        <f>Model!L1384</f>
        <v>139964</v>
      </c>
      <c r="M217" s="33">
        <f>Model!M1384</f>
        <v>145350</v>
      </c>
      <c r="N217" s="33">
        <f>Model!N1384</f>
        <v>148557</v>
      </c>
      <c r="O217" s="33">
        <f>Model!O1384</f>
        <v>148066</v>
      </c>
      <c r="P217" s="33">
        <f>Model!P1384</f>
        <v>154905</v>
      </c>
      <c r="Q217" s="33">
        <f>Model!Q1384</f>
        <v>160391</v>
      </c>
      <c r="R217" s="33">
        <f>Model!R1384</f>
        <v>161999</v>
      </c>
      <c r="S217" s="33">
        <f>Model!S1384</f>
        <v>164036</v>
      </c>
      <c r="T217" s="33">
        <f>Model!T1384</f>
        <v>171142</v>
      </c>
      <c r="U217" s="33">
        <f>Model!U1384</f>
        <v>174027</v>
      </c>
      <c r="V217" s="33">
        <f>Model!V1384</f>
        <v>174760</v>
      </c>
      <c r="W217" s="33">
        <f>Model!W1384</f>
        <v>169390</v>
      </c>
      <c r="X217" s="33">
        <f>Model!X1384</f>
        <v>172455</v>
      </c>
      <c r="Y217" s="33">
        <f>Model!Y1384</f>
        <v>175129</v>
      </c>
      <c r="Z217" s="33">
        <f>Model!Z1384</f>
        <v>172849</v>
      </c>
      <c r="AA217" s="33">
        <f>Model!AA1384</f>
        <v>162377</v>
      </c>
      <c r="AB217" s="33">
        <f>Model!AB1384</f>
        <v>163477</v>
      </c>
      <c r="AC217" s="33">
        <f>Model!AC1384</f>
        <v>164745.4111395824</v>
      </c>
      <c r="AD217" s="33">
        <f>Model!AD1384</f>
        <v>162885.93029183263</v>
      </c>
      <c r="AE217" s="33">
        <f>Model!AE1384</f>
        <v>160666.21326334373</v>
      </c>
      <c r="AF217" s="33">
        <f>Model!AF1384</f>
        <v>161895.31931548167</v>
      </c>
      <c r="AG217" s="33">
        <f>Model!AG1384</f>
        <v>160510.51151874123</v>
      </c>
      <c r="AH217" s="33">
        <f>Model!AH1384</f>
        <v>159457.3607517429</v>
      </c>
      <c r="AI217" s="33">
        <f>Model!AI1384</f>
        <v>158143.48505221974</v>
      </c>
      <c r="AJ217" s="33"/>
      <c r="AK217" s="33"/>
      <c r="AL217" s="33"/>
      <c r="AM217" s="33"/>
      <c r="AN217" s="33"/>
      <c r="AO217" s="33"/>
      <c r="AP217" s="33"/>
      <c r="AQ217" s="33"/>
      <c r="AU217" s="33">
        <f>Model!AU1384</f>
        <v>0</v>
      </c>
      <c r="AV217" s="33">
        <f>Model!AV1384</f>
        <v>133164</v>
      </c>
      <c r="AW217" s="33">
        <f>Model!AW1384</f>
        <v>148066</v>
      </c>
      <c r="AX217" s="33">
        <f>Model!AX1384</f>
        <v>164036</v>
      </c>
      <c r="AY217" s="33">
        <f>Model!AY1384</f>
        <v>169390</v>
      </c>
      <c r="AZ217" s="33">
        <f>Model!AZ1384</f>
        <v>162377</v>
      </c>
      <c r="BA217" s="33">
        <f>Model!BA1384</f>
        <v>160666.21326334373</v>
      </c>
      <c r="BB217" s="33">
        <f>Model!BB1384</f>
        <v>158143.48505221974</v>
      </c>
      <c r="BC217" s="33">
        <f>Model!BC1384</f>
        <v>160661.94879254635</v>
      </c>
      <c r="BD217" s="33">
        <f>Model!BD1384</f>
        <v>166190.36730990361</v>
      </c>
      <c r="BE217" s="33">
        <f>Model!BE1384</f>
        <v>171942.50887217862</v>
      </c>
    </row>
    <row r="218" spans="1:57" x14ac:dyDescent="0.2">
      <c r="A218" s="238" t="s">
        <v>772</v>
      </c>
      <c r="B218" s="238"/>
      <c r="C218" s="238"/>
      <c r="D218" s="33">
        <f>Model!D1388</f>
        <v>0</v>
      </c>
      <c r="E218" s="33">
        <f>Model!E1388</f>
        <v>0</v>
      </c>
      <c r="F218" s="33">
        <f>Model!F1388</f>
        <v>0</v>
      </c>
      <c r="G218" s="33">
        <f>Model!G1388</f>
        <v>1205820</v>
      </c>
      <c r="H218" s="33">
        <f>Model!H1388</f>
        <v>1191233</v>
      </c>
      <c r="I218" s="33">
        <f>Model!I1388</f>
        <v>1167399</v>
      </c>
      <c r="J218" s="33">
        <f>Model!J1388</f>
        <v>1158722</v>
      </c>
      <c r="K218" s="33">
        <f>Model!K1388</f>
        <v>1185443</v>
      </c>
      <c r="L218" s="33">
        <f>Model!L1388</f>
        <v>1260133</v>
      </c>
      <c r="M218" s="33">
        <f>Model!M1388</f>
        <v>1280845</v>
      </c>
      <c r="N218" s="33">
        <f>Model!N1388</f>
        <v>1301660</v>
      </c>
      <c r="O218" s="33">
        <f>Model!O1388</f>
        <v>1292605</v>
      </c>
      <c r="P218" s="33">
        <f>Model!P1388</f>
        <v>1283758</v>
      </c>
      <c r="Q218" s="33">
        <f>Model!Q1388</f>
        <v>1278593</v>
      </c>
      <c r="R218" s="33">
        <f>Model!R1388</f>
        <v>1254473</v>
      </c>
      <c r="S218" s="33">
        <f>Model!S1388</f>
        <v>1216277</v>
      </c>
      <c r="T218" s="33">
        <f>Model!T1388</f>
        <v>1239575</v>
      </c>
      <c r="U218" s="33">
        <f>Model!U1388</f>
        <v>1232856</v>
      </c>
      <c r="V218" s="33">
        <f>Model!V1388</f>
        <v>1228283</v>
      </c>
      <c r="W218" s="33">
        <f>Model!W1388</f>
        <v>1189680</v>
      </c>
      <c r="X218" s="33">
        <f>Model!X1388</f>
        <v>1191397</v>
      </c>
      <c r="Y218" s="33">
        <f>Model!Y1388</f>
        <v>1188167</v>
      </c>
      <c r="Z218" s="33">
        <f>Model!Z1388</f>
        <v>1182918</v>
      </c>
      <c r="AA218" s="33">
        <f>Model!AA1388</f>
        <v>1134864</v>
      </c>
      <c r="AB218" s="33">
        <f>Model!AB1388</f>
        <v>1179000</v>
      </c>
      <c r="AC218" s="33">
        <f>Model!AC1388</f>
        <v>1177261.4132295048</v>
      </c>
      <c r="AD218" s="33">
        <f>Model!AD1388</f>
        <v>1182463.667484673</v>
      </c>
      <c r="AE218" s="33">
        <f>Model!AE1388</f>
        <v>1189408.6433357499</v>
      </c>
      <c r="AF218" s="33">
        <f>Model!AF1388</f>
        <v>1186791.4085199854</v>
      </c>
      <c r="AG218" s="33">
        <f>Model!AG1388</f>
        <v>1195750.2052795319</v>
      </c>
      <c r="AH218" s="33">
        <f>Model!AH1388</f>
        <v>1207749.6278165984</v>
      </c>
      <c r="AI218" s="33">
        <f>Model!AI1388</f>
        <v>1221705.0348533278</v>
      </c>
      <c r="AJ218" s="33"/>
      <c r="AK218" s="33"/>
      <c r="AL218" s="33"/>
      <c r="AM218" s="33"/>
      <c r="AN218" s="33"/>
      <c r="AO218" s="33"/>
      <c r="AP218" s="33"/>
      <c r="AQ218" s="33"/>
      <c r="AU218" s="33">
        <f>Model!AU1388</f>
        <v>1205820</v>
      </c>
      <c r="AV218" s="33">
        <f>Model!AV1388</f>
        <v>1185443</v>
      </c>
      <c r="AW218" s="33">
        <f>Model!AW1388</f>
        <v>1292605</v>
      </c>
      <c r="AX218" s="33">
        <f>Model!AX1388</f>
        <v>1216277</v>
      </c>
      <c r="AY218" s="33">
        <f>Model!AY1388</f>
        <v>1189680</v>
      </c>
      <c r="AZ218" s="33">
        <f>Model!AZ1388</f>
        <v>1134864</v>
      </c>
      <c r="BA218" s="33">
        <f>Model!BA1388</f>
        <v>1189408.6433357499</v>
      </c>
      <c r="BB218" s="33">
        <f>Model!BB1388</f>
        <v>1221705.0348533278</v>
      </c>
      <c r="BC218" s="33">
        <f>Model!BC1388</f>
        <v>1253655.5337618398</v>
      </c>
      <c r="BD218" s="33">
        <f>Model!BD1388</f>
        <v>1295267.1997474239</v>
      </c>
      <c r="BE218" s="33">
        <f>Model!BE1388</f>
        <v>1336379.7782629663</v>
      </c>
    </row>
    <row r="219" spans="1:57" x14ac:dyDescent="0.2">
      <c r="A219" s="238"/>
      <c r="B219" s="238"/>
      <c r="C219" s="238"/>
      <c r="I219" s="916"/>
      <c r="J219" s="916"/>
      <c r="K219" s="916"/>
      <c r="L219" s="916"/>
      <c r="M219" s="916"/>
      <c r="N219" s="916"/>
      <c r="O219" s="916"/>
      <c r="P219" s="916"/>
      <c r="Q219" s="916"/>
      <c r="R219" s="916"/>
      <c r="S219" s="916"/>
      <c r="T219" s="916"/>
      <c r="U219" s="916"/>
      <c r="V219" s="916"/>
      <c r="W219" s="916"/>
      <c r="X219" s="916"/>
      <c r="Y219" s="916"/>
      <c r="Z219" s="916"/>
      <c r="AA219" s="916"/>
      <c r="AB219" s="916"/>
      <c r="AC219" s="916"/>
      <c r="AD219" s="916"/>
      <c r="AE219" s="916"/>
    </row>
    <row r="220" spans="1:57" x14ac:dyDescent="0.2">
      <c r="A220" s="238" t="s">
        <v>773</v>
      </c>
      <c r="B220" s="238"/>
      <c r="C220" s="238"/>
      <c r="D220" s="26">
        <f>Model!D1389</f>
        <v>0</v>
      </c>
      <c r="E220" s="26">
        <f>Model!E1389</f>
        <v>0</v>
      </c>
      <c r="F220" s="26">
        <f>Model!F1389</f>
        <v>0</v>
      </c>
      <c r="G220" s="26">
        <f>Model!G1389</f>
        <v>0.64678532962010982</v>
      </c>
      <c r="H220" s="26">
        <f>Model!H1389</f>
        <v>0.63317417601137893</v>
      </c>
      <c r="I220" s="26">
        <f>Model!I1389</f>
        <v>0.61976123723008858</v>
      </c>
      <c r="J220" s="26">
        <f>Model!J1389</f>
        <v>0.61012213795122483</v>
      </c>
      <c r="K220" s="26">
        <f>Model!K1389</f>
        <v>0.63054304840069464</v>
      </c>
      <c r="L220" s="26">
        <f>Model!L1389</f>
        <v>0.66519196152851312</v>
      </c>
      <c r="M220" s="26">
        <f>Model!M1389</f>
        <v>0.67082109325122596</v>
      </c>
      <c r="N220" s="26">
        <f>Model!N1389</f>
        <v>0.69145101872239378</v>
      </c>
      <c r="O220" s="26">
        <f>Model!O1389</f>
        <v>0.70167100844053865</v>
      </c>
      <c r="P220" s="26">
        <f>Model!P1389</f>
        <v>0.70081739228224027</v>
      </c>
      <c r="Q220" s="26">
        <f>Model!Q1389</f>
        <v>0.69892531308592576</v>
      </c>
      <c r="R220" s="26">
        <f>Model!R1389</f>
        <v>0.69370909267865399</v>
      </c>
      <c r="S220" s="26">
        <f>Model!S1389</f>
        <v>0.7025589038880321</v>
      </c>
      <c r="T220" s="26">
        <f>Model!T1389</f>
        <v>0.68828301684594995</v>
      </c>
      <c r="U220" s="26">
        <f>Model!U1389</f>
        <v>0.67785114233732557</v>
      </c>
      <c r="V220" s="26">
        <f>Model!V1389</f>
        <v>0.67557973441753194</v>
      </c>
      <c r="W220" s="26">
        <f>Model!W1389</f>
        <v>0.66385540353455796</v>
      </c>
      <c r="X220" s="26">
        <f>Model!X1389</f>
        <v>0.65408220462602096</v>
      </c>
      <c r="Y220" s="26">
        <f>Model!Y1389</f>
        <v>0.63740710480278828</v>
      </c>
      <c r="Z220" s="26">
        <f>Model!Z1389</f>
        <v>0.62616978264632506</v>
      </c>
      <c r="AA220" s="26">
        <f>Model!AA1389</f>
        <v>0.61575022828894788</v>
      </c>
      <c r="AB220" s="26">
        <f>Model!AB1389</f>
        <v>0.61339032643394942</v>
      </c>
      <c r="AC220" s="26">
        <f>Model!AC1389</f>
        <v>0.61</v>
      </c>
      <c r="AD220" s="26">
        <f>Model!AD1389</f>
        <v>0.61</v>
      </c>
      <c r="AE220" s="26">
        <f>Model!AE1389</f>
        <v>0.61</v>
      </c>
      <c r="AF220" s="26">
        <f>Model!AF1389</f>
        <v>0.60499999999999998</v>
      </c>
      <c r="AG220" s="26">
        <f>Model!AG1389</f>
        <v>0.60499999999999998</v>
      </c>
      <c r="AH220" s="26">
        <f>Model!AH1389</f>
        <v>0.60499999999999998</v>
      </c>
      <c r="AI220" s="26">
        <f>Model!AI1389</f>
        <v>0.60499999999999998</v>
      </c>
      <c r="AJ220" s="26"/>
      <c r="AK220" s="26"/>
      <c r="AL220" s="26"/>
      <c r="AM220" s="26"/>
      <c r="AN220" s="26"/>
      <c r="AO220" s="26"/>
      <c r="AP220" s="26"/>
      <c r="AQ220" s="26"/>
      <c r="AU220" s="26">
        <f>Model!AU1389</f>
        <v>0.64678532962010982</v>
      </c>
      <c r="AV220" s="26">
        <f>Model!AV1389</f>
        <v>0.63054304840069464</v>
      </c>
      <c r="AW220" s="26">
        <f>Model!AW1389</f>
        <v>0.70167100844053865</v>
      </c>
      <c r="AX220" s="26">
        <f>Model!AX1389</f>
        <v>0.7025589038880321</v>
      </c>
      <c r="AY220" s="26">
        <f>Model!AY1389</f>
        <v>0.66385540353455796</v>
      </c>
      <c r="AZ220" s="26">
        <f>Model!AZ1389</f>
        <v>0.61575022828894788</v>
      </c>
      <c r="BA220" s="26">
        <f>Model!BA1389</f>
        <v>0.61</v>
      </c>
      <c r="BB220" s="26">
        <f>Model!BB1389</f>
        <v>0.60499999999999998</v>
      </c>
      <c r="BC220" s="26">
        <f>Model!BC1389</f>
        <v>0.60499999999999998</v>
      </c>
      <c r="BD220" s="26">
        <f>Model!BD1389</f>
        <v>0.60499999999999998</v>
      </c>
      <c r="BE220" s="26">
        <f>Model!BE1389</f>
        <v>0.60499999999999998</v>
      </c>
    </row>
    <row r="221" spans="1:57" x14ac:dyDescent="0.2">
      <c r="A221" s="238"/>
      <c r="B221" s="238"/>
      <c r="C221" s="238"/>
      <c r="I221" s="916"/>
      <c r="J221" s="916"/>
      <c r="K221" s="916"/>
      <c r="L221" s="916"/>
      <c r="M221" s="916"/>
      <c r="N221" s="916"/>
      <c r="O221" s="916"/>
      <c r="P221" s="916"/>
      <c r="Q221" s="916"/>
      <c r="R221" s="916"/>
      <c r="S221" s="916"/>
      <c r="T221" s="916"/>
      <c r="U221" s="916"/>
      <c r="V221" s="916"/>
      <c r="W221" s="916"/>
      <c r="X221" s="916"/>
      <c r="Y221" s="916"/>
      <c r="Z221" s="916"/>
      <c r="AA221" s="916"/>
      <c r="AB221" s="916"/>
      <c r="AC221" s="916"/>
      <c r="AD221" s="916"/>
      <c r="AE221" s="916"/>
    </row>
    <row r="222" spans="1:57" x14ac:dyDescent="0.2">
      <c r="A222" s="238" t="s">
        <v>774</v>
      </c>
      <c r="B222" s="238"/>
      <c r="C222" s="238"/>
      <c r="D222" s="66">
        <f>Model!D1407</f>
        <v>0</v>
      </c>
      <c r="E222" s="66">
        <f>Model!E1407</f>
        <v>0</v>
      </c>
      <c r="F222" s="66">
        <f>Model!F1407</f>
        <v>0</v>
      </c>
      <c r="G222" s="66">
        <f>Model!G1407</f>
        <v>0</v>
      </c>
      <c r="H222" s="66">
        <f>Model!H1407</f>
        <v>0</v>
      </c>
      <c r="I222" s="66">
        <f>Model!I1407</f>
        <v>0.10036166055034854</v>
      </c>
      <c r="J222" s="66">
        <f>Model!J1407</f>
        <v>0.10485209166617693</v>
      </c>
      <c r="K222" s="66">
        <f>Model!K1407</f>
        <v>0.1066999778681966</v>
      </c>
      <c r="L222" s="66">
        <f>Model!L1407</f>
        <v>0.10900002400425786</v>
      </c>
      <c r="M222" s="66">
        <f>Model!M1407</f>
        <v>0.11000004063900776</v>
      </c>
      <c r="N222" s="66">
        <f>Model!N1407</f>
        <v>0.11080001663435762</v>
      </c>
      <c r="O222" s="66">
        <f>Model!O1407</f>
        <v>0.1112000260503586</v>
      </c>
      <c r="P222" s="66">
        <f>Model!P1407</f>
        <v>0.11799997339815317</v>
      </c>
      <c r="Q222" s="66">
        <f>Model!Q1407</f>
        <v>0.12000003300444405</v>
      </c>
      <c r="R222" s="66">
        <f>Model!R1407</f>
        <v>0.12287374085689691</v>
      </c>
      <c r="S222" s="66">
        <f>Model!S1407</f>
        <v>0.12629376618820107</v>
      </c>
      <c r="T222" s="66">
        <f>Model!T1407</f>
        <v>0.13000938815563098</v>
      </c>
      <c r="U222" s="66">
        <f>Model!U1407</f>
        <v>0.13101686566392284</v>
      </c>
      <c r="V222" s="66">
        <f>Model!V1407</f>
        <v>0.13300308047384254</v>
      </c>
      <c r="W222" s="66">
        <f>Model!W1407</f>
        <v>0.13229256621883714</v>
      </c>
      <c r="X222" s="66">
        <f>Model!X1407</f>
        <v>0.13361351818998948</v>
      </c>
      <c r="Y222" s="66">
        <f>Model!Y1407</f>
        <v>0.13045422828270939</v>
      </c>
      <c r="Z222" s="66">
        <f>Model!Z1407</f>
        <v>0.12966051668618886</v>
      </c>
      <c r="AA222" s="66">
        <f>Model!AA1407</f>
        <v>0.12548422155975353</v>
      </c>
      <c r="AB222" s="66">
        <f>Model!AB1407</f>
        <v>0.12060634968452411</v>
      </c>
      <c r="AC222" s="66">
        <f>Model!AC1407</f>
        <v>0.12228027776646748</v>
      </c>
      <c r="AD222" s="66">
        <f>Model!AD1407</f>
        <v>0.12018532693648543</v>
      </c>
      <c r="AE222" s="66">
        <f>Model!AE1407</f>
        <v>0.11763580466557748</v>
      </c>
      <c r="AF222" s="66">
        <f>Model!AF1407</f>
        <v>0.11723519928881247</v>
      </c>
      <c r="AG222" s="66">
        <f>Model!AG1407</f>
        <v>0.1152102084995504</v>
      </c>
      <c r="AH222" s="66">
        <f>Model!AH1407</f>
        <v>0.11320219338764724</v>
      </c>
      <c r="AI222" s="66">
        <f>Model!AI1407</f>
        <v>0.11084430041575499</v>
      </c>
      <c r="AJ222" s="66"/>
      <c r="AK222" s="66"/>
      <c r="AL222" s="66"/>
      <c r="AM222" s="66"/>
      <c r="AN222" s="66"/>
      <c r="AO222" s="66"/>
      <c r="AP222" s="66"/>
      <c r="AQ222" s="66"/>
      <c r="AU222" s="66">
        <f>Model!AU1407</f>
        <v>0</v>
      </c>
      <c r="AV222" s="66">
        <f>Model!AV1407</f>
        <v>0.1066999778681966</v>
      </c>
      <c r="AW222" s="66">
        <f>Model!AW1407</f>
        <v>0.1112000260503586</v>
      </c>
      <c r="AX222" s="66">
        <f>Model!AX1407</f>
        <v>0.12629376618820107</v>
      </c>
      <c r="AY222" s="66">
        <f>Model!AY1407</f>
        <v>0.13229256621883714</v>
      </c>
      <c r="AZ222" s="66">
        <f>Model!AZ1407</f>
        <v>0.12548422155975353</v>
      </c>
      <c r="BA222" s="66">
        <f>Model!BA1407</f>
        <v>0.11763580466557748</v>
      </c>
      <c r="BB222" s="66">
        <f>Model!BB1407</f>
        <v>0.11084430041575499</v>
      </c>
      <c r="BC222" s="66">
        <f>Model!BC1407</f>
        <v>0.11000834331633176</v>
      </c>
      <c r="BD222" s="66">
        <f>Model!BD1407</f>
        <v>0.11070013205522811</v>
      </c>
      <c r="BE222" s="66">
        <f>Model!BE1407</f>
        <v>0.11155619244571406</v>
      </c>
    </row>
    <row r="223" spans="1:57" x14ac:dyDescent="0.2">
      <c r="A223" s="238" t="s">
        <v>775</v>
      </c>
      <c r="B223" s="238"/>
      <c r="C223" s="238"/>
      <c r="D223" s="22">
        <f>Model!D1403</f>
        <v>0</v>
      </c>
      <c r="E223" s="22">
        <f>Model!E1403</f>
        <v>0</v>
      </c>
      <c r="F223" s="22">
        <f>Model!F1403</f>
        <v>0</v>
      </c>
      <c r="G223" s="22">
        <f>Model!G1403</f>
        <v>0</v>
      </c>
      <c r="H223" s="22">
        <f>Model!H1403</f>
        <v>0</v>
      </c>
      <c r="I223" s="22">
        <f>Model!I1403</f>
        <v>1165734</v>
      </c>
      <c r="J223" s="22">
        <f>Model!J1403</f>
        <v>1157068</v>
      </c>
      <c r="K223" s="22">
        <f>Model!K1403</f>
        <v>1174780</v>
      </c>
      <c r="L223" s="22">
        <f>Model!L1403</f>
        <v>1208119</v>
      </c>
      <c r="M223" s="22">
        <f>Model!M1403</f>
        <v>1230345</v>
      </c>
      <c r="N223" s="22">
        <f>Model!N1403</f>
        <v>1250424</v>
      </c>
      <c r="O223" s="22">
        <f>Model!O1403</f>
        <v>1228390</v>
      </c>
      <c r="P223" s="22">
        <f>Model!P1403</f>
        <v>1202924</v>
      </c>
      <c r="Q223" s="22">
        <f>Model!Q1403</f>
        <v>1211958</v>
      </c>
      <c r="R223" s="22">
        <f>Model!R1403</f>
        <v>1191882</v>
      </c>
      <c r="S223" s="22">
        <f>Model!S1403</f>
        <v>1162884</v>
      </c>
      <c r="T223" s="22">
        <f>Model!T1403</f>
        <v>1177015</v>
      </c>
      <c r="U223" s="22">
        <f>Model!U1403</f>
        <v>1179497</v>
      </c>
      <c r="V223" s="22">
        <f>Model!V1403</f>
        <v>1166379</v>
      </c>
      <c r="W223" s="22">
        <f>Model!W1403</f>
        <v>1130192</v>
      </c>
      <c r="X223" s="22">
        <f>Model!X1403</f>
        <v>1142579</v>
      </c>
      <c r="Y223" s="22">
        <f>Model!Y1403</f>
        <v>1189490</v>
      </c>
      <c r="Z223" s="22">
        <f>Model!Z1403</f>
        <v>1184123</v>
      </c>
      <c r="AA223" s="22">
        <f>Model!AA1403</f>
        <v>1138167</v>
      </c>
      <c r="AB223" s="22">
        <f>Model!AB1403</f>
        <v>1195020</v>
      </c>
      <c r="AC223" s="22">
        <f>Model!AC1403</f>
        <v>1189034.0273618</v>
      </c>
      <c r="AD223" s="22">
        <f>Model!AD1403</f>
        <v>1194288.3041595197</v>
      </c>
      <c r="AE223" s="22">
        <f>Model!AE1403</f>
        <v>1201302.7297691074</v>
      </c>
      <c r="AF223" s="22">
        <f>Model!AF1403</f>
        <v>1198659.3226051852</v>
      </c>
      <c r="AG223" s="22">
        <f>Model!AG1403</f>
        <v>1207707.7073323273</v>
      </c>
      <c r="AH223" s="22">
        <f>Model!AH1403</f>
        <v>1219827.1240947645</v>
      </c>
      <c r="AI223" s="22">
        <f>Model!AI1403</f>
        <v>1233922.0852018611</v>
      </c>
      <c r="AJ223" s="22"/>
      <c r="AK223" s="22"/>
      <c r="AL223" s="22"/>
      <c r="AM223" s="22"/>
      <c r="AN223" s="22"/>
      <c r="AO223" s="22"/>
      <c r="AP223" s="22"/>
      <c r="AQ223" s="22"/>
      <c r="AU223" s="22">
        <f>Model!AU1403</f>
        <v>0</v>
      </c>
      <c r="AV223" s="22">
        <f>Model!AV1403</f>
        <v>1174780</v>
      </c>
      <c r="AW223" s="22">
        <f>Model!AW1403</f>
        <v>1228390</v>
      </c>
      <c r="AX223" s="22">
        <f>Model!AX1403</f>
        <v>1162884</v>
      </c>
      <c r="AY223" s="22">
        <f>Model!AY1403</f>
        <v>1130192</v>
      </c>
      <c r="AZ223" s="22">
        <f>Model!AZ1403</f>
        <v>1138167</v>
      </c>
      <c r="BA223" s="22">
        <f>Model!BA1403</f>
        <v>1201302.7297691074</v>
      </c>
      <c r="BB223" s="22">
        <f>Model!BB1403</f>
        <v>1233922.0852018611</v>
      </c>
      <c r="BC223" s="22">
        <f>Model!BC1403</f>
        <v>1266192.0890994582</v>
      </c>
      <c r="BD223" s="22">
        <f>Model!BD1403</f>
        <v>1308219.8717448981</v>
      </c>
      <c r="BE223" s="22">
        <f>Model!BE1403</f>
        <v>1349743.576045596</v>
      </c>
    </row>
    <row r="224" spans="1:57" x14ac:dyDescent="0.2">
      <c r="A224" s="238"/>
      <c r="B224" s="238"/>
      <c r="C224" s="238"/>
      <c r="I224" s="916"/>
      <c r="J224" s="916"/>
      <c r="K224" s="916"/>
      <c r="L224" s="916"/>
      <c r="M224" s="916"/>
      <c r="N224" s="916"/>
      <c r="O224" s="916"/>
      <c r="P224" s="916"/>
      <c r="Q224" s="916"/>
      <c r="R224" s="916"/>
      <c r="S224" s="916"/>
      <c r="T224" s="916"/>
      <c r="U224" s="916"/>
      <c r="V224" s="916"/>
      <c r="W224" s="916"/>
      <c r="X224" s="916"/>
      <c r="Y224" s="916"/>
      <c r="Z224" s="916"/>
      <c r="AA224" s="916"/>
      <c r="AB224" s="916"/>
      <c r="AC224" s="916"/>
      <c r="AD224" s="916"/>
      <c r="AE224" s="916"/>
    </row>
    <row r="225" spans="1:57" x14ac:dyDescent="0.2">
      <c r="A225" s="238" t="s">
        <v>776</v>
      </c>
      <c r="B225" s="238"/>
      <c r="C225" s="238"/>
      <c r="D225" s="33">
        <f>Model!D1467</f>
        <v>0</v>
      </c>
      <c r="E225" s="33">
        <f>Model!E1467</f>
        <v>0</v>
      </c>
      <c r="F225" s="33">
        <f>Model!F1467</f>
        <v>0</v>
      </c>
      <c r="G225" s="33">
        <f>Model!G1467</f>
        <v>0</v>
      </c>
      <c r="H225" s="33">
        <f>Model!H1467</f>
        <v>0</v>
      </c>
      <c r="I225" s="33">
        <f>Model!I1467</f>
        <v>2410941</v>
      </c>
      <c r="J225" s="33">
        <f>Model!J1467</f>
        <v>2432254</v>
      </c>
      <c r="K225" s="33">
        <f>Model!K1467</f>
        <v>2456105</v>
      </c>
      <c r="L225" s="33">
        <f>Model!L1467</f>
        <v>2454621</v>
      </c>
      <c r="M225" s="33">
        <f>Model!M1467</f>
        <v>2498061</v>
      </c>
      <c r="N225" s="33">
        <f>Model!N1467</f>
        <v>2485082</v>
      </c>
      <c r="O225" s="33">
        <f>Model!O1467</f>
        <v>2492636</v>
      </c>
      <c r="P225" s="33">
        <f>Model!P1467</f>
        <v>2406286</v>
      </c>
      <c r="Q225" s="33">
        <f>Model!Q1467</f>
        <v>2386189</v>
      </c>
      <c r="R225" s="33">
        <f>Model!R1467</f>
        <v>2363506</v>
      </c>
      <c r="S225" s="33">
        <f>Model!S1467</f>
        <v>2317849</v>
      </c>
      <c r="T225" s="33">
        <f>Model!T1467</f>
        <v>2300427</v>
      </c>
      <c r="U225" s="33">
        <f>Model!U1467</f>
        <v>2326929</v>
      </c>
      <c r="V225" s="33">
        <f>Model!V1467</f>
        <v>2360520</v>
      </c>
      <c r="W225" s="33">
        <f>Model!W1467</f>
        <v>2345391</v>
      </c>
      <c r="X225" s="33">
        <f>Model!X1467</f>
        <v>2372177</v>
      </c>
      <c r="Y225" s="33">
        <f>Model!Y1467</f>
        <v>2418658</v>
      </c>
      <c r="Z225" s="33">
        <f>Model!Z1467</f>
        <v>2430582</v>
      </c>
      <c r="AA225" s="33">
        <f>Model!AA1467</f>
        <v>2432491</v>
      </c>
      <c r="AB225" s="33">
        <f>Model!AB1467</f>
        <v>2437858</v>
      </c>
      <c r="AC225" s="33">
        <f>Model!AC1467</f>
        <v>2447792.4859500397</v>
      </c>
      <c r="AD225" s="33">
        <f>Model!AD1467</f>
        <v>2458609.1480207602</v>
      </c>
      <c r="AE225" s="33">
        <f>Model!AE1467</f>
        <v>2473049.3220656528</v>
      </c>
      <c r="AF225" s="33">
        <f>Model!AF1467</f>
        <v>2488000.9499161048</v>
      </c>
      <c r="AG225" s="33">
        <f>Model!AG1467</f>
        <v>2506782.257808832</v>
      </c>
      <c r="AH225" s="33">
        <f>Model!AH1467</f>
        <v>2531937.9628942749</v>
      </c>
      <c r="AI225" s="33">
        <f>Model!AI1467</f>
        <v>2561194.2127412031</v>
      </c>
      <c r="AJ225" s="33"/>
      <c r="AK225" s="33"/>
      <c r="AL225" s="33"/>
      <c r="AM225" s="33"/>
      <c r="AN225" s="33"/>
      <c r="AO225" s="33"/>
      <c r="AP225" s="33"/>
      <c r="AQ225" s="33"/>
      <c r="AU225" s="33">
        <f>Model!AU1467</f>
        <v>0</v>
      </c>
      <c r="AV225" s="33">
        <f>Model!AV1467</f>
        <v>2456105</v>
      </c>
      <c r="AW225" s="33">
        <f>Model!AW1467</f>
        <v>2492636</v>
      </c>
      <c r="AX225" s="33">
        <f>Model!AX1467</f>
        <v>2317849</v>
      </c>
      <c r="AY225" s="33">
        <f>Model!AY1467</f>
        <v>2345391</v>
      </c>
      <c r="AZ225" s="33">
        <f>Model!AZ1467</f>
        <v>2432491</v>
      </c>
      <c r="BA225" s="33">
        <f>Model!BA1467</f>
        <v>2473049.3220656528</v>
      </c>
      <c r="BB225" s="33">
        <f>Model!BB1467</f>
        <v>2561194.2127412031</v>
      </c>
      <c r="BC225" s="33">
        <f>Model!BC1467</f>
        <v>2628175.546667276</v>
      </c>
      <c r="BD225" s="33">
        <f>Model!BD1467</f>
        <v>2715410.6443908382</v>
      </c>
      <c r="BE225" s="33">
        <f>Model!BE1467</f>
        <v>2801599.4503308227</v>
      </c>
    </row>
    <row r="226" spans="1:57" x14ac:dyDescent="0.2">
      <c r="A226" s="238" t="s">
        <v>777</v>
      </c>
      <c r="B226" s="238"/>
      <c r="C226" s="238"/>
      <c r="D226" s="67">
        <f>Model!D1468</f>
        <v>0</v>
      </c>
      <c r="E226" s="67">
        <f>Model!E1468</f>
        <v>0</v>
      </c>
      <c r="F226" s="67">
        <f>Model!F1468</f>
        <v>0</v>
      </c>
      <c r="G226" s="67">
        <f>Model!G1468</f>
        <v>0</v>
      </c>
      <c r="H226" s="67">
        <f>Model!H1468</f>
        <v>0</v>
      </c>
      <c r="I226" s="67">
        <f>Model!I1468</f>
        <v>5.0780587330838872E-2</v>
      </c>
      <c r="J226" s="67">
        <f>Model!J1468</f>
        <v>5.2495750854968271E-2</v>
      </c>
      <c r="K226" s="67">
        <f>Model!K1468</f>
        <v>5.4217551774048744E-2</v>
      </c>
      <c r="L226" s="67">
        <f>Model!L1468</f>
        <v>5.7020615402540761E-2</v>
      </c>
      <c r="M226" s="67">
        <f>Model!M1468</f>
        <v>5.8185128385575852E-2</v>
      </c>
      <c r="N226" s="67">
        <f>Model!N1468</f>
        <v>5.9779516329843442E-2</v>
      </c>
      <c r="O226" s="67">
        <f>Model!O1468</f>
        <v>5.9401372683376155E-2</v>
      </c>
      <c r="P226" s="67">
        <f>Model!P1468</f>
        <v>6.4375140777114606E-2</v>
      </c>
      <c r="Q226" s="67">
        <f>Model!Q1468</f>
        <v>6.721638562578236E-2</v>
      </c>
      <c r="R226" s="67">
        <f>Model!R1468</f>
        <v>6.8541818806468022E-2</v>
      </c>
      <c r="S226" s="67">
        <f>Model!S1468</f>
        <v>7.0770787915865094E-2</v>
      </c>
      <c r="T226" s="67">
        <f>Model!T1468</f>
        <v>7.4395753484027091E-2</v>
      </c>
      <c r="U226" s="67">
        <f>Model!U1468</f>
        <v>7.4788272439769321E-2</v>
      </c>
      <c r="V226" s="67">
        <f>Model!V1468</f>
        <v>7.4034534763526685E-2</v>
      </c>
      <c r="W226" s="67">
        <f>Model!W1468</f>
        <v>7.2222499361513703E-2</v>
      </c>
      <c r="X226" s="67">
        <f>Model!X1468</f>
        <v>7.2699043958355553E-2</v>
      </c>
      <c r="Y226" s="67">
        <f>Model!Y1468</f>
        <v>7.2407508626684713E-2</v>
      </c>
      <c r="Z226" s="67">
        <f>Model!Z1468</f>
        <v>7.1114243419888729E-2</v>
      </c>
      <c r="AA226" s="67">
        <f>Model!AA1468</f>
        <v>6.6753381615800425E-2</v>
      </c>
      <c r="AB226" s="67">
        <f>Model!AB1468</f>
        <v>6.7057638303789635E-2</v>
      </c>
      <c r="AC226" s="67">
        <f>Model!AC1468</f>
        <v>6.7303667318694804E-2</v>
      </c>
      <c r="AD226" s="67">
        <f>Model!AD1468</f>
        <v>6.6251250396167985E-2</v>
      </c>
      <c r="AE226" s="67">
        <f>Model!AE1468</f>
        <v>6.496684551731656E-2</v>
      </c>
      <c r="AF226" s="67">
        <f>Model!AF1468</f>
        <v>6.5070441118979791E-2</v>
      </c>
      <c r="AG226" s="67">
        <f>Model!AG1468</f>
        <v>6.4030496074694104E-2</v>
      </c>
      <c r="AH226" s="67">
        <f>Model!AH1468</f>
        <v>6.2978383786886374E-2</v>
      </c>
      <c r="AI226" s="67">
        <f>Model!AI1468</f>
        <v>6.1745994999325496E-2</v>
      </c>
      <c r="AJ226" s="67"/>
      <c r="AK226" s="67"/>
      <c r="AL226" s="67"/>
      <c r="AM226" s="67"/>
      <c r="AN226" s="67"/>
      <c r="AO226" s="67"/>
      <c r="AP226" s="67"/>
      <c r="AQ226" s="67"/>
      <c r="AU226" s="67">
        <f>Model!AU1468</f>
        <v>0</v>
      </c>
      <c r="AV226" s="67">
        <f>Model!AV1468</f>
        <v>5.4217551774048744E-2</v>
      </c>
      <c r="AW226" s="67">
        <f>Model!AW1468</f>
        <v>5.9401372683376155E-2</v>
      </c>
      <c r="AX226" s="67">
        <f>Model!AX1468</f>
        <v>7.0770787915865094E-2</v>
      </c>
      <c r="AY226" s="67">
        <f>Model!AY1468</f>
        <v>7.2222499361513703E-2</v>
      </c>
      <c r="AZ226" s="67">
        <f>Model!AZ1468</f>
        <v>6.6753381615800425E-2</v>
      </c>
      <c r="BA226" s="67">
        <f>Model!BA1468</f>
        <v>6.496684551731656E-2</v>
      </c>
      <c r="BB226" s="67">
        <f>Model!BB1468</f>
        <v>6.1745994999325496E-2</v>
      </c>
      <c r="BC226" s="67">
        <f>Model!BC1468</f>
        <v>6.113060027374418E-2</v>
      </c>
      <c r="BD226" s="67">
        <f>Model!BD1468</f>
        <v>6.1202664743617789E-2</v>
      </c>
      <c r="BE226" s="67">
        <f>Model!BE1468</f>
        <v>6.1372980656415763E-2</v>
      </c>
    </row>
    <row r="227" spans="1:57" x14ac:dyDescent="0.2">
      <c r="A227" s="238" t="s">
        <v>778</v>
      </c>
      <c r="B227" s="238"/>
      <c r="C227" s="238"/>
      <c r="D227" s="32" t="s">
        <v>229</v>
      </c>
      <c r="E227" s="32" t="s">
        <v>229</v>
      </c>
      <c r="F227" s="32" t="s">
        <v>229</v>
      </c>
      <c r="G227" s="32" t="s">
        <v>229</v>
      </c>
      <c r="H227" s="32" t="s">
        <v>229</v>
      </c>
      <c r="I227" s="32" t="s">
        <v>229</v>
      </c>
      <c r="J227" s="32" t="s">
        <v>229</v>
      </c>
      <c r="K227" s="32" t="s">
        <v>229</v>
      </c>
      <c r="L227" s="32" t="s">
        <v>229</v>
      </c>
      <c r="M227" s="32" t="s">
        <v>229</v>
      </c>
      <c r="N227" s="32" t="s">
        <v>229</v>
      </c>
      <c r="O227" s="32" t="s">
        <v>229</v>
      </c>
      <c r="P227" s="32" t="s">
        <v>229</v>
      </c>
      <c r="Q227" s="32" t="s">
        <v>229</v>
      </c>
      <c r="R227" s="32" t="s">
        <v>229</v>
      </c>
      <c r="S227" s="32" t="s">
        <v>229</v>
      </c>
      <c r="T227" s="32" t="s">
        <v>229</v>
      </c>
      <c r="U227" s="32" t="s">
        <v>229</v>
      </c>
      <c r="V227" s="32" t="s">
        <v>229</v>
      </c>
      <c r="W227" s="32" t="s">
        <v>229</v>
      </c>
      <c r="X227" s="32" t="s">
        <v>229</v>
      </c>
      <c r="Y227" s="32" t="s">
        <v>229</v>
      </c>
      <c r="Z227" s="32" t="s">
        <v>229</v>
      </c>
      <c r="AA227" s="32" t="s">
        <v>229</v>
      </c>
      <c r="AB227" s="32" t="s">
        <v>229</v>
      </c>
      <c r="AC227" s="32" t="s">
        <v>229</v>
      </c>
      <c r="AD227" s="32" t="s">
        <v>229</v>
      </c>
      <c r="AE227" s="32" t="s">
        <v>229</v>
      </c>
      <c r="AF227" s="32" t="s">
        <v>229</v>
      </c>
      <c r="AG227" s="32" t="s">
        <v>229</v>
      </c>
      <c r="AH227" s="32" t="s">
        <v>229</v>
      </c>
      <c r="AI227" s="32" t="s">
        <v>229</v>
      </c>
      <c r="AJ227" s="32"/>
      <c r="AK227" s="32"/>
      <c r="AL227" s="32"/>
      <c r="AM227" s="32"/>
      <c r="AN227" s="32"/>
      <c r="AO227" s="32"/>
      <c r="AP227" s="32"/>
      <c r="AQ227" s="32"/>
      <c r="AU227" s="32" t="s">
        <v>229</v>
      </c>
      <c r="AV227" s="32" t="s">
        <v>229</v>
      </c>
      <c r="AW227" s="32" t="s">
        <v>229</v>
      </c>
      <c r="AX227" s="32" t="s">
        <v>229</v>
      </c>
      <c r="AY227" s="32" t="s">
        <v>229</v>
      </c>
      <c r="AZ227" s="32" t="s">
        <v>229</v>
      </c>
      <c r="BA227" s="32" t="s">
        <v>229</v>
      </c>
      <c r="BB227" s="32" t="s">
        <v>229</v>
      </c>
      <c r="BC227" s="32" t="s">
        <v>229</v>
      </c>
      <c r="BD227" s="32" t="s">
        <v>229</v>
      </c>
      <c r="BE227" s="32" t="s">
        <v>229</v>
      </c>
    </row>
    <row r="228" spans="1:57" x14ac:dyDescent="0.2">
      <c r="A228" s="238"/>
      <c r="B228" s="238"/>
      <c r="C228" s="238"/>
    </row>
    <row r="229" spans="1:57" x14ac:dyDescent="0.2">
      <c r="A229" s="916" t="s">
        <v>714</v>
      </c>
      <c r="B229" s="238" t="s">
        <v>714</v>
      </c>
      <c r="C229" s="238"/>
      <c r="D229" s="33">
        <f>Model!D1388</f>
        <v>0</v>
      </c>
      <c r="E229" s="33">
        <f>Model!E1388</f>
        <v>0</v>
      </c>
      <c r="F229" s="33">
        <f>Model!F1388</f>
        <v>0</v>
      </c>
      <c r="G229" s="33">
        <f>Model!G1388</f>
        <v>1205820</v>
      </c>
      <c r="H229" s="33">
        <f>Model!H1388</f>
        <v>1191233</v>
      </c>
      <c r="I229" s="33">
        <f>Model!I1388</f>
        <v>1167399</v>
      </c>
      <c r="J229" s="33">
        <f>Model!J1388</f>
        <v>1158722</v>
      </c>
      <c r="K229" s="33">
        <f>Model!K1388</f>
        <v>1185443</v>
      </c>
      <c r="L229" s="33">
        <f>Model!L1388</f>
        <v>1260133</v>
      </c>
      <c r="M229" s="33">
        <f>Model!M1388</f>
        <v>1280845</v>
      </c>
      <c r="N229" s="33">
        <f>Model!N1388</f>
        <v>1301660</v>
      </c>
      <c r="O229" s="33">
        <f>Model!O1388</f>
        <v>1292605</v>
      </c>
      <c r="P229" s="33">
        <f>Model!P1388</f>
        <v>1283758</v>
      </c>
      <c r="Q229" s="33">
        <f>Model!Q1388</f>
        <v>1278593</v>
      </c>
      <c r="R229" s="33">
        <f>Model!R1388</f>
        <v>1254473</v>
      </c>
      <c r="S229" s="33">
        <f>Model!S1388</f>
        <v>1216277</v>
      </c>
      <c r="T229" s="33">
        <f>Model!T1388</f>
        <v>1239575</v>
      </c>
      <c r="U229" s="33">
        <f>Model!U1388</f>
        <v>1232856</v>
      </c>
      <c r="V229" s="33">
        <f>Model!V1388</f>
        <v>1228283</v>
      </c>
      <c r="W229" s="33">
        <f>Model!W1388</f>
        <v>1189680</v>
      </c>
      <c r="X229" s="33">
        <f>Model!X1388</f>
        <v>1191397</v>
      </c>
      <c r="Y229" s="33">
        <f>Model!Y1388</f>
        <v>1188167</v>
      </c>
      <c r="Z229" s="33">
        <f>Model!Z1388</f>
        <v>1182918</v>
      </c>
      <c r="AA229" s="33">
        <f>Model!AA1388</f>
        <v>1134864</v>
      </c>
      <c r="AB229" s="33">
        <f>Model!AB1388</f>
        <v>1179000</v>
      </c>
      <c r="AC229" s="33">
        <f>Model!AC1388</f>
        <v>1177261.4132295048</v>
      </c>
      <c r="AD229" s="33">
        <f>Model!AD1388</f>
        <v>1182463.667484673</v>
      </c>
      <c r="AE229" s="33">
        <f>Model!AE1388</f>
        <v>1189408.6433357499</v>
      </c>
      <c r="AF229" s="33">
        <f>Model!AF1388</f>
        <v>1186791.4085199854</v>
      </c>
      <c r="AG229" s="33">
        <f>Model!AG1388</f>
        <v>1195750.2052795319</v>
      </c>
      <c r="AH229" s="33">
        <f>Model!AH1388</f>
        <v>1207749.6278165984</v>
      </c>
      <c r="AI229" s="33">
        <f>Model!AI1388</f>
        <v>1221705.0348533278</v>
      </c>
      <c r="AJ229" s="33"/>
      <c r="AK229" s="33"/>
      <c r="AL229" s="33"/>
      <c r="AM229" s="33"/>
      <c r="AN229" s="33"/>
      <c r="AO229" s="33"/>
      <c r="AP229" s="33"/>
      <c r="AQ229" s="33"/>
      <c r="AU229" s="33">
        <f>Model!AU1388</f>
        <v>1205820</v>
      </c>
      <c r="AV229" s="33">
        <f>Model!AV1388</f>
        <v>1185443</v>
      </c>
      <c r="AW229" s="33">
        <f>Model!AW1388</f>
        <v>1292605</v>
      </c>
      <c r="AX229" s="33">
        <f>Model!AX1388</f>
        <v>1216277</v>
      </c>
      <c r="AY229" s="33">
        <f>Model!AY1388</f>
        <v>1189680</v>
      </c>
      <c r="AZ229" s="33">
        <f>Model!AZ1388</f>
        <v>1134864</v>
      </c>
      <c r="BA229" s="33">
        <f>Model!BA1388</f>
        <v>1189408.6433357499</v>
      </c>
      <c r="BB229" s="33">
        <f>Model!BB1388</f>
        <v>1221705.0348533278</v>
      </c>
      <c r="BC229" s="33">
        <f>Model!BC1388</f>
        <v>1253655.5337618398</v>
      </c>
      <c r="BD229" s="33">
        <f>Model!BD1388</f>
        <v>1295267.1997474239</v>
      </c>
      <c r="BE229" s="33">
        <f>Model!BE1388</f>
        <v>1336379.7782629663</v>
      </c>
    </row>
    <row r="230" spans="1:57" x14ac:dyDescent="0.2">
      <c r="A230" s="916" t="s">
        <v>715</v>
      </c>
      <c r="B230" s="238" t="s">
        <v>715</v>
      </c>
      <c r="C230" s="238"/>
      <c r="D230" s="33">
        <f>Model!D1371</f>
        <v>0</v>
      </c>
      <c r="E230" s="33">
        <f>Model!E1371</f>
        <v>0</v>
      </c>
      <c r="F230" s="33">
        <f>Model!F1371</f>
        <v>0</v>
      </c>
      <c r="G230" s="33">
        <f>Model!G1371</f>
        <v>105140</v>
      </c>
      <c r="H230" s="33">
        <f>Model!H1371</f>
        <v>110958</v>
      </c>
      <c r="I230" s="33">
        <f>Model!I1371</f>
        <v>116995</v>
      </c>
      <c r="J230" s="33">
        <f>Model!J1371</f>
        <v>121321</v>
      </c>
      <c r="K230" s="33">
        <f>Model!K1371</f>
        <v>125349</v>
      </c>
      <c r="L230" s="33">
        <f>Model!L1371</f>
        <v>131685</v>
      </c>
      <c r="M230" s="33">
        <f>Model!M1371</f>
        <v>135338</v>
      </c>
      <c r="N230" s="33">
        <f>Model!N1371</f>
        <v>138547</v>
      </c>
      <c r="O230" s="33">
        <f>Model!O1371</f>
        <v>136597</v>
      </c>
      <c r="P230" s="33">
        <f>Model!P1371</f>
        <v>141945</v>
      </c>
      <c r="Q230" s="33">
        <f>Model!Q1371</f>
        <v>145435</v>
      </c>
      <c r="R230" s="33">
        <f>Model!R1371</f>
        <v>146451</v>
      </c>
      <c r="S230" s="33">
        <f>Model!S1371</f>
        <v>146865</v>
      </c>
      <c r="T230" s="33">
        <f>Model!T1371</f>
        <v>153023</v>
      </c>
      <c r="U230" s="33">
        <f>Model!U1371</f>
        <v>154534</v>
      </c>
      <c r="V230" s="33">
        <f>Model!V1371</f>
        <v>155132</v>
      </c>
      <c r="W230" s="33">
        <f>Model!W1371</f>
        <v>149516</v>
      </c>
      <c r="X230" s="33">
        <f>Model!X1371</f>
        <v>152664</v>
      </c>
      <c r="Y230" s="33">
        <f>Model!Y1371</f>
        <v>155174</v>
      </c>
      <c r="Z230" s="33">
        <f>Model!Z1371</f>
        <v>153534</v>
      </c>
      <c r="AA230" s="33">
        <f>Model!AA1371</f>
        <v>142822</v>
      </c>
      <c r="AB230" s="33">
        <f>Model!AB1371</f>
        <v>144127</v>
      </c>
      <c r="AC230" s="33">
        <f>Model!AC1371</f>
        <v>145395.4111395824</v>
      </c>
      <c r="AD230" s="33">
        <f>Model!AD1371</f>
        <v>143535.93029183263</v>
      </c>
      <c r="AE230" s="33">
        <f>Model!AE1371</f>
        <v>141316.21326334373</v>
      </c>
      <c r="AF230" s="33">
        <f>Model!AF1371</f>
        <v>140525.06456501185</v>
      </c>
      <c r="AG230" s="33">
        <f>Model!AG1371</f>
        <v>139140.25676827141</v>
      </c>
      <c r="AH230" s="33">
        <f>Model!AH1371</f>
        <v>138087.10600127309</v>
      </c>
      <c r="AI230" s="33">
        <f>Model!AI1371</f>
        <v>136773.23030174992</v>
      </c>
      <c r="AJ230" s="33"/>
      <c r="AK230" s="33"/>
      <c r="AL230" s="33"/>
      <c r="AM230" s="33"/>
      <c r="AN230" s="33"/>
      <c r="AO230" s="33"/>
      <c r="AP230" s="33"/>
      <c r="AQ230" s="33"/>
      <c r="AU230" s="33">
        <f>Model!AU1371</f>
        <v>105140</v>
      </c>
      <c r="AV230" s="33">
        <f>Model!AV1371</f>
        <v>125349</v>
      </c>
      <c r="AW230" s="33">
        <f>Model!AW1371</f>
        <v>136597</v>
      </c>
      <c r="AX230" s="33">
        <f>Model!AX1371</f>
        <v>146865</v>
      </c>
      <c r="AY230" s="33">
        <f>Model!AY1371</f>
        <v>149516</v>
      </c>
      <c r="AZ230" s="33">
        <f>Model!AZ1371</f>
        <v>142822</v>
      </c>
      <c r="BA230" s="33">
        <f>Model!BA1371</f>
        <v>141316.21326334373</v>
      </c>
      <c r="BB230" s="33">
        <f>Model!BB1371</f>
        <v>136773.23030174992</v>
      </c>
      <c r="BC230" s="33">
        <f>Model!BC1371</f>
        <v>139291.69404207653</v>
      </c>
      <c r="BD230" s="33">
        <f>Model!BD1371</f>
        <v>144820.11255943379</v>
      </c>
      <c r="BE230" s="33">
        <f>Model!BE1371</f>
        <v>150572.2541217088</v>
      </c>
    </row>
    <row r="231" spans="1:57" s="916" customFormat="1" x14ac:dyDescent="0.2">
      <c r="A231" s="238"/>
      <c r="B231" s="238"/>
      <c r="C231" s="238"/>
      <c r="AF231" s="1707"/>
      <c r="AG231" s="1707"/>
      <c r="AH231" s="1707"/>
      <c r="AI231" s="1707"/>
      <c r="AJ231" s="1740"/>
      <c r="AK231" s="1740"/>
      <c r="AL231" s="1740"/>
      <c r="AM231" s="1740"/>
      <c r="AN231" s="1740"/>
      <c r="AO231" s="1740"/>
      <c r="AP231" s="1740"/>
      <c r="AQ231" s="1740"/>
      <c r="AS231" s="1160"/>
      <c r="AT231" s="1160"/>
      <c r="AU231" s="1198"/>
      <c r="AV231" s="1198"/>
      <c r="AW231" s="1198"/>
      <c r="AX231" s="1198"/>
      <c r="AY231" s="1198"/>
      <c r="AZ231" s="1198"/>
      <c r="BA231" s="1198"/>
      <c r="BB231" s="1198"/>
      <c r="BC231" s="1198"/>
      <c r="BD231" s="1198"/>
      <c r="BE231" s="1702"/>
    </row>
    <row r="232" spans="1:57" x14ac:dyDescent="0.2">
      <c r="A232" s="238"/>
      <c r="B232" s="238"/>
      <c r="C232" s="238"/>
      <c r="D232" s="238"/>
      <c r="E232" s="238"/>
      <c r="F232" s="238"/>
      <c r="G232" s="238"/>
      <c r="H232" s="238"/>
      <c r="I232" s="238"/>
      <c r="J232" s="238"/>
      <c r="K232" s="238"/>
      <c r="L232" s="238"/>
      <c r="M232" s="238"/>
      <c r="N232" s="238"/>
      <c r="O232" s="238"/>
      <c r="P232" s="238"/>
      <c r="Q232" s="238"/>
      <c r="R232" s="238"/>
      <c r="S232" s="238"/>
      <c r="T232" s="238"/>
      <c r="U232" s="238"/>
      <c r="V232" s="238"/>
      <c r="W232" s="238"/>
      <c r="X232" s="238"/>
      <c r="Y232" s="238"/>
      <c r="Z232" s="238"/>
      <c r="AA232" s="238"/>
      <c r="AB232" s="238"/>
      <c r="AC232" s="238"/>
      <c r="AD232" s="238"/>
      <c r="AE232" s="238"/>
      <c r="AF232" s="238"/>
      <c r="AG232" s="238"/>
      <c r="AH232" s="238"/>
      <c r="AI232" s="238"/>
      <c r="AJ232" s="238"/>
      <c r="AK232" s="238"/>
      <c r="AL232" s="238"/>
      <c r="AM232" s="238"/>
      <c r="AN232" s="238"/>
      <c r="AO232" s="238"/>
      <c r="AP232" s="238"/>
      <c r="AQ232" s="238"/>
      <c r="AR232" s="238"/>
      <c r="AS232" s="238"/>
      <c r="AT232" s="238"/>
      <c r="AU232" s="238"/>
      <c r="AV232" s="238"/>
      <c r="AW232" s="238"/>
      <c r="AX232" s="238"/>
      <c r="AY232" s="238"/>
      <c r="AZ232" s="238"/>
      <c r="BA232" s="238"/>
      <c r="BB232" s="238"/>
      <c r="BC232" s="238"/>
      <c r="BD232" s="238"/>
      <c r="BE232" s="238"/>
    </row>
    <row r="233" spans="1:57" s="395" customFormat="1" x14ac:dyDescent="0.2">
      <c r="A233" s="395" t="s">
        <v>779</v>
      </c>
      <c r="D233" s="396"/>
      <c r="E233" s="396"/>
      <c r="F233" s="396"/>
      <c r="G233" s="396"/>
      <c r="H233" s="396"/>
      <c r="I233" s="396"/>
      <c r="J233" s="396"/>
      <c r="K233" s="396"/>
      <c r="L233" s="396"/>
      <c r="M233" s="396"/>
      <c r="N233" s="396"/>
      <c r="O233" s="396"/>
      <c r="P233" s="396"/>
      <c r="Q233" s="396"/>
      <c r="R233" s="396"/>
      <c r="S233" s="396"/>
      <c r="T233" s="396"/>
      <c r="U233" s="396"/>
      <c r="V233" s="396"/>
      <c r="W233" s="396"/>
      <c r="X233" s="396"/>
      <c r="Y233" s="396"/>
      <c r="Z233" s="396"/>
      <c r="AA233" s="396"/>
      <c r="AB233" s="396"/>
      <c r="AC233" s="396"/>
      <c r="AD233" s="396"/>
      <c r="AE233" s="396"/>
      <c r="AF233" s="396"/>
      <c r="AG233" s="396"/>
      <c r="AH233" s="396"/>
      <c r="AI233" s="396"/>
      <c r="AJ233" s="396"/>
      <c r="AK233" s="396"/>
      <c r="AL233" s="396"/>
      <c r="AM233" s="396"/>
      <c r="AN233" s="396"/>
      <c r="AO233" s="396"/>
      <c r="AP233" s="396"/>
      <c r="AQ233" s="396"/>
      <c r="AR233" s="396"/>
      <c r="AS233" s="396"/>
      <c r="AT233" s="396"/>
      <c r="AU233" s="396"/>
      <c r="AV233" s="396"/>
      <c r="AW233" s="396"/>
      <c r="AX233" s="396"/>
      <c r="AY233" s="396"/>
      <c r="AZ233" s="396"/>
      <c r="BA233" s="396"/>
      <c r="BB233" s="396"/>
      <c r="BC233" s="396"/>
      <c r="BD233" s="396"/>
      <c r="BE233" s="396"/>
    </row>
    <row r="234" spans="1:57" x14ac:dyDescent="0.2">
      <c r="A234" s="238" t="s">
        <v>780</v>
      </c>
      <c r="B234" s="238"/>
      <c r="C234" s="238"/>
      <c r="D234" s="867">
        <f>Model!D1330</f>
        <v>0.01</v>
      </c>
      <c r="E234" s="867">
        <f>Model!E1330</f>
        <v>0.01</v>
      </c>
      <c r="F234" s="867">
        <f>Model!F1330</f>
        <v>0.01</v>
      </c>
      <c r="G234" s="867">
        <f>Model!G1330</f>
        <v>0.01</v>
      </c>
      <c r="H234" s="867">
        <f>Model!H1330</f>
        <v>0.01</v>
      </c>
      <c r="I234" s="867">
        <f>Model!I1330</f>
        <v>0.01</v>
      </c>
      <c r="J234" s="867">
        <f>Model!J1330</f>
        <v>0.01</v>
      </c>
      <c r="K234" s="867">
        <f>Model!K1330</f>
        <v>0.01</v>
      </c>
      <c r="L234" s="867">
        <f>Model!L1330</f>
        <v>0.01</v>
      </c>
      <c r="M234" s="867">
        <f>Model!M1330</f>
        <v>0.01</v>
      </c>
      <c r="N234" s="867">
        <f>Model!N1330</f>
        <v>0.01</v>
      </c>
      <c r="O234" s="867">
        <f>Model!O1330</f>
        <v>0.01</v>
      </c>
      <c r="P234" s="867">
        <f>Model!P1330</f>
        <v>0.01</v>
      </c>
      <c r="Q234" s="867">
        <f>Model!Q1330</f>
        <v>0.05</v>
      </c>
      <c r="R234" s="867">
        <f>Model!R1330</f>
        <v>0.05</v>
      </c>
      <c r="S234" s="867">
        <f>Model!S1330</f>
        <v>0.05</v>
      </c>
      <c r="T234" s="867">
        <f>Model!T1330</f>
        <v>0.05</v>
      </c>
      <c r="U234" s="867">
        <f>Model!U1330</f>
        <v>0.05</v>
      </c>
      <c r="V234" s="867">
        <f>Model!V1330</f>
        <v>0.16</v>
      </c>
      <c r="W234" s="867">
        <f>Model!W1330</f>
        <v>0.16</v>
      </c>
      <c r="X234" s="867">
        <f>Model!X1330</f>
        <v>0.16</v>
      </c>
      <c r="Y234" s="867">
        <f>Model!Y1330</f>
        <v>0.16</v>
      </c>
      <c r="Z234" s="867">
        <f>Model!Z1330</f>
        <v>0.32</v>
      </c>
      <c r="AA234" s="867">
        <f>Model!AA1330</f>
        <v>0.32</v>
      </c>
      <c r="AB234" s="867">
        <f>Model!AB1330</f>
        <v>0.32</v>
      </c>
      <c r="AC234" s="867">
        <f>Model!AC1330</f>
        <v>0.32</v>
      </c>
      <c r="AD234" s="867">
        <f>Model!AD1330</f>
        <v>0.4</v>
      </c>
      <c r="AE234" s="867">
        <f>Model!AE1330</f>
        <v>0.4</v>
      </c>
      <c r="AF234" s="867">
        <f>Model!AF1330</f>
        <v>0.4</v>
      </c>
      <c r="AG234" s="867">
        <f>Model!AG1330</f>
        <v>0.4</v>
      </c>
      <c r="AH234" s="867">
        <f>Model!AH1330</f>
        <v>0.45</v>
      </c>
      <c r="AI234" s="867">
        <f>Model!AI1330</f>
        <v>0.45</v>
      </c>
      <c r="AJ234" s="867"/>
      <c r="AK234" s="867"/>
      <c r="AL234" s="867"/>
      <c r="AM234" s="867"/>
      <c r="AN234" s="867"/>
      <c r="AO234" s="867"/>
      <c r="AP234" s="867"/>
      <c r="AQ234" s="867"/>
      <c r="AU234" s="867">
        <f>Model!AU1330</f>
        <v>0.04</v>
      </c>
      <c r="AV234" s="867">
        <f>Model!AV1330</f>
        <v>0.04</v>
      </c>
      <c r="AW234" s="867">
        <f>Model!AW1330</f>
        <v>0.04</v>
      </c>
      <c r="AX234" s="867">
        <f>Model!AX1330</f>
        <v>0.16000000000000003</v>
      </c>
      <c r="AY234" s="867">
        <f>Model!AY1330</f>
        <v>0.42000000000000004</v>
      </c>
      <c r="AZ234" s="867">
        <f>Model!AZ1330</f>
        <v>0.96</v>
      </c>
      <c r="BA234" s="867">
        <f>Model!BA1330</f>
        <v>1.44</v>
      </c>
      <c r="BB234" s="867">
        <f>Model!BB1330</f>
        <v>1.7</v>
      </c>
      <c r="BC234" s="867">
        <f>Model!BC1330</f>
        <v>1.9</v>
      </c>
      <c r="BD234" s="867">
        <f>Model!BD1330</f>
        <v>2.1</v>
      </c>
      <c r="BE234" s="867">
        <f>Model!BE1330</f>
        <v>2.2999999999999998</v>
      </c>
    </row>
    <row r="235" spans="1:57" x14ac:dyDescent="0.2">
      <c r="A235" s="238" t="s">
        <v>781</v>
      </c>
      <c r="B235" s="238"/>
      <c r="C235" s="238"/>
      <c r="D235" s="194">
        <f>Model!D1342</f>
        <v>8.8080504656052865E-3</v>
      </c>
      <c r="E235" s="194">
        <f>Model!E1342</f>
        <v>9.8803908355795146E-3</v>
      </c>
      <c r="F235" s="194">
        <f>Model!F1342</f>
        <v>8.962408312958435E-3</v>
      </c>
      <c r="G235" s="194">
        <f>Model!G1342</f>
        <v>1.9783801436969301E-2</v>
      </c>
      <c r="H235" s="194">
        <f>Model!H1342</f>
        <v>7.7447187579536784E-3</v>
      </c>
      <c r="I235" s="194">
        <f>Model!I1342</f>
        <v>8.0598992843890806E-3</v>
      </c>
      <c r="J235" s="194">
        <f>Model!J1342</f>
        <v>1.007641196013289E-2</v>
      </c>
      <c r="K235" s="194">
        <f>Model!K1342</f>
        <v>1.3421355782011519E-2</v>
      </c>
      <c r="L235" s="194">
        <f>Model!L1342</f>
        <v>7.7356760886172658E-3</v>
      </c>
      <c r="M235" s="194">
        <f>Model!M1342</f>
        <v>0.2485081967213115</v>
      </c>
      <c r="N235" s="194">
        <f>Model!N1342</f>
        <v>1.039993134225884E-2</v>
      </c>
      <c r="O235" s="194">
        <f>Model!O1342</f>
        <v>0.16893296089385476</v>
      </c>
      <c r="P235" s="194">
        <f>Model!P1342</f>
        <v>6.550302245250432E-3</v>
      </c>
      <c r="Q235" s="194">
        <f>Model!Q1342</f>
        <v>3.4374143444495207E-2</v>
      </c>
      <c r="R235" s="194">
        <f>Model!R1342</f>
        <v>3.7766227180527391E-2</v>
      </c>
      <c r="S235" s="194">
        <f>Model!S1342</f>
        <v>4.6333542516473182E-2</v>
      </c>
      <c r="T235" s="194">
        <f>Model!T1342</f>
        <v>4.5110667076544729E-2</v>
      </c>
      <c r="U235" s="194">
        <f>Model!U1342</f>
        <v>3.9843664289632479E-2</v>
      </c>
      <c r="V235" s="194">
        <f>Model!V1342</f>
        <v>0.12693541202672606</v>
      </c>
      <c r="W235" s="194">
        <f>Model!W1342</f>
        <v>0.13831743062051763</v>
      </c>
      <c r="X235" s="194">
        <f>Model!X1342</f>
        <v>0.11741151385927506</v>
      </c>
      <c r="Y235" s="194">
        <f>Model!Y1342</f>
        <v>0.12516106804478896</v>
      </c>
      <c r="Z235" s="194">
        <f>Model!Z1342</f>
        <v>0.22189352216102806</v>
      </c>
      <c r="AA235" s="194">
        <f>Model!AA1342</f>
        <v>0.23644853364002302</v>
      </c>
      <c r="AB235" s="194">
        <f>Model!AB1342</f>
        <v>0.18958364312267659</v>
      </c>
      <c r="AC235" s="194">
        <f>Model!AC1342</f>
        <v>0.19716704778452981</v>
      </c>
      <c r="AD235" s="194">
        <f>Model!AD1342</f>
        <v>0.232161919717533</v>
      </c>
      <c r="AE235" s="194">
        <f>Model!AE1342</f>
        <v>0.23839967203694454</v>
      </c>
      <c r="AF235" s="194">
        <f>Model!AF1342</f>
        <v>0.20426903017481166</v>
      </c>
      <c r="AG235" s="194">
        <f>Model!AG1342</f>
        <v>0.19576075435713169</v>
      </c>
      <c r="AH235" s="194">
        <f>Model!AH1342</f>
        <v>0.21697189282765653</v>
      </c>
      <c r="AI235" s="194">
        <f>Model!AI1342</f>
        <v>0.22647838130548506</v>
      </c>
      <c r="AJ235" s="194"/>
      <c r="AK235" s="194"/>
      <c r="AL235" s="194"/>
      <c r="AM235" s="194"/>
      <c r="AN235" s="194"/>
      <c r="AO235" s="194"/>
      <c r="AP235" s="194"/>
      <c r="AQ235" s="194"/>
      <c r="AU235" s="194">
        <f>Model!AU1342</f>
        <v>1.0654144144144144E-2</v>
      </c>
      <c r="AV235" s="194">
        <f>Model!AV1342</f>
        <v>9.3654869303724259E-3</v>
      </c>
      <c r="AW235" s="194">
        <f>Model!AW1342</f>
        <v>1.6976613919619105E-2</v>
      </c>
      <c r="AX235" s="194">
        <f>Model!AX1342</f>
        <v>2.957970385973608E-2</v>
      </c>
      <c r="AY235" s="194">
        <f>Model!AY1342</f>
        <v>8.6987224412322955E-2</v>
      </c>
      <c r="AZ235" s="194">
        <f>Model!AZ1342</f>
        <v>0.17519702602230483</v>
      </c>
      <c r="BA235" s="194">
        <f>Model!BA1342</f>
        <v>0.21404962054898494</v>
      </c>
      <c r="BB235" s="194">
        <f>Model!BB1342</f>
        <v>0.21061099869643543</v>
      </c>
      <c r="BC235" s="194">
        <f>Model!BC1342</f>
        <v>0.19761927774301769</v>
      </c>
      <c r="BD235" s="194">
        <f>Model!BD1342</f>
        <v>0.19560663614001023</v>
      </c>
      <c r="BE235" s="194">
        <f>Model!BE1342</f>
        <v>0.19799338795974508</v>
      </c>
    </row>
    <row r="236" spans="1:57" x14ac:dyDescent="0.2">
      <c r="A236" s="238" t="s">
        <v>782</v>
      </c>
      <c r="B236" s="238"/>
      <c r="C236" s="238"/>
      <c r="D236" s="194">
        <f>Model!D1343</f>
        <v>0</v>
      </c>
      <c r="E236" s="194">
        <f>Model!E1343</f>
        <v>0</v>
      </c>
      <c r="F236" s="194">
        <f>Model!F1343</f>
        <v>0</v>
      </c>
      <c r="G236" s="194">
        <f>Model!G1343</f>
        <v>0</v>
      </c>
      <c r="H236" s="194">
        <f>Model!H1343</f>
        <v>0</v>
      </c>
      <c r="I236" s="194">
        <f>Model!I1343</f>
        <v>5.3008216273522396E-2</v>
      </c>
      <c r="J236" s="194">
        <f>Model!J1343</f>
        <v>0.19933554817275748</v>
      </c>
      <c r="K236" s="194">
        <f>Model!K1343</f>
        <v>0.13291980505095261</v>
      </c>
      <c r="L236" s="194">
        <f>Model!L1343</f>
        <v>0.10185892538833716</v>
      </c>
      <c r="M236" s="194">
        <f>Model!M1343</f>
        <v>2.459016393442623</v>
      </c>
      <c r="N236" s="194">
        <f>Model!N1343</f>
        <v>0.17473395125300378</v>
      </c>
      <c r="O236" s="194">
        <f>Model!O1343</f>
        <v>3.1843575418994412</v>
      </c>
      <c r="P236" s="194">
        <f>Model!P1343</f>
        <v>6.4766839378238336E-2</v>
      </c>
      <c r="Q236" s="194">
        <f>Model!Q1343</f>
        <v>0.35381452718136136</v>
      </c>
      <c r="R236" s="194">
        <f>Model!R1343</f>
        <v>0.49442190669371194</v>
      </c>
      <c r="S236" s="194">
        <f>Model!S1343</f>
        <v>0.51835582052086604</v>
      </c>
      <c r="T236" s="194">
        <f>Model!T1343</f>
        <v>0.41592376268060249</v>
      </c>
      <c r="U236" s="194">
        <f>Model!U1343</f>
        <v>0.37136588041689522</v>
      </c>
      <c r="V236" s="194">
        <f>Model!V1343</f>
        <v>0.70684855233853006</v>
      </c>
      <c r="W236" s="194">
        <f>Model!W1343</f>
        <v>1.3358278765201121</v>
      </c>
      <c r="X236" s="194">
        <f>Model!X1343</f>
        <v>0.47547974413646055</v>
      </c>
      <c r="Y236" s="194">
        <f>Model!Y1343</f>
        <v>0.51105368934826301</v>
      </c>
      <c r="Z236" s="194">
        <f>Model!Z1343</f>
        <v>1.4398111723052713</v>
      </c>
      <c r="AA236" s="194">
        <f>Model!AA1343</f>
        <v>1.5770557791834388</v>
      </c>
      <c r="AB236" s="194">
        <f>Model!AB1343</f>
        <v>0.52857806691449816</v>
      </c>
      <c r="AC236" s="194">
        <f>Model!AC1343</f>
        <v>0.55558228390828024</v>
      </c>
      <c r="AD236" s="194">
        <f>Model!AD1343</f>
        <v>1.2674296157368117</v>
      </c>
      <c r="AE236" s="194">
        <f>Model!AE1343</f>
        <v>1.3795617810867633</v>
      </c>
      <c r="AF236" s="194">
        <f>Model!AF1343</f>
        <v>1.1545410678001677</v>
      </c>
      <c r="AG236" s="194">
        <f>Model!AG1343</f>
        <v>1.1649344976013556</v>
      </c>
      <c r="AH236" s="194">
        <f>Model!AH1343</f>
        <v>1.0747882851766073</v>
      </c>
      <c r="AI236" s="194">
        <f>Model!AI1343</f>
        <v>1.1443132104540907</v>
      </c>
      <c r="AJ236" s="194"/>
      <c r="AK236" s="194"/>
      <c r="AL236" s="194"/>
      <c r="AM236" s="194"/>
      <c r="AN236" s="194"/>
      <c r="AO236" s="194"/>
      <c r="AP236" s="194"/>
      <c r="AQ236" s="194"/>
      <c r="AU236" s="194">
        <f>Model!AU1343</f>
        <v>0</v>
      </c>
      <c r="AV236" s="194">
        <f>Model!AV1343</f>
        <v>8.4817642069550461E-2</v>
      </c>
      <c r="AW236" s="194">
        <f>Model!AW1343</f>
        <v>0.24912477244083461</v>
      </c>
      <c r="AX236" s="194">
        <f>Model!AX1343</f>
        <v>0.33771141812774919</v>
      </c>
      <c r="AY236" s="194">
        <f>Model!AY1343</f>
        <v>0.69572200321214772</v>
      </c>
      <c r="AZ236" s="194">
        <f>Model!AZ1343</f>
        <v>1.0008949469916013</v>
      </c>
      <c r="BA236" s="194">
        <f>Model!BA1343</f>
        <v>0.92834820050872358</v>
      </c>
      <c r="BB236" s="194">
        <f>Model!BB1343</f>
        <v>1.1344893144948802</v>
      </c>
      <c r="BC236" s="194">
        <f>Model!BC1343</f>
        <v>0.77981260966038002</v>
      </c>
      <c r="BD236" s="194">
        <f>Model!BD1343</f>
        <v>0.63972554153119165</v>
      </c>
      <c r="BE236" s="194">
        <f>Model!BE1343</f>
        <v>0.63822000610832641</v>
      </c>
    </row>
    <row r="237" spans="1:57" x14ac:dyDescent="0.2">
      <c r="A237" s="238" t="s">
        <v>783</v>
      </c>
      <c r="B237" s="238"/>
      <c r="C237" s="238"/>
      <c r="D237" s="194">
        <f>Model!D1343+Model!D1345</f>
        <v>-7.9906278161608307E-2</v>
      </c>
      <c r="E237" s="194">
        <f>Model!E1343+Model!E1345</f>
        <v>-3.2324797843685366E-3</v>
      </c>
      <c r="F237" s="194">
        <f>Model!F1343+Model!F1345</f>
        <v>0</v>
      </c>
      <c r="G237" s="194">
        <f>Model!G1343+Model!G1345</f>
        <v>-2.308310907903333</v>
      </c>
      <c r="H237" s="194">
        <f>Model!H1343+Model!H1345</f>
        <v>-0.15493000763553064</v>
      </c>
      <c r="I237" s="194">
        <f>Model!I1343+Model!I1345</f>
        <v>2.28899115726574E-2</v>
      </c>
      <c r="J237" s="194">
        <f>Model!J1343+Model!J1345</f>
        <v>0.12860357946629369</v>
      </c>
      <c r="K237" s="194">
        <f>Model!K1343+Model!K1345</f>
        <v>8.5609365965022374E-2</v>
      </c>
      <c r="L237" s="194">
        <f>Model!L1343+Model!L1345</f>
        <v>-0.12695460265793415</v>
      </c>
      <c r="M237" s="194">
        <f>Model!M1343+Model!M1345</f>
        <v>2.3419203747071888</v>
      </c>
      <c r="N237" s="194">
        <f>Model!N1343+Model!N1345</f>
        <v>3.7559634381492735E-2</v>
      </c>
      <c r="O237" s="194">
        <f>Model!O1343+Model!O1345</f>
        <v>1.6665796480969306</v>
      </c>
      <c r="P237" s="194">
        <f>Model!P1343+Model!P1345</f>
        <v>-0.1119697901115297</v>
      </c>
      <c r="Q237" s="194">
        <f>Model!Q1343+Model!Q1345</f>
        <v>0.30167343896515736</v>
      </c>
      <c r="R237" s="194">
        <f>Model!R1343+Model!R1345</f>
        <v>0.42300540906017825</v>
      </c>
      <c r="S237" s="194">
        <f>Model!S1343+Model!S1345</f>
        <v>0.42973369636729558</v>
      </c>
      <c r="T237" s="194">
        <f>Model!T1343+Model!T1345</f>
        <v>0.24687087849429429</v>
      </c>
      <c r="U237" s="194">
        <f>Model!U1343+Model!U1345</f>
        <v>0.36517644907661362</v>
      </c>
      <c r="V237" s="194">
        <f>Model!V1343+Model!V1345</f>
        <v>0.70306186366529133</v>
      </c>
      <c r="W237" s="194">
        <f>Model!W1343+Model!W1345</f>
        <v>1.3070822133544848</v>
      </c>
      <c r="X237" s="194">
        <f>Model!X1343+Model!X1345</f>
        <v>0.30272210376687847</v>
      </c>
      <c r="Y237" s="194">
        <f>Model!Y1343+Model!Y1345</f>
        <v>0.50576692704466508</v>
      </c>
      <c r="Z237" s="194">
        <f>Model!Z1343+Model!Z1345</f>
        <v>1.4327009936766018</v>
      </c>
      <c r="AA237" s="194">
        <f>Model!AA1343+Model!AA1345</f>
        <v>1.5791869356417929</v>
      </c>
      <c r="AB237" s="194">
        <f>Model!AB1343+Model!AB1345</f>
        <v>0.35238537794299879</v>
      </c>
      <c r="AC237" s="194">
        <f>Model!AC1343+Model!AC1345</f>
        <v>0.50853063448073343</v>
      </c>
      <c r="AD237" s="194">
        <f>Model!AD1343+Model!AD1345</f>
        <v>1.220062618977414</v>
      </c>
      <c r="AE237" s="194">
        <f>Model!AE1343+Model!AE1345</f>
        <v>1.3276340717549859</v>
      </c>
      <c r="AF237" s="194">
        <f>Model!AF1343+Model!AF1345</f>
        <v>0.98081856287646429</v>
      </c>
      <c r="AG237" s="194">
        <f>Model!AG1343+Model!AG1345</f>
        <v>1.1133689568414031</v>
      </c>
      <c r="AH237" s="194">
        <f>Model!AH1343+Model!AH1345</f>
        <v>1.0227638472239613</v>
      </c>
      <c r="AI237" s="194">
        <f>Model!AI1343+Model!AI1345</f>
        <v>1.0887599916427335</v>
      </c>
      <c r="AJ237" s="194"/>
      <c r="AK237" s="194"/>
      <c r="AL237" s="194"/>
      <c r="AM237" s="194"/>
      <c r="AN237" s="194"/>
      <c r="AO237" s="194"/>
      <c r="AP237" s="194"/>
      <c r="AQ237" s="194"/>
      <c r="AU237" s="194">
        <f>Model!AU1343+Model!AU1345</f>
        <v>-0.34645351351351378</v>
      </c>
      <c r="AV237" s="194">
        <f>Model!AV1343+Model!AV1345</f>
        <v>-1.1209380009191694E-3</v>
      </c>
      <c r="AW237" s="194">
        <f>Model!AW1343+Model!AW1345</f>
        <v>3.8160731038623608E-2</v>
      </c>
      <c r="AX237" s="194">
        <f>Model!AX1343+Model!AX1345</f>
        <v>0.23513240749328435</v>
      </c>
      <c r="AY237" s="194">
        <f>Model!AY1343+Model!AY1345</f>
        <v>0.64212301214835499</v>
      </c>
      <c r="AZ237" s="194">
        <f>Model!AZ1343+Model!AZ1345</f>
        <v>0.94710853628878167</v>
      </c>
      <c r="BA237" s="194">
        <f>Model!BA1343+Model!BA1345</f>
        <v>0.84440896000231358</v>
      </c>
      <c r="BB237" s="194">
        <f>Model!BB1343+Model!BB1345</f>
        <v>1.0496258285683526</v>
      </c>
      <c r="BC237" s="194">
        <f>Model!BC1343+Model!BC1345</f>
        <v>0.68719347637588701</v>
      </c>
      <c r="BD237" s="194">
        <f>Model!BD1343+Model!BD1345</f>
        <v>0.55205559678666727</v>
      </c>
      <c r="BE237" s="194">
        <f>Model!BE1343+Model!BE1345</f>
        <v>0.54598045909977844</v>
      </c>
    </row>
    <row r="238" spans="1:57" x14ac:dyDescent="0.2">
      <c r="A238" s="238" t="s">
        <v>784</v>
      </c>
      <c r="B238" s="238"/>
      <c r="C238" s="238"/>
      <c r="D238" s="67">
        <f>Model!D1339</f>
        <v>2.8043775649794181E-3</v>
      </c>
      <c r="E238" s="67">
        <f>Model!E1339</f>
        <v>1.0231225700845165E-4</v>
      </c>
      <c r="F238" s="67">
        <f>Model!F1339</f>
        <v>0</v>
      </c>
      <c r="G238" s="67">
        <f>Model!G1339</f>
        <v>3.2872975277067382E-2</v>
      </c>
      <c r="H238" s="67">
        <f>Model!H1339</f>
        <v>4.6221400508435406E-3</v>
      </c>
      <c r="I238" s="67">
        <f>Model!I1339</f>
        <v>-6.2440435111242576E-4</v>
      </c>
      <c r="J238" s="67">
        <f>Model!J1339</f>
        <v>-2.6307135810588324E-3</v>
      </c>
      <c r="K238" s="67">
        <f>Model!K1339</f>
        <v>-1.252884932410185E-3</v>
      </c>
      <c r="L238" s="67">
        <f>Model!L1339</f>
        <v>2.8390334081607204E-3</v>
      </c>
      <c r="M238" s="67">
        <f>Model!M1339</f>
        <v>-1.9751135690301591E-3</v>
      </c>
      <c r="N238" s="67">
        <f>Model!N1339</f>
        <v>-7.5862523913198859E-4</v>
      </c>
      <c r="O238" s="67">
        <f>Model!O1339</f>
        <v>-1.8484898498102294E-3</v>
      </c>
      <c r="P238" s="67">
        <f>Model!P1339</f>
        <v>3.3731274182346995E-3</v>
      </c>
      <c r="Q238" s="67">
        <f>Model!Q1339</f>
        <v>-8.0089647671466747E-3</v>
      </c>
      <c r="R238" s="67">
        <f>Model!R1339</f>
        <v>-1.0233238088909621E-2</v>
      </c>
      <c r="S238" s="67">
        <f>Model!S1339</f>
        <v>-8.6270560590801671E-3</v>
      </c>
      <c r="T238" s="67">
        <f>Model!T1339</f>
        <v>-6.2303186266210982E-3</v>
      </c>
      <c r="U238" s="67">
        <f>Model!U1339</f>
        <v>-1.0051449793860098E-2</v>
      </c>
      <c r="V238" s="67">
        <f>Model!V1339</f>
        <v>-1.9171198458043735E-2</v>
      </c>
      <c r="W238" s="67">
        <f>Model!W1339</f>
        <v>-2.7125662350422759E-2</v>
      </c>
      <c r="X238" s="67">
        <f>Model!X1339</f>
        <v>-6.8893377578992604E-3</v>
      </c>
      <c r="Y238" s="67">
        <f>Model!Y1339</f>
        <v>-1.0423855010351313E-2</v>
      </c>
      <c r="Z238" s="67">
        <f>Model!Z1339</f>
        <v>-2.9582324010863949E-2</v>
      </c>
      <c r="AA238" s="67">
        <f>Model!AA1339</f>
        <v>-2.8025718608169405E-2</v>
      </c>
      <c r="AB238" s="67">
        <f>Model!AB1339</f>
        <v>-7.7824039845908397E-3</v>
      </c>
      <c r="AC238" s="67">
        <f>Model!AC1339</f>
        <v>-1.09837332660093E-2</v>
      </c>
      <c r="AD238" s="67">
        <f>Model!AD1339</f>
        <v>-2.5990942852664636E-2</v>
      </c>
      <c r="AE238" s="67">
        <f>Model!AE1339</f>
        <v>-2.5983700352402113E-2</v>
      </c>
      <c r="AF238" s="67">
        <f>Model!AF1339</f>
        <v>-2.1238277923393629E-2</v>
      </c>
      <c r="AG238" s="67">
        <f>Model!AG1339</f>
        <v>-2.3893381111424555E-2</v>
      </c>
      <c r="AH238" s="67">
        <f>Model!AH1339</f>
        <v>-2.1886699744113568E-2</v>
      </c>
      <c r="AI238" s="67">
        <f>Model!AI1339</f>
        <v>-2.1883414067941951E-2</v>
      </c>
      <c r="AJ238" s="67"/>
      <c r="AK238" s="67"/>
      <c r="AL238" s="67"/>
      <c r="AM238" s="67"/>
      <c r="AN238" s="67"/>
      <c r="AO238" s="67"/>
      <c r="AP238" s="67"/>
      <c r="AQ238" s="67"/>
      <c r="AU238" s="67">
        <f>Model!AU1339</f>
        <v>3.5875512995896065E-2</v>
      </c>
      <c r="AV238" s="67">
        <f>Model!AV1339</f>
        <v>9.9045858232360638E-5</v>
      </c>
      <c r="AW238" s="67">
        <f>Model!AW1339</f>
        <v>-1.7496368678198246E-3</v>
      </c>
      <c r="AX238" s="67">
        <f>Model!AX1339</f>
        <v>-2.3347332914448172E-2</v>
      </c>
      <c r="AY238" s="67">
        <f>Model!AY1339</f>
        <v>-6.1253513019334328E-2</v>
      </c>
      <c r="AZ238" s="67">
        <f>Model!AZ1339</f>
        <v>-7.3041408166209784E-2</v>
      </c>
      <c r="BA238" s="67">
        <f>Model!BA1339</f>
        <v>-6.9021655043354668E-2</v>
      </c>
      <c r="BB238" s="67">
        <f>Model!BB1339</f>
        <v>-8.5983529361642067E-2</v>
      </c>
      <c r="BC238" s="67">
        <f>Model!BC1339</f>
        <v>-6.1686029118279959E-2</v>
      </c>
      <c r="BD238" s="67">
        <f>Model!BD1339</f>
        <v>-5.177741649632886E-2</v>
      </c>
      <c r="BE238" s="67">
        <f>Model!BE1339</f>
        <v>-5.1328424731998265E-2</v>
      </c>
    </row>
    <row r="239" spans="1:57" x14ac:dyDescent="0.2">
      <c r="A239" s="238" t="s">
        <v>785</v>
      </c>
      <c r="B239" s="238"/>
      <c r="C239" s="238"/>
      <c r="D239" s="194">
        <f>Model!D1344</f>
        <v>8.8080504656052865E-3</v>
      </c>
      <c r="E239" s="194">
        <f>Model!E1344</f>
        <v>9.8803908355795146E-3</v>
      </c>
      <c r="F239" s="194">
        <f>Model!F1344</f>
        <v>8.962408312958435E-3</v>
      </c>
      <c r="G239" s="194">
        <f>Model!G1344</f>
        <v>1.9783801436969301E-2</v>
      </c>
      <c r="H239" s="194">
        <f>Model!H1344</f>
        <v>7.7447187579536784E-3</v>
      </c>
      <c r="I239" s="194">
        <f>Model!I1344</f>
        <v>6.1068115557911473E-2</v>
      </c>
      <c r="J239" s="194">
        <f>Model!J1344</f>
        <v>0.20941196013289037</v>
      </c>
      <c r="K239" s="194">
        <f>Model!K1344</f>
        <v>0.14634116083296411</v>
      </c>
      <c r="L239" s="194">
        <f>Model!L1344</f>
        <v>0.10959460147695442</v>
      </c>
      <c r="M239" s="194">
        <f>Model!M1344</f>
        <v>2.7075245901639344</v>
      </c>
      <c r="N239" s="194">
        <f>Model!N1344</f>
        <v>0.18513388259526262</v>
      </c>
      <c r="O239" s="194">
        <f>Model!O1344</f>
        <v>3.3532905027932958</v>
      </c>
      <c r="P239" s="194">
        <f>Model!P1344</f>
        <v>7.1317141623488761E-2</v>
      </c>
      <c r="Q239" s="194">
        <f>Model!Q1344</f>
        <v>0.38818867062585655</v>
      </c>
      <c r="R239" s="194">
        <f>Model!R1344</f>
        <v>0.53218813387423936</v>
      </c>
      <c r="S239" s="194">
        <f>Model!S1344</f>
        <v>0.56468936303733919</v>
      </c>
      <c r="T239" s="194">
        <f>Model!T1344</f>
        <v>0.4610344297571472</v>
      </c>
      <c r="U239" s="194">
        <f>Model!U1344</f>
        <v>0.41120954470652771</v>
      </c>
      <c r="V239" s="194">
        <f>Model!V1344</f>
        <v>0.83378396436525615</v>
      </c>
      <c r="W239" s="194">
        <f>Model!W1344</f>
        <v>1.4741453071406299</v>
      </c>
      <c r="X239" s="194">
        <f>Model!X1344</f>
        <v>0.59289125799573561</v>
      </c>
      <c r="Y239" s="194">
        <f>Model!Y1344</f>
        <v>0.636214757393052</v>
      </c>
      <c r="Z239" s="194">
        <f>Model!Z1344</f>
        <v>1.6617046944662994</v>
      </c>
      <c r="AA239" s="194">
        <f>Model!AA1344</f>
        <v>1.8135043128234618</v>
      </c>
      <c r="AB239" s="194">
        <f>Model!AB1344</f>
        <v>0.71816171003717477</v>
      </c>
      <c r="AC239" s="194">
        <f>Model!AC1344</f>
        <v>0.75274933169281</v>
      </c>
      <c r="AD239" s="194">
        <f>Model!AD1344</f>
        <v>1.4995915354543448</v>
      </c>
      <c r="AE239" s="194">
        <f>Model!AE1344</f>
        <v>1.6179614531237079</v>
      </c>
      <c r="AF239" s="194">
        <f>Model!AF1344</f>
        <v>1.3588100979749793</v>
      </c>
      <c r="AG239" s="194">
        <f>Model!AG1344</f>
        <v>1.3606952519584872</v>
      </c>
      <c r="AH239" s="194">
        <f>Model!AH1344</f>
        <v>1.2917601780042638</v>
      </c>
      <c r="AI239" s="194">
        <f>Model!AI1344</f>
        <v>1.3707915917595759</v>
      </c>
      <c r="AJ239" s="194"/>
      <c r="AK239" s="194"/>
      <c r="AL239" s="194"/>
      <c r="AM239" s="194"/>
      <c r="AN239" s="194"/>
      <c r="AO239" s="194"/>
      <c r="AP239" s="194"/>
      <c r="AQ239" s="194"/>
      <c r="AU239" s="194">
        <f>Model!AU1344</f>
        <v>1.0654144144144144E-2</v>
      </c>
      <c r="AV239" s="194">
        <f>Model!AV1344</f>
        <v>9.4183128999922885E-2</v>
      </c>
      <c r="AW239" s="194">
        <f>Model!AW1344</f>
        <v>0.26610138636045372</v>
      </c>
      <c r="AX239" s="194">
        <f>Model!AX1344</f>
        <v>0.36729112198748526</v>
      </c>
      <c r="AY239" s="194">
        <f>Model!AY1344</f>
        <v>0.7827092276244707</v>
      </c>
      <c r="AZ239" s="194">
        <f>Model!AZ1344</f>
        <v>1.1760919730139061</v>
      </c>
      <c r="BA239" s="194">
        <f>Model!BA1344</f>
        <v>1.1423978210577086</v>
      </c>
      <c r="BB239" s="194">
        <f>Model!BB1344</f>
        <v>1.3451003131913157</v>
      </c>
      <c r="BC239" s="194">
        <f>Model!BC1344</f>
        <v>0.9774318874033977</v>
      </c>
      <c r="BD239" s="194">
        <f>Model!BD1344</f>
        <v>0.83533217767120194</v>
      </c>
      <c r="BE239" s="194">
        <f>Model!BE1344</f>
        <v>0.83621339406807149</v>
      </c>
    </row>
    <row r="240" spans="1:57" x14ac:dyDescent="0.2">
      <c r="A240" s="238" t="s">
        <v>786</v>
      </c>
      <c r="B240" s="238"/>
      <c r="C240" s="238"/>
      <c r="D240" s="194">
        <f>Model!D1346</f>
        <v>-7.1098227696003019E-2</v>
      </c>
      <c r="E240" s="194">
        <f>Model!E1346</f>
        <v>6.6479110512109776E-3</v>
      </c>
      <c r="F240" s="194">
        <f>Model!F1346</f>
        <v>8.962408312958435E-3</v>
      </c>
      <c r="G240" s="194">
        <f>Model!G1346</f>
        <v>-2.2885271064663639</v>
      </c>
      <c r="H240" s="194">
        <f>Model!H1346</f>
        <v>-0.14718528887757695</v>
      </c>
      <c r="I240" s="194">
        <f>Model!I1346</f>
        <v>3.0949810857046477E-2</v>
      </c>
      <c r="J240" s="194">
        <f>Model!J1346</f>
        <v>0.13867999142642659</v>
      </c>
      <c r="K240" s="194">
        <f>Model!K1346</f>
        <v>9.9030721747033881E-2</v>
      </c>
      <c r="L240" s="194">
        <f>Model!L1346</f>
        <v>-0.11921892656931689</v>
      </c>
      <c r="M240" s="194">
        <f>Model!M1346</f>
        <v>2.5904285714285002</v>
      </c>
      <c r="N240" s="194">
        <f>Model!N1346</f>
        <v>4.7959565723751568E-2</v>
      </c>
      <c r="O240" s="194">
        <f>Model!O1346</f>
        <v>1.8355126089907852</v>
      </c>
      <c r="P240" s="194">
        <f>Model!P1346</f>
        <v>-0.10541948786627928</v>
      </c>
      <c r="Q240" s="194">
        <f>Model!Q1346</f>
        <v>0.33604758240965255</v>
      </c>
      <c r="R240" s="194">
        <f>Model!R1346</f>
        <v>0.46077163624070572</v>
      </c>
      <c r="S240" s="194">
        <f>Model!S1346</f>
        <v>0.47606723888376873</v>
      </c>
      <c r="T240" s="194">
        <f>Model!T1346</f>
        <v>0.291981545570839</v>
      </c>
      <c r="U240" s="194">
        <f>Model!U1346</f>
        <v>0.4050201133662461</v>
      </c>
      <c r="V240" s="194">
        <f>Model!V1346</f>
        <v>0.82999727569201742</v>
      </c>
      <c r="W240" s="194">
        <f>Model!W1346</f>
        <v>1.4453996439750025</v>
      </c>
      <c r="X240" s="194">
        <f>Model!X1346</f>
        <v>0.42013361762615353</v>
      </c>
      <c r="Y240" s="194">
        <f>Model!Y1346</f>
        <v>0.63092799508945407</v>
      </c>
      <c r="Z240" s="194">
        <f>Model!Z1346</f>
        <v>1.6545945158376298</v>
      </c>
      <c r="AA240" s="194">
        <f>Model!AA1346</f>
        <v>1.815635469281816</v>
      </c>
      <c r="AB240" s="194">
        <f>Model!AB1346</f>
        <v>0.54196902106567535</v>
      </c>
      <c r="AC240" s="194">
        <f>Model!AC1346</f>
        <v>0.70569768226526319</v>
      </c>
      <c r="AD240" s="194">
        <f>Model!AD1346</f>
        <v>1.4522245386949471</v>
      </c>
      <c r="AE240" s="194">
        <f>Model!AE1346</f>
        <v>1.5660337437919305</v>
      </c>
      <c r="AF240" s="194">
        <f>Model!AF1346</f>
        <v>1.1850875930512759</v>
      </c>
      <c r="AG240" s="194">
        <f>Model!AG1346</f>
        <v>1.3091297111985347</v>
      </c>
      <c r="AH240" s="194">
        <f>Model!AH1346</f>
        <v>1.2397357400516178</v>
      </c>
      <c r="AI240" s="194">
        <f>Model!AI1346</f>
        <v>1.3152383729482187</v>
      </c>
      <c r="AJ240" s="194"/>
      <c r="AK240" s="194"/>
      <c r="AL240" s="194"/>
      <c r="AM240" s="194"/>
      <c r="AN240" s="194"/>
      <c r="AO240" s="194"/>
      <c r="AP240" s="194"/>
      <c r="AQ240" s="194"/>
      <c r="AU240" s="194">
        <f>Model!AU1346</f>
        <v>-0.33579936936936966</v>
      </c>
      <c r="AV240" s="194">
        <f>Model!AV1346</f>
        <v>8.2445489294532548E-3</v>
      </c>
      <c r="AW240" s="194">
        <f>Model!AW1346</f>
        <v>5.5137344958242712E-2</v>
      </c>
      <c r="AX240" s="194">
        <f>Model!AX1346</f>
        <v>0.26471211135302042</v>
      </c>
      <c r="AY240" s="194">
        <f>Model!AY1346</f>
        <v>0.72911023656067797</v>
      </c>
      <c r="AZ240" s="194">
        <f>Model!AZ1346</f>
        <v>1.1223055623110865</v>
      </c>
      <c r="BA240" s="194">
        <f>Model!BA1346</f>
        <v>1.0584585805512985</v>
      </c>
      <c r="BB240" s="194">
        <f>Model!BB1346</f>
        <v>1.2602368272647881</v>
      </c>
      <c r="BC240" s="194">
        <f>Model!BC1346</f>
        <v>0.8848127541189047</v>
      </c>
      <c r="BD240" s="194">
        <f>Model!BD1346</f>
        <v>0.74766223292667755</v>
      </c>
      <c r="BE240" s="194">
        <f>Model!BE1346</f>
        <v>0.74397384705952352</v>
      </c>
    </row>
    <row r="241" spans="1:57" x14ac:dyDescent="0.2">
      <c r="A241" s="238"/>
      <c r="B241" s="238"/>
      <c r="C241" s="238"/>
      <c r="E241" s="916"/>
      <c r="F241" s="916"/>
      <c r="G241" s="916"/>
      <c r="H241" s="916"/>
      <c r="I241" s="916"/>
      <c r="J241" s="916"/>
      <c r="K241" s="916"/>
      <c r="L241" s="916"/>
      <c r="M241" s="916"/>
      <c r="N241" s="916"/>
      <c r="O241" s="916"/>
      <c r="P241" s="916"/>
      <c r="Q241" s="916"/>
      <c r="R241" s="916"/>
      <c r="S241" s="916"/>
      <c r="T241" s="916"/>
      <c r="U241" s="916"/>
      <c r="V241" s="916"/>
      <c r="W241" s="916"/>
      <c r="X241" s="916"/>
      <c r="Y241" s="916"/>
      <c r="Z241" s="916"/>
      <c r="AA241" s="916"/>
      <c r="AB241" s="916"/>
      <c r="AC241" s="916"/>
      <c r="AD241" s="916"/>
      <c r="AE241" s="916"/>
    </row>
    <row r="242" spans="1:57" x14ac:dyDescent="0.2">
      <c r="A242" s="238" t="s">
        <v>372</v>
      </c>
      <c r="B242" s="238"/>
      <c r="C242" s="238"/>
      <c r="D242" s="33">
        <f>Model!D1293</f>
        <v>-29.321999999999999</v>
      </c>
      <c r="E242" s="33">
        <f>Model!E1293</f>
        <v>-29.324999999999999</v>
      </c>
      <c r="F242" s="33">
        <f>Model!F1293</f>
        <v>-29.324999999999999</v>
      </c>
      <c r="G242" s="33">
        <f>Model!G1293</f>
        <v>-30.289000000000001</v>
      </c>
      <c r="H242" s="33">
        <f>Model!H1293</f>
        <v>-30.429000000000002</v>
      </c>
      <c r="I242" s="33">
        <f>Model!I1293</f>
        <v>-30.41</v>
      </c>
      <c r="J242" s="33">
        <f>Model!J1293</f>
        <v>-30.330000000000002</v>
      </c>
      <c r="K242" s="33">
        <f>Model!K1293</f>
        <v>-30.291999999999998</v>
      </c>
      <c r="L242" s="33">
        <f>Model!L1293</f>
        <v>-30.378000000000004</v>
      </c>
      <c r="M242" s="33">
        <f>Model!M1293</f>
        <v>-30.318000000000001</v>
      </c>
      <c r="N242" s="33">
        <f>Model!N1293</f>
        <v>-30.295000000000002</v>
      </c>
      <c r="O242" s="33">
        <f>Model!O1293</f>
        <v>-30.239000000000001</v>
      </c>
      <c r="P242" s="33">
        <f>Model!P1293</f>
        <v>-30.341000000000001</v>
      </c>
      <c r="Q242" s="33">
        <f>Model!Q1293</f>
        <v>-150.49</v>
      </c>
      <c r="R242" s="33">
        <f>Model!R1293</f>
        <v>-148.95000000000002</v>
      </c>
      <c r="S242" s="33">
        <f>Model!S1293</f>
        <v>-147.66500000000002</v>
      </c>
      <c r="T242" s="33">
        <f>Model!T1293</f>
        <v>-146.745</v>
      </c>
      <c r="U242" s="33">
        <f>Model!U1293</f>
        <v>-145.27000000000001</v>
      </c>
      <c r="V242" s="33">
        <f>Model!V1293</f>
        <v>-455.952</v>
      </c>
      <c r="W242" s="33">
        <f>Model!W1293</f>
        <v>-443.584</v>
      </c>
      <c r="X242" s="33">
        <f>Model!X1293</f>
        <v>-440.52800000000002</v>
      </c>
      <c r="Y242" s="33">
        <f>Model!Y1293</f>
        <v>-435.93599999999998</v>
      </c>
      <c r="Z242" s="33">
        <f>Model!Z1293</f>
        <v>-846.08</v>
      </c>
      <c r="AA242" s="33">
        <f>Model!AA1293</f>
        <v>-822.36800000000005</v>
      </c>
      <c r="AB242" s="33">
        <f>Model!AB1293</f>
        <v>-815.96800000000007</v>
      </c>
      <c r="AC242" s="33">
        <f>Model!AC1293</f>
        <v>-807.00562513440093</v>
      </c>
      <c r="AD242" s="33">
        <f>Model!AD1293</f>
        <v>-982.53848506219242</v>
      </c>
      <c r="AE242" s="33">
        <f>Model!AE1293</f>
        <v>-957.00849948163329</v>
      </c>
      <c r="AF242" s="33">
        <f>Model!AF1293</f>
        <v>-936.68328699459244</v>
      </c>
      <c r="AG242" s="33">
        <f>Model!AG1293</f>
        <v>-914.30275623772877</v>
      </c>
      <c r="AH242" s="33">
        <f>Model!AH1293</f>
        <v>-1006.0781471288304</v>
      </c>
      <c r="AI242" s="33">
        <f>Model!AI1293</f>
        <v>-984.06172245050243</v>
      </c>
      <c r="AJ242" s="33"/>
      <c r="AK242" s="33"/>
      <c r="AL242" s="33"/>
      <c r="AM242" s="33"/>
      <c r="AN242" s="33"/>
      <c r="AO242" s="33"/>
      <c r="AP242" s="33"/>
      <c r="AQ242" s="33"/>
      <c r="AU242" s="33">
        <f>Model!AU1293</f>
        <v>-118.261</v>
      </c>
      <c r="AV242" s="33">
        <f>Model!AV1293</f>
        <v>-121.461</v>
      </c>
      <c r="AW242" s="33">
        <f>Model!AW1293</f>
        <v>-121.23000000000002</v>
      </c>
      <c r="AX242" s="33">
        <f>Model!AX1293</f>
        <v>-477.44600000000008</v>
      </c>
      <c r="AY242" s="33">
        <f>Model!AY1293</f>
        <v>-1191.5509999999999</v>
      </c>
      <c r="AZ242" s="33">
        <f>Model!AZ1293</f>
        <v>-2544.9119999999998</v>
      </c>
      <c r="BA242" s="33">
        <f>Model!BA1293</f>
        <v>-3562.5206096782267</v>
      </c>
      <c r="BB242" s="33">
        <f>Model!BB1293</f>
        <v>-3841.1259128116544</v>
      </c>
      <c r="BC242" s="33">
        <f>Model!BC1293</f>
        <v>-3898.6263078487736</v>
      </c>
      <c r="BD242" s="33">
        <f>Model!BD1293</f>
        <v>-4085.8987212957159</v>
      </c>
      <c r="BE242" s="33">
        <f>Model!BE1293</f>
        <v>-4245.3355931092265</v>
      </c>
    </row>
    <row r="243" spans="1:57" x14ac:dyDescent="0.2">
      <c r="A243" s="238" t="s">
        <v>787</v>
      </c>
      <c r="B243" s="238"/>
      <c r="C243" s="238"/>
      <c r="D243" s="33">
        <f>Model!D1294</f>
        <v>266.00799999999407</v>
      </c>
      <c r="E243" s="33">
        <f>Model!E1294</f>
        <v>9.594000000005817</v>
      </c>
      <c r="F243" s="33">
        <f>Model!F1294</f>
        <v>0</v>
      </c>
      <c r="G243" s="33">
        <f>Model!G1294</f>
        <v>3534.0240000000031</v>
      </c>
      <c r="H243" s="33">
        <f>Model!H1294</f>
        <v>608.71999999999991</v>
      </c>
      <c r="I243" s="33">
        <f>Model!I1294</f>
        <v>-86.363636363636374</v>
      </c>
      <c r="J243" s="33">
        <f>Model!J1294</f>
        <v>-387.09677419354398</v>
      </c>
      <c r="K243" s="33">
        <f>Model!K1294</f>
        <v>-193.22033898305548</v>
      </c>
      <c r="L243" s="33">
        <f>Model!L1294</f>
        <v>498.55072463770745</v>
      </c>
      <c r="M243" s="33">
        <f>Model!M1294</f>
        <v>-285.71428571427703</v>
      </c>
      <c r="N243" s="33">
        <f>Model!N1294</f>
        <v>-109.41121495328831</v>
      </c>
      <c r="O243" s="33">
        <f>Model!O1294</f>
        <v>-298.3177570093506</v>
      </c>
      <c r="P243" s="33">
        <f>Model!P1294</f>
        <v>518.64406779660555</v>
      </c>
      <c r="Q243" s="33">
        <f>Model!Q1294</f>
        <v>-1320.726315789459</v>
      </c>
      <c r="R243" s="33">
        <f>Model!R1294</f>
        <v>-1668.333333333343</v>
      </c>
      <c r="S243" s="33">
        <f>Model!S1294</f>
        <v>-1369.5612903225708</v>
      </c>
      <c r="T243" s="33">
        <f>Model!T1294</f>
        <v>-803.07096774193951</v>
      </c>
      <c r="U243" s="33">
        <f>Model!U1294</f>
        <v>-1331.4333333333334</v>
      </c>
      <c r="V243" s="33">
        <f>Model!V1294</f>
        <v>-2525.3982142857267</v>
      </c>
      <c r="W243" s="33">
        <f>Model!W1294</f>
        <v>-4191.8126582278328</v>
      </c>
      <c r="X243" s="33">
        <f>Model!X1294</f>
        <v>-1135.813333333328</v>
      </c>
      <c r="Y243" s="33">
        <f>Model!Y1294</f>
        <v>-1761.5862068965685</v>
      </c>
      <c r="Z243" s="33">
        <f>Model!Z1294</f>
        <v>-5462.8888888888823</v>
      </c>
      <c r="AA243" s="33">
        <f>Model!AA1294</f>
        <v>-5492.4121621621562</v>
      </c>
      <c r="AB243" s="33">
        <f>Model!AB1294</f>
        <v>-1516.6666666666665</v>
      </c>
      <c r="AC243" s="33">
        <f>Model!AC1294</f>
        <v>-2081.4182044638687</v>
      </c>
      <c r="AD243" s="33">
        <f>Model!AD1294</f>
        <v>-5163.4586705243737</v>
      </c>
      <c r="AE243" s="33">
        <f>Model!AE1294</f>
        <v>-5329.5253303621703</v>
      </c>
      <c r="AF243" s="33">
        <f>Model!AF1294</f>
        <v>-4497.580248137514</v>
      </c>
      <c r="AG243" s="33">
        <f>Model!AG1294</f>
        <v>-5200.0019579641303</v>
      </c>
      <c r="AH243" s="33">
        <f>Model!AH1294</f>
        <v>-4742.459232647102</v>
      </c>
      <c r="AI243" s="33">
        <f>Model!AI1294</f>
        <v>-4730.7254075874771</v>
      </c>
      <c r="AJ243" s="33"/>
      <c r="AK243" s="33"/>
      <c r="AL243" s="33"/>
      <c r="AM243" s="33"/>
      <c r="AN243" s="33"/>
      <c r="AO243" s="33"/>
      <c r="AP243" s="33"/>
      <c r="AQ243" s="33"/>
      <c r="AU243" s="33">
        <f>Model!AU1294</f>
        <v>3809.6260000000029</v>
      </c>
      <c r="AV243" s="33">
        <f>Model!AV1294</f>
        <v>-57.960749540235923</v>
      </c>
      <c r="AW243" s="33">
        <f>Model!AW1294</f>
        <v>-194.8925330392085</v>
      </c>
      <c r="AX243" s="33">
        <f>Model!AX1294</f>
        <v>-3839.976871648767</v>
      </c>
      <c r="AY243" s="33">
        <f>Model!AY1294</f>
        <v>-8851.7151735888328</v>
      </c>
      <c r="AZ243" s="33">
        <f>Model!AZ1294</f>
        <v>-13852.700591280935</v>
      </c>
      <c r="BA243" s="33">
        <f>Model!BA1294</f>
        <v>-14091.068872017078</v>
      </c>
      <c r="BB243" s="33">
        <f>Model!BB1294</f>
        <v>-19170.766846336224</v>
      </c>
      <c r="BC243" s="33">
        <f>Model!BC1294</f>
        <v>-13556.929243841172</v>
      </c>
      <c r="BD243" s="33">
        <f>Model!BD1294</f>
        <v>-11531.527260559071</v>
      </c>
      <c r="BE243" s="33">
        <f>Model!BE1294</f>
        <v>-11706.806474919567</v>
      </c>
    </row>
    <row r="244" spans="1:57" x14ac:dyDescent="0.2">
      <c r="A244" s="238" t="s">
        <v>788</v>
      </c>
      <c r="B244" s="238"/>
      <c r="C244" s="238"/>
      <c r="D244" s="33">
        <f>Model!D1333</f>
        <v>0</v>
      </c>
      <c r="E244" s="33">
        <f>Model!E1333</f>
        <v>0</v>
      </c>
      <c r="F244" s="33">
        <f>Model!F1333</f>
        <v>0</v>
      </c>
      <c r="G244" s="33">
        <f>Model!G1333</f>
        <v>0</v>
      </c>
      <c r="H244" s="33">
        <f>Model!H1333</f>
        <v>0</v>
      </c>
      <c r="I244" s="33">
        <f>Model!I1333</f>
        <v>-200</v>
      </c>
      <c r="J244" s="33">
        <f>Model!J1333</f>
        <v>-600</v>
      </c>
      <c r="K244" s="33">
        <f>Model!K1333</f>
        <v>-300</v>
      </c>
      <c r="L244" s="33">
        <f>Model!L1333</f>
        <v>-400</v>
      </c>
      <c r="M244" s="33">
        <f>Model!M1333</f>
        <v>-300</v>
      </c>
      <c r="N244" s="33">
        <f>Model!N1333</f>
        <v>-509</v>
      </c>
      <c r="O244" s="33">
        <f>Model!O1333</f>
        <v>-570</v>
      </c>
      <c r="P244" s="33">
        <f>Model!P1333</f>
        <v>-300</v>
      </c>
      <c r="Q244" s="33">
        <f>Model!Q1333</f>
        <v>-1549</v>
      </c>
      <c r="R244" s="33">
        <f>Model!R1333</f>
        <v>-1950</v>
      </c>
      <c r="S244" s="33">
        <f>Model!S1333</f>
        <v>-1652</v>
      </c>
      <c r="T244" s="33">
        <f>Model!T1333</f>
        <v>-1353</v>
      </c>
      <c r="U244" s="33">
        <f>Model!U1333</f>
        <v>-1354</v>
      </c>
      <c r="V244" s="33">
        <f>Model!V1333</f>
        <v>-2539</v>
      </c>
      <c r="W244" s="33">
        <f>Model!W1333</f>
        <v>-4284</v>
      </c>
      <c r="X244" s="33">
        <f>Model!X1333</f>
        <v>-1784</v>
      </c>
      <c r="Y244" s="33">
        <f>Model!Y1333</f>
        <v>-1780</v>
      </c>
      <c r="Z244" s="33">
        <f>Model!Z1333</f>
        <v>-5490</v>
      </c>
      <c r="AA244" s="33">
        <f>Model!AA1333</f>
        <v>-5485</v>
      </c>
      <c r="AB244" s="33">
        <f>Model!AB1333</f>
        <v>-2275</v>
      </c>
      <c r="AC244" s="33">
        <f>Model!AC1333</f>
        <v>-2274.0008199999997</v>
      </c>
      <c r="AD244" s="33">
        <f>Model!AD1333</f>
        <v>-5363.9217666882432</v>
      </c>
      <c r="AE244" s="33">
        <f>Model!AE1333</f>
        <v>-5537.9788855391325</v>
      </c>
      <c r="AF244" s="33">
        <f>Model!AF1333</f>
        <v>-5294.1912997375139</v>
      </c>
      <c r="AG244" s="33">
        <f>Model!AG1333</f>
        <v>-5440.8393832107795</v>
      </c>
      <c r="AH244" s="33">
        <f>Model!AH1333</f>
        <v>-4983.6916312711564</v>
      </c>
      <c r="AI244" s="33">
        <f>Model!AI1333</f>
        <v>-4972.1073702986787</v>
      </c>
      <c r="AJ244" s="33"/>
      <c r="AK244" s="33"/>
      <c r="AL244" s="33"/>
      <c r="AM244" s="33"/>
      <c r="AN244" s="33"/>
      <c r="AO244" s="33"/>
      <c r="AP244" s="33"/>
      <c r="AQ244" s="33"/>
      <c r="AU244" s="33">
        <f>Model!AU1333</f>
        <v>0</v>
      </c>
      <c r="AV244" s="33">
        <f>Model!AV1333</f>
        <v>-1100</v>
      </c>
      <c r="AW244" s="33">
        <f>Model!AW1333</f>
        <v>-1779</v>
      </c>
      <c r="AX244" s="33">
        <f>Model!AX1333</f>
        <v>-5451</v>
      </c>
      <c r="AY244" s="33">
        <f>Model!AY1333</f>
        <v>-9530</v>
      </c>
      <c r="AZ244" s="33">
        <f>Model!AZ1333</f>
        <v>-14539</v>
      </c>
      <c r="BA244" s="33">
        <f>Model!BA1333</f>
        <v>-15450.901472227375</v>
      </c>
      <c r="BB244" s="33">
        <f>Model!BB1333</f>
        <v>-20690.829684518128</v>
      </c>
      <c r="BC244" s="33">
        <f>Model!BC1333</f>
        <v>-15384.116316666281</v>
      </c>
      <c r="BD244" s="33">
        <f>Model!BD1333</f>
        <v>-13362.807232427307</v>
      </c>
      <c r="BE244" s="33">
        <f>Model!BE1333</f>
        <v>-13684.588844537262</v>
      </c>
    </row>
    <row r="245" spans="1:57" x14ac:dyDescent="0.2">
      <c r="A245" s="238" t="s">
        <v>789</v>
      </c>
      <c r="B245" s="238"/>
      <c r="C245" s="238"/>
      <c r="D245" s="33">
        <f>Model!D1319</f>
        <v>0</v>
      </c>
      <c r="E245" s="33">
        <f>Model!E1319</f>
        <v>0</v>
      </c>
      <c r="F245" s="33">
        <f>Model!F1319</f>
        <v>0</v>
      </c>
      <c r="G245" s="33">
        <f>Model!G1319</f>
        <v>0</v>
      </c>
      <c r="H245" s="33">
        <f>Model!H1319</f>
        <v>0</v>
      </c>
      <c r="I245" s="33">
        <f>Model!I1319</f>
        <v>-4.4000000000000004</v>
      </c>
      <c r="J245" s="33">
        <f>Model!J1319</f>
        <v>-12.4</v>
      </c>
      <c r="K245" s="33">
        <f>Model!K1319</f>
        <v>-5.9</v>
      </c>
      <c r="L245" s="33">
        <f>Model!L1319</f>
        <v>-6.9</v>
      </c>
      <c r="M245" s="33">
        <f>Model!M1319</f>
        <v>-6.3</v>
      </c>
      <c r="N245" s="33">
        <f>Model!N1319</f>
        <v>-10.7</v>
      </c>
      <c r="O245" s="33">
        <f>Model!O1319</f>
        <v>-10.7</v>
      </c>
      <c r="P245" s="33">
        <f>Model!P1319</f>
        <v>-5.9</v>
      </c>
      <c r="Q245" s="33">
        <f>Model!Q1319</f>
        <v>-28.5</v>
      </c>
      <c r="R245" s="33">
        <f>Model!R1319</f>
        <v>-36</v>
      </c>
      <c r="S245" s="33">
        <f>Model!S1319</f>
        <v>-31</v>
      </c>
      <c r="T245" s="33">
        <f>Model!T1319</f>
        <v>-31</v>
      </c>
      <c r="U245" s="33">
        <f>Model!U1319</f>
        <v>-30</v>
      </c>
      <c r="V245" s="33">
        <f>Model!V1319</f>
        <v>-56</v>
      </c>
      <c r="W245" s="33">
        <f>Model!W1319</f>
        <v>-79</v>
      </c>
      <c r="X245" s="33">
        <f>Model!X1319</f>
        <v>-30</v>
      </c>
      <c r="Y245" s="33">
        <f>Model!Y1319</f>
        <v>-29</v>
      </c>
      <c r="Z245" s="33">
        <f>Model!Z1319</f>
        <v>-81</v>
      </c>
      <c r="AA245" s="33">
        <f>Model!AA1319</f>
        <v>-74</v>
      </c>
      <c r="AB245" s="33">
        <f>Model!AB1319</f>
        <v>-30</v>
      </c>
      <c r="AC245" s="33">
        <f>Model!AC1319</f>
        <v>-30.598800000000001</v>
      </c>
      <c r="AD245" s="33">
        <f>Model!AD1319</f>
        <v>-68.09109962071507</v>
      </c>
      <c r="AE245" s="33">
        <f>Model!AE1319</f>
        <v>-66.321347741697991</v>
      </c>
      <c r="AF245" s="33">
        <f>Model!AF1319</f>
        <v>-59.813031217602081</v>
      </c>
      <c r="AG245" s="33">
        <f>Model!AG1319</f>
        <v>-58.542705437162027</v>
      </c>
      <c r="AH245" s="33">
        <f>Model!AH1319</f>
        <v>-52.572408483669399</v>
      </c>
      <c r="AI245" s="33">
        <f>Model!AI1319</f>
        <v>-51.421771964362442</v>
      </c>
      <c r="AJ245" s="33"/>
      <c r="AK245" s="33"/>
      <c r="AL245" s="33"/>
      <c r="AM245" s="33"/>
      <c r="AN245" s="33"/>
      <c r="AO245" s="33"/>
      <c r="AP245" s="33"/>
      <c r="AQ245" s="33"/>
      <c r="AU245" s="33">
        <f>Model!AU1319</f>
        <v>0</v>
      </c>
      <c r="AV245" s="33">
        <f>Model!AV1319</f>
        <v>-22.700000000000003</v>
      </c>
      <c r="AW245" s="33">
        <f>Model!AW1319</f>
        <v>-34.599999999999994</v>
      </c>
      <c r="AX245" s="33">
        <f>Model!AX1319</f>
        <v>-101.4</v>
      </c>
      <c r="AY245" s="33">
        <f>Model!AY1319</f>
        <v>-196</v>
      </c>
      <c r="AZ245" s="33">
        <f>Model!AZ1319</f>
        <v>-214</v>
      </c>
      <c r="BA245" s="33">
        <f>Model!BA1319</f>
        <v>-195.01124736241306</v>
      </c>
      <c r="BB245" s="33">
        <f>Model!BB1319</f>
        <v>-222.34991710279596</v>
      </c>
      <c r="BC245" s="33">
        <f>Model!BC1319</f>
        <v>-153.07626793674481</v>
      </c>
      <c r="BD245" s="33">
        <f>Model!BD1319</f>
        <v>-123.11451498469812</v>
      </c>
      <c r="BE245" s="33">
        <f>Model!BE1319</f>
        <v>-116.73996346559187</v>
      </c>
    </row>
    <row r="246" spans="1:57" x14ac:dyDescent="0.2">
      <c r="A246" s="238" t="s">
        <v>790</v>
      </c>
      <c r="B246" s="238"/>
      <c r="C246" s="238"/>
      <c r="D246" s="33">
        <f>Model!D1319+Model!D1320</f>
        <v>8.1999999999998181</v>
      </c>
      <c r="E246" s="33">
        <f>Model!E1319+Model!E1320</f>
        <v>0.3000000000001819</v>
      </c>
      <c r="F246" s="33">
        <f>Model!F1319+Model!F1320</f>
        <v>0</v>
      </c>
      <c r="G246" s="33">
        <f>Model!G1319+Model!G1320</f>
        <v>96.400000000000091</v>
      </c>
      <c r="H246" s="33">
        <f>Model!H1319+Model!H1320</f>
        <v>14</v>
      </c>
      <c r="I246" s="33">
        <f>Model!I1319+Model!I1320</f>
        <v>-1.9000000000000004</v>
      </c>
      <c r="J246" s="33">
        <f>Model!J1319+Model!J1320</f>
        <v>-7.9999999999999094</v>
      </c>
      <c r="K246" s="33">
        <f>Model!K1319+Model!K1320</f>
        <v>-3.8000000000000913</v>
      </c>
      <c r="L246" s="33">
        <f>Model!L1319+Model!L1320</f>
        <v>8.6000000000004544</v>
      </c>
      <c r="M246" s="33">
        <f>Model!M1319+Model!M1320</f>
        <v>-5.9999999999998179</v>
      </c>
      <c r="N246" s="33">
        <f>Model!N1319+Model!N1320</f>
        <v>-2.3000000000003631</v>
      </c>
      <c r="O246" s="33">
        <f>Model!O1319+Model!O1320</f>
        <v>-5.6000000000000902</v>
      </c>
      <c r="P246" s="33">
        <f>Model!P1319+Model!P1320</f>
        <v>10.199999999999909</v>
      </c>
      <c r="Q246" s="33">
        <f>Model!Q1319+Model!Q1320</f>
        <v>-24.299999999999727</v>
      </c>
      <c r="R246" s="33">
        <f>Model!R1319+Model!R1320</f>
        <v>-30.800000000000182</v>
      </c>
      <c r="S246" s="33">
        <f>Model!S1319+Model!S1320</f>
        <v>-25.699999999999818</v>
      </c>
      <c r="T246" s="33">
        <f>Model!T1319+Model!T1320</f>
        <v>-18.400000000000091</v>
      </c>
      <c r="U246" s="33">
        <f>Model!U1319+Model!U1320</f>
        <v>-29.5</v>
      </c>
      <c r="V246" s="33">
        <f>Model!V1319+Model!V1320</f>
        <v>-55.700000000000273</v>
      </c>
      <c r="W246" s="33">
        <f>Model!W1319+Model!W1320</f>
        <v>-77.299999999999727</v>
      </c>
      <c r="X246" s="33">
        <f>Model!X1319+Model!X1320</f>
        <v>-19.099999999999909</v>
      </c>
      <c r="Y246" s="33">
        <f>Model!Y1319+Model!Y1320</f>
        <v>-28.700000000000273</v>
      </c>
      <c r="Z246" s="33">
        <f>Model!Z1319+Model!Z1320</f>
        <v>-80.599999999999909</v>
      </c>
      <c r="AA246" s="33">
        <f>Model!AA1319+Model!AA1320</f>
        <v>-74.099999999999909</v>
      </c>
      <c r="AB246" s="33">
        <f>Model!AB1319+Model!AB1320</f>
        <v>-20</v>
      </c>
      <c r="AC246" s="33">
        <f>Model!AC1319+Model!AC1320</f>
        <v>-28.007421454997115</v>
      </c>
      <c r="AD246" s="33">
        <f>Model!AD1319+Model!AD1320</f>
        <v>-65.546365889522235</v>
      </c>
      <c r="AE246" s="33">
        <f>Model!AE1319+Model!AE1320</f>
        <v>-63.82496395139782</v>
      </c>
      <c r="AF246" s="33">
        <f>Model!AF1319+Model!AF1320</f>
        <v>-50.813031217602081</v>
      </c>
      <c r="AG246" s="33">
        <f>Model!AG1319+Model!AG1320</f>
        <v>-55.951326892159145</v>
      </c>
      <c r="AH246" s="33">
        <f>Model!AH1319+Model!AH1320</f>
        <v>-50.027674752476564</v>
      </c>
      <c r="AI246" s="33">
        <f>Model!AI1319+Model!AI1320</f>
        <v>-48.92538817406227</v>
      </c>
      <c r="AJ246" s="33"/>
      <c r="AK246" s="33"/>
      <c r="AL246" s="33"/>
      <c r="AM246" s="33"/>
      <c r="AN246" s="33"/>
      <c r="AO246" s="33"/>
      <c r="AP246" s="33"/>
      <c r="AQ246" s="33"/>
      <c r="AU246" s="33">
        <f>Model!AU1319+Model!AU1320</f>
        <v>104.90000000000009</v>
      </c>
      <c r="AV246" s="33">
        <f>Model!AV1319+Model!AV1320</f>
        <v>0.29999999999999716</v>
      </c>
      <c r="AW246" s="33">
        <f>Model!AW1319+Model!AW1320</f>
        <v>-5.2999999999998124</v>
      </c>
      <c r="AX246" s="33">
        <f>Model!AX1319+Model!AX1320</f>
        <v>-70.599999999999824</v>
      </c>
      <c r="AY246" s="33">
        <f>Model!AY1319+Model!AY1320</f>
        <v>-180.90000000000009</v>
      </c>
      <c r="AZ246" s="33">
        <f>Model!AZ1319+Model!AZ1320</f>
        <v>-202.5</v>
      </c>
      <c r="BA246" s="33">
        <f>Model!BA1319+Model!BA1320</f>
        <v>-177.37875129591717</v>
      </c>
      <c r="BB246" s="33">
        <f>Model!BB1319+Model!BB1320</f>
        <v>-205.71742103630007</v>
      </c>
      <c r="BC246" s="33">
        <f>Model!BC1319+Model!BC1320</f>
        <v>-134.89524458948094</v>
      </c>
      <c r="BD246" s="33">
        <f>Model!BD1319+Model!BD1320</f>
        <v>-106.24252531843725</v>
      </c>
      <c r="BE246" s="33">
        <f>Model!BE1319+Model!BE1320</f>
        <v>-99.867973799330997</v>
      </c>
    </row>
    <row r="247" spans="1:57" x14ac:dyDescent="0.2">
      <c r="A247" s="238" t="s">
        <v>791</v>
      </c>
      <c r="B247" s="238"/>
      <c r="C247" s="238"/>
      <c r="D247" s="867">
        <f>Model!D1335</f>
        <v>32.44</v>
      </c>
      <c r="E247" s="867">
        <f>Model!E1335</f>
        <v>31.98</v>
      </c>
      <c r="F247" s="867">
        <f>Model!F1335</f>
        <v>30.09</v>
      </c>
      <c r="G247" s="867">
        <f>Model!G1335</f>
        <v>36.659999999999997</v>
      </c>
      <c r="H247" s="867">
        <f>Model!H1335</f>
        <v>43.48</v>
      </c>
      <c r="I247" s="867">
        <f>Model!I1335</f>
        <v>45.454545454545453</v>
      </c>
      <c r="J247" s="867">
        <f>Model!J1335</f>
        <v>48.387096774193544</v>
      </c>
      <c r="K247" s="867">
        <f>Model!K1335</f>
        <v>50.847457627118644</v>
      </c>
      <c r="L247" s="867">
        <f>Model!L1335</f>
        <v>57.971014492753618</v>
      </c>
      <c r="M247" s="867">
        <f>Model!M1335</f>
        <v>47.61904761904762</v>
      </c>
      <c r="N247" s="867">
        <f>Model!N1335</f>
        <v>47.570093457943926</v>
      </c>
      <c r="O247" s="867">
        <f>Model!O1335</f>
        <v>53.271028037383182</v>
      </c>
      <c r="P247" s="867">
        <f>Model!P1335</f>
        <v>50.847457627118644</v>
      </c>
      <c r="Q247" s="867">
        <f>Model!Q1335</f>
        <v>54.350877192982459</v>
      </c>
      <c r="R247" s="867">
        <f>Model!R1335</f>
        <v>54.166666666666664</v>
      </c>
      <c r="S247" s="867">
        <f>Model!S1335</f>
        <v>53.29032258064516</v>
      </c>
      <c r="T247" s="867">
        <f>Model!T1335</f>
        <v>43.645161290322584</v>
      </c>
      <c r="U247" s="867">
        <f>Model!U1335</f>
        <v>45.133333333333333</v>
      </c>
      <c r="V247" s="867">
        <f>Model!V1335</f>
        <v>45.339285714285715</v>
      </c>
      <c r="W247" s="867">
        <f>Model!W1335</f>
        <v>54.22784810126582</v>
      </c>
      <c r="X247" s="867">
        <f>Model!X1335</f>
        <v>59.466666666666669</v>
      </c>
      <c r="Y247" s="867">
        <f>Model!Y1335</f>
        <v>61.379310344827587</v>
      </c>
      <c r="Z247" s="867">
        <f>Model!Z1335</f>
        <v>67.777777777777771</v>
      </c>
      <c r="AA247" s="867">
        <f>Model!AA1335</f>
        <v>74.121621621621628</v>
      </c>
      <c r="AB247" s="867">
        <f>Model!AB1335</f>
        <v>75.833333333333329</v>
      </c>
      <c r="AC247" s="867">
        <f>Model!AC1335</f>
        <v>74.316666666666663</v>
      </c>
      <c r="AD247" s="867">
        <f>Model!AD1335</f>
        <v>78.775666666666666</v>
      </c>
      <c r="AE247" s="867">
        <f>Model!AE1335</f>
        <v>83.502206666666666</v>
      </c>
      <c r="AF247" s="867">
        <f>Model!AF1335</f>
        <v>88.512339066666669</v>
      </c>
      <c r="AG247" s="867">
        <f>Model!AG1335</f>
        <v>92.937956020000001</v>
      </c>
      <c r="AH247" s="867">
        <f>Model!AH1335</f>
        <v>94.796715140399996</v>
      </c>
      <c r="AI247" s="867">
        <f>Model!AI1335</f>
        <v>96.692649443207998</v>
      </c>
      <c r="AJ247" s="867"/>
      <c r="AK247" s="867"/>
      <c r="AL247" s="867"/>
      <c r="AM247" s="867"/>
      <c r="AN247" s="867"/>
      <c r="AO247" s="867"/>
      <c r="AP247" s="867"/>
      <c r="AQ247" s="867"/>
      <c r="AU247" s="867">
        <f>Model!AU1335</f>
        <v>36.659999999999997</v>
      </c>
      <c r="AV247" s="867">
        <f>Model!AV1335</f>
        <v>48.458149779735677</v>
      </c>
      <c r="AW247" s="867">
        <f>Model!AW1335</f>
        <v>51.416184971098275</v>
      </c>
      <c r="AX247" s="867">
        <f>Model!AX1335</f>
        <v>53.757396449704139</v>
      </c>
      <c r="AY247" s="867">
        <f>Model!AY1335</f>
        <v>48.622448979591837</v>
      </c>
      <c r="AZ247" s="867">
        <f>Model!AZ1335</f>
        <v>67.939252336448604</v>
      </c>
      <c r="BA247" s="867">
        <f>Model!BA1335</f>
        <v>79.230822227976887</v>
      </c>
      <c r="BB247" s="867">
        <f>Model!BB1335</f>
        <v>93.0552615180532</v>
      </c>
      <c r="BC247" s="867">
        <f>Model!BC1335</f>
        <v>100.49968243949746</v>
      </c>
      <c r="BD247" s="867">
        <f>Model!BD1335</f>
        <v>108.53965703465727</v>
      </c>
      <c r="BE247" s="867">
        <f>Model!BE1335</f>
        <v>117.22282959742985</v>
      </c>
    </row>
    <row r="248" spans="1:57" x14ac:dyDescent="0.2">
      <c r="A248" s="238"/>
      <c r="B248" s="238"/>
      <c r="C248" s="238"/>
      <c r="D248" s="238"/>
      <c r="E248" s="238"/>
      <c r="F248" s="238"/>
      <c r="G248" s="238"/>
      <c r="H248" s="238"/>
      <c r="I248" s="238"/>
      <c r="J248" s="238"/>
      <c r="K248" s="238"/>
      <c r="L248" s="238"/>
      <c r="M248" s="238"/>
      <c r="N248" s="238"/>
      <c r="O248" s="238"/>
      <c r="P248" s="238"/>
      <c r="Q248" s="238"/>
      <c r="R248" s="238"/>
      <c r="S248" s="238"/>
      <c r="T248" s="238"/>
      <c r="U248" s="238"/>
      <c r="V248" s="238"/>
      <c r="W248" s="238"/>
      <c r="X248" s="238"/>
      <c r="Y248" s="238"/>
      <c r="Z248" s="238"/>
      <c r="AA248" s="238"/>
      <c r="AB248" s="238"/>
      <c r="AC248" s="238"/>
      <c r="AD248" s="238"/>
      <c r="AE248" s="238"/>
      <c r="AF248" s="238"/>
      <c r="AG248" s="238"/>
      <c r="AH248" s="238"/>
      <c r="AI248" s="238"/>
      <c r="AJ248" s="238"/>
      <c r="AK248" s="238"/>
      <c r="AL248" s="238"/>
      <c r="AM248" s="238"/>
      <c r="AN248" s="238"/>
      <c r="AO248" s="238"/>
      <c r="AP248" s="238"/>
      <c r="AQ248" s="238"/>
      <c r="AR248" s="238"/>
      <c r="AS248" s="238"/>
      <c r="AT248" s="238"/>
      <c r="AU248" s="238"/>
      <c r="AV248" s="238"/>
      <c r="AW248" s="238"/>
      <c r="AX248" s="238"/>
      <c r="AY248" s="238"/>
      <c r="AZ248" s="238"/>
      <c r="BA248" s="238"/>
      <c r="BB248" s="238"/>
      <c r="BC248" s="238"/>
      <c r="BD248" s="238"/>
      <c r="BE248" s="238"/>
    </row>
    <row r="249" spans="1:57" s="395" customFormat="1" x14ac:dyDescent="0.2">
      <c r="A249" s="395" t="s">
        <v>1109</v>
      </c>
      <c r="D249" s="396"/>
      <c r="E249" s="396"/>
      <c r="F249" s="396"/>
      <c r="G249" s="396"/>
      <c r="H249" s="396"/>
      <c r="I249" s="396"/>
      <c r="J249" s="396"/>
      <c r="K249" s="396"/>
      <c r="L249" s="396"/>
      <c r="M249" s="396"/>
      <c r="N249" s="396"/>
      <c r="O249" s="396"/>
      <c r="P249" s="396"/>
      <c r="Q249" s="396"/>
      <c r="R249" s="396"/>
      <c r="S249" s="396"/>
      <c r="T249" s="396"/>
      <c r="U249" s="396"/>
      <c r="V249" s="396"/>
      <c r="W249" s="396"/>
      <c r="X249" s="396"/>
      <c r="Y249" s="396"/>
      <c r="Z249" s="396"/>
      <c r="AA249" s="396"/>
      <c r="AB249" s="396"/>
      <c r="AC249" s="396"/>
      <c r="AD249" s="396"/>
      <c r="AE249" s="396"/>
      <c r="AF249" s="396"/>
      <c r="AG249" s="396"/>
      <c r="AH249" s="396"/>
      <c r="AI249" s="396"/>
      <c r="AJ249" s="396"/>
      <c r="AK249" s="396"/>
      <c r="AL249" s="396"/>
      <c r="AM249" s="396"/>
      <c r="AN249" s="396"/>
      <c r="AO249" s="396"/>
      <c r="AP249" s="396"/>
      <c r="AQ249" s="396"/>
      <c r="AR249" s="396"/>
      <c r="AS249" s="396"/>
      <c r="AT249" s="396"/>
      <c r="AU249" s="396"/>
      <c r="AV249" s="396"/>
      <c r="AW249" s="396"/>
      <c r="AX249" s="396"/>
      <c r="AY249" s="396"/>
      <c r="AZ249" s="396"/>
      <c r="BA249" s="396"/>
      <c r="BB249" s="396"/>
      <c r="BC249" s="396"/>
      <c r="BD249" s="396"/>
      <c r="BE249" s="396"/>
    </row>
    <row r="250" spans="1:57" x14ac:dyDescent="0.2">
      <c r="A250" s="238" t="s">
        <v>792</v>
      </c>
      <c r="B250" s="238"/>
      <c r="C250" s="238"/>
      <c r="D250" s="33">
        <f>Model!D1326</f>
        <v>3015</v>
      </c>
      <c r="E250" s="33">
        <f>Model!E1326</f>
        <v>3015</v>
      </c>
      <c r="F250" s="33">
        <f>Model!F1326</f>
        <v>3015</v>
      </c>
      <c r="G250" s="33">
        <f>Model!G1326</f>
        <v>3017</v>
      </c>
      <c r="H250" s="33">
        <f>Model!H1326</f>
        <v>3045</v>
      </c>
      <c r="I250" s="33">
        <f>Model!I1326</f>
        <v>3046</v>
      </c>
      <c r="J250" s="33">
        <f>Model!J1326</f>
        <v>3041</v>
      </c>
      <c r="K250" s="33">
        <f>Model!K1326</f>
        <v>3035</v>
      </c>
      <c r="L250" s="33">
        <f>Model!L1326</f>
        <v>3043</v>
      </c>
      <c r="M250" s="33">
        <f>Model!M1326</f>
        <v>3038</v>
      </c>
      <c r="N250" s="33">
        <f>Model!N1326</f>
        <v>3035</v>
      </c>
      <c r="O250" s="33">
        <f>Model!O1326</f>
        <v>3032</v>
      </c>
      <c r="P250" s="33">
        <f>Model!P1326</f>
        <v>3039</v>
      </c>
      <c r="Q250" s="33">
        <f>Model!Q1326</f>
        <v>3025</v>
      </c>
      <c r="R250" s="33">
        <f>Model!R1326</f>
        <v>2997</v>
      </c>
      <c r="S250" s="33">
        <f>Model!S1326</f>
        <v>2970</v>
      </c>
      <c r="T250" s="33">
        <f>Model!T1326</f>
        <v>2943</v>
      </c>
      <c r="U250" s="33">
        <f>Model!U1326</f>
        <v>2916</v>
      </c>
      <c r="V250" s="33">
        <f>Model!V1326</f>
        <v>2880</v>
      </c>
      <c r="W250" s="33">
        <f>Model!W1326</f>
        <v>2814</v>
      </c>
      <c r="X250" s="33">
        <f>Model!X1326</f>
        <v>2766</v>
      </c>
      <c r="Y250" s="33">
        <f>Model!Y1326</f>
        <v>2739.2</v>
      </c>
      <c r="Z250" s="33">
        <f>Model!Z1326</f>
        <v>2683.7</v>
      </c>
      <c r="AA250" s="33">
        <f>Model!AA1326</f>
        <v>2606.1999999999998</v>
      </c>
      <c r="AB250" s="33">
        <f>Model!AB1326</f>
        <v>2563</v>
      </c>
      <c r="AC250" s="33">
        <f>Model!AC1326</f>
        <v>2537.2962892725013</v>
      </c>
      <c r="AD250" s="33">
        <f>Model!AD1326</f>
        <v>2490.5193956002418</v>
      </c>
      <c r="AE250" s="33">
        <f>Model!AE1326</f>
        <v>2425.8337306797821</v>
      </c>
      <c r="AF250" s="33">
        <f>Model!AF1326</f>
        <v>2368.5147330952818</v>
      </c>
      <c r="AG250" s="33">
        <f>Model!AG1326</f>
        <v>2315.1325540404014</v>
      </c>
      <c r="AH250" s="33">
        <f>Model!AH1326</f>
        <v>2262.1430532180834</v>
      </c>
      <c r="AI250" s="33">
        <f>Model!AI1326</f>
        <v>2212.6665217548143</v>
      </c>
      <c r="AJ250" s="33"/>
      <c r="AK250" s="33"/>
      <c r="AL250" s="33"/>
      <c r="AM250" s="33"/>
      <c r="AN250" s="33"/>
      <c r="AO250" s="33"/>
      <c r="AP250" s="33"/>
      <c r="AQ250" s="33"/>
      <c r="AU250" s="33">
        <f>Model!AU1326</f>
        <v>3015.5</v>
      </c>
      <c r="AV250" s="33">
        <f>Model!AV1326</f>
        <v>3041.75</v>
      </c>
      <c r="AW250" s="33">
        <f>Model!AW1326</f>
        <v>3037</v>
      </c>
      <c r="AX250" s="33">
        <f>Model!AX1326</f>
        <v>3007.75</v>
      </c>
      <c r="AY250" s="33">
        <f>Model!AY1326</f>
        <v>2888.25</v>
      </c>
      <c r="AZ250" s="33">
        <f>Model!AZ1326</f>
        <v>2698.7749999999996</v>
      </c>
      <c r="BA250" s="33">
        <f>Model!BA1326</f>
        <v>2504.1623538881313</v>
      </c>
      <c r="BB250" s="33">
        <f>Model!BB1326</f>
        <v>2289.6142155271455</v>
      </c>
      <c r="BC250" s="33">
        <f>Model!BC1326</f>
        <v>2120.756205373043</v>
      </c>
      <c r="BD250" s="33">
        <f>Model!BD1326</f>
        <v>2000.1873204190838</v>
      </c>
      <c r="BE250" s="33">
        <f>Model!BE1326</f>
        <v>1897.1320708601995</v>
      </c>
    </row>
    <row r="251" spans="1:57" x14ac:dyDescent="0.2">
      <c r="A251" s="9" t="s">
        <v>793</v>
      </c>
      <c r="B251" s="238"/>
      <c r="C251" s="238"/>
      <c r="D251" s="33">
        <f>Model!D1321</f>
        <v>2932.2</v>
      </c>
      <c r="E251" s="33">
        <f>Model!E1321</f>
        <v>2932.5</v>
      </c>
      <c r="F251" s="33">
        <f>Model!F1321</f>
        <v>2932.5</v>
      </c>
      <c r="G251" s="33">
        <f>Model!G1321</f>
        <v>3028.9</v>
      </c>
      <c r="H251" s="33">
        <f>Model!H1321</f>
        <v>3042.9</v>
      </c>
      <c r="I251" s="33">
        <f>Model!I1321</f>
        <v>3041</v>
      </c>
      <c r="J251" s="33">
        <f>Model!J1321</f>
        <v>3033</v>
      </c>
      <c r="K251" s="33">
        <f>Model!K1321</f>
        <v>3029.2</v>
      </c>
      <c r="L251" s="33">
        <f>Model!L1321</f>
        <v>3037.8</v>
      </c>
      <c r="M251" s="33">
        <f>Model!M1321</f>
        <v>3031.8</v>
      </c>
      <c r="N251" s="33">
        <f>Model!N1321</f>
        <v>3029.5</v>
      </c>
      <c r="O251" s="33">
        <f>Model!O1321</f>
        <v>3023.9</v>
      </c>
      <c r="P251" s="33">
        <f>Model!P1321</f>
        <v>3034.1</v>
      </c>
      <c r="Q251" s="33">
        <f>Model!Q1321</f>
        <v>3009.8</v>
      </c>
      <c r="R251" s="33">
        <f>Model!R1321</f>
        <v>2979</v>
      </c>
      <c r="S251" s="33">
        <f>Model!S1321</f>
        <v>2953.3</v>
      </c>
      <c r="T251" s="33">
        <f>Model!T1321</f>
        <v>2934.9</v>
      </c>
      <c r="U251" s="33">
        <f>Model!U1321</f>
        <v>2905.4</v>
      </c>
      <c r="V251" s="33">
        <f>Model!V1321</f>
        <v>2849.7</v>
      </c>
      <c r="W251" s="33">
        <f>Model!W1321</f>
        <v>2772.4</v>
      </c>
      <c r="X251" s="33">
        <f>Model!X1321</f>
        <v>2753.3</v>
      </c>
      <c r="Y251" s="33">
        <f>Model!Y1321</f>
        <v>2724.6</v>
      </c>
      <c r="Z251" s="33">
        <f>Model!Z1321</f>
        <v>2644</v>
      </c>
      <c r="AA251" s="33">
        <f>Model!AA1321</f>
        <v>2569.9</v>
      </c>
      <c r="AB251" s="33">
        <f>Model!AB1321</f>
        <v>2549.9</v>
      </c>
      <c r="AC251" s="33">
        <f>Model!AC1321</f>
        <v>2521.8925785450028</v>
      </c>
      <c r="AD251" s="33">
        <f>Model!AD1321</f>
        <v>2456.3462126554809</v>
      </c>
      <c r="AE251" s="33">
        <f>Model!AE1321</f>
        <v>2392.5212487040831</v>
      </c>
      <c r="AF251" s="33">
        <f>Model!AF1321</f>
        <v>2341.7082174864809</v>
      </c>
      <c r="AG251" s="33">
        <f>Model!AG1321</f>
        <v>2285.7568905943217</v>
      </c>
      <c r="AH251" s="33">
        <f>Model!AH1321</f>
        <v>2235.7292158418454</v>
      </c>
      <c r="AI251" s="33">
        <f>Model!AI1321</f>
        <v>2186.803827667783</v>
      </c>
      <c r="AJ251" s="33"/>
      <c r="AK251" s="33"/>
      <c r="AL251" s="33"/>
      <c r="AM251" s="33"/>
      <c r="AN251" s="33"/>
      <c r="AO251" s="33"/>
      <c r="AP251" s="33"/>
      <c r="AQ251" s="33"/>
      <c r="AU251" s="33">
        <f>Model!AU1321</f>
        <v>3028.9</v>
      </c>
      <c r="AV251" s="33">
        <f>Model!AV1321</f>
        <v>3029.2000000000003</v>
      </c>
      <c r="AW251" s="33">
        <f>Model!AW1321</f>
        <v>3023.9</v>
      </c>
      <c r="AX251" s="33">
        <f>Model!AX1321</f>
        <v>2953.3</v>
      </c>
      <c r="AY251" s="33">
        <f>Model!AY1321</f>
        <v>2772.4</v>
      </c>
      <c r="AZ251" s="33">
        <f>Model!AZ1321</f>
        <v>2569.9</v>
      </c>
      <c r="BA251" s="33">
        <f>Model!BA1321</f>
        <v>2392.5212487040831</v>
      </c>
      <c r="BB251" s="33">
        <f>Model!BB1321</f>
        <v>2186.803827667783</v>
      </c>
      <c r="BC251" s="33">
        <f>Model!BC1321</f>
        <v>2051.9085830783019</v>
      </c>
      <c r="BD251" s="33">
        <f>Model!BD1321</f>
        <v>1945.6660577598645</v>
      </c>
      <c r="BE251" s="33">
        <f>Model!BE1321</f>
        <v>1845.7980839605334</v>
      </c>
    </row>
    <row r="252" spans="1:57" x14ac:dyDescent="0.2">
      <c r="A252" s="9" t="s">
        <v>794</v>
      </c>
      <c r="D252" s="33">
        <f>Model!D1321+Model!D1325</f>
        <v>3021.2</v>
      </c>
      <c r="E252" s="33">
        <f>Model!E1321+Model!E1325</f>
        <v>3020.5</v>
      </c>
      <c r="F252" s="33">
        <f>Model!F1321+Model!F1325</f>
        <v>3020.5</v>
      </c>
      <c r="G252" s="33">
        <f>Model!G1321+Model!G1325</f>
        <v>3102.9</v>
      </c>
      <c r="H252" s="33">
        <f>Model!H1321+Model!H1325</f>
        <v>3047.9</v>
      </c>
      <c r="I252" s="33">
        <f>Model!I1321+Model!I1325</f>
        <v>3046</v>
      </c>
      <c r="J252" s="33">
        <f>Model!J1321+Model!J1325</f>
        <v>3040</v>
      </c>
      <c r="K252" s="33">
        <f>Model!K1321+Model!K1325</f>
        <v>3036.2</v>
      </c>
      <c r="L252" s="33">
        <f>Model!L1321+Model!L1325</f>
        <v>3043.8</v>
      </c>
      <c r="M252" s="33">
        <f>Model!M1321+Model!M1325</f>
        <v>3035.8</v>
      </c>
      <c r="N252" s="33">
        <f>Model!N1321+Model!N1325</f>
        <v>3034.5</v>
      </c>
      <c r="O252" s="33">
        <f>Model!O1321+Model!O1325</f>
        <v>3029.9</v>
      </c>
      <c r="P252" s="33">
        <f>Model!P1321+Model!P1325</f>
        <v>3039.1</v>
      </c>
      <c r="Q252" s="33">
        <f>Model!Q1321+Model!Q1325</f>
        <v>3014.8</v>
      </c>
      <c r="R252" s="33">
        <f>Model!R1321+Model!R1325</f>
        <v>2983</v>
      </c>
      <c r="S252" s="33">
        <f>Model!S1321+Model!S1325</f>
        <v>2955.3</v>
      </c>
      <c r="T252" s="33">
        <f>Model!T1321+Model!T1325</f>
        <v>2934.9</v>
      </c>
      <c r="U252" s="33">
        <f>Model!U1321+Model!U1325</f>
        <v>2905.4</v>
      </c>
      <c r="V252" s="33">
        <f>Model!V1321+Model!V1325</f>
        <v>2849.7</v>
      </c>
      <c r="W252" s="33">
        <f>Model!W1321+Model!W1325</f>
        <v>2772.4</v>
      </c>
      <c r="X252" s="33">
        <f>Model!X1321+Model!X1325</f>
        <v>2754.3</v>
      </c>
      <c r="Y252" s="33">
        <f>Model!Y1321+Model!Y1325</f>
        <v>2724.7</v>
      </c>
      <c r="Z252" s="33">
        <f>Model!Z1321+Model!Z1325</f>
        <v>2644.1</v>
      </c>
      <c r="AA252" s="33">
        <f>Model!AA1321+Model!AA1325</f>
        <v>2569.9</v>
      </c>
      <c r="AB252" s="33">
        <f>Model!AB1321+Model!AB1325</f>
        <v>2551.3000000000002</v>
      </c>
      <c r="AC252" s="33">
        <f>Model!AC1321+Model!AC1325</f>
        <v>2523.2925785450029</v>
      </c>
      <c r="AD252" s="33">
        <f>Model!AD1321+Model!AD1325</f>
        <v>2457.746212655481</v>
      </c>
      <c r="AE252" s="33">
        <f>Model!AE1321+Model!AE1325</f>
        <v>2393.9212487040832</v>
      </c>
      <c r="AF252" s="33">
        <f>Model!AF1321+Model!AF1325</f>
        <v>2343.108217486481</v>
      </c>
      <c r="AG252" s="33">
        <f>Model!AG1321+Model!AG1325</f>
        <v>2287.1568905943218</v>
      </c>
      <c r="AH252" s="33">
        <f>Model!AH1321+Model!AH1325</f>
        <v>2237.1292158418455</v>
      </c>
      <c r="AI252" s="33">
        <f>Model!AI1321+Model!AI1325</f>
        <v>2188.2038276677831</v>
      </c>
      <c r="AJ252" s="33"/>
      <c r="AK252" s="33"/>
      <c r="AL252" s="33"/>
      <c r="AM252" s="33"/>
      <c r="AN252" s="33"/>
      <c r="AO252" s="33"/>
      <c r="AP252" s="33"/>
      <c r="AQ252" s="33"/>
      <c r="AU252" s="33">
        <f>Model!AU1321+Model!AU1325</f>
        <v>3113.65</v>
      </c>
      <c r="AV252" s="33">
        <f>Model!AV1321+Model!AV1325</f>
        <v>3035.2000000000003</v>
      </c>
      <c r="AW252" s="33">
        <f>Model!AW1321+Model!AW1325</f>
        <v>3029.15</v>
      </c>
      <c r="AX252" s="33">
        <f>Model!AX1321+Model!AX1325</f>
        <v>2957.3</v>
      </c>
      <c r="AY252" s="33">
        <f>Model!AY1321+Model!AY1325</f>
        <v>2772.4</v>
      </c>
      <c r="AZ252" s="33">
        <f>Model!AZ1321+Model!AZ1325</f>
        <v>2570.1999999999994</v>
      </c>
      <c r="BA252" s="33">
        <f>Model!BA1321+Model!BA1325</f>
        <v>2393.9212487040832</v>
      </c>
      <c r="BB252" s="33">
        <f>Model!BB1321+Model!BB1325</f>
        <v>2188.2038276677836</v>
      </c>
      <c r="BC252" s="33">
        <f>Model!BC1321+Model!BC1325</f>
        <v>2053.3085830783025</v>
      </c>
      <c r="BD252" s="33">
        <f>Model!BD1321+Model!BD1325</f>
        <v>1947.0660577598651</v>
      </c>
      <c r="BE252" s="33">
        <f>Model!BE1321+Model!BE1325</f>
        <v>1847.1980839605339</v>
      </c>
    </row>
    <row r="253" spans="1:57" x14ac:dyDescent="0.2">
      <c r="A253" s="238" t="s">
        <v>398</v>
      </c>
      <c r="B253" s="238"/>
      <c r="C253" s="238"/>
      <c r="D253" s="880">
        <f>Model!D806</f>
        <v>1.1041459369817579</v>
      </c>
      <c r="E253" s="880">
        <f>Model!E806</f>
        <v>0.98441127694859043</v>
      </c>
      <c r="F253" s="880">
        <f>Model!F806</f>
        <v>1.085240464344942</v>
      </c>
      <c r="G253" s="880">
        <f>Model!G806</f>
        <v>0.50745773947630091</v>
      </c>
      <c r="H253" s="880">
        <f>Model!H806</f>
        <v>1.290311986863711</v>
      </c>
      <c r="I253" s="880">
        <f>Model!I806</f>
        <v>1.2386736703873933</v>
      </c>
      <c r="J253" s="880">
        <f>Model!J806</f>
        <v>0.98980598487339688</v>
      </c>
      <c r="K253" s="880">
        <f>Model!K806</f>
        <v>0.74365733113673804</v>
      </c>
      <c r="L253" s="880">
        <f>Model!L806</f>
        <v>1.2905027932960893</v>
      </c>
      <c r="M253" s="880">
        <f>Model!M806</f>
        <v>4.0157998683344305E-2</v>
      </c>
      <c r="N253" s="880">
        <f>Model!N806</f>
        <v>0.95980230642504116</v>
      </c>
      <c r="O253" s="880">
        <f>Model!O806</f>
        <v>5.9036939313984169E-2</v>
      </c>
      <c r="P253" s="880">
        <f>Model!P806</f>
        <v>1.5241855873642645</v>
      </c>
      <c r="Q253" s="880">
        <f>Model!Q806</f>
        <v>1.4472727272727273</v>
      </c>
      <c r="R253" s="880">
        <f>Model!R806</f>
        <v>1.3159826493159827</v>
      </c>
      <c r="S253" s="880">
        <f>Model!S806</f>
        <v>1.0730639730639731</v>
      </c>
      <c r="T253" s="880">
        <f>Model!T806</f>
        <v>1.1053346924906557</v>
      </c>
      <c r="U253" s="880">
        <f>Model!U806</f>
        <v>1.2503429355281208</v>
      </c>
      <c r="V253" s="880">
        <f>Model!V806</f>
        <v>1.2472222222222222</v>
      </c>
      <c r="W253" s="880">
        <f>Model!W806</f>
        <v>1.1396588486140724</v>
      </c>
      <c r="X253" s="880">
        <f>Model!X806</f>
        <v>1.35647143890094</v>
      </c>
      <c r="Y253" s="880">
        <f>Model!Y806</f>
        <v>1.2715391355140189</v>
      </c>
      <c r="Z253" s="880">
        <f>Model!Z806</f>
        <v>1.4207996422849052</v>
      </c>
      <c r="AA253" s="880">
        <f>Model!AA806</f>
        <v>1.3345100145806155</v>
      </c>
      <c r="AB253" s="880">
        <f>Model!AB806</f>
        <v>1.6792820912992588</v>
      </c>
      <c r="AC253" s="880">
        <f>Model!AC806</f>
        <v>1.6131362248152867</v>
      </c>
      <c r="AD253" s="880">
        <f>Model!AD806</f>
        <v>1.6992945156656953</v>
      </c>
      <c r="AE253" s="880">
        <f>Model!AE806</f>
        <v>1.6548137115900834</v>
      </c>
      <c r="AF253" s="880">
        <f>Model!AF806</f>
        <v>1.9360392326331692</v>
      </c>
      <c r="AG253" s="880">
        <f>Model!AG806</f>
        <v>2.0173838383606579</v>
      </c>
      <c r="AH253" s="880">
        <f>Model!AH806</f>
        <v>2.0497843491120911</v>
      </c>
      <c r="AI253" s="880">
        <f>Model!AI806</f>
        <v>1.9637202647973697</v>
      </c>
      <c r="AJ253" s="880"/>
      <c r="AK253" s="880"/>
      <c r="AL253" s="880"/>
      <c r="AM253" s="880"/>
      <c r="AN253" s="880"/>
      <c r="AO253" s="880"/>
      <c r="AP253" s="880"/>
      <c r="AQ253" s="880"/>
      <c r="AU253" s="880">
        <f>Model!AU806</f>
        <v>3.6809815950920246</v>
      </c>
      <c r="AV253" s="880">
        <f>Model!AV806</f>
        <v>4.2636640092052271</v>
      </c>
      <c r="AW253" s="880">
        <f>Model!AW806</f>
        <v>2.3513335528482053</v>
      </c>
      <c r="AX253" s="880">
        <f>Model!AX806</f>
        <v>5.366469952622392</v>
      </c>
      <c r="AY253" s="880">
        <f>Model!AY806</f>
        <v>4.7426642430537527</v>
      </c>
      <c r="AZ253" s="880">
        <f>Model!AZ806</f>
        <v>5.382442033885745</v>
      </c>
      <c r="BA253" s="880">
        <f>Model!BA806</f>
        <v>6.6463076569865081</v>
      </c>
      <c r="BB253" s="880">
        <f>Model!BB806</f>
        <v>7.9655392750409657</v>
      </c>
      <c r="BC253" s="880">
        <f>Model!BC806</f>
        <v>9.3023259924377815</v>
      </c>
      <c r="BD253" s="880">
        <f>Model!BD806</f>
        <v>10.443193931519048</v>
      </c>
      <c r="BE253" s="880">
        <f>Model!BE806</f>
        <v>11.302220448498844</v>
      </c>
    </row>
    <row r="254" spans="1:57" x14ac:dyDescent="0.2">
      <c r="A254" s="238" t="s">
        <v>795</v>
      </c>
      <c r="B254" s="238"/>
      <c r="C254" s="238"/>
      <c r="D254" s="867">
        <f>Model!D813</f>
        <v>0.89761194029850755</v>
      </c>
      <c r="E254" s="867">
        <f>Model!E813</f>
        <v>0.81301824212271978</v>
      </c>
      <c r="F254" s="867">
        <f>Model!F813</f>
        <v>0.80993366500829178</v>
      </c>
      <c r="G254" s="867">
        <f>Model!G813</f>
        <v>0.53503480278422277</v>
      </c>
      <c r="H254" s="867">
        <f>Model!H813</f>
        <v>1.2008702791461412</v>
      </c>
      <c r="I254" s="867">
        <f>Model!I813</f>
        <v>1.1140512147078137</v>
      </c>
      <c r="J254" s="867">
        <f>Model!J813</f>
        <v>0.88913186451825055</v>
      </c>
      <c r="K254" s="867">
        <f>Model!K813</f>
        <v>0.64192751235584844</v>
      </c>
      <c r="L254" s="867">
        <f>Model!L813</f>
        <v>1.1911764705882353</v>
      </c>
      <c r="M254" s="867">
        <f>Model!M813</f>
        <v>-5.8048057932850568E-2</v>
      </c>
      <c r="N254" s="867">
        <f>Model!N813</f>
        <v>0.88548599670510697</v>
      </c>
      <c r="O254" s="867">
        <f>Model!O813</f>
        <v>8.6576517150395785E-3</v>
      </c>
      <c r="P254" s="867">
        <f>Model!P813</f>
        <v>1.5152023692003949</v>
      </c>
      <c r="Q254" s="867">
        <f>Model!Q813</f>
        <v>1.3888264462809916</v>
      </c>
      <c r="R254" s="867">
        <f>Model!R813</f>
        <v>1.3535035035035035</v>
      </c>
      <c r="S254" s="867">
        <f>Model!S813</f>
        <v>1.2376430976430977</v>
      </c>
      <c r="T254" s="867">
        <f>Model!T813</f>
        <v>1.1762317363234795</v>
      </c>
      <c r="U254" s="867">
        <f>Model!U813</f>
        <v>1.2042009602194788</v>
      </c>
      <c r="V254" s="867">
        <f>Model!V813</f>
        <v>1.2948437500000001</v>
      </c>
      <c r="W254" s="867">
        <f>Model!W813</f>
        <v>1.1618336886993603</v>
      </c>
      <c r="X254" s="867">
        <f>Model!X813</f>
        <v>1.3454266088214026</v>
      </c>
      <c r="Y254" s="867">
        <f>Model!Y813</f>
        <v>1.2732002044392525</v>
      </c>
      <c r="Z254" s="867">
        <f>Model!Z813</f>
        <v>1.4745686924768047</v>
      </c>
      <c r="AA254" s="867">
        <f>Model!AA813</f>
        <v>1.3826452306039445</v>
      </c>
      <c r="AB254" s="867">
        <f>Model!AB813</f>
        <v>1.6761997658993368</v>
      </c>
      <c r="AC254" s="867">
        <f>Model!AC813</f>
        <v>1.6681633977641588</v>
      </c>
      <c r="AD254" s="867">
        <f>Model!AD813</f>
        <v>1.7581582198067354</v>
      </c>
      <c r="AE254" s="867">
        <f>Model!AE813</f>
        <v>1.7205898074063615</v>
      </c>
      <c r="AF254" s="867">
        <f>Model!AF813</f>
        <v>1.9972110479118959</v>
      </c>
      <c r="AG254" s="867">
        <f>Model!AG813</f>
        <v>2.0848942983455601</v>
      </c>
      <c r="AH254" s="867">
        <f>Model!AH813</f>
        <v>2.1233147697830304</v>
      </c>
      <c r="AI254" s="867">
        <f>Model!AI813</f>
        <v>2.0424441013261738</v>
      </c>
      <c r="AJ254" s="867"/>
      <c r="AK254" s="867"/>
      <c r="AL254" s="867"/>
      <c r="AM254" s="867"/>
      <c r="AN254" s="867"/>
      <c r="AO254" s="867"/>
      <c r="AP254" s="867"/>
      <c r="AQ254" s="867"/>
      <c r="AU254" s="867">
        <f>Model!AU813</f>
        <v>3.0554468579008458</v>
      </c>
      <c r="AV254" s="867">
        <f>Model!AV813</f>
        <v>3.8471767896769951</v>
      </c>
      <c r="AW254" s="867">
        <f>Model!AW813</f>
        <v>2.0290088903523213</v>
      </c>
      <c r="AX254" s="867">
        <f>Model!AX813</f>
        <v>5.4985121768764031</v>
      </c>
      <c r="AY254" s="867">
        <f>Model!AY813</f>
        <v>4.8374101964857612</v>
      </c>
      <c r="AZ254" s="867">
        <f>Model!AZ813</f>
        <v>5.4727607896175128</v>
      </c>
      <c r="BA254" s="867">
        <f>Model!BA813</f>
        <v>6.821169845860215</v>
      </c>
      <c r="BB254" s="867">
        <f>Model!BB813</f>
        <v>8.2458082971791526</v>
      </c>
      <c r="BC254" s="867">
        <f>Model!BC813</f>
        <v>9.6447881737613219</v>
      </c>
      <c r="BD254" s="867">
        <f>Model!BD813</f>
        <v>10.845274652137538</v>
      </c>
      <c r="BE254" s="867">
        <f>Model!BE813</f>
        <v>11.772516504569428</v>
      </c>
    </row>
    <row r="255" spans="1:57" x14ac:dyDescent="0.2">
      <c r="A255" s="238" t="s">
        <v>796</v>
      </c>
      <c r="B255" s="238"/>
      <c r="C255" s="238"/>
      <c r="D255" s="867">
        <f>Model!D1303</f>
        <v>61.795921151353937</v>
      </c>
      <c r="E255" s="867">
        <f>Model!E1303</f>
        <v>62.492071611253195</v>
      </c>
      <c r="F255" s="867">
        <f>Model!F1303</f>
        <v>63.478260869565219</v>
      </c>
      <c r="G255" s="867">
        <f>Model!G1303</f>
        <v>61.459605797484237</v>
      </c>
      <c r="H255" s="867">
        <f>Model!H1303</f>
        <v>62.392783200236615</v>
      </c>
      <c r="I255" s="867">
        <f>Model!I1303</f>
        <v>62.897731009536336</v>
      </c>
      <c r="J255" s="867">
        <f>Model!J1303</f>
        <v>64.377184305967688</v>
      </c>
      <c r="K255" s="867">
        <f>Model!K1303</f>
        <v>65.117522778291303</v>
      </c>
      <c r="L255" s="867">
        <f>Model!L1303</f>
        <v>66.132727631838833</v>
      </c>
      <c r="M255" s="867">
        <f>Model!M1303</f>
        <v>66.642918398311224</v>
      </c>
      <c r="N255" s="867">
        <f>Model!N1303</f>
        <v>66.994553556692523</v>
      </c>
      <c r="O255" s="867">
        <f>Model!O1303</f>
        <v>66.046165547802502</v>
      </c>
      <c r="P255" s="867">
        <f>Model!P1303</f>
        <v>66.791470287729481</v>
      </c>
      <c r="Q255" s="867">
        <f>Model!Q1303</f>
        <v>68.267658980663157</v>
      </c>
      <c r="R255" s="867">
        <f>Model!R1303</f>
        <v>69.026518966096006</v>
      </c>
      <c r="S255" s="867">
        <f>Model!S1303</f>
        <v>69.460941997088</v>
      </c>
      <c r="T255" s="867">
        <f>Model!T1303</f>
        <v>71.47398548502504</v>
      </c>
      <c r="U255" s="867">
        <f>Model!U1303</f>
        <v>73.186136160253312</v>
      </c>
      <c r="V255" s="867">
        <f>Model!V1303</f>
        <v>74.506790188440888</v>
      </c>
      <c r="W255" s="867">
        <f>Model!W1303</f>
        <v>74.255879382484494</v>
      </c>
      <c r="X255" s="867">
        <f>Model!X1303</f>
        <v>75.86496204554534</v>
      </c>
      <c r="Y255" s="867">
        <f>Model!Y1303</f>
        <v>77.356676209351832</v>
      </c>
      <c r="Z255" s="867">
        <f>Model!Z1303</f>
        <v>78.812783661119511</v>
      </c>
      <c r="AA255" s="867">
        <f>Model!AA1303</f>
        <v>70.620257597571893</v>
      </c>
      <c r="AB255" s="867">
        <f>Model!AB1303</f>
        <v>71.673006784579783</v>
      </c>
      <c r="AC255" s="867">
        <f>Model!AC1303</f>
        <v>72.946636305125168</v>
      </c>
      <c r="AD255" s="867">
        <f>Model!AD1303</f>
        <v>74.114026998427136</v>
      </c>
      <c r="AE255" s="867">
        <f>Model!AE1303</f>
        <v>75.14143446346921</v>
      </c>
      <c r="AF255" s="867">
        <f>Model!AF1303</f>
        <v>76.409499350530595</v>
      </c>
      <c r="AG255" s="867">
        <f>Model!AG1303</f>
        <v>77.648222143606574</v>
      </c>
      <c r="AH255" s="867">
        <f>Model!AH1303</f>
        <v>78.888501167123025</v>
      </c>
      <c r="AI255" s="867">
        <f>Model!AI1303</f>
        <v>80.027113359281842</v>
      </c>
      <c r="AJ255" s="867"/>
      <c r="AK255" s="867"/>
      <c r="AL255" s="867"/>
      <c r="AM255" s="867"/>
      <c r="AN255" s="867"/>
      <c r="AO255" s="867"/>
      <c r="AP255" s="867"/>
      <c r="AQ255" s="867"/>
      <c r="AU255" s="867">
        <f>Model!AU1303</f>
        <v>61.459605797484237</v>
      </c>
      <c r="AV255" s="867">
        <f>Model!AV1303</f>
        <v>65.117522778291288</v>
      </c>
      <c r="AW255" s="867">
        <f>Model!AW1303</f>
        <v>66.046165547802502</v>
      </c>
      <c r="AX255" s="867">
        <f>Model!AX1303</f>
        <v>69.460941997088</v>
      </c>
      <c r="AY255" s="867">
        <f>Model!AY1303</f>
        <v>74.255879382484494</v>
      </c>
      <c r="AZ255" s="867">
        <f>Model!AZ1303</f>
        <v>70.620257597571893</v>
      </c>
      <c r="BA255" s="867">
        <f>Model!BA1303</f>
        <v>75.14143446346921</v>
      </c>
      <c r="BB255" s="867">
        <f>Model!BB1303</f>
        <v>80.027113359281842</v>
      </c>
      <c r="BC255" s="867">
        <f>Model!BC1303</f>
        <v>86.395665622931688</v>
      </c>
      <c r="BD255" s="867">
        <f>Model!BD1303</f>
        <v>93.822331539914103</v>
      </c>
      <c r="BE255" s="867">
        <f>Model!BE1303</f>
        <v>101.87278358767357</v>
      </c>
    </row>
    <row r="256" spans="1:57" x14ac:dyDescent="0.2">
      <c r="A256" s="238" t="s">
        <v>797</v>
      </c>
      <c r="B256" s="238"/>
      <c r="C256" s="238"/>
      <c r="D256" s="867">
        <f>Model!D1315</f>
        <v>50.791555828388248</v>
      </c>
      <c r="E256" s="867">
        <f>Model!E1315</f>
        <v>51.690025575447571</v>
      </c>
      <c r="F256" s="867">
        <f>Model!F1315</f>
        <v>52.583120204603581</v>
      </c>
      <c r="G256" s="867">
        <f>Model!G1315</f>
        <v>51.081580771897386</v>
      </c>
      <c r="H256" s="867">
        <f>Model!H1315</f>
        <v>52.227151730257319</v>
      </c>
      <c r="I256" s="867">
        <f>Model!I1315</f>
        <v>52.985202236106545</v>
      </c>
      <c r="J256" s="867">
        <f>Model!J1315</f>
        <v>54.402571711177053</v>
      </c>
      <c r="K256" s="867">
        <f>Model!K1315</f>
        <v>55.192460055460188</v>
      </c>
      <c r="L256" s="867">
        <f>Model!L1315</f>
        <v>56.290407531766405</v>
      </c>
      <c r="M256" s="867">
        <f>Model!M1315</f>
        <v>56.779141104294474</v>
      </c>
      <c r="N256" s="867">
        <f>Model!N1315</f>
        <v>57.413764647631623</v>
      </c>
      <c r="O256" s="867">
        <f>Model!O1315</f>
        <v>56.710870068454646</v>
      </c>
      <c r="P256" s="867">
        <f>Model!P1315</f>
        <v>57.664875910484163</v>
      </c>
      <c r="Q256" s="867">
        <f>Model!Q1315</f>
        <v>59.178350720978138</v>
      </c>
      <c r="R256" s="867">
        <f>Model!R1315</f>
        <v>60.074185968445789</v>
      </c>
      <c r="S256" s="867">
        <f>Model!S1315</f>
        <v>60.610503504554224</v>
      </c>
      <c r="T256" s="867">
        <f>Model!T1315</f>
        <v>62.581689325019589</v>
      </c>
      <c r="U256" s="867">
        <f>Model!U1315</f>
        <v>63.532732153920286</v>
      </c>
      <c r="V256" s="867">
        <f>Model!V1315</f>
        <v>64.706811243288769</v>
      </c>
      <c r="W256" s="867">
        <f>Model!W1315</f>
        <v>64.572933198672629</v>
      </c>
      <c r="X256" s="867">
        <f>Model!X1315</f>
        <v>65.940144553808153</v>
      </c>
      <c r="Y256" s="867">
        <f>Model!Y1315</f>
        <v>67.316303310577695</v>
      </c>
      <c r="Z256" s="867">
        <f>Model!Z1315</f>
        <v>68.553706505295011</v>
      </c>
      <c r="AA256" s="867">
        <f>Model!AA1315</f>
        <v>60.162263123078716</v>
      </c>
      <c r="AB256" s="867">
        <f>Model!AB1315</f>
        <v>61.022785207263027</v>
      </c>
      <c r="AC256" s="867">
        <f>Model!AC1315</f>
        <v>62.197169721722773</v>
      </c>
      <c r="AD256" s="867">
        <f>Model!AD1315</f>
        <v>63.077716294207114</v>
      </c>
      <c r="AE256" s="867">
        <f>Model!AE1315</f>
        <v>63.810709599611194</v>
      </c>
      <c r="AF256" s="867">
        <f>Model!AF1315</f>
        <v>64.832907613965745</v>
      </c>
      <c r="AG256" s="867">
        <f>Model!AG1315</f>
        <v>65.788255709052208</v>
      </c>
      <c r="AH256" s="867">
        <f>Model!AH1315</f>
        <v>66.763150830457889</v>
      </c>
      <c r="AI256" s="867">
        <f>Model!AI1315</f>
        <v>67.630482414606917</v>
      </c>
      <c r="AJ256" s="867"/>
      <c r="AK256" s="867"/>
      <c r="AL256" s="867"/>
      <c r="AM256" s="867"/>
      <c r="AN256" s="867"/>
      <c r="AO256" s="867"/>
      <c r="AP256" s="867"/>
      <c r="AQ256" s="867"/>
      <c r="AU256" s="867">
        <f>Model!AU1315</f>
        <v>51.081580771897386</v>
      </c>
      <c r="AV256" s="867">
        <f>Model!AV1315</f>
        <v>55.192460055460181</v>
      </c>
      <c r="AW256" s="867">
        <f>Model!AW1315</f>
        <v>56.710870068454646</v>
      </c>
      <c r="AX256" s="867">
        <f>Model!AX1315</f>
        <v>60.610503504554224</v>
      </c>
      <c r="AY256" s="867">
        <f>Model!AY1315</f>
        <v>64.572933198672629</v>
      </c>
      <c r="AZ256" s="867">
        <f>Model!AZ1315</f>
        <v>60.162263123078716</v>
      </c>
      <c r="BA256" s="867">
        <f>Model!BA1315</f>
        <v>63.810709599611194</v>
      </c>
      <c r="BB256" s="867">
        <f>Model!BB1315</f>
        <v>67.630482414606917</v>
      </c>
      <c r="BC256" s="867">
        <f>Model!BC1315</f>
        <v>73.184063398757203</v>
      </c>
      <c r="BD256" s="867">
        <f>Model!BD1315</f>
        <v>79.889313645151702</v>
      </c>
      <c r="BE256" s="867">
        <f>Model!BE1315</f>
        <v>87.185911694388167</v>
      </c>
    </row>
    <row r="257" spans="1:57" x14ac:dyDescent="0.2">
      <c r="A257" s="238" t="s">
        <v>798</v>
      </c>
      <c r="B257" s="238"/>
      <c r="C257" s="238"/>
      <c r="D257" s="867">
        <f>Model!D782/Model!D1326</f>
        <v>2.6500829187396353</v>
      </c>
      <c r="E257" s="867">
        <f>Model!E782/Model!E1326</f>
        <v>2.294195688225539</v>
      </c>
      <c r="F257" s="867">
        <f>Model!F782/Model!F1326</f>
        <v>2.4122719734660034</v>
      </c>
      <c r="G257" s="867">
        <f>Model!G782/Model!G1326</f>
        <v>1.6330792177659927</v>
      </c>
      <c r="H257" s="867">
        <f>Model!H782/Model!H1326</f>
        <v>2.7835796387520526</v>
      </c>
      <c r="I257" s="867">
        <f>Model!I782/Model!I1326</f>
        <v>2.6618516086671042</v>
      </c>
      <c r="J257" s="867">
        <f>Model!J782/Model!J1326</f>
        <v>2.2107859256823414</v>
      </c>
      <c r="K257" s="867">
        <f>Model!K782/Model!K1326</f>
        <v>1.9347611202635915</v>
      </c>
      <c r="L257" s="867">
        <f>Model!L782/Model!L1326</f>
        <v>2.6874794610581665</v>
      </c>
      <c r="M257" s="867">
        <f>Model!M782/Model!M1326</f>
        <v>1.3357472021066492</v>
      </c>
      <c r="N257" s="867">
        <f>Model!N782/Model!N1326</f>
        <v>2.3818780889621087</v>
      </c>
      <c r="O257" s="867">
        <f>Model!O782/Model!O1326</f>
        <v>1.1840369393139842</v>
      </c>
      <c r="P257" s="867">
        <f>Model!P782/Model!P1326</f>
        <v>2.9772951628825273</v>
      </c>
      <c r="Q257" s="867">
        <f>Model!Q782/Model!Q1326</f>
        <v>2.7626446280991734</v>
      </c>
      <c r="R257" s="867">
        <f>Model!R782/Model!R1326</f>
        <v>2.6503169836503169</v>
      </c>
      <c r="S257" s="867">
        <f>Model!S782/Model!S1326</f>
        <v>2.5693602693602693</v>
      </c>
      <c r="T257" s="867">
        <f>Model!T782/Model!T1326</f>
        <v>2.4298335032279987</v>
      </c>
      <c r="U257" s="867">
        <f>Model!U782/Model!U1326</f>
        <v>2.5013717421124828</v>
      </c>
      <c r="V257" s="867">
        <f>Model!V782/Model!V1326</f>
        <v>2.59375</v>
      </c>
      <c r="W257" s="867">
        <f>Model!W782/Model!W1326</f>
        <v>2.4893390191897655</v>
      </c>
      <c r="X257" s="867">
        <f>Model!X782/Model!X1326</f>
        <v>2.8076644974692697</v>
      </c>
      <c r="Y257" s="867">
        <f>Model!Y782/Model!Y1326</f>
        <v>2.7442318925233646</v>
      </c>
      <c r="Z257" s="867">
        <f>Model!Z782/Model!Z1326</f>
        <v>3.0275366099042369</v>
      </c>
      <c r="AA257" s="867">
        <f>Model!AA782/Model!AA1326</f>
        <v>2.8010129690737475</v>
      </c>
      <c r="AB257" s="867">
        <f>Model!AB782/Model!AB1326</f>
        <v>3.1256340226297308</v>
      </c>
      <c r="AC257" s="867">
        <f>Model!AC782/Model!AC1326</f>
        <v>3.2467270054076645</v>
      </c>
      <c r="AD257" s="867">
        <f>Model!AD782/Model!AD1326</f>
        <v>3.3835362500647559</v>
      </c>
      <c r="AE257" s="867">
        <f>Model!AE782/Model!AE1326</f>
        <v>3.4212717010732283</v>
      </c>
      <c r="AF257" s="867">
        <f>Model!AF782/Model!AF1326</f>
        <v>3.7958768494861443</v>
      </c>
      <c r="AG257" s="867">
        <f>Model!AG782/Model!AG1326</f>
        <v>3.9961820752091857</v>
      </c>
      <c r="AH257" s="867">
        <f>Model!AH782/Model!AH1326</f>
        <v>4.1168365033988046</v>
      </c>
      <c r="AI257" s="867">
        <f>Model!AI782/Model!AI1326</f>
        <v>4.1179818463429623</v>
      </c>
      <c r="AJ257" s="867"/>
      <c r="AK257" s="867"/>
      <c r="AL257" s="867"/>
      <c r="AM257" s="867"/>
      <c r="AN257" s="867"/>
      <c r="AO257" s="867"/>
      <c r="AP257" s="867"/>
      <c r="AQ257" s="867"/>
      <c r="AU257" s="867">
        <f>Model!AU782/Model!AU1326</f>
        <v>8.9892223511855409</v>
      </c>
      <c r="AV257" s="867">
        <f>Model!AV782/Model!AV1326</f>
        <v>9.5928330730664921</v>
      </c>
      <c r="AW257" s="867">
        <f>Model!AW782/Model!AW1326</f>
        <v>7.5913730655251896</v>
      </c>
      <c r="AX257" s="867">
        <f>Model!AX782/Model!AX1326</f>
        <v>10.964674590640845</v>
      </c>
      <c r="AY257" s="867">
        <f>Model!AY782/Model!AY1326</f>
        <v>10.012983640612827</v>
      </c>
      <c r="AZ257" s="867">
        <f>Model!AZ782/Model!AZ1326</f>
        <v>11.378495799019927</v>
      </c>
      <c r="BA257" s="867">
        <f>Model!BA782/Model!BA1326</f>
        <v>13.16811878538495</v>
      </c>
      <c r="BB257" s="867">
        <f>Model!BB782/Model!BB1326</f>
        <v>16.014433730603905</v>
      </c>
      <c r="BC257" s="867">
        <f>Model!BC782/Model!BC1326</f>
        <v>18.860937180064269</v>
      </c>
      <c r="BD257" s="867">
        <f>Model!BD782/Model!BD1326</f>
        <v>21.466050848188463</v>
      </c>
      <c r="BE257" s="867">
        <f>Model!BE782/Model!BE1326</f>
        <v>23.954926891763908</v>
      </c>
    </row>
    <row r="258" spans="1:57" x14ac:dyDescent="0.2">
      <c r="A258" s="238" t="s">
        <v>437</v>
      </c>
      <c r="B258" s="238" t="s">
        <v>437</v>
      </c>
      <c r="C258" s="238"/>
      <c r="D258" s="1066">
        <f>Model!D1303</f>
        <v>61.795921151353937</v>
      </c>
      <c r="E258" s="1066">
        <f>Model!E1303</f>
        <v>62.492071611253195</v>
      </c>
      <c r="F258" s="1066">
        <f>Model!F1303</f>
        <v>63.478260869565219</v>
      </c>
      <c r="G258" s="1066">
        <f>Model!G1303</f>
        <v>61.459605797484237</v>
      </c>
      <c r="H258" s="1066">
        <f>Model!H1303</f>
        <v>62.392783200236615</v>
      </c>
      <c r="I258" s="1066">
        <f>Model!I1303</f>
        <v>62.897731009536336</v>
      </c>
      <c r="J258" s="1066">
        <f>Model!J1303</f>
        <v>64.377184305967688</v>
      </c>
      <c r="K258" s="1066">
        <f>Model!K1303</f>
        <v>65.117522778291303</v>
      </c>
      <c r="L258" s="1066">
        <f>Model!L1303</f>
        <v>66.132727631838833</v>
      </c>
      <c r="M258" s="1066">
        <f>Model!M1303</f>
        <v>66.642918398311224</v>
      </c>
      <c r="N258" s="1066">
        <f>Model!N1303</f>
        <v>66.994553556692523</v>
      </c>
      <c r="O258" s="1066">
        <f>Model!O1303</f>
        <v>66.046165547802502</v>
      </c>
      <c r="P258" s="1066">
        <f>Model!P1303</f>
        <v>66.791470287729481</v>
      </c>
      <c r="Q258" s="1066">
        <f>Model!Q1303</f>
        <v>68.267658980663157</v>
      </c>
      <c r="R258" s="1066">
        <f>Model!R1303</f>
        <v>69.026518966096006</v>
      </c>
      <c r="S258" s="1066">
        <f>Model!S1303</f>
        <v>69.460941997088</v>
      </c>
      <c r="T258" s="1066">
        <f>Model!T1303</f>
        <v>71.47398548502504</v>
      </c>
      <c r="U258" s="1066">
        <f>Model!U1303</f>
        <v>73.186136160253312</v>
      </c>
      <c r="V258" s="1066">
        <f>Model!V1303</f>
        <v>74.506790188440888</v>
      </c>
      <c r="W258" s="1066">
        <f>Model!W1303</f>
        <v>74.255879382484494</v>
      </c>
      <c r="X258" s="1066">
        <f>Model!X1303</f>
        <v>75.86496204554534</v>
      </c>
      <c r="Y258" s="1066">
        <f>Model!Y1303</f>
        <v>77.356676209351832</v>
      </c>
      <c r="Z258" s="1066">
        <f>Model!Z1303</f>
        <v>78.812783661119511</v>
      </c>
      <c r="AA258" s="1066">
        <f>Model!AA1303</f>
        <v>70.620257597571893</v>
      </c>
      <c r="AB258" s="1066">
        <f>Model!AB1303</f>
        <v>71.673006784579783</v>
      </c>
      <c r="AC258" s="1066">
        <f>Model!AC1303</f>
        <v>72.946636305125168</v>
      </c>
      <c r="AD258" s="1066">
        <f>Model!AD1303</f>
        <v>74.114026998427136</v>
      </c>
      <c r="AE258" s="1066">
        <f>Model!AE1303</f>
        <v>75.14143446346921</v>
      </c>
      <c r="AF258" s="1066">
        <f>Model!AF1303</f>
        <v>76.409499350530595</v>
      </c>
      <c r="AG258" s="1066">
        <f>Model!AG1303</f>
        <v>77.648222143606574</v>
      </c>
      <c r="AH258" s="1066">
        <f>Model!AH1303</f>
        <v>78.888501167123025</v>
      </c>
      <c r="AI258" s="1066">
        <f>Model!AI1303</f>
        <v>80.027113359281842</v>
      </c>
      <c r="AJ258" s="1066"/>
      <c r="AK258" s="1066"/>
      <c r="AL258" s="1066"/>
      <c r="AM258" s="1066"/>
      <c r="AN258" s="1066"/>
      <c r="AO258" s="1066"/>
      <c r="AP258" s="1066"/>
      <c r="AQ258" s="1066"/>
      <c r="AU258" s="1066">
        <f>Model!AU1303</f>
        <v>61.459605797484237</v>
      </c>
      <c r="AV258" s="1066">
        <f>Model!AV1303</f>
        <v>65.117522778291288</v>
      </c>
      <c r="AW258" s="1066">
        <f>Model!AW1303</f>
        <v>66.046165547802502</v>
      </c>
      <c r="AX258" s="1066">
        <f>Model!AX1303</f>
        <v>69.460941997088</v>
      </c>
      <c r="AY258" s="1066">
        <f>Model!AY1303</f>
        <v>74.255879382484494</v>
      </c>
      <c r="AZ258" s="1066">
        <f>Model!AZ1303</f>
        <v>70.620257597571893</v>
      </c>
      <c r="BA258" s="1066">
        <f>Model!BA1303</f>
        <v>75.14143446346921</v>
      </c>
      <c r="BB258" s="1066">
        <f>Model!BB1303</f>
        <v>80.027113359281842</v>
      </c>
      <c r="BC258" s="1066">
        <f>Model!BC1303</f>
        <v>86.395665622931688</v>
      </c>
      <c r="BD258" s="1066">
        <f>Model!BD1303</f>
        <v>93.822331539914103</v>
      </c>
      <c r="BE258" s="1066">
        <f>Model!BE1303</f>
        <v>101.87278358767357</v>
      </c>
    </row>
    <row r="259" spans="1:57" s="916" customFormat="1" x14ac:dyDescent="0.2">
      <c r="A259" s="238"/>
      <c r="B259" s="238"/>
      <c r="C259" s="238"/>
      <c r="D259" s="1066"/>
      <c r="E259" s="1066"/>
      <c r="F259" s="1066"/>
      <c r="G259" s="1066"/>
      <c r="H259" s="1066"/>
      <c r="I259" s="1066"/>
      <c r="J259" s="1066"/>
      <c r="K259" s="1066"/>
      <c r="L259" s="1066"/>
      <c r="M259" s="1066"/>
      <c r="N259" s="1066"/>
      <c r="O259" s="1066"/>
      <c r="P259" s="1066"/>
      <c r="Q259" s="1066"/>
      <c r="R259" s="1066"/>
      <c r="S259" s="1066"/>
      <c r="T259" s="1066"/>
      <c r="U259" s="1066"/>
      <c r="V259" s="1066"/>
      <c r="W259" s="1066"/>
      <c r="X259" s="1066"/>
      <c r="Y259" s="1066"/>
      <c r="Z259" s="1066"/>
      <c r="AA259" s="1066"/>
      <c r="AB259" s="1066"/>
      <c r="AC259" s="1066"/>
      <c r="AD259" s="1066"/>
      <c r="AE259" s="1066"/>
      <c r="AF259" s="1066"/>
      <c r="AG259" s="1066"/>
      <c r="AH259" s="1066"/>
      <c r="AI259" s="1066"/>
      <c r="AJ259" s="1066"/>
      <c r="AK259" s="1066"/>
      <c r="AL259" s="1066"/>
      <c r="AM259" s="1066"/>
      <c r="AN259" s="1066"/>
      <c r="AO259" s="1066"/>
      <c r="AP259" s="1066"/>
      <c r="AQ259" s="1066"/>
      <c r="AS259" s="1160"/>
      <c r="AT259" s="1160"/>
      <c r="AU259" s="1066"/>
      <c r="AV259" s="1066"/>
      <c r="AW259" s="1066"/>
      <c r="AX259" s="1066"/>
      <c r="AY259" s="1066"/>
      <c r="AZ259" s="1066"/>
      <c r="BA259" s="1066"/>
      <c r="BB259" s="1066"/>
      <c r="BC259" s="1066"/>
      <c r="BD259" s="1066"/>
      <c r="BE259" s="1066"/>
    </row>
    <row r="260" spans="1:57" s="916" customFormat="1" x14ac:dyDescent="0.2">
      <c r="A260" s="13" t="s">
        <v>1113</v>
      </c>
      <c r="B260" s="13"/>
      <c r="C260" s="13"/>
      <c r="D260" s="13"/>
      <c r="E260" s="13"/>
      <c r="F260" s="13"/>
      <c r="G260" s="13"/>
      <c r="H260" s="13"/>
      <c r="I260" s="13"/>
      <c r="J260" s="13"/>
      <c r="K260" s="13"/>
      <c r="L260" s="13"/>
      <c r="M260" s="13"/>
      <c r="N260" s="13"/>
      <c r="O260" s="13"/>
      <c r="P260" s="13"/>
      <c r="Q260" s="13"/>
      <c r="R260" s="13"/>
      <c r="S260" s="13"/>
      <c r="T260" s="13"/>
      <c r="U260" s="13"/>
      <c r="V260" s="13"/>
      <c r="W260" s="13"/>
      <c r="X260" s="13"/>
      <c r="Y260" s="13"/>
      <c r="Z260" s="13"/>
      <c r="AA260" s="13"/>
      <c r="AB260" s="13"/>
      <c r="AC260" s="13"/>
      <c r="AD260" s="13"/>
      <c r="AE260" s="13"/>
      <c r="AF260" s="13"/>
      <c r="AG260" s="13"/>
      <c r="AH260" s="13"/>
      <c r="AI260" s="13"/>
      <c r="AJ260" s="13"/>
      <c r="AK260" s="13"/>
      <c r="AL260" s="13"/>
      <c r="AM260" s="13"/>
      <c r="AN260" s="13"/>
      <c r="AO260" s="13"/>
      <c r="AP260" s="13"/>
      <c r="AQ260" s="13"/>
      <c r="AR260" s="238"/>
      <c r="AS260" s="238"/>
      <c r="AT260" s="238"/>
      <c r="AU260" s="13"/>
      <c r="AV260" s="13"/>
      <c r="AW260" s="13"/>
      <c r="AX260" s="13"/>
      <c r="AY260" s="13"/>
      <c r="AZ260" s="13"/>
      <c r="BA260" s="13"/>
      <c r="BB260" s="13"/>
      <c r="BC260" s="13"/>
      <c r="BD260" s="13"/>
      <c r="BE260" s="13"/>
    </row>
    <row r="261" spans="1:57" x14ac:dyDescent="0.2">
      <c r="A261" s="9" t="s">
        <v>213</v>
      </c>
      <c r="D261" s="67">
        <f>Model!D1273</f>
        <v>2.3982268012122217E-2</v>
      </c>
      <c r="E261" s="67">
        <f>Model!E1273</f>
        <v>2.1726931453409086E-2</v>
      </c>
      <c r="F261" s="67">
        <f>Model!F1273</f>
        <v>2.371116224130964E-2</v>
      </c>
      <c r="G261" s="67">
        <f>Model!G1273</f>
        <v>1.8281463759392234E-2</v>
      </c>
      <c r="H261" s="67">
        <f>Model!H1273</f>
        <v>1.8150459424487009E-2</v>
      </c>
      <c r="I261" s="67">
        <f>Model!I1273</f>
        <v>1.6284476766753337E-2</v>
      </c>
      <c r="J261" s="67">
        <f>Model!J1273</f>
        <v>1.4936402701920225E-2</v>
      </c>
      <c r="K261" s="67">
        <f>Model!K1273</f>
        <v>1.5325710100878616E-2</v>
      </c>
      <c r="L261" s="67">
        <f>Model!L1273</f>
        <v>1.5016562776109523E-2</v>
      </c>
      <c r="M261" s="67">
        <f>Model!M1273</f>
        <v>1.3201680640194724E-2</v>
      </c>
      <c r="N261" s="67">
        <f>Model!N1273</f>
        <v>1.2622658655591076E-2</v>
      </c>
      <c r="O261" s="67">
        <f>Model!O1273</f>
        <v>1.3703803441777072E-2</v>
      </c>
      <c r="P261" s="67">
        <f>Model!P1273</f>
        <v>1.2501432938061196E-2</v>
      </c>
      <c r="Q261" s="67">
        <f>Model!Q1273</f>
        <v>1.2281945088559168E-2</v>
      </c>
      <c r="R261" s="67">
        <f>Model!R1273</f>
        <v>1.0586840187627561E-2</v>
      </c>
      <c r="S261" s="67">
        <f>Model!S1273</f>
        <v>1.1185818122594187E-2</v>
      </c>
      <c r="T261" s="67">
        <f>Model!T1273</f>
        <v>1.1325444449709444E-2</v>
      </c>
      <c r="U261" s="67">
        <f>Model!U1273</f>
        <v>1.0472146020798398E-2</v>
      </c>
      <c r="V261" s="67">
        <f>Model!V1273</f>
        <v>9.5425048108311889E-3</v>
      </c>
      <c r="W261" s="67">
        <f>Model!W1273</f>
        <v>1.0777681565014038E-2</v>
      </c>
      <c r="X261" s="67">
        <f>Model!X1273</f>
        <v>1.1119078965897224E-2</v>
      </c>
      <c r="Y261" s="67">
        <f>Model!Y1273</f>
        <v>1.0812688717495064E-2</v>
      </c>
      <c r="Z261" s="67">
        <f>Model!Z1273</f>
        <v>1.090797660578271E-2</v>
      </c>
      <c r="AA261" s="67">
        <f>Model!AA1273</f>
        <v>1.1405587960220127E-2</v>
      </c>
      <c r="AB261" s="67">
        <f>Model!AB1273</f>
        <v>1.1336186281726574E-2</v>
      </c>
      <c r="AC261" s="67">
        <f>Model!AC1273</f>
        <v>1.2031213364139617E-2</v>
      </c>
      <c r="AD261" s="67">
        <f>Model!AD1273</f>
        <v>1.2389898261593865E-2</v>
      </c>
      <c r="AE261" s="67">
        <f>Model!AE1273</f>
        <v>1.2751595618094936E-2</v>
      </c>
      <c r="AF261" s="67">
        <f>Model!AF1273</f>
        <v>1.2855377957078508E-2</v>
      </c>
      <c r="AG261" s="67">
        <f>Model!AG1273</f>
        <v>1.2973109349403785E-2</v>
      </c>
      <c r="AH261" s="67">
        <f>Model!AH1273</f>
        <v>1.3452350980150582E-2</v>
      </c>
      <c r="AI261" s="67">
        <f>Model!AI1273</f>
        <v>1.383444788598789E-2</v>
      </c>
      <c r="AJ261" s="67"/>
      <c r="AK261" s="67"/>
      <c r="AL261" s="67"/>
      <c r="AM261" s="67"/>
      <c r="AN261" s="67"/>
      <c r="AO261" s="67"/>
      <c r="AP261" s="67"/>
      <c r="AQ261" s="67"/>
      <c r="AU261" s="67">
        <f>Model!AU1273</f>
        <v>2.1922032829133766E-2</v>
      </c>
      <c r="AV261" s="67">
        <f>Model!AV1273</f>
        <v>1.6157619797137941E-2</v>
      </c>
      <c r="AW261" s="67">
        <f>Model!AW1273</f>
        <v>1.3627986200391996E-2</v>
      </c>
      <c r="AX261" s="67">
        <f>Model!AX1273</f>
        <v>1.1636454036843194E-2</v>
      </c>
      <c r="AY261" s="67">
        <f>Model!AY1273</f>
        <v>1.051995701264327E-2</v>
      </c>
      <c r="AZ261" s="67">
        <f>Model!AZ1273</f>
        <v>1.106516264272238E-2</v>
      </c>
      <c r="BA261" s="67">
        <f>Model!BA1273</f>
        <v>1.2140245586136782E-2</v>
      </c>
      <c r="BB261" s="67">
        <f>Model!BB1273</f>
        <v>1.3291641572558448E-2</v>
      </c>
      <c r="BC261" s="67">
        <f>Model!BC1273</f>
        <v>1.4249628888970887E-2</v>
      </c>
      <c r="BD261" s="67">
        <f>Model!BD1273</f>
        <v>1.5123850275142202E-2</v>
      </c>
      <c r="BE261" s="67">
        <f>Model!BE1273</f>
        <v>1.6387049176704013E-2</v>
      </c>
    </row>
    <row r="262" spans="1:57" s="916" customFormat="1" x14ac:dyDescent="0.2">
      <c r="A262" s="916" t="s">
        <v>1115</v>
      </c>
      <c r="D262" s="66">
        <f>Model!D1262</f>
        <v>6.8392449983713643E-3</v>
      </c>
      <c r="E262" s="66">
        <f>Model!E1262</f>
        <v>6.2241136710893194E-3</v>
      </c>
      <c r="F262" s="66">
        <f>Model!F1262</f>
        <v>7.3444816053511702E-3</v>
      </c>
      <c r="G262" s="66">
        <f>Model!G1262</f>
        <v>8.2370592648162034E-3</v>
      </c>
      <c r="H262" s="66">
        <f>Model!H1262</f>
        <v>7.5069649295313014E-3</v>
      </c>
      <c r="I262" s="66">
        <f>Model!I1262</f>
        <v>7.2708564843396309E-3</v>
      </c>
      <c r="J262" s="66">
        <f>Model!J1262</f>
        <v>7.3014075002410094E-3</v>
      </c>
      <c r="K262" s="66">
        <f>Model!K1262</f>
        <v>7.951883433283357E-3</v>
      </c>
      <c r="L262" s="66">
        <f>Model!L1262</f>
        <v>7.8113401247729601E-3</v>
      </c>
      <c r="M262" s="66">
        <f>Model!M1262</f>
        <v>7.7783844864590208E-3</v>
      </c>
      <c r="N262" s="66">
        <f>Model!N1262</f>
        <v>7.4897400820793424E-3</v>
      </c>
      <c r="O262" s="66">
        <f>Model!O1262</f>
        <v>9.0839580209895049E-3</v>
      </c>
      <c r="P262" s="66">
        <f>Model!P1262</f>
        <v>7.3632781717888098E-3</v>
      </c>
      <c r="Q262" s="66">
        <f>Model!Q1262</f>
        <v>7.3516020496357578E-3</v>
      </c>
      <c r="R262" s="66">
        <f>Model!R1262</f>
        <v>6.9812465012129123E-3</v>
      </c>
      <c r="S262" s="66">
        <f>Model!S1262</f>
        <v>8.3123610424901181E-3</v>
      </c>
      <c r="T262" s="66">
        <f>Model!T1262</f>
        <v>6.3671715104379857E-3</v>
      </c>
      <c r="U262" s="66">
        <f>Model!U1262</f>
        <v>6.9265815686793721E-3</v>
      </c>
      <c r="V262" s="66">
        <f>Model!V1262</f>
        <v>7.2000918554807102E-3</v>
      </c>
      <c r="W262" s="66">
        <f>Model!W1262</f>
        <v>8.2388313446462857E-3</v>
      </c>
      <c r="X262" s="66">
        <f>Model!X1262</f>
        <v>6.8956131924431631E-3</v>
      </c>
      <c r="Y262" s="66">
        <f>Model!Y1262</f>
        <v>6.8775918389411012E-3</v>
      </c>
      <c r="Z262" s="66">
        <f>Model!Z1262</f>
        <v>8.2482147699538995E-3</v>
      </c>
      <c r="AA262" s="66">
        <f>Model!AA1262</f>
        <v>6.6442183801276476E-3</v>
      </c>
      <c r="AB262" s="66">
        <f>Model!AB1262</f>
        <v>6.3962534934662732E-3</v>
      </c>
      <c r="AC262" s="66">
        <f>Model!AC1262</f>
        <v>6.9030591434398368E-3</v>
      </c>
      <c r="AD262" s="66">
        <f>Model!AD1262</f>
        <v>7.5245893389161789E-3</v>
      </c>
      <c r="AE262" s="66">
        <f>Model!AE1262</f>
        <v>7.837376197761493E-3</v>
      </c>
      <c r="AF262" s="66">
        <f>Model!AF1262</f>
        <v>8.202427185641202E-3</v>
      </c>
      <c r="AG262" s="66">
        <f>Model!AG1262</f>
        <v>8.429615833905689E-3</v>
      </c>
      <c r="AH262" s="66">
        <f>Model!AH1262</f>
        <v>8.6923109119935778E-3</v>
      </c>
      <c r="AI262" s="66">
        <f>Model!AI1262</f>
        <v>9.0025356436141003E-3</v>
      </c>
      <c r="AJ262" s="66"/>
      <c r="AK262" s="66"/>
      <c r="AL262" s="66"/>
      <c r="AM262" s="66"/>
      <c r="AN262" s="66"/>
      <c r="AO262" s="66"/>
      <c r="AP262" s="66"/>
      <c r="AQ262" s="66"/>
      <c r="AS262" s="1160"/>
      <c r="AT262" s="1160"/>
      <c r="AU262" s="66">
        <f>Model!AU1262</f>
        <v>7.1781033153431005E-3</v>
      </c>
      <c r="AV262" s="66">
        <f>Model!AV1262</f>
        <v>7.5128771155261219E-3</v>
      </c>
      <c r="AW262" s="66">
        <f>Model!AW1262</f>
        <v>8.0443828016643557E-3</v>
      </c>
      <c r="AX262" s="66">
        <f>Model!AX1262</f>
        <v>7.5035460992907803E-3</v>
      </c>
      <c r="AY262" s="66">
        <f>Model!AY1262</f>
        <v>7.1825962910128391E-3</v>
      </c>
      <c r="AZ262" s="66">
        <f>Model!AZ1262</f>
        <v>7.1726555652936019E-3</v>
      </c>
      <c r="BA262" s="66">
        <f>Model!BA1262</f>
        <v>7.1797642413727958E-3</v>
      </c>
      <c r="BB262" s="66">
        <f>Model!BB1262</f>
        <v>8.5890084662792812E-3</v>
      </c>
      <c r="BC262" s="66">
        <f>Model!BC1262</f>
        <v>9.6355073601749018E-3</v>
      </c>
      <c r="BD262" s="66">
        <f>Model!BD1262</f>
        <v>1.0696653641763162E-2</v>
      </c>
      <c r="BE262" s="66">
        <f>Model!BE1262</f>
        <v>1.199361383598793E-2</v>
      </c>
    </row>
    <row r="263" spans="1:57" s="916" customFormat="1" x14ac:dyDescent="0.2">
      <c r="A263" s="916" t="s">
        <v>1116</v>
      </c>
      <c r="D263" s="66">
        <f>Model!D1265</f>
        <v>5.3323454970685288E-2</v>
      </c>
      <c r="E263" s="66">
        <f>Model!E1265</f>
        <v>5.0764291887887392E-2</v>
      </c>
      <c r="F263" s="66">
        <f>Model!F1265</f>
        <v>4.5898442569759897E-2</v>
      </c>
      <c r="G263" s="66">
        <f>Model!G1265</f>
        <v>4.4002870597342272E-2</v>
      </c>
      <c r="H263" s="66">
        <f>Model!H1265</f>
        <v>4.5473220226214237E-2</v>
      </c>
      <c r="I263" s="66">
        <f>Model!I1265</f>
        <v>4.344982748344093E-2</v>
      </c>
      <c r="J263" s="66">
        <f>Model!J1265</f>
        <v>3.9794410881119797E-2</v>
      </c>
      <c r="K263" s="66">
        <f>Model!K1265</f>
        <v>3.8583023972818216E-2</v>
      </c>
      <c r="L263" s="66">
        <f>Model!L1265</f>
        <v>4.0585114998380301E-2</v>
      </c>
      <c r="M263" s="66">
        <f>Model!M1265</f>
        <v>4.0583862223448633E-2</v>
      </c>
      <c r="N263" s="66">
        <f>Model!N1265</f>
        <v>3.8649125621690997E-2</v>
      </c>
      <c r="O263" s="66">
        <f>Model!O1265</f>
        <v>3.7914537742215364E-2</v>
      </c>
      <c r="P263" s="66">
        <f>Model!P1265</f>
        <v>3.7798757972473986E-2</v>
      </c>
      <c r="Q263" s="66">
        <f>Model!Q1265</f>
        <v>3.8380749350726252E-2</v>
      </c>
      <c r="R263" s="66">
        <f>Model!R1265</f>
        <v>3.3862005966947141E-2</v>
      </c>
      <c r="S263" s="66">
        <f>Model!S1265</f>
        <v>3.3489006447346661E-2</v>
      </c>
      <c r="T263" s="66">
        <f>Model!T1265</f>
        <v>3.5226768661650608E-2</v>
      </c>
      <c r="U263" s="66">
        <f>Model!U1265</f>
        <v>3.4487165601646268E-2</v>
      </c>
      <c r="V263" s="66">
        <f>Model!V1265</f>
        <v>2.9857463021066784E-2</v>
      </c>
      <c r="W263" s="66">
        <f>Model!W1265</f>
        <v>3.2774687672908351E-2</v>
      </c>
      <c r="X263" s="66">
        <f>Model!X1265</f>
        <v>3.676355732390215E-2</v>
      </c>
      <c r="Y263" s="66">
        <f>Model!Y1265</f>
        <v>3.6297464911326294E-2</v>
      </c>
      <c r="Z263" s="66">
        <f>Model!Z1265</f>
        <v>3.5844384757428231E-2</v>
      </c>
      <c r="AA263" s="66">
        <f>Model!AA1265</f>
        <v>3.5034422580113224E-2</v>
      </c>
      <c r="AB263" s="66">
        <f>Model!AB1265</f>
        <v>3.8313791178112781E-2</v>
      </c>
      <c r="AC263" s="66">
        <f>Model!AC1265</f>
        <v>3.8820079676779327E-2</v>
      </c>
      <c r="AD263" s="66">
        <f>Model!AD1265</f>
        <v>3.9375315697635416E-2</v>
      </c>
      <c r="AE263" s="66">
        <f>Model!AE1265</f>
        <v>3.9813861469457319E-2</v>
      </c>
      <c r="AF263" s="66">
        <f>Model!AF1265</f>
        <v>4.0090778013759834E-2</v>
      </c>
      <c r="AG263" s="66">
        <f>Model!AG1265</f>
        <v>4.0342770269298764E-2</v>
      </c>
      <c r="AH263" s="66">
        <f>Model!AH1265</f>
        <v>4.1795645316335422E-2</v>
      </c>
      <c r="AI263" s="66">
        <f>Model!AI1265</f>
        <v>4.2518512126118235E-2</v>
      </c>
      <c r="AJ263" s="66"/>
      <c r="AK263" s="66"/>
      <c r="AL263" s="66"/>
      <c r="AM263" s="66"/>
      <c r="AN263" s="66"/>
      <c r="AO263" s="66"/>
      <c r="AP263" s="66"/>
      <c r="AQ263" s="66"/>
      <c r="AS263" s="1160"/>
      <c r="AT263" s="1160"/>
      <c r="AU263" s="66">
        <f>Model!AU1265</f>
        <v>4.8496756255792403E-2</v>
      </c>
      <c r="AV263" s="66">
        <f>Model!AV1265</f>
        <v>4.1773952095808385E-2</v>
      </c>
      <c r="AW263" s="66">
        <f>Model!AW1265</f>
        <v>3.9425837320574156E-2</v>
      </c>
      <c r="AX263" s="66">
        <f>Model!AX1265</f>
        <v>3.5866284622731615E-2</v>
      </c>
      <c r="AY263" s="66">
        <f>Model!AY1265</f>
        <v>3.2996415770609321E-2</v>
      </c>
      <c r="AZ263" s="66">
        <f>Model!AZ1265</f>
        <v>3.5973372300698157E-2</v>
      </c>
      <c r="BA263" s="66">
        <f>Model!BA1265</f>
        <v>3.9096696245328522E-2</v>
      </c>
      <c r="BB263" s="66">
        <f>Model!BB1265</f>
        <v>4.1220082279489416E-2</v>
      </c>
      <c r="BC263" s="66">
        <f>Model!BC1265</f>
        <v>4.3824282284529878E-2</v>
      </c>
      <c r="BD263" s="66">
        <f>Model!BD1265</f>
        <v>4.6092070300339322E-2</v>
      </c>
      <c r="BE263" s="66">
        <f>Model!BE1265</f>
        <v>4.8440567894413034E-2</v>
      </c>
    </row>
    <row r="264" spans="1:57" s="916" customFormat="1" x14ac:dyDescent="0.2">
      <c r="A264" s="916" t="s">
        <v>1117</v>
      </c>
      <c r="D264" s="66">
        <f>Model!D1269</f>
        <v>-9.6958398744113026E-4</v>
      </c>
      <c r="E264" s="66">
        <f>Model!E1269</f>
        <v>2.2000563539025077E-3</v>
      </c>
      <c r="F264" s="66">
        <f>Model!F1269</f>
        <v>2.3707187222715173E-3</v>
      </c>
      <c r="G264" s="66">
        <f>Model!G1269</f>
        <v>1.2880434782608695E-3</v>
      </c>
      <c r="H264" s="66">
        <f>Model!H1269</f>
        <v>6.7868480725623574E-4</v>
      </c>
      <c r="I264" s="66">
        <f>Model!I1269</f>
        <v>8.7398982340616588E-4</v>
      </c>
      <c r="J264" s="66">
        <f>Model!J1269</f>
        <v>1.0408745247148287E-3</v>
      </c>
      <c r="K264" s="66">
        <f>Model!K1269</f>
        <v>4.0991496871490451E-4</v>
      </c>
      <c r="L264" s="66">
        <f>Model!L1269</f>
        <v>1.9396135265700482E-3</v>
      </c>
      <c r="M264" s="66">
        <f>Model!M1269</f>
        <v>1.2755795441307807E-4</v>
      </c>
      <c r="N264" s="66">
        <f>Model!N1269</f>
        <v>2.2430480872637882E-4</v>
      </c>
      <c r="O264" s="66">
        <f>Model!O1269</f>
        <v>1.6660219712207951E-3</v>
      </c>
      <c r="P264" s="66">
        <f>Model!P1269</f>
        <v>-1.4588329336530774E-5</v>
      </c>
      <c r="Q264" s="66">
        <f>Model!Q1269</f>
        <v>1.138066086162972E-3</v>
      </c>
      <c r="R264" s="66">
        <f>Model!R1269</f>
        <v>5.0271739130434783E-4</v>
      </c>
      <c r="S264" s="66">
        <f>Model!S1269</f>
        <v>1.2954747116237799E-3</v>
      </c>
      <c r="T264" s="66">
        <f>Model!T1269</f>
        <v>2.8767368224995342E-3</v>
      </c>
      <c r="U264" s="66">
        <f>Model!U1269</f>
        <v>1.8654569115095429E-3</v>
      </c>
      <c r="V264" s="66">
        <f>Model!V1269</f>
        <v>5.8313270075060195E-4</v>
      </c>
      <c r="W264" s="66">
        <f>Model!W1269</f>
        <v>1.5572797482837528E-3</v>
      </c>
      <c r="X264" s="66">
        <f>Model!X1269</f>
        <v>3.3572479764532742E-4</v>
      </c>
      <c r="Y264" s="66">
        <f>Model!Y1269</f>
        <v>9.098409577642804E-4</v>
      </c>
      <c r="Z264" s="66">
        <f>Model!Z1269</f>
        <v>5.4381687660842466E-4</v>
      </c>
      <c r="AA264" s="66">
        <f>Model!AA1269</f>
        <v>2.721533669141039E-3</v>
      </c>
      <c r="AB264" s="66">
        <f>Model!AB1269</f>
        <v>1.2561455260570304E-3</v>
      </c>
      <c r="AC264" s="66">
        <f>Model!AC1269</f>
        <v>2E-3</v>
      </c>
      <c r="AD264" s="66">
        <f>Model!AD1269</f>
        <v>2.2000000000000001E-3</v>
      </c>
      <c r="AE264" s="66">
        <f>Model!AE1269</f>
        <v>2.5000000000000001E-3</v>
      </c>
      <c r="AF264" s="66">
        <f>Model!AF1269</f>
        <v>2.7000000000000001E-3</v>
      </c>
      <c r="AG264" s="66">
        <f>Model!AG1269</f>
        <v>2.8999999999999998E-3</v>
      </c>
      <c r="AH264" s="66">
        <f>Model!AH1269</f>
        <v>3.0999999999999999E-3</v>
      </c>
      <c r="AI264" s="66">
        <f>Model!AI1269</f>
        <v>3.3E-3</v>
      </c>
      <c r="AJ264" s="66"/>
      <c r="AK264" s="66"/>
      <c r="AL264" s="66"/>
      <c r="AM264" s="66"/>
      <c r="AN264" s="66"/>
      <c r="AO264" s="66"/>
      <c r="AP264" s="66"/>
      <c r="AQ264" s="66"/>
      <c r="AS264" s="1160"/>
      <c r="AT264" s="1160"/>
      <c r="AU264" s="66">
        <f>Model!AU1269</f>
        <v>1.2629355860612459E-3</v>
      </c>
      <c r="AV264" s="66">
        <f>Model!AV1269</f>
        <v>7.4903474903474903E-4</v>
      </c>
      <c r="AW264" s="66">
        <f>Model!AW1269</f>
        <v>9.7951914514692777E-4</v>
      </c>
      <c r="AX264" s="66">
        <f>Model!AX1269</f>
        <v>7.424111014744146E-4</v>
      </c>
      <c r="AY264" s="66">
        <f>Model!AY1269</f>
        <v>1.7057851239669422E-3</v>
      </c>
      <c r="AZ264" s="66">
        <f>Model!AZ1269</f>
        <v>1.1550632911392405E-3</v>
      </c>
      <c r="BA264" s="66">
        <f>Model!BA1269</f>
        <v>2.0014945076959807E-3</v>
      </c>
      <c r="BB264" s="66">
        <f>Model!BB1269</f>
        <v>3.0083767915270324E-3</v>
      </c>
      <c r="BC264" s="66">
        <f>Model!BC1269</f>
        <v>3.5000000000000001E-3</v>
      </c>
      <c r="BD264" s="66">
        <f>Model!BD1269</f>
        <v>4.0000000000000001E-3</v>
      </c>
      <c r="BE264" s="66">
        <f>Model!BE1269</f>
        <v>5.0000000000000001E-3</v>
      </c>
    </row>
    <row r="265" spans="1:57" s="916" customFormat="1" x14ac:dyDescent="0.2">
      <c r="D265" s="33"/>
      <c r="E265" s="33"/>
      <c r="F265" s="33"/>
      <c r="G265" s="33"/>
      <c r="H265" s="33"/>
      <c r="I265" s="33"/>
      <c r="J265" s="33"/>
      <c r="K265" s="33"/>
      <c r="L265" s="33"/>
      <c r="M265" s="33"/>
      <c r="N265" s="33"/>
      <c r="O265" s="33"/>
      <c r="P265" s="33"/>
      <c r="Q265" s="33"/>
      <c r="R265" s="33"/>
      <c r="S265" s="33"/>
      <c r="T265" s="33"/>
      <c r="U265" s="33"/>
      <c r="V265" s="33"/>
      <c r="W265" s="33"/>
      <c r="X265" s="33"/>
      <c r="Y265" s="33"/>
      <c r="Z265" s="33"/>
      <c r="AA265" s="33"/>
      <c r="AB265" s="33"/>
      <c r="AC265" s="33"/>
      <c r="AD265" s="33"/>
      <c r="AE265" s="33"/>
      <c r="AF265" s="33"/>
      <c r="AG265" s="33"/>
      <c r="AH265" s="33"/>
      <c r="AI265" s="33"/>
      <c r="AJ265" s="33"/>
      <c r="AK265" s="33"/>
      <c r="AL265" s="33"/>
      <c r="AM265" s="33"/>
      <c r="AN265" s="33"/>
      <c r="AO265" s="33"/>
      <c r="AP265" s="33"/>
      <c r="AQ265" s="33"/>
      <c r="AS265" s="1160"/>
      <c r="AT265" s="1160"/>
      <c r="AU265" s="33"/>
      <c r="AV265" s="33"/>
      <c r="AW265" s="33"/>
      <c r="AX265" s="33"/>
      <c r="AY265" s="33"/>
      <c r="AZ265" s="33"/>
      <c r="BA265" s="33"/>
      <c r="BB265" s="33"/>
      <c r="BC265" s="33"/>
      <c r="BD265" s="33"/>
      <c r="BE265" s="33"/>
    </row>
    <row r="266" spans="1:57" x14ac:dyDescent="0.2">
      <c r="A266" s="17" t="s">
        <v>1416</v>
      </c>
      <c r="D266" s="26">
        <f>Model!D1172</f>
        <v>4.4777040580157385E-2</v>
      </c>
      <c r="E266" s="26">
        <f>Model!E1172</f>
        <v>4.2154198473282445E-2</v>
      </c>
      <c r="F266" s="26">
        <f>Model!F1172</f>
        <v>3.9356112376613517E-2</v>
      </c>
      <c r="G266" s="26">
        <f>Model!G1172</f>
        <v>3.8838877021666149E-2</v>
      </c>
      <c r="H266" s="26">
        <f>Model!H1172</f>
        <v>3.6712053226056009E-2</v>
      </c>
      <c r="I266" s="26">
        <f>Model!I1172</f>
        <v>3.3524933975454405E-2</v>
      </c>
      <c r="J266" s="26">
        <f>Model!J1172</f>
        <v>3.1333637469586381E-2</v>
      </c>
      <c r="K266" s="26">
        <f>Model!K1172</f>
        <v>2.9523666416228399E-2</v>
      </c>
      <c r="L266" s="26">
        <f>Model!L1172</f>
        <v>2.8489912676904545E-2</v>
      </c>
      <c r="M266" s="26">
        <f>Model!M1172</f>
        <v>2.6801498127340825E-2</v>
      </c>
      <c r="N266" s="26">
        <f>Model!N1172</f>
        <v>2.587182624655858E-2</v>
      </c>
      <c r="O266" s="26">
        <f>Model!O1172</f>
        <v>2.4812286689419795E-2</v>
      </c>
      <c r="P266" s="26">
        <f>Model!P1172</f>
        <v>2.3507246376811595E-2</v>
      </c>
      <c r="Q266" s="26">
        <f>Model!Q1172</f>
        <v>2.226704635342509E-2</v>
      </c>
      <c r="R266" s="26">
        <f>Model!R1172</f>
        <v>2.1892673521850901E-2</v>
      </c>
      <c r="S266" s="26">
        <f>Model!S1172</f>
        <v>2.0440343208677353E-2</v>
      </c>
      <c r="T266" s="26">
        <f>Model!T1172</f>
        <v>2.0539667151397642E-2</v>
      </c>
      <c r="U266" s="26">
        <f>Model!U1172</f>
        <v>1.942225730071034E-2</v>
      </c>
      <c r="V266" s="26">
        <f>Model!V1172</f>
        <v>1.9481597494126861E-2</v>
      </c>
      <c r="W266" s="26">
        <f>Model!W1172</f>
        <v>1.9314541960281865E-2</v>
      </c>
      <c r="X266" s="26">
        <f>Model!X1172</f>
        <v>1.9137766465160674E-2</v>
      </c>
      <c r="Y266" s="26">
        <f>Model!Y1172</f>
        <v>1.8654979832454236E-2</v>
      </c>
      <c r="Z266" s="26">
        <f>Model!Z1172</f>
        <v>1.893431327514929E-2</v>
      </c>
      <c r="AA266" s="26">
        <f>Model!AA1172</f>
        <v>1.8523238380809597E-2</v>
      </c>
      <c r="AB266" s="26">
        <f>Model!AB1172</f>
        <v>1.8359340169415962E-2</v>
      </c>
      <c r="AC266" s="26">
        <f>Model!AC1172</f>
        <v>1.8413875699966168E-2</v>
      </c>
      <c r="AD266" s="26">
        <f>Model!AD1172</f>
        <v>1.8467018718263256E-2</v>
      </c>
      <c r="AE266" s="26">
        <f>Model!AE1172</f>
        <v>1.8474011961695239E-2</v>
      </c>
      <c r="AF266" s="26">
        <f>Model!AF1172</f>
        <v>1.8581060092038432E-2</v>
      </c>
      <c r="AG266" s="26">
        <f>Model!AG1172</f>
        <v>1.863587509641311E-2</v>
      </c>
      <c r="AH266" s="26">
        <f>Model!AH1172</f>
        <v>1.858995501709005E-2</v>
      </c>
      <c r="AI266" s="26">
        <f>Model!AI1172</f>
        <v>1.8486802793987116E-2</v>
      </c>
      <c r="AJ266" s="26"/>
      <c r="AK266" s="26"/>
      <c r="AL266" s="26"/>
      <c r="AM266" s="26"/>
      <c r="AN266" s="26"/>
      <c r="AO266" s="26"/>
      <c r="AP266" s="26"/>
      <c r="AQ266" s="26"/>
      <c r="AU266" s="26">
        <f>Model!AU1172</f>
        <v>3.8838877021666149E-2</v>
      </c>
      <c r="AV266" s="26">
        <f>Model!AV1172</f>
        <v>2.9523666416228399E-2</v>
      </c>
      <c r="AW266" s="26">
        <f>Model!AW1172</f>
        <v>2.4812286689419795E-2</v>
      </c>
      <c r="AX266" s="26">
        <f>Model!AX1172</f>
        <v>2.0440343208677353E-2</v>
      </c>
      <c r="AY266" s="26">
        <f>Model!AY1172</f>
        <v>1.9314541960281865E-2</v>
      </c>
      <c r="AZ266" s="26">
        <f>Model!AZ1172</f>
        <v>1.8523238380809597E-2</v>
      </c>
      <c r="BA266" s="26">
        <f>Model!BA1172</f>
        <v>1.8474011961695239E-2</v>
      </c>
      <c r="BB266" s="26">
        <f>Model!BB1172</f>
        <v>1.8486802793987116E-2</v>
      </c>
      <c r="BC266" s="26">
        <f>Model!BC1172</f>
        <v>1.8723165418556849E-2</v>
      </c>
      <c r="BD266" s="26">
        <f>Model!BD1172</f>
        <v>1.8977959548122578E-2</v>
      </c>
      <c r="BE266" s="26">
        <f>Model!BE1172</f>
        <v>1.9364308520718191E-2</v>
      </c>
    </row>
    <row r="267" spans="1:57" s="916" customFormat="1" x14ac:dyDescent="0.2">
      <c r="A267" s="916" t="s">
        <v>1114</v>
      </c>
      <c r="D267" s="33">
        <f>Model!D1130</f>
        <v>29020</v>
      </c>
      <c r="E267" s="33">
        <f>Model!E1130</f>
        <v>27611</v>
      </c>
      <c r="F267" s="33">
        <f>Model!F1130</f>
        <v>25916</v>
      </c>
      <c r="G267" s="33">
        <f>Model!G1130</f>
        <v>25455</v>
      </c>
      <c r="H267" s="33">
        <f>Model!H1130</f>
        <v>23727</v>
      </c>
      <c r="I267" s="33">
        <f>Model!I1130</f>
        <v>21580</v>
      </c>
      <c r="J267" s="33">
        <f>Model!J1130</f>
        <v>20605</v>
      </c>
      <c r="K267" s="33">
        <f>Model!K1130</f>
        <v>19648</v>
      </c>
      <c r="L267" s="33">
        <f>Model!L1130</f>
        <v>18923</v>
      </c>
      <c r="M267" s="33">
        <f>Model!M1130</f>
        <v>17890</v>
      </c>
      <c r="N267" s="33">
        <f>Model!N1130</f>
        <v>16915</v>
      </c>
      <c r="O267" s="33">
        <f>Model!O1130</f>
        <v>15994</v>
      </c>
      <c r="P267" s="33">
        <f>Model!P1130</f>
        <v>14598</v>
      </c>
      <c r="Q267" s="33">
        <f>Model!Q1130</f>
        <v>14075</v>
      </c>
      <c r="R267" s="33">
        <f>Model!R1130</f>
        <v>13626</v>
      </c>
      <c r="S267" s="33">
        <f>Model!S1130</f>
        <v>12626</v>
      </c>
      <c r="T267" s="33">
        <f>Model!T1130</f>
        <v>12712</v>
      </c>
      <c r="U267" s="33">
        <f>Model!U1130</f>
        <v>12304</v>
      </c>
      <c r="V267" s="33">
        <f>Model!V1130</f>
        <v>12439</v>
      </c>
      <c r="W267" s="33">
        <f>Model!W1130</f>
        <v>12060</v>
      </c>
      <c r="X267" s="33">
        <f>Model!X1130</f>
        <v>12030</v>
      </c>
      <c r="Y267" s="33">
        <f>Model!Y1130</f>
        <v>12025</v>
      </c>
      <c r="Z267" s="33">
        <f>Model!Z1130</f>
        <v>12366</v>
      </c>
      <c r="AA267" s="33">
        <f>Model!AA1130</f>
        <v>12355</v>
      </c>
      <c r="AB267" s="33">
        <f>Model!AB1130</f>
        <v>12354</v>
      </c>
      <c r="AC267" s="33">
        <f>Model!AC1130</f>
        <v>12530.734483205479</v>
      </c>
      <c r="AD267" s="33">
        <f>Model!AD1130</f>
        <v>12716.305618471471</v>
      </c>
      <c r="AE267" s="33">
        <f>Model!AE1130</f>
        <v>12918.282671513942</v>
      </c>
      <c r="AF267" s="33">
        <f>Model!AF1130</f>
        <v>13101.683109156786</v>
      </c>
      <c r="AG267" s="33">
        <f>Model!AG1130</f>
        <v>13299.525721371074</v>
      </c>
      <c r="AH267" s="33">
        <f>Model!AH1130</f>
        <v>13510.078038233059</v>
      </c>
      <c r="AI267" s="33">
        <f>Model!AI1130</f>
        <v>13730.571199690507</v>
      </c>
      <c r="AJ267" s="33"/>
      <c r="AK267" s="33"/>
      <c r="AL267" s="33"/>
      <c r="AM267" s="33"/>
      <c r="AN267" s="33"/>
      <c r="AO267" s="33"/>
      <c r="AP267" s="33"/>
      <c r="AQ267" s="33"/>
      <c r="AS267" s="1160"/>
      <c r="AT267" s="1160"/>
      <c r="AU267" s="33">
        <f>Model!AU1130</f>
        <v>25455</v>
      </c>
      <c r="AV267" s="33">
        <f>Model!AV1130</f>
        <v>19648</v>
      </c>
      <c r="AW267" s="33">
        <f>Model!AW1130</f>
        <v>15994</v>
      </c>
      <c r="AX267" s="33">
        <f>Model!AX1130</f>
        <v>12626</v>
      </c>
      <c r="AY267" s="33">
        <f>Model!AY1130</f>
        <v>12060</v>
      </c>
      <c r="AZ267" s="33">
        <f>Model!AZ1130</f>
        <v>12355</v>
      </c>
      <c r="BA267" s="33">
        <f>Model!BA1130</f>
        <v>12918.282671513942</v>
      </c>
      <c r="BB267" s="33">
        <f>Model!BB1130</f>
        <v>13730.571199690507</v>
      </c>
      <c r="BC267" s="33">
        <f>Model!BC1130</f>
        <v>14649.911447978466</v>
      </c>
      <c r="BD267" s="33">
        <f>Model!BD1130</f>
        <v>15667.932662112735</v>
      </c>
      <c r="BE267" s="33">
        <f>Model!BE1130</f>
        <v>16797.317131442571</v>
      </c>
    </row>
    <row r="268" spans="1:57" s="916" customFormat="1" x14ac:dyDescent="0.2">
      <c r="A268" s="916" t="s">
        <v>1118</v>
      </c>
      <c r="D268" s="33">
        <f>Model!D1279</f>
        <v>11722</v>
      </c>
      <c r="E268" s="33">
        <f>Model!E1279</f>
        <v>10917</v>
      </c>
      <c r="F268" s="33">
        <f>Model!F1279</f>
        <v>12190</v>
      </c>
      <c r="G268" s="33">
        <f>Model!G1279</f>
        <v>11530</v>
      </c>
      <c r="H268" s="33">
        <f>Model!H1279</f>
        <v>10671</v>
      </c>
      <c r="I268" s="33">
        <f>Model!I1279</f>
        <v>9733</v>
      </c>
      <c r="J268" s="33">
        <f>Model!J1279</f>
        <v>9418</v>
      </c>
      <c r="K268" s="33">
        <f>Model!K1279</f>
        <v>9003</v>
      </c>
      <c r="L268" s="33">
        <f>Model!L1279</f>
        <v>8593</v>
      </c>
      <c r="M268" s="33">
        <f>Model!M1279</f>
        <v>7934</v>
      </c>
      <c r="N268" s="33">
        <f>Model!N1279</f>
        <v>7622</v>
      </c>
      <c r="O268" s="33">
        <f>Model!O1279</f>
        <v>7107</v>
      </c>
      <c r="P268" s="33">
        <f>Model!P1279</f>
        <v>6754</v>
      </c>
      <c r="Q268" s="33">
        <f>Model!Q1279</f>
        <v>6484</v>
      </c>
      <c r="R268" s="33">
        <f>Model!R1279</f>
        <v>6407</v>
      </c>
      <c r="S268" s="33">
        <f>Model!S1279</f>
        <v>5254</v>
      </c>
      <c r="T268" s="33">
        <f>Model!T1279</f>
        <v>5928</v>
      </c>
      <c r="U268" s="33">
        <f>Model!U1279</f>
        <v>6165</v>
      </c>
      <c r="V268" s="33">
        <f>Model!V1279</f>
        <v>5967</v>
      </c>
      <c r="W268" s="33">
        <f>Model!W1279</f>
        <v>5579</v>
      </c>
      <c r="X268" s="33">
        <f>Model!X1279</f>
        <v>5294</v>
      </c>
      <c r="Y268" s="139">
        <f>Model!Y1279</f>
        <v>4946</v>
      </c>
      <c r="Z268" s="139">
        <f>Model!Z1279</f>
        <v>4837</v>
      </c>
      <c r="AA268" s="139">
        <f>Model!AA1279</f>
        <v>4632</v>
      </c>
      <c r="AB268" s="139">
        <f>Model!AB1279</f>
        <v>4243</v>
      </c>
      <c r="AC268" s="139">
        <f>Model!AC1279</f>
        <v>4423.2825000000012</v>
      </c>
      <c r="AD268" s="139">
        <f>Model!AD1279</f>
        <v>4613.5897159999995</v>
      </c>
      <c r="AE268" s="139">
        <f>Model!AE1279</f>
        <v>4894.874967499999</v>
      </c>
      <c r="AF268" s="139">
        <f>Model!AF1279</f>
        <v>5076.7888332887987</v>
      </c>
      <c r="AG268" s="139">
        <f>Model!AG1279</f>
        <v>5352.3884654861995</v>
      </c>
      <c r="AH268" s="139">
        <f>Model!AH1279</f>
        <v>5595.9038523095023</v>
      </c>
      <c r="AI268" s="139">
        <f>Model!AI1279</f>
        <v>5718.9660870945399</v>
      </c>
      <c r="AJ268" s="139"/>
      <c r="AK268" s="139"/>
      <c r="AL268" s="139"/>
      <c r="AM268" s="139"/>
      <c r="AN268" s="139"/>
      <c r="AO268" s="139"/>
      <c r="AP268" s="139"/>
      <c r="AQ268" s="139"/>
      <c r="AS268" s="1160"/>
      <c r="AT268" s="1160"/>
      <c r="AU268" s="139">
        <f>Model!AU1279</f>
        <v>11530</v>
      </c>
      <c r="AV268" s="139">
        <f>Model!AV1279</f>
        <v>9003</v>
      </c>
      <c r="AW268" s="139">
        <f>Model!AW1279</f>
        <v>7107</v>
      </c>
      <c r="AX268" s="139">
        <f>Model!AX1279</f>
        <v>5254</v>
      </c>
      <c r="AY268" s="139">
        <f>Model!AY1279</f>
        <v>5579</v>
      </c>
      <c r="AZ268" s="139">
        <f>Model!AZ1279</f>
        <v>4632</v>
      </c>
      <c r="BA268" s="139">
        <f>Model!BA1279</f>
        <v>4894.874967499999</v>
      </c>
      <c r="BB268" s="139">
        <f>Model!BB1279</f>
        <v>5718.9660870945399</v>
      </c>
      <c r="BC268" s="139">
        <f>Model!BC1279</f>
        <v>6259.5874663196382</v>
      </c>
      <c r="BD268" s="139">
        <f>Model!BD1279</f>
        <v>7017.4787384417741</v>
      </c>
      <c r="BE268" s="139">
        <f>Model!BE1279</f>
        <v>7373.214254694517</v>
      </c>
    </row>
    <row r="269" spans="1:57" s="916" customFormat="1" x14ac:dyDescent="0.2">
      <c r="A269" s="916" t="s">
        <v>1119</v>
      </c>
      <c r="D269" s="1067">
        <f>Model!D1283</f>
        <v>1.8086715013115259E-2</v>
      </c>
      <c r="E269" s="1067">
        <f>Model!E1283</f>
        <v>1.6667175572519084E-2</v>
      </c>
      <c r="F269" s="1067">
        <f>Model!F1283</f>
        <v>1.8511769172361428E-2</v>
      </c>
      <c r="G269" s="1067">
        <f>Model!G1283</f>
        <v>1.7592310039670427E-2</v>
      </c>
      <c r="H269" s="1067">
        <f>Model!H1283</f>
        <v>1.6510908246944143E-2</v>
      </c>
      <c r="I269" s="1067">
        <f>Model!I1283</f>
        <v>1.5120397700792295E-2</v>
      </c>
      <c r="J269" s="1067">
        <f>Model!J1283</f>
        <v>1.4321776155717765E-2</v>
      </c>
      <c r="K269" s="1067">
        <f>Model!K1283</f>
        <v>1.3528174305033809E-2</v>
      </c>
      <c r="L269" s="1067">
        <f>Model!L1283</f>
        <v>1.2937368262571514E-2</v>
      </c>
      <c r="M269" s="1067">
        <f>Model!M1283</f>
        <v>1.1886142322097379E-2</v>
      </c>
      <c r="N269" s="1067">
        <f>Model!N1283</f>
        <v>1.1657999388192107E-2</v>
      </c>
      <c r="O269" s="1067">
        <f>Model!O1283</f>
        <v>1.1025442134657152E-2</v>
      </c>
      <c r="P269" s="1067">
        <f>Model!P1283</f>
        <v>1.0876006441223832E-2</v>
      </c>
      <c r="Q269" s="1067">
        <f>Model!Q1283</f>
        <v>1.0257870590096503E-2</v>
      </c>
      <c r="R269" s="1067">
        <f>Model!R1283</f>
        <v>1.0294023136246786E-2</v>
      </c>
      <c r="S269" s="1067">
        <f>Model!S1283</f>
        <v>8.5057471264367822E-3</v>
      </c>
      <c r="T269" s="1067">
        <f>Model!T1283</f>
        <v>9.5782840523509459E-3</v>
      </c>
      <c r="U269" s="1067">
        <f>Model!U1283</f>
        <v>9.7316495659037095E-3</v>
      </c>
      <c r="V269" s="1067">
        <f>Model!V1283</f>
        <v>9.3453406421299921E-3</v>
      </c>
      <c r="W269" s="1067">
        <f>Model!W1283</f>
        <v>8.9349775784753338E-3</v>
      </c>
      <c r="X269" s="1067">
        <f>Model!X1283</f>
        <v>8.4218899140948138E-3</v>
      </c>
      <c r="Y269" s="1067">
        <f>Model!Y1283</f>
        <v>7.6729754886751475E-3</v>
      </c>
      <c r="Z269" s="1067">
        <f>Model!Z1283</f>
        <v>7.4062165058949641E-3</v>
      </c>
      <c r="AA269" s="1067">
        <f>Model!AA1283</f>
        <v>6.9445277361319339E-3</v>
      </c>
      <c r="AB269" s="1067">
        <f>Model!AB1283</f>
        <v>6.3055431713478971E-3</v>
      </c>
      <c r="AC269" s="1067">
        <f>Model!AC1283</f>
        <v>6.4999999999999997E-3</v>
      </c>
      <c r="AD269" s="1067">
        <f>Model!AD1283</f>
        <v>6.7000000000000002E-3</v>
      </c>
      <c r="AE269" s="1067">
        <f>Model!AE1283</f>
        <v>7.0000000000000001E-3</v>
      </c>
      <c r="AF269" s="1067">
        <f>Model!AF1283</f>
        <v>7.1999999999999998E-3</v>
      </c>
      <c r="AG269" s="1067">
        <f>Model!AG1283</f>
        <v>7.4999999999999997E-3</v>
      </c>
      <c r="AH269" s="1067">
        <f>Model!AH1283</f>
        <v>7.7000000000000002E-3</v>
      </c>
      <c r="AI269" s="1067">
        <f>Model!AI1283</f>
        <v>7.7000000000000002E-3</v>
      </c>
      <c r="AJ269" s="1067"/>
      <c r="AK269" s="1067"/>
      <c r="AL269" s="1067"/>
      <c r="AM269" s="1067"/>
      <c r="AN269" s="1067"/>
      <c r="AO269" s="1067"/>
      <c r="AP269" s="1067"/>
      <c r="AQ269" s="1067"/>
      <c r="AS269" s="1160"/>
      <c r="AT269" s="1160"/>
      <c r="AU269" s="1067">
        <f>Model!AU1283</f>
        <v>1.7592310039670427E-2</v>
      </c>
      <c r="AV269" s="1067">
        <f>Model!AV1283</f>
        <v>1.3528174305033809E-2</v>
      </c>
      <c r="AW269" s="1067">
        <f>Model!AW1283</f>
        <v>1.1025442134657152E-2</v>
      </c>
      <c r="AX269" s="1067">
        <f>Model!AX1283</f>
        <v>8.5057471264367822E-3</v>
      </c>
      <c r="AY269" s="1067">
        <f>Model!AY1283</f>
        <v>8.9349775784753338E-3</v>
      </c>
      <c r="AZ269" s="1067">
        <f>Model!AZ1283</f>
        <v>6.9445277361319339E-3</v>
      </c>
      <c r="BA269" s="1067">
        <f>Model!BA1283</f>
        <v>6.9999999999999993E-3</v>
      </c>
      <c r="BB269" s="1067">
        <f>Model!BB1283</f>
        <v>7.7000000000000002E-3</v>
      </c>
      <c r="BC269" s="1067">
        <f>Model!BC1283</f>
        <v>8.0000000000000002E-3</v>
      </c>
      <c r="BD269" s="1067">
        <f>Model!BD1283</f>
        <v>8.5000000000000006E-3</v>
      </c>
      <c r="BE269" s="1067">
        <f>Model!BE1283</f>
        <v>8.5000000000000006E-3</v>
      </c>
    </row>
    <row r="270" spans="1:57" s="916" customFormat="1" x14ac:dyDescent="0.2">
      <c r="A270" s="916" t="s">
        <v>1120</v>
      </c>
      <c r="D270" s="33">
        <f>Model!D1281</f>
        <v>12303</v>
      </c>
      <c r="E270" s="33">
        <f>Model!E1281</f>
        <v>11461</v>
      </c>
      <c r="F270" s="33">
        <f>Model!F1281</f>
        <v>12665</v>
      </c>
      <c r="G270" s="33">
        <f>Model!G1281</f>
        <v>11972</v>
      </c>
      <c r="H270" s="33">
        <f>Model!H1281</f>
        <v>11083</v>
      </c>
      <c r="I270" s="33">
        <f>Model!I1281</f>
        <v>10125</v>
      </c>
      <c r="J270" s="33">
        <f>Model!J1281</f>
        <v>9821</v>
      </c>
      <c r="K270" s="33">
        <f>Model!K1281</f>
        <v>9419</v>
      </c>
      <c r="L270" s="33">
        <f>Model!L1281</f>
        <v>9002</v>
      </c>
      <c r="M270" s="33">
        <f>Model!M1281</f>
        <v>8335</v>
      </c>
      <c r="N270" s="33">
        <f>Model!N1281</f>
        <v>8005</v>
      </c>
      <c r="O270" s="33">
        <f>Model!O1281</f>
        <v>7367</v>
      </c>
      <c r="P270" s="33">
        <f>Model!P1281</f>
        <v>7028</v>
      </c>
      <c r="Q270" s="33">
        <f>Model!Q1281</f>
        <v>6730</v>
      </c>
      <c r="R270" s="33">
        <f>Model!R1281</f>
        <v>6634</v>
      </c>
      <c r="S270" s="33">
        <f>Model!S1281</f>
        <v>5463</v>
      </c>
      <c r="T270" s="33">
        <f>Model!T1281</f>
        <v>6133</v>
      </c>
      <c r="U270" s="33">
        <f>Model!U1281</f>
        <v>6340</v>
      </c>
      <c r="V270" s="33">
        <f>Model!V1281</f>
        <v>6128</v>
      </c>
      <c r="W270" s="33">
        <f>Model!W1281</f>
        <v>5765</v>
      </c>
      <c r="X270" s="33">
        <f>Model!X1281</f>
        <v>5467</v>
      </c>
      <c r="Y270" s="139">
        <f>Model!Y1281</f>
        <v>5114</v>
      </c>
      <c r="Z270" s="139">
        <f>Model!Z1281</f>
        <v>4980</v>
      </c>
      <c r="AA270" s="139">
        <f>Model!AA1281</f>
        <v>4776</v>
      </c>
      <c r="AB270" s="139">
        <f>Model!AB1281</f>
        <v>4357</v>
      </c>
      <c r="AC270" s="139" t="str">
        <f>Model!AC1281</f>
        <v>NF</v>
      </c>
      <c r="AD270" s="139" t="str">
        <f>Model!AD1281</f>
        <v>NF</v>
      </c>
      <c r="AE270" s="139" t="str">
        <f>Model!AE1281</f>
        <v>NF</v>
      </c>
      <c r="AF270" s="139" t="str">
        <f>Model!AF1281</f>
        <v>NF</v>
      </c>
      <c r="AG270" s="139" t="str">
        <f>Model!AG1281</f>
        <v>NF</v>
      </c>
      <c r="AH270" s="139" t="str">
        <f>Model!AH1281</f>
        <v>NF</v>
      </c>
      <c r="AI270" s="139" t="str">
        <f>Model!AI1281</f>
        <v>NF</v>
      </c>
      <c r="AJ270" s="139"/>
      <c r="AK270" s="139"/>
      <c r="AL270" s="139"/>
      <c r="AM270" s="139"/>
      <c r="AN270" s="139"/>
      <c r="AO270" s="139"/>
      <c r="AP270" s="139"/>
      <c r="AQ270" s="139"/>
      <c r="AS270" s="1160"/>
      <c r="AT270" s="1160"/>
      <c r="AU270" s="139">
        <f>Model!AU1281</f>
        <v>11972</v>
      </c>
      <c r="AV270" s="139">
        <f>Model!AV1281</f>
        <v>9419</v>
      </c>
      <c r="AW270" s="139">
        <f>Model!AW1281</f>
        <v>7367</v>
      </c>
      <c r="AX270" s="139">
        <f>Model!AX1281</f>
        <v>5463</v>
      </c>
      <c r="AY270" s="139">
        <f>Model!AY1281</f>
        <v>5765</v>
      </c>
      <c r="AZ270" s="139" t="str">
        <f>Model!AZ1281</f>
        <v>NF</v>
      </c>
      <c r="BA270" s="139" t="str">
        <f>Model!BA1281</f>
        <v>NF</v>
      </c>
      <c r="BB270" s="139" t="str">
        <f>Model!BB1281</f>
        <v>NF</v>
      </c>
      <c r="BC270" s="139" t="str">
        <f>Model!BC1281</f>
        <v>NF</v>
      </c>
      <c r="BD270" s="139" t="str">
        <f>Model!BD1281</f>
        <v>NF</v>
      </c>
      <c r="BE270" s="139" t="str">
        <f>Model!BE1281</f>
        <v>NF</v>
      </c>
    </row>
    <row r="271" spans="1:57" s="916" customFormat="1" x14ac:dyDescent="0.2">
      <c r="A271" s="916" t="s">
        <v>1121</v>
      </c>
      <c r="D271" s="1067">
        <f>Model!D1284</f>
        <v>6.3E-3</v>
      </c>
      <c r="E271" s="1067">
        <f>Model!E1284</f>
        <v>6.0000000000000001E-3</v>
      </c>
      <c r="F271" s="1067">
        <f>Model!F1284</f>
        <v>6.6E-3</v>
      </c>
      <c r="G271" s="1067">
        <f>Model!G1284</f>
        <v>6.4000000000000003E-3</v>
      </c>
      <c r="H271" s="1067">
        <f>Model!H1284</f>
        <v>5.8999999999999999E-3</v>
      </c>
      <c r="I271" s="1067">
        <f>Model!I1284</f>
        <v>5.4000000000000003E-3</v>
      </c>
      <c r="J271" s="1067">
        <f>Model!J1284</f>
        <v>5.1999999999999998E-3</v>
      </c>
      <c r="K271" s="1067">
        <f>Model!K1284</f>
        <v>5.0000000000000001E-3</v>
      </c>
      <c r="L271" s="1067">
        <f>Model!L1284</f>
        <v>4.7999999999999996E-3</v>
      </c>
      <c r="M271" s="1067">
        <f>Model!M1284</f>
        <v>4.4000000000000003E-3</v>
      </c>
      <c r="N271" s="1067">
        <f>Model!N1284</f>
        <v>4.3E-3</v>
      </c>
      <c r="O271" s="1067">
        <f>Model!O1284</f>
        <v>4.0000000000000001E-3</v>
      </c>
      <c r="P271" s="1067">
        <f>Model!P1284</f>
        <v>3.8E-3</v>
      </c>
      <c r="Q271" s="1067">
        <f>Model!Q1284</f>
        <v>3.7000000000000002E-3</v>
      </c>
      <c r="R271" s="1067">
        <f>Model!R1284</f>
        <v>3.7000000000000002E-3</v>
      </c>
      <c r="S271" s="1067">
        <f>Model!S1284</f>
        <v>3.2000000000000002E-3</v>
      </c>
      <c r="T271" s="1067">
        <f>Model!T1284</f>
        <v>3.3999999999999998E-3</v>
      </c>
      <c r="U271" s="1067">
        <f>Model!U1284</f>
        <v>3.5000000000000001E-3</v>
      </c>
      <c r="V271" s="1067">
        <f>Model!V1284</f>
        <v>3.3999999999999998E-3</v>
      </c>
      <c r="W271" s="1067">
        <f>Model!W1284</f>
        <v>3.2000000000000002E-3</v>
      </c>
      <c r="X271" s="1067">
        <f>Model!X1284</f>
        <v>3.0000000000000001E-3</v>
      </c>
      <c r="Y271" s="139">
        <f>Model!Y1284</f>
        <v>2.7000000000000001E-3</v>
      </c>
      <c r="Z271" s="139">
        <f>Model!Z1284</f>
        <v>2.5999999999999999E-3</v>
      </c>
      <c r="AA271" s="139">
        <f>Model!AA1284</f>
        <v>2.5999999999999999E-3</v>
      </c>
      <c r="AB271" s="139">
        <f>Model!AB1284</f>
        <v>2.3E-3</v>
      </c>
      <c r="AC271" s="139" t="str">
        <f>Model!AC1284</f>
        <v>NF</v>
      </c>
      <c r="AD271" s="139" t="str">
        <f>Model!AD1284</f>
        <v>NF</v>
      </c>
      <c r="AE271" s="139" t="str">
        <f>Model!AE1284</f>
        <v>NF</v>
      </c>
      <c r="AF271" s="139" t="str">
        <f>Model!AF1284</f>
        <v>NF</v>
      </c>
      <c r="AG271" s="139" t="str">
        <f>Model!AG1284</f>
        <v>NF</v>
      </c>
      <c r="AH271" s="139" t="str">
        <f>Model!AH1284</f>
        <v>NF</v>
      </c>
      <c r="AI271" s="139" t="str">
        <f>Model!AI1284</f>
        <v>NF</v>
      </c>
      <c r="AJ271" s="139"/>
      <c r="AK271" s="139"/>
      <c r="AL271" s="139"/>
      <c r="AM271" s="139"/>
      <c r="AN271" s="139"/>
      <c r="AO271" s="139"/>
      <c r="AP271" s="139"/>
      <c r="AQ271" s="139"/>
      <c r="AS271" s="1160"/>
      <c r="AT271" s="1160"/>
      <c r="AU271" s="139">
        <f>Model!AU1284</f>
        <v>6.4000000000000003E-3</v>
      </c>
      <c r="AV271" s="139">
        <f>Model!AV1284</f>
        <v>5.0000000000000001E-3</v>
      </c>
      <c r="AW271" s="139">
        <f>Model!AW1284</f>
        <v>4.0000000000000001E-3</v>
      </c>
      <c r="AX271" s="139">
        <f>Model!AX1284</f>
        <v>3.2000000000000002E-3</v>
      </c>
      <c r="AY271" s="139">
        <f>Model!AY1284</f>
        <v>3.2000000000000002E-3</v>
      </c>
      <c r="AZ271" s="139" t="str">
        <f>Model!AZ1284</f>
        <v>NF</v>
      </c>
      <c r="BA271" s="139" t="str">
        <f>Model!BA1284</f>
        <v>NF</v>
      </c>
      <c r="BB271" s="139" t="str">
        <f>Model!BB1284</f>
        <v>NF</v>
      </c>
      <c r="BC271" s="139" t="str">
        <f>Model!BC1284</f>
        <v>NF</v>
      </c>
      <c r="BD271" s="139" t="str">
        <f>Model!BD1284</f>
        <v>NF</v>
      </c>
      <c r="BE271" s="139" t="str">
        <f>Model!BE1284</f>
        <v>NF</v>
      </c>
    </row>
    <row r="272" spans="1:57" s="916" customFormat="1" x14ac:dyDescent="0.2">
      <c r="A272" s="238" t="s">
        <v>1243</v>
      </c>
      <c r="B272" s="238"/>
      <c r="C272" s="238"/>
      <c r="D272" s="1199">
        <f>D267/D268</f>
        <v>2.475686742876642</v>
      </c>
      <c r="E272" s="1199">
        <f t="shared" ref="E272:AE272" si="42">E267/E268</f>
        <v>2.5291746816891085</v>
      </c>
      <c r="F272" s="1199">
        <f t="shared" si="42"/>
        <v>2.1260049220672683</v>
      </c>
      <c r="G272" s="1199">
        <f t="shared" si="42"/>
        <v>2.2077189939288813</v>
      </c>
      <c r="H272" s="1199">
        <f t="shared" si="42"/>
        <v>2.2235029519257803</v>
      </c>
      <c r="I272" s="1199">
        <f t="shared" si="42"/>
        <v>2.217199219151341</v>
      </c>
      <c r="J272" s="1199">
        <f t="shared" si="42"/>
        <v>2.1878318114249309</v>
      </c>
      <c r="K272" s="1199">
        <f t="shared" si="42"/>
        <v>2.1823836498944797</v>
      </c>
      <c r="L272" s="1199">
        <f t="shared" si="42"/>
        <v>2.2021412777842428</v>
      </c>
      <c r="M272" s="1199">
        <f t="shared" si="42"/>
        <v>2.2548525334005545</v>
      </c>
      <c r="N272" s="1199">
        <f t="shared" si="42"/>
        <v>2.2192337969036999</v>
      </c>
      <c r="O272" s="1199">
        <f t="shared" si="42"/>
        <v>2.2504572956240327</v>
      </c>
      <c r="P272" s="1199">
        <f t="shared" si="42"/>
        <v>2.1613858454249333</v>
      </c>
      <c r="Q272" s="1199">
        <f t="shared" si="42"/>
        <v>2.1707279457125233</v>
      </c>
      <c r="R272" s="1199">
        <f t="shared" si="42"/>
        <v>2.1267363820820977</v>
      </c>
      <c r="S272" s="1199">
        <f t="shared" si="42"/>
        <v>2.4031214312904452</v>
      </c>
      <c r="T272" s="1199">
        <f t="shared" si="42"/>
        <v>2.144399460188934</v>
      </c>
      <c r="U272" s="1199">
        <f t="shared" si="42"/>
        <v>1.9957826439578263</v>
      </c>
      <c r="V272" s="1199">
        <f t="shared" si="42"/>
        <v>2.0846321434556727</v>
      </c>
      <c r="W272" s="1199">
        <f t="shared" si="42"/>
        <v>2.1616777200215092</v>
      </c>
      <c r="X272" s="1199">
        <f t="shared" si="42"/>
        <v>2.2723838307517945</v>
      </c>
      <c r="Y272" s="1199">
        <f t="shared" si="42"/>
        <v>2.4312575818843509</v>
      </c>
      <c r="Z272" s="1199">
        <f t="shared" si="42"/>
        <v>2.5565433119702297</v>
      </c>
      <c r="AA272" s="1199">
        <f t="shared" si="42"/>
        <v>2.6673143350604489</v>
      </c>
      <c r="AB272" s="1199">
        <f t="shared" si="42"/>
        <v>2.9116191374027811</v>
      </c>
      <c r="AC272" s="1199">
        <f t="shared" si="42"/>
        <v>2.8329039538409484</v>
      </c>
      <c r="AD272" s="1199">
        <f t="shared" si="42"/>
        <v>2.7562714504870534</v>
      </c>
      <c r="AE272" s="1199">
        <f t="shared" si="42"/>
        <v>2.6391445659564634</v>
      </c>
      <c r="AF272" s="1199">
        <f t="shared" ref="AF272:AI272" si="43">AF267/AF268</f>
        <v>2.5807027905608937</v>
      </c>
      <c r="AG272" s="1199">
        <f t="shared" si="43"/>
        <v>2.484783346188415</v>
      </c>
      <c r="AH272" s="1199">
        <f t="shared" si="43"/>
        <v>2.4142798723493568</v>
      </c>
      <c r="AI272" s="1199">
        <f t="shared" si="43"/>
        <v>2.4008834797385865</v>
      </c>
      <c r="AJ272" s="1199"/>
      <c r="AK272" s="1199"/>
      <c r="AL272" s="1199"/>
      <c r="AM272" s="1199"/>
      <c r="AN272" s="1199"/>
      <c r="AO272" s="1199"/>
      <c r="AP272" s="1199"/>
      <c r="AQ272" s="1199"/>
      <c r="AS272" s="1160"/>
      <c r="AT272" s="1160"/>
      <c r="AU272" s="1199">
        <f t="shared" ref="AU272:BD272" si="44">AU267/AU268</f>
        <v>2.2077189939288813</v>
      </c>
      <c r="AV272" s="1199">
        <f t="shared" si="44"/>
        <v>2.1823836498944797</v>
      </c>
      <c r="AW272" s="1199">
        <f t="shared" si="44"/>
        <v>2.2504572956240327</v>
      </c>
      <c r="AX272" s="1199">
        <f t="shared" si="44"/>
        <v>2.4031214312904452</v>
      </c>
      <c r="AY272" s="1199">
        <f t="shared" si="44"/>
        <v>2.1616777200215092</v>
      </c>
      <c r="AZ272" s="1199">
        <f t="shared" si="44"/>
        <v>2.6673143350604489</v>
      </c>
      <c r="BA272" s="1199">
        <f t="shared" si="44"/>
        <v>2.6391445659564634</v>
      </c>
      <c r="BB272" s="1199">
        <f t="shared" si="44"/>
        <v>2.4008834797385865</v>
      </c>
      <c r="BC272" s="1199">
        <f t="shared" si="44"/>
        <v>2.3403956773196057</v>
      </c>
      <c r="BD272" s="1199">
        <f t="shared" si="44"/>
        <v>2.2327011233085385</v>
      </c>
      <c r="BE272" s="1199">
        <f t="shared" ref="BE272" si="45">BE267/BE268</f>
        <v>2.2781539436139049</v>
      </c>
    </row>
    <row r="273" spans="1:57" x14ac:dyDescent="0.2">
      <c r="A273" s="238"/>
      <c r="B273" s="238"/>
      <c r="C273" s="238"/>
      <c r="D273" s="238"/>
      <c r="E273" s="238"/>
      <c r="F273" s="238"/>
      <c r="G273" s="238"/>
      <c r="H273" s="238"/>
      <c r="I273" s="238"/>
      <c r="J273" s="238"/>
      <c r="K273" s="238"/>
      <c r="L273" s="238"/>
      <c r="M273" s="238"/>
      <c r="N273" s="238"/>
      <c r="O273" s="238"/>
      <c r="P273" s="238"/>
      <c r="Q273" s="238"/>
      <c r="R273" s="238"/>
      <c r="S273" s="238"/>
      <c r="T273" s="238"/>
      <c r="U273" s="238"/>
      <c r="V273" s="238"/>
      <c r="W273" s="238"/>
      <c r="X273" s="238"/>
      <c r="Y273" s="238"/>
      <c r="Z273" s="238"/>
      <c r="AA273" s="238"/>
      <c r="AB273" s="238"/>
      <c r="AC273" s="238"/>
      <c r="AD273" s="238"/>
      <c r="AE273" s="238"/>
      <c r="AF273" s="238"/>
      <c r="AG273" s="238"/>
      <c r="AH273" s="238"/>
      <c r="AI273" s="238"/>
      <c r="AJ273" s="238"/>
      <c r="AK273" s="238"/>
      <c r="AL273" s="238"/>
      <c r="AM273" s="238"/>
      <c r="AN273" s="238"/>
      <c r="AO273" s="238"/>
      <c r="AP273" s="238"/>
      <c r="AQ273" s="238"/>
      <c r="AR273" s="238"/>
      <c r="AS273" s="238"/>
      <c r="AT273" s="238"/>
      <c r="AU273" s="238"/>
      <c r="AV273" s="238"/>
      <c r="AW273" s="238"/>
      <c r="AX273" s="238"/>
      <c r="AY273" s="238"/>
      <c r="AZ273" s="238"/>
      <c r="BA273" s="238"/>
      <c r="BB273" s="238"/>
      <c r="BC273" s="238"/>
      <c r="BD273" s="238"/>
      <c r="BE273" s="238"/>
    </row>
    <row r="274" spans="1:57" x14ac:dyDescent="0.2">
      <c r="A274" s="916" t="s">
        <v>809</v>
      </c>
      <c r="D274" s="9">
        <f>Model!D1581</f>
        <v>545</v>
      </c>
      <c r="E274" s="9">
        <f>Model!E1581</f>
        <v>480</v>
      </c>
      <c r="F274" s="9">
        <f>Model!F1581</f>
        <v>529</v>
      </c>
      <c r="G274" s="9">
        <f>Model!G1581</f>
        <v>1286</v>
      </c>
      <c r="H274" s="9">
        <f>Model!H1581</f>
        <v>710</v>
      </c>
      <c r="I274" s="9">
        <f>Model!I1581</f>
        <v>832</v>
      </c>
      <c r="J274" s="9">
        <f>Model!J1581</f>
        <v>677</v>
      </c>
      <c r="K274" s="9">
        <f>Model!K1581</f>
        <v>809</v>
      </c>
      <c r="L274" s="9">
        <f>Model!L1581</f>
        <v>945</v>
      </c>
      <c r="M274" s="9">
        <f>Model!M1581</f>
        <v>4151</v>
      </c>
      <c r="N274" s="9">
        <f>Model!N1581</f>
        <v>1551</v>
      </c>
      <c r="O274" s="9">
        <f>Model!O1581</f>
        <v>2851</v>
      </c>
      <c r="P274" s="9">
        <f>Model!P1581</f>
        <v>388</v>
      </c>
      <c r="Q274" s="9">
        <f>Model!Q1581</f>
        <v>360</v>
      </c>
      <c r="R274" s="9">
        <f>Model!R1581</f>
        <v>376</v>
      </c>
      <c r="S274" s="9">
        <f>Model!S1581</f>
        <v>411</v>
      </c>
      <c r="T274" s="9">
        <f>Model!T1581</f>
        <v>166</v>
      </c>
      <c r="U274" s="9">
        <f>Model!U1581</f>
        <v>325</v>
      </c>
      <c r="V274" s="9">
        <f>Model!V1581</f>
        <v>306</v>
      </c>
      <c r="W274" s="9">
        <f>Model!W1581</f>
        <v>280</v>
      </c>
      <c r="X274" s="9">
        <f>Model!X1581</f>
        <v>250</v>
      </c>
      <c r="Y274" s="9">
        <f>Model!Y1581</f>
        <v>250</v>
      </c>
      <c r="Z274" s="9">
        <f>Model!Z1581</f>
        <v>250</v>
      </c>
      <c r="AA274" s="9">
        <f>Model!AA1581</f>
        <v>250</v>
      </c>
      <c r="AB274" s="9">
        <f>Model!AB1581</f>
        <v>250</v>
      </c>
      <c r="AC274" s="9">
        <f>Model!AC1581</f>
        <v>250</v>
      </c>
      <c r="AD274" s="9">
        <f>Model!AD1581</f>
        <v>250</v>
      </c>
      <c r="AE274" s="9">
        <f>Model!AE1581</f>
        <v>250</v>
      </c>
      <c r="AF274" s="1707">
        <f>Model!AF1581</f>
        <v>250</v>
      </c>
      <c r="AG274" s="1707">
        <f>Model!AG1581</f>
        <v>250</v>
      </c>
      <c r="AH274" s="1707">
        <f>Model!AH1581</f>
        <v>250</v>
      </c>
      <c r="AI274" s="1707">
        <f>Model!AI1581</f>
        <v>250</v>
      </c>
      <c r="AU274" s="1198">
        <f>Model!AU1581</f>
        <v>2840</v>
      </c>
      <c r="AV274" s="1198">
        <f>Model!AV1581</f>
        <v>3028</v>
      </c>
      <c r="AW274" s="1198">
        <f>Model!AW1581</f>
        <v>9498</v>
      </c>
      <c r="AX274" s="1198">
        <f>Model!AX1581</f>
        <v>1535</v>
      </c>
      <c r="AY274" s="1198">
        <f>Model!AY1581</f>
        <v>1077</v>
      </c>
      <c r="AZ274" s="1198">
        <f>Model!AZ1581</f>
        <v>1000</v>
      </c>
      <c r="BA274" s="1198">
        <f>Model!BA1581</f>
        <v>1000</v>
      </c>
      <c r="BB274" s="1198">
        <f>Model!BB1581</f>
        <v>1000</v>
      </c>
      <c r="BC274" s="1198">
        <f>Model!BC1581</f>
        <v>1000</v>
      </c>
      <c r="BD274" s="1198">
        <f>Model!BD1581</f>
        <v>1000</v>
      </c>
      <c r="BE274" s="1702">
        <f>Model!BE1581</f>
        <v>1000</v>
      </c>
    </row>
    <row r="276" spans="1:57" x14ac:dyDescent="0.2">
      <c r="A276" s="916" t="s">
        <v>810</v>
      </c>
      <c r="D276" s="9">
        <f>Model!D1562</f>
        <v>263</v>
      </c>
      <c r="E276" s="916">
        <f>Model!E1562</f>
        <v>261</v>
      </c>
      <c r="F276" s="916">
        <f>Model!F1562</f>
        <v>262</v>
      </c>
      <c r="G276" s="916">
        <f>Model!G1562</f>
        <v>259</v>
      </c>
      <c r="H276" s="916">
        <f>Model!H1562</f>
        <v>257</v>
      </c>
      <c r="I276" s="916">
        <f>Model!I1562</f>
        <v>253</v>
      </c>
      <c r="J276" s="916">
        <f>Model!J1562</f>
        <v>252</v>
      </c>
      <c r="K276" s="916">
        <f>Model!K1562</f>
        <v>251</v>
      </c>
      <c r="L276" s="916">
        <f>Model!L1562</f>
        <v>248</v>
      </c>
      <c r="M276" s="916">
        <f>Model!M1562</f>
        <v>244</v>
      </c>
      <c r="N276" s="916">
        <f>Model!N1562</f>
        <v>243</v>
      </c>
      <c r="O276" s="916">
        <f>Model!O1562</f>
        <v>241</v>
      </c>
      <c r="P276" s="916">
        <f>Model!P1562</f>
        <v>239</v>
      </c>
      <c r="Q276" s="916">
        <f>Model!Q1562</f>
        <v>238</v>
      </c>
      <c r="R276" s="916">
        <f>Model!R1562</f>
        <v>239</v>
      </c>
      <c r="S276" s="916">
        <f>Model!S1562</f>
        <v>231</v>
      </c>
      <c r="T276" s="916">
        <f>Model!T1562</f>
        <v>225</v>
      </c>
      <c r="U276" s="916">
        <f>Model!U1562</f>
        <v>220</v>
      </c>
      <c r="V276" s="916">
        <f>Model!V1562</f>
        <v>220</v>
      </c>
      <c r="W276" s="916">
        <f>Model!W1562</f>
        <v>219</v>
      </c>
      <c r="X276" s="916">
        <f>Model!X1562</f>
        <v>215</v>
      </c>
      <c r="Y276" s="916">
        <f>Model!Y1562</f>
        <v>214</v>
      </c>
      <c r="Z276" s="916">
        <f>Model!Z1562</f>
        <v>213</v>
      </c>
      <c r="AA276" s="916">
        <f>Model!AA1562</f>
        <v>209</v>
      </c>
      <c r="AB276" s="916">
        <f>Model!AB1562</f>
        <v>209</v>
      </c>
      <c r="AC276" s="916" t="str">
        <f>Model!AC1562</f>
        <v>NF</v>
      </c>
      <c r="AD276" s="916" t="str">
        <f>Model!AD1562</f>
        <v>NF</v>
      </c>
      <c r="AE276" s="916" t="str">
        <f>Model!AE1562</f>
        <v>NF</v>
      </c>
      <c r="AF276" s="1707" t="str">
        <f>Model!AF1562</f>
        <v>NF</v>
      </c>
      <c r="AG276" s="1707" t="str">
        <f>Model!AG1562</f>
        <v>NF</v>
      </c>
      <c r="AH276" s="1707" t="str">
        <f>Model!AH1562</f>
        <v>NF</v>
      </c>
      <c r="AI276" s="1707" t="str">
        <f>Model!AI1562</f>
        <v>NF</v>
      </c>
      <c r="AU276" s="1198">
        <f>Model!AU1562</f>
        <v>259</v>
      </c>
      <c r="AV276" s="1198">
        <f>Model!AV1562</f>
        <v>251</v>
      </c>
      <c r="AW276" s="1198">
        <f>Model!AW1562</f>
        <v>241</v>
      </c>
      <c r="AX276" s="1198">
        <f>Model!AX1562</f>
        <v>231</v>
      </c>
      <c r="AY276" s="1198">
        <f>Model!AY1562</f>
        <v>219</v>
      </c>
      <c r="AZ276" s="1198" t="str">
        <f>Model!AZ1562</f>
        <v>NF</v>
      </c>
      <c r="BA276" s="1198" t="str">
        <f>Model!BA1562</f>
        <v>NF</v>
      </c>
      <c r="BB276" s="1198" t="str">
        <f>Model!BB1562</f>
        <v>NF</v>
      </c>
      <c r="BC276" s="1198" t="str">
        <f>Model!BC1562</f>
        <v>NF</v>
      </c>
      <c r="BD276" s="1198" t="str">
        <f>Model!BD1562</f>
        <v>NF</v>
      </c>
      <c r="BE276" s="1702" t="str">
        <f>Model!BE1562</f>
        <v>NF</v>
      </c>
    </row>
    <row r="278" spans="1:57" s="916" customFormat="1" x14ac:dyDescent="0.2">
      <c r="AF278" s="1707"/>
      <c r="AG278" s="1707"/>
      <c r="AH278" s="1707"/>
      <c r="AI278" s="1707"/>
      <c r="AJ278" s="1740"/>
      <c r="AK278" s="1740"/>
      <c r="AL278" s="1740"/>
      <c r="AM278" s="1740"/>
      <c r="AN278" s="1740"/>
      <c r="AO278" s="1740"/>
      <c r="AP278" s="1740"/>
      <c r="AQ278" s="1740"/>
      <c r="AS278" s="1160"/>
      <c r="AT278" s="1160"/>
      <c r="AU278" s="1198"/>
      <c r="AV278" s="1198"/>
      <c r="AW278" s="1198"/>
      <c r="AX278" s="1198"/>
      <c r="AY278" s="1198"/>
      <c r="AZ278" s="1198"/>
      <c r="BA278" s="1198"/>
      <c r="BB278" s="1198"/>
      <c r="BC278" s="1198"/>
      <c r="BD278" s="1198"/>
      <c r="BE278" s="1702"/>
    </row>
    <row r="279" spans="1:57" x14ac:dyDescent="0.2">
      <c r="A279" s="394" t="s">
        <v>811</v>
      </c>
    </row>
    <row r="280" spans="1:57" x14ac:dyDescent="0.2">
      <c r="A280" s="916" t="s">
        <v>812</v>
      </c>
      <c r="D280" s="846">
        <f>Model!D1616</f>
        <v>9504</v>
      </c>
      <c r="E280" s="846">
        <f>Model!E1616</f>
        <v>8069</v>
      </c>
      <c r="F280" s="846">
        <f>Model!F1616</f>
        <v>8256</v>
      </c>
      <c r="G280" s="846">
        <f>Model!G1616</f>
        <v>7529</v>
      </c>
      <c r="H280" s="846">
        <f>Model!H1616</f>
        <v>9901</v>
      </c>
      <c r="I280" s="846">
        <f>Model!I1616</f>
        <v>9132</v>
      </c>
      <c r="J280" s="846">
        <f>Model!J1616</f>
        <v>7661</v>
      </c>
      <c r="K280" s="846">
        <f>Model!K1616</f>
        <v>7231</v>
      </c>
      <c r="L280" s="846">
        <f>Model!L1616</f>
        <v>9273</v>
      </c>
      <c r="M280" s="846">
        <f>Model!M1616</f>
        <v>8503</v>
      </c>
      <c r="N280" s="846">
        <f>Model!N1616</f>
        <v>8718</v>
      </c>
      <c r="O280" s="846">
        <f>Model!O1616</f>
        <v>7211</v>
      </c>
      <c r="P280" s="846">
        <f>Model!P1616</f>
        <v>9031</v>
      </c>
      <c r="Q280" s="846">
        <f>Model!Q1616</f>
        <v>8466</v>
      </c>
      <c r="R280" s="846">
        <f>Model!R1616</f>
        <v>8260</v>
      </c>
      <c r="S280" s="846">
        <f>Model!S1616</f>
        <v>7306</v>
      </c>
      <c r="T280" s="846">
        <f>Model!T1616</f>
        <v>7895</v>
      </c>
      <c r="U280" s="846">
        <f>Model!U1616</f>
        <v>8689</v>
      </c>
      <c r="V280" s="846">
        <f>Model!V1616</f>
        <v>8459</v>
      </c>
      <c r="W280" s="846">
        <f>Model!W1616</f>
        <v>8184</v>
      </c>
      <c r="X280" s="846">
        <f>Model!X1616</f>
        <v>9319</v>
      </c>
      <c r="Y280" s="846">
        <f>Model!Y1616</f>
        <v>9421</v>
      </c>
      <c r="Z280" s="846">
        <f>Model!Z1616</f>
        <v>9430</v>
      </c>
      <c r="AA280" s="846">
        <f>Model!AA1616</f>
        <v>8304</v>
      </c>
      <c r="AB280" s="846">
        <f>Model!AB1616</f>
        <v>9848</v>
      </c>
      <c r="AC280" s="846">
        <f>Model!AC1616</f>
        <v>10162.645721581153</v>
      </c>
      <c r="AD280" s="846">
        <f>Model!AD1616</f>
        <v>9938.8558633123321</v>
      </c>
      <c r="AE280" s="846">
        <f>Model!AE1616</f>
        <v>9364.6277029544326</v>
      </c>
      <c r="AF280" s="846">
        <f>Model!AF1616</f>
        <v>10960.716556468811</v>
      </c>
      <c r="AG280" s="846">
        <f>Model!AG1616</f>
        <v>10982.787590201242</v>
      </c>
      <c r="AH280" s="846">
        <f>Model!AH1616</f>
        <v>10679.896847251401</v>
      </c>
      <c r="AI280" s="846">
        <f>Model!AI1616</f>
        <v>10023.299747680656</v>
      </c>
      <c r="AJ280" s="846"/>
      <c r="AK280" s="846"/>
      <c r="AL280" s="846"/>
      <c r="AM280" s="846"/>
      <c r="AN280" s="846"/>
      <c r="AO280" s="846"/>
      <c r="AP280" s="846"/>
      <c r="AQ280" s="846"/>
      <c r="AU280" s="846">
        <f>Model!AU1616</f>
        <v>33358</v>
      </c>
      <c r="AV280" s="846">
        <f>Model!AV1616</f>
        <v>33925</v>
      </c>
      <c r="AW280" s="846">
        <f>Model!AW1616</f>
        <v>33705</v>
      </c>
      <c r="AX280" s="846">
        <f>Model!AX1616</f>
        <v>33063</v>
      </c>
      <c r="AY280" s="846">
        <f>Model!AY1616</f>
        <v>33227</v>
      </c>
      <c r="AZ280" s="846">
        <f>Model!AZ1616</f>
        <v>36474</v>
      </c>
      <c r="BA280" s="846">
        <f>Model!BA1616</f>
        <v>39314.129287847914</v>
      </c>
      <c r="BB280" s="846">
        <f>Model!BB1616</f>
        <v>42646.700741602115</v>
      </c>
      <c r="BC280" s="846">
        <f>Model!BC1616</f>
        <v>45556.306651665109</v>
      </c>
      <c r="BD280" s="846">
        <f>Model!BD1616</f>
        <v>48361.686776581846</v>
      </c>
      <c r="BE280" s="846">
        <f>Model!BE1616</f>
        <v>51217.937905175517</v>
      </c>
    </row>
    <row r="281" spans="1:57" x14ac:dyDescent="0.2">
      <c r="A281" s="916" t="s">
        <v>813</v>
      </c>
      <c r="D281" s="846">
        <f>Model!D1617</f>
        <v>-5135</v>
      </c>
      <c r="E281" s="846">
        <f>Model!E1617</f>
        <v>-5000</v>
      </c>
      <c r="F281" s="846">
        <f>Model!F1617</f>
        <v>-4881</v>
      </c>
      <c r="G281" s="846">
        <f>Model!G1617</f>
        <v>-5258</v>
      </c>
      <c r="H281" s="846">
        <f>Model!H1617</f>
        <v>-4975</v>
      </c>
      <c r="I281" s="846">
        <f>Model!I1617</f>
        <v>-4912</v>
      </c>
      <c r="J281" s="846">
        <f>Model!J1617</f>
        <v>-4786</v>
      </c>
      <c r="K281" s="846">
        <f>Model!K1617</f>
        <v>-5153</v>
      </c>
      <c r="L281" s="846">
        <f>Model!L1617</f>
        <v>-4887</v>
      </c>
      <c r="M281" s="846">
        <f>Model!M1617</f>
        <v>-4769</v>
      </c>
      <c r="N281" s="846">
        <f>Model!N1617</f>
        <v>-4938</v>
      </c>
      <c r="O281" s="846">
        <f>Model!O1617</f>
        <v>-4906</v>
      </c>
      <c r="P281" s="846">
        <f>Model!P1617</f>
        <v>-4654</v>
      </c>
      <c r="Q281" s="846">
        <f>Model!Q1617</f>
        <v>-4847</v>
      </c>
      <c r="R281" s="846">
        <f>Model!R1617</f>
        <v>-4718</v>
      </c>
      <c r="S281" s="846">
        <f>Model!S1617</f>
        <v>-4868</v>
      </c>
      <c r="T281" s="846">
        <f>Model!T1617</f>
        <v>-4872</v>
      </c>
      <c r="U281" s="846">
        <f>Model!U1617</f>
        <v>-4763</v>
      </c>
      <c r="V281" s="846">
        <f>Model!V1617</f>
        <v>-4687</v>
      </c>
      <c r="W281" s="846">
        <f>Model!W1617</f>
        <v>-4634</v>
      </c>
      <c r="X281" s="846">
        <f>Model!X1617</f>
        <v>-5138</v>
      </c>
      <c r="Y281" s="846">
        <f>Model!Y1617</f>
        <v>-5227</v>
      </c>
      <c r="Z281" s="846">
        <f>Model!Z1617</f>
        <v>-5138</v>
      </c>
      <c r="AA281" s="846">
        <f>Model!AA1617</f>
        <v>-4912</v>
      </c>
      <c r="AB281" s="846">
        <f>Model!AB1617</f>
        <v>-5503</v>
      </c>
      <c r="AC281" s="846">
        <f>Model!AC1617</f>
        <v>-5691.0816040854461</v>
      </c>
      <c r="AD281" s="846">
        <f>Model!AD1617</f>
        <v>-5466.3707248217834</v>
      </c>
      <c r="AE281" s="846">
        <f>Model!AE1617</f>
        <v>-5056.8989595953935</v>
      </c>
      <c r="AF281" s="846">
        <f>Model!AF1617</f>
        <v>-5973.5905232755022</v>
      </c>
      <c r="AG281" s="846">
        <f>Model!AG1617</f>
        <v>-5875.7913607576647</v>
      </c>
      <c r="AH281" s="846">
        <f>Model!AH1617</f>
        <v>-5713.7448132794998</v>
      </c>
      <c r="AI281" s="846">
        <f>Model!AI1617</f>
        <v>-5312.3488662707477</v>
      </c>
      <c r="AJ281" s="846"/>
      <c r="AK281" s="846"/>
      <c r="AL281" s="846"/>
      <c r="AM281" s="846"/>
      <c r="AN281" s="846"/>
      <c r="AO281" s="846"/>
      <c r="AP281" s="846"/>
      <c r="AQ281" s="846"/>
      <c r="AU281" s="846">
        <f>Model!AU1617</f>
        <v>-20274</v>
      </c>
      <c r="AV281" s="846">
        <f>Model!AV1617</f>
        <v>-19826</v>
      </c>
      <c r="AW281" s="846">
        <f>Model!AW1617</f>
        <v>-19500</v>
      </c>
      <c r="AX281" s="846">
        <f>Model!AX1617</f>
        <v>-19087</v>
      </c>
      <c r="AY281" s="846">
        <f>Model!AY1617</f>
        <v>-18956</v>
      </c>
      <c r="AZ281" s="846">
        <f>Model!AZ1617</f>
        <v>-20415</v>
      </c>
      <c r="BA281" s="846">
        <f>Model!BA1617</f>
        <v>-21717.351288502625</v>
      </c>
      <c r="BB281" s="846">
        <f>Model!BB1617</f>
        <v>-22875.475563583415</v>
      </c>
      <c r="BC281" s="846">
        <f>Model!BC1617</f>
        <v>-23917.060992124185</v>
      </c>
      <c r="BD281" s="846">
        <f>Model!BD1617</f>
        <v>-25148.077123822561</v>
      </c>
      <c r="BE281" s="846">
        <f>Model!BE1617</f>
        <v>-26377.238021165391</v>
      </c>
    </row>
    <row r="282" spans="1:57" x14ac:dyDescent="0.2">
      <c r="A282" s="916" t="s">
        <v>814</v>
      </c>
      <c r="D282" s="846">
        <f>Model!D1618</f>
        <v>-103</v>
      </c>
      <c r="E282" s="846">
        <f>Model!E1618</f>
        <v>-135</v>
      </c>
      <c r="F282" s="846">
        <f>Model!F1618</f>
        <v>27</v>
      </c>
      <c r="G282" s="846">
        <f>Model!G1618</f>
        <v>-97</v>
      </c>
      <c r="H282" s="846">
        <f>Model!H1618</f>
        <v>-65</v>
      </c>
      <c r="I282" s="846">
        <f>Model!I1618</f>
        <v>30</v>
      </c>
      <c r="J282" s="846">
        <f>Model!J1618</f>
        <v>-144</v>
      </c>
      <c r="K282" s="846">
        <f>Model!K1618</f>
        <v>93</v>
      </c>
      <c r="L282" s="846">
        <f>Model!L1618</f>
        <v>-26</v>
      </c>
      <c r="M282" s="846">
        <f>Model!M1618</f>
        <v>110</v>
      </c>
      <c r="N282" s="846">
        <f>Model!N1618</f>
        <v>32</v>
      </c>
      <c r="O282" s="846">
        <f>Model!O1618</f>
        <v>-163</v>
      </c>
      <c r="P282" s="846">
        <f>Model!P1618</f>
        <v>-86</v>
      </c>
      <c r="Q282" s="846">
        <f>Model!Q1618</f>
        <v>87</v>
      </c>
      <c r="R282" s="846">
        <f>Model!R1618</f>
        <v>-313</v>
      </c>
      <c r="S282" s="846">
        <f>Model!S1618</f>
        <v>-650</v>
      </c>
      <c r="T282" s="846">
        <f>Model!T1618</f>
        <v>-390</v>
      </c>
      <c r="U282" s="846">
        <f>Model!U1618</f>
        <v>-82</v>
      </c>
      <c r="V282" s="846">
        <f>Model!V1618</f>
        <v>90</v>
      </c>
      <c r="W282" s="846">
        <f>Model!W1618</f>
        <v>-104</v>
      </c>
      <c r="X282" s="846">
        <f>Model!X1618</f>
        <v>205</v>
      </c>
      <c r="Y282" s="846">
        <f>Model!Y1618</f>
        <v>-87</v>
      </c>
      <c r="Z282" s="846">
        <f>Model!Z1618</f>
        <v>164</v>
      </c>
      <c r="AA282" s="846">
        <f>Model!AA1618</f>
        <v>-267</v>
      </c>
      <c r="AB282" s="846">
        <f>Model!AB1618</f>
        <v>41</v>
      </c>
      <c r="AC282" s="846">
        <f>Model!AC1618</f>
        <v>-172.41632876712333</v>
      </c>
      <c r="AD282" s="846">
        <f>Model!AD1618</f>
        <v>-194.61824679452059</v>
      </c>
      <c r="AE282" s="846">
        <f>Model!AE1618</f>
        <v>-224.47445510958903</v>
      </c>
      <c r="AF282" s="846">
        <f>Model!AF1618</f>
        <v>-241.90538453679451</v>
      </c>
      <c r="AG282" s="846">
        <f>Model!AG1618</f>
        <v>-267.96546336973358</v>
      </c>
      <c r="AH282" s="846">
        <f>Model!AH1618</f>
        <v>-296.83343655503688</v>
      </c>
      <c r="AI282" s="846">
        <f>Model!AI1618</f>
        <v>-323.8835803701329</v>
      </c>
      <c r="AJ282" s="846"/>
      <c r="AK282" s="846"/>
      <c r="AL282" s="846"/>
      <c r="AM282" s="846"/>
      <c r="AN282" s="846"/>
      <c r="AO282" s="846"/>
      <c r="AP282" s="846"/>
      <c r="AQ282" s="846"/>
      <c r="AU282" s="846">
        <f>Model!AU1618</f>
        <v>-308</v>
      </c>
      <c r="AV282" s="846">
        <f>Model!AV1618</f>
        <v>-86</v>
      </c>
      <c r="AW282" s="846">
        <f>Model!AW1618</f>
        <v>-47</v>
      </c>
      <c r="AX282" s="846">
        <f>Model!AX1618</f>
        <v>-962</v>
      </c>
      <c r="AY282" s="846">
        <f>Model!AY1618</f>
        <v>-486</v>
      </c>
      <c r="AZ282" s="846">
        <f>Model!AZ1618</f>
        <v>15</v>
      </c>
      <c r="BA282" s="846">
        <f>Model!BA1618</f>
        <v>-550.50903067123295</v>
      </c>
      <c r="BB282" s="846">
        <f>Model!BB1618</f>
        <v>-1130.587864831698</v>
      </c>
      <c r="BC282" s="846">
        <f>Model!BC1618</f>
        <v>-1407.4206282004766</v>
      </c>
      <c r="BD282" s="846">
        <f>Model!BD1618</f>
        <v>-1721.07436819944</v>
      </c>
      <c r="BE282" s="846">
        <f>Model!BE1618</f>
        <v>-2280.4235378642579</v>
      </c>
    </row>
    <row r="283" spans="1:57" x14ac:dyDescent="0.2">
      <c r="A283" s="916" t="s">
        <v>815</v>
      </c>
      <c r="D283" s="846">
        <f>Model!D1619</f>
        <v>4266</v>
      </c>
      <c r="E283" s="846">
        <f>Model!E1619</f>
        <v>2934</v>
      </c>
      <c r="F283" s="846">
        <f>Model!F1619</f>
        <v>3402</v>
      </c>
      <c r="G283" s="846">
        <f>Model!G1619</f>
        <v>2174</v>
      </c>
      <c r="H283" s="846">
        <f>Model!H1619</f>
        <v>4861</v>
      </c>
      <c r="I283" s="846">
        <f>Model!I1619</f>
        <v>4250</v>
      </c>
      <c r="J283" s="846">
        <f>Model!J1619</f>
        <v>2731</v>
      </c>
      <c r="K283" s="846">
        <f>Model!K1619</f>
        <v>2171</v>
      </c>
      <c r="L283" s="846">
        <f>Model!L1619</f>
        <v>4360</v>
      </c>
      <c r="M283" s="846">
        <f>Model!M1619</f>
        <v>3844</v>
      </c>
      <c r="N283" s="846">
        <f>Model!N1619</f>
        <v>3812</v>
      </c>
      <c r="O283" s="846">
        <f>Model!O1619</f>
        <v>2142</v>
      </c>
      <c r="P283" s="846">
        <f>Model!P1619</f>
        <v>4291</v>
      </c>
      <c r="Q283" s="846">
        <f>Model!Q1619</f>
        <v>3706</v>
      </c>
      <c r="R283" s="846">
        <f>Model!R1619</f>
        <v>3229</v>
      </c>
      <c r="S283" s="846">
        <f>Model!S1619</f>
        <v>1788</v>
      </c>
      <c r="T283" s="846">
        <f>Model!T1619</f>
        <v>2633</v>
      </c>
      <c r="U283" s="846">
        <f>Model!U1619</f>
        <v>3844</v>
      </c>
      <c r="V283" s="846">
        <f>Model!V1619</f>
        <v>3862</v>
      </c>
      <c r="W283" s="846">
        <f>Model!W1619</f>
        <v>3446</v>
      </c>
      <c r="X283" s="846">
        <f>Model!X1619</f>
        <v>4386</v>
      </c>
      <c r="Y283" s="846">
        <f>Model!Y1619</f>
        <v>4107</v>
      </c>
      <c r="Z283" s="846">
        <f>Model!Z1619</f>
        <v>4456</v>
      </c>
      <c r="AA283" s="846">
        <f>Model!AA1619</f>
        <v>3125</v>
      </c>
      <c r="AB283" s="846">
        <f>Model!AB1619</f>
        <v>4386</v>
      </c>
      <c r="AC283" s="846">
        <f>Model!AC1619</f>
        <v>4299.1477887285837</v>
      </c>
      <c r="AD283" s="846">
        <f>Model!AD1619</f>
        <v>4277.8668916960278</v>
      </c>
      <c r="AE283" s="846">
        <f>Model!AE1619</f>
        <v>4083.2542882494499</v>
      </c>
      <c r="AF283" s="846">
        <f>Model!AF1619</f>
        <v>4745.2206486565146</v>
      </c>
      <c r="AG283" s="846">
        <f>Model!AG1619</f>
        <v>4839.0307660738436</v>
      </c>
      <c r="AH283" s="846">
        <f>Model!AH1619</f>
        <v>4669.3185974168637</v>
      </c>
      <c r="AI283" s="846">
        <f>Model!AI1619</f>
        <v>4387.067301039775</v>
      </c>
      <c r="AJ283" s="846"/>
      <c r="AK283" s="846"/>
      <c r="AL283" s="846"/>
      <c r="AM283" s="846"/>
      <c r="AN283" s="846"/>
      <c r="AO283" s="846"/>
      <c r="AP283" s="846"/>
      <c r="AQ283" s="846"/>
      <c r="AU283" s="846">
        <f>Model!AU1619</f>
        <v>12776</v>
      </c>
      <c r="AV283" s="846">
        <f>Model!AV1619</f>
        <v>14013</v>
      </c>
      <c r="AW283" s="846">
        <f>Model!AW1619</f>
        <v>14158</v>
      </c>
      <c r="AX283" s="846">
        <f>Model!AX1619</f>
        <v>13014</v>
      </c>
      <c r="AY283" s="846">
        <f>Model!AY1619</f>
        <v>13785</v>
      </c>
      <c r="AZ283" s="846">
        <f>Model!AZ1619</f>
        <v>16074</v>
      </c>
      <c r="BA283" s="846">
        <f>Model!BA1619</f>
        <v>17046.268968674056</v>
      </c>
      <c r="BB283" s="846">
        <f>Model!BB1619</f>
        <v>18640.637313187002</v>
      </c>
      <c r="BC283" s="846">
        <f>Model!BC1619</f>
        <v>20231.825031340446</v>
      </c>
      <c r="BD283" s="846">
        <f>Model!BD1619</f>
        <v>21492.535284559846</v>
      </c>
      <c r="BE283" s="846">
        <f>Model!BE1619</f>
        <v>22560.276346145867</v>
      </c>
    </row>
    <row r="284" spans="1:57" x14ac:dyDescent="0.2">
      <c r="A284" s="916" t="s">
        <v>816</v>
      </c>
      <c r="D284" s="846">
        <f>Model!D1620</f>
        <v>-1247</v>
      </c>
      <c r="E284" s="846">
        <f>Model!E1620</f>
        <v>-777</v>
      </c>
      <c r="F284" s="846">
        <f>Model!F1620</f>
        <v>-901</v>
      </c>
      <c r="G284" s="846">
        <f>Model!G1620</f>
        <v>-460</v>
      </c>
      <c r="H284" s="846">
        <f>Model!H1620</f>
        <v>-1609</v>
      </c>
      <c r="I284" s="846">
        <f>Model!I1620</f>
        <v>-1373</v>
      </c>
      <c r="J284" s="846">
        <f>Model!J1620</f>
        <v>-756</v>
      </c>
      <c r="K284" s="846">
        <f>Model!K1620</f>
        <v>-591</v>
      </c>
      <c r="L284" s="846">
        <f>Model!L1620</f>
        <v>-1350</v>
      </c>
      <c r="M284" s="846">
        <f>Model!M1620</f>
        <v>-1227</v>
      </c>
      <c r="N284" s="846">
        <f>Model!N1620</f>
        <v>-1236</v>
      </c>
      <c r="O284" s="846">
        <f>Model!O1620</f>
        <v>-445</v>
      </c>
      <c r="P284" s="846">
        <f>Model!P1620</f>
        <v>-1342</v>
      </c>
      <c r="Q284" s="846">
        <f>Model!Q1620</f>
        <v>-1151</v>
      </c>
      <c r="R284" s="846">
        <f>Model!R1620</f>
        <v>-1055</v>
      </c>
      <c r="S284" s="846">
        <f>Model!S1620</f>
        <v>-528</v>
      </c>
      <c r="T284" s="846">
        <f>Model!T1620</f>
        <v>-764</v>
      </c>
      <c r="U284" s="846">
        <f>Model!U1620</f>
        <v>-1229</v>
      </c>
      <c r="V284" s="846">
        <f>Model!V1620</f>
        <v>-1202</v>
      </c>
      <c r="W284" s="846">
        <f>Model!W1620</f>
        <v>-1065</v>
      </c>
      <c r="X284" s="846">
        <f>Model!X1620</f>
        <v>-1375</v>
      </c>
      <c r="Y284" s="846">
        <f>Model!Y1620</f>
        <v>-1327</v>
      </c>
      <c r="Z284" s="846">
        <f>Model!Z1620</f>
        <v>-1394</v>
      </c>
      <c r="AA284" s="846">
        <f>Model!AA1620</f>
        <v>-2912</v>
      </c>
      <c r="AB284" s="846">
        <f>Model!AB1620</f>
        <v>-1057</v>
      </c>
      <c r="AC284" s="846">
        <f>Model!AC1620</f>
        <v>-1074.7869471821459</v>
      </c>
      <c r="AD284" s="846">
        <f>Model!AD1620</f>
        <v>-1069.4667229240069</v>
      </c>
      <c r="AE284" s="846">
        <f>Model!AE1620</f>
        <v>-1020.8135720623625</v>
      </c>
      <c r="AF284" s="846">
        <f>Model!AF1620</f>
        <v>-1138.8529556775634</v>
      </c>
      <c r="AG284" s="846">
        <f>Model!AG1620</f>
        <v>-1161.3673838577224</v>
      </c>
      <c r="AH284" s="846">
        <f>Model!AH1620</f>
        <v>-1120.6364633800472</v>
      </c>
      <c r="AI284" s="846">
        <f>Model!AI1620</f>
        <v>-1052.896152249546</v>
      </c>
      <c r="AJ284" s="846"/>
      <c r="AK284" s="846"/>
      <c r="AL284" s="846"/>
      <c r="AM284" s="846"/>
      <c r="AN284" s="846"/>
      <c r="AO284" s="846"/>
      <c r="AP284" s="846"/>
      <c r="AQ284" s="846"/>
      <c r="AU284" s="846">
        <f>Model!AU1620</f>
        <v>-3385</v>
      </c>
      <c r="AV284" s="846">
        <f>Model!AV1620</f>
        <v>-4329</v>
      </c>
      <c r="AW284" s="846">
        <f>Model!AW1620</f>
        <v>-4258</v>
      </c>
      <c r="AX284" s="846">
        <f>Model!AX1620</f>
        <v>-4076</v>
      </c>
      <c r="AY284" s="846">
        <f>Model!AY1620</f>
        <v>-4260</v>
      </c>
      <c r="AZ284" s="846">
        <f>Model!AZ1620</f>
        <v>-7008</v>
      </c>
      <c r="BA284" s="846">
        <f>Model!BA1620</f>
        <v>-4222.0672421685122</v>
      </c>
      <c r="BB284" s="846">
        <f>Model!BB1620</f>
        <v>-4473.7529551648804</v>
      </c>
      <c r="BC284" s="846">
        <f>Model!BC1620</f>
        <v>-4855.6380075217066</v>
      </c>
      <c r="BD284" s="846">
        <f>Model!BD1620</f>
        <v>-5158.2084682943632</v>
      </c>
      <c r="BE284" s="846">
        <f>Model!BE1620</f>
        <v>-5414.4663230750075</v>
      </c>
    </row>
    <row r="285" spans="1:57" x14ac:dyDescent="0.2">
      <c r="A285" s="916" t="s">
        <v>817</v>
      </c>
      <c r="D285" s="846">
        <f>Model!D1621</f>
        <v>3019</v>
      </c>
      <c r="E285" s="846">
        <f>Model!E1621</f>
        <v>2157</v>
      </c>
      <c r="F285" s="846">
        <f>Model!F1621</f>
        <v>2501</v>
      </c>
      <c r="G285" s="846">
        <f>Model!G1621</f>
        <v>1714</v>
      </c>
      <c r="H285" s="846">
        <f>Model!H1621</f>
        <v>3252</v>
      </c>
      <c r="I285" s="846">
        <f>Model!I1621</f>
        <v>2877</v>
      </c>
      <c r="J285" s="846">
        <f>Model!J1621</f>
        <v>1975</v>
      </c>
      <c r="K285" s="846">
        <f>Model!K1621</f>
        <v>1580</v>
      </c>
      <c r="L285" s="846">
        <f>Model!L1621</f>
        <v>3010</v>
      </c>
      <c r="M285" s="846">
        <f>Model!M1621</f>
        <v>2617</v>
      </c>
      <c r="N285" s="846">
        <f>Model!N1621</f>
        <v>2576</v>
      </c>
      <c r="O285" s="846">
        <f>Model!O1621</f>
        <v>1697</v>
      </c>
      <c r="P285" s="846">
        <f>Model!P1621</f>
        <v>2949</v>
      </c>
      <c r="Q285" s="846">
        <f>Model!Q1621</f>
        <v>2555</v>
      </c>
      <c r="R285" s="846">
        <f>Model!R1621</f>
        <v>2174</v>
      </c>
      <c r="S285" s="846">
        <f>Model!S1621</f>
        <v>1260</v>
      </c>
      <c r="T285" s="846">
        <f>Model!T1621</f>
        <v>1869</v>
      </c>
      <c r="U285" s="846">
        <f>Model!U1621</f>
        <v>2615</v>
      </c>
      <c r="V285" s="846">
        <f>Model!V1621</f>
        <v>2660</v>
      </c>
      <c r="W285" s="846">
        <f>Model!W1621</f>
        <v>2381</v>
      </c>
      <c r="X285" s="846">
        <f>Model!X1621</f>
        <v>3011</v>
      </c>
      <c r="Y285" s="846">
        <f>Model!Y1621</f>
        <v>2780</v>
      </c>
      <c r="Z285" s="846">
        <f>Model!Z1621</f>
        <v>3062</v>
      </c>
      <c r="AA285" s="846">
        <f>Model!AA1621</f>
        <v>213</v>
      </c>
      <c r="AB285" s="846">
        <f>Model!AB1621</f>
        <v>3329</v>
      </c>
      <c r="AC285" s="846">
        <f>Model!AC1621</f>
        <v>3224.3608415464378</v>
      </c>
      <c r="AD285" s="846">
        <f>Model!AD1621</f>
        <v>3208.4001687720211</v>
      </c>
      <c r="AE285" s="846">
        <f>Model!AE1621</f>
        <v>3062.4407161870877</v>
      </c>
      <c r="AF285" s="846">
        <f>Model!AF1621</f>
        <v>3606.3676929789513</v>
      </c>
      <c r="AG285" s="846">
        <f>Model!AG1621</f>
        <v>3677.6633822161211</v>
      </c>
      <c r="AH285" s="846">
        <f>Model!AH1621</f>
        <v>3548.6821340368165</v>
      </c>
      <c r="AI285" s="846">
        <f>Model!AI1621</f>
        <v>3334.1711487902289</v>
      </c>
      <c r="AJ285" s="846"/>
      <c r="AK285" s="846"/>
      <c r="AL285" s="846"/>
      <c r="AM285" s="846"/>
      <c r="AN285" s="846"/>
      <c r="AO285" s="846"/>
      <c r="AP285" s="846"/>
      <c r="AQ285" s="846"/>
      <c r="AU285" s="846">
        <f>Model!AU1621</f>
        <v>9391</v>
      </c>
      <c r="AV285" s="846">
        <f>Model!AV1621</f>
        <v>9684</v>
      </c>
      <c r="AW285" s="846">
        <f>Model!AW1621</f>
        <v>9900</v>
      </c>
      <c r="AX285" s="846">
        <f>Model!AX1621</f>
        <v>8938</v>
      </c>
      <c r="AY285" s="846">
        <f>Model!AY1621</f>
        <v>9525</v>
      </c>
      <c r="AZ285" s="846">
        <f>Model!AZ1621</f>
        <v>9066</v>
      </c>
      <c r="BA285" s="846">
        <f>Model!BA1621</f>
        <v>12824.201726505544</v>
      </c>
      <c r="BB285" s="846">
        <f>Model!BB1621</f>
        <v>14166.884358022122</v>
      </c>
      <c r="BC285" s="846">
        <f>Model!BC1621</f>
        <v>15376.18702381874</v>
      </c>
      <c r="BD285" s="846">
        <f>Model!BD1621</f>
        <v>16334.326816265482</v>
      </c>
      <c r="BE285" s="846">
        <f>Model!BE1621</f>
        <v>17145.810023070859</v>
      </c>
    </row>
    <row r="286" spans="1:57" x14ac:dyDescent="0.2">
      <c r="A286" s="916" t="s">
        <v>818</v>
      </c>
      <c r="D286" s="1154">
        <f>Model!D1623</f>
        <v>0.29231129864041255</v>
      </c>
      <c r="E286" s="1154">
        <f>Model!E1623</f>
        <v>0.26482617586912066</v>
      </c>
      <c r="F286" s="1154">
        <f>Model!F1623</f>
        <v>0.26484420928865371</v>
      </c>
      <c r="G286" s="1154">
        <f>Model!G1623</f>
        <v>0.21159153633854647</v>
      </c>
      <c r="H286" s="1154">
        <f>Model!H1623</f>
        <v>0.33100185147089078</v>
      </c>
      <c r="I286" s="1154">
        <f>Model!I1623</f>
        <v>0.32305882352941179</v>
      </c>
      <c r="J286" s="1154">
        <f>Model!J1623</f>
        <v>0.27682167704137678</v>
      </c>
      <c r="K286" s="1154">
        <f>Model!K1623</f>
        <v>0.27222478120681715</v>
      </c>
      <c r="L286" s="1154">
        <f>Model!L1623</f>
        <v>0.30963302752293576</v>
      </c>
      <c r="M286" s="1154">
        <f>Model!M1623</f>
        <v>0.31919875130072839</v>
      </c>
      <c r="N286" s="1154">
        <f>Model!N1623</f>
        <v>0.32423924449108082</v>
      </c>
      <c r="O286" s="1154">
        <f>Model!O1623</f>
        <v>0.207749766573296</v>
      </c>
      <c r="P286" s="1154">
        <f>Model!P1623</f>
        <v>0.31274761127942202</v>
      </c>
      <c r="Q286" s="1154">
        <f>Model!Q1623</f>
        <v>0.31057744198596871</v>
      </c>
      <c r="R286" s="1154">
        <f>Model!R1623</f>
        <v>0.32672654072468255</v>
      </c>
      <c r="S286" s="1154">
        <f>Model!S1623</f>
        <v>0.29530201342281881</v>
      </c>
      <c r="T286" s="1154">
        <f>Model!T1623</f>
        <v>0.29016331181162175</v>
      </c>
      <c r="U286" s="1154">
        <f>Model!U1623</f>
        <v>0.31971904266389178</v>
      </c>
      <c r="V286" s="1154">
        <f>Model!V1623</f>
        <v>0.31123770067322631</v>
      </c>
      <c r="W286" s="1154">
        <f>Model!W1623</f>
        <v>0.30905397562391179</v>
      </c>
      <c r="X286" s="1154">
        <f>Model!X1623</f>
        <v>0.31349749202006383</v>
      </c>
      <c r="Y286" s="1154">
        <f>Model!Y1623</f>
        <v>0.32310689067445825</v>
      </c>
      <c r="Z286" s="1154">
        <f>Model!Z1623</f>
        <v>0.31283662477558349</v>
      </c>
      <c r="AA286" s="1154">
        <f>Model!AA1623</f>
        <v>0.93184</v>
      </c>
      <c r="AB286" s="1154">
        <f>Model!AB1623</f>
        <v>0.24099407204742362</v>
      </c>
      <c r="AC286" s="1154">
        <f>Model!AC1623</f>
        <v>0.25</v>
      </c>
      <c r="AD286" s="1154">
        <f>Model!AD1623</f>
        <v>0.25</v>
      </c>
      <c r="AE286" s="1154">
        <f>Model!AE1623</f>
        <v>0.25</v>
      </c>
      <c r="AF286" s="1154">
        <f>Model!AF1623</f>
        <v>0.23999999999999996</v>
      </c>
      <c r="AG286" s="1154">
        <f>Model!AG1623</f>
        <v>0.24</v>
      </c>
      <c r="AH286" s="1154">
        <f>Model!AH1623</f>
        <v>0.24</v>
      </c>
      <c r="AI286" s="1154">
        <f>Model!AI1623</f>
        <v>0.24000000000000002</v>
      </c>
      <c r="AJ286" s="1154"/>
      <c r="AK286" s="1154"/>
      <c r="AL286" s="1154"/>
      <c r="AM286" s="1154"/>
      <c r="AN286" s="1154"/>
      <c r="AO286" s="1154"/>
      <c r="AP286" s="1154"/>
      <c r="AQ286" s="1154"/>
      <c r="AU286" s="1154">
        <f>Model!AU1623</f>
        <v>0.26494990607388852</v>
      </c>
      <c r="AV286" s="1154">
        <f>Model!AV1623</f>
        <v>0.30892742453436095</v>
      </c>
      <c r="AW286" s="1154">
        <f>Model!AW1623</f>
        <v>0.30074869331826531</v>
      </c>
      <c r="AX286" s="1154">
        <f>Model!AX1623</f>
        <v>0.31320116797295222</v>
      </c>
      <c r="AY286" s="1154">
        <f>Model!AY1623</f>
        <v>0.30903155603917304</v>
      </c>
      <c r="AZ286" s="1154">
        <f>Model!AZ1623</f>
        <v>0.43598357596117954</v>
      </c>
      <c r="BA286" s="1154">
        <f>Model!BA1623</f>
        <v>0.2476827773823943</v>
      </c>
      <c r="BB286" s="1154">
        <f>Model!BB1623</f>
        <v>0.24</v>
      </c>
      <c r="BC286" s="1154">
        <f>Model!BC1623</f>
        <v>0.24</v>
      </c>
      <c r="BD286" s="1154">
        <f>Model!BD1623</f>
        <v>0.24000000000000002</v>
      </c>
      <c r="BE286" s="1154">
        <f>Model!BE1623</f>
        <v>0.23999999999999996</v>
      </c>
    </row>
    <row r="287" spans="1:57" x14ac:dyDescent="0.2">
      <c r="A287" s="916" t="s">
        <v>819</v>
      </c>
      <c r="D287" s="846"/>
      <c r="E287" s="846"/>
      <c r="F287" s="846"/>
      <c r="G287" s="846"/>
      <c r="H287" s="846"/>
      <c r="I287" s="846"/>
      <c r="J287" s="846"/>
      <c r="K287" s="846"/>
      <c r="L287" s="846">
        <f>Model!L1625</f>
        <v>67000</v>
      </c>
      <c r="M287" s="846">
        <f>Model!M1625</f>
        <v>67000</v>
      </c>
      <c r="N287" s="846">
        <f>Model!N1625</f>
        <v>67000</v>
      </c>
      <c r="O287" s="846">
        <f>Model!O1625</f>
        <v>67000</v>
      </c>
      <c r="P287" s="846">
        <f>Model!P1625</f>
        <v>76000</v>
      </c>
      <c r="Q287" s="846">
        <f>Model!Q1625</f>
        <v>76000</v>
      </c>
      <c r="R287" s="846">
        <f>Model!R1625</f>
        <v>76000</v>
      </c>
      <c r="S287" s="846">
        <f>Model!S1625</f>
        <v>76000</v>
      </c>
      <c r="T287" s="846">
        <f>Model!T1625</f>
        <v>80000</v>
      </c>
      <c r="U287" s="846">
        <f>Model!U1625</f>
        <v>80000</v>
      </c>
      <c r="V287" s="846">
        <f>Model!V1625</f>
        <v>80000</v>
      </c>
      <c r="W287" s="846">
        <f>Model!W1625</f>
        <v>80000</v>
      </c>
      <c r="X287" s="846">
        <f>Model!X1625</f>
        <v>82000</v>
      </c>
      <c r="Y287" s="846">
        <f>Model!Y1625</f>
        <v>82000</v>
      </c>
      <c r="Z287" s="846">
        <f>Model!Z1625</f>
        <v>82000</v>
      </c>
      <c r="AA287" s="846">
        <f>Model!AA1625</f>
        <v>82000</v>
      </c>
      <c r="AB287" s="846">
        <f>Model!AB1625</f>
        <v>82000</v>
      </c>
      <c r="AC287" s="846">
        <f>Model!AC1625</f>
        <v>82000</v>
      </c>
      <c r="AD287" s="846">
        <f>Model!AD1625</f>
        <v>82000</v>
      </c>
      <c r="AE287" s="846">
        <f>Model!AE1625</f>
        <v>82000</v>
      </c>
      <c r="AF287" s="846">
        <f>Model!AF1625</f>
        <v>87000</v>
      </c>
      <c r="AG287" s="846">
        <f>Model!AG1625</f>
        <v>87000</v>
      </c>
      <c r="AH287" s="846">
        <f>Model!AH1625</f>
        <v>87000</v>
      </c>
      <c r="AI287" s="846">
        <f>Model!AI1625</f>
        <v>87000</v>
      </c>
      <c r="AJ287" s="846"/>
      <c r="AK287" s="846"/>
      <c r="AL287" s="846"/>
      <c r="AM287" s="846"/>
      <c r="AN287" s="846"/>
      <c r="AO287" s="846"/>
      <c r="AP287" s="846"/>
      <c r="AQ287" s="846"/>
      <c r="AU287" s="846"/>
      <c r="AV287" s="846"/>
      <c r="AW287" s="846">
        <f>Model!AW1625</f>
        <v>67000</v>
      </c>
      <c r="AX287" s="846">
        <f>Model!AX1625</f>
        <v>76000</v>
      </c>
      <c r="AY287" s="846">
        <f>Model!AY1625</f>
        <v>80000</v>
      </c>
      <c r="AZ287" s="846">
        <f>Model!AZ1625</f>
        <v>82000</v>
      </c>
      <c r="BA287" s="846">
        <f>Model!BA1625</f>
        <v>82000</v>
      </c>
      <c r="BB287" s="846">
        <f>Model!BB1625</f>
        <v>87000</v>
      </c>
      <c r="BC287" s="846">
        <f>Model!BC1625</f>
        <v>92000</v>
      </c>
      <c r="BD287" s="846">
        <f>Model!BD1625</f>
        <v>97000</v>
      </c>
      <c r="BE287" s="846">
        <f>Model!BE1625</f>
        <v>103000</v>
      </c>
    </row>
    <row r="288" spans="1:57" x14ac:dyDescent="0.2">
      <c r="A288" s="9" t="s">
        <v>820</v>
      </c>
      <c r="D288" s="1154"/>
      <c r="E288" s="1154"/>
      <c r="F288" s="1154"/>
      <c r="G288" s="1154"/>
      <c r="H288" s="1154"/>
      <c r="I288" s="1154"/>
      <c r="J288" s="1154"/>
      <c r="K288" s="1154"/>
      <c r="L288" s="1154">
        <f>Model!L1627</f>
        <v>0.18219734660033166</v>
      </c>
      <c r="M288" s="1154">
        <f>Model!M1627</f>
        <v>0.15666803345907823</v>
      </c>
      <c r="N288" s="1154">
        <f>Model!N1627</f>
        <v>0.1525373134328358</v>
      </c>
      <c r="O288" s="1154">
        <f>Model!O1627</f>
        <v>0.10048750811161582</v>
      </c>
      <c r="P288" s="1154">
        <f>Model!P1627</f>
        <v>0.15736622807017542</v>
      </c>
      <c r="Q288" s="1154">
        <f>Model!Q1627</f>
        <v>0.13484311740890689</v>
      </c>
      <c r="R288" s="1154">
        <f>Model!R1627</f>
        <v>0.11348827231121281</v>
      </c>
      <c r="S288" s="1154">
        <f>Model!S1627</f>
        <v>6.5775171624713955E-2</v>
      </c>
      <c r="T288" s="1154">
        <f>Model!T1627</f>
        <v>9.3963461538461537E-2</v>
      </c>
      <c r="U288" s="1154">
        <f>Model!U1627</f>
        <v>0.13146840659340658</v>
      </c>
      <c r="V288" s="1154">
        <f>Model!V1627</f>
        <v>0.13227717391304347</v>
      </c>
      <c r="W288" s="1154">
        <f>Model!W1627</f>
        <v>0.11840298913043479</v>
      </c>
      <c r="X288" s="1154">
        <f>Model!X1627</f>
        <v>0.14891802168021678</v>
      </c>
      <c r="Y288" s="1154">
        <f>Model!Y1627</f>
        <v>0.13598231037255429</v>
      </c>
      <c r="Z288" s="1154">
        <f>Model!Z1627</f>
        <v>0.14814819724284198</v>
      </c>
      <c r="AA288" s="1154">
        <f>Model!AA1627</f>
        <v>1.0305540827147401E-2</v>
      </c>
      <c r="AB288" s="1154">
        <f>Model!AB1627</f>
        <v>0.16464566395663957</v>
      </c>
      <c r="AC288" s="1154">
        <f>Model!AC1627</f>
        <v>0.15771799881592732</v>
      </c>
      <c r="AD288" s="1154">
        <f>Model!AD1627</f>
        <v>0.15523145037139283</v>
      </c>
      <c r="AE288" s="1154">
        <f>Model!AE1627</f>
        <v>0.14816952033513878</v>
      </c>
      <c r="AF288" s="1154">
        <f>Model!AF1627</f>
        <v>0.16811292566249261</v>
      </c>
      <c r="AG288" s="1154">
        <f>Model!AG1627</f>
        <v>0.1695524989906384</v>
      </c>
      <c r="AH288" s="1154">
        <f>Model!AH1627</f>
        <v>0.16182770851117415</v>
      </c>
      <c r="AI288" s="1154">
        <f>Model!AI1627</f>
        <v>0.15204553589560638</v>
      </c>
      <c r="AJ288" s="1154"/>
      <c r="AK288" s="1154"/>
      <c r="AL288" s="1154"/>
      <c r="AM288" s="1154"/>
      <c r="AN288" s="1154"/>
      <c r="AO288" s="1154"/>
      <c r="AP288" s="1154"/>
      <c r="AQ288" s="1154"/>
      <c r="AU288" s="1154"/>
      <c r="AV288" s="1154"/>
      <c r="AW288" s="1154">
        <f>Model!AW1627</f>
        <v>0.14776119402985075</v>
      </c>
      <c r="AX288" s="1154">
        <f>Model!AX1627</f>
        <v>0.11760526315789474</v>
      </c>
      <c r="AY288" s="1154">
        <f>Model!AY1627</f>
        <v>0.1190625</v>
      </c>
      <c r="AZ288" s="1154">
        <f>Model!AZ1627</f>
        <v>0.1105609756097561</v>
      </c>
      <c r="BA288" s="1154">
        <f>Model!BA1627</f>
        <v>0.15639270398177493</v>
      </c>
      <c r="BB288" s="1154">
        <f>Model!BB1627</f>
        <v>0.16283775124163358</v>
      </c>
      <c r="BC288" s="1154">
        <f>Model!BC1627</f>
        <v>0.1671324676502037</v>
      </c>
      <c r="BD288" s="1154">
        <f>Model!BD1627</f>
        <v>0.16839512181716992</v>
      </c>
      <c r="BE288" s="1154">
        <f>Model!BE1627</f>
        <v>0.16646417498127047</v>
      </c>
    </row>
    <row r="289" spans="1:57" x14ac:dyDescent="0.2">
      <c r="A289" s="9" t="s">
        <v>821</v>
      </c>
      <c r="D289" s="846">
        <f>Model!D1629</f>
        <v>1222000</v>
      </c>
      <c r="E289" s="846">
        <f>Model!E1629</f>
        <v>1249000</v>
      </c>
      <c r="F289" s="846">
        <f>Model!F1629</f>
        <v>1247000</v>
      </c>
      <c r="G289" s="846">
        <f>Model!G1629</f>
        <v>1250000</v>
      </c>
      <c r="H289" s="846">
        <f>Model!H1629</f>
        <v>1246000</v>
      </c>
      <c r="I289" s="846">
        <f>Model!I1629</f>
        <v>1280000</v>
      </c>
      <c r="J289" s="846">
        <f>Model!J1629</f>
        <v>1253000</v>
      </c>
      <c r="K289" s="846">
        <f>Model!K1629</f>
        <v>1272000</v>
      </c>
      <c r="L289" s="846">
        <f>Model!L1629</f>
        <v>1288000</v>
      </c>
      <c r="M289" s="846">
        <f>Model!M1629</f>
        <v>1296000</v>
      </c>
      <c r="N289" s="846">
        <f>Model!N1629</f>
        <v>1284000</v>
      </c>
      <c r="O289" s="846">
        <f>Model!O1629</f>
        <v>1304000</v>
      </c>
      <c r="P289" s="846">
        <f>Model!P1629</f>
        <v>1280000</v>
      </c>
      <c r="Q289" s="846">
        <f>Model!Q1629</f>
        <v>1285000</v>
      </c>
      <c r="R289" s="846">
        <f>Model!R1629</f>
        <v>1265000</v>
      </c>
      <c r="S289" s="846">
        <f>Model!S1629</f>
        <v>1258000</v>
      </c>
      <c r="T289" s="846">
        <f>Model!T1629</f>
        <v>1272000</v>
      </c>
      <c r="U289" s="846">
        <f>Model!U1629</f>
        <v>1300000</v>
      </c>
      <c r="V289" s="846">
        <f>Model!V1629</f>
        <v>1310000</v>
      </c>
      <c r="W289" s="846">
        <f>Model!W1629</f>
        <v>1310000</v>
      </c>
      <c r="X289" s="846">
        <f>Model!X1629</f>
        <v>1318000</v>
      </c>
      <c r="Y289" s="846">
        <f>Model!Y1629</f>
        <v>1360000</v>
      </c>
      <c r="Z289" s="846">
        <f>Model!Z1629</f>
        <v>1369000</v>
      </c>
      <c r="AA289" s="846">
        <f>Model!AA1629</f>
        <v>1385000</v>
      </c>
      <c r="AB289" s="846">
        <f>Model!AB1629</f>
        <v>1388000</v>
      </c>
      <c r="AC289" s="846">
        <f>Model!AC1629</f>
        <v>1401880</v>
      </c>
      <c r="AD289" s="846">
        <f>Model!AD1629</f>
        <v>1415898.8000000003</v>
      </c>
      <c r="AE289" s="846">
        <f>Model!AE1629</f>
        <v>1430057.7880000002</v>
      </c>
      <c r="AF289" s="846">
        <f>Model!AF1629</f>
        <v>1451508.6548200001</v>
      </c>
      <c r="AG289" s="846">
        <f>Model!AG1629</f>
        <v>1473281.2846422999</v>
      </c>
      <c r="AH289" s="846">
        <f>Model!AH1629</f>
        <v>1499800.3477658613</v>
      </c>
      <c r="AI289" s="846">
        <f>Model!AI1629</f>
        <v>1529796.3547211785</v>
      </c>
      <c r="AJ289" s="846"/>
      <c r="AK289" s="846"/>
      <c r="AL289" s="846"/>
      <c r="AM289" s="846"/>
      <c r="AN289" s="846"/>
      <c r="AO289" s="846"/>
      <c r="AP289" s="846"/>
      <c r="AQ289" s="846"/>
      <c r="AU289" s="846">
        <f>Model!AU1629</f>
        <v>1242000</v>
      </c>
      <c r="AV289" s="846">
        <f>Model!AV1629</f>
        <v>1262750</v>
      </c>
      <c r="AW289" s="846">
        <f>Model!AW1629</f>
        <v>1293000</v>
      </c>
      <c r="AX289" s="846">
        <f>Model!AX1629</f>
        <v>1272000</v>
      </c>
      <c r="AY289" s="846">
        <f>Model!AY1629</f>
        <v>1298000</v>
      </c>
      <c r="AZ289" s="846">
        <f>Model!AZ1629</f>
        <v>1358000</v>
      </c>
      <c r="BA289" s="846">
        <f>Model!BA1629</f>
        <v>1408959.1470000001</v>
      </c>
      <c r="BB289" s="846">
        <f>Model!BB1629</f>
        <v>1488596.6604873349</v>
      </c>
      <c r="BC289" s="846">
        <f>Model!BC1629</f>
        <v>1577912.4601165752</v>
      </c>
      <c r="BD289" s="846">
        <f>Model!BD1629</f>
        <v>1672587.2077235696</v>
      </c>
      <c r="BE289" s="846">
        <f>Model!BE1629</f>
        <v>1772942.4401869839</v>
      </c>
    </row>
    <row r="290" spans="1:57" x14ac:dyDescent="0.2">
      <c r="A290" s="9" t="s">
        <v>822</v>
      </c>
      <c r="D290" s="1154"/>
      <c r="E290" s="1154"/>
      <c r="F290" s="1154"/>
      <c r="G290" s="1154"/>
      <c r="H290" s="1154"/>
      <c r="I290" s="1154"/>
      <c r="J290" s="1154"/>
      <c r="K290" s="1154"/>
      <c r="L290" s="1154">
        <f>Model!L1630</f>
        <v>5.2018633540372672E-2</v>
      </c>
      <c r="M290" s="1154">
        <f>Model!M1630</f>
        <v>5.1697530864197531E-2</v>
      </c>
      <c r="N290" s="1154">
        <f>Model!N1630</f>
        <v>5.2180685358255451E-2</v>
      </c>
      <c r="O290" s="1154">
        <f>Model!O1630</f>
        <v>5.1380368098159511E-2</v>
      </c>
      <c r="P290" s="1154">
        <f>Model!P1630</f>
        <v>5.9374999999999997E-2</v>
      </c>
      <c r="Q290" s="1154">
        <f>Model!Q1630</f>
        <v>5.9143968871595329E-2</v>
      </c>
      <c r="R290" s="1154">
        <f>Model!R1630</f>
        <v>6.007905138339921E-2</v>
      </c>
      <c r="S290" s="1154">
        <f>Model!S1630</f>
        <v>6.0413354531001592E-2</v>
      </c>
      <c r="T290" s="1154">
        <f>Model!T1630</f>
        <v>6.2893081761006289E-2</v>
      </c>
      <c r="U290" s="1154">
        <f>Model!U1630</f>
        <v>6.1538461538461542E-2</v>
      </c>
      <c r="V290" s="1154">
        <f>Model!V1630</f>
        <v>6.1068702290076333E-2</v>
      </c>
      <c r="W290" s="1154">
        <f>Model!W1630</f>
        <v>6.1068702290076333E-2</v>
      </c>
      <c r="X290" s="1154">
        <f>Model!X1630</f>
        <v>6.2215477996965099E-2</v>
      </c>
      <c r="Y290" s="1154">
        <f>Model!Y1630</f>
        <v>6.0294117647058824E-2</v>
      </c>
      <c r="Z290" s="1154">
        <f>Model!Z1630</f>
        <v>5.989773557341125E-2</v>
      </c>
      <c r="AA290" s="1154">
        <f>Model!AA1630</f>
        <v>5.92057761732852E-2</v>
      </c>
      <c r="AB290" s="1154">
        <f>Model!AB1630</f>
        <v>5.9077809798270896E-2</v>
      </c>
      <c r="AC290" s="1154">
        <f>Model!AC1630</f>
        <v>5.8492880988387022E-2</v>
      </c>
      <c r="AD290" s="1154">
        <f>Model!AD1630</f>
        <v>5.7913743552858429E-2</v>
      </c>
      <c r="AE290" s="1154">
        <f>Model!AE1630</f>
        <v>5.7340340151344982E-2</v>
      </c>
      <c r="AF290" s="1154">
        <f>Model!AF1630</f>
        <v>5.9937637788862352E-2</v>
      </c>
      <c r="AG290" s="1154">
        <f>Model!AG1630</f>
        <v>5.9051859890504793E-2</v>
      </c>
      <c r="AH290" s="1154">
        <f>Model!AH1630</f>
        <v>5.8007720914051854E-2</v>
      </c>
      <c r="AI290" s="1154">
        <f>Model!AI1630</f>
        <v>5.6870314621619469E-2</v>
      </c>
      <c r="AJ290" s="1154"/>
      <c r="AK290" s="1154"/>
      <c r="AL290" s="1154"/>
      <c r="AM290" s="1154"/>
      <c r="AN290" s="1154"/>
      <c r="AO290" s="1154"/>
      <c r="AP290" s="1154"/>
      <c r="AQ290" s="1154"/>
      <c r="AU290" s="1154"/>
      <c r="AV290" s="1154"/>
      <c r="AW290" s="1154">
        <f>Model!AW1630</f>
        <v>5.1817478731631866E-2</v>
      </c>
      <c r="AX290" s="1154">
        <f>Model!AX1630</f>
        <v>5.9748427672955975E-2</v>
      </c>
      <c r="AY290" s="1154">
        <f>Model!AY1630</f>
        <v>6.1633281972265024E-2</v>
      </c>
      <c r="AZ290" s="1154">
        <f>Model!AZ1630</f>
        <v>6.0382916053019146E-2</v>
      </c>
      <c r="BA290" s="1154">
        <f>Model!BA1630</f>
        <v>5.8198990492092664E-2</v>
      </c>
      <c r="BB290" s="1154">
        <f>Model!BB1630</f>
        <v>5.8444306849054765E-2</v>
      </c>
      <c r="BC290" s="1154">
        <f>Model!BC1630</f>
        <v>5.8304882130915614E-2</v>
      </c>
      <c r="BD290" s="1154">
        <f>Model!BD1630</f>
        <v>5.7993986533006713E-2</v>
      </c>
      <c r="BE290" s="1154">
        <f>Model!BE1630</f>
        <v>5.8095512671656205E-2</v>
      </c>
    </row>
    <row r="291" spans="1:57" x14ac:dyDescent="0.2">
      <c r="A291" s="9" t="s">
        <v>823</v>
      </c>
      <c r="D291" s="846">
        <f>Model!D1632</f>
        <v>5135</v>
      </c>
      <c r="E291" s="846">
        <f>Model!E1632</f>
        <v>5000</v>
      </c>
      <c r="F291" s="846">
        <f>Model!F1632</f>
        <v>4881</v>
      </c>
      <c r="G291" s="846">
        <f>Model!G1632</f>
        <v>5258</v>
      </c>
      <c r="H291" s="846">
        <f>Model!H1632</f>
        <v>4975</v>
      </c>
      <c r="I291" s="846">
        <f>Model!I1632</f>
        <v>4912</v>
      </c>
      <c r="J291" s="846">
        <f>Model!J1632</f>
        <v>4786</v>
      </c>
      <c r="K291" s="846">
        <f>Model!K1632</f>
        <v>5153</v>
      </c>
      <c r="L291" s="846">
        <f>Model!L1632</f>
        <v>4887</v>
      </c>
      <c r="M291" s="846">
        <f>Model!M1632</f>
        <v>4769</v>
      </c>
      <c r="N291" s="846">
        <f>Model!N1632</f>
        <v>4938</v>
      </c>
      <c r="O291" s="846">
        <f>Model!O1632</f>
        <v>4906</v>
      </c>
      <c r="P291" s="846">
        <f>Model!P1632</f>
        <v>4654</v>
      </c>
      <c r="Q291" s="846">
        <f>Model!Q1632</f>
        <v>4847</v>
      </c>
      <c r="R291" s="846">
        <f>Model!R1632</f>
        <v>4718</v>
      </c>
      <c r="S291" s="846">
        <f>Model!S1632</f>
        <v>4868</v>
      </c>
      <c r="T291" s="846">
        <f>Model!T1632</f>
        <v>4872</v>
      </c>
      <c r="U291" s="846">
        <f>Model!U1632</f>
        <v>4763</v>
      </c>
      <c r="V291" s="846">
        <f>Model!V1632</f>
        <v>4687</v>
      </c>
      <c r="W291" s="846">
        <f>Model!W1632</f>
        <v>4634</v>
      </c>
      <c r="X291" s="846">
        <f>Model!X1632</f>
        <v>5138</v>
      </c>
      <c r="Y291" s="846">
        <f>Model!Y1632</f>
        <v>5227</v>
      </c>
      <c r="Z291" s="846">
        <f>Model!Z1632</f>
        <v>5138</v>
      </c>
      <c r="AA291" s="846">
        <f>Model!AA1632</f>
        <v>4912</v>
      </c>
      <c r="AB291" s="846">
        <f>Model!AB1632</f>
        <v>5503</v>
      </c>
      <c r="AC291" s="846">
        <f>Model!AC1632</f>
        <v>5691.0816040854461</v>
      </c>
      <c r="AD291" s="846">
        <f>Model!AD1632</f>
        <v>5466.3707248217834</v>
      </c>
      <c r="AE291" s="846">
        <f>Model!AE1632</f>
        <v>5056.8989595953935</v>
      </c>
      <c r="AF291" s="846">
        <f>Model!AF1632</f>
        <v>5973.5905232755022</v>
      </c>
      <c r="AG291" s="846">
        <f>Model!AG1632</f>
        <v>5875.7913607576647</v>
      </c>
      <c r="AH291" s="846">
        <f>Model!AH1632</f>
        <v>5713.7448132794998</v>
      </c>
      <c r="AI291" s="846">
        <f>Model!AI1632</f>
        <v>5312.3488662707477</v>
      </c>
      <c r="AJ291" s="846"/>
      <c r="AK291" s="846"/>
      <c r="AL291" s="846"/>
      <c r="AM291" s="846"/>
      <c r="AN291" s="846"/>
      <c r="AO291" s="846"/>
      <c r="AP291" s="846"/>
      <c r="AQ291" s="846"/>
      <c r="AU291" s="846">
        <f>Model!AU1632</f>
        <v>20274</v>
      </c>
      <c r="AV291" s="846">
        <f>Model!AV1632</f>
        <v>19826</v>
      </c>
      <c r="AW291" s="846">
        <f>Model!AW1632</f>
        <v>19500</v>
      </c>
      <c r="AX291" s="846">
        <f>Model!AX1632</f>
        <v>19087</v>
      </c>
      <c r="AY291" s="846">
        <f>Model!AY1632</f>
        <v>18956</v>
      </c>
      <c r="AZ291" s="846">
        <f>Model!AZ1632</f>
        <v>20415</v>
      </c>
      <c r="BA291" s="846">
        <f>Model!BA1632</f>
        <v>21717.351288502625</v>
      </c>
      <c r="BB291" s="846">
        <f>Model!BB1632</f>
        <v>22875.475563583415</v>
      </c>
      <c r="BC291" s="846">
        <f>Model!BC1632</f>
        <v>23917.060992124185</v>
      </c>
      <c r="BD291" s="846">
        <f>Model!BD1632</f>
        <v>25148.077123822561</v>
      </c>
      <c r="BE291" s="846">
        <f>Model!BE1632</f>
        <v>26377.238021165391</v>
      </c>
    </row>
    <row r="292" spans="1:57" x14ac:dyDescent="0.2">
      <c r="A292" s="9" t="s">
        <v>824</v>
      </c>
      <c r="D292" s="1154">
        <f>Model!D1633</f>
        <v>0.54029882154882158</v>
      </c>
      <c r="E292" s="1154">
        <f>Model!E1633</f>
        <v>0.61965547155781386</v>
      </c>
      <c r="F292" s="1154">
        <f>Model!F1633</f>
        <v>0.59120639534883723</v>
      </c>
      <c r="G292" s="1154">
        <f>Model!G1633</f>
        <v>0.69836631690795592</v>
      </c>
      <c r="H292" s="1154">
        <f>Model!H1633</f>
        <v>0.50247449752550244</v>
      </c>
      <c r="I292" s="1154">
        <f>Model!I1633</f>
        <v>0.53788874288217259</v>
      </c>
      <c r="J292" s="1154">
        <f>Model!J1633</f>
        <v>0.62472262106774568</v>
      </c>
      <c r="K292" s="1154">
        <f>Model!K1633</f>
        <v>0.71262619278108141</v>
      </c>
      <c r="L292" s="1154">
        <f>Model!L1633</f>
        <v>0.52701391135554831</v>
      </c>
      <c r="M292" s="1154">
        <f>Model!M1633</f>
        <v>0.56086087263318829</v>
      </c>
      <c r="N292" s="1154">
        <f>Model!N1633</f>
        <v>0.56641431520991048</v>
      </c>
      <c r="O292" s="1154">
        <f>Model!O1633</f>
        <v>0.68034946609346836</v>
      </c>
      <c r="P292" s="1154">
        <f>Model!P1633</f>
        <v>0.5153360646661499</v>
      </c>
      <c r="Q292" s="1154">
        <f>Model!Q1633</f>
        <v>0.5725253957004488</v>
      </c>
      <c r="R292" s="1154">
        <f>Model!R1633</f>
        <v>0.57118644067796609</v>
      </c>
      <c r="S292" s="1154">
        <f>Model!S1633</f>
        <v>0.66630166986038875</v>
      </c>
      <c r="T292" s="1154">
        <f>Model!T1633</f>
        <v>0.61709943001899936</v>
      </c>
      <c r="U292" s="1154">
        <f>Model!U1633</f>
        <v>0.54816434572447925</v>
      </c>
      <c r="V292" s="1154">
        <f>Model!V1633</f>
        <v>0.55408440714032392</v>
      </c>
      <c r="W292" s="1154">
        <f>Model!W1633</f>
        <v>0.5662267839687195</v>
      </c>
      <c r="X292" s="1154">
        <f>Model!X1633</f>
        <v>0.55134671102049582</v>
      </c>
      <c r="Y292" s="1154">
        <f>Model!Y1633</f>
        <v>0.55482432862753428</v>
      </c>
      <c r="Z292" s="1154">
        <f>Model!Z1633</f>
        <v>0.54485683987274658</v>
      </c>
      <c r="AA292" s="1154">
        <f>Model!AA1633</f>
        <v>0.59152215799614638</v>
      </c>
      <c r="AB292" s="1154">
        <f>Model!AB1633</f>
        <v>0.5587936636880585</v>
      </c>
      <c r="AC292" s="1154">
        <f>Model!AC1633</f>
        <v>0.56000000000000005</v>
      </c>
      <c r="AD292" s="1154">
        <f>Model!AD1633</f>
        <v>0.55000000000000004</v>
      </c>
      <c r="AE292" s="1154">
        <f>Model!AE1633</f>
        <v>0.54</v>
      </c>
      <c r="AF292" s="1154">
        <f>Model!AF1633</f>
        <v>0.54500000000000004</v>
      </c>
      <c r="AG292" s="1154">
        <f>Model!AG1633</f>
        <v>0.53500000000000003</v>
      </c>
      <c r="AH292" s="1154">
        <f>Model!AH1633</f>
        <v>0.53500000000000003</v>
      </c>
      <c r="AI292" s="1154">
        <f>Model!AI1633</f>
        <v>0.53</v>
      </c>
      <c r="AJ292" s="1154"/>
      <c r="AK292" s="1154"/>
      <c r="AL292" s="1154"/>
      <c r="AM292" s="1154"/>
      <c r="AN292" s="1154"/>
      <c r="AO292" s="1154"/>
      <c r="AP292" s="1154"/>
      <c r="AQ292" s="1154"/>
      <c r="AU292" s="1154">
        <f>Model!AU1633</f>
        <v>0.60777025001498886</v>
      </c>
      <c r="AV292" s="1154">
        <f>Model!AV1633</f>
        <v>0.58440677966101695</v>
      </c>
      <c r="AW292" s="1154">
        <f>Model!AW1633</f>
        <v>0.57854917668001782</v>
      </c>
      <c r="AX292" s="1154">
        <f>Model!AX1633</f>
        <v>0.57729183679641893</v>
      </c>
      <c r="AY292" s="1154">
        <f>Model!AY1633</f>
        <v>0.5704998946639781</v>
      </c>
      <c r="AZ292" s="1154">
        <f>Model!AZ1633</f>
        <v>0.55971376871195921</v>
      </c>
      <c r="BA292" s="1154">
        <f>Model!BA1633</f>
        <v>0.55240575543448467</v>
      </c>
      <c r="BB292" s="1154">
        <f>Model!BB1633</f>
        <v>0.53639496527965291</v>
      </c>
      <c r="BC292" s="1154">
        <f>Model!BC1633</f>
        <v>0.52500000000000002</v>
      </c>
      <c r="BD292" s="1154">
        <f>Model!BD1633</f>
        <v>0.52</v>
      </c>
      <c r="BE292" s="1154">
        <f>Model!BE1633</f>
        <v>0.51500000000000001</v>
      </c>
    </row>
    <row r="293" spans="1:57" x14ac:dyDescent="0.2">
      <c r="A293" s="9" t="s">
        <v>825</v>
      </c>
      <c r="D293" s="846"/>
      <c r="E293" s="846"/>
      <c r="F293" s="846"/>
      <c r="G293" s="846"/>
      <c r="H293" s="846"/>
      <c r="I293" s="846"/>
      <c r="J293" s="846"/>
      <c r="K293" s="846"/>
      <c r="L293" s="846"/>
      <c r="M293" s="846"/>
      <c r="N293" s="846"/>
      <c r="O293" s="846"/>
      <c r="P293" s="846"/>
      <c r="Q293" s="846"/>
      <c r="R293" s="846"/>
      <c r="S293" s="846"/>
      <c r="T293" s="846"/>
      <c r="U293" s="846"/>
      <c r="V293" s="846"/>
      <c r="W293" s="846"/>
      <c r="X293" s="846"/>
      <c r="Y293" s="846"/>
      <c r="Z293" s="846"/>
      <c r="AA293" s="846"/>
      <c r="AB293" s="846"/>
      <c r="AC293" s="846"/>
      <c r="AD293" s="846"/>
      <c r="AE293" s="846"/>
      <c r="AF293" s="846"/>
      <c r="AG293" s="846"/>
      <c r="AH293" s="846"/>
      <c r="AI293" s="846"/>
      <c r="AJ293" s="846"/>
      <c r="AK293" s="846"/>
      <c r="AL293" s="846"/>
      <c r="AM293" s="846"/>
      <c r="AN293" s="846"/>
      <c r="AO293" s="846"/>
      <c r="AP293" s="846"/>
      <c r="AQ293" s="846"/>
      <c r="AU293" s="846"/>
      <c r="AV293" s="846"/>
      <c r="AW293" s="846">
        <f>Model!AW1641</f>
        <v>670000</v>
      </c>
      <c r="AX293" s="846">
        <f>Model!AX1641</f>
        <v>690909.09090909094</v>
      </c>
      <c r="AY293" s="846">
        <f>Model!AY1641</f>
        <v>695652.17391304346</v>
      </c>
      <c r="AZ293" s="846">
        <f>Model!AZ1641</f>
        <v>713043.47826086951</v>
      </c>
      <c r="BA293" s="846">
        <f>Model!BA1641</f>
        <v>728888.88888888888</v>
      </c>
      <c r="BB293" s="846">
        <f>Model!BB1641</f>
        <v>790909.09090909094</v>
      </c>
      <c r="BC293" s="846">
        <f>Model!BC1641</f>
        <v>836363.63636363635</v>
      </c>
      <c r="BD293" s="846">
        <f>Model!BD1641</f>
        <v>881818.18181818177</v>
      </c>
      <c r="BE293" s="846">
        <f>Model!BE1641</f>
        <v>936363.63636363635</v>
      </c>
    </row>
    <row r="294" spans="1:57" x14ac:dyDescent="0.2">
      <c r="A294" s="9" t="s">
        <v>826</v>
      </c>
      <c r="D294" s="846"/>
      <c r="E294" s="846"/>
      <c r="F294" s="846"/>
      <c r="G294" s="846"/>
      <c r="H294" s="846"/>
      <c r="I294" s="846"/>
      <c r="J294" s="846"/>
      <c r="K294" s="846"/>
      <c r="L294" s="846"/>
      <c r="M294" s="846"/>
      <c r="N294" s="846"/>
      <c r="O294" s="846"/>
      <c r="P294" s="846"/>
      <c r="Q294" s="846"/>
      <c r="R294" s="846"/>
      <c r="S294" s="846"/>
      <c r="T294" s="846"/>
      <c r="U294" s="846"/>
      <c r="V294" s="846"/>
      <c r="W294" s="846"/>
      <c r="X294" s="846"/>
      <c r="Y294" s="846"/>
      <c r="Z294" s="846"/>
      <c r="AA294" s="846"/>
      <c r="AB294" s="846"/>
      <c r="AC294" s="846"/>
      <c r="AD294" s="846"/>
      <c r="AE294" s="846"/>
      <c r="AF294" s="846"/>
      <c r="AG294" s="846"/>
      <c r="AH294" s="846"/>
      <c r="AI294" s="846"/>
      <c r="AJ294" s="846"/>
      <c r="AK294" s="846"/>
      <c r="AL294" s="846"/>
      <c r="AM294" s="846"/>
      <c r="AN294" s="846"/>
      <c r="AO294" s="846"/>
      <c r="AP294" s="846"/>
      <c r="AQ294" s="846"/>
      <c r="AU294" s="846"/>
      <c r="AV294" s="846"/>
      <c r="AW294" s="846">
        <f>Model!AW1642</f>
        <v>1646782</v>
      </c>
      <c r="AX294" s="846">
        <f>Model!AX1642</f>
        <v>1568756.7053364269</v>
      </c>
      <c r="AY294" s="846">
        <f>Model!AY1642</f>
        <v>1548742.2606341839</v>
      </c>
      <c r="AZ294" s="846">
        <f>Model!AZ1642</f>
        <v>1632974.3882443926</v>
      </c>
      <c r="BA294" s="846">
        <f>Model!BA1642</f>
        <v>1605253.8566680932</v>
      </c>
      <c r="BB294" s="846">
        <f>Model!BB1642</f>
        <v>1686659.5564941168</v>
      </c>
      <c r="BC294" s="846">
        <f>Model!BC1642</f>
        <v>1770865.6488191423</v>
      </c>
      <c r="BD294" s="846">
        <f>Model!BD1642</f>
        <v>1863613.8132346591</v>
      </c>
      <c r="BE294" s="846">
        <f>Model!BE1642</f>
        <v>1960655.4950507216</v>
      </c>
    </row>
    <row r="295" spans="1:57" x14ac:dyDescent="0.2">
      <c r="A295" s="9" t="s">
        <v>827</v>
      </c>
      <c r="D295" s="846"/>
      <c r="E295" s="846"/>
      <c r="F295" s="846"/>
      <c r="G295" s="846"/>
      <c r="H295" s="846"/>
      <c r="I295" s="846"/>
      <c r="J295" s="846"/>
      <c r="K295" s="846"/>
      <c r="L295" s="846"/>
      <c r="M295" s="846"/>
      <c r="N295" s="846"/>
      <c r="O295" s="846"/>
      <c r="P295" s="846"/>
      <c r="Q295" s="846"/>
      <c r="R295" s="846"/>
      <c r="S295" s="846"/>
      <c r="T295" s="846"/>
      <c r="U295" s="846"/>
      <c r="V295" s="846"/>
      <c r="W295" s="846"/>
      <c r="X295" s="846"/>
      <c r="Y295" s="846"/>
      <c r="Z295" s="846"/>
      <c r="AA295" s="846"/>
      <c r="AB295" s="846"/>
      <c r="AC295" s="846"/>
      <c r="AD295" s="846"/>
      <c r="AE295" s="846"/>
      <c r="AF295" s="846"/>
      <c r="AG295" s="846"/>
      <c r="AH295" s="846"/>
      <c r="AI295" s="846"/>
      <c r="AJ295" s="846"/>
      <c r="AK295" s="846"/>
      <c r="AL295" s="846"/>
      <c r="AM295" s="846"/>
      <c r="AN295" s="846"/>
      <c r="AO295" s="846"/>
      <c r="AP295" s="846"/>
      <c r="AQ295" s="846"/>
      <c r="AU295" s="846"/>
      <c r="AV295" s="846"/>
      <c r="AW295" s="846">
        <f>Model!AW1644</f>
        <v>588782</v>
      </c>
      <c r="AX295" s="846">
        <f>Model!AX1644</f>
        <v>527940</v>
      </c>
      <c r="AY295" s="846">
        <f>Model!AY1644</f>
        <v>486651</v>
      </c>
      <c r="AZ295" s="846">
        <f>Model!AZ1644</f>
        <v>521788</v>
      </c>
      <c r="BA295" s="846">
        <f>Model!BA1644</f>
        <v>452370.0380091609</v>
      </c>
      <c r="BB295" s="846">
        <f>Model!BB1644</f>
        <v>468612.17304817727</v>
      </c>
      <c r="BC295" s="846">
        <f>Model!BC1644</f>
        <v>479735.42236644629</v>
      </c>
      <c r="BD295" s="846">
        <f>Model!BD1644</f>
        <v>495015.7731948017</v>
      </c>
      <c r="BE295" s="846">
        <f>Model!BE1644</f>
        <v>509941.57260847278</v>
      </c>
    </row>
    <row r="296" spans="1:57" x14ac:dyDescent="0.2">
      <c r="A296" s="9" t="s">
        <v>828</v>
      </c>
      <c r="D296" s="1154"/>
      <c r="E296" s="1154"/>
      <c r="F296" s="1154"/>
      <c r="G296" s="1154"/>
      <c r="H296" s="1154"/>
      <c r="I296" s="1154"/>
      <c r="J296" s="1154"/>
      <c r="K296" s="1154"/>
      <c r="L296" s="1154"/>
      <c r="M296" s="1154"/>
      <c r="N296" s="1154"/>
      <c r="O296" s="1154"/>
      <c r="P296" s="1154"/>
      <c r="Q296" s="1154"/>
      <c r="R296" s="1154"/>
      <c r="S296" s="1154"/>
      <c r="T296" s="1154"/>
      <c r="U296" s="1154"/>
      <c r="V296" s="1154"/>
      <c r="W296" s="1154"/>
      <c r="X296" s="1154"/>
      <c r="Y296" s="1154"/>
      <c r="Z296" s="1154"/>
      <c r="AA296" s="1154"/>
      <c r="AB296" s="1154"/>
      <c r="AC296" s="1154"/>
      <c r="AD296" s="1154"/>
      <c r="AE296" s="1154"/>
      <c r="AF296" s="1154"/>
      <c r="AG296" s="1154"/>
      <c r="AH296" s="1154"/>
      <c r="AI296" s="1154"/>
      <c r="AJ296" s="1154"/>
      <c r="AK296" s="1154"/>
      <c r="AL296" s="1154"/>
      <c r="AM296" s="1154"/>
      <c r="AN296" s="1154"/>
      <c r="AO296" s="1154"/>
      <c r="AP296" s="1154"/>
      <c r="AQ296" s="1154"/>
      <c r="AU296" s="1154"/>
      <c r="AV296" s="1154"/>
      <c r="AW296" s="1154">
        <f>Model!AW1645</f>
        <v>0.1</v>
      </c>
      <c r="AX296" s="1154">
        <f>Model!AX1645</f>
        <v>0.11</v>
      </c>
      <c r="AY296" s="1154">
        <f>Model!AY1645</f>
        <v>0.115</v>
      </c>
      <c r="AZ296" s="1154">
        <f>Model!AZ1645</f>
        <v>0.115</v>
      </c>
      <c r="BA296" s="1154">
        <f>Model!BA1645</f>
        <v>0.1125</v>
      </c>
      <c r="BB296" s="1154">
        <f>Model!BB1645</f>
        <v>0.11</v>
      </c>
      <c r="BC296" s="1154">
        <f>Model!BC1645</f>
        <v>0.11</v>
      </c>
      <c r="BD296" s="1154">
        <f>Model!BD1645</f>
        <v>0.11</v>
      </c>
      <c r="BE296" s="1154">
        <f>Model!BE1645</f>
        <v>0.11</v>
      </c>
    </row>
    <row r="297" spans="1:57" x14ac:dyDescent="0.2">
      <c r="A297" s="9" t="s">
        <v>829</v>
      </c>
      <c r="D297" s="846"/>
      <c r="E297" s="846"/>
      <c r="F297" s="846"/>
      <c r="G297" s="846"/>
      <c r="H297" s="846"/>
      <c r="I297" s="846"/>
      <c r="J297" s="846"/>
      <c r="K297" s="846"/>
      <c r="L297" s="846"/>
      <c r="M297" s="846"/>
      <c r="N297" s="846"/>
      <c r="O297" s="846"/>
      <c r="P297" s="846"/>
      <c r="Q297" s="846"/>
      <c r="R297" s="846"/>
      <c r="S297" s="846"/>
      <c r="T297" s="846"/>
      <c r="U297" s="846"/>
      <c r="V297" s="846"/>
      <c r="W297" s="846"/>
      <c r="X297" s="846"/>
      <c r="Y297" s="846"/>
      <c r="Z297" s="846"/>
      <c r="AA297" s="846"/>
      <c r="AB297" s="846"/>
      <c r="AC297" s="846"/>
      <c r="AD297" s="846"/>
      <c r="AE297" s="846"/>
      <c r="AF297" s="846"/>
      <c r="AG297" s="846"/>
      <c r="AH297" s="846"/>
      <c r="AI297" s="846"/>
      <c r="AJ297" s="846"/>
      <c r="AK297" s="846"/>
      <c r="AL297" s="846"/>
      <c r="AM297" s="846"/>
      <c r="AN297" s="846"/>
      <c r="AO297" s="846"/>
      <c r="AP297" s="846"/>
      <c r="AQ297" s="846"/>
      <c r="AU297" s="846"/>
      <c r="AV297" s="846"/>
      <c r="AW297" s="846">
        <f>Model!AW1648</f>
        <v>67000</v>
      </c>
      <c r="AX297" s="846">
        <f>Model!AX1648</f>
        <v>76000</v>
      </c>
      <c r="AY297" s="846">
        <f>Model!AY1648</f>
        <v>80000</v>
      </c>
      <c r="AZ297" s="846">
        <f>Model!AZ1648</f>
        <v>82000</v>
      </c>
      <c r="BA297" s="846">
        <f>Model!BA1648</f>
        <v>82000</v>
      </c>
      <c r="BB297" s="846">
        <f>Model!BB1648</f>
        <v>87000</v>
      </c>
      <c r="BC297" s="846">
        <f>Model!BC1648</f>
        <v>92000</v>
      </c>
      <c r="BD297" s="846">
        <f>Model!BD1648</f>
        <v>97000</v>
      </c>
      <c r="BE297" s="846">
        <f>Model!BE1648</f>
        <v>103000</v>
      </c>
    </row>
    <row r="298" spans="1:57" x14ac:dyDescent="0.2">
      <c r="A298" s="9" t="s">
        <v>830</v>
      </c>
      <c r="D298" s="1154"/>
      <c r="E298" s="1154"/>
      <c r="F298" s="1154"/>
      <c r="G298" s="1154"/>
      <c r="H298" s="1154"/>
      <c r="I298" s="1154"/>
      <c r="J298" s="1154"/>
      <c r="K298" s="1154"/>
      <c r="L298" s="1154"/>
      <c r="M298" s="1154"/>
      <c r="N298" s="1154"/>
      <c r="O298" s="1154"/>
      <c r="P298" s="1154"/>
      <c r="Q298" s="1154"/>
      <c r="R298" s="1154"/>
      <c r="S298" s="1154"/>
      <c r="T298" s="1154"/>
      <c r="U298" s="1154"/>
      <c r="V298" s="1154"/>
      <c r="W298" s="1154"/>
      <c r="X298" s="1154"/>
      <c r="Y298" s="1154"/>
      <c r="Z298" s="1154"/>
      <c r="AA298" s="1154"/>
      <c r="AB298" s="1154"/>
      <c r="AC298" s="1154"/>
      <c r="AD298" s="1154"/>
      <c r="AE298" s="1154"/>
      <c r="AF298" s="1154"/>
      <c r="AG298" s="1154"/>
      <c r="AH298" s="1154"/>
      <c r="AI298" s="1154"/>
      <c r="AJ298" s="1154"/>
      <c r="AK298" s="1154"/>
      <c r="AL298" s="1154"/>
      <c r="AM298" s="1154"/>
      <c r="AN298" s="1154"/>
      <c r="AO298" s="1154"/>
      <c r="AP298" s="1154"/>
      <c r="AQ298" s="1154"/>
      <c r="AU298" s="1154"/>
      <c r="AV298" s="1154"/>
      <c r="AW298" s="1154">
        <f>Model!AW1649</f>
        <v>6.3327032136105854E-2</v>
      </c>
      <c r="AX298" s="1154">
        <f>Model!AX1649</f>
        <v>7.3019581267610656E-2</v>
      </c>
      <c r="AY298" s="1154">
        <f>Model!AY1649</f>
        <v>7.5323094130565871E-2</v>
      </c>
      <c r="AZ298" s="1154">
        <f>Model!AZ1649</f>
        <v>7.3795000431525315E-2</v>
      </c>
      <c r="BA298" s="1154">
        <f>Model!BA1649</f>
        <v>7.1125987435043336E-2</v>
      </c>
      <c r="BB298" s="1154">
        <f>Model!BB1649</f>
        <v>7.1425792774884533E-2</v>
      </c>
      <c r="BC298" s="1154">
        <f>Model!BC1649</f>
        <v>7.1255399428425251E-2</v>
      </c>
      <c r="BD298" s="1154">
        <f>Model!BD1649</f>
        <v>7.0875448570111271E-2</v>
      </c>
      <c r="BE298" s="1154">
        <f>Model!BE1649</f>
        <v>7.0999525410634715E-2</v>
      </c>
    </row>
    <row r="299" spans="1:57" x14ac:dyDescent="0.2">
      <c r="A299" s="9" t="s">
        <v>831</v>
      </c>
      <c r="D299" s="846"/>
      <c r="E299" s="846"/>
      <c r="F299" s="846"/>
      <c r="G299" s="846"/>
      <c r="H299" s="846"/>
      <c r="I299" s="846"/>
      <c r="J299" s="846"/>
      <c r="K299" s="846"/>
      <c r="L299" s="846"/>
      <c r="M299" s="846"/>
      <c r="N299" s="846"/>
      <c r="O299" s="846"/>
      <c r="P299" s="846"/>
      <c r="Q299" s="846"/>
      <c r="R299" s="846"/>
      <c r="S299" s="846"/>
      <c r="T299" s="846"/>
      <c r="U299" s="846"/>
      <c r="V299" s="846"/>
      <c r="W299" s="846"/>
      <c r="X299" s="846"/>
      <c r="Y299" s="846"/>
      <c r="Z299" s="846"/>
      <c r="AA299" s="846"/>
      <c r="AB299" s="846"/>
      <c r="AC299" s="846"/>
      <c r="AD299" s="846"/>
      <c r="AE299" s="846"/>
      <c r="AF299" s="846"/>
      <c r="AG299" s="846"/>
      <c r="AH299" s="846"/>
      <c r="AI299" s="846"/>
      <c r="AJ299" s="846"/>
      <c r="AK299" s="846"/>
      <c r="AL299" s="846"/>
      <c r="AM299" s="846"/>
      <c r="AN299" s="846"/>
      <c r="AO299" s="846"/>
      <c r="AP299" s="846"/>
      <c r="AQ299" s="846"/>
      <c r="AU299" s="846"/>
      <c r="AV299" s="846"/>
      <c r="AW299" s="846">
        <f>Model!AW1650</f>
        <v>67000</v>
      </c>
      <c r="AX299" s="846">
        <f>Model!AX1650</f>
        <v>76000</v>
      </c>
      <c r="AY299" s="846">
        <f>Model!AY1650</f>
        <v>80000</v>
      </c>
      <c r="AZ299" s="846">
        <f>Model!AZ1650</f>
        <v>82000</v>
      </c>
      <c r="BA299" s="846">
        <f>Model!BA1650</f>
        <v>82000</v>
      </c>
      <c r="BB299" s="846">
        <f>Model!BB1650</f>
        <v>87000</v>
      </c>
      <c r="BC299" s="846">
        <f>Model!BC1650</f>
        <v>92000</v>
      </c>
      <c r="BD299" s="846">
        <f>Model!BD1650</f>
        <v>97000</v>
      </c>
      <c r="BE299" s="846">
        <f>Model!BE1650</f>
        <v>103000</v>
      </c>
    </row>
    <row r="300" spans="1:57" x14ac:dyDescent="0.2">
      <c r="A300" s="9" t="s">
        <v>832</v>
      </c>
      <c r="D300" s="1154"/>
      <c r="E300" s="1154"/>
      <c r="F300" s="1154"/>
      <c r="G300" s="1154"/>
      <c r="H300" s="1154"/>
      <c r="I300" s="1154"/>
      <c r="J300" s="1154"/>
      <c r="K300" s="1154"/>
      <c r="L300" s="1154"/>
      <c r="M300" s="1154"/>
      <c r="N300" s="1154"/>
      <c r="O300" s="1154"/>
      <c r="P300" s="1154"/>
      <c r="Q300" s="1154"/>
      <c r="R300" s="1154"/>
      <c r="S300" s="1154"/>
      <c r="T300" s="1154"/>
      <c r="U300" s="1154"/>
      <c r="V300" s="1154"/>
      <c r="W300" s="1154"/>
      <c r="X300" s="1154"/>
      <c r="Y300" s="1154"/>
      <c r="Z300" s="1154"/>
      <c r="AA300" s="1154"/>
      <c r="AB300" s="1154"/>
      <c r="AC300" s="1154"/>
      <c r="AD300" s="1154"/>
      <c r="AE300" s="1154"/>
      <c r="AF300" s="1154"/>
      <c r="AG300" s="1154"/>
      <c r="AH300" s="1154"/>
      <c r="AI300" s="1154"/>
      <c r="AJ300" s="1154"/>
      <c r="AK300" s="1154"/>
      <c r="AL300" s="1154"/>
      <c r="AM300" s="1154"/>
      <c r="AN300" s="1154"/>
      <c r="AO300" s="1154"/>
      <c r="AP300" s="1154"/>
      <c r="AQ300" s="1154"/>
      <c r="AU300" s="1154"/>
      <c r="AV300" s="1154"/>
      <c r="AW300" s="1154">
        <f>Model!AW1651</f>
        <v>0.63327032136105865</v>
      </c>
      <c r="AX300" s="1154">
        <f>Model!AX1651</f>
        <v>0.663814375160097</v>
      </c>
      <c r="AY300" s="1154">
        <f>Model!AY1651</f>
        <v>0.65498342722231184</v>
      </c>
      <c r="AZ300" s="1154">
        <f>Model!AZ1651</f>
        <v>0.64169565592630695</v>
      </c>
      <c r="BA300" s="1154">
        <f>Model!BA1651</f>
        <v>0.63223099942260741</v>
      </c>
      <c r="BB300" s="1154">
        <f>Model!BB1651</f>
        <v>0.64932538886258673</v>
      </c>
      <c r="BC300" s="1154">
        <f>Model!BC1651</f>
        <v>0.64777635844022963</v>
      </c>
      <c r="BD300" s="1154">
        <f>Model!BD1651</f>
        <v>0.64432225972828427</v>
      </c>
      <c r="BE300" s="1154">
        <f>Model!BE1651</f>
        <v>0.64545023100577015</v>
      </c>
    </row>
    <row r="301" spans="1:57" x14ac:dyDescent="0.2">
      <c r="A301" s="9" t="s">
        <v>833</v>
      </c>
      <c r="D301" s="1154"/>
      <c r="E301" s="1154"/>
      <c r="F301" s="1154"/>
      <c r="G301" s="1154"/>
      <c r="H301" s="1154"/>
      <c r="I301" s="1154"/>
      <c r="J301" s="1154"/>
      <c r="K301" s="1154"/>
      <c r="L301" s="1154"/>
      <c r="M301" s="1154"/>
      <c r="N301" s="1154"/>
      <c r="O301" s="1154"/>
      <c r="P301" s="1154"/>
      <c r="Q301" s="1154"/>
      <c r="R301" s="1154"/>
      <c r="S301" s="1154"/>
      <c r="T301" s="1154"/>
      <c r="U301" s="1154"/>
      <c r="V301" s="1154"/>
      <c r="W301" s="1154"/>
      <c r="X301" s="1154"/>
      <c r="Y301" s="1154"/>
      <c r="Z301" s="1154"/>
      <c r="AA301" s="1154"/>
      <c r="AB301" s="1154"/>
      <c r="AC301" s="1154"/>
      <c r="AD301" s="1154"/>
      <c r="AE301" s="1154"/>
      <c r="AF301" s="1154"/>
      <c r="AG301" s="1154"/>
      <c r="AH301" s="1154"/>
      <c r="AI301" s="1154"/>
      <c r="AJ301" s="1154"/>
      <c r="AK301" s="1154"/>
      <c r="AL301" s="1154"/>
      <c r="AM301" s="1154"/>
      <c r="AN301" s="1154"/>
      <c r="AO301" s="1154"/>
      <c r="AP301" s="1154"/>
      <c r="AQ301" s="1154"/>
      <c r="AU301" s="1154"/>
      <c r="AV301" s="1154"/>
      <c r="AW301" s="1154">
        <f>Model!AW1652</f>
        <v>1.5565047258979205</v>
      </c>
      <c r="AX301" s="1154">
        <f>Model!AX1652</f>
        <v>1.5072362859792416</v>
      </c>
      <c r="AY301" s="1154">
        <f>Model!AY1652</f>
        <v>1.4582007385216751</v>
      </c>
      <c r="AZ301" s="1154">
        <f>Model!AZ1652</f>
        <v>1.4695773864044479</v>
      </c>
      <c r="BA301" s="1154">
        <f>Model!BA1652</f>
        <v>1.3923812882857274</v>
      </c>
      <c r="BB301" s="1154">
        <f>Model!BB1652</f>
        <v>1.3847240915393959</v>
      </c>
      <c r="BC301" s="1154">
        <f>Model!BC1652</f>
        <v>1.3715623819639722</v>
      </c>
      <c r="BD301" s="1154">
        <f>Model!BD1652</f>
        <v>1.3616955152006396</v>
      </c>
      <c r="BE301" s="1154">
        <f>Model!BE1652</f>
        <v>1.3515107732267406</v>
      </c>
    </row>
    <row r="302" spans="1:57" x14ac:dyDescent="0.2">
      <c r="A302" s="9" t="s">
        <v>834</v>
      </c>
      <c r="D302" s="1154"/>
      <c r="E302" s="1154"/>
      <c r="F302" s="1154"/>
      <c r="G302" s="1154"/>
      <c r="H302" s="1154"/>
      <c r="I302" s="1154"/>
      <c r="J302" s="1154"/>
      <c r="K302" s="1154"/>
      <c r="L302" s="1154"/>
      <c r="M302" s="1154"/>
      <c r="N302" s="1154"/>
      <c r="O302" s="1154"/>
      <c r="P302" s="1154"/>
      <c r="Q302" s="1154"/>
      <c r="R302" s="1154"/>
      <c r="S302" s="1154"/>
      <c r="T302" s="1154"/>
      <c r="U302" s="1154"/>
      <c r="V302" s="1154"/>
      <c r="W302" s="1154"/>
      <c r="X302" s="1154"/>
      <c r="Y302" s="1154"/>
      <c r="Z302" s="1154"/>
      <c r="AA302" s="1154"/>
      <c r="AB302" s="1154"/>
      <c r="AC302" s="1154"/>
      <c r="AD302" s="1154"/>
      <c r="AE302" s="1154"/>
      <c r="AF302" s="1154"/>
      <c r="AG302" s="1154"/>
      <c r="AH302" s="1154"/>
      <c r="AI302" s="1154"/>
      <c r="AJ302" s="1154"/>
      <c r="AK302" s="1154"/>
      <c r="AL302" s="1154"/>
      <c r="AM302" s="1154"/>
      <c r="AN302" s="1154"/>
      <c r="AO302" s="1154"/>
      <c r="AP302" s="1154"/>
      <c r="AQ302" s="1154"/>
      <c r="AU302" s="1154"/>
      <c r="AV302" s="1154"/>
      <c r="AW302" s="1154">
        <f>Model!AW1653</f>
        <v>0.90518483215595236</v>
      </c>
      <c r="AX302" s="1154">
        <f>Model!AX1653</f>
        <v>0.89994016763290541</v>
      </c>
      <c r="AY302" s="1154">
        <f>Model!AY1653</f>
        <v>0.87952048927010706</v>
      </c>
      <c r="AZ302" s="1154">
        <f>Model!AZ1653</f>
        <v>0.88523867044883886</v>
      </c>
      <c r="BA302" s="1154">
        <f>Model!BA1653</f>
        <v>0.86462314092722703</v>
      </c>
      <c r="BB302" s="1154">
        <f>Model!BB1653</f>
        <v>0.864842163562899</v>
      </c>
      <c r="BC302" s="1154">
        <f>Model!BC1653</f>
        <v>0.86280612012920976</v>
      </c>
      <c r="BD302" s="1154">
        <f>Model!BD1653</f>
        <v>0.86168656528480858</v>
      </c>
      <c r="BE302" s="1154">
        <f>Model!BE1653</f>
        <v>0.86035993052482207</v>
      </c>
    </row>
    <row r="1051" spans="65:83" x14ac:dyDescent="0.2">
      <c r="BM1051" s="238"/>
      <c r="BN1051" s="238"/>
      <c r="BO1051" s="238"/>
      <c r="BP1051" s="238"/>
      <c r="BQ1051" s="238"/>
      <c r="BR1051" s="238"/>
      <c r="BS1051" s="238"/>
      <c r="BT1051" s="238"/>
      <c r="BU1051" s="238"/>
      <c r="BV1051" s="238"/>
      <c r="BW1051" s="238"/>
      <c r="BX1051" s="238"/>
      <c r="BY1051" s="238"/>
      <c r="BZ1051" s="238"/>
      <c r="CA1051" s="238"/>
      <c r="CB1051" s="238"/>
      <c r="CC1051" s="238"/>
      <c r="CD1051" s="238"/>
      <c r="CE1051" s="238"/>
    </row>
  </sheetData>
  <pageMargins left="0.75" right="0.75" top="1" bottom="1" header="0.5" footer="0.5"/>
  <pageSetup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BO288"/>
  <sheetViews>
    <sheetView showGridLines="0" workbookViewId="0">
      <pane xSplit="3" ySplit="5" topLeftCell="D6" activePane="bottomRight" state="frozen"/>
      <selection pane="topRight" activeCell="D1" sqref="D1"/>
      <selection pane="bottomLeft" activeCell="A6" sqref="A6"/>
      <selection pane="bottomRight" activeCell="V40" sqref="V40"/>
    </sheetView>
  </sheetViews>
  <sheetFormatPr defaultRowHeight="11.25" outlineLevelCol="1" x14ac:dyDescent="0.2"/>
  <cols>
    <col min="1" max="2" width="2.83203125" style="9" customWidth="1"/>
    <col min="3" max="3" width="26.1640625" style="9" customWidth="1"/>
    <col min="4" max="4" width="2.83203125" style="9" customWidth="1"/>
    <col min="5" max="5" width="2.83203125" style="9" hidden="1" customWidth="1" outlineLevel="1" collapsed="1"/>
    <col min="6" max="6" width="12.83203125" style="9" hidden="1" customWidth="1" outlineLevel="1" collapsed="1"/>
    <col min="7" max="8" width="12.83203125" style="9" hidden="1" customWidth="1" outlineLevel="1"/>
    <col min="9" max="9" width="2.83203125" style="9" hidden="1" customWidth="1" outlineLevel="1"/>
    <col min="10" max="10" width="12.83203125" style="9" hidden="1" customWidth="1" outlineLevel="1" collapsed="1"/>
    <col min="11" max="12" width="12.83203125" style="9" hidden="1" customWidth="1" outlineLevel="1"/>
    <col min="13" max="13" width="2.83203125" style="1623" customWidth="1" collapsed="1"/>
    <col min="14" max="16" width="12.83203125" style="9" customWidth="1"/>
    <col min="17" max="17" width="2.83203125" style="1623" customWidth="1" collapsed="1"/>
    <col min="18" max="20" width="12.83203125" style="1623" customWidth="1"/>
    <col min="21" max="21" width="2.83203125" style="1783" customWidth="1" collapsed="1"/>
    <col min="22" max="24" width="12.83203125" style="1783" customWidth="1"/>
    <col min="25" max="25" width="2.83203125" style="1623" customWidth="1" collapsed="1"/>
    <col min="26" max="28" width="12.83203125" style="1623" hidden="1" customWidth="1" outlineLevel="1"/>
    <col min="29" max="29" width="10.83203125" style="9" hidden="1" customWidth="1" outlineLevel="1"/>
    <col min="30" max="30" width="2.83203125" style="9" customWidth="1" collapsed="1"/>
    <col min="31" max="31" width="35.83203125" style="9" customWidth="1" collapsed="1"/>
    <col min="32" max="32" width="2.83203125" style="9" customWidth="1"/>
    <col min="33" max="34" width="12.83203125" style="9" hidden="1" customWidth="1" outlineLevel="1" collapsed="1"/>
    <col min="35" max="35" width="12.83203125" style="9" hidden="1" customWidth="1" outlineLevel="1"/>
    <col min="36" max="36" width="3" style="9" hidden="1" customWidth="1" outlineLevel="1" collapsed="1"/>
    <col min="37" max="38" width="12.83203125" style="9" hidden="1" customWidth="1" outlineLevel="1" collapsed="1"/>
    <col min="39" max="39" width="12.83203125" style="9" hidden="1" customWidth="1" outlineLevel="1"/>
    <col min="40" max="40" width="2.83203125" style="9" hidden="1" customWidth="1" outlineLevel="1" collapsed="1"/>
    <col min="41" max="42" width="12.83203125" style="9" hidden="1" customWidth="1" outlineLevel="1" collapsed="1"/>
    <col min="43" max="43" width="12.83203125" style="9" hidden="1" customWidth="1" outlineLevel="1"/>
    <col min="44" max="44" width="2.83203125" style="9" hidden="1" customWidth="1" outlineLevel="1" collapsed="1"/>
    <col min="45" max="46" width="12.83203125" style="9" hidden="1" customWidth="1" outlineLevel="1" collapsed="1"/>
    <col min="47" max="47" width="12.83203125" style="9" hidden="1" customWidth="1" outlineLevel="1"/>
    <col min="48" max="48" width="2.83203125" style="9" hidden="1" customWidth="1" outlineLevel="1" collapsed="1"/>
    <col min="49" max="50" width="12.83203125" style="9" hidden="1" customWidth="1" outlineLevel="1" collapsed="1"/>
    <col min="51" max="51" width="12.83203125" style="9" hidden="1" customWidth="1" outlineLevel="1"/>
    <col min="52" max="52" width="2.83203125" style="1707" customWidth="1" collapsed="1"/>
    <col min="53" max="54" width="10.5" style="9" customWidth="1"/>
    <col min="55" max="55" width="9.33203125" style="9" customWidth="1"/>
    <col min="56" max="56" width="2.83203125" style="9" customWidth="1"/>
    <col min="57" max="58" width="10.5" style="9" customWidth="1"/>
    <col min="59" max="59" width="9.33203125" style="9" customWidth="1"/>
    <col min="60" max="60" width="2.83203125" style="9" customWidth="1"/>
    <col min="61" max="62" width="10.5" style="9" customWidth="1"/>
    <col min="63" max="63" width="9.33203125" style="9" customWidth="1"/>
    <col min="64" max="64" width="2.83203125" style="9" customWidth="1"/>
    <col min="65" max="66" width="10.5" style="9" customWidth="1"/>
    <col min="67" max="67" width="9.33203125" style="9" customWidth="1"/>
    <col min="68" max="16384" width="9.33203125" style="9"/>
  </cols>
  <sheetData>
    <row r="1" spans="2:67" s="862" customFormat="1" ht="19.5" x14ac:dyDescent="0.3">
      <c r="B1" s="862" t="s">
        <v>884</v>
      </c>
      <c r="H1" s="863"/>
      <c r="L1" s="863"/>
      <c r="P1" s="863"/>
      <c r="R1" s="1788"/>
      <c r="T1" s="863"/>
      <c r="X1" s="863"/>
      <c r="AB1" s="863"/>
      <c r="AC1" s="863"/>
      <c r="AD1" s="862" t="s">
        <v>884</v>
      </c>
      <c r="AI1" s="863"/>
      <c r="AM1" s="863"/>
      <c r="AQ1" s="863"/>
      <c r="AU1" s="863"/>
      <c r="AY1" s="863"/>
      <c r="BC1" s="863"/>
      <c r="BG1" s="863"/>
      <c r="BK1" s="863"/>
      <c r="BO1" s="863"/>
    </row>
    <row r="2" spans="2:67" x14ac:dyDescent="0.2">
      <c r="B2" s="59" t="s">
        <v>885</v>
      </c>
      <c r="C2" s="59"/>
      <c r="H2" s="238"/>
      <c r="L2" s="238"/>
      <c r="N2" s="50"/>
      <c r="O2" s="50"/>
      <c r="P2" s="238"/>
      <c r="R2" s="50"/>
      <c r="S2" s="50"/>
      <c r="T2" s="238"/>
      <c r="V2" s="50"/>
      <c r="W2" s="50"/>
      <c r="X2" s="238"/>
      <c r="AB2" s="238"/>
      <c r="AD2" s="59" t="s">
        <v>885</v>
      </c>
      <c r="AE2" s="59"/>
      <c r="AG2" s="865">
        <v>3.9782608695652173</v>
      </c>
      <c r="AH2" s="865">
        <v>3.9782608695652173</v>
      </c>
      <c r="AI2" s="59"/>
      <c r="AK2" s="865">
        <v>4.0555555555555554</v>
      </c>
      <c r="AL2" s="865">
        <v>4.0555555555555554</v>
      </c>
      <c r="AM2" s="59"/>
      <c r="AO2" s="865">
        <v>4.0109890109890109</v>
      </c>
      <c r="AP2" s="865">
        <v>4.0109890109890109</v>
      </c>
      <c r="AQ2" s="59"/>
      <c r="AS2" s="865">
        <v>3.9673913043478257</v>
      </c>
      <c r="AT2" s="865">
        <v>3.9673913043478257</v>
      </c>
      <c r="AU2" s="59"/>
      <c r="AW2" s="865">
        <v>3.9673913043478257</v>
      </c>
      <c r="AX2" s="865">
        <v>3.9673913043478257</v>
      </c>
      <c r="AY2" s="59"/>
      <c r="BA2" s="865">
        <f>Model!AB1</f>
        <v>4.0555555555555554</v>
      </c>
      <c r="BB2" s="865">
        <v>4.0555555555555554</v>
      </c>
      <c r="BC2" s="59"/>
      <c r="BD2" s="1707"/>
      <c r="BE2" s="865">
        <f>Model!$AC1</f>
        <v>4.0109890109890109</v>
      </c>
      <c r="BF2" s="865">
        <v>4.0109890109890109</v>
      </c>
      <c r="BG2" s="59"/>
      <c r="BH2" s="1707"/>
      <c r="BI2" s="865">
        <f>Model!$AD1</f>
        <v>3.9673913043478257</v>
      </c>
      <c r="BJ2" s="865">
        <v>3.9673913043478257</v>
      </c>
      <c r="BK2" s="59"/>
      <c r="BL2" s="1707"/>
      <c r="BM2" s="865">
        <f>Model!$AE1</f>
        <v>3.9673913043478257</v>
      </c>
      <c r="BN2" s="865">
        <v>3.9673913043478257</v>
      </c>
      <c r="BO2" s="59"/>
    </row>
    <row r="3" spans="2:67" x14ac:dyDescent="0.2">
      <c r="B3" s="59" t="s">
        <v>148</v>
      </c>
      <c r="C3" s="59"/>
      <c r="F3" s="866">
        <v>2016</v>
      </c>
      <c r="G3" s="866">
        <v>2016</v>
      </c>
      <c r="H3" s="866" t="s">
        <v>886</v>
      </c>
      <c r="J3" s="866">
        <v>2017</v>
      </c>
      <c r="K3" s="866">
        <v>2017</v>
      </c>
      <c r="L3" s="866" t="s">
        <v>886</v>
      </c>
      <c r="N3" s="866">
        <v>2018</v>
      </c>
      <c r="O3" s="866">
        <v>2018</v>
      </c>
      <c r="P3" s="866" t="s">
        <v>886</v>
      </c>
      <c r="R3" s="866">
        <v>2019</v>
      </c>
      <c r="S3" s="866">
        <v>2019</v>
      </c>
      <c r="T3" s="866" t="s">
        <v>886</v>
      </c>
      <c r="V3" s="866">
        <v>2020</v>
      </c>
      <c r="W3" s="866">
        <v>2020</v>
      </c>
      <c r="X3" s="866" t="s">
        <v>886</v>
      </c>
      <c r="Z3" s="866">
        <v>2020</v>
      </c>
      <c r="AA3" s="866">
        <v>2020</v>
      </c>
      <c r="AB3" s="866" t="s">
        <v>886</v>
      </c>
      <c r="AD3" s="59" t="s">
        <v>148</v>
      </c>
      <c r="AE3" s="59"/>
      <c r="AG3" s="866" t="s">
        <v>169</v>
      </c>
      <c r="AH3" s="866" t="s">
        <v>169</v>
      </c>
      <c r="AI3" s="866" t="s">
        <v>886</v>
      </c>
      <c r="AK3" s="866" t="s">
        <v>887</v>
      </c>
      <c r="AL3" s="866" t="s">
        <v>887</v>
      </c>
      <c r="AM3" s="866" t="s">
        <v>886</v>
      </c>
      <c r="AO3" s="866" t="s">
        <v>888</v>
      </c>
      <c r="AP3" s="866" t="s">
        <v>888</v>
      </c>
      <c r="AQ3" s="866" t="s">
        <v>886</v>
      </c>
      <c r="AS3" s="866" t="s">
        <v>889</v>
      </c>
      <c r="AT3" s="866" t="s">
        <v>889</v>
      </c>
      <c r="AU3" s="866" t="s">
        <v>886</v>
      </c>
      <c r="AW3" s="866" t="s">
        <v>890</v>
      </c>
      <c r="AX3" s="866" t="s">
        <v>890</v>
      </c>
      <c r="AY3" s="866" t="s">
        <v>886</v>
      </c>
      <c r="BA3" s="866" t="s">
        <v>1426</v>
      </c>
      <c r="BB3" s="866" t="s">
        <v>1426</v>
      </c>
      <c r="BC3" s="866" t="s">
        <v>886</v>
      </c>
      <c r="BD3" s="1707"/>
      <c r="BE3" s="866" t="s">
        <v>1427</v>
      </c>
      <c r="BF3" s="866" t="s">
        <v>1427</v>
      </c>
      <c r="BG3" s="866" t="s">
        <v>886</v>
      </c>
      <c r="BH3" s="1707"/>
      <c r="BI3" s="866" t="s">
        <v>1428</v>
      </c>
      <c r="BJ3" s="866" t="s">
        <v>1428</v>
      </c>
      <c r="BK3" s="866" t="s">
        <v>886</v>
      </c>
      <c r="BL3" s="1707"/>
      <c r="BM3" s="866" t="s">
        <v>1429</v>
      </c>
      <c r="BN3" s="866" t="s">
        <v>1429</v>
      </c>
      <c r="BO3" s="866" t="s">
        <v>886</v>
      </c>
    </row>
    <row r="4" spans="2:67" x14ac:dyDescent="0.2">
      <c r="B4" s="861"/>
      <c r="C4" s="861"/>
      <c r="F4" s="866" t="s">
        <v>227</v>
      </c>
      <c r="G4" s="866" t="s">
        <v>891</v>
      </c>
      <c r="H4" s="866" t="s">
        <v>892</v>
      </c>
      <c r="J4" s="866" t="s">
        <v>1435</v>
      </c>
      <c r="K4" s="866" t="s">
        <v>1436</v>
      </c>
      <c r="L4" s="866" t="s">
        <v>892</v>
      </c>
      <c r="N4" s="866" t="s">
        <v>227</v>
      </c>
      <c r="O4" s="866" t="s">
        <v>891</v>
      </c>
      <c r="P4" s="866" t="s">
        <v>892</v>
      </c>
      <c r="R4" s="866" t="s">
        <v>227</v>
      </c>
      <c r="S4" s="866" t="s">
        <v>891</v>
      </c>
      <c r="T4" s="866" t="s">
        <v>892</v>
      </c>
      <c r="V4" s="866" t="s">
        <v>227</v>
      </c>
      <c r="W4" s="866" t="s">
        <v>891</v>
      </c>
      <c r="X4" s="866" t="s">
        <v>892</v>
      </c>
      <c r="Z4" s="866" t="s">
        <v>227</v>
      </c>
      <c r="AA4" s="866" t="s">
        <v>891</v>
      </c>
      <c r="AB4" s="866" t="s">
        <v>892</v>
      </c>
      <c r="AD4" s="861"/>
      <c r="AE4" s="861"/>
      <c r="AG4" s="866" t="s">
        <v>227</v>
      </c>
      <c r="AH4" s="866" t="s">
        <v>891</v>
      </c>
      <c r="AI4" s="866" t="s">
        <v>892</v>
      </c>
      <c r="AK4" s="866" t="s">
        <v>227</v>
      </c>
      <c r="AL4" s="866" t="s">
        <v>891</v>
      </c>
      <c r="AM4" s="866" t="s">
        <v>892</v>
      </c>
      <c r="AO4" s="866" t="s">
        <v>227</v>
      </c>
      <c r="AP4" s="866" t="s">
        <v>891</v>
      </c>
      <c r="AQ4" s="866" t="s">
        <v>892</v>
      </c>
      <c r="AS4" s="866" t="s">
        <v>227</v>
      </c>
      <c r="AT4" s="866" t="s">
        <v>891</v>
      </c>
      <c r="AU4" s="866" t="s">
        <v>892</v>
      </c>
      <c r="AW4" s="866" t="s">
        <v>1435</v>
      </c>
      <c r="AX4" s="866" t="s">
        <v>891</v>
      </c>
      <c r="AY4" s="866" t="s">
        <v>892</v>
      </c>
      <c r="BA4" s="866" t="s">
        <v>227</v>
      </c>
      <c r="BB4" s="866" t="s">
        <v>891</v>
      </c>
      <c r="BC4" s="866" t="s">
        <v>892</v>
      </c>
      <c r="BD4" s="1707"/>
      <c r="BE4" s="866" t="s">
        <v>227</v>
      </c>
      <c r="BF4" s="866" t="s">
        <v>891</v>
      </c>
      <c r="BG4" s="866" t="s">
        <v>892</v>
      </c>
      <c r="BH4" s="1707"/>
      <c r="BI4" s="866" t="s">
        <v>227</v>
      </c>
      <c r="BJ4" s="866" t="s">
        <v>891</v>
      </c>
      <c r="BK4" s="866" t="s">
        <v>892</v>
      </c>
      <c r="BL4" s="1707"/>
      <c r="BM4" s="866" t="s">
        <v>227</v>
      </c>
      <c r="BN4" s="866" t="s">
        <v>891</v>
      </c>
      <c r="BO4" s="866" t="s">
        <v>892</v>
      </c>
    </row>
    <row r="5" spans="2:67" ht="5.0999999999999996" customHeight="1" x14ac:dyDescent="0.2">
      <c r="B5" s="861"/>
      <c r="C5" s="861"/>
      <c r="F5" s="861"/>
      <c r="G5" s="861"/>
      <c r="H5" s="238"/>
      <c r="J5" s="861"/>
      <c r="K5" s="861"/>
      <c r="L5" s="238"/>
      <c r="N5" s="861"/>
      <c r="O5" s="861"/>
      <c r="P5" s="238"/>
      <c r="T5" s="238"/>
      <c r="X5" s="238"/>
      <c r="AB5" s="238"/>
      <c r="AC5" s="391"/>
      <c r="AD5" s="861"/>
      <c r="AE5" s="861"/>
      <c r="AG5" s="861"/>
      <c r="AH5" s="861"/>
      <c r="AI5" s="238"/>
      <c r="AK5" s="861"/>
      <c r="AL5" s="861"/>
      <c r="AM5" s="238"/>
      <c r="AO5" s="861"/>
      <c r="AP5" s="861"/>
      <c r="AQ5" s="238"/>
      <c r="AS5" s="861"/>
      <c r="AT5" s="861"/>
      <c r="AU5" s="238"/>
      <c r="AW5" s="861"/>
      <c r="AX5" s="861"/>
      <c r="AY5" s="238"/>
      <c r="BA5" s="1707"/>
      <c r="BB5" s="1707"/>
      <c r="BC5" s="238"/>
      <c r="BD5" s="1707"/>
      <c r="BE5" s="1707"/>
      <c r="BF5" s="1707"/>
      <c r="BG5" s="238"/>
      <c r="BH5" s="1707"/>
      <c r="BI5" s="1707"/>
      <c r="BJ5" s="1707"/>
      <c r="BK5" s="238"/>
      <c r="BL5" s="1707"/>
      <c r="BM5" s="1707"/>
      <c r="BN5" s="1707"/>
      <c r="BO5" s="238"/>
    </row>
    <row r="6" spans="2:67" x14ac:dyDescent="0.2">
      <c r="B6" s="861" t="s">
        <v>1171</v>
      </c>
      <c r="C6" s="861"/>
      <c r="F6" s="66">
        <f>Model!AY1067</f>
        <v>2.8590624640675959E-2</v>
      </c>
      <c r="G6" s="66">
        <v>2.8590624640675959E-2</v>
      </c>
      <c r="H6" s="867">
        <f>(F6-G6)*(1-G25)*G9/G33</f>
        <v>0</v>
      </c>
      <c r="J6" s="66">
        <f>Model!AZ1067</f>
        <v>2.725057887366826E-2</v>
      </c>
      <c r="K6" s="66">
        <v>2.7296642236956745E-2</v>
      </c>
      <c r="L6" s="867">
        <f>(J6-K6)*(1-K25)*K9/K33</f>
        <v>-1.9133602455183713E-2</v>
      </c>
      <c r="N6" s="66">
        <f>Model!BA1067</f>
        <v>2.6845353044412511E-2</v>
      </c>
      <c r="O6" s="66">
        <v>2.7432999449353498E-2</v>
      </c>
      <c r="P6" s="867">
        <f>(N6-O6)*(1-O25)*O9/O33</f>
        <v>-0.30164008523417263</v>
      </c>
      <c r="R6" s="66">
        <f>Model!BB1067</f>
        <v>2.8186531909965604E-2</v>
      </c>
      <c r="S6" s="66">
        <v>2.8568714688179453E-2</v>
      </c>
      <c r="T6" s="867">
        <f>(R6-S6)*(1-S25)*S9/S33</f>
        <v>-0.22293538634308446</v>
      </c>
      <c r="V6" s="66">
        <f>Model!BC1067</f>
        <v>2.9211172906330306E-2</v>
      </c>
      <c r="W6" s="66">
        <v>2.9549598118058011E-2</v>
      </c>
      <c r="X6" s="867">
        <f>(V6-W6)*(1-W25)*W9/W33</f>
        <v>-0.22267104167889032</v>
      </c>
      <c r="Z6" s="66">
        <f>Model!BC1067</f>
        <v>2.9211172906330306E-2</v>
      </c>
      <c r="AA6" s="66">
        <v>3.0170135035777319E-2</v>
      </c>
      <c r="AB6" s="867">
        <f>(Z6-AA6)*(1-AA25)*AA9/AA33</f>
        <v>-0.55709624714513162</v>
      </c>
      <c r="AC6" s="391"/>
      <c r="AD6" s="861" t="s">
        <v>1172</v>
      </c>
      <c r="AE6" s="861"/>
      <c r="AG6" s="66">
        <f>Model!W1067</f>
        <v>2.793085814934675E-2</v>
      </c>
      <c r="AH6" s="66">
        <v>2.793085814934675E-2</v>
      </c>
      <c r="AI6" s="867">
        <f>(AG6-AH6)/AG$2*(1-AH25)*AH9/AH33</f>
        <v>0</v>
      </c>
      <c r="AK6" s="66">
        <f>Model!X1067</f>
        <v>2.7646348108086229E-2</v>
      </c>
      <c r="AL6" s="66">
        <v>2.7401778500341829E-2</v>
      </c>
      <c r="AM6" s="867">
        <f>(AK6-AL6)/AK$2*(1-AL25)*AL9/AL33</f>
        <v>2.3902631561490556E-2</v>
      </c>
      <c r="AO6" s="66">
        <f>Model!Y1067</f>
        <v>2.7453574941977331E-2</v>
      </c>
      <c r="AP6" s="66">
        <v>2.7229217958708096E-2</v>
      </c>
      <c r="AQ6" s="867">
        <f>(AO6-AP6)/AO$2*(1-AP25)*AP9/AP33</f>
        <v>2.2718248972768345E-2</v>
      </c>
      <c r="AS6" s="66">
        <f>Model!Z1067</f>
        <v>2.741623582479381E-2</v>
      </c>
      <c r="AT6" s="66">
        <v>2.719752678965006E-2</v>
      </c>
      <c r="AU6" s="867">
        <f>(AS6-AT6)/AS$2*(1-AT25)*AT9/AT33</f>
        <v>2.3396587597407287E-2</v>
      </c>
      <c r="AW6" s="66">
        <f>Model!AA1067</f>
        <v>2.6507258784208485E-2</v>
      </c>
      <c r="AX6" s="66">
        <v>2.6298740884498777E-2</v>
      </c>
      <c r="AY6" s="867">
        <f>(AW6-AX6)/AW$2*(1-AX25)*AX9/AX33</f>
        <v>2.5283705966597892E-2</v>
      </c>
      <c r="BA6" s="66">
        <f>Model!AB1067</f>
        <v>2.6366897936521527E-2</v>
      </c>
      <c r="BB6" s="66">
        <v>2.6691234563822407E-2</v>
      </c>
      <c r="BC6" s="867">
        <f>(BA6-BB6)/BA$2*(1-BB25)*BB9/BB33</f>
        <v>-3.9856796821609801E-2</v>
      </c>
      <c r="BD6" s="1707"/>
      <c r="BE6" s="66">
        <f>Model!AC1067</f>
        <v>2.6504270143807476E-2</v>
      </c>
      <c r="BF6" s="66">
        <v>2.7132047558338243E-2</v>
      </c>
      <c r="BG6" s="867">
        <f>(BE6-BF6)/BE$2*(1-BF25)*BF9/BF33</f>
        <v>-7.9032736250895033E-2</v>
      </c>
      <c r="BH6" s="1707"/>
      <c r="BI6" s="66">
        <f>Model!AD1067</f>
        <v>2.6976647531188856E-2</v>
      </c>
      <c r="BJ6" s="66">
        <v>2.7659364459825139E-2</v>
      </c>
      <c r="BK6" s="867">
        <f>(BI6-BJ6)/BI$2*(1-BJ25)*BJ9/BJ33</f>
        <v>-8.8933397532085012E-2</v>
      </c>
      <c r="BL6" s="1707"/>
      <c r="BM6" s="66">
        <f>Model!AE1067</f>
        <v>2.7505173411769803E-2</v>
      </c>
      <c r="BN6" s="66">
        <v>2.8210684623980627E-2</v>
      </c>
      <c r="BO6" s="867">
        <f>(BM6-BN6)/BM$2*(1-BN25)*BN9/BN33</f>
        <v>-9.4989420876677527E-2</v>
      </c>
    </row>
    <row r="7" spans="2:67" x14ac:dyDescent="0.2">
      <c r="B7" s="861"/>
      <c r="C7" s="861" t="s">
        <v>1173</v>
      </c>
      <c r="F7" s="33">
        <f>Model!AY887</f>
        <v>623671.75</v>
      </c>
      <c r="G7" s="33">
        <v>623671.75</v>
      </c>
      <c r="H7" s="867">
        <f>(F7-G7)*G6*(1-G25)/G33</f>
        <v>0</v>
      </c>
      <c r="J7" s="33">
        <f>Model!AZ887</f>
        <v>639484.5</v>
      </c>
      <c r="K7" s="33">
        <v>640467.4375</v>
      </c>
      <c r="L7" s="867">
        <f>(J7-K7)*K6*(1-K25)/K33</f>
        <v>-6.6750753402307376E-3</v>
      </c>
      <c r="N7" s="33">
        <f>Model!BA887</f>
        <v>679797.6219875</v>
      </c>
      <c r="O7" s="33">
        <v>668019.01101406245</v>
      </c>
      <c r="P7" s="867">
        <f>(N7-O7)*O6*(1-O25)/O33</f>
        <v>9.6068899191524865E-2</v>
      </c>
      <c r="R7" s="33">
        <f>Model!BB887</f>
        <v>715571.00267465541</v>
      </c>
      <c r="S7" s="33">
        <v>704421.70142001833</v>
      </c>
      <c r="T7" s="867">
        <f>(R7-S7)*S6*(1-S25)/S33</f>
        <v>0.10460761171851465</v>
      </c>
      <c r="V7" s="33">
        <f>Model!BC887</f>
        <v>752884.16436881316</v>
      </c>
      <c r="W7" s="33">
        <v>741064.17338169739</v>
      </c>
      <c r="X7" s="867">
        <f>(V7-W7)*W6*(1-W25)/W33</f>
        <v>0.12602549083278825</v>
      </c>
      <c r="Z7" s="33">
        <f>Model!BC887</f>
        <v>752884.16436881316</v>
      </c>
      <c r="AA7" s="33">
        <v>727567.21506336529</v>
      </c>
      <c r="AB7" s="867">
        <f>(Z7-AA7)*AA6*(1-AA25)/AA33</f>
        <v>0.24504256305270813</v>
      </c>
      <c r="AC7" s="1087"/>
      <c r="AD7" s="861"/>
      <c r="AE7" s="861" t="s">
        <v>1173</v>
      </c>
      <c r="AG7" s="33">
        <f>Model!W887</f>
        <v>626028</v>
      </c>
      <c r="AH7" s="33">
        <v>626028</v>
      </c>
      <c r="AI7" s="867">
        <f>(AG7-AH7)*AH6/AG$2*(1-AH25)/AH33</f>
        <v>0</v>
      </c>
      <c r="AK7" s="33">
        <f>Model!X887</f>
        <v>623338</v>
      </c>
      <c r="AL7" s="33">
        <v>623338</v>
      </c>
      <c r="AM7" s="867">
        <f>(AK7-AL7)*AL6/AK$2*(1-AL25)/AL33</f>
        <v>0</v>
      </c>
      <c r="AO7" s="33">
        <f>Model!Y887</f>
        <v>634328</v>
      </c>
      <c r="AP7" s="33">
        <v>634328</v>
      </c>
      <c r="AQ7" s="867">
        <f>(AO7-AP7)*AP6/AO$2*(1-AP25)/AP33</f>
        <v>0</v>
      </c>
      <c r="AS7" s="33">
        <f>Model!Z887</f>
        <v>646321</v>
      </c>
      <c r="AT7" s="33">
        <v>646321</v>
      </c>
      <c r="AU7" s="867">
        <f>(AS7-AT7)*AT6/AS$2*(1-AT25)/AT33</f>
        <v>0</v>
      </c>
      <c r="AW7" s="33">
        <f>Model!AA887</f>
        <v>653951</v>
      </c>
      <c r="AX7" s="33">
        <v>653951</v>
      </c>
      <c r="AY7" s="867">
        <f>(AW7-AX7)*AX6/AW$2*(1-AX25)/AX33</f>
        <v>0</v>
      </c>
      <c r="BA7" s="33">
        <f>Model!AB887</f>
        <v>667925</v>
      </c>
      <c r="BB7" s="33">
        <v>654730.5</v>
      </c>
      <c r="BC7" s="867">
        <f>(BA7-BB7)*BB6/BA$2*(1-BB25)/BB33</f>
        <v>2.5261907517922309E-2</v>
      </c>
      <c r="BD7" s="1707"/>
      <c r="BE7" s="33">
        <f>Model!AC887</f>
        <v>674970.50000000012</v>
      </c>
      <c r="BF7" s="33">
        <v>662714.875</v>
      </c>
      <c r="BG7" s="867">
        <f>(BE7-BF7)*BF6/BE$2*(1-BF25)/BF33</f>
        <v>2.4321936581327499E-2</v>
      </c>
      <c r="BH7" s="1707"/>
      <c r="BI7" s="33">
        <f>Model!AD887</f>
        <v>682887.17249999987</v>
      </c>
      <c r="BJ7" s="33">
        <v>671498.40377500001</v>
      </c>
      <c r="BK7" s="867">
        <f>(BI7-BJ7)*BJ6/BI$2*(1-BJ25)/BJ33</f>
        <v>2.3719814470648162E-2</v>
      </c>
      <c r="BL7" s="1707"/>
      <c r="BM7" s="33">
        <f>Model!AE887</f>
        <v>693407.81544999988</v>
      </c>
      <c r="BN7" s="33">
        <v>683132.26528125</v>
      </c>
      <c r="BO7" s="867">
        <f>(BM7-BN7)*BN6/BM$2*(1-BN25)/BN33</f>
        <v>2.2410280006621708E-2</v>
      </c>
    </row>
    <row r="8" spans="2:67" x14ac:dyDescent="0.2">
      <c r="B8" s="861"/>
      <c r="C8" s="861" t="s">
        <v>933</v>
      </c>
      <c r="F8" s="33">
        <f>Model!AY888</f>
        <v>970032.5</v>
      </c>
      <c r="G8" s="33">
        <v>970032.5</v>
      </c>
      <c r="H8" s="867">
        <f>(F8-G8)*G6*(1-G25)/G33</f>
        <v>0</v>
      </c>
      <c r="J8" s="33">
        <f>Model!AZ888</f>
        <v>1032296.5</v>
      </c>
      <c r="K8" s="33">
        <v>1029161.8787499999</v>
      </c>
      <c r="L8" s="867">
        <f>(J8-K8)*K6*(1-K25)/K33</f>
        <v>2.128704318111661E-2</v>
      </c>
      <c r="N8" s="33">
        <f>Model!BA888</f>
        <v>1060311</v>
      </c>
      <c r="O8" s="33">
        <v>1058445</v>
      </c>
      <c r="P8" s="867">
        <f>(N8-O8)*O6*(1-O25)/O33</f>
        <v>1.5219499675781178E-2</v>
      </c>
      <c r="R8" s="33">
        <f>Model!BB888</f>
        <v>1073631.3227767672</v>
      </c>
      <c r="S8" s="33">
        <v>1071741.8808599128</v>
      </c>
      <c r="T8" s="867">
        <f>(R8-S8)*S6*(1-S25)/S33</f>
        <v>1.7727568920140373E-2</v>
      </c>
      <c r="V8" s="33">
        <f>Model!BC888</f>
        <v>1084367.6360045348</v>
      </c>
      <c r="W8" s="33">
        <v>1082459.2996685121</v>
      </c>
      <c r="X8" s="867">
        <f>(V8-W8)*W6*(1-W25)/W33</f>
        <v>2.0346802606149145E-2</v>
      </c>
      <c r="Z8" s="33">
        <f>Model!BC888</f>
        <v>1084367.6360045348</v>
      </c>
      <c r="AA8" s="33">
        <v>1083255.2585089796</v>
      </c>
      <c r="AB8" s="867">
        <f>(Z8-AA8)*AA6*(1-AA25)/AA33</f>
        <v>1.0766693463115831E-2</v>
      </c>
      <c r="AC8" s="1087"/>
      <c r="AD8" s="861"/>
      <c r="AE8" s="861" t="s">
        <v>933</v>
      </c>
      <c r="AG8" s="33">
        <f>Model!W888</f>
        <v>979898</v>
      </c>
      <c r="AH8" s="33">
        <v>979898</v>
      </c>
      <c r="AI8" s="867">
        <f>(AG8-AH8)*AH6/AG$2*(1-AH25)/AH33</f>
        <v>0</v>
      </c>
      <c r="AK8" s="33">
        <f>Model!X888</f>
        <v>1001739</v>
      </c>
      <c r="AL8" s="33">
        <v>1001739</v>
      </c>
      <c r="AM8" s="867">
        <f>(AK8-AL8)*AL6/AK$2*(1-AL25)/AL33</f>
        <v>0</v>
      </c>
      <c r="AO8" s="33">
        <f>Model!Y888</f>
        <v>1028299</v>
      </c>
      <c r="AP8" s="33">
        <v>1028299</v>
      </c>
      <c r="AQ8" s="867">
        <f>(AO8-AP8)*AP6/AO$2*(1-AP25)/AP33</f>
        <v>0</v>
      </c>
      <c r="AS8" s="33">
        <f>Model!Z888</f>
        <v>1040703</v>
      </c>
      <c r="AT8" s="33">
        <v>1040703</v>
      </c>
      <c r="AU8" s="867">
        <f>(AS8-AT8)*AT6/AS$2*(1-AT25)/AT33</f>
        <v>0</v>
      </c>
      <c r="AW8" s="33">
        <f>Model!AA888</f>
        <v>1058445</v>
      </c>
      <c r="AX8" s="33">
        <v>1058445</v>
      </c>
      <c r="AY8" s="867">
        <f>(AW8-AX8)*AX6/AW$2*(1-AX25)/AX33</f>
        <v>0</v>
      </c>
      <c r="BA8" s="33">
        <f>Model!AB888</f>
        <v>1060311</v>
      </c>
      <c r="BB8" s="33">
        <v>1058445</v>
      </c>
      <c r="BC8" s="867">
        <f>(BA8-BB8)*BB6/BA$2*(1-BB25)/BB33</f>
        <v>3.5726036930875016E-3</v>
      </c>
      <c r="BD8" s="1707"/>
      <c r="BE8" s="33">
        <f>Model!AC888</f>
        <v>1060311</v>
      </c>
      <c r="BF8" s="33">
        <v>1058445</v>
      </c>
      <c r="BG8" s="867">
        <f>(BE8-BF8)*BF6/BE$2*(1-BF25)/BF33</f>
        <v>3.7031757793467637E-3</v>
      </c>
      <c r="BH8" s="1707"/>
      <c r="BI8" s="33">
        <f>Model!AD888</f>
        <v>1060311</v>
      </c>
      <c r="BJ8" s="33">
        <v>1058445</v>
      </c>
      <c r="BK8" s="867">
        <f>(BI8-BJ8)*BJ6/BI$2*(1-BJ25)/BJ33</f>
        <v>3.8863879731854015E-3</v>
      </c>
      <c r="BL8" s="1707"/>
      <c r="BM8" s="33">
        <f>Model!AE888</f>
        <v>1060311</v>
      </c>
      <c r="BN8" s="33">
        <v>1058445</v>
      </c>
      <c r="BO8" s="867">
        <f>(BM8-BN8)*BN6/BM$2*(1-BN25)/BN33</f>
        <v>4.0696198067848698E-3</v>
      </c>
    </row>
    <row r="9" spans="2:67" x14ac:dyDescent="0.2">
      <c r="B9" s="25" t="s">
        <v>1174</v>
      </c>
      <c r="C9" s="25"/>
      <c r="F9" s="132">
        <f>+F7+F8</f>
        <v>1593704.25</v>
      </c>
      <c r="G9" s="132">
        <v>1593704.25</v>
      </c>
      <c r="H9" s="870">
        <f>(F9-G9)*G6*(1-G25)/G33</f>
        <v>0</v>
      </c>
      <c r="J9" s="132">
        <f>+J7+J8</f>
        <v>1671781</v>
      </c>
      <c r="K9" s="132">
        <v>1669629.3162499999</v>
      </c>
      <c r="L9" s="870">
        <f>(J9-K9)*K6*(1-K25)/K33</f>
        <v>1.4611967840885875E-2</v>
      </c>
      <c r="N9" s="132">
        <f>+N7+N8</f>
        <v>1740108.6219875</v>
      </c>
      <c r="O9" s="132">
        <v>1726464.0110140624</v>
      </c>
      <c r="P9" s="870">
        <f>(N9-O9)*O6*(1-O25)/O33</f>
        <v>0.11128839886730606</v>
      </c>
      <c r="R9" s="132">
        <f>+R7+R8</f>
        <v>1789202.3254514225</v>
      </c>
      <c r="S9" s="132">
        <v>1776163.5822799313</v>
      </c>
      <c r="T9" s="870">
        <f>(R9-S9)*S6*(1-S25)/S33</f>
        <v>0.12233518063865285</v>
      </c>
      <c r="V9" s="132">
        <f>+V7+V8</f>
        <v>1837251.8003733479</v>
      </c>
      <c r="W9" s="132">
        <v>1823523.4730502095</v>
      </c>
      <c r="X9" s="870">
        <f>(V9-W9)*W6*(1-W25)/W33</f>
        <v>0.1463722934389374</v>
      </c>
      <c r="Z9" s="132">
        <f>+Z7+Z8</f>
        <v>1837251.8003733479</v>
      </c>
      <c r="AA9" s="132">
        <v>1810822.473572345</v>
      </c>
      <c r="AB9" s="870">
        <f>(Z9-AA9)*AA6*(1-AA25)/AA33</f>
        <v>0.25580925651582281</v>
      </c>
      <c r="AC9" s="1087"/>
      <c r="AD9" s="25" t="s">
        <v>1174</v>
      </c>
      <c r="AE9" s="25"/>
      <c r="AG9" s="132">
        <f>+AG7+AG8</f>
        <v>1605926</v>
      </c>
      <c r="AH9" s="132">
        <v>1605926</v>
      </c>
      <c r="AI9" s="870">
        <f>(AG9-AH9)*AH6/AG$2*(1-AH25)/AH33</f>
        <v>0</v>
      </c>
      <c r="AK9" s="132">
        <f>+AK7+AK8</f>
        <v>1625077</v>
      </c>
      <c r="AL9" s="132">
        <v>1625077</v>
      </c>
      <c r="AM9" s="870">
        <f>(AK9-AL9)*AL6/AK$2*(1-AL25)/AL33</f>
        <v>0</v>
      </c>
      <c r="AO9" s="132">
        <f>+AO7+AO8</f>
        <v>1662627</v>
      </c>
      <c r="AP9" s="132">
        <v>1662627</v>
      </c>
      <c r="AQ9" s="870">
        <f>(AO9-AP9)*AP6/AO$2*(1-AP25)/AP33</f>
        <v>0</v>
      </c>
      <c r="AS9" s="132">
        <f>+AS7+AS8</f>
        <v>1687024</v>
      </c>
      <c r="AT9" s="132">
        <v>1687024</v>
      </c>
      <c r="AU9" s="870">
        <f>(AS9-AT9)*AT6/AS$2*(1-AT25)/AT33</f>
        <v>0</v>
      </c>
      <c r="AW9" s="132">
        <f>+AW7+AW8</f>
        <v>1712396</v>
      </c>
      <c r="AX9" s="132">
        <v>1712396</v>
      </c>
      <c r="AY9" s="870">
        <f>(AW9-AX9)*AX6/AW$2*(1-AX25)/AX33</f>
        <v>0</v>
      </c>
      <c r="BA9" s="132">
        <f>+BA7+BA8</f>
        <v>1728236</v>
      </c>
      <c r="BB9" s="132">
        <v>1713175.5</v>
      </c>
      <c r="BC9" s="870">
        <f>(BA9-BB9)*BB6/BA$2*(1-BB25)/BB33</f>
        <v>2.8834511211009814E-2</v>
      </c>
      <c r="BD9" s="1707"/>
      <c r="BE9" s="132">
        <f>+BE7+BE8</f>
        <v>1735281.5</v>
      </c>
      <c r="BF9" s="132">
        <v>1721159.875</v>
      </c>
      <c r="BG9" s="870">
        <f>(BE9-BF9)*BF6/BE$2*(1-BF25)/BF33</f>
        <v>2.802511236067403E-2</v>
      </c>
      <c r="BH9" s="1707"/>
      <c r="BI9" s="132">
        <f>+BI7+BI8</f>
        <v>1743198.1724999999</v>
      </c>
      <c r="BJ9" s="132">
        <v>1729943.403775</v>
      </c>
      <c r="BK9" s="870">
        <f>(BI9-BJ9)*BJ6/BI$2*(1-BJ25)/BJ33</f>
        <v>2.760620244383357E-2</v>
      </c>
      <c r="BL9" s="1707"/>
      <c r="BM9" s="132">
        <f>+BM7+BM8</f>
        <v>1753718.8154499999</v>
      </c>
      <c r="BN9" s="132">
        <v>1741577.26528125</v>
      </c>
      <c r="BO9" s="870">
        <f>(BM9-BN9)*BN6/BM$2*(1-BN25)/BN33</f>
        <v>2.6479899813406583E-2</v>
      </c>
    </row>
    <row r="10" spans="2:67" s="59" customFormat="1" x14ac:dyDescent="0.2">
      <c r="B10" s="59" t="s">
        <v>1175</v>
      </c>
      <c r="C10" s="861"/>
      <c r="D10" s="9"/>
      <c r="F10" s="304">
        <f>Model!AY755</f>
        <v>45565</v>
      </c>
      <c r="G10" s="304">
        <v>45565</v>
      </c>
      <c r="H10" s="868">
        <f>(F10-G10)*(1-G25)/G33</f>
        <v>0</v>
      </c>
      <c r="J10" s="304">
        <f>Model!AZ755</f>
        <v>45557</v>
      </c>
      <c r="K10" s="304">
        <v>45575.274114010957</v>
      </c>
      <c r="L10" s="868">
        <f>(J10-K10)*(1-K25)/K33</f>
        <v>-4.5462924596528361E-3</v>
      </c>
      <c r="N10" s="304">
        <f>Model!BA755</f>
        <v>46713.830292880593</v>
      </c>
      <c r="O10" s="304">
        <v>47362.086263477409</v>
      </c>
      <c r="P10" s="868">
        <f>(N10-O10)*(1-O25)/O33</f>
        <v>-0.1927356118879075</v>
      </c>
      <c r="R10" s="304">
        <f>Model!BB755</f>
        <v>50431.408439721185</v>
      </c>
      <c r="S10" s="304">
        <v>50742.710621690108</v>
      </c>
      <c r="T10" s="868">
        <f>(R10-S10)*(1-S25)/S33</f>
        <v>-0.10223676512686564</v>
      </c>
      <c r="V10" s="304">
        <f>Model!BC755</f>
        <v>53668.280013172516</v>
      </c>
      <c r="W10" s="304">
        <v>53884.385787479077</v>
      </c>
      <c r="X10" s="868">
        <f>(V10-W10)*(1-W25)/W33</f>
        <v>-7.7975118734070994E-2</v>
      </c>
      <c r="Z10" s="304">
        <f>Model!BC755</f>
        <v>53668.280013172516</v>
      </c>
      <c r="AA10" s="304">
        <v>54632.758553497952</v>
      </c>
      <c r="AB10" s="868">
        <f>(Z10-AA10)*(1-AA25)/AA33</f>
        <v>-0.30941792504739357</v>
      </c>
      <c r="AC10" s="9"/>
      <c r="AD10" s="59" t="s">
        <v>1175</v>
      </c>
      <c r="AE10" s="861"/>
      <c r="AG10" s="304">
        <f>Model!W755</f>
        <v>11275</v>
      </c>
      <c r="AH10" s="304">
        <v>11275</v>
      </c>
      <c r="AI10" s="868">
        <f>(AG10-AH10)*(1-AH25)/AH33</f>
        <v>0</v>
      </c>
      <c r="AK10" s="304">
        <f>Model!X755</f>
        <v>11078</v>
      </c>
      <c r="AL10" s="304">
        <v>10980</v>
      </c>
      <c r="AM10" s="868">
        <f>(AK10-AL10)*(1-AL25)/AL33</f>
        <v>2.3902631561490442E-2</v>
      </c>
      <c r="AO10" s="304">
        <f>Model!Y755</f>
        <v>11380</v>
      </c>
      <c r="AP10" s="304">
        <v>11287</v>
      </c>
      <c r="AQ10" s="868">
        <f>(AO10-AP10)*(1-AP25)/AP33</f>
        <v>2.2718248972768289E-2</v>
      </c>
      <c r="AS10" s="304">
        <f>Model!Z755</f>
        <v>11658</v>
      </c>
      <c r="AT10" s="304">
        <v>11565</v>
      </c>
      <c r="AU10" s="868">
        <f>(AS10-AT10)*(1-AT25)/AT33</f>
        <v>2.3396587597407165E-2</v>
      </c>
      <c r="AW10" s="304">
        <f>Model!AA755</f>
        <v>11441</v>
      </c>
      <c r="AX10" s="304">
        <v>11351</v>
      </c>
      <c r="AY10" s="868">
        <f>(AW10-AX10)*(1-AX25)/AX33</f>
        <v>2.5283705966597854E-2</v>
      </c>
      <c r="BA10" s="304">
        <f>Model!AB755</f>
        <v>11236</v>
      </c>
      <c r="BB10" s="304">
        <v>11275.093755491605</v>
      </c>
      <c r="BC10" s="868">
        <f>(BA10-BB10)*(1-BB25)/BB33</f>
        <v>-1.1372666110747998E-2</v>
      </c>
      <c r="BE10" s="304">
        <f>Model!AC755</f>
        <v>11466.590789838856</v>
      </c>
      <c r="BF10" s="304">
        <v>11642.662559299504</v>
      </c>
      <c r="BG10" s="868">
        <f>(BE10-BF10)*(1-BF25)/BF33</f>
        <v>-5.1656064909715957E-2</v>
      </c>
      <c r="BI10" s="304">
        <f>Model!AD755</f>
        <v>11853.038702033275</v>
      </c>
      <c r="BJ10" s="304">
        <v>12060.603915586991</v>
      </c>
      <c r="BK10" s="868">
        <f>(BI10-BJ10)*(1-BJ25)/BJ33</f>
        <v>-6.2008599817240627E-2</v>
      </c>
      <c r="BM10" s="304">
        <f>Model!AE755</f>
        <v>12158.20080100847</v>
      </c>
      <c r="BN10" s="304">
        <v>12383.726033099309</v>
      </c>
      <c r="BO10" s="868">
        <f>(BM10-BN10)*(1-BN25)/BN33</f>
        <v>-6.9171747679377074E-2</v>
      </c>
    </row>
    <row r="11" spans="2:67" s="59" customFormat="1" x14ac:dyDescent="0.2">
      <c r="B11" s="861"/>
      <c r="C11" s="861"/>
      <c r="D11" s="9"/>
      <c r="F11" s="281"/>
      <c r="G11" s="281"/>
      <c r="H11" s="867"/>
      <c r="J11" s="1141"/>
      <c r="K11" s="1141"/>
      <c r="L11" s="867"/>
      <c r="N11" s="1141"/>
      <c r="O11" s="1141"/>
      <c r="P11" s="867"/>
      <c r="R11" s="1141"/>
      <c r="S11" s="1141"/>
      <c r="T11" s="867"/>
      <c r="V11" s="1141"/>
      <c r="W11" s="1141"/>
      <c r="X11" s="867"/>
      <c r="Z11" s="1141"/>
      <c r="AA11" s="1141"/>
      <c r="AB11" s="867"/>
      <c r="AC11" s="9"/>
      <c r="AD11" s="861"/>
      <c r="AE11" s="861"/>
      <c r="AG11" s="281"/>
      <c r="AH11" s="281"/>
      <c r="AI11" s="867"/>
      <c r="AK11" s="281"/>
      <c r="AL11" s="281"/>
      <c r="AM11" s="867"/>
      <c r="AO11" s="281"/>
      <c r="AP11" s="281"/>
      <c r="AQ11" s="867"/>
      <c r="AS11" s="281"/>
      <c r="AT11" s="281"/>
      <c r="AU11" s="867"/>
      <c r="AW11" s="281"/>
      <c r="AX11" s="281"/>
      <c r="AY11" s="867"/>
      <c r="BA11" s="281"/>
      <c r="BB11" s="281"/>
      <c r="BC11" s="867"/>
      <c r="BE11" s="281"/>
      <c r="BF11" s="281"/>
      <c r="BG11" s="867"/>
      <c r="BI11" s="281"/>
      <c r="BJ11" s="281"/>
      <c r="BK11" s="867"/>
      <c r="BM11" s="281"/>
      <c r="BN11" s="281"/>
      <c r="BO11" s="867"/>
    </row>
    <row r="12" spans="2:67" x14ac:dyDescent="0.2">
      <c r="B12" s="59" t="s">
        <v>709</v>
      </c>
      <c r="C12" s="861"/>
      <c r="F12" s="304">
        <f>+F14-F10</f>
        <v>24771</v>
      </c>
      <c r="G12" s="304">
        <v>24771</v>
      </c>
      <c r="H12" s="868">
        <f>(F12-G12)*(1-G$25)/G$33</f>
        <v>0</v>
      </c>
      <c r="J12" s="304">
        <f>+J14-J10</f>
        <v>27383</v>
      </c>
      <c r="K12" s="304">
        <v>26411.238360422256</v>
      </c>
      <c r="L12" s="868">
        <f>(J12-K12)*(1-K$25)/K$33</f>
        <v>0.24175796495212468</v>
      </c>
      <c r="N12" s="304">
        <f>+N14-N10</f>
        <v>29304.233238127374</v>
      </c>
      <c r="O12" s="304">
        <v>28346.45925207455</v>
      </c>
      <c r="P12" s="868">
        <f>(N12-O12)*(1-O$25)/O$33</f>
        <v>0.28475966844125172</v>
      </c>
      <c r="R12" s="304">
        <f>+R14-R10</f>
        <v>30040.760419115191</v>
      </c>
      <c r="S12" s="304">
        <v>29216.253147647112</v>
      </c>
      <c r="T12" s="868">
        <f>(R12-S12)*(1-S$25)/S$33</f>
        <v>0.27078177134938847</v>
      </c>
      <c r="V12" s="304">
        <f>+V14-V10</f>
        <v>31123.56323959717</v>
      </c>
      <c r="W12" s="304">
        <v>30459.599829666207</v>
      </c>
      <c r="X12" s="868">
        <f>(V12-W12)*(1-W$25)/W$33</f>
        <v>0.23957076524481175</v>
      </c>
      <c r="Z12" s="304">
        <f>+Z14-Z10</f>
        <v>31123.56323959717</v>
      </c>
      <c r="AA12" s="304">
        <v>27312.682465737984</v>
      </c>
      <c r="AB12" s="868">
        <f>(Z12-AA12)*(1-AA$25)/AA$33</f>
        <v>1.2225827453378517</v>
      </c>
      <c r="AC12" s="391"/>
      <c r="AD12" s="59" t="s">
        <v>709</v>
      </c>
      <c r="AE12" s="861"/>
      <c r="AG12" s="304">
        <f>+AG14-AG10</f>
        <v>5850</v>
      </c>
      <c r="AH12" s="304">
        <v>5850</v>
      </c>
      <c r="AI12" s="868">
        <f>(AG12-AH12)*(1-AH$25)/AH$33</f>
        <v>0</v>
      </c>
      <c r="AK12" s="304">
        <f>+AK14-AK10</f>
        <v>7411</v>
      </c>
      <c r="AL12" s="304">
        <v>7263</v>
      </c>
      <c r="AM12" s="868">
        <f>(AK12-AL12)*(1-AL$25)/AL$33</f>
        <v>3.6097851745924343E-2</v>
      </c>
      <c r="AO12" s="304">
        <f>+AO14-AO10</f>
        <v>6897</v>
      </c>
      <c r="AP12" s="304">
        <v>6736</v>
      </c>
      <c r="AQ12" s="868">
        <f>(AO12-AP12)*(1-AP$25)/AP$33</f>
        <v>3.932944177006123E-2</v>
      </c>
      <c r="AS12" s="304">
        <f>+AS14-AS10</f>
        <v>6884</v>
      </c>
      <c r="AT12" s="304">
        <v>6731</v>
      </c>
      <c r="AU12" s="868">
        <f>(AS12-AT12)*(1-AT$25)/AT$33</f>
        <v>3.8491160240895654E-2</v>
      </c>
      <c r="AW12" s="304">
        <f>+AW14-AW10</f>
        <v>6191</v>
      </c>
      <c r="AX12" s="304">
        <v>6032</v>
      </c>
      <c r="AY12" s="868">
        <f>(AW12-AX12)*(1-AX$25)/AX$33</f>
        <v>4.4667880540989538E-2</v>
      </c>
      <c r="BA12" s="304">
        <f>+BA14-BA10</f>
        <v>7700</v>
      </c>
      <c r="BB12" s="304">
        <v>8164.6647770719501</v>
      </c>
      <c r="BC12" s="868">
        <f>(BA12-BB12)*(1-BB$25)/BB$33</f>
        <v>-0.13517446192139751</v>
      </c>
      <c r="BD12" s="1707"/>
      <c r="BE12" s="304">
        <f>+BE14-BE10</f>
        <v>7684.6215106222498</v>
      </c>
      <c r="BF12" s="304">
        <v>7235.9452747575087</v>
      </c>
      <c r="BG12" s="868">
        <f>(BE12-BF12)*(1-BF$25)/BF$33</f>
        <v>0.13163296327555837</v>
      </c>
      <c r="BH12" s="1707"/>
      <c r="BI12" s="304">
        <f>+BI14-BI10</f>
        <v>7364.3713738876759</v>
      </c>
      <c r="BJ12" s="304">
        <v>6880.6249290348205</v>
      </c>
      <c r="BK12" s="868">
        <f>(BI12-BJ12)*(1-BJ$25)/BJ$33</f>
        <v>0.14451573651637284</v>
      </c>
      <c r="BL12" s="1707"/>
      <c r="BM12" s="304">
        <f>+BM14-BM10</f>
        <v>6555.2403536174443</v>
      </c>
      <c r="BN12" s="304">
        <v>6065.224271210267</v>
      </c>
      <c r="BO12" s="868">
        <f>(BM12-BN12)*(1-BN$25)/BN$33</f>
        <v>0.15029479627119308</v>
      </c>
    </row>
    <row r="13" spans="2:67" x14ac:dyDescent="0.2">
      <c r="B13" s="861"/>
      <c r="C13" s="861"/>
      <c r="F13" s="33"/>
      <c r="G13" s="33"/>
      <c r="H13" s="867"/>
      <c r="J13" s="33"/>
      <c r="K13" s="33"/>
      <c r="L13" s="867"/>
      <c r="N13" s="1779"/>
      <c r="O13" s="1779"/>
      <c r="P13" s="867"/>
      <c r="R13" s="1779"/>
      <c r="S13" s="1779"/>
      <c r="T13" s="867"/>
      <c r="V13" s="1779"/>
      <c r="W13" s="1779"/>
      <c r="X13" s="867"/>
      <c r="Z13" s="33"/>
      <c r="AA13" s="33"/>
      <c r="AB13" s="867"/>
      <c r="AC13" s="391"/>
      <c r="AD13" s="861"/>
      <c r="AE13" s="861"/>
      <c r="AG13" s="33"/>
      <c r="AH13" s="33"/>
      <c r="AI13" s="867"/>
      <c r="AK13" s="33"/>
      <c r="AL13" s="33"/>
      <c r="AM13" s="867"/>
      <c r="AO13" s="33"/>
      <c r="AP13" s="33"/>
      <c r="AQ13" s="867"/>
      <c r="AS13" s="33"/>
      <c r="AT13" s="33"/>
      <c r="AU13" s="867"/>
      <c r="AW13" s="33"/>
      <c r="AX13" s="33"/>
      <c r="AY13" s="867"/>
      <c r="BA13" s="33"/>
      <c r="BB13" s="33"/>
      <c r="BC13" s="867"/>
      <c r="BD13" s="1707"/>
      <c r="BE13" s="33"/>
      <c r="BF13" s="33"/>
      <c r="BG13" s="867"/>
      <c r="BH13" s="1707"/>
      <c r="BI13" s="33"/>
      <c r="BJ13" s="33"/>
      <c r="BK13" s="867"/>
      <c r="BL13" s="1707"/>
      <c r="BM13" s="33"/>
      <c r="BN13" s="33"/>
      <c r="BO13" s="867"/>
    </row>
    <row r="14" spans="2:67" x14ac:dyDescent="0.2">
      <c r="B14" s="59" t="s">
        <v>893</v>
      </c>
      <c r="C14" s="861"/>
      <c r="F14" s="304">
        <f>Model!AY767</f>
        <v>70336</v>
      </c>
      <c r="G14" s="304">
        <v>70336</v>
      </c>
      <c r="H14" s="868">
        <f>(F14-G14)*(1-G$25)/G$33</f>
        <v>0</v>
      </c>
      <c r="J14" s="304">
        <f>Model!AZ767</f>
        <v>72940</v>
      </c>
      <c r="K14" s="304">
        <v>71986.512474433213</v>
      </c>
      <c r="L14" s="868">
        <f>(J14-K14)*(1-K$25)/K$33</f>
        <v>0.23721167249247185</v>
      </c>
      <c r="N14" s="304">
        <f>Model!BA767</f>
        <v>76018.063531007967</v>
      </c>
      <c r="O14" s="304">
        <v>75708.545515551959</v>
      </c>
      <c r="P14" s="868">
        <f>(N14-O14)*(1-O$25)/O$33</f>
        <v>9.2024056553344197E-2</v>
      </c>
      <c r="R14" s="304">
        <f>Model!BB767</f>
        <v>80472.168858836376</v>
      </c>
      <c r="S14" s="304">
        <v>79958.963769337221</v>
      </c>
      <c r="T14" s="868">
        <f>(R14-S14)*(1-S$25)/S$33</f>
        <v>0.16854500622252283</v>
      </c>
      <c r="V14" s="304">
        <f>Model!BC767</f>
        <v>84791.843252769686</v>
      </c>
      <c r="W14" s="304">
        <v>84343.985617145285</v>
      </c>
      <c r="X14" s="868">
        <f>(V14-W14)*(1-W$25)/W$33</f>
        <v>0.16159564651074074</v>
      </c>
      <c r="Z14" s="304">
        <f>Model!BC767</f>
        <v>84791.843252769686</v>
      </c>
      <c r="AA14" s="304">
        <v>81945.441019235936</v>
      </c>
      <c r="AB14" s="868">
        <f>(Z14-AA14)*(1-AA$25)/AA$33</f>
        <v>0.91316482029045809</v>
      </c>
      <c r="AC14" s="391"/>
      <c r="AD14" s="59" t="s">
        <v>893</v>
      </c>
      <c r="AE14" s="861"/>
      <c r="AG14" s="304">
        <f>Model!W767</f>
        <v>17125</v>
      </c>
      <c r="AH14" s="304">
        <v>17125</v>
      </c>
      <c r="AI14" s="868">
        <f>(AG14-AH14)*(1-AH$25)/AH$33</f>
        <v>0</v>
      </c>
      <c r="AK14" s="304">
        <f>Model!X767</f>
        <v>18489</v>
      </c>
      <c r="AL14" s="304">
        <v>18243</v>
      </c>
      <c r="AM14" s="868">
        <f>(AK14-AL14)*(1-AL$25)/AL$33</f>
        <v>6.0000483307414788E-2</v>
      </c>
      <c r="AO14" s="304">
        <f>Model!Y767</f>
        <v>18277</v>
      </c>
      <c r="AP14" s="304">
        <v>18023</v>
      </c>
      <c r="AQ14" s="868">
        <f>(AO14-AP14)*(1-AP$25)/AP$33</f>
        <v>6.2047690742829516E-2</v>
      </c>
      <c r="AS14" s="304">
        <f>Model!Z767</f>
        <v>18542</v>
      </c>
      <c r="AT14" s="304">
        <v>18296</v>
      </c>
      <c r="AU14" s="868">
        <f>(AS14-AT14)*(1-AT$25)/AT$33</f>
        <v>6.1887747838302823E-2</v>
      </c>
      <c r="AW14" s="304">
        <f>Model!AA767</f>
        <v>17632</v>
      </c>
      <c r="AX14" s="304">
        <v>17383</v>
      </c>
      <c r="AY14" s="868">
        <f>(AW14-AX14)*(1-AX$25)/AX$33</f>
        <v>6.9951586507587385E-2</v>
      </c>
      <c r="BA14" s="304">
        <f>Model!AB767</f>
        <v>18936</v>
      </c>
      <c r="BB14" s="304">
        <v>19439.758532563555</v>
      </c>
      <c r="BC14" s="868">
        <f>(BA14-BB14)*(1-BB$25)/BB$33</f>
        <v>-0.14654712803214551</v>
      </c>
      <c r="BD14" s="1707"/>
      <c r="BE14" s="304">
        <f>Model!AC767</f>
        <v>19151.212300461106</v>
      </c>
      <c r="BF14" s="304">
        <v>18878.607834057013</v>
      </c>
      <c r="BG14" s="868">
        <f>(BE14-BF14)*(1-BF$25)/BF$33</f>
        <v>7.9976898365842403E-2</v>
      </c>
      <c r="BH14" s="1707"/>
      <c r="BI14" s="304">
        <f>Model!AD767</f>
        <v>19217.41007592095</v>
      </c>
      <c r="BJ14" s="304">
        <v>18941.228844621812</v>
      </c>
      <c r="BK14" s="868">
        <f>(BI14-BJ14)*(1-BJ$25)/BJ$33</f>
        <v>8.2507136699132205E-2</v>
      </c>
      <c r="BL14" s="1707"/>
      <c r="BM14" s="304">
        <f>Model!AE767</f>
        <v>18713.441154625914</v>
      </c>
      <c r="BN14" s="304">
        <v>18448.950304309576</v>
      </c>
      <c r="BO14" s="868">
        <f>(BM14-BN14)*(1-BN$25)/BN$33</f>
        <v>8.1123048591816016E-2</v>
      </c>
    </row>
    <row r="15" spans="2:67" x14ac:dyDescent="0.2">
      <c r="B15" s="861"/>
      <c r="C15" s="861"/>
      <c r="F15" s="861"/>
      <c r="G15" s="861"/>
      <c r="H15" s="867"/>
      <c r="J15" s="861"/>
      <c r="K15" s="861"/>
      <c r="L15" s="867"/>
      <c r="N15" s="1085"/>
      <c r="O15" s="1085"/>
      <c r="P15" s="867"/>
      <c r="R15" s="1085"/>
      <c r="S15" s="1085"/>
      <c r="T15" s="867"/>
      <c r="V15" s="1085"/>
      <c r="W15" s="1085"/>
      <c r="X15" s="867"/>
      <c r="AB15" s="867"/>
      <c r="AC15" s="391"/>
      <c r="AD15" s="861"/>
      <c r="AE15" s="861"/>
      <c r="AG15" s="861"/>
      <c r="AH15" s="861"/>
      <c r="AI15" s="867"/>
      <c r="AK15" s="861"/>
      <c r="AL15" s="861"/>
      <c r="AM15" s="867"/>
      <c r="AO15" s="861"/>
      <c r="AP15" s="861"/>
      <c r="AQ15" s="867"/>
      <c r="AS15" s="861"/>
      <c r="AT15" s="861"/>
      <c r="AU15" s="867"/>
      <c r="AW15" s="861"/>
      <c r="AX15" s="861"/>
      <c r="AY15" s="867"/>
      <c r="BA15" s="1707"/>
      <c r="BB15" s="1707"/>
      <c r="BC15" s="867"/>
      <c r="BD15" s="1707"/>
      <c r="BE15" s="1707"/>
      <c r="BF15" s="1707"/>
      <c r="BG15" s="867"/>
      <c r="BH15" s="1707"/>
      <c r="BI15" s="1707"/>
      <c r="BJ15" s="1707"/>
      <c r="BK15" s="867"/>
      <c r="BL15" s="1707"/>
      <c r="BM15" s="1707"/>
      <c r="BN15" s="1707"/>
      <c r="BO15" s="867"/>
    </row>
    <row r="16" spans="2:67" x14ac:dyDescent="0.2">
      <c r="B16" s="59" t="s">
        <v>894</v>
      </c>
      <c r="C16" s="59"/>
      <c r="F16" s="304">
        <f>Model!AY780</f>
        <v>41416</v>
      </c>
      <c r="G16" s="304">
        <v>41416</v>
      </c>
      <c r="H16" s="868">
        <f>(F16-G16)*(1-G$25)/G$33</f>
        <v>0</v>
      </c>
      <c r="J16" s="304">
        <f>Model!AZ780</f>
        <v>42232</v>
      </c>
      <c r="K16" s="304">
        <v>41284.041661032468</v>
      </c>
      <c r="L16" s="868">
        <f>(K16-J16)*(1-K$25)/K$33</f>
        <v>-0.23583610378751943</v>
      </c>
      <c r="N16" s="304">
        <f>Model!BA780</f>
        <v>43042.956197119871</v>
      </c>
      <c r="O16" s="304">
        <v>42974.303861843546</v>
      </c>
      <c r="P16" s="868">
        <f>(O16-N16)*(1-O$25)/O$33</f>
        <v>-2.0411304248898032E-2</v>
      </c>
      <c r="R16" s="304">
        <f>Model!BB780</f>
        <v>43805.293735628256</v>
      </c>
      <c r="S16" s="304">
        <v>43175.562110503015</v>
      </c>
      <c r="T16" s="868">
        <f>(S16-R16)*(1-S$25)/S$33</f>
        <v>-0.20681424024620457</v>
      </c>
      <c r="V16" s="304">
        <f>Model!BC780</f>
        <v>44792.393688997246</v>
      </c>
      <c r="W16" s="304">
        <v>44268.157189847283</v>
      </c>
      <c r="X16" s="868">
        <f>(W16-V16)*(1-W$25)/W$33</f>
        <v>-0.18915460911268686</v>
      </c>
      <c r="Z16" s="304">
        <f>Model!BC780</f>
        <v>44792.393688997246</v>
      </c>
      <c r="AA16" s="304">
        <v>42574.301902240011</v>
      </c>
      <c r="AB16" s="868">
        <f>(AA16-Z16)*(1-AA$25)/AA$33</f>
        <v>-0.71159422374655579</v>
      </c>
      <c r="AC16" s="391"/>
      <c r="AD16" s="59" t="s">
        <v>894</v>
      </c>
      <c r="AE16" s="59"/>
      <c r="AG16" s="304">
        <f>Model!W780</f>
        <v>10120</v>
      </c>
      <c r="AH16" s="304">
        <v>10120</v>
      </c>
      <c r="AI16" s="868">
        <f>(AH16-AG16)*(1-AH$25)/AH$33</f>
        <v>0</v>
      </c>
      <c r="AK16" s="304">
        <f>Model!X780</f>
        <v>10723</v>
      </c>
      <c r="AL16" s="304">
        <v>10477</v>
      </c>
      <c r="AM16" s="868">
        <f>(AL16-AK16)*(1-AL$25)/AL$33</f>
        <v>-6.0000483307414788E-2</v>
      </c>
      <c r="AO16" s="304">
        <f>Model!Y780</f>
        <v>10760</v>
      </c>
      <c r="AP16" s="304">
        <v>10506</v>
      </c>
      <c r="AQ16" s="868">
        <f>(AP16-AO16)*(1-AP$25)/AP$33</f>
        <v>-6.2047690742829516E-2</v>
      </c>
      <c r="AS16" s="304">
        <f>Model!Z780</f>
        <v>10417</v>
      </c>
      <c r="AT16" s="304">
        <v>10171</v>
      </c>
      <c r="AU16" s="868">
        <f>(AT16-AS16)*(1-AT$25)/AT$33</f>
        <v>-6.1887747838302823E-2</v>
      </c>
      <c r="AW16" s="304">
        <f>Model!AA780</f>
        <v>10332</v>
      </c>
      <c r="AX16" s="304">
        <v>10083</v>
      </c>
      <c r="AY16" s="868">
        <f>(AX16-AW16)*(1-AX$25)/AX$33</f>
        <v>-6.9951586507587385E-2</v>
      </c>
      <c r="BA16" s="304">
        <f>Model!AB780</f>
        <v>10925</v>
      </c>
      <c r="BB16" s="304">
        <v>11324.676006168938</v>
      </c>
      <c r="BC16" s="868">
        <f>(BB16-BA16)*(1-BB$25)/BB$33</f>
        <v>0.11626874198905299</v>
      </c>
      <c r="BD16" s="1707"/>
      <c r="BE16" s="304">
        <f>Model!AC780</f>
        <v>10913.303917359419</v>
      </c>
      <c r="BF16" s="304">
        <v>10648.978504916726</v>
      </c>
      <c r="BG16" s="868">
        <f>(BF16-BE16)*(1-BF$25)/BF$33</f>
        <v>-7.7547983440234808E-2</v>
      </c>
      <c r="BH16" s="1707"/>
      <c r="BI16" s="304">
        <f>Model!AD780</f>
        <v>10790.647419418166</v>
      </c>
      <c r="BJ16" s="304">
        <v>10647.197702256832</v>
      </c>
      <c r="BK16" s="868">
        <f>(BJ16-BI16)*(1-BJ$25)/BJ$33</f>
        <v>-4.2854560998254944E-2</v>
      </c>
      <c r="BL16" s="1707"/>
      <c r="BM16" s="304">
        <f>Model!AE780</f>
        <v>10414.00486034228</v>
      </c>
      <c r="BN16" s="304">
        <v>10353.451648501052</v>
      </c>
      <c r="BO16" s="868">
        <f>(BN16-BM16)*(1-BN$25)/BN$33</f>
        <v>-1.8572518258046705E-2</v>
      </c>
    </row>
    <row r="17" spans="2:67" s="53" customFormat="1" x14ac:dyDescent="0.2">
      <c r="C17" s="861" t="s">
        <v>738</v>
      </c>
      <c r="D17" s="9"/>
      <c r="F17" s="27">
        <f>F16/F14</f>
        <v>0.5888307552320291</v>
      </c>
      <c r="G17" s="27">
        <v>0.5888307552320291</v>
      </c>
      <c r="H17" s="869">
        <f>(F17-G17)*(1-G$25)/G$33</f>
        <v>0</v>
      </c>
      <c r="J17" s="27">
        <f>J16/J14</f>
        <v>0.5789964354263778</v>
      </c>
      <c r="K17" s="27">
        <v>0.57349689882108046</v>
      </c>
      <c r="L17" s="869">
        <f>(J17-K17)*10000</f>
        <v>54.995366052973395</v>
      </c>
      <c r="N17" s="27">
        <f>N16/N14</f>
        <v>0.56622010871879858</v>
      </c>
      <c r="O17" s="27">
        <v>0.5676281794769894</v>
      </c>
      <c r="P17" s="869">
        <f>(N17-O17)*10000</f>
        <v>-14.080707581908269</v>
      </c>
      <c r="R17" s="27">
        <f>R16/R14</f>
        <v>0.54435333801517327</v>
      </c>
      <c r="S17" s="27">
        <v>0.53997150632234736</v>
      </c>
      <c r="T17" s="869">
        <f>(R17-S17)*10000</f>
        <v>43.818316928259108</v>
      </c>
      <c r="V17" s="27">
        <f>V16/V14</f>
        <v>0.52826300232049883</v>
      </c>
      <c r="W17" s="27">
        <v>0.52485256495690824</v>
      </c>
      <c r="X17" s="869">
        <f>(V17-W17)*10000</f>
        <v>34.104373635905901</v>
      </c>
      <c r="Z17" s="27">
        <f>Z16/Z14</f>
        <v>0.52826300232049883</v>
      </c>
      <c r="AA17" s="27">
        <v>0.51954448438743639</v>
      </c>
      <c r="AB17" s="869">
        <f>(Z17-AA17)*(1-AA$25)/AA$33</f>
        <v>2.7970199600567801E-6</v>
      </c>
      <c r="AC17" s="9"/>
      <c r="AE17" s="861" t="s">
        <v>738</v>
      </c>
      <c r="AG17" s="27">
        <f>AG16/AG14</f>
        <v>0.59094890510948905</v>
      </c>
      <c r="AH17" s="27">
        <v>0.59094890510948905</v>
      </c>
      <c r="AI17" s="869">
        <f>(AG17-AH17)*10000</f>
        <v>0</v>
      </c>
      <c r="AK17" s="27">
        <f>AK16/AK14</f>
        <v>0.57996646654767703</v>
      </c>
      <c r="AL17" s="27">
        <v>0.57430247218111052</v>
      </c>
      <c r="AM17" s="869">
        <f>(AK17-AL17)*10000</f>
        <v>56.639943665665051</v>
      </c>
      <c r="AO17" s="27">
        <f>AO16/AO14</f>
        <v>0.58871806095092194</v>
      </c>
      <c r="AP17" s="27">
        <v>0.58292182211618493</v>
      </c>
      <c r="AQ17" s="869">
        <f>(AO17-AP17)*10000</f>
        <v>57.962388347370108</v>
      </c>
      <c r="AS17" s="27">
        <f>AS16/AS14</f>
        <v>0.56180563046057597</v>
      </c>
      <c r="AT17" s="27">
        <v>0.55591386095321382</v>
      </c>
      <c r="AU17" s="869">
        <f>(AS17-AT17)*10000</f>
        <v>58.917695073621431</v>
      </c>
      <c r="AW17" s="27">
        <f>AW16/AW14</f>
        <v>0.58598003629764062</v>
      </c>
      <c r="AX17" s="27">
        <v>0.58004947362365533</v>
      </c>
      <c r="AY17" s="869">
        <f>(AW17-AX17)*10000</f>
        <v>59.305626739852848</v>
      </c>
      <c r="BA17" s="27">
        <f>BA16/BA14</f>
        <v>0.57694338825517533</v>
      </c>
      <c r="BB17" s="27">
        <v>0.58255229802360786</v>
      </c>
      <c r="BC17" s="869">
        <f>(BA17-BB17)*10000</f>
        <v>-56.089097684325353</v>
      </c>
      <c r="BE17" s="27">
        <f>BE16/BE14</f>
        <v>0.56984924745973697</v>
      </c>
      <c r="BF17" s="27">
        <v>0.56407647208529677</v>
      </c>
      <c r="BG17" s="869">
        <f>(BE17-BF17)*10000</f>
        <v>57.727753744402087</v>
      </c>
      <c r="BI17" s="27">
        <f>BI16/BI14</f>
        <v>0.56150372900345413</v>
      </c>
      <c r="BJ17" s="27">
        <v>0.56211757904398085</v>
      </c>
      <c r="BK17" s="869">
        <f>(BI17-BJ17)*10000</f>
        <v>-6.1385004052671999</v>
      </c>
      <c r="BM17" s="27">
        <f>BM16/BM14</f>
        <v>0.55649865646265517</v>
      </c>
      <c r="BN17" s="27">
        <v>0.56119461962464834</v>
      </c>
      <c r="BO17" s="869">
        <f>(BM17-BN17)*10000</f>
        <v>-46.959631619931663</v>
      </c>
    </row>
    <row r="18" spans="2:67" x14ac:dyDescent="0.2">
      <c r="B18" s="861"/>
      <c r="C18" s="861"/>
      <c r="F18" s="861"/>
      <c r="G18" s="861"/>
      <c r="H18" s="867"/>
      <c r="J18" s="861"/>
      <c r="K18" s="861"/>
      <c r="L18" s="867"/>
      <c r="N18" s="861"/>
      <c r="O18" s="861"/>
      <c r="P18" s="867"/>
      <c r="T18" s="867"/>
      <c r="X18" s="867"/>
      <c r="AB18" s="867"/>
      <c r="AC18" s="391"/>
      <c r="AD18" s="861"/>
      <c r="AE18" s="861"/>
      <c r="AG18" s="861"/>
      <c r="AH18" s="861"/>
      <c r="AI18" s="867"/>
      <c r="AK18" s="861"/>
      <c r="AL18" s="861"/>
      <c r="AM18" s="867"/>
      <c r="AO18" s="861"/>
      <c r="AP18" s="861"/>
      <c r="AQ18" s="867"/>
      <c r="AS18" s="861"/>
      <c r="AT18" s="861"/>
      <c r="AU18" s="867"/>
      <c r="AW18" s="861"/>
      <c r="AX18" s="861"/>
      <c r="AY18" s="867"/>
      <c r="BA18" s="1707"/>
      <c r="BB18" s="1707"/>
      <c r="BC18" s="867"/>
      <c r="BD18" s="1707"/>
      <c r="BE18" s="1707"/>
      <c r="BF18" s="1707"/>
      <c r="BG18" s="867"/>
      <c r="BH18" s="1707"/>
      <c r="BI18" s="1707"/>
      <c r="BJ18" s="1707"/>
      <c r="BK18" s="867"/>
      <c r="BL18" s="1707"/>
      <c r="BM18" s="1707"/>
      <c r="BN18" s="1707"/>
      <c r="BO18" s="867"/>
    </row>
    <row r="19" spans="2:67" x14ac:dyDescent="0.2">
      <c r="B19" s="59" t="s">
        <v>835</v>
      </c>
      <c r="C19" s="861"/>
      <c r="F19" s="304">
        <f>F14-F16</f>
        <v>28920</v>
      </c>
      <c r="G19" s="304">
        <v>28920</v>
      </c>
      <c r="H19" s="868">
        <f>(F19-G19)*(1-G$25)/G$33</f>
        <v>0</v>
      </c>
      <c r="J19" s="304">
        <f>J14-J16</f>
        <v>30708</v>
      </c>
      <c r="K19" s="304">
        <v>30702.470813400745</v>
      </c>
      <c r="L19" s="868">
        <f>(J19-K19)*(1-K$25)/K$33</f>
        <v>1.3755687049524464E-3</v>
      </c>
      <c r="N19" s="304">
        <f>N14-N16</f>
        <v>32975.107333888096</v>
      </c>
      <c r="O19" s="304">
        <v>32734.241653708414</v>
      </c>
      <c r="P19" s="868">
        <f>(N19-O19)*(1-O$25)/O$33</f>
        <v>7.1612752304446164E-2</v>
      </c>
      <c r="R19" s="304">
        <f>R14-R16</f>
        <v>36666.875123208119</v>
      </c>
      <c r="S19" s="304">
        <v>36783.401658834206</v>
      </c>
      <c r="T19" s="868">
        <f>(R19-S19)*(1-S$25)/S$33</f>
        <v>-3.826923402368175E-2</v>
      </c>
      <c r="V19" s="304">
        <f>V14-V16</f>
        <v>39999.449563772439</v>
      </c>
      <c r="W19" s="304">
        <v>40075.828427298002</v>
      </c>
      <c r="X19" s="868">
        <f>(V19-W19)*(1-W$25)/W$33</f>
        <v>-2.7558962601946114E-2</v>
      </c>
      <c r="Z19" s="304">
        <f>Z14-Z16</f>
        <v>39999.449563772439</v>
      </c>
      <c r="AA19" s="304">
        <v>39371.139116995924</v>
      </c>
      <c r="AB19" s="868">
        <f>(Z19-AA19)*(1-AA$25)/AA$33</f>
        <v>0.20157059654390228</v>
      </c>
      <c r="AC19" s="391"/>
      <c r="AD19" s="59" t="s">
        <v>835</v>
      </c>
      <c r="AE19" s="861"/>
      <c r="AG19" s="304">
        <f>AG14-AG16</f>
        <v>7005</v>
      </c>
      <c r="AH19" s="304">
        <v>7005</v>
      </c>
      <c r="AI19" s="868">
        <f>(AG19-AH19)*(1-AH$25)/AH$33</f>
        <v>0</v>
      </c>
      <c r="AK19" s="304">
        <f>AK14-AK16</f>
        <v>7766</v>
      </c>
      <c r="AL19" s="304">
        <v>7766</v>
      </c>
      <c r="AM19" s="868">
        <f>(AK19-AL19)*(1-AL$25)/AL$33</f>
        <v>0</v>
      </c>
      <c r="AO19" s="304">
        <f>AO14-AO16</f>
        <v>7517</v>
      </c>
      <c r="AP19" s="304">
        <v>7517</v>
      </c>
      <c r="AQ19" s="868">
        <f>(AO19-AP19)*(1-AP$25)/AP$33</f>
        <v>0</v>
      </c>
      <c r="AS19" s="304">
        <f>AS14-AS16</f>
        <v>8125</v>
      </c>
      <c r="AT19" s="304">
        <v>8125</v>
      </c>
      <c r="AU19" s="868">
        <f>(AS19-AT19)*(1-AT$25)/AT$33</f>
        <v>0</v>
      </c>
      <c r="AW19" s="304">
        <f>AW14-AW16</f>
        <v>7300</v>
      </c>
      <c r="AX19" s="304">
        <v>7300</v>
      </c>
      <c r="AY19" s="868">
        <f>(AW19-AX19)*(1-AX$25)/AX$33</f>
        <v>0</v>
      </c>
      <c r="BA19" s="304">
        <f>BA14-BA16</f>
        <v>8011</v>
      </c>
      <c r="BB19" s="304">
        <v>8115.0825263946172</v>
      </c>
      <c r="BC19" s="868">
        <f>(BA19-BB19)*(1-BB$25)/BB$33</f>
        <v>-3.0278386043092517E-2</v>
      </c>
      <c r="BD19" s="1707"/>
      <c r="BE19" s="304">
        <f>BE14-BE16</f>
        <v>8237.9083831016869</v>
      </c>
      <c r="BF19" s="304">
        <v>8229.6293291402872</v>
      </c>
      <c r="BG19" s="868">
        <f>(BE19-BF19)*(1-BF$25)/BF$33</f>
        <v>2.4289149256075913E-3</v>
      </c>
      <c r="BH19" s="1707"/>
      <c r="BI19" s="304">
        <f>BI14-BI16</f>
        <v>8426.762656502784</v>
      </c>
      <c r="BJ19" s="304">
        <v>8294.03114236498</v>
      </c>
      <c r="BK19" s="868">
        <f>(BI19-BJ19)*(1-BJ$25)/BJ$33</f>
        <v>3.9652575700877261E-2</v>
      </c>
      <c r="BL19" s="1707"/>
      <c r="BM19" s="304">
        <f>BM14-BM16</f>
        <v>8299.4362942836342</v>
      </c>
      <c r="BN19" s="304">
        <v>8095.4986558085238</v>
      </c>
      <c r="BO19" s="868">
        <f>(BM19-BN19)*(1-BN$25)/BN$33</f>
        <v>6.2550530333769297E-2</v>
      </c>
    </row>
    <row r="20" spans="2:67" x14ac:dyDescent="0.2">
      <c r="B20" s="861"/>
      <c r="C20" s="861"/>
      <c r="F20" s="861"/>
      <c r="G20" s="861"/>
      <c r="H20" s="867"/>
      <c r="J20" s="861"/>
      <c r="K20" s="861"/>
      <c r="L20" s="867"/>
      <c r="N20" s="861"/>
      <c r="O20" s="861"/>
      <c r="P20" s="867"/>
      <c r="T20" s="867"/>
      <c r="X20" s="867"/>
      <c r="AB20" s="867"/>
      <c r="AC20" s="391"/>
      <c r="AD20" s="861"/>
      <c r="AE20" s="861"/>
      <c r="AG20" s="861"/>
      <c r="AH20" s="861"/>
      <c r="AI20" s="867"/>
      <c r="AK20" s="861"/>
      <c r="AL20" s="861"/>
      <c r="AM20" s="867"/>
      <c r="AO20" s="861"/>
      <c r="AP20" s="861"/>
      <c r="AQ20" s="867"/>
      <c r="AS20" s="861"/>
      <c r="AT20" s="861"/>
      <c r="AU20" s="867"/>
      <c r="AW20" s="861"/>
      <c r="AX20" s="861"/>
      <c r="AY20" s="867"/>
      <c r="BA20" s="1707"/>
      <c r="BB20" s="1707"/>
      <c r="BC20" s="867"/>
      <c r="BD20" s="1707"/>
      <c r="BE20" s="1707"/>
      <c r="BF20" s="1707"/>
      <c r="BG20" s="867"/>
      <c r="BH20" s="1707"/>
      <c r="BI20" s="1707"/>
      <c r="BJ20" s="1707"/>
      <c r="BK20" s="867"/>
      <c r="BL20" s="1707"/>
      <c r="BM20" s="1707"/>
      <c r="BN20" s="1707"/>
      <c r="BO20" s="867"/>
    </row>
    <row r="21" spans="2:67" x14ac:dyDescent="0.2">
      <c r="B21" s="59" t="s">
        <v>895</v>
      </c>
      <c r="C21" s="861"/>
      <c r="F21" s="304">
        <f>Model!AY784</f>
        <v>6982</v>
      </c>
      <c r="G21" s="304">
        <v>6982</v>
      </c>
      <c r="H21" s="868">
        <f>(G21-F21)*(1-G25)/G33</f>
        <v>0</v>
      </c>
      <c r="J21" s="304">
        <f>Model!AZ784</f>
        <v>7451</v>
      </c>
      <c r="K21" s="304">
        <v>7541.7134016986311</v>
      </c>
      <c r="L21" s="868">
        <f>(K21-J21)*(1-K$25)/K$33</f>
        <v>2.2567969855318754E-2</v>
      </c>
      <c r="N21" s="304">
        <f>Model!BA784</f>
        <v>8807.1927513139708</v>
      </c>
      <c r="O21" s="304">
        <v>9123.3299733775493</v>
      </c>
      <c r="P21" s="868">
        <f>(O21-N21)*(1-O25)/O33</f>
        <v>9.3992039716766729E-2</v>
      </c>
      <c r="R21" s="304">
        <f>Model!BB784</f>
        <v>10323.401815444347</v>
      </c>
      <c r="S21" s="304">
        <v>10237.184534316155</v>
      </c>
      <c r="T21" s="868">
        <f>(S21-R21)*(1-S25)/S33</f>
        <v>-2.8315175514766852E-2</v>
      </c>
      <c r="V21" s="304">
        <f>Model!BC784</f>
        <v>11647.660186926505</v>
      </c>
      <c r="W21" s="304">
        <v>11511.12199788223</v>
      </c>
      <c r="X21" s="868">
        <f>(W21-V21)*(1-W25)/W33</f>
        <v>-4.9265604015556984E-2</v>
      </c>
      <c r="Z21" s="304">
        <f>Model!BC784</f>
        <v>11647.660186926505</v>
      </c>
      <c r="AA21" s="304">
        <v>11433.895703785725</v>
      </c>
      <c r="AB21" s="868">
        <f>(AA21-Z21)*(1-AA25)/AA33</f>
        <v>-6.8578573868456102E-2</v>
      </c>
      <c r="AC21" s="391"/>
      <c r="AD21" s="59" t="s">
        <v>895</v>
      </c>
      <c r="AE21" s="861"/>
      <c r="AG21" s="304">
        <f>Model!W784</f>
        <v>1792</v>
      </c>
      <c r="AH21" s="304">
        <v>1792</v>
      </c>
      <c r="AI21" s="868">
        <f>(AH21-AG21)*(1-AH25)/AH33</f>
        <v>0</v>
      </c>
      <c r="AK21" s="304">
        <f>Model!X784</f>
        <v>1662</v>
      </c>
      <c r="AL21" s="304">
        <v>1662</v>
      </c>
      <c r="AM21" s="868">
        <f>(AL21-AK21)*(1-AL25)/AL33</f>
        <v>0</v>
      </c>
      <c r="AO21" s="304">
        <f>Model!Y784</f>
        <v>1717</v>
      </c>
      <c r="AP21" s="304">
        <v>1717</v>
      </c>
      <c r="AQ21" s="868">
        <f>(AP21-AO21)*(1-AP25)/AP33</f>
        <v>0</v>
      </c>
      <c r="AS21" s="304">
        <f>Model!Z784</f>
        <v>1999</v>
      </c>
      <c r="AT21" s="304">
        <v>1999</v>
      </c>
      <c r="AU21" s="868">
        <f>(AT21-AS21)*(1-AT25)/AT33</f>
        <v>0</v>
      </c>
      <c r="AW21" s="304">
        <f>Model!AA784</f>
        <v>2073</v>
      </c>
      <c r="AX21" s="304">
        <v>2073</v>
      </c>
      <c r="AY21" s="868">
        <f>(AX21-AW21)*(1-AX25)/AX33</f>
        <v>0</v>
      </c>
      <c r="BA21" s="304">
        <f>Model!AB784</f>
        <v>1857</v>
      </c>
      <c r="BB21" s="304">
        <v>2134.7077903397262</v>
      </c>
      <c r="BC21" s="868">
        <f>(BB21-BA21)*(1-BB25)/BB33</f>
        <v>8.0787275005224077E-2</v>
      </c>
      <c r="BD21" s="1707"/>
      <c r="BE21" s="304">
        <f>Model!AC784</f>
        <v>2201.3508752602743</v>
      </c>
      <c r="BF21" s="304">
        <v>2215.0600733219862</v>
      </c>
      <c r="BG21" s="868">
        <f>(BF21-BE21)*(1-BF25)/BF33</f>
        <v>4.0220145858999752E-3</v>
      </c>
      <c r="BH21" s="1707"/>
      <c r="BI21" s="304">
        <f>Model!AD784</f>
        <v>2318.1821994053621</v>
      </c>
      <c r="BJ21" s="304">
        <v>2331.4751558305825</v>
      </c>
      <c r="BK21" s="868">
        <f>(BJ21-BI21)*(1-BJ25)/BJ33</f>
        <v>3.9711741733938965E-3</v>
      </c>
      <c r="BL21" s="1707"/>
      <c r="BM21" s="304">
        <f>Model!AE784</f>
        <v>2430.6596766483344</v>
      </c>
      <c r="BN21" s="304">
        <v>2442.0869538852535</v>
      </c>
      <c r="BO21" s="868">
        <f>(BN21-BM21)*(1-BN25)/BN33</f>
        <v>3.5049059937385346E-3</v>
      </c>
    </row>
    <row r="22" spans="2:67" x14ac:dyDescent="0.2">
      <c r="B22" s="861"/>
      <c r="C22" s="861" t="s">
        <v>224</v>
      </c>
      <c r="F22" s="33">
        <f>Model!AY785</f>
        <v>6561</v>
      </c>
      <c r="G22" s="33">
        <v>6561</v>
      </c>
      <c r="H22" s="867">
        <f>(G22-F22)*(1-G25)/G33</f>
        <v>0</v>
      </c>
      <c r="J22" s="33">
        <f>Model!AZ785</f>
        <v>7076</v>
      </c>
      <c r="K22" s="33">
        <v>7109.2344953424654</v>
      </c>
      <c r="L22" s="867">
        <f>(K22-J22)*(1-K25)/K33</f>
        <v>8.2681839177111225E-3</v>
      </c>
      <c r="N22" s="33">
        <f>Model!BA785</f>
        <v>8252.9100798000291</v>
      </c>
      <c r="O22" s="33">
        <v>8324.3702419289002</v>
      </c>
      <c r="P22" s="867">
        <f>(O22-N22)*(1-O25)/O33</f>
        <v>2.12461106387297E-2</v>
      </c>
      <c r="R22" s="33">
        <f>Model!BB785</f>
        <v>9511.1132872677827</v>
      </c>
      <c r="S22" s="33">
        <v>9421.7090295491707</v>
      </c>
      <c r="T22" s="867">
        <f>(S22-R22)*(1-S25)/S33</f>
        <v>-2.9361831131116015E-2</v>
      </c>
      <c r="V22" s="33">
        <f>Model!BC785</f>
        <v>10728.319938638546</v>
      </c>
      <c r="W22" s="33">
        <v>10601.34335480152</v>
      </c>
      <c r="X22" s="867">
        <f>(W22-V22)*(1-W25)/W33</f>
        <v>-4.5815593002589208E-2</v>
      </c>
      <c r="Z22" s="33">
        <f>Model!BC785</f>
        <v>10728.319938638546</v>
      </c>
      <c r="AA22" s="33">
        <v>10526.591794139707</v>
      </c>
      <c r="AB22" s="867">
        <f>(AA22-Z22)*(1-AA25)/AA33</f>
        <v>-6.4717151584762184E-2</v>
      </c>
      <c r="AC22" s="391"/>
      <c r="AD22" s="861"/>
      <c r="AE22" s="861" t="s">
        <v>224</v>
      </c>
      <c r="AG22" s="33">
        <f>Model!W785</f>
        <v>1696</v>
      </c>
      <c r="AH22" s="33">
        <v>1696</v>
      </c>
      <c r="AI22" s="867">
        <f>(AH22-AG22)*(1-AH25)/AH33</f>
        <v>0</v>
      </c>
      <c r="AK22" s="33">
        <f>Model!X785</f>
        <v>1709</v>
      </c>
      <c r="AL22" s="33">
        <v>1709</v>
      </c>
      <c r="AM22" s="867">
        <f>(AL22-AK22)*(1-AL25)/AL33</f>
        <v>0</v>
      </c>
      <c r="AO22" s="33">
        <f>Model!Y785</f>
        <v>1710</v>
      </c>
      <c r="AP22" s="33">
        <v>1710</v>
      </c>
      <c r="AQ22" s="867">
        <f>(AP22-AO22)*(1-AP25)/AP33</f>
        <v>0</v>
      </c>
      <c r="AS22" s="33">
        <f>Model!Z785</f>
        <v>1777</v>
      </c>
      <c r="AT22" s="33">
        <v>1777</v>
      </c>
      <c r="AU22" s="867">
        <f>(AT22-AS22)*(1-AT25)/AT33</f>
        <v>0</v>
      </c>
      <c r="AW22" s="33">
        <f>Model!AA785</f>
        <v>1880</v>
      </c>
      <c r="AX22" s="33">
        <v>1880</v>
      </c>
      <c r="AY22" s="867">
        <f>(AX22-AW22)*(1-AX25)/AX33</f>
        <v>0</v>
      </c>
      <c r="BA22" s="33">
        <f>Model!AB785</f>
        <v>1867</v>
      </c>
      <c r="BB22" s="33">
        <v>1947.3636269589042</v>
      </c>
      <c r="BC22" s="867">
        <f>(BB22-BA22)*(1-BB25)/BB33</f>
        <v>2.3378380648248952E-2</v>
      </c>
      <c r="BD22" s="1707"/>
      <c r="BE22" s="33">
        <f>Model!AC785</f>
        <v>2024.6163920547947</v>
      </c>
      <c r="BF22" s="33">
        <v>2020.1743583191781</v>
      </c>
      <c r="BG22" s="867">
        <f>(BF22-BE22)*(1-BF25)/BF33</f>
        <v>-1.3032071165130436E-3</v>
      </c>
      <c r="BH22" s="1707"/>
      <c r="BI22" s="33">
        <f>Model!AD785</f>
        <v>2132.6110641393698</v>
      </c>
      <c r="BJ22" s="33">
        <v>2127.2020456298942</v>
      </c>
      <c r="BK22" s="867">
        <f>(BJ22-BI22)*(1-BJ25)/BJ33</f>
        <v>-1.6159049891629224E-3</v>
      </c>
      <c r="BL22" s="1707"/>
      <c r="BM22" s="33">
        <f>Model!AE785</f>
        <v>2228.6826236058632</v>
      </c>
      <c r="BN22" s="33">
        <v>2229.6302110209244</v>
      </c>
      <c r="BO22" s="867">
        <f>(BN22-BM22)*(1-BN25)/BN33</f>
        <v>2.9063833333010751E-4</v>
      </c>
    </row>
    <row r="23" spans="2:67" x14ac:dyDescent="0.2">
      <c r="B23" s="861"/>
      <c r="C23" s="861" t="s">
        <v>896</v>
      </c>
      <c r="F23" s="33">
        <f>F21-F22</f>
        <v>421</v>
      </c>
      <c r="G23" s="33">
        <v>421</v>
      </c>
      <c r="H23" s="867">
        <f>(G23-F23)*(1-G25)/G33</f>
        <v>0</v>
      </c>
      <c r="J23" s="33">
        <f>J21-J22</f>
        <v>375</v>
      </c>
      <c r="K23" s="33">
        <v>432.47890635616568</v>
      </c>
      <c r="L23" s="867">
        <f>(K23-J23)*(1-K25)/K33</f>
        <v>1.4299785937607631E-2</v>
      </c>
      <c r="N23" s="33">
        <f>N21-N22</f>
        <v>554.28267151394175</v>
      </c>
      <c r="O23" s="33">
        <v>798.95973144864911</v>
      </c>
      <c r="P23" s="867">
        <f>(O23-N23)*(1-O25)/O33</f>
        <v>7.2745929078037036E-2</v>
      </c>
      <c r="R23" s="33">
        <f>R21-R22</f>
        <v>812.2885281765648</v>
      </c>
      <c r="S23" s="33">
        <v>815.47550476698416</v>
      </c>
      <c r="T23" s="867">
        <f>(S23-R23)*(1-S25)/S33</f>
        <v>1.0466556163491636E-3</v>
      </c>
      <c r="V23" s="33">
        <f>V21-V22</f>
        <v>919.34024828795918</v>
      </c>
      <c r="W23" s="33">
        <v>909.77864308071003</v>
      </c>
      <c r="X23" s="867">
        <f>(W23-V23)*(1-W25)/W33</f>
        <v>-3.4500110129677751E-3</v>
      </c>
      <c r="Z23" s="33">
        <f>Z21-Z22</f>
        <v>919.34024828795918</v>
      </c>
      <c r="AA23" s="33">
        <v>907.30390964601793</v>
      </c>
      <c r="AB23" s="867">
        <f>(AA23-Z23)*(1-AA25)/AA33</f>
        <v>-3.8614222836939253E-3</v>
      </c>
      <c r="AC23" s="391"/>
      <c r="AD23" s="861"/>
      <c r="AE23" s="861" t="s">
        <v>896</v>
      </c>
      <c r="AG23" s="33">
        <f>AG21-AG22</f>
        <v>96</v>
      </c>
      <c r="AH23" s="33">
        <v>96</v>
      </c>
      <c r="AI23" s="867">
        <f>(AH23-AG23)*(1-AH25)/AH33</f>
        <v>0</v>
      </c>
      <c r="AK23" s="33">
        <f>AK21-AK22</f>
        <v>-47</v>
      </c>
      <c r="AL23" s="33">
        <v>-47</v>
      </c>
      <c r="AM23" s="867">
        <f>(AL23-AK23)*(1-AL25)/AL33</f>
        <v>0</v>
      </c>
      <c r="AO23" s="33">
        <f>AO21-AO22</f>
        <v>7</v>
      </c>
      <c r="AP23" s="33">
        <v>7</v>
      </c>
      <c r="AQ23" s="867">
        <f>(AP23-AO23)*(1-AP25)/AP33</f>
        <v>0</v>
      </c>
      <c r="AS23" s="33">
        <f>AS21-AS22</f>
        <v>222</v>
      </c>
      <c r="AT23" s="33">
        <v>222</v>
      </c>
      <c r="AU23" s="867">
        <f>(AT23-AS23)*(1-AT25)/AT33</f>
        <v>0</v>
      </c>
      <c r="AW23" s="33">
        <f>AW21-AW22</f>
        <v>193</v>
      </c>
      <c r="AX23" s="33">
        <v>193</v>
      </c>
      <c r="AY23" s="867">
        <f>(AX23-AW23)*(1-AX25)/AX33</f>
        <v>0</v>
      </c>
      <c r="BA23" s="33">
        <f>BA21-BA22</f>
        <v>-10</v>
      </c>
      <c r="BB23" s="33">
        <v>187.34416338082201</v>
      </c>
      <c r="BC23" s="867">
        <f>(BB23-BA23)*(1-BB25)/BB33</f>
        <v>5.7408894356975111E-2</v>
      </c>
      <c r="BD23" s="1707"/>
      <c r="BE23" s="33">
        <f>BE21-BE22</f>
        <v>176.73448320547959</v>
      </c>
      <c r="BF23" s="33">
        <v>194.88571500280818</v>
      </c>
      <c r="BG23" s="867">
        <f>(BF23-BE23)*(1-BF25)/BF33</f>
        <v>5.325221702413019E-3</v>
      </c>
      <c r="BH23" s="1707"/>
      <c r="BI23" s="33">
        <f>BI21-BI22</f>
        <v>185.57113526599233</v>
      </c>
      <c r="BJ23" s="33">
        <v>204.27311020068828</v>
      </c>
      <c r="BK23" s="867">
        <f>(BJ23-BI23)*(1-BJ25)/BJ33</f>
        <v>5.5870791625568187E-3</v>
      </c>
      <c r="BL23" s="1707"/>
      <c r="BM23" s="33">
        <f>BM21-BM22</f>
        <v>201.9770530424712</v>
      </c>
      <c r="BN23" s="33">
        <v>212.45674286432904</v>
      </c>
      <c r="BO23" s="867">
        <f>(BN23-BM23)*(1-BN25)/BN33</f>
        <v>3.214267660408427E-3</v>
      </c>
    </row>
    <row r="24" spans="2:67" x14ac:dyDescent="0.2">
      <c r="B24" s="861"/>
      <c r="C24" s="861"/>
      <c r="F24" s="861"/>
      <c r="G24" s="861"/>
      <c r="H24" s="867"/>
      <c r="J24" s="861"/>
      <c r="K24" s="861"/>
      <c r="L24" s="867"/>
      <c r="N24" s="861"/>
      <c r="O24" s="861"/>
      <c r="P24" s="867"/>
      <c r="T24" s="867"/>
      <c r="X24" s="867"/>
      <c r="AB24" s="867"/>
      <c r="AC24" s="391"/>
      <c r="AD24" s="861"/>
      <c r="AE24" s="861"/>
      <c r="AG24" s="861"/>
      <c r="AH24" s="861"/>
      <c r="AI24" s="867"/>
      <c r="AK24" s="861"/>
      <c r="AL24" s="861"/>
      <c r="AM24" s="867"/>
      <c r="AO24" s="861"/>
      <c r="AP24" s="861"/>
      <c r="AQ24" s="867"/>
      <c r="AS24" s="861"/>
      <c r="AT24" s="861"/>
      <c r="AU24" s="867"/>
      <c r="AW24" s="861"/>
      <c r="AX24" s="861"/>
      <c r="AY24" s="867"/>
      <c r="BA24" s="1707"/>
      <c r="BB24" s="1707"/>
      <c r="BC24" s="867"/>
      <c r="BD24" s="1707"/>
      <c r="BE24" s="1707"/>
      <c r="BF24" s="1707"/>
      <c r="BG24" s="867"/>
      <c r="BH24" s="1707"/>
      <c r="BI24" s="1707"/>
      <c r="BJ24" s="1707"/>
      <c r="BK24" s="867"/>
      <c r="BL24" s="1707"/>
      <c r="BM24" s="1707"/>
      <c r="BN24" s="1707"/>
      <c r="BO24" s="867"/>
    </row>
    <row r="25" spans="2:67" x14ac:dyDescent="0.2">
      <c r="B25" s="59" t="s">
        <v>1176</v>
      </c>
      <c r="C25" s="861"/>
      <c r="F25" s="26">
        <f>Model!AY791</f>
        <v>0.31475066095359649</v>
      </c>
      <c r="G25" s="26">
        <v>0.31475066095359649</v>
      </c>
      <c r="H25" s="867">
        <f>+H27-H14-H16-H21</f>
        <v>0</v>
      </c>
      <c r="J25" s="26">
        <f>Model!AZ791</f>
        <v>0.31345401384529387</v>
      </c>
      <c r="K25" s="26">
        <v>0.32762961119862744</v>
      </c>
      <c r="L25" s="867">
        <f>+L27-L14-L16-L21</f>
        <v>0.12198530684300216</v>
      </c>
      <c r="N25" s="26">
        <f>Model!BA791</f>
        <v>0.25358956748856687</v>
      </c>
      <c r="O25" s="26">
        <v>0.25500000000000006</v>
      </c>
      <c r="P25" s="867">
        <f>+P27-P14-P16-P21</f>
        <v>1.3603499854344919E-2</v>
      </c>
      <c r="R25" s="26">
        <f>Model!BB791</f>
        <v>0.24999999999999981</v>
      </c>
      <c r="S25" s="26">
        <v>0.25</v>
      </c>
      <c r="T25" s="867">
        <f>+T27-T14-T16-T21</f>
        <v>2.3731017151362721E-15</v>
      </c>
      <c r="V25" s="26">
        <f>Model!BC791</f>
        <v>0.25</v>
      </c>
      <c r="W25" s="26">
        <v>0.25</v>
      </c>
      <c r="X25" s="867">
        <f>+X27-X14-X16-X21</f>
        <v>1.5473733405713119E-15</v>
      </c>
      <c r="Z25" s="26">
        <f>Model!BC791</f>
        <v>0.25</v>
      </c>
      <c r="AA25" s="26">
        <v>0.32</v>
      </c>
      <c r="AB25" s="867">
        <f>+AB27-AB14-AB16-AB21</f>
        <v>0.93631612248378016</v>
      </c>
      <c r="AC25" s="391"/>
      <c r="AD25" s="59" t="s">
        <v>1176</v>
      </c>
      <c r="AE25" s="861"/>
      <c r="AG25" s="26">
        <f>Model!W791</f>
        <v>0.31114521388835603</v>
      </c>
      <c r="AH25" s="26">
        <v>0.31114521388835603</v>
      </c>
      <c r="AI25" s="867">
        <f>+AI27-AI14-AI16-AI21</f>
        <v>0</v>
      </c>
      <c r="AK25" s="26">
        <f>Model!X791</f>
        <v>0.32536041939711663</v>
      </c>
      <c r="AL25" s="26">
        <v>0.32536041939711663</v>
      </c>
      <c r="AM25" s="867">
        <f>+AM27-AM14-AM16-AM21</f>
        <v>0</v>
      </c>
      <c r="AO25" s="26">
        <f>Model!Y791</f>
        <v>0.33051724137931032</v>
      </c>
      <c r="AP25" s="26">
        <v>0.33086206896551723</v>
      </c>
      <c r="AQ25" s="867">
        <f>+AQ27-AQ14-AQ16-AQ21</f>
        <v>7.3014018691588967E-4</v>
      </c>
      <c r="AS25" s="26">
        <f>Model!Z791</f>
        <v>0.32468168462291869</v>
      </c>
      <c r="AT25" s="26">
        <v>0.32484492327783221</v>
      </c>
      <c r="AU25" s="867">
        <f>+AU27-AU14-AU16-AU21</f>
        <v>3.7261989044975324E-4</v>
      </c>
      <c r="AW25" s="26">
        <f>Model!AA791</f>
        <v>0.26745743256169885</v>
      </c>
      <c r="AX25" s="26">
        <v>0.2678400612205854</v>
      </c>
      <c r="AY25" s="867">
        <f>+AY27-AY14-AY16-AY21</f>
        <v>7.6740081344486843E-4</v>
      </c>
      <c r="BA25" s="26">
        <f>Model!AB791</f>
        <v>0.24455638609034774</v>
      </c>
      <c r="BB25" s="26">
        <v>0.255</v>
      </c>
      <c r="BC25" s="867">
        <f>+BC27-BC14-BC16-BC21</f>
        <v>2.5096139726529174E-2</v>
      </c>
      <c r="BD25" s="1707"/>
      <c r="BE25" s="26">
        <f>Model!AC791</f>
        <v>0.26</v>
      </c>
      <c r="BF25" s="26">
        <v>0.255</v>
      </c>
      <c r="BG25" s="867">
        <f>+BG27-BG14-BG16-BG21</f>
        <v>-1.1885970944457331E-2</v>
      </c>
      <c r="BH25" s="1707"/>
      <c r="BI25" s="26">
        <f>Model!AD791</f>
        <v>0.255</v>
      </c>
      <c r="BJ25" s="26">
        <v>0.255</v>
      </c>
      <c r="BK25" s="867">
        <f>+BK27-BK14-BK16-BK21</f>
        <v>-4.5016074201598144E-16</v>
      </c>
      <c r="BL25" s="1707"/>
      <c r="BM25" s="26">
        <f>Model!AE791</f>
        <v>0.255</v>
      </c>
      <c r="BN25" s="26">
        <v>0.255</v>
      </c>
      <c r="BO25" s="867">
        <f>+BO27-BO14-BO16-BO21</f>
        <v>3.6472561082412369E-16</v>
      </c>
    </row>
    <row r="26" spans="2:67" x14ac:dyDescent="0.2">
      <c r="B26" s="861"/>
      <c r="C26" s="861"/>
      <c r="F26" s="861"/>
      <c r="G26" s="861"/>
      <c r="H26" s="867"/>
      <c r="J26" s="861"/>
      <c r="K26" s="861"/>
      <c r="L26" s="867"/>
      <c r="N26" s="861"/>
      <c r="O26" s="861"/>
      <c r="P26" s="867"/>
      <c r="T26" s="867"/>
      <c r="X26" s="867"/>
      <c r="AB26" s="867"/>
      <c r="AC26" s="391"/>
      <c r="AD26" s="861"/>
      <c r="AE26" s="861"/>
      <c r="AG26" s="861"/>
      <c r="AH26" s="861"/>
      <c r="AI26" s="867"/>
      <c r="AK26" s="861"/>
      <c r="AL26" s="861"/>
      <c r="AM26" s="867"/>
      <c r="AO26" s="861"/>
      <c r="AP26" s="861"/>
      <c r="AQ26" s="867"/>
      <c r="AS26" s="861"/>
      <c r="AT26" s="861"/>
      <c r="AU26" s="867"/>
      <c r="AW26" s="861"/>
      <c r="AX26" s="861"/>
      <c r="AY26" s="867"/>
      <c r="BA26" s="1707"/>
      <c r="BB26" s="1707"/>
      <c r="BC26" s="867"/>
      <c r="BD26" s="1707"/>
      <c r="BE26" s="1707"/>
      <c r="BF26" s="1707"/>
      <c r="BG26" s="867"/>
      <c r="BH26" s="1707"/>
      <c r="BI26" s="1707"/>
      <c r="BJ26" s="1707"/>
      <c r="BK26" s="867"/>
      <c r="BL26" s="1707"/>
      <c r="BM26" s="1707"/>
      <c r="BN26" s="1707"/>
      <c r="BO26" s="867"/>
    </row>
    <row r="27" spans="2:67" x14ac:dyDescent="0.2">
      <c r="B27" s="59" t="s">
        <v>897</v>
      </c>
      <c r="C27" s="861"/>
      <c r="F27" s="304">
        <f>Model!AY9</f>
        <v>15033</v>
      </c>
      <c r="G27" s="304">
        <v>15033</v>
      </c>
      <c r="H27" s="868">
        <f>(F27-G27)/G33</f>
        <v>0</v>
      </c>
      <c r="J27" s="304">
        <f>Model!AZ9</f>
        <v>15967</v>
      </c>
      <c r="K27" s="304">
        <v>15572.607465840421</v>
      </c>
      <c r="L27" s="868">
        <f>(J27-K27)/K33</f>
        <v>0.14592884540327333</v>
      </c>
      <c r="N27" s="304">
        <f>Model!BA9</f>
        <v>18039.183576478525</v>
      </c>
      <c r="O27" s="304">
        <v>17590.129201846492</v>
      </c>
      <c r="P27" s="868">
        <f>(N27-O27)/O33</f>
        <v>0.17920829187555781</v>
      </c>
      <c r="R27" s="304">
        <f>Model!BB9</f>
        <v>19757.604980822834</v>
      </c>
      <c r="S27" s="304">
        <v>19909.662843388538</v>
      </c>
      <c r="T27" s="868">
        <f>(R27-S27)/S33</f>
        <v>-6.6584409538446215E-2</v>
      </c>
      <c r="V27" s="304">
        <f>Model!BC9</f>
        <v>21263.842032634446</v>
      </c>
      <c r="W27" s="304">
        <v>21423.529822061821</v>
      </c>
      <c r="X27" s="868">
        <f>(V27-W27)/W33</f>
        <v>-7.6824566617501561E-2</v>
      </c>
      <c r="Z27" s="304">
        <f>Model!BC9</f>
        <v>21263.842032634446</v>
      </c>
      <c r="AA27" s="304">
        <v>18997.325520982948</v>
      </c>
      <c r="AB27" s="868">
        <f>(Z27-AA27)/AA33</f>
        <v>1.0693081451592263</v>
      </c>
      <c r="AC27" s="391"/>
      <c r="AD27" s="59" t="s">
        <v>897</v>
      </c>
      <c r="AE27" s="861"/>
      <c r="AG27" s="304">
        <f>Model!W9</f>
        <v>3591</v>
      </c>
      <c r="AH27" s="304">
        <v>3591</v>
      </c>
      <c r="AI27" s="868">
        <f>(AG27-AH27)/AH33</f>
        <v>0</v>
      </c>
      <c r="AK27" s="304">
        <f>Model!X9</f>
        <v>4118</v>
      </c>
      <c r="AL27" s="304">
        <v>4118</v>
      </c>
      <c r="AM27" s="868">
        <f>(AK27-AL27)/AL33</f>
        <v>0</v>
      </c>
      <c r="AO27" s="304">
        <f>Model!Y9</f>
        <v>3883</v>
      </c>
      <c r="AP27" s="304">
        <v>3881</v>
      </c>
      <c r="AQ27" s="868">
        <f>(AO27-AP27)/AP33</f>
        <v>7.3014018691588793E-4</v>
      </c>
      <c r="AS27" s="304">
        <f>Model!Z9</f>
        <v>4137</v>
      </c>
      <c r="AT27" s="304">
        <v>4136</v>
      </c>
      <c r="AU27" s="868">
        <f>(AS27-AT27)/AT33</f>
        <v>3.7261989044975221E-4</v>
      </c>
      <c r="AW27" s="304">
        <f>Model!AA9</f>
        <v>3829</v>
      </c>
      <c r="AX27" s="304">
        <v>3827</v>
      </c>
      <c r="AY27" s="868">
        <f>(AW27-AX27)/AX33</f>
        <v>7.6740081344486225E-4</v>
      </c>
      <c r="BA27" s="304">
        <f>Model!AB9</f>
        <v>4649</v>
      </c>
      <c r="BB27" s="304">
        <v>4455.3791783608904</v>
      </c>
      <c r="BC27" s="868">
        <f>(BA27-BB27)/BB33</f>
        <v>7.5605028688660744E-2</v>
      </c>
      <c r="BD27" s="1707"/>
      <c r="BE27" s="304">
        <f>Model!AC9</f>
        <v>4467.0525558026438</v>
      </c>
      <c r="BF27" s="304">
        <v>4480.8540955846356</v>
      </c>
      <c r="BG27" s="868">
        <f>(BE27-BF27)/BF33</f>
        <v>-5.4350414329497609E-3</v>
      </c>
      <c r="BH27" s="1707"/>
      <c r="BI27" s="304">
        <f>Model!AD9</f>
        <v>4550.8924405375792</v>
      </c>
      <c r="BJ27" s="304">
        <v>4442.1042099681272</v>
      </c>
      <c r="BK27" s="868">
        <f>(BI27-BJ27)/BJ33</f>
        <v>4.3623749874270708E-2</v>
      </c>
      <c r="BL27" s="1707"/>
      <c r="BM27" s="304">
        <f>Model!AE9</f>
        <v>4372.2385801382998</v>
      </c>
      <c r="BN27" s="304">
        <v>4211.7917179328369</v>
      </c>
      <c r="BO27" s="868">
        <f>(BM27-BN27)/BN33</f>
        <v>6.605543632750821E-2</v>
      </c>
    </row>
    <row r="28" spans="2:67" x14ac:dyDescent="0.2">
      <c r="B28" s="861"/>
      <c r="C28" s="861" t="s">
        <v>898</v>
      </c>
      <c r="F28" s="33">
        <f>Model!AY11</f>
        <v>1077</v>
      </c>
      <c r="G28" s="33">
        <v>1077</v>
      </c>
      <c r="H28" s="867">
        <f>-(F28-G28)/G33</f>
        <v>0</v>
      </c>
      <c r="J28" s="33">
        <f>Model!AZ11</f>
        <v>1213</v>
      </c>
      <c r="K28" s="33">
        <v>1213</v>
      </c>
      <c r="L28" s="867">
        <f>-(J28-K28)/K33</f>
        <v>0</v>
      </c>
      <c r="N28" s="33">
        <f>Model!BA11</f>
        <v>1202</v>
      </c>
      <c r="O28" s="33">
        <v>1178</v>
      </c>
      <c r="P28" s="867">
        <f>-(N28-O28)/O33</f>
        <v>-9.5779024723626014E-3</v>
      </c>
      <c r="R28" s="33">
        <f>Model!BB11</f>
        <v>1306</v>
      </c>
      <c r="S28" s="33">
        <v>1318</v>
      </c>
      <c r="T28" s="867">
        <f>-(R28-S28)/S33</f>
        <v>5.2546635930523127E-3</v>
      </c>
      <c r="V28" s="33">
        <f>Model!BC11</f>
        <v>1306</v>
      </c>
      <c r="W28" s="33">
        <v>1318</v>
      </c>
      <c r="X28" s="867">
        <f>-(V28-W28)/W33</f>
        <v>5.7731076541033327E-3</v>
      </c>
      <c r="Z28" s="33">
        <f>Model!BC11</f>
        <v>1306</v>
      </c>
      <c r="AA28" s="33">
        <v>1329</v>
      </c>
      <c r="AB28" s="867">
        <f>-(Z28-AA28)/AA33</f>
        <v>1.0851051475791683E-2</v>
      </c>
      <c r="AC28" s="391"/>
      <c r="AD28" s="861"/>
      <c r="AE28" s="861" t="s">
        <v>898</v>
      </c>
      <c r="AG28" s="33">
        <f>Model!W11</f>
        <v>320</v>
      </c>
      <c r="AH28" s="33">
        <v>320</v>
      </c>
      <c r="AI28" s="867">
        <f>-(AG28-AH28)/AH33</f>
        <v>0</v>
      </c>
      <c r="AK28" s="33">
        <f>Model!X11</f>
        <v>301</v>
      </c>
      <c r="AL28" s="33">
        <v>301</v>
      </c>
      <c r="AM28" s="867">
        <f>-(AK28-AL28)/AL33</f>
        <v>0</v>
      </c>
      <c r="AO28" s="33">
        <f>Model!Y11</f>
        <v>320</v>
      </c>
      <c r="AP28" s="33">
        <v>320</v>
      </c>
      <c r="AQ28" s="867">
        <f>-(AO28-AP28)/AP33</f>
        <v>0</v>
      </c>
      <c r="AS28" s="33">
        <f>Model!Z11</f>
        <v>272</v>
      </c>
      <c r="AT28" s="33">
        <v>272</v>
      </c>
      <c r="AU28" s="867">
        <f>-(AS28-AT28)/AT33</f>
        <v>0</v>
      </c>
      <c r="AW28" s="33">
        <f>Model!AA11</f>
        <v>320</v>
      </c>
      <c r="AX28" s="33">
        <v>320</v>
      </c>
      <c r="AY28" s="867">
        <f>-(AW28-AX28)/AX33</f>
        <v>0</v>
      </c>
      <c r="BA28" s="33">
        <f>Model!AB11</f>
        <v>301</v>
      </c>
      <c r="BB28" s="33">
        <v>272</v>
      </c>
      <c r="BC28" s="867">
        <f>-(BA28-BB28)/BB33</f>
        <v>-1.1323915544877985E-2</v>
      </c>
      <c r="BD28" s="1707"/>
      <c r="BE28" s="33">
        <f>Model!AC11</f>
        <v>318</v>
      </c>
      <c r="BF28" s="33">
        <v>318</v>
      </c>
      <c r="BG28" s="867">
        <f>-(BE28-BF28)/BF33</f>
        <v>0</v>
      </c>
      <c r="BH28" s="1707"/>
      <c r="BI28" s="33">
        <f>Model!AD11</f>
        <v>270</v>
      </c>
      <c r="BJ28" s="33">
        <v>270</v>
      </c>
      <c r="BK28" s="867">
        <f>-(BI28-BJ28)/BJ33</f>
        <v>0</v>
      </c>
      <c r="BL28" s="1707"/>
      <c r="BM28" s="33">
        <f>Model!AE11</f>
        <v>313</v>
      </c>
      <c r="BN28" s="33">
        <v>318</v>
      </c>
      <c r="BO28" s="867">
        <f>-(BM28-BN28)/BN33</f>
        <v>2.0584832703963961E-3</v>
      </c>
    </row>
    <row r="29" spans="2:67" x14ac:dyDescent="0.2">
      <c r="B29" s="861"/>
      <c r="C29" s="861" t="s">
        <v>899</v>
      </c>
      <c r="F29" s="33">
        <f>Model!AY12</f>
        <v>63</v>
      </c>
      <c r="G29" s="33">
        <v>63</v>
      </c>
      <c r="H29" s="867">
        <f>-(F29-G29)/G33</f>
        <v>0</v>
      </c>
      <c r="J29" s="33">
        <f>Model!AZ12</f>
        <v>60</v>
      </c>
      <c r="K29" s="33">
        <v>53.241257668006078</v>
      </c>
      <c r="L29" s="867">
        <f>-(J29-K29)/K33</f>
        <v>-2.5007964894361474E-3</v>
      </c>
      <c r="N29" s="33">
        <f>Model!BA12</f>
        <v>76.423906398376985</v>
      </c>
      <c r="O29" s="33">
        <v>65.713236633794907</v>
      </c>
      <c r="P29" s="867">
        <f>-(N29-O29)/O33</f>
        <v>-4.2744062674520853E-3</v>
      </c>
      <c r="R29" s="33">
        <f>Model!BB12</f>
        <v>81.893208355595291</v>
      </c>
      <c r="S29" s="33">
        <v>74.002251770071751</v>
      </c>
      <c r="T29" s="867">
        <f>-(R29-S29)/S33</f>
        <v>-3.4553601903589111E-3</v>
      </c>
      <c r="V29" s="33">
        <f>Model!BC12</f>
        <v>88.136403562537268</v>
      </c>
      <c r="W29" s="33">
        <v>79.629145916065795</v>
      </c>
      <c r="X29" s="867">
        <f>-(V29-W29)/W33</f>
        <v>-4.0927761861894642E-3</v>
      </c>
      <c r="Z29" s="33">
        <f>Model!BC12</f>
        <v>88.136403562537268</v>
      </c>
      <c r="AA29" s="33">
        <v>99.992607631214725</v>
      </c>
      <c r="AB29" s="867">
        <f>-(Z29-AA29)/AA33</f>
        <v>5.593577419856951E-3</v>
      </c>
      <c r="AC29" s="391"/>
      <c r="AD29" s="861"/>
      <c r="AE29" s="861" t="s">
        <v>899</v>
      </c>
      <c r="AG29" s="33">
        <f>Model!W12</f>
        <v>15</v>
      </c>
      <c r="AH29" s="33">
        <v>15</v>
      </c>
      <c r="AI29" s="867">
        <f>-(AG29-AH29)/AH33</f>
        <v>0</v>
      </c>
      <c r="AK29" s="33">
        <f>Model!X12</f>
        <v>10</v>
      </c>
      <c r="AL29" s="33">
        <v>10</v>
      </c>
      <c r="AM29" s="867">
        <f>-(AK29-AL29)/AL33</f>
        <v>0</v>
      </c>
      <c r="AO29" s="33">
        <f>Model!Y12</f>
        <v>32</v>
      </c>
      <c r="AP29" s="33">
        <v>32</v>
      </c>
      <c r="AQ29" s="867">
        <f>-(AO29-AP29)/AP33</f>
        <v>0</v>
      </c>
      <c r="AS29" s="33">
        <f>Model!Z12</f>
        <v>-1</v>
      </c>
      <c r="AT29" s="33">
        <v>-1</v>
      </c>
      <c r="AU29" s="867">
        <f>-(AS29-AT29)/AT33</f>
        <v>0</v>
      </c>
      <c r="AW29" s="33">
        <f>Model!AA12</f>
        <v>19</v>
      </c>
      <c r="AX29" s="33">
        <v>19</v>
      </c>
      <c r="AY29" s="867">
        <f>-(AW29-AX29)/AX33</f>
        <v>0</v>
      </c>
      <c r="BA29" s="33">
        <f>Model!AB12</f>
        <v>22</v>
      </c>
      <c r="BB29" s="33">
        <v>16.747447105729446</v>
      </c>
      <c r="BC29" s="867">
        <f>-(BA29-BB29)/BB33</f>
        <v>-2.0510160472318683E-3</v>
      </c>
      <c r="BD29" s="1707"/>
      <c r="BE29" s="33">
        <f>Model!AC12</f>
        <v>19.494955995744352</v>
      </c>
      <c r="BF29" s="33">
        <v>18.34950696346727</v>
      </c>
      <c r="BG29" s="867">
        <f>-(BE29-BF29)/BF33</f>
        <v>-4.510774194833861E-4</v>
      </c>
      <c r="BH29" s="1707"/>
      <c r="BI29" s="33">
        <f>Model!AD12</f>
        <v>15.850270019171404</v>
      </c>
      <c r="BJ29" s="33">
        <v>13.956976590819934</v>
      </c>
      <c r="BK29" s="867">
        <f>-(BI29-BJ29)/BJ33</f>
        <v>-7.592049114566366E-4</v>
      </c>
      <c r="BL29" s="1707"/>
      <c r="BM29" s="33">
        <f>Model!AE12</f>
        <v>19.078680383461229</v>
      </c>
      <c r="BN29" s="33">
        <v>16.65930597377826</v>
      </c>
      <c r="BO29" s="867">
        <f>-(BM29-BN29)/BN33</f>
        <v>-9.9604834943151001E-4</v>
      </c>
    </row>
    <row r="30" spans="2:67" x14ac:dyDescent="0.2">
      <c r="B30" s="25"/>
      <c r="C30" s="25" t="s">
        <v>1418</v>
      </c>
      <c r="F30" s="132">
        <f>Model!AY13</f>
        <v>195</v>
      </c>
      <c r="G30" s="132">
        <v>195</v>
      </c>
      <c r="H30" s="870">
        <f>-(F30-G30)/G33</f>
        <v>0</v>
      </c>
      <c r="J30" s="132">
        <f>Model!AZ13</f>
        <v>168</v>
      </c>
      <c r="K30" s="132">
        <v>197.15596515959336</v>
      </c>
      <c r="L30" s="870">
        <f>-(J30-K30)/K33</f>
        <v>1.078797381756723E-2</v>
      </c>
      <c r="N30" s="132">
        <f>Model!BA13</f>
        <v>117.32624309610488</v>
      </c>
      <c r="O30" s="132">
        <v>160.59137067341825</v>
      </c>
      <c r="P30" s="870">
        <f>-(N30-O30)/O33</f>
        <v>1.7266215516243046E-2</v>
      </c>
      <c r="R30" s="132">
        <f>Model!BB13</f>
        <v>131.69981399365037</v>
      </c>
      <c r="S30" s="132">
        <v>176.50632338168185</v>
      </c>
      <c r="T30" s="870">
        <f>-(R30-S30)/S33</f>
        <v>1.9620261134420478E-2</v>
      </c>
      <c r="V30" s="132">
        <f>Model!BC13</f>
        <v>141.74005620653381</v>
      </c>
      <c r="W30" s="132">
        <v>189.92729874406916</v>
      </c>
      <c r="X30" s="870">
        <f>-(V30-W30)/W33</f>
        <v>2.3182511560298255E-2</v>
      </c>
      <c r="Z30" s="132">
        <f>Model!BC13</f>
        <v>141.74005620653381</v>
      </c>
      <c r="AA30" s="132">
        <v>243.67871728558544</v>
      </c>
      <c r="AB30" s="870">
        <f>-(Z30-AA30)/AA33</f>
        <v>4.8093115597481362E-2</v>
      </c>
      <c r="AC30" s="391"/>
      <c r="AD30" s="25"/>
      <c r="AE30" s="25" t="s">
        <v>900</v>
      </c>
      <c r="AG30" s="132">
        <f>Model!W13</f>
        <v>49</v>
      </c>
      <c r="AH30" s="132">
        <v>49</v>
      </c>
      <c r="AI30" s="870">
        <f>-(AG30-AH30)/AH33</f>
        <v>0</v>
      </c>
      <c r="AK30" s="132">
        <f>Model!X13</f>
        <v>55</v>
      </c>
      <c r="AL30" s="132">
        <v>55</v>
      </c>
      <c r="AM30" s="870">
        <f>-(AK30-AL30)/AL33</f>
        <v>0</v>
      </c>
      <c r="AO30" s="132">
        <f>Model!Y13</f>
        <v>48</v>
      </c>
      <c r="AP30" s="132">
        <v>46</v>
      </c>
      <c r="AQ30" s="870">
        <f>-(AO30-AP30)/AP33</f>
        <v>-7.3014018691588793E-4</v>
      </c>
      <c r="AS30" s="132">
        <f>Model!Z13</f>
        <v>53</v>
      </c>
      <c r="AT30" s="132">
        <v>52</v>
      </c>
      <c r="AU30" s="870">
        <f>-(AS30-AT30)/AT33</f>
        <v>-3.7261989044975221E-4</v>
      </c>
      <c r="AW30" s="132">
        <f>Model!AA13</f>
        <v>12</v>
      </c>
      <c r="AX30" s="132">
        <v>10</v>
      </c>
      <c r="AY30" s="870">
        <f>-(AW30-AX30)/AX33</f>
        <v>-7.6740081344486225E-4</v>
      </c>
      <c r="BA30" s="132">
        <f>Model!AB13</f>
        <v>22</v>
      </c>
      <c r="BB30" s="132">
        <v>45.497231303898332</v>
      </c>
      <c r="BC30" s="870">
        <f>-(BA30-BB30)/BB33</f>
        <v>9.1751952697864802E-3</v>
      </c>
      <c r="BD30" s="1707"/>
      <c r="BE30" s="132">
        <f>Model!AC13</f>
        <v>36.553042492020666</v>
      </c>
      <c r="BF30" s="132">
        <v>42.197846311968668</v>
      </c>
      <c r="BG30" s="870">
        <f>-(BE30-BF30)/BF33</f>
        <v>2.2229217266265711E-3</v>
      </c>
      <c r="BH30" s="1707"/>
      <c r="BI30" s="132">
        <f>Model!AD13</f>
        <v>32.916220415874676</v>
      </c>
      <c r="BJ30" s="132">
        <v>39.348597874801541</v>
      </c>
      <c r="BK30" s="870">
        <f>-(BI30-BJ30)/BJ33</f>
        <v>2.5793638144153887E-3</v>
      </c>
      <c r="BL30" s="1707"/>
      <c r="BM30" s="132">
        <f>Model!AE13</f>
        <v>25.85698018820953</v>
      </c>
      <c r="BN30" s="132">
        <v>33.547695182749713</v>
      </c>
      <c r="BO30" s="870">
        <f>-(BM30-BN30)/BN33</f>
        <v>3.1662416307295356E-3</v>
      </c>
    </row>
    <row r="31" spans="2:67" x14ac:dyDescent="0.2">
      <c r="B31" s="59" t="s">
        <v>901</v>
      </c>
      <c r="C31" s="861"/>
      <c r="F31" s="304">
        <f>Model!AY14</f>
        <v>13698</v>
      </c>
      <c r="G31" s="304">
        <v>13698</v>
      </c>
      <c r="H31" s="868">
        <f>(F31-G31)/G33</f>
        <v>0</v>
      </c>
      <c r="J31" s="304">
        <f>Model!AZ14</f>
        <v>14526</v>
      </c>
      <c r="K31" s="304">
        <v>14109.210243012822</v>
      </c>
      <c r="L31" s="868">
        <f>(J31-K31)/K33</f>
        <v>0.15421602273140453</v>
      </c>
      <c r="N31" s="304">
        <f>Model!BA14</f>
        <v>16643.433426984044</v>
      </c>
      <c r="O31" s="304">
        <v>16185.824594539279</v>
      </c>
      <c r="P31" s="868">
        <f>(N31-O31)/O33</f>
        <v>0.18262219865198642</v>
      </c>
      <c r="R31" s="304">
        <f>Model!BB14</f>
        <v>18238.011958473588</v>
      </c>
      <c r="S31" s="304">
        <v>18341.154268236784</v>
      </c>
      <c r="T31" s="868">
        <f>(R31-S31)/S33</f>
        <v>-4.5164845001332492E-2</v>
      </c>
      <c r="V31" s="304">
        <f>Model!BC14</f>
        <v>19727.965572865374</v>
      </c>
      <c r="W31" s="304">
        <v>19835.973377401686</v>
      </c>
      <c r="X31" s="868">
        <f>(V31-W31)/W33</f>
        <v>-5.1961723589289764E-2</v>
      </c>
      <c r="Z31" s="304">
        <f>Model!BC14</f>
        <v>19727.965572865374</v>
      </c>
      <c r="AA31" s="304">
        <v>17324.654196066149</v>
      </c>
      <c r="AB31" s="868">
        <f>(Z31-AA31)/AA33</f>
        <v>1.1338458896523553</v>
      </c>
      <c r="AC31" s="391"/>
      <c r="AD31" s="59" t="s">
        <v>901</v>
      </c>
      <c r="AE31" s="861"/>
      <c r="AG31" s="304">
        <f>Model!W14</f>
        <v>3207</v>
      </c>
      <c r="AH31" s="304">
        <v>3207</v>
      </c>
      <c r="AI31" s="868">
        <f>(AG31-AH31)/AH33</f>
        <v>0</v>
      </c>
      <c r="AK31" s="304">
        <f>Model!X14</f>
        <v>3752</v>
      </c>
      <c r="AL31" s="304">
        <v>3752</v>
      </c>
      <c r="AM31" s="868">
        <f>(AK31-AL31)/AL33</f>
        <v>0</v>
      </c>
      <c r="AO31" s="304">
        <f>Model!Y14</f>
        <v>3483</v>
      </c>
      <c r="AP31" s="304">
        <v>3483</v>
      </c>
      <c r="AQ31" s="868">
        <f>(AO31-AP31)/AP33</f>
        <v>0</v>
      </c>
      <c r="AS31" s="304">
        <f>Model!Z14</f>
        <v>3813</v>
      </c>
      <c r="AT31" s="304">
        <v>3813</v>
      </c>
      <c r="AU31" s="868">
        <f>(AS31-AT31)/AT33</f>
        <v>0</v>
      </c>
      <c r="AW31" s="304">
        <f>Model!AA14</f>
        <v>3478</v>
      </c>
      <c r="AX31" s="304">
        <v>3478</v>
      </c>
      <c r="AY31" s="868">
        <f>(AW31-AX31)/AX33</f>
        <v>0</v>
      </c>
      <c r="BA31" s="304">
        <f>Model!AB14</f>
        <v>4304</v>
      </c>
      <c r="BB31" s="304">
        <v>4121.1344999512621</v>
      </c>
      <c r="BC31" s="868">
        <f>(BA31-BB31)/BB33</f>
        <v>7.1405292366337553E-2</v>
      </c>
      <c r="BD31" s="1707"/>
      <c r="BE31" s="304">
        <f>Model!AC14</f>
        <v>4093.0045573148786</v>
      </c>
      <c r="BF31" s="304">
        <v>4102.3067423091998</v>
      </c>
      <c r="BG31" s="868">
        <f>(BE31-BF31)/BF33</f>
        <v>-3.6631971258066806E-3</v>
      </c>
      <c r="BH31" s="1707"/>
      <c r="BI31" s="304">
        <f>Model!AD14</f>
        <v>4232.1259501025334</v>
      </c>
      <c r="BJ31" s="304">
        <v>4118.7986355025059</v>
      </c>
      <c r="BK31" s="868">
        <f>(BI31-BJ31)/BJ33</f>
        <v>4.5443908777229459E-2</v>
      </c>
      <c r="BL31" s="1707"/>
      <c r="BM31" s="304">
        <f>Model!AE14</f>
        <v>4014.302919566629</v>
      </c>
      <c r="BN31" s="304">
        <v>3843.5847167763091</v>
      </c>
      <c r="BO31" s="868">
        <f>(BM31-BN31)/BN33</f>
        <v>7.0284112879202609E-2</v>
      </c>
    </row>
    <row r="32" spans="2:67" x14ac:dyDescent="0.2">
      <c r="B32" s="861"/>
      <c r="C32" s="861"/>
      <c r="F32" s="861"/>
      <c r="G32" s="861"/>
      <c r="H32" s="867"/>
      <c r="J32" s="861"/>
      <c r="K32" s="861"/>
      <c r="L32" s="867"/>
      <c r="N32" s="861"/>
      <c r="O32" s="861"/>
      <c r="P32" s="867"/>
      <c r="T32" s="867"/>
      <c r="X32" s="867"/>
      <c r="AB32" s="867"/>
      <c r="AC32" s="391"/>
      <c r="AD32" s="861"/>
      <c r="AE32" s="861"/>
      <c r="AG32" s="861"/>
      <c r="AH32" s="861"/>
      <c r="AI32" s="867"/>
      <c r="AK32" s="861"/>
      <c r="AL32" s="861"/>
      <c r="AM32" s="867"/>
      <c r="AO32" s="861"/>
      <c r="AP32" s="861"/>
      <c r="AQ32" s="867"/>
      <c r="AS32" s="861"/>
      <c r="AT32" s="861"/>
      <c r="AU32" s="867"/>
      <c r="AW32" s="861"/>
      <c r="AX32" s="861"/>
      <c r="AY32" s="867"/>
      <c r="BA32" s="1707"/>
      <c r="BB32" s="1707"/>
      <c r="BC32" s="867"/>
      <c r="BD32" s="1707"/>
      <c r="BE32" s="1707"/>
      <c r="BF32" s="1707"/>
      <c r="BG32" s="867"/>
      <c r="BH32" s="1707"/>
      <c r="BI32" s="1707"/>
      <c r="BJ32" s="1707"/>
      <c r="BK32" s="867"/>
      <c r="BL32" s="1707"/>
      <c r="BM32" s="1707"/>
      <c r="BN32" s="1707"/>
      <c r="BO32" s="867"/>
    </row>
    <row r="33" spans="1:67" x14ac:dyDescent="0.2">
      <c r="B33" s="861" t="s">
        <v>713</v>
      </c>
      <c r="C33" s="861"/>
      <c r="F33" s="33">
        <f>Model!AY1326</f>
        <v>2888.25</v>
      </c>
      <c r="G33" s="33">
        <v>2888.25</v>
      </c>
      <c r="H33" s="867">
        <f>+H35-H31</f>
        <v>0</v>
      </c>
      <c r="J33" s="33">
        <f>Model!AZ1326</f>
        <v>2698.7749999999996</v>
      </c>
      <c r="K33" s="33">
        <v>2702.6358844248898</v>
      </c>
      <c r="L33" s="867">
        <f>+L35-L31</f>
        <v>5.7839772685956137E-3</v>
      </c>
      <c r="N33" s="33">
        <f>Model!BA1326</f>
        <v>2504.1623538881313</v>
      </c>
      <c r="O33" s="33">
        <v>2505.7678410542294</v>
      </c>
      <c r="P33" s="867">
        <f>+P35-P31</f>
        <v>7.3778013480139681E-3</v>
      </c>
      <c r="R33" s="33">
        <f>Model!BB1326</f>
        <v>2289.6142155271455</v>
      </c>
      <c r="S33" s="33">
        <v>2283.6856798723202</v>
      </c>
      <c r="T33" s="867">
        <f>+T35-T31</f>
        <v>-1.4835154998667117E-2</v>
      </c>
      <c r="V33" s="33">
        <f>Model!BC1326</f>
        <v>2120.756205373043</v>
      </c>
      <c r="W33" s="33">
        <v>2078.6031924193894</v>
      </c>
      <c r="X33" s="867">
        <f>+X35-X31</f>
        <v>-0.18803827641070867</v>
      </c>
      <c r="Z33" s="33">
        <f>Model!BC1326</f>
        <v>2120.756205373043</v>
      </c>
      <c r="AA33" s="33">
        <v>2119.6102563251311</v>
      </c>
      <c r="AB33" s="867">
        <f>+AB35-AB31</f>
        <v>-3.8458896523545505E-3</v>
      </c>
      <c r="AC33" s="391"/>
      <c r="AD33" s="861" t="s">
        <v>713</v>
      </c>
      <c r="AE33" s="861"/>
      <c r="AG33" s="33">
        <f>Model!W1326</f>
        <v>2814</v>
      </c>
      <c r="AH33" s="33">
        <v>2814</v>
      </c>
      <c r="AI33" s="867">
        <f>+AI35-AI31</f>
        <v>0</v>
      </c>
      <c r="AK33" s="33">
        <f>Model!X1326</f>
        <v>2766</v>
      </c>
      <c r="AL33" s="33">
        <v>2766</v>
      </c>
      <c r="AM33" s="867">
        <f>+AM35-AM31</f>
        <v>0</v>
      </c>
      <c r="AO33" s="33">
        <f>Model!Y1326</f>
        <v>2739.2</v>
      </c>
      <c r="AP33" s="33">
        <v>2739.2</v>
      </c>
      <c r="AQ33" s="867">
        <f>+AQ35-AQ31</f>
        <v>0</v>
      </c>
      <c r="AS33" s="33">
        <f>Model!Z1326</f>
        <v>2683.7</v>
      </c>
      <c r="AT33" s="33">
        <v>2683.7</v>
      </c>
      <c r="AU33" s="867">
        <f>+AU35-AU31</f>
        <v>0</v>
      </c>
      <c r="AW33" s="33">
        <f>Model!AA1326</f>
        <v>2606.1999999999998</v>
      </c>
      <c r="AX33" s="33">
        <v>2606.1999999999998</v>
      </c>
      <c r="AY33" s="867">
        <f>+AY35-AY31</f>
        <v>0</v>
      </c>
      <c r="BA33" s="33">
        <f>Model!AB1326</f>
        <v>2563</v>
      </c>
      <c r="BB33" s="33">
        <v>2560.951632416336</v>
      </c>
      <c r="BC33" s="867">
        <f>+BC35-BC31</f>
        <v>-1.4052923663377126E-3</v>
      </c>
      <c r="BD33" s="1707"/>
      <c r="BE33" s="33">
        <f>Model!AC1326</f>
        <v>2537.2962892725013</v>
      </c>
      <c r="BF33" s="33">
        <v>2539.3623861485939</v>
      </c>
      <c r="BG33" s="867">
        <f>+BG35-BG31</f>
        <v>-6.3368028741933279E-3</v>
      </c>
      <c r="BH33" s="1707"/>
      <c r="BI33" s="33">
        <f>Model!AD1326</f>
        <v>2490.5193956002418</v>
      </c>
      <c r="BJ33" s="33">
        <v>2493.7844839793411</v>
      </c>
      <c r="BK33" s="867">
        <f>+BK35-BK31</f>
        <v>4.5560912227705849E-3</v>
      </c>
      <c r="BL33" s="1707"/>
      <c r="BM33" s="33">
        <f>Model!AE1326</f>
        <v>2425.8337306797821</v>
      </c>
      <c r="BN33" s="33">
        <v>2428.9728616726452</v>
      </c>
      <c r="BO33" s="867">
        <f>+BO35-BO31</f>
        <v>-2.8411287920276918E-4</v>
      </c>
    </row>
    <row r="34" spans="1:67" ht="12" thickBot="1" x14ac:dyDescent="0.25">
      <c r="B34" s="861"/>
      <c r="C34" s="861"/>
      <c r="F34" s="861" t="s">
        <v>22</v>
      </c>
      <c r="G34" s="861" t="s">
        <v>22</v>
      </c>
      <c r="H34" s="861"/>
      <c r="J34" s="861" t="s">
        <v>22</v>
      </c>
      <c r="K34" s="861" t="s">
        <v>22</v>
      </c>
      <c r="L34" s="861"/>
      <c r="N34" s="861" t="s">
        <v>22</v>
      </c>
      <c r="O34" s="861" t="s">
        <v>22</v>
      </c>
      <c r="P34" s="861"/>
      <c r="R34" s="1623" t="s">
        <v>22</v>
      </c>
      <c r="S34" s="1623" t="s">
        <v>22</v>
      </c>
      <c r="V34" s="1783" t="s">
        <v>22</v>
      </c>
      <c r="W34" s="1783" t="s">
        <v>22</v>
      </c>
      <c r="Z34" s="1623" t="s">
        <v>22</v>
      </c>
      <c r="AA34" s="1623" t="s">
        <v>22</v>
      </c>
      <c r="AC34" s="391"/>
      <c r="AD34" s="861"/>
      <c r="AE34" s="861"/>
      <c r="AG34" s="861" t="s">
        <v>22</v>
      </c>
      <c r="AH34" s="861" t="s">
        <v>22</v>
      </c>
      <c r="AI34" s="861"/>
      <c r="AK34" s="861" t="s">
        <v>22</v>
      </c>
      <c r="AL34" s="861" t="s">
        <v>22</v>
      </c>
      <c r="AM34" s="861"/>
      <c r="AO34" s="861" t="s">
        <v>22</v>
      </c>
      <c r="AP34" s="861" t="s">
        <v>22</v>
      </c>
      <c r="AQ34" s="861"/>
      <c r="AS34" s="861" t="s">
        <v>22</v>
      </c>
      <c r="AT34" s="861" t="s">
        <v>22</v>
      </c>
      <c r="AU34" s="861"/>
      <c r="AW34" s="861" t="s">
        <v>22</v>
      </c>
      <c r="AX34" s="861" t="s">
        <v>22</v>
      </c>
      <c r="AY34" s="861"/>
      <c r="BA34" s="1707" t="s">
        <v>22</v>
      </c>
      <c r="BB34" s="1707" t="s">
        <v>22</v>
      </c>
      <c r="BC34" s="1707"/>
      <c r="BD34" s="1707"/>
      <c r="BE34" s="1707" t="s">
        <v>22</v>
      </c>
      <c r="BF34" s="1707" t="s">
        <v>22</v>
      </c>
      <c r="BG34" s="1707"/>
      <c r="BH34" s="1707"/>
      <c r="BI34" s="1707" t="s">
        <v>22</v>
      </c>
      <c r="BJ34" s="1707" t="s">
        <v>22</v>
      </c>
      <c r="BK34" s="1707"/>
      <c r="BL34" s="1707"/>
      <c r="BM34" s="1707" t="s">
        <v>22</v>
      </c>
      <c r="BN34" s="1707" t="s">
        <v>22</v>
      </c>
      <c r="BO34" s="1707"/>
    </row>
    <row r="35" spans="1:67" ht="12" thickBot="1" x14ac:dyDescent="0.25">
      <c r="B35" s="59" t="s">
        <v>712</v>
      </c>
      <c r="C35" s="861"/>
      <c r="F35" s="871">
        <f>Model!AY30</f>
        <v>4.74</v>
      </c>
      <c r="G35" s="872">
        <v>4.74</v>
      </c>
      <c r="H35" s="873">
        <f>(ROUND(F35,2))-(ROUND(G35,2))</f>
        <v>0</v>
      </c>
      <c r="J35" s="871">
        <f>Model!AZ30</f>
        <v>5.38</v>
      </c>
      <c r="K35" s="872">
        <v>5.22</v>
      </c>
      <c r="L35" s="873">
        <f>(ROUND(J35,2))-(ROUND(K35,2))</f>
        <v>0.16000000000000014</v>
      </c>
      <c r="N35" s="871">
        <f>Model!BA30</f>
        <v>6.65</v>
      </c>
      <c r="O35" s="872">
        <v>6.46</v>
      </c>
      <c r="P35" s="873">
        <f>(ROUND(N35,2))-(ROUND(O35,2))</f>
        <v>0.19000000000000039</v>
      </c>
      <c r="R35" s="871">
        <f>Model!BB30</f>
        <v>7.97</v>
      </c>
      <c r="S35" s="872">
        <v>8.0299999999999994</v>
      </c>
      <c r="T35" s="873">
        <f>(ROUND(R35,2))-(ROUND(S35,2))</f>
        <v>-5.9999999999999609E-2</v>
      </c>
      <c r="V35" s="871">
        <f>Model!BC30</f>
        <v>9.3000000000000007</v>
      </c>
      <c r="W35" s="872">
        <v>9.5399999999999991</v>
      </c>
      <c r="X35" s="873">
        <f>(ROUND(V35,2))-(ROUND(W35,2))</f>
        <v>-0.23999999999999844</v>
      </c>
      <c r="Z35" s="871">
        <f>Model!BC30</f>
        <v>9.3000000000000007</v>
      </c>
      <c r="AA35" s="872">
        <v>8.17</v>
      </c>
      <c r="AB35" s="873">
        <f>(ROUND(Z35,2))-(ROUND(AA35,2))</f>
        <v>1.1300000000000008</v>
      </c>
      <c r="AC35" s="238"/>
      <c r="AD35" s="59" t="s">
        <v>712</v>
      </c>
      <c r="AE35" s="861"/>
      <c r="AG35" s="871">
        <f>Model!W30</f>
        <v>1.1399999999999999</v>
      </c>
      <c r="AH35" s="872">
        <v>1.1399999999999999</v>
      </c>
      <c r="AI35" s="873">
        <f>(ROUND(AG35,2))-(ROUND(AH35,2))</f>
        <v>0</v>
      </c>
      <c r="AK35" s="871">
        <f>Model!X30</f>
        <v>1.36</v>
      </c>
      <c r="AL35" s="872">
        <v>1.36</v>
      </c>
      <c r="AM35" s="873">
        <f>(ROUND(AK35,2))-(ROUND(AL35,2))</f>
        <v>0</v>
      </c>
      <c r="AO35" s="871">
        <f>Model!Y30</f>
        <v>1.27</v>
      </c>
      <c r="AP35" s="872">
        <v>1.27</v>
      </c>
      <c r="AQ35" s="873">
        <f>(ROUND(AO35,2))-(ROUND(AP35,2))</f>
        <v>0</v>
      </c>
      <c r="AS35" s="871">
        <f>Model!Z30</f>
        <v>1.42</v>
      </c>
      <c r="AT35" s="872">
        <v>1.42</v>
      </c>
      <c r="AU35" s="873">
        <f>(ROUND(AS35,2))-(ROUND(AT35,2))</f>
        <v>0</v>
      </c>
      <c r="AW35" s="871">
        <f>Model!AA30</f>
        <v>1.33</v>
      </c>
      <c r="AX35" s="872">
        <v>1.33</v>
      </c>
      <c r="AY35" s="873">
        <f>(ROUND(AW35,2))-(ROUND(AX35,2))</f>
        <v>0</v>
      </c>
      <c r="BA35" s="871">
        <f>Model!AB30</f>
        <v>1.68</v>
      </c>
      <c r="BB35" s="872">
        <v>1.61</v>
      </c>
      <c r="BC35" s="873">
        <f>(ROUND(BA35,2))-(ROUND(BB35,2))</f>
        <v>6.999999999999984E-2</v>
      </c>
      <c r="BD35" s="1707"/>
      <c r="BE35" s="871">
        <f>Model!AC30</f>
        <v>1.61</v>
      </c>
      <c r="BF35" s="872">
        <v>1.62</v>
      </c>
      <c r="BG35" s="873">
        <f>(ROUND(BE35,2))-(ROUND(BF35,2))</f>
        <v>-1.0000000000000009E-2</v>
      </c>
      <c r="BH35" s="1707"/>
      <c r="BI35" s="871">
        <f>Model!AD30</f>
        <v>1.7</v>
      </c>
      <c r="BJ35" s="872">
        <v>1.65</v>
      </c>
      <c r="BK35" s="873">
        <f>(ROUND(BI35,2))-(ROUND(BJ35,2))</f>
        <v>5.0000000000000044E-2</v>
      </c>
      <c r="BL35" s="1707"/>
      <c r="BM35" s="871">
        <f>Model!AE30</f>
        <v>1.65</v>
      </c>
      <c r="BN35" s="872">
        <v>1.58</v>
      </c>
      <c r="BO35" s="873">
        <f>(ROUND(BM35,2))-(ROUND(BN35,2))</f>
        <v>6.999999999999984E-2</v>
      </c>
    </row>
    <row r="36" spans="1:67" s="27" customFormat="1" x14ac:dyDescent="0.2">
      <c r="C36" s="209" t="s">
        <v>936</v>
      </c>
      <c r="D36" s="209"/>
      <c r="G36" s="129"/>
      <c r="H36" s="49">
        <f>F35/G35-1</f>
        <v>0</v>
      </c>
      <c r="K36" s="129"/>
      <c r="L36" s="49">
        <f>J35/K35-1</f>
        <v>3.0651340996168619E-2</v>
      </c>
      <c r="O36" s="129"/>
      <c r="P36" s="883">
        <f>N35/O35-1</f>
        <v>2.941176470588247E-2</v>
      </c>
      <c r="S36" s="129"/>
      <c r="T36" s="49">
        <f>R35/S35-1</f>
        <v>-7.4719800747197196E-3</v>
      </c>
      <c r="W36" s="129"/>
      <c r="X36" s="49">
        <f>V35/W35-1</f>
        <v>-2.5157232704402399E-2</v>
      </c>
      <c r="AA36" s="129"/>
      <c r="AB36" s="49">
        <f>Z35/AA35-1</f>
        <v>0.13831089351285208</v>
      </c>
      <c r="AC36" s="129"/>
      <c r="AE36" s="209" t="s">
        <v>936</v>
      </c>
      <c r="AH36" s="129"/>
      <c r="AI36" s="49">
        <f>AG35/AH35-1</f>
        <v>0</v>
      </c>
      <c r="AL36" s="129"/>
      <c r="AM36" s="49">
        <f>AK35/AL35-1</f>
        <v>0</v>
      </c>
      <c r="AP36" s="129"/>
      <c r="AQ36" s="49">
        <f>AO35/AP35-1</f>
        <v>0</v>
      </c>
      <c r="AT36" s="129"/>
      <c r="AU36" s="49">
        <f>AS35/AT35-1</f>
        <v>0</v>
      </c>
      <c r="AX36" s="129"/>
      <c r="AY36" s="49">
        <f>AW35/AX35-1</f>
        <v>0</v>
      </c>
      <c r="BB36" s="129"/>
      <c r="BC36" s="49">
        <f>BA35/BB35-1</f>
        <v>4.3478260869565188E-2</v>
      </c>
      <c r="BF36" s="129"/>
      <c r="BG36" s="49">
        <f>BE35/BF35-1</f>
        <v>-6.1728395061728669E-3</v>
      </c>
      <c r="BJ36" s="129"/>
      <c r="BK36" s="49">
        <f>BI35/BJ35-1</f>
        <v>3.0303030303030276E-2</v>
      </c>
      <c r="BN36" s="129"/>
      <c r="BO36" s="49">
        <f>BM35/BN35-1</f>
        <v>4.4303797468354222E-2</v>
      </c>
    </row>
    <row r="37" spans="1:67" s="27" customFormat="1" x14ac:dyDescent="0.2">
      <c r="C37" s="209"/>
      <c r="D37" s="209"/>
      <c r="G37" s="129"/>
      <c r="H37" s="861"/>
      <c r="K37" s="129"/>
      <c r="L37" s="861"/>
      <c r="O37" s="129"/>
      <c r="P37" s="861"/>
      <c r="S37" s="129"/>
      <c r="T37" s="1623"/>
      <c r="W37" s="129"/>
      <c r="X37" s="1783"/>
      <c r="AA37" s="129"/>
      <c r="AB37" s="1623"/>
      <c r="AC37" s="129"/>
      <c r="AE37" s="209"/>
      <c r="AH37" s="129"/>
      <c r="AI37" s="861"/>
      <c r="AL37" s="129"/>
      <c r="AM37" s="861"/>
      <c r="AP37" s="129"/>
      <c r="AQ37" s="861"/>
      <c r="AT37" s="129"/>
      <c r="AU37" s="861"/>
      <c r="AX37" s="129"/>
      <c r="AY37" s="861"/>
    </row>
    <row r="38" spans="1:67" x14ac:dyDescent="0.2">
      <c r="C38" s="9" t="s">
        <v>1166</v>
      </c>
      <c r="J38" s="846">
        <f>SUM(Model!Y41:AA41)-SUM(Model!U41:W41)</f>
        <v>260</v>
      </c>
      <c r="K38" s="846">
        <v>376.27411401095742</v>
      </c>
      <c r="AS38" s="1220"/>
    </row>
    <row r="39" spans="1:67" x14ac:dyDescent="0.2">
      <c r="C39" s="1097" t="s">
        <v>1167</v>
      </c>
      <c r="J39" s="846">
        <f>SUM(Model!Y1070:AA1070)-SUM(Model!U1070:W1070)</f>
        <v>1950</v>
      </c>
      <c r="K39" s="846">
        <v>1554.9293547232883</v>
      </c>
      <c r="R39" s="867"/>
      <c r="S39" s="1191"/>
      <c r="V39" s="867"/>
      <c r="W39" s="1191"/>
      <c r="AS39" s="1085"/>
    </row>
    <row r="40" spans="1:67" x14ac:dyDescent="0.2">
      <c r="C40" s="1097" t="s">
        <v>1168</v>
      </c>
      <c r="J40" s="50">
        <f>J10-F10</f>
        <v>-8</v>
      </c>
      <c r="K40" s="846">
        <v>10.274114010957419</v>
      </c>
      <c r="N40" s="50"/>
      <c r="O40" s="50"/>
      <c r="R40" s="50"/>
      <c r="S40" s="249"/>
      <c r="V40" s="50"/>
      <c r="W40" s="249"/>
      <c r="Z40" s="50"/>
      <c r="AA40" s="50"/>
    </row>
    <row r="41" spans="1:67" x14ac:dyDescent="0.2">
      <c r="R41" s="867"/>
      <c r="T41" s="1085"/>
      <c r="V41" s="867"/>
      <c r="X41" s="1085"/>
    </row>
    <row r="42" spans="1:67" collapsed="1" x14ac:dyDescent="0.2">
      <c r="A42" s="1706"/>
      <c r="B42" s="1706"/>
      <c r="C42" s="1706"/>
      <c r="D42" s="1706"/>
      <c r="E42" s="1706"/>
      <c r="F42" s="1706"/>
      <c r="G42" s="1706"/>
      <c r="H42" s="1706"/>
      <c r="I42" s="1706"/>
      <c r="J42" s="1706"/>
      <c r="K42" s="1706"/>
      <c r="L42" s="1706"/>
      <c r="M42" s="1706"/>
      <c r="N42" s="1706"/>
      <c r="O42" s="1706"/>
      <c r="P42" s="1706"/>
      <c r="R42" s="867"/>
      <c r="S42" s="1689"/>
      <c r="T42" s="1085"/>
      <c r="V42" s="867"/>
      <c r="X42" s="1085"/>
    </row>
    <row r="43" spans="1:67" x14ac:dyDescent="0.2">
      <c r="A43" s="1706"/>
      <c r="B43" s="1706"/>
      <c r="C43" s="1706"/>
      <c r="D43" s="1706"/>
      <c r="E43" s="1706"/>
      <c r="F43" s="1706"/>
      <c r="G43" s="1706"/>
      <c r="H43" s="1706"/>
      <c r="I43" s="1706"/>
      <c r="J43" s="1706"/>
      <c r="K43" s="1706"/>
      <c r="L43" s="1706"/>
      <c r="M43" s="1706"/>
      <c r="N43" s="1781"/>
      <c r="O43" s="1085"/>
      <c r="P43" s="1706"/>
      <c r="R43" s="1085"/>
      <c r="V43" s="1085"/>
    </row>
    <row r="44" spans="1:67" x14ac:dyDescent="0.2">
      <c r="A44" s="1706"/>
      <c r="B44" s="1706"/>
      <c r="C44" s="1706"/>
      <c r="D44" s="1706"/>
      <c r="E44" s="1706"/>
      <c r="F44" s="1706"/>
      <c r="G44" s="1706"/>
      <c r="H44" s="1706"/>
      <c r="I44" s="1706"/>
      <c r="J44" s="1706"/>
      <c r="K44" s="1706"/>
      <c r="L44" s="1706"/>
      <c r="M44" s="1706"/>
      <c r="N44" s="50"/>
      <c r="O44" s="1706"/>
      <c r="P44" s="1706"/>
      <c r="S44" s="846"/>
      <c r="W44" s="846"/>
    </row>
    <row r="45" spans="1:67" x14ac:dyDescent="0.2">
      <c r="A45" s="1706"/>
      <c r="B45" s="1706"/>
      <c r="C45" s="1706"/>
      <c r="D45" s="1706"/>
      <c r="E45" s="1706"/>
      <c r="F45" s="1706"/>
      <c r="G45" s="1706"/>
      <c r="H45" s="1706"/>
      <c r="I45" s="1706"/>
      <c r="J45" s="1706"/>
      <c r="K45" s="1706"/>
      <c r="L45" s="1706"/>
      <c r="M45" s="1706"/>
      <c r="S45" s="846"/>
      <c r="W45" s="846"/>
    </row>
    <row r="46" spans="1:67" x14ac:dyDescent="0.2">
      <c r="A46" s="1706"/>
      <c r="B46" s="1706"/>
      <c r="C46" s="1706"/>
      <c r="D46" s="1706"/>
      <c r="E46" s="1706"/>
      <c r="F46" s="1706"/>
      <c r="G46" s="1706"/>
      <c r="H46" s="1706"/>
      <c r="I46" s="1706"/>
      <c r="J46" s="1706"/>
      <c r="K46" s="1706"/>
      <c r="L46" s="1706"/>
      <c r="M46" s="1706"/>
      <c r="N46" s="1706"/>
      <c r="O46" s="1706"/>
      <c r="P46" s="1085"/>
      <c r="S46" s="846"/>
      <c r="W46" s="846"/>
    </row>
    <row r="47" spans="1:67" x14ac:dyDescent="0.2">
      <c r="A47" s="1706"/>
      <c r="B47" s="1706"/>
      <c r="C47" s="1706"/>
      <c r="D47" s="1706"/>
      <c r="E47" s="1706"/>
      <c r="F47" s="1706"/>
      <c r="G47" s="1706"/>
      <c r="H47" s="1706"/>
      <c r="I47" s="1706"/>
      <c r="J47" s="1706"/>
      <c r="K47" s="1706"/>
      <c r="L47" s="1706"/>
      <c r="M47" s="1706"/>
      <c r="N47" s="1706"/>
      <c r="O47" s="1706"/>
      <c r="P47" s="1085"/>
      <c r="S47" s="249"/>
      <c r="W47" s="249"/>
    </row>
    <row r="48" spans="1:67" x14ac:dyDescent="0.2">
      <c r="A48" s="1706"/>
      <c r="B48" s="1706"/>
      <c r="C48" s="1706"/>
      <c r="D48" s="1706"/>
      <c r="E48" s="1706"/>
      <c r="F48" s="1706"/>
      <c r="G48" s="1706"/>
      <c r="H48" s="1706"/>
      <c r="I48" s="1706"/>
      <c r="J48" s="1706"/>
      <c r="K48" s="1706"/>
      <c r="L48" s="1706"/>
      <c r="M48" s="1706"/>
      <c r="N48" s="1706"/>
      <c r="O48" s="1706"/>
      <c r="P48" s="1085"/>
      <c r="R48" s="1085"/>
      <c r="V48" s="1085"/>
    </row>
    <row r="49" spans="1:24" x14ac:dyDescent="0.2">
      <c r="A49" s="1706"/>
      <c r="B49" s="1706"/>
      <c r="C49" s="1706"/>
      <c r="D49" s="1706"/>
      <c r="E49" s="1706"/>
      <c r="F49" s="1706"/>
      <c r="G49" s="1706"/>
      <c r="H49" s="1706"/>
      <c r="I49" s="1706"/>
      <c r="J49" s="1706"/>
      <c r="K49" s="1706"/>
      <c r="L49" s="1706"/>
      <c r="M49" s="1706"/>
      <c r="N49" s="1623"/>
      <c r="O49" s="1706"/>
      <c r="P49" s="1085"/>
    </row>
    <row r="50" spans="1:24" x14ac:dyDescent="0.2">
      <c r="A50" s="1706"/>
      <c r="B50" s="1706"/>
      <c r="C50" s="1706"/>
      <c r="D50" s="1706"/>
      <c r="E50" s="1706"/>
      <c r="F50" s="1706"/>
      <c r="G50" s="1706"/>
      <c r="H50" s="1706"/>
      <c r="I50" s="1706"/>
      <c r="J50" s="1706"/>
      <c r="K50" s="1706"/>
      <c r="L50" s="1706"/>
      <c r="M50" s="1706"/>
      <c r="N50" s="1623"/>
      <c r="O50" s="1706"/>
      <c r="P50" s="1085"/>
    </row>
    <row r="51" spans="1:24" x14ac:dyDescent="0.2">
      <c r="A51" s="1706"/>
      <c r="B51" s="1706"/>
      <c r="C51" s="1706"/>
      <c r="D51" s="1706"/>
      <c r="E51" s="1706"/>
      <c r="F51" s="1706"/>
      <c r="G51" s="1706"/>
      <c r="H51" s="1706"/>
      <c r="I51" s="1706"/>
      <c r="J51" s="1706"/>
      <c r="K51" s="1706"/>
      <c r="L51" s="1706"/>
      <c r="M51" s="1706"/>
      <c r="N51" s="1706"/>
      <c r="O51" s="1706"/>
      <c r="P51" s="1706"/>
      <c r="T51" s="1085"/>
      <c r="X51" s="1085"/>
    </row>
    <row r="201" collapsed="1" x14ac:dyDescent="0.2"/>
    <row r="288" collapsed="1" x14ac:dyDescent="0.2"/>
  </sheetData>
  <pageMargins left="0" right="0" top="0" bottom="0" header="0" footer="0"/>
  <pageSetup paperSize="5" scale="59" orientation="landscape" r:id="rId1"/>
  <headerFooter alignWithMargins="0">
    <oddHeader>&amp;C&amp;F</oddHeader>
  </headerFooter>
  <rowBreaks count="3" manualBreakCount="3">
    <brk id="44" min="2" max="35" man="1"/>
    <brk id="99" min="2" max="35" man="1"/>
    <brk id="143" min="2" max="35" man="1"/>
  </rowBreaks>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pageSetUpPr fitToPage="1"/>
  </sheetPr>
  <dimension ref="B1:BO154"/>
  <sheetViews>
    <sheetView workbookViewId="0">
      <pane xSplit="4" ySplit="5" topLeftCell="I6" activePane="bottomRight" state="frozen"/>
      <selection pane="topRight" activeCell="E1" sqref="E1"/>
      <selection pane="bottomLeft" activeCell="A6" sqref="A6"/>
      <selection pane="bottomRight" activeCell="I6" sqref="I6"/>
    </sheetView>
  </sheetViews>
  <sheetFormatPr defaultRowHeight="11.25" outlineLevelCol="1" x14ac:dyDescent="0.2"/>
  <cols>
    <col min="1" max="2" width="2.83203125" style="861" customWidth="1"/>
    <col min="3" max="3" width="30.83203125" style="861" customWidth="1"/>
    <col min="4" max="5" width="2.83203125" style="861" hidden="1" customWidth="1" outlineLevel="1" collapsed="1"/>
    <col min="6" max="8" width="12.83203125" style="861" hidden="1" customWidth="1" outlineLevel="1"/>
    <col min="9" max="9" width="2.83203125" style="861" customWidth="1" collapsed="1"/>
    <col min="10" max="10" width="12.83203125" style="861" hidden="1" customWidth="1" outlineLevel="1"/>
    <col min="11" max="11" width="12.83203125" style="1217" hidden="1" customWidth="1" outlineLevel="1"/>
    <col min="12" max="12" width="12.83203125" style="861" hidden="1" customWidth="1" outlineLevel="1"/>
    <col min="13" max="13" width="2.83203125" style="861" customWidth="1" collapsed="1"/>
    <col min="14" max="14" width="12.83203125" style="861" customWidth="1"/>
    <col min="15" max="15" width="12.83203125" style="1217" customWidth="1"/>
    <col min="16" max="16" width="12.83203125" style="861" customWidth="1"/>
    <col min="17" max="17" width="2.83203125" style="1623" customWidth="1"/>
    <col min="18" max="20" width="12.83203125" style="1623" customWidth="1"/>
    <col min="21" max="21" width="2.83203125" style="1783" customWidth="1"/>
    <col min="22" max="24" width="12.83203125" style="1783" customWidth="1"/>
    <col min="25" max="25" width="2.83203125" style="1623" customWidth="1"/>
    <col min="26" max="28" width="12.83203125" style="1623" hidden="1" customWidth="1" outlineLevel="1"/>
    <col min="29" max="29" width="10.83203125" style="861" customWidth="1" collapsed="1"/>
    <col min="30" max="30" width="2.83203125" style="895" customWidth="1"/>
    <col min="31" max="31" width="30.83203125" style="895" customWidth="1"/>
    <col min="32" max="32" width="2.83203125" style="49" customWidth="1"/>
    <col min="33" max="35" width="12.83203125" style="895" hidden="1" customWidth="1" outlineLevel="1"/>
    <col min="36" max="36" width="2.83203125" style="861" hidden="1" customWidth="1" outlineLevel="1"/>
    <col min="37" max="37" width="12.83203125" style="895" hidden="1" customWidth="1" outlineLevel="1"/>
    <col min="38" max="38" width="12.83203125" style="1217" hidden="1" customWidth="1" outlineLevel="1" collapsed="1"/>
    <col min="39" max="39" width="12.83203125" style="895" hidden="1" customWidth="1" outlineLevel="1"/>
    <col min="40" max="40" width="2.83203125" style="861" hidden="1" customWidth="1" outlineLevel="1" collapsed="1"/>
    <col min="41" max="41" width="12.83203125" style="895" hidden="1" customWidth="1" outlineLevel="1"/>
    <col min="42" max="42" width="12.83203125" style="1217" hidden="1" customWidth="1" outlineLevel="1"/>
    <col min="43" max="43" width="12.83203125" style="895" hidden="1" customWidth="1" outlineLevel="1"/>
    <col min="44" max="44" width="2.83203125" style="861" hidden="1" customWidth="1" outlineLevel="1" collapsed="1"/>
    <col min="45" max="45" width="12.83203125" style="895" hidden="1" customWidth="1" outlineLevel="1"/>
    <col min="46" max="46" width="12.83203125" style="1217" hidden="1" customWidth="1" outlineLevel="1"/>
    <col min="47" max="47" width="12.83203125" style="895" hidden="1" customWidth="1" outlineLevel="1"/>
    <col min="48" max="48" width="2.83203125" style="861" hidden="1" customWidth="1" outlineLevel="1" collapsed="1"/>
    <col min="49" max="49" width="12.83203125" style="895" hidden="1" customWidth="1" outlineLevel="1"/>
    <col min="50" max="50" width="12.83203125" style="1217" hidden="1" customWidth="1" outlineLevel="1"/>
    <col min="51" max="51" width="12.83203125" style="895" hidden="1" customWidth="1" outlineLevel="1"/>
    <col min="52" max="52" width="2.83203125" style="1707" customWidth="1" collapsed="1"/>
    <col min="53" max="53" width="12.83203125" style="1707" customWidth="1"/>
    <col min="54" max="54" width="12.83203125" style="1707" customWidth="1" collapsed="1"/>
    <col min="55" max="55" width="12.83203125" style="1707" customWidth="1"/>
    <col min="56" max="56" width="2.83203125" style="1707" customWidth="1" collapsed="1"/>
    <col min="57" max="59" width="12.83203125" style="1707" customWidth="1"/>
    <col min="60" max="60" width="2.83203125" style="1707" customWidth="1"/>
    <col min="61" max="63" width="12.83203125" style="1707" customWidth="1"/>
    <col min="64" max="64" width="2.83203125" style="1707" customWidth="1" collapsed="1"/>
    <col min="65" max="67" width="12.83203125" style="1707" customWidth="1"/>
    <col min="68" max="16384" width="9.33203125" style="861"/>
  </cols>
  <sheetData>
    <row r="1" spans="2:67" s="874" customFormat="1" ht="18" x14ac:dyDescent="0.25">
      <c r="B1" s="874" t="s">
        <v>884</v>
      </c>
      <c r="D1" s="875"/>
      <c r="F1" s="875"/>
      <c r="G1" s="875"/>
      <c r="H1" s="875"/>
      <c r="J1" s="875"/>
      <c r="K1" s="875"/>
      <c r="L1" s="875"/>
      <c r="N1" s="875"/>
      <c r="O1" s="875"/>
      <c r="P1" s="875"/>
      <c r="R1" s="875"/>
      <c r="S1" s="875"/>
      <c r="T1" s="875"/>
      <c r="V1" s="875"/>
      <c r="W1" s="875"/>
      <c r="X1" s="875"/>
      <c r="Z1" s="875"/>
      <c r="AA1" s="875"/>
      <c r="AB1" s="875"/>
      <c r="AC1" s="875"/>
      <c r="AD1" s="874" t="s">
        <v>884</v>
      </c>
      <c r="AF1" s="897"/>
      <c r="AG1" s="875"/>
      <c r="AH1" s="875"/>
      <c r="AI1" s="875"/>
      <c r="AK1" s="875"/>
      <c r="AL1" s="875"/>
      <c r="AM1" s="875"/>
      <c r="AO1" s="875"/>
      <c r="AP1" s="875"/>
      <c r="AQ1" s="875"/>
      <c r="AS1" s="875"/>
      <c r="AT1" s="875"/>
      <c r="AU1" s="875"/>
      <c r="AW1" s="875"/>
      <c r="AX1" s="875"/>
      <c r="AY1" s="875"/>
      <c r="BA1" s="875"/>
      <c r="BB1" s="875"/>
      <c r="BC1" s="875"/>
      <c r="BE1" s="875"/>
      <c r="BF1" s="875"/>
      <c r="BG1" s="875"/>
      <c r="BI1" s="875"/>
      <c r="BJ1" s="875"/>
      <c r="BK1" s="875"/>
      <c r="BM1" s="875"/>
      <c r="BN1" s="875"/>
      <c r="BO1" s="875"/>
    </row>
    <row r="2" spans="2:67" x14ac:dyDescent="0.2">
      <c r="B2" s="59" t="s">
        <v>885</v>
      </c>
      <c r="AC2" s="238"/>
      <c r="AD2" s="59" t="s">
        <v>885</v>
      </c>
    </row>
    <row r="3" spans="2:67" x14ac:dyDescent="0.2">
      <c r="B3" s="59" t="s">
        <v>148</v>
      </c>
      <c r="F3" s="866">
        <v>2016</v>
      </c>
      <c r="G3" s="866">
        <v>2016</v>
      </c>
      <c r="H3" s="866" t="s">
        <v>886</v>
      </c>
      <c r="J3" s="866" t="s">
        <v>583</v>
      </c>
      <c r="K3" s="866" t="s">
        <v>583</v>
      </c>
      <c r="L3" s="866" t="s">
        <v>886</v>
      </c>
      <c r="N3" s="866" t="s">
        <v>584</v>
      </c>
      <c r="O3" s="866" t="s">
        <v>584</v>
      </c>
      <c r="P3" s="866" t="s">
        <v>886</v>
      </c>
      <c r="R3" s="866" t="s">
        <v>585</v>
      </c>
      <c r="S3" s="866" t="s">
        <v>585</v>
      </c>
      <c r="T3" s="866" t="s">
        <v>886</v>
      </c>
      <c r="V3" s="866" t="s">
        <v>586</v>
      </c>
      <c r="W3" s="866" t="s">
        <v>586</v>
      </c>
      <c r="X3" s="866" t="s">
        <v>886</v>
      </c>
      <c r="Z3" s="866" t="s">
        <v>586</v>
      </c>
      <c r="AA3" s="866" t="s">
        <v>586</v>
      </c>
      <c r="AB3" s="866" t="s">
        <v>886</v>
      </c>
      <c r="AD3" s="59" t="s">
        <v>148</v>
      </c>
      <c r="AG3" s="866" t="s">
        <v>169</v>
      </c>
      <c r="AH3" s="866" t="s">
        <v>169</v>
      </c>
      <c r="AI3" s="866" t="s">
        <v>886</v>
      </c>
      <c r="AK3" s="866" t="s">
        <v>887</v>
      </c>
      <c r="AL3" s="866" t="s">
        <v>887</v>
      </c>
      <c r="AM3" s="866" t="s">
        <v>886</v>
      </c>
      <c r="AO3" s="866" t="s">
        <v>888</v>
      </c>
      <c r="AP3" s="866" t="s">
        <v>888</v>
      </c>
      <c r="AQ3" s="866" t="s">
        <v>886</v>
      </c>
      <c r="AS3" s="866" t="s">
        <v>889</v>
      </c>
      <c r="AT3" s="866" t="s">
        <v>889</v>
      </c>
      <c r="AU3" s="866" t="s">
        <v>886</v>
      </c>
      <c r="AW3" s="866" t="s">
        <v>890</v>
      </c>
      <c r="AX3" s="866" t="s">
        <v>890</v>
      </c>
      <c r="AY3" s="866" t="s">
        <v>886</v>
      </c>
      <c r="BA3" s="866" t="s">
        <v>1426</v>
      </c>
      <c r="BB3" s="866" t="s">
        <v>1426</v>
      </c>
      <c r="BC3" s="866" t="s">
        <v>886</v>
      </c>
      <c r="BE3" s="866" t="s">
        <v>1427</v>
      </c>
      <c r="BF3" s="866" t="s">
        <v>1427</v>
      </c>
      <c r="BG3" s="866" t="s">
        <v>886</v>
      </c>
      <c r="BI3" s="866" t="s">
        <v>1428</v>
      </c>
      <c r="BJ3" s="866" t="s">
        <v>1428</v>
      </c>
      <c r="BK3" s="866" t="s">
        <v>886</v>
      </c>
      <c r="BM3" s="866" t="s">
        <v>1429</v>
      </c>
      <c r="BN3" s="866" t="s">
        <v>1429</v>
      </c>
      <c r="BO3" s="866" t="s">
        <v>886</v>
      </c>
    </row>
    <row r="4" spans="2:67" x14ac:dyDescent="0.2">
      <c r="F4" s="866" t="s">
        <v>904</v>
      </c>
      <c r="G4" s="866" t="s">
        <v>891</v>
      </c>
      <c r="H4" s="866" t="s">
        <v>892</v>
      </c>
      <c r="J4" s="866" t="s">
        <v>904</v>
      </c>
      <c r="K4" s="866" t="s">
        <v>891</v>
      </c>
      <c r="L4" s="866" t="s">
        <v>892</v>
      </c>
      <c r="N4" s="866" t="s">
        <v>904</v>
      </c>
      <c r="O4" s="866" t="s">
        <v>891</v>
      </c>
      <c r="P4" s="866" t="s">
        <v>892</v>
      </c>
      <c r="R4" s="866" t="s">
        <v>904</v>
      </c>
      <c r="S4" s="866" t="s">
        <v>891</v>
      </c>
      <c r="T4" s="866" t="s">
        <v>892</v>
      </c>
      <c r="V4" s="866" t="s">
        <v>904</v>
      </c>
      <c r="W4" s="866" t="s">
        <v>891</v>
      </c>
      <c r="X4" s="866" t="s">
        <v>892</v>
      </c>
      <c r="Z4" s="866" t="s">
        <v>904</v>
      </c>
      <c r="AA4" s="866" t="s">
        <v>891</v>
      </c>
      <c r="AB4" s="866" t="s">
        <v>892</v>
      </c>
      <c r="AG4" s="866" t="s">
        <v>904</v>
      </c>
      <c r="AH4" s="866" t="s">
        <v>891</v>
      </c>
      <c r="AI4" s="866" t="s">
        <v>892</v>
      </c>
      <c r="AK4" s="866" t="s">
        <v>904</v>
      </c>
      <c r="AL4" s="866" t="s">
        <v>891</v>
      </c>
      <c r="AM4" s="866" t="s">
        <v>892</v>
      </c>
      <c r="AO4" s="866" t="s">
        <v>904</v>
      </c>
      <c r="AP4" s="866" t="s">
        <v>891</v>
      </c>
      <c r="AQ4" s="866" t="s">
        <v>892</v>
      </c>
      <c r="AS4" s="866" t="s">
        <v>904</v>
      </c>
      <c r="AT4" s="866" t="s">
        <v>891</v>
      </c>
      <c r="AU4" s="866" t="s">
        <v>892</v>
      </c>
      <c r="AW4" s="866" t="s">
        <v>904</v>
      </c>
      <c r="AX4" s="866" t="s">
        <v>891</v>
      </c>
      <c r="AY4" s="866" t="s">
        <v>892</v>
      </c>
      <c r="BA4" s="866" t="s">
        <v>904</v>
      </c>
      <c r="BB4" s="866" t="s">
        <v>891</v>
      </c>
      <c r="BC4" s="866" t="s">
        <v>892</v>
      </c>
      <c r="BE4" s="866" t="s">
        <v>904</v>
      </c>
      <c r="BF4" s="866" t="s">
        <v>891</v>
      </c>
      <c r="BG4" s="866" t="s">
        <v>892</v>
      </c>
      <c r="BI4" s="866" t="s">
        <v>904</v>
      </c>
      <c r="BJ4" s="866" t="s">
        <v>891</v>
      </c>
      <c r="BK4" s="866" t="s">
        <v>892</v>
      </c>
      <c r="BM4" s="866" t="s">
        <v>904</v>
      </c>
      <c r="BN4" s="866" t="s">
        <v>891</v>
      </c>
      <c r="BO4" s="866" t="s">
        <v>892</v>
      </c>
    </row>
    <row r="5" spans="2:67" s="15" customFormat="1" ht="5.0999999999999996" customHeight="1" x14ac:dyDescent="0.2">
      <c r="F5" s="902"/>
      <c r="G5" s="902"/>
      <c r="H5" s="902"/>
      <c r="J5" s="902"/>
      <c r="K5" s="902"/>
      <c r="L5" s="902"/>
      <c r="N5" s="902"/>
      <c r="O5" s="902"/>
      <c r="P5" s="902"/>
      <c r="R5" s="902"/>
      <c r="S5" s="902"/>
      <c r="T5" s="902"/>
      <c r="V5" s="902"/>
      <c r="W5" s="902"/>
      <c r="X5" s="902"/>
      <c r="Z5" s="902"/>
      <c r="AA5" s="902"/>
      <c r="AB5" s="902"/>
      <c r="AF5" s="109"/>
      <c r="AG5" s="902"/>
      <c r="AH5" s="902"/>
      <c r="AI5" s="902"/>
      <c r="AK5" s="902"/>
      <c r="AL5" s="902"/>
      <c r="AM5" s="902"/>
      <c r="AO5" s="902"/>
      <c r="AP5" s="902"/>
      <c r="AQ5" s="902"/>
      <c r="AS5" s="902"/>
      <c r="AT5" s="902"/>
      <c r="AU5" s="902"/>
      <c r="AW5" s="902"/>
      <c r="AX5" s="902"/>
      <c r="AY5" s="902"/>
      <c r="BA5" s="902"/>
      <c r="BB5" s="902"/>
      <c r="BC5" s="902"/>
      <c r="BE5" s="902"/>
      <c r="BF5" s="902"/>
      <c r="BG5" s="902"/>
      <c r="BI5" s="902"/>
      <c r="BJ5" s="902"/>
      <c r="BK5" s="902"/>
      <c r="BM5" s="902"/>
      <c r="BN5" s="902"/>
      <c r="BO5" s="902"/>
    </row>
    <row r="6" spans="2:67" x14ac:dyDescent="0.2">
      <c r="B6" s="394" t="s">
        <v>897</v>
      </c>
      <c r="F6" s="238"/>
      <c r="G6" s="238"/>
      <c r="H6" s="238"/>
      <c r="J6" s="238"/>
      <c r="K6" s="238"/>
      <c r="L6" s="238"/>
      <c r="N6" s="238"/>
      <c r="O6" s="238"/>
      <c r="P6" s="238"/>
      <c r="R6" s="238"/>
      <c r="S6" s="238"/>
      <c r="T6" s="238"/>
      <c r="V6" s="238"/>
      <c r="W6" s="238"/>
      <c r="X6" s="238"/>
      <c r="Z6" s="238"/>
      <c r="AA6" s="238"/>
      <c r="AB6" s="238"/>
      <c r="AC6" s="238"/>
      <c r="AD6" s="394" t="s">
        <v>897</v>
      </c>
      <c r="AG6" s="238"/>
      <c r="AH6" s="238"/>
      <c r="AI6" s="238"/>
      <c r="AK6" s="238"/>
      <c r="AL6" s="238"/>
      <c r="AM6" s="238"/>
      <c r="AO6" s="238"/>
      <c r="AP6" s="238"/>
      <c r="AQ6" s="238"/>
      <c r="AS6" s="238"/>
      <c r="AT6" s="238"/>
      <c r="AU6" s="238"/>
      <c r="AW6" s="238"/>
      <c r="AX6" s="238"/>
      <c r="AY6" s="238"/>
      <c r="BA6" s="238"/>
      <c r="BB6" s="238"/>
      <c r="BC6" s="238"/>
      <c r="BE6" s="238"/>
      <c r="BF6" s="238"/>
      <c r="BG6" s="238"/>
      <c r="BI6" s="238"/>
      <c r="BJ6" s="238"/>
      <c r="BK6" s="238"/>
      <c r="BM6" s="238"/>
      <c r="BN6" s="238"/>
      <c r="BO6" s="238"/>
    </row>
    <row r="7" spans="2:67" x14ac:dyDescent="0.2">
      <c r="B7" s="876" t="s">
        <v>905</v>
      </c>
      <c r="C7" s="876"/>
      <c r="F7" s="238"/>
      <c r="G7" s="238"/>
      <c r="H7" s="238"/>
      <c r="J7" s="238"/>
      <c r="K7" s="238"/>
      <c r="L7" s="238"/>
      <c r="N7" s="238"/>
      <c r="O7" s="238"/>
      <c r="P7" s="238"/>
      <c r="R7" s="238"/>
      <c r="S7" s="238"/>
      <c r="T7" s="238"/>
      <c r="V7" s="238"/>
      <c r="W7" s="238"/>
      <c r="X7" s="238"/>
      <c r="Z7" s="238"/>
      <c r="AA7" s="238"/>
      <c r="AB7" s="238"/>
      <c r="AC7" s="238"/>
      <c r="AD7" s="876" t="s">
        <v>905</v>
      </c>
      <c r="AE7" s="876"/>
      <c r="AF7" s="898"/>
      <c r="AG7" s="238"/>
      <c r="AH7" s="238"/>
      <c r="AI7" s="238"/>
      <c r="AK7" s="238"/>
      <c r="AL7" s="238"/>
      <c r="AM7" s="238"/>
      <c r="AO7" s="238"/>
      <c r="AP7" s="238"/>
      <c r="AQ7" s="238"/>
      <c r="AS7" s="238"/>
      <c r="AT7" s="238"/>
      <c r="AU7" s="238"/>
      <c r="AW7" s="238"/>
      <c r="AX7" s="238"/>
      <c r="AY7" s="238"/>
      <c r="BA7" s="238"/>
      <c r="BB7" s="238"/>
      <c r="BC7" s="238"/>
      <c r="BE7" s="238"/>
      <c r="BF7" s="238"/>
      <c r="BG7" s="238"/>
      <c r="BI7" s="238"/>
      <c r="BJ7" s="238"/>
      <c r="BK7" s="238"/>
      <c r="BM7" s="238"/>
      <c r="BN7" s="238"/>
      <c r="BO7" s="238"/>
    </row>
    <row r="8" spans="2:67" x14ac:dyDescent="0.2">
      <c r="B8" s="391" t="s">
        <v>100</v>
      </c>
      <c r="C8" s="391"/>
      <c r="F8" s="33">
        <f>Model!AY6</f>
        <v>4954</v>
      </c>
      <c r="G8" s="50">
        <v>4954</v>
      </c>
      <c r="H8" s="867">
        <f>(F8-G8)/G$20</f>
        <v>0</v>
      </c>
      <c r="J8" s="33">
        <f>Model!AZ6</f>
        <v>3878</v>
      </c>
      <c r="K8" s="33">
        <v>4525.5153594565481</v>
      </c>
      <c r="L8" s="867">
        <f>(J8-K8)/K$20</f>
        <v>-0.23958660624175676</v>
      </c>
      <c r="N8" s="33">
        <f>Model!BA6</f>
        <v>5737.000163547742</v>
      </c>
      <c r="O8" s="33">
        <v>5526.5458774920771</v>
      </c>
      <c r="P8" s="867">
        <f>(N8-O8)/O$20</f>
        <v>8.3987942780494096E-2</v>
      </c>
      <c r="R8" s="33">
        <f>Model!BB6</f>
        <v>6125.1750096053856</v>
      </c>
      <c r="S8" s="33">
        <v>6213.4285432703791</v>
      </c>
      <c r="T8" s="867">
        <f>(R8-S8)/S$20</f>
        <v>-3.8645219192304826E-2</v>
      </c>
      <c r="V8" s="33">
        <f>Model!BC6</f>
        <v>6331.8970720686684</v>
      </c>
      <c r="W8" s="33">
        <v>6328.4909583022145</v>
      </c>
      <c r="X8" s="867">
        <f>(V8-W8)/W$20</f>
        <v>1.6386551213218251E-3</v>
      </c>
      <c r="Z8" s="33">
        <f>Model!BC6</f>
        <v>6331.8970720686684</v>
      </c>
      <c r="AA8" s="33">
        <v>5985.7841529453599</v>
      </c>
      <c r="AB8" s="867">
        <f>(Z8-AA8)/AA$20</f>
        <v>0.1632908305149367</v>
      </c>
      <c r="AC8" s="238"/>
      <c r="AD8" s="391" t="s">
        <v>100</v>
      </c>
      <c r="AE8" s="391"/>
      <c r="AF8" s="109"/>
      <c r="AG8" s="33">
        <f>Model!W6</f>
        <v>1225</v>
      </c>
      <c r="AH8" s="50">
        <v>1225</v>
      </c>
      <c r="AI8" s="867">
        <f>(AG8-AH8)/AH$20</f>
        <v>0</v>
      </c>
      <c r="AK8" s="33">
        <f>Model!X6</f>
        <v>998</v>
      </c>
      <c r="AL8" s="33">
        <v>1003</v>
      </c>
      <c r="AM8" s="867">
        <f>(AK8-AL8)/AL$20</f>
        <v>-1.8076644974692696E-3</v>
      </c>
      <c r="AO8" s="33">
        <f>Model!Y6</f>
        <v>1128</v>
      </c>
      <c r="AP8" s="33">
        <v>1127</v>
      </c>
      <c r="AQ8" s="867">
        <f>(AO8-AP8)/AP$20</f>
        <v>3.6507009345794397E-4</v>
      </c>
      <c r="AS8" s="33">
        <f>Model!Z6</f>
        <v>1170</v>
      </c>
      <c r="AT8" s="33">
        <v>1173</v>
      </c>
      <c r="AU8" s="867">
        <f>(AS8-AT8)/AT$20</f>
        <v>-1.1178596713492567E-3</v>
      </c>
      <c r="AW8" s="33">
        <f>Model!AA6</f>
        <v>582</v>
      </c>
      <c r="AX8" s="33">
        <v>1335</v>
      </c>
      <c r="AY8" s="867">
        <f>(AW8-AX8)/AX$20</f>
        <v>-0.28892640626199068</v>
      </c>
      <c r="BA8" s="33">
        <f>Model!AB6</f>
        <v>1394</v>
      </c>
      <c r="BB8" s="33">
        <v>1314.1430965047944</v>
      </c>
      <c r="BC8" s="867">
        <f>(BA8-BB8)/BB$20</f>
        <v>3.118251140879932E-2</v>
      </c>
      <c r="BE8" s="33">
        <f>Model!AC6</f>
        <v>1414.2430648664379</v>
      </c>
      <c r="BF8" s="33">
        <v>1384.7202461877609</v>
      </c>
      <c r="BG8" s="867">
        <f>(BE8-BF8)/BF$20</f>
        <v>1.1626075443077524E-2</v>
      </c>
      <c r="BI8" s="33">
        <f>Model!AD6</f>
        <v>1481.0265517692396</v>
      </c>
      <c r="BJ8" s="33">
        <v>1426.7986280997552</v>
      </c>
      <c r="BK8" s="867">
        <f>(BI8-BJ8)/BJ$20</f>
        <v>2.174523260444412E-2</v>
      </c>
      <c r="BM8" s="33">
        <f>Model!AE6</f>
        <v>1447.7305469120643</v>
      </c>
      <c r="BN8" s="33">
        <v>1400.8839066997664</v>
      </c>
      <c r="BO8" s="867">
        <f>(BM8-BN8)/BN$20</f>
        <v>1.9286605030258849E-2</v>
      </c>
    </row>
    <row r="9" spans="2:67" x14ac:dyDescent="0.2">
      <c r="B9" s="391" t="s">
        <v>182</v>
      </c>
      <c r="C9" s="391"/>
      <c r="F9" s="132">
        <f>Model!AY7</f>
        <v>9525</v>
      </c>
      <c r="G9" s="172">
        <v>9525</v>
      </c>
      <c r="H9" s="870">
        <f>(F9-G9)/G$20</f>
        <v>0</v>
      </c>
      <c r="J9" s="132">
        <f>Model!AZ7</f>
        <v>9066</v>
      </c>
      <c r="K9" s="132">
        <v>11161.416934463741</v>
      </c>
      <c r="L9" s="870">
        <f>(J9-K9)/K$20</f>
        <v>-0.77532343388892644</v>
      </c>
      <c r="N9" s="132">
        <f>Model!BA7</f>
        <v>12824.201726505547</v>
      </c>
      <c r="O9" s="132">
        <v>12484.748748851765</v>
      </c>
      <c r="P9" s="870">
        <f>(N9-O9)/O$20</f>
        <v>0.13546864641337522</v>
      </c>
      <c r="R9" s="132">
        <f>Model!BB7</f>
        <v>14166.884358022118</v>
      </c>
      <c r="S9" s="132">
        <v>14008.253484380853</v>
      </c>
      <c r="T9" s="870">
        <f>(R9-S9)/S$20</f>
        <v>6.9462656371402975E-2</v>
      </c>
      <c r="V9" s="132">
        <f>Model!BC7</f>
        <v>15376.18702381874</v>
      </c>
      <c r="W9" s="132">
        <v>15271.261017008723</v>
      </c>
      <c r="X9" s="870">
        <f>(V9-W9)/W$20</f>
        <v>5.0479094419117534E-2</v>
      </c>
      <c r="Z9" s="132">
        <f>Model!BC7</f>
        <v>15376.18702381874</v>
      </c>
      <c r="AA9" s="132">
        <v>12664.821042754109</v>
      </c>
      <c r="AB9" s="870">
        <f>(Z9-AA9)/AA$20</f>
        <v>1.279181383923597</v>
      </c>
      <c r="AC9" s="238"/>
      <c r="AD9" s="391" t="s">
        <v>182</v>
      </c>
      <c r="AE9" s="391"/>
      <c r="AF9" s="109"/>
      <c r="AG9" s="132">
        <f>Model!W7</f>
        <v>2381</v>
      </c>
      <c r="AH9" s="172">
        <v>2381</v>
      </c>
      <c r="AI9" s="870">
        <f>(AG9-AH9)/AH$20</f>
        <v>0</v>
      </c>
      <c r="AK9" s="132">
        <f>Model!X7</f>
        <v>3011</v>
      </c>
      <c r="AL9" s="132">
        <v>3011</v>
      </c>
      <c r="AM9" s="870">
        <f>(AK9-AL9)/AL$20</f>
        <v>0</v>
      </c>
      <c r="AO9" s="132">
        <f>Model!Y7</f>
        <v>2780</v>
      </c>
      <c r="AP9" s="132">
        <v>2780</v>
      </c>
      <c r="AQ9" s="870">
        <f>(AO9-AP9)/AP$20</f>
        <v>0</v>
      </c>
      <c r="AS9" s="132">
        <f>Model!Z7</f>
        <v>3062</v>
      </c>
      <c r="AT9" s="132">
        <v>3062</v>
      </c>
      <c r="AU9" s="870">
        <f>(AS9-AT9)/AT$20</f>
        <v>0</v>
      </c>
      <c r="AW9" s="132">
        <f>Model!AA7</f>
        <v>213</v>
      </c>
      <c r="AX9" s="132">
        <v>2213</v>
      </c>
      <c r="AY9" s="870">
        <f>(AW9-AX9)/AX$20</f>
        <v>-0.76740081344486233</v>
      </c>
      <c r="BA9" s="132">
        <f>Model!AB7</f>
        <v>3329</v>
      </c>
      <c r="BB9" s="132">
        <v>3268.2631028519154</v>
      </c>
      <c r="BC9" s="870">
        <f>(BA9-BB9)/BB$20</f>
        <v>2.3716534267684507E-2</v>
      </c>
      <c r="BE9" s="132">
        <f>Model!AC7</f>
        <v>3224.3608415464378</v>
      </c>
      <c r="BF9" s="132">
        <v>3207.3743207310017</v>
      </c>
      <c r="BG9" s="870">
        <f>(BE9-BF9)/BF$20</f>
        <v>6.6892858254859822E-3</v>
      </c>
      <c r="BI9" s="132">
        <f>Model!AD7</f>
        <v>3208.4001687720211</v>
      </c>
      <c r="BJ9" s="132">
        <v>3113.9282190041904</v>
      </c>
      <c r="BK9" s="870">
        <f>(BI9-BJ9)/BJ$20</f>
        <v>3.7882964776924682E-2</v>
      </c>
      <c r="BM9" s="132">
        <f>Model!AE7</f>
        <v>3062.4407161870877</v>
      </c>
      <c r="BN9" s="132">
        <v>2895.183106264657</v>
      </c>
      <c r="BO9" s="870">
        <f>(BM9-BN9)/BN$20</f>
        <v>6.885939837436196E-2</v>
      </c>
    </row>
    <row r="10" spans="2:67" x14ac:dyDescent="0.2">
      <c r="B10" s="877" t="s">
        <v>906</v>
      </c>
      <c r="F10" s="878"/>
      <c r="G10" s="33"/>
      <c r="H10" s="867">
        <f>(F10-G10)/G$20</f>
        <v>0</v>
      </c>
      <c r="J10" s="878"/>
      <c r="K10" s="878"/>
      <c r="L10" s="867">
        <f>(J10-K10)/K$20</f>
        <v>0</v>
      </c>
      <c r="N10" s="878"/>
      <c r="O10" s="878"/>
      <c r="P10" s="867">
        <f>(N10-O10)/O$20</f>
        <v>0</v>
      </c>
      <c r="R10" s="878"/>
      <c r="S10" s="878"/>
      <c r="T10" s="867">
        <f>(R10-S10)/S$20</f>
        <v>0</v>
      </c>
      <c r="V10" s="878"/>
      <c r="W10" s="878"/>
      <c r="X10" s="867">
        <f>(V10-W10)/W$20</f>
        <v>0</v>
      </c>
      <c r="Z10" s="878"/>
      <c r="AA10" s="878"/>
      <c r="AB10" s="867">
        <f>(Z10-AA10)/AA$20</f>
        <v>0</v>
      </c>
      <c r="AC10" s="238"/>
      <c r="AD10" s="877" t="s">
        <v>906</v>
      </c>
      <c r="AG10" s="878"/>
      <c r="AH10" s="33"/>
      <c r="AI10" s="867">
        <f>(AG10-AH10)/AH$20</f>
        <v>0</v>
      </c>
      <c r="AK10" s="878"/>
      <c r="AL10" s="878"/>
      <c r="AM10" s="867">
        <f>(AK10-AL10)/AL$20</f>
        <v>0</v>
      </c>
      <c r="AO10" s="878"/>
      <c r="AP10" s="878"/>
      <c r="AQ10" s="867">
        <f>(AO10-AP10)/AP$20</f>
        <v>0</v>
      </c>
      <c r="AS10" s="878"/>
      <c r="AT10" s="878"/>
      <c r="AU10" s="867">
        <f>(AS10-AT10)/AT$20</f>
        <v>0</v>
      </c>
      <c r="AW10" s="878"/>
      <c r="AX10" s="878"/>
      <c r="AY10" s="867">
        <f>(AW10-AX10)/AX$20</f>
        <v>0</v>
      </c>
      <c r="BA10" s="878"/>
      <c r="BB10" s="878"/>
      <c r="BC10" s="867">
        <f>(BA10-BB10)/BB$20</f>
        <v>0</v>
      </c>
      <c r="BE10" s="878"/>
      <c r="BF10" s="878"/>
      <c r="BG10" s="867">
        <f>(BE10-BF10)/BF$20</f>
        <v>0</v>
      </c>
      <c r="BI10" s="878"/>
      <c r="BJ10" s="878"/>
      <c r="BK10" s="867">
        <f>(BI10-BJ10)/BJ$20</f>
        <v>0</v>
      </c>
      <c r="BM10" s="878"/>
      <c r="BN10" s="878"/>
      <c r="BO10" s="867">
        <f>(BM10-BN10)/BN$20</f>
        <v>0</v>
      </c>
    </row>
    <row r="11" spans="2:67" x14ac:dyDescent="0.2">
      <c r="B11" s="879" t="s">
        <v>139</v>
      </c>
      <c r="C11" s="879"/>
      <c r="F11" s="33">
        <f>Model!AY8</f>
        <v>554</v>
      </c>
      <c r="G11" s="33">
        <v>554</v>
      </c>
      <c r="H11" s="880">
        <f>(F11-G11)/G$20</f>
        <v>0</v>
      </c>
      <c r="J11" s="33">
        <f>Model!AZ8</f>
        <v>3023</v>
      </c>
      <c r="K11" s="33">
        <v>-114.32482807986884</v>
      </c>
      <c r="L11" s="880">
        <f>(J11-K11)/K$20</f>
        <v>1.1608388855339569</v>
      </c>
      <c r="N11" s="33">
        <f>Model!BA8</f>
        <v>-522.01831357476556</v>
      </c>
      <c r="O11" s="33">
        <v>-421.16542449735232</v>
      </c>
      <c r="P11" s="880">
        <f>(N11-O11)/O$20</f>
        <v>-4.0248297318311144E-2</v>
      </c>
      <c r="R11" s="33">
        <f>Model!BB8</f>
        <v>-534.45438680466668</v>
      </c>
      <c r="S11" s="33">
        <v>-312.01918426269657</v>
      </c>
      <c r="T11" s="880">
        <f>(R11-S11)/S$20</f>
        <v>-9.7401846717542304E-2</v>
      </c>
      <c r="V11" s="33">
        <f>Model!BC8</f>
        <v>-444.24206325296632</v>
      </c>
      <c r="W11" s="33">
        <v>-176.22215324911627</v>
      </c>
      <c r="X11" s="880">
        <f>(V11-W11)/W$20</f>
        <v>-0.12894231615794277</v>
      </c>
      <c r="Z11" s="33">
        <f>Model!BC8</f>
        <v>-444.24206325296632</v>
      </c>
      <c r="AA11" s="33">
        <v>346.72032528347836</v>
      </c>
      <c r="AB11" s="880">
        <f>(Z11-AA11)/AA$20</f>
        <v>-0.37316406927930879</v>
      </c>
      <c r="AC11" s="238"/>
      <c r="AD11" s="879" t="s">
        <v>139</v>
      </c>
      <c r="AE11" s="879"/>
      <c r="AF11" s="899"/>
      <c r="AG11" s="33">
        <f>Model!W8</f>
        <v>-15</v>
      </c>
      <c r="AH11" s="33">
        <v>-15</v>
      </c>
      <c r="AI11" s="880">
        <f>(AG11-AH11)/AH$20</f>
        <v>0</v>
      </c>
      <c r="AK11" s="33">
        <f>Model!X8</f>
        <v>109</v>
      </c>
      <c r="AL11" s="33">
        <v>104</v>
      </c>
      <c r="AM11" s="880">
        <f>(AK11-AL11)/AL$20</f>
        <v>1.8076644974692696E-3</v>
      </c>
      <c r="AO11" s="33">
        <f>Model!Y8</f>
        <v>-25</v>
      </c>
      <c r="AP11" s="33">
        <v>-26</v>
      </c>
      <c r="AQ11" s="880">
        <f>(AO11-AP11)/AP$20</f>
        <v>3.6507009345794397E-4</v>
      </c>
      <c r="AS11" s="33">
        <f>Model!Z8</f>
        <v>-95</v>
      </c>
      <c r="AT11" s="33">
        <v>-99</v>
      </c>
      <c r="AU11" s="880">
        <f>(AS11-AT11)/AT$20</f>
        <v>1.4904795617990089E-3</v>
      </c>
      <c r="AW11" s="33">
        <f>Model!AA8</f>
        <v>3034</v>
      </c>
      <c r="AX11" s="33">
        <v>279</v>
      </c>
      <c r="AY11" s="880">
        <f>(AW11-AX11)/AX$20</f>
        <v>1.0570946205202978</v>
      </c>
      <c r="BA11" s="33">
        <f>Model!AB8</f>
        <v>-74</v>
      </c>
      <c r="BB11" s="33">
        <v>-127.02702099581995</v>
      </c>
      <c r="BC11" s="880">
        <f>(BA11-BB11)/BB$20</f>
        <v>2.0705983012177135E-2</v>
      </c>
      <c r="BE11" s="33">
        <f>Model!AC8</f>
        <v>-171.55135061023185</v>
      </c>
      <c r="BF11" s="33">
        <v>-111.24047133412677</v>
      </c>
      <c r="BG11" s="880">
        <f>(BE11-BF11)/BF$20</f>
        <v>-2.3750402701513403E-2</v>
      </c>
      <c r="BI11" s="33">
        <f>Model!AD8</f>
        <v>-138.53428000368172</v>
      </c>
      <c r="BJ11" s="33">
        <v>-98.622637135818991</v>
      </c>
      <c r="BK11" s="880">
        <f>(BI11-BJ11)/BJ$20</f>
        <v>-1.6004447507097955E-2</v>
      </c>
      <c r="BM11" s="33">
        <f>Model!AE8</f>
        <v>-137.93268296085199</v>
      </c>
      <c r="BN11" s="33">
        <v>-84.27529503158658</v>
      </c>
      <c r="BO11" s="880">
        <f>(BM11-BN11)/BN$20</f>
        <v>-2.2090567077112475E-2</v>
      </c>
    </row>
    <row r="12" spans="2:67" s="15" customFormat="1" x14ac:dyDescent="0.2">
      <c r="B12" s="879" t="s">
        <v>907</v>
      </c>
      <c r="C12" s="879"/>
      <c r="F12" s="195"/>
      <c r="G12" s="195"/>
      <c r="H12" s="1095"/>
      <c r="J12" s="195">
        <f>SUM(J8:J11)</f>
        <v>15967</v>
      </c>
      <c r="K12" s="195">
        <v>15572.607465840421</v>
      </c>
      <c r="L12" s="1095">
        <f>(J12-K12)/K$20</f>
        <v>0.14592884540327333</v>
      </c>
      <c r="N12" s="195">
        <f>SUM(N8:N11)</f>
        <v>18039.183576478525</v>
      </c>
      <c r="O12" s="195">
        <v>17590.129201846492</v>
      </c>
      <c r="P12" s="1095">
        <f>(N12-O12)/O$20</f>
        <v>0.17920829187555781</v>
      </c>
      <c r="R12" s="195">
        <f>SUM(R8:R11)</f>
        <v>19757.604980822834</v>
      </c>
      <c r="S12" s="195">
        <v>19909.662843388538</v>
      </c>
      <c r="T12" s="1095">
        <f>(R12-S12)/S$20</f>
        <v>-6.6584409538446215E-2</v>
      </c>
      <c r="V12" s="195">
        <f>SUM(V8:V11)</f>
        <v>21263.842032634446</v>
      </c>
      <c r="W12" s="195">
        <v>21423.529822061821</v>
      </c>
      <c r="X12" s="1095">
        <f>(V12-W12)/W$20</f>
        <v>-7.6824566617501561E-2</v>
      </c>
      <c r="Z12" s="195">
        <f>SUM(Z8:Z11)</f>
        <v>21263.842032634446</v>
      </c>
      <c r="AA12" s="195">
        <v>18997.325520982948</v>
      </c>
      <c r="AB12" s="1095">
        <f>(Z12-AA12)/AA$20</f>
        <v>1.0693081451592263</v>
      </c>
      <c r="AC12" s="391"/>
      <c r="AD12" s="879" t="s">
        <v>907</v>
      </c>
      <c r="AE12" s="879"/>
      <c r="AF12" s="899"/>
      <c r="AG12" s="195"/>
      <c r="AH12" s="195"/>
      <c r="AI12" s="1095"/>
      <c r="AK12" s="195">
        <f>SUM(AK8:AK11)</f>
        <v>4118</v>
      </c>
      <c r="AL12" s="195">
        <v>4118</v>
      </c>
      <c r="AM12" s="1095">
        <f>(AK12-AL12)/AL$20</f>
        <v>0</v>
      </c>
      <c r="AO12" s="195">
        <f>SUM(AO8:AO11)</f>
        <v>3883</v>
      </c>
      <c r="AP12" s="195">
        <v>3881</v>
      </c>
      <c r="AQ12" s="1095">
        <f>(AO12-AP12)/AP$20</f>
        <v>7.3014018691588793E-4</v>
      </c>
      <c r="AS12" s="195">
        <f>SUM(AS8:AS11)</f>
        <v>4137</v>
      </c>
      <c r="AT12" s="195">
        <v>4136</v>
      </c>
      <c r="AU12" s="1095">
        <f>(AS12-AT12)/AT$20</f>
        <v>3.7261989044975221E-4</v>
      </c>
      <c r="AW12" s="195">
        <f>SUM(AW8:AW11)</f>
        <v>3829</v>
      </c>
      <c r="AX12" s="195">
        <v>3827</v>
      </c>
      <c r="AY12" s="1095">
        <f>(AW12-AX12)/AX$20</f>
        <v>7.6740081344486225E-4</v>
      </c>
      <c r="BA12" s="195">
        <f>SUM(BA8:BA11)</f>
        <v>4649</v>
      </c>
      <c r="BB12" s="195">
        <v>4455.3791783608904</v>
      </c>
      <c r="BC12" s="1095">
        <f>(BA12-BB12)/BB$20</f>
        <v>7.5605028688660744E-2</v>
      </c>
      <c r="BE12" s="195">
        <f>SUM(BE8:BE11)</f>
        <v>4467.0525558026438</v>
      </c>
      <c r="BF12" s="195">
        <v>4480.8540955846356</v>
      </c>
      <c r="BG12" s="1095">
        <f>(BE12-BF12)/BF$20</f>
        <v>-5.4350414329497609E-3</v>
      </c>
      <c r="BI12" s="195">
        <f>SUM(BI8:BI11)</f>
        <v>4550.8924405375792</v>
      </c>
      <c r="BJ12" s="195">
        <v>4442.1042099681272</v>
      </c>
      <c r="BK12" s="1095">
        <f>(BI12-BJ12)/BJ$20</f>
        <v>4.3623749874270708E-2</v>
      </c>
      <c r="BM12" s="195">
        <f>SUM(BM8:BM11)</f>
        <v>4372.2385801382998</v>
      </c>
      <c r="BN12" s="195">
        <v>4211.7917179328369</v>
      </c>
      <c r="BO12" s="1095">
        <f>(BM12-BN12)/BN$20</f>
        <v>6.605543632750821E-2</v>
      </c>
    </row>
    <row r="13" spans="2:67" x14ac:dyDescent="0.2">
      <c r="E13" s="238"/>
      <c r="F13" s="895"/>
      <c r="G13" s="895"/>
      <c r="H13" s="867"/>
      <c r="I13" s="238"/>
      <c r="J13" s="895"/>
      <c r="L13" s="867"/>
      <c r="M13" s="238"/>
      <c r="P13" s="867"/>
      <c r="Q13" s="238"/>
      <c r="T13" s="867"/>
      <c r="U13" s="238"/>
      <c r="X13" s="867"/>
      <c r="Y13" s="238"/>
      <c r="AB13" s="867"/>
      <c r="AC13" s="238"/>
      <c r="AI13" s="867"/>
      <c r="AM13" s="867"/>
      <c r="AQ13" s="867"/>
      <c r="AU13" s="867"/>
      <c r="AY13" s="867"/>
      <c r="BC13" s="867"/>
      <c r="BG13" s="867"/>
      <c r="BK13" s="867"/>
      <c r="BO13" s="867"/>
    </row>
    <row r="14" spans="2:67" x14ac:dyDescent="0.2">
      <c r="B14" s="881" t="s">
        <v>898</v>
      </c>
      <c r="F14" s="33">
        <f>'New vs Old'!F28</f>
        <v>1077</v>
      </c>
      <c r="G14" s="33">
        <v>1077</v>
      </c>
      <c r="H14" s="880">
        <f>-(F14-G14)/G20</f>
        <v>0</v>
      </c>
      <c r="J14" s="33">
        <f>'New vs Old'!J28</f>
        <v>1213</v>
      </c>
      <c r="K14" s="33">
        <v>1213</v>
      </c>
      <c r="L14" s="880">
        <f>-(J14-K14)/K20</f>
        <v>0</v>
      </c>
      <c r="N14" s="33">
        <f>'New vs Old'!N28</f>
        <v>1202</v>
      </c>
      <c r="O14" s="33">
        <v>1178</v>
      </c>
      <c r="P14" s="880">
        <f>-(N14-O14)/O20</f>
        <v>-9.5779024723626014E-3</v>
      </c>
      <c r="R14" s="33">
        <f>'New vs Old'!R28</f>
        <v>1306</v>
      </c>
      <c r="S14" s="33">
        <v>1318</v>
      </c>
      <c r="T14" s="880">
        <f>-(R14-S14)/S20</f>
        <v>5.2546635930523127E-3</v>
      </c>
      <c r="V14" s="33">
        <f>'New vs Old'!V28</f>
        <v>1306</v>
      </c>
      <c r="W14" s="33">
        <v>1318</v>
      </c>
      <c r="X14" s="880">
        <f>-(V14-W14)/W20</f>
        <v>5.7731076541033327E-3</v>
      </c>
      <c r="Z14" s="33">
        <f>'New vs Old'!Z28</f>
        <v>1306</v>
      </c>
      <c r="AA14" s="33">
        <v>1329</v>
      </c>
      <c r="AB14" s="880">
        <f>-(Z14-AA14)/AA20</f>
        <v>1.0851051475791683E-2</v>
      </c>
      <c r="AC14" s="238"/>
      <c r="AD14" s="881" t="s">
        <v>898</v>
      </c>
      <c r="AG14" s="33">
        <f>'New vs Old'!AG28</f>
        <v>320</v>
      </c>
      <c r="AH14" s="33">
        <v>320</v>
      </c>
      <c r="AI14" s="880">
        <f>-(AG14-AH14)/AH20</f>
        <v>0</v>
      </c>
      <c r="AK14" s="33">
        <f>'New vs Old'!AK28</f>
        <v>301</v>
      </c>
      <c r="AL14" s="33">
        <v>301</v>
      </c>
      <c r="AM14" s="880">
        <f>-(AK14-AL14)/AL20</f>
        <v>0</v>
      </c>
      <c r="AO14" s="33">
        <f>'New vs Old'!AO28</f>
        <v>320</v>
      </c>
      <c r="AP14" s="33">
        <v>320</v>
      </c>
      <c r="AQ14" s="880">
        <f>-(AO14-AP14)/AP20</f>
        <v>0</v>
      </c>
      <c r="AS14" s="33">
        <f>'New vs Old'!AS28</f>
        <v>272</v>
      </c>
      <c r="AT14" s="33">
        <v>272</v>
      </c>
      <c r="AU14" s="880">
        <f>-(AS14-AT14)/AT20</f>
        <v>0</v>
      </c>
      <c r="AW14" s="33">
        <f>'New vs Old'!AW28</f>
        <v>320</v>
      </c>
      <c r="AX14" s="33">
        <v>320</v>
      </c>
      <c r="AY14" s="880">
        <f>-(AW14-AX14)/AX20</f>
        <v>0</v>
      </c>
      <c r="BA14" s="33">
        <f>'New vs Old'!BA28</f>
        <v>301</v>
      </c>
      <c r="BB14" s="33">
        <v>272</v>
      </c>
      <c r="BC14" s="880">
        <f>-(BA14-BB14)/BB20</f>
        <v>-1.1323915544877985E-2</v>
      </c>
      <c r="BE14" s="33">
        <f>'New vs Old'!BE28</f>
        <v>318</v>
      </c>
      <c r="BF14" s="33">
        <v>318</v>
      </c>
      <c r="BG14" s="880">
        <f>-(BE14-BF14)/BF20</f>
        <v>0</v>
      </c>
      <c r="BI14" s="33">
        <f>'New vs Old'!BI28</f>
        <v>270</v>
      </c>
      <c r="BJ14" s="33">
        <v>270</v>
      </c>
      <c r="BK14" s="880">
        <f>-(BI14-BJ14)/BJ20</f>
        <v>0</v>
      </c>
      <c r="BM14" s="33">
        <f>'New vs Old'!BM28</f>
        <v>313</v>
      </c>
      <c r="BN14" s="33">
        <v>318</v>
      </c>
      <c r="BO14" s="880">
        <f>-(BM14-BN14)/BN20</f>
        <v>2.0584832703963961E-3</v>
      </c>
    </row>
    <row r="15" spans="2:67" x14ac:dyDescent="0.2">
      <c r="B15" s="881" t="s">
        <v>899</v>
      </c>
      <c r="F15" s="33">
        <f>'New vs Old'!F29</f>
        <v>63</v>
      </c>
      <c r="G15" s="33">
        <v>63</v>
      </c>
      <c r="H15" s="880">
        <f>-(F15-G15)/G20</f>
        <v>0</v>
      </c>
      <c r="J15" s="33">
        <f>'New vs Old'!J29</f>
        <v>60</v>
      </c>
      <c r="K15" s="33">
        <v>53.241257668006078</v>
      </c>
      <c r="L15" s="880">
        <f>-(J15-K15)/K20</f>
        <v>-2.5007964894361474E-3</v>
      </c>
      <c r="N15" s="33">
        <f>'New vs Old'!N29</f>
        <v>76.423906398376985</v>
      </c>
      <c r="O15" s="33">
        <v>65.713236633794907</v>
      </c>
      <c r="P15" s="880">
        <f>-(N15-O15)/O20</f>
        <v>-4.2744062674520853E-3</v>
      </c>
      <c r="R15" s="33">
        <f>'New vs Old'!R29</f>
        <v>81.893208355595291</v>
      </c>
      <c r="S15" s="33">
        <v>74.002251770071751</v>
      </c>
      <c r="T15" s="880">
        <f>-(R15-S15)/S20</f>
        <v>-3.4553601903589111E-3</v>
      </c>
      <c r="V15" s="33">
        <f>'New vs Old'!V29</f>
        <v>88.136403562537268</v>
      </c>
      <c r="W15" s="33">
        <v>79.629145916065795</v>
      </c>
      <c r="X15" s="880">
        <f>-(V15-W15)/W20</f>
        <v>-4.0927761861894642E-3</v>
      </c>
      <c r="Z15" s="33">
        <f>'New vs Old'!Z29</f>
        <v>88.136403562537268</v>
      </c>
      <c r="AA15" s="33">
        <v>99.992607631214725</v>
      </c>
      <c r="AB15" s="880">
        <f>-(Z15-AA15)/AA20</f>
        <v>5.593577419856951E-3</v>
      </c>
      <c r="AC15" s="238"/>
      <c r="AD15" s="881" t="s">
        <v>899</v>
      </c>
      <c r="AG15" s="33">
        <f>'New vs Old'!AG29</f>
        <v>15</v>
      </c>
      <c r="AH15" s="33">
        <v>15</v>
      </c>
      <c r="AI15" s="880">
        <f>-(AG15-AH15)/AH20</f>
        <v>0</v>
      </c>
      <c r="AK15" s="33">
        <f>'New vs Old'!AK29</f>
        <v>10</v>
      </c>
      <c r="AL15" s="33">
        <v>10</v>
      </c>
      <c r="AM15" s="880">
        <f>-(AK15-AL15)/AL20</f>
        <v>0</v>
      </c>
      <c r="AO15" s="33">
        <f>'New vs Old'!AO29</f>
        <v>32</v>
      </c>
      <c r="AP15" s="33">
        <v>32</v>
      </c>
      <c r="AQ15" s="880">
        <f>-(AO15-AP15)/AP20</f>
        <v>0</v>
      </c>
      <c r="AS15" s="33">
        <f>'New vs Old'!AS29</f>
        <v>-1</v>
      </c>
      <c r="AT15" s="33">
        <v>-1</v>
      </c>
      <c r="AU15" s="880">
        <f>-(AS15-AT15)/AT20</f>
        <v>0</v>
      </c>
      <c r="AW15" s="33">
        <f>'New vs Old'!AW29</f>
        <v>19</v>
      </c>
      <c r="AX15" s="33">
        <v>19</v>
      </c>
      <c r="AY15" s="880">
        <f>-(AW15-AX15)/AX20</f>
        <v>0</v>
      </c>
      <c r="BA15" s="33">
        <f>'New vs Old'!BA29</f>
        <v>22</v>
      </c>
      <c r="BB15" s="33">
        <v>16.747447105729446</v>
      </c>
      <c r="BC15" s="880">
        <f>-(BA15-BB15)/BB20</f>
        <v>-2.0510160472318683E-3</v>
      </c>
      <c r="BE15" s="33">
        <f>'New vs Old'!BE29</f>
        <v>19.494955995744352</v>
      </c>
      <c r="BF15" s="33">
        <v>18.34950696346727</v>
      </c>
      <c r="BG15" s="880">
        <f>-(BE15-BF15)/BF20</f>
        <v>-4.510774194833861E-4</v>
      </c>
      <c r="BI15" s="33">
        <f>'New vs Old'!BI29</f>
        <v>15.850270019171404</v>
      </c>
      <c r="BJ15" s="33">
        <v>13.956976590819934</v>
      </c>
      <c r="BK15" s="880">
        <f>-(BI15-BJ15)/BJ20</f>
        <v>-7.592049114566366E-4</v>
      </c>
      <c r="BM15" s="33">
        <f>'New vs Old'!BM29</f>
        <v>19.078680383461229</v>
      </c>
      <c r="BN15" s="33">
        <v>16.65930597377826</v>
      </c>
      <c r="BO15" s="880">
        <f>-(BM15-BN15)/BN20</f>
        <v>-9.9604834943151001E-4</v>
      </c>
    </row>
    <row r="16" spans="2:67" x14ac:dyDescent="0.2">
      <c r="B16" s="881" t="s">
        <v>900</v>
      </c>
      <c r="F16" s="33">
        <f>'New vs Old'!F30</f>
        <v>195</v>
      </c>
      <c r="G16" s="33">
        <v>195</v>
      </c>
      <c r="H16" s="880">
        <f>-(F16-G16)/G20</f>
        <v>0</v>
      </c>
      <c r="J16" s="33">
        <f>'New vs Old'!J30</f>
        <v>168</v>
      </c>
      <c r="K16" s="33">
        <v>197.15596515959336</v>
      </c>
      <c r="L16" s="880">
        <f>-(J16-K16)/K20</f>
        <v>1.078797381756723E-2</v>
      </c>
      <c r="N16" s="33">
        <f>'New vs Old'!N30</f>
        <v>117.32624309610488</v>
      </c>
      <c r="O16" s="33">
        <v>160.59137067341825</v>
      </c>
      <c r="P16" s="880">
        <f>-(N16-O16)/O20</f>
        <v>1.7266215516243046E-2</v>
      </c>
      <c r="R16" s="33">
        <f>'New vs Old'!R30</f>
        <v>131.69981399365037</v>
      </c>
      <c r="S16" s="33">
        <v>176.50632338168185</v>
      </c>
      <c r="T16" s="880">
        <f>-(R16-S16)/S20</f>
        <v>1.9620261134420478E-2</v>
      </c>
      <c r="V16" s="33">
        <f>'New vs Old'!V30</f>
        <v>141.74005620653381</v>
      </c>
      <c r="W16" s="33">
        <v>189.92729874406916</v>
      </c>
      <c r="X16" s="880">
        <f>-(V16-W16)/W20</f>
        <v>2.3182511560298255E-2</v>
      </c>
      <c r="Z16" s="33">
        <f>'New vs Old'!Z30</f>
        <v>141.74005620653381</v>
      </c>
      <c r="AA16" s="33">
        <v>243.67871728558544</v>
      </c>
      <c r="AB16" s="880">
        <f>-(Z16-AA16)/AA20</f>
        <v>4.8093115597481362E-2</v>
      </c>
      <c r="AC16" s="238"/>
      <c r="AD16" s="881" t="s">
        <v>900</v>
      </c>
      <c r="AG16" s="33">
        <f>'New vs Old'!AG30</f>
        <v>49</v>
      </c>
      <c r="AH16" s="33">
        <v>49</v>
      </c>
      <c r="AI16" s="880">
        <f>-(AG16-AH16)/AH20</f>
        <v>0</v>
      </c>
      <c r="AK16" s="33">
        <f>'New vs Old'!AK30</f>
        <v>55</v>
      </c>
      <c r="AL16" s="33">
        <v>55</v>
      </c>
      <c r="AM16" s="880">
        <f>-(AK16-AL16)/AL20</f>
        <v>0</v>
      </c>
      <c r="AO16" s="33">
        <f>'New vs Old'!AO30</f>
        <v>48</v>
      </c>
      <c r="AP16" s="33">
        <v>46</v>
      </c>
      <c r="AQ16" s="880">
        <f>-(AO16-AP16)/AP20</f>
        <v>-7.3014018691588793E-4</v>
      </c>
      <c r="AS16" s="33">
        <f>'New vs Old'!AS30</f>
        <v>53</v>
      </c>
      <c r="AT16" s="33">
        <v>52</v>
      </c>
      <c r="AU16" s="880">
        <f>-(AS16-AT16)/AT20</f>
        <v>-3.7261989044975221E-4</v>
      </c>
      <c r="AW16" s="33">
        <f>'New vs Old'!AW30</f>
        <v>12</v>
      </c>
      <c r="AX16" s="33">
        <v>10</v>
      </c>
      <c r="AY16" s="880">
        <f>-(AW16-AX16)/AX20</f>
        <v>-7.6740081344486225E-4</v>
      </c>
      <c r="BA16" s="33">
        <f>'New vs Old'!BA30</f>
        <v>22</v>
      </c>
      <c r="BB16" s="33">
        <v>45.497231303898332</v>
      </c>
      <c r="BC16" s="880">
        <f>-(BA16-BB16)/BB20</f>
        <v>9.1751952697864802E-3</v>
      </c>
      <c r="BE16" s="33">
        <f>'New vs Old'!BE30</f>
        <v>36.553042492020666</v>
      </c>
      <c r="BF16" s="33">
        <v>42.197846311968668</v>
      </c>
      <c r="BG16" s="880">
        <f>-(BE16-BF16)/BF20</f>
        <v>2.2229217266265711E-3</v>
      </c>
      <c r="BI16" s="33">
        <f>'New vs Old'!BI30</f>
        <v>32.916220415874676</v>
      </c>
      <c r="BJ16" s="33">
        <v>39.348597874801541</v>
      </c>
      <c r="BK16" s="880">
        <f>-(BI16-BJ16)/BJ20</f>
        <v>2.5793638144153887E-3</v>
      </c>
      <c r="BM16" s="33">
        <f>'New vs Old'!BM30</f>
        <v>25.85698018820953</v>
      </c>
      <c r="BN16" s="33">
        <v>33.547695182749713</v>
      </c>
      <c r="BO16" s="880">
        <f>-(BM16-BN16)/BN20</f>
        <v>3.1662416307295356E-3</v>
      </c>
    </row>
    <row r="17" spans="2:67" x14ac:dyDescent="0.2">
      <c r="B17" s="882"/>
      <c r="E17" s="238"/>
      <c r="F17" s="895"/>
      <c r="G17" s="895"/>
      <c r="H17" s="867"/>
      <c r="I17" s="238"/>
      <c r="J17" s="895"/>
      <c r="L17" s="867"/>
      <c r="M17" s="238"/>
      <c r="P17" s="867"/>
      <c r="Q17" s="238"/>
      <c r="T17" s="867"/>
      <c r="U17" s="238"/>
      <c r="X17" s="867"/>
      <c r="Y17" s="238"/>
      <c r="AB17" s="867"/>
      <c r="AC17" s="238"/>
      <c r="AD17" s="882"/>
      <c r="AI17" s="867"/>
      <c r="AM17" s="867"/>
      <c r="AQ17" s="867"/>
      <c r="AU17" s="867"/>
      <c r="AY17" s="867"/>
      <c r="BC17" s="867"/>
      <c r="BG17" s="867"/>
      <c r="BK17" s="867"/>
      <c r="BO17" s="867"/>
    </row>
    <row r="18" spans="2:67" x14ac:dyDescent="0.2">
      <c r="B18" s="882" t="s">
        <v>901</v>
      </c>
      <c r="F18" s="33">
        <f>'New vs Old'!F31</f>
        <v>13698</v>
      </c>
      <c r="G18" s="33">
        <v>13698</v>
      </c>
      <c r="H18" s="880">
        <f>(F18-G18)/G20</f>
        <v>0</v>
      </c>
      <c r="J18" s="33">
        <f>'New vs Old'!J31</f>
        <v>14526</v>
      </c>
      <c r="K18" s="33">
        <v>14109.210243012822</v>
      </c>
      <c r="L18" s="880">
        <f>(J18-K18)/K20</f>
        <v>0.15421602273140453</v>
      </c>
      <c r="N18" s="33">
        <f>'New vs Old'!N31</f>
        <v>16643.433426984044</v>
      </c>
      <c r="O18" s="33">
        <v>16185.824594539279</v>
      </c>
      <c r="P18" s="880">
        <f>(N18-O18)/O20</f>
        <v>0.18262219865198642</v>
      </c>
      <c r="R18" s="33">
        <f>'New vs Old'!R31</f>
        <v>18238.011958473588</v>
      </c>
      <c r="S18" s="33">
        <v>18341.154268236784</v>
      </c>
      <c r="T18" s="880">
        <f>(R18-S18)/S20</f>
        <v>-4.5164845001332492E-2</v>
      </c>
      <c r="V18" s="33">
        <f>'New vs Old'!V31</f>
        <v>19727.965572865374</v>
      </c>
      <c r="W18" s="33">
        <v>19835.973377401686</v>
      </c>
      <c r="X18" s="880">
        <f>(V18-W18)/W20</f>
        <v>-5.1961723589289764E-2</v>
      </c>
      <c r="Z18" s="33">
        <f>'New vs Old'!Z31</f>
        <v>19727.965572865374</v>
      </c>
      <c r="AA18" s="33">
        <v>17324.654196066149</v>
      </c>
      <c r="AB18" s="880">
        <f>(Z18-AA18)/AA20</f>
        <v>1.1338458896523553</v>
      </c>
      <c r="AC18" s="238"/>
      <c r="AD18" s="882" t="s">
        <v>901</v>
      </c>
      <c r="AG18" s="33">
        <f>'New vs Old'!AG31</f>
        <v>3207</v>
      </c>
      <c r="AH18" s="33">
        <v>3207</v>
      </c>
      <c r="AI18" s="880">
        <f>(AG18-AH18)/AH20</f>
        <v>0</v>
      </c>
      <c r="AK18" s="33">
        <f>'New vs Old'!AK31</f>
        <v>3752</v>
      </c>
      <c r="AL18" s="33">
        <v>3752</v>
      </c>
      <c r="AM18" s="880">
        <f>(AK18-AL18)/AL20</f>
        <v>0</v>
      </c>
      <c r="AO18" s="33">
        <f>'New vs Old'!AO31</f>
        <v>3483</v>
      </c>
      <c r="AP18" s="33">
        <v>3483</v>
      </c>
      <c r="AQ18" s="880">
        <f>(AO18-AP18)/AP20</f>
        <v>0</v>
      </c>
      <c r="AS18" s="33">
        <f>'New vs Old'!AS31</f>
        <v>3813</v>
      </c>
      <c r="AT18" s="33">
        <v>3813</v>
      </c>
      <c r="AU18" s="880">
        <f>(AS18-AT18)/AT20</f>
        <v>0</v>
      </c>
      <c r="AW18" s="33">
        <f>'New vs Old'!AW31</f>
        <v>3478</v>
      </c>
      <c r="AX18" s="33">
        <v>3478</v>
      </c>
      <c r="AY18" s="880">
        <f>(AW18-AX18)/AX20</f>
        <v>0</v>
      </c>
      <c r="BA18" s="33">
        <f>'New vs Old'!BA31</f>
        <v>4304</v>
      </c>
      <c r="BB18" s="33">
        <v>4121.1344999512621</v>
      </c>
      <c r="BC18" s="880">
        <f>(BA18-BB18)/BB20</f>
        <v>7.1405292366337553E-2</v>
      </c>
      <c r="BE18" s="33">
        <f>'New vs Old'!BE31</f>
        <v>4093.0045573148786</v>
      </c>
      <c r="BF18" s="33">
        <v>4102.3067423091998</v>
      </c>
      <c r="BG18" s="880">
        <f>(BE18-BF18)/BF20</f>
        <v>-3.6631971258066806E-3</v>
      </c>
      <c r="BI18" s="33">
        <f>'New vs Old'!BI31</f>
        <v>4232.1259501025334</v>
      </c>
      <c r="BJ18" s="33">
        <v>4118.7986355025059</v>
      </c>
      <c r="BK18" s="880">
        <f>(BI18-BJ18)/BJ20</f>
        <v>4.5443908777229459E-2</v>
      </c>
      <c r="BM18" s="33">
        <f>'New vs Old'!BM31</f>
        <v>4014.302919566629</v>
      </c>
      <c r="BN18" s="33">
        <v>3843.5847167763091</v>
      </c>
      <c r="BO18" s="880">
        <f>(BM18-BN18)/BN20</f>
        <v>7.0284112879202609E-2</v>
      </c>
    </row>
    <row r="19" spans="2:67" x14ac:dyDescent="0.2">
      <c r="B19" s="882"/>
      <c r="F19" s="33"/>
      <c r="G19" s="33"/>
      <c r="H19" s="880"/>
      <c r="J19" s="33"/>
      <c r="K19" s="33"/>
      <c r="L19" s="880"/>
      <c r="N19" s="33"/>
      <c r="O19" s="33"/>
      <c r="P19" s="880"/>
      <c r="R19" s="33"/>
      <c r="S19" s="33"/>
      <c r="T19" s="880"/>
      <c r="V19" s="33"/>
      <c r="W19" s="33"/>
      <c r="X19" s="880"/>
      <c r="Z19" s="33"/>
      <c r="AA19" s="33"/>
      <c r="AB19" s="880"/>
      <c r="AC19" s="238"/>
      <c r="AD19" s="882"/>
      <c r="AG19" s="33"/>
      <c r="AH19" s="33"/>
      <c r="AI19" s="880"/>
      <c r="AK19" s="33"/>
      <c r="AL19" s="33"/>
      <c r="AM19" s="880"/>
      <c r="AO19" s="33"/>
      <c r="AP19" s="33"/>
      <c r="AQ19" s="880"/>
      <c r="AS19" s="33"/>
      <c r="AT19" s="33"/>
      <c r="AU19" s="880"/>
      <c r="AW19" s="33"/>
      <c r="AX19" s="33"/>
      <c r="AY19" s="880"/>
      <c r="BA19" s="33"/>
      <c r="BB19" s="33"/>
      <c r="BC19" s="880"/>
      <c r="BE19" s="33"/>
      <c r="BF19" s="33"/>
      <c r="BG19" s="880"/>
      <c r="BI19" s="33"/>
      <c r="BJ19" s="33"/>
      <c r="BK19" s="880"/>
      <c r="BM19" s="33"/>
      <c r="BN19" s="33"/>
      <c r="BO19" s="880"/>
    </row>
    <row r="20" spans="2:67" x14ac:dyDescent="0.2">
      <c r="B20" s="882" t="s">
        <v>713</v>
      </c>
      <c r="F20" s="33">
        <f>'New vs Old'!F33</f>
        <v>2888.25</v>
      </c>
      <c r="G20" s="33">
        <v>2888.25</v>
      </c>
      <c r="H20" s="880">
        <f>+H22-H18</f>
        <v>0</v>
      </c>
      <c r="J20" s="33">
        <f>'New vs Old'!J33</f>
        <v>2698.7749999999996</v>
      </c>
      <c r="K20" s="33">
        <v>2702.6358844248898</v>
      </c>
      <c r="L20" s="880">
        <f>+L22-L18</f>
        <v>5.7839772685956137E-3</v>
      </c>
      <c r="N20" s="33">
        <f>'New vs Old'!N33</f>
        <v>2504.1623538881313</v>
      </c>
      <c r="O20" s="33">
        <v>2505.7678410542294</v>
      </c>
      <c r="P20" s="880">
        <f>+P22-P18</f>
        <v>7.3778013480139681E-3</v>
      </c>
      <c r="R20" s="33">
        <f>'New vs Old'!R33</f>
        <v>2289.6142155271455</v>
      </c>
      <c r="S20" s="33">
        <v>2283.6856798723202</v>
      </c>
      <c r="T20" s="880">
        <f>+T22-T18</f>
        <v>-1.4835154998667117E-2</v>
      </c>
      <c r="V20" s="33">
        <f>'New vs Old'!V33</f>
        <v>2120.756205373043</v>
      </c>
      <c r="W20" s="33">
        <v>2078.6031924193894</v>
      </c>
      <c r="X20" s="880">
        <f>+X22-X18</f>
        <v>-0.18803827641070867</v>
      </c>
      <c r="Z20" s="33">
        <f>'New vs Old'!Z33</f>
        <v>2120.756205373043</v>
      </c>
      <c r="AA20" s="33">
        <v>2119.6102563251311</v>
      </c>
      <c r="AB20" s="880">
        <f>+AB22-AB18</f>
        <v>-3.8458896523545505E-3</v>
      </c>
      <c r="AC20" s="238"/>
      <c r="AD20" s="882" t="s">
        <v>713</v>
      </c>
      <c r="AG20" s="33">
        <f>'New vs Old'!AG33</f>
        <v>2814</v>
      </c>
      <c r="AH20" s="33">
        <v>2814</v>
      </c>
      <c r="AI20" s="880">
        <f>+AI22-AI18</f>
        <v>0</v>
      </c>
      <c r="AK20" s="33">
        <f>'New vs Old'!AK33</f>
        <v>2766</v>
      </c>
      <c r="AL20" s="33">
        <v>2766</v>
      </c>
      <c r="AM20" s="880">
        <f>+AM22-AM18</f>
        <v>0</v>
      </c>
      <c r="AO20" s="33">
        <f>'New vs Old'!AO33</f>
        <v>2739.2</v>
      </c>
      <c r="AP20" s="33">
        <v>2739.2</v>
      </c>
      <c r="AQ20" s="880">
        <f>+AQ22-AQ18</f>
        <v>0</v>
      </c>
      <c r="AS20" s="33">
        <f>'New vs Old'!AS33</f>
        <v>2683.7</v>
      </c>
      <c r="AT20" s="33">
        <v>2683.7</v>
      </c>
      <c r="AU20" s="880">
        <f>+AU22-AU18</f>
        <v>0</v>
      </c>
      <c r="AW20" s="33">
        <f>'New vs Old'!AW33</f>
        <v>2606.1999999999998</v>
      </c>
      <c r="AX20" s="33">
        <v>2606.1999999999998</v>
      </c>
      <c r="AY20" s="880">
        <f>+AY22-AY18</f>
        <v>0</v>
      </c>
      <c r="BA20" s="33">
        <f>'New vs Old'!BA33</f>
        <v>2563</v>
      </c>
      <c r="BB20" s="33">
        <v>2560.951632416336</v>
      </c>
      <c r="BC20" s="880">
        <f>+BC22-BC18</f>
        <v>-1.4052923663377126E-3</v>
      </c>
      <c r="BE20" s="33">
        <f>'New vs Old'!BE33</f>
        <v>2537.2962892725013</v>
      </c>
      <c r="BF20" s="33">
        <v>2539.3623861485939</v>
      </c>
      <c r="BG20" s="880">
        <f>+BG22-BG18</f>
        <v>-6.3368028741933279E-3</v>
      </c>
      <c r="BI20" s="33">
        <f>'New vs Old'!BI33</f>
        <v>2490.5193956002418</v>
      </c>
      <c r="BJ20" s="33">
        <v>2493.7844839793411</v>
      </c>
      <c r="BK20" s="880">
        <f>+BK22-BK18</f>
        <v>4.5560912227705849E-3</v>
      </c>
      <c r="BM20" s="33">
        <f>'New vs Old'!BM33</f>
        <v>2425.8337306797821</v>
      </c>
      <c r="BN20" s="33">
        <v>2428.9728616726452</v>
      </c>
      <c r="BO20" s="880">
        <f>+BO22-BO18</f>
        <v>-2.8411287920276918E-4</v>
      </c>
    </row>
    <row r="21" spans="2:67" ht="12" thickBot="1" x14ac:dyDescent="0.25">
      <c r="B21" s="882"/>
      <c r="F21" s="895"/>
      <c r="G21" s="895"/>
      <c r="H21" s="867"/>
      <c r="J21" s="895"/>
      <c r="L21" s="867"/>
      <c r="P21" s="867"/>
      <c r="T21" s="867"/>
      <c r="X21" s="867"/>
      <c r="AB21" s="867"/>
      <c r="AC21" s="238"/>
      <c r="AD21" s="882"/>
      <c r="AI21" s="867"/>
      <c r="AM21" s="867"/>
      <c r="AQ21" s="867"/>
      <c r="AU21" s="867"/>
      <c r="AY21" s="867"/>
      <c r="BC21" s="867"/>
      <c r="BG21" s="867"/>
      <c r="BK21" s="867"/>
      <c r="BO21" s="867"/>
    </row>
    <row r="22" spans="2:67" ht="12" thickBot="1" x14ac:dyDescent="0.25">
      <c r="B22" s="882" t="s">
        <v>712</v>
      </c>
      <c r="F22" s="871">
        <f>'New vs Old'!F35</f>
        <v>4.74</v>
      </c>
      <c r="G22" s="872">
        <v>4.74</v>
      </c>
      <c r="H22" s="873">
        <f>(ROUND(F22,2))-(ROUND(G22,2))</f>
        <v>0</v>
      </c>
      <c r="J22" s="871">
        <f>'New vs Old'!J35</f>
        <v>5.38</v>
      </c>
      <c r="K22" s="872">
        <v>5.22</v>
      </c>
      <c r="L22" s="873">
        <f>(ROUND(J22,2))-(ROUND(K22,2))</f>
        <v>0.16000000000000014</v>
      </c>
      <c r="N22" s="871">
        <f>'New vs Old'!N35</f>
        <v>6.65</v>
      </c>
      <c r="O22" s="872">
        <v>6.46</v>
      </c>
      <c r="P22" s="873">
        <f>(ROUND(N22,2))-(ROUND(O22,2))</f>
        <v>0.19000000000000039</v>
      </c>
      <c r="R22" s="871">
        <f>'New vs Old'!R35</f>
        <v>7.97</v>
      </c>
      <c r="S22" s="872">
        <v>8.0299999999999994</v>
      </c>
      <c r="T22" s="873">
        <f>(ROUND(R22,2))-(ROUND(S22,2))</f>
        <v>-5.9999999999999609E-2</v>
      </c>
      <c r="V22" s="871">
        <f>'New vs Old'!V35</f>
        <v>9.3000000000000007</v>
      </c>
      <c r="W22" s="872">
        <v>9.5399999999999991</v>
      </c>
      <c r="X22" s="873">
        <f>(ROUND(V22,2))-(ROUND(W22,2))</f>
        <v>-0.23999999999999844</v>
      </c>
      <c r="Z22" s="871">
        <f>'New vs Old'!Z35</f>
        <v>9.3000000000000007</v>
      </c>
      <c r="AA22" s="872">
        <v>8.17</v>
      </c>
      <c r="AB22" s="873">
        <f>(ROUND(Z22,2))-(ROUND(AA22,2))</f>
        <v>1.1300000000000008</v>
      </c>
      <c r="AC22" s="238"/>
      <c r="AD22" s="882" t="s">
        <v>712</v>
      </c>
      <c r="AG22" s="871">
        <f>'New vs Old'!AG35</f>
        <v>1.1399999999999999</v>
      </c>
      <c r="AH22" s="872">
        <v>1.1399999999999999</v>
      </c>
      <c r="AI22" s="873">
        <f>(ROUND(AG22,2))-(ROUND(AH22,2))</f>
        <v>0</v>
      </c>
      <c r="AK22" s="871">
        <f>'New vs Old'!AK35</f>
        <v>1.36</v>
      </c>
      <c r="AL22" s="872">
        <v>1.36</v>
      </c>
      <c r="AM22" s="873">
        <f>(ROUND(AK22,2))-(ROUND(AL22,2))</f>
        <v>0</v>
      </c>
      <c r="AO22" s="871">
        <f>'New vs Old'!AO35</f>
        <v>1.27</v>
      </c>
      <c r="AP22" s="872">
        <v>1.27</v>
      </c>
      <c r="AQ22" s="873">
        <f>(ROUND(AO22,2))-(ROUND(AP22,2))</f>
        <v>0</v>
      </c>
      <c r="AS22" s="871">
        <f>'New vs Old'!AS35</f>
        <v>1.42</v>
      </c>
      <c r="AT22" s="872">
        <v>1.42</v>
      </c>
      <c r="AU22" s="873">
        <f>(ROUND(AS22,2))-(ROUND(AT22,2))</f>
        <v>0</v>
      </c>
      <c r="AW22" s="871">
        <f>'New vs Old'!AW35</f>
        <v>1.33</v>
      </c>
      <c r="AX22" s="872">
        <v>1.33</v>
      </c>
      <c r="AY22" s="873">
        <f>(ROUND(AW22,2))-(ROUND(AX22,2))</f>
        <v>0</v>
      </c>
      <c r="BA22" s="871">
        <f>'New vs Old'!BA35</f>
        <v>1.68</v>
      </c>
      <c r="BB22" s="872">
        <v>1.61</v>
      </c>
      <c r="BC22" s="873">
        <f>(ROUND(BA22,2))-(ROUND(BB22,2))</f>
        <v>6.999999999999984E-2</v>
      </c>
      <c r="BE22" s="871">
        <f>'New vs Old'!BE35</f>
        <v>1.61</v>
      </c>
      <c r="BF22" s="872">
        <v>1.62</v>
      </c>
      <c r="BG22" s="873">
        <f>(ROUND(BE22,2))-(ROUND(BF22,2))</f>
        <v>-1.0000000000000009E-2</v>
      </c>
      <c r="BI22" s="871">
        <f>'New vs Old'!BI35</f>
        <v>1.7</v>
      </c>
      <c r="BJ22" s="872">
        <v>1.65</v>
      </c>
      <c r="BK22" s="873">
        <f>(ROUND(BI22,2))-(ROUND(BJ22,2))</f>
        <v>5.0000000000000044E-2</v>
      </c>
      <c r="BM22" s="871">
        <f>'New vs Old'!BM35</f>
        <v>1.65</v>
      </c>
      <c r="BN22" s="872">
        <v>1.58</v>
      </c>
      <c r="BO22" s="873">
        <f>(ROUND(BM22,2))-(ROUND(BN22,2))</f>
        <v>6.999999999999984E-2</v>
      </c>
    </row>
    <row r="23" spans="2:67" x14ac:dyDescent="0.2">
      <c r="B23" s="238"/>
      <c r="F23" s="895"/>
      <c r="G23" s="895"/>
      <c r="H23" s="883">
        <f>F22/G22-1</f>
        <v>0</v>
      </c>
      <c r="J23" s="895"/>
      <c r="L23" s="883">
        <f>J22/K22-1</f>
        <v>3.0651340996168619E-2</v>
      </c>
      <c r="P23" s="883">
        <f>N22/O22-1</f>
        <v>2.941176470588247E-2</v>
      </c>
      <c r="T23" s="883">
        <f>R22/S22-1</f>
        <v>-7.4719800747197196E-3</v>
      </c>
      <c r="X23" s="883">
        <f>V22/W22-1</f>
        <v>-2.5157232704402399E-2</v>
      </c>
      <c r="AB23" s="883">
        <f>Z22/AA22-1</f>
        <v>0.13831089351285208</v>
      </c>
      <c r="AC23" s="238"/>
      <c r="AD23" s="238"/>
      <c r="AI23" s="883">
        <f>AG22/AH22-1</f>
        <v>0</v>
      </c>
      <c r="AM23" s="883">
        <f>AK22/AL22-1</f>
        <v>0</v>
      </c>
      <c r="AQ23" s="883">
        <f>AO22/AP22-1</f>
        <v>0</v>
      </c>
      <c r="AU23" s="883">
        <f>AS22/AT22-1</f>
        <v>0</v>
      </c>
      <c r="AY23" s="883">
        <f>AW22/AX22-1</f>
        <v>0</v>
      </c>
      <c r="BC23" s="883">
        <f>BA22/BB22-1</f>
        <v>4.3478260869565188E-2</v>
      </c>
      <c r="BG23" s="883">
        <f>BE22/BF22-1</f>
        <v>-6.1728395061728669E-3</v>
      </c>
      <c r="BK23" s="883">
        <f>BI22/BJ22-1</f>
        <v>3.0303030303030276E-2</v>
      </c>
      <c r="BO23" s="883">
        <f>BM22/BN22-1</f>
        <v>4.4303797468354222E-2</v>
      </c>
    </row>
    <row r="24" spans="2:67" x14ac:dyDescent="0.2">
      <c r="B24" s="238"/>
      <c r="F24" s="895"/>
      <c r="G24" s="238"/>
      <c r="H24" s="867"/>
      <c r="J24" s="895"/>
      <c r="L24" s="867"/>
      <c r="P24" s="867"/>
      <c r="T24" s="867"/>
      <c r="X24" s="867"/>
      <c r="AB24" s="867"/>
      <c r="AC24" s="238"/>
      <c r="AD24" s="238"/>
      <c r="AH24" s="238"/>
      <c r="AI24" s="867"/>
      <c r="AM24" s="867"/>
      <c r="AQ24" s="867"/>
      <c r="AU24" s="867"/>
      <c r="AY24" s="867"/>
      <c r="BC24" s="867"/>
      <c r="BG24" s="867"/>
      <c r="BK24" s="867"/>
      <c r="BO24" s="867"/>
    </row>
    <row r="25" spans="2:67" x14ac:dyDescent="0.2">
      <c r="B25" s="394" t="s">
        <v>710</v>
      </c>
      <c r="D25" s="238"/>
      <c r="F25" s="33"/>
      <c r="G25" s="33"/>
      <c r="H25" s="880">
        <f>((F25-G25)*0.65)/G$20</f>
        <v>0</v>
      </c>
      <c r="J25" s="33"/>
      <c r="K25" s="33"/>
      <c r="L25" s="880"/>
      <c r="N25" s="33"/>
      <c r="O25" s="33"/>
      <c r="P25" s="880"/>
      <c r="R25" s="33"/>
      <c r="S25" s="33"/>
      <c r="T25" s="880"/>
      <c r="V25" s="33"/>
      <c r="W25" s="33"/>
      <c r="X25" s="880"/>
      <c r="Z25" s="33"/>
      <c r="AA25" s="33"/>
      <c r="AB25" s="880"/>
      <c r="AC25" s="238"/>
      <c r="AD25" s="394" t="s">
        <v>710</v>
      </c>
      <c r="AG25" s="33"/>
      <c r="AH25" s="33"/>
      <c r="AI25" s="880"/>
      <c r="AK25" s="33"/>
      <c r="AL25" s="33"/>
      <c r="AM25" s="880"/>
      <c r="AO25" s="33"/>
      <c r="AP25" s="33"/>
      <c r="AQ25" s="880"/>
      <c r="AS25" s="33"/>
      <c r="AT25" s="33"/>
      <c r="AU25" s="880"/>
      <c r="AW25" s="33"/>
      <c r="AX25" s="33"/>
      <c r="AY25" s="880"/>
      <c r="BA25" s="33"/>
      <c r="BB25" s="33"/>
      <c r="BC25" s="880"/>
      <c r="BE25" s="33"/>
      <c r="BF25" s="33"/>
      <c r="BG25" s="880"/>
      <c r="BI25" s="33"/>
      <c r="BJ25" s="33"/>
      <c r="BK25" s="880"/>
      <c r="BM25" s="33"/>
      <c r="BN25" s="33"/>
      <c r="BO25" s="880"/>
    </row>
    <row r="26" spans="2:67" x14ac:dyDescent="0.2">
      <c r="B26" s="861" t="s">
        <v>938</v>
      </c>
      <c r="D26" s="238"/>
      <c r="F26" s="895"/>
      <c r="G26" s="895"/>
      <c r="H26" s="867"/>
      <c r="J26" s="895"/>
      <c r="L26" s="867"/>
      <c r="P26" s="867"/>
      <c r="T26" s="867"/>
      <c r="X26" s="867"/>
      <c r="AB26" s="867"/>
      <c r="AC26" s="238"/>
      <c r="AD26" s="895" t="s">
        <v>938</v>
      </c>
      <c r="AI26" s="867"/>
      <c r="AM26" s="867"/>
      <c r="AQ26" s="867"/>
      <c r="AU26" s="867"/>
      <c r="AY26" s="867"/>
      <c r="BC26" s="867"/>
      <c r="BG26" s="867"/>
      <c r="BK26" s="867"/>
      <c r="BO26" s="867"/>
    </row>
    <row r="27" spans="2:67" s="15" customFormat="1" x14ac:dyDescent="0.2">
      <c r="B27" s="391" t="s">
        <v>100</v>
      </c>
      <c r="F27" s="207">
        <f>Model!AY134</f>
        <v>31519</v>
      </c>
      <c r="G27" s="207">
        <v>31519</v>
      </c>
      <c r="H27" s="893">
        <f t="shared" ref="H27:H32" si="0">((F27-G27)*0.65)/G$20</f>
        <v>0</v>
      </c>
      <c r="J27" s="207">
        <f>Model!AZ134</f>
        <v>32838</v>
      </c>
      <c r="K27" s="207">
        <v>32751.341777534246</v>
      </c>
      <c r="L27" s="893">
        <f t="shared" ref="L27:L32" si="1">((J27-K27)*0.65)/K$20</f>
        <v>2.0841817770330721E-2</v>
      </c>
      <c r="N27" s="207">
        <f>Model!BA134</f>
        <v>34276.780147420439</v>
      </c>
      <c r="O27" s="207">
        <v>34308.556438271793</v>
      </c>
      <c r="P27" s="893">
        <f t="shared" ref="P27:P32" si="2">((N27-O27)*0.65)/O$20</f>
        <v>-8.2428183150001499E-3</v>
      </c>
      <c r="R27" s="207">
        <f>Model!BB134</f>
        <v>35858.814135231318</v>
      </c>
      <c r="S27" s="207">
        <v>35818.236331263317</v>
      </c>
      <c r="T27" s="893">
        <f t="shared" ref="T27:T32" si="3">((R27-S27)*0.65)/S$20</f>
        <v>1.1549563414819492E-2</v>
      </c>
      <c r="V27" s="207">
        <f>Model!BC134</f>
        <v>37604.049129121071</v>
      </c>
      <c r="W27" s="207">
        <v>37494.431882395802</v>
      </c>
      <c r="X27" s="893">
        <f t="shared" ref="X27:X32" si="4">((V27-W27)*0.65)/W$20</f>
        <v>3.4278408996616661E-2</v>
      </c>
      <c r="Z27" s="207">
        <f>Model!BC134</f>
        <v>37604.049129121071</v>
      </c>
      <c r="AA27" s="207">
        <v>38753.633216181515</v>
      </c>
      <c r="AB27" s="893">
        <f t="shared" ref="AB27:AB32" si="5">((Z27-AA27)*0.65)/AA$20</f>
        <v>-0.35253162903863106</v>
      </c>
      <c r="AC27" s="391"/>
      <c r="AD27" s="391" t="s">
        <v>100</v>
      </c>
      <c r="AF27" s="109"/>
      <c r="AG27" s="207">
        <f>Model!W134</f>
        <v>7967</v>
      </c>
      <c r="AH27" s="207">
        <v>7967</v>
      </c>
      <c r="AI27" s="893">
        <f t="shared" ref="AI27:AI32" si="6">((AG27-AH27)*0.65)/AH$20</f>
        <v>0</v>
      </c>
      <c r="AK27" s="207">
        <f>Model!X134</f>
        <v>7846</v>
      </c>
      <c r="AL27" s="207">
        <v>7817</v>
      </c>
      <c r="AM27" s="893">
        <f t="shared" ref="AM27:AM32" si="7">((AK27-AL27)*0.65)/AL$20</f>
        <v>6.8148951554591469E-3</v>
      </c>
      <c r="AO27" s="207">
        <f>Model!Y134</f>
        <v>8073</v>
      </c>
      <c r="AP27" s="207">
        <v>8035</v>
      </c>
      <c r="AQ27" s="893">
        <f t="shared" ref="AQ27:AQ32" si="8">((AO27-AP27)*0.65)/AP$20</f>
        <v>9.0172313084112155E-3</v>
      </c>
      <c r="AS27" s="207">
        <f>Model!Z134</f>
        <v>8470</v>
      </c>
      <c r="AT27" s="207">
        <v>8433</v>
      </c>
      <c r="AU27" s="893">
        <f t="shared" ref="AU27:AU32" si="9">((AS27-AT27)*0.65)/AT$20</f>
        <v>8.9615083653165409E-3</v>
      </c>
      <c r="AW27" s="207">
        <f>Model!AA134</f>
        <v>8449</v>
      </c>
      <c r="AX27" s="207">
        <v>8412</v>
      </c>
      <c r="AY27" s="893">
        <f t="shared" ref="AY27:AY32" si="10">((AW27-AX27)*0.65)/AX$20</f>
        <v>9.2279947816744697E-3</v>
      </c>
      <c r="BA27" s="207">
        <f>Model!AB134</f>
        <v>8433</v>
      </c>
      <c r="BB27" s="207">
        <v>8406.4363150684949</v>
      </c>
      <c r="BC27" s="893">
        <f t="shared" ref="BC27:BC32" si="11">((BA27-BB27)*0.65)/BB$20</f>
        <v>6.7421793472869918E-3</v>
      </c>
      <c r="BE27" s="207">
        <f>Model!AC134</f>
        <v>8374.5398401369857</v>
      </c>
      <c r="BF27" s="207">
        <v>8386.3856786424658</v>
      </c>
      <c r="BG27" s="893">
        <f t="shared" ref="BG27:BG32" si="12">((BE27-BF27)*0.65)/BF$20</f>
        <v>-3.0321765300462618E-3</v>
      </c>
      <c r="BI27" s="207">
        <f>Model!AD134</f>
        <v>8687.4049600191793</v>
      </c>
      <c r="BJ27" s="207">
        <v>8700.3494139449031</v>
      </c>
      <c r="BK27" s="893">
        <f t="shared" ref="BK27:BK32" si="13">((BI27-BJ27)*0.65)/BJ$20</f>
        <v>-3.3739463477190225E-3</v>
      </c>
      <c r="BM27" s="207">
        <f>Model!AE134</f>
        <v>8781.8353472642757</v>
      </c>
      <c r="BN27" s="207">
        <v>8815.3850306159293</v>
      </c>
      <c r="BO27" s="893">
        <f t="shared" ref="BO27:BO32" si="14">((BM27-BN27)*0.65)/BN$20</f>
        <v>-8.9779900478418034E-3</v>
      </c>
    </row>
    <row r="28" spans="2:67" x14ac:dyDescent="0.2">
      <c r="B28" s="391" t="s">
        <v>182</v>
      </c>
      <c r="F28" s="120">
        <f>Model!AY489</f>
        <v>33227</v>
      </c>
      <c r="G28" s="207">
        <v>33227</v>
      </c>
      <c r="H28" s="867">
        <f t="shared" si="0"/>
        <v>0</v>
      </c>
      <c r="J28" s="120">
        <f>Model!AZ489</f>
        <v>36474</v>
      </c>
      <c r="K28" s="120">
        <v>35753.174851107193</v>
      </c>
      <c r="L28" s="867">
        <f t="shared" si="1"/>
        <v>0.17336273431447735</v>
      </c>
      <c r="N28" s="120">
        <f>Model!BA489</f>
        <v>39314.129287847914</v>
      </c>
      <c r="O28" s="120">
        <v>38985.866118115031</v>
      </c>
      <c r="P28" s="867">
        <f t="shared" si="2"/>
        <v>8.5151966926275385E-2</v>
      </c>
      <c r="R28" s="120">
        <f>Model!BB489</f>
        <v>42646.700741602115</v>
      </c>
      <c r="S28" s="120">
        <v>42154.966528436096</v>
      </c>
      <c r="T28" s="867">
        <f t="shared" si="3"/>
        <v>0.13996113448317568</v>
      </c>
      <c r="V28" s="120">
        <f>Model!BC489</f>
        <v>45556.306651665109</v>
      </c>
      <c r="W28" s="120">
        <v>45198.177114584614</v>
      </c>
      <c r="X28" s="867">
        <f t="shared" si="4"/>
        <v>0.11199068679932721</v>
      </c>
      <c r="Z28" s="120">
        <f>Model!BC489</f>
        <v>45556.306651665109</v>
      </c>
      <c r="AA28" s="120">
        <v>41117.921759281671</v>
      </c>
      <c r="AB28" s="867">
        <f t="shared" si="5"/>
        <v>1.3610757786438576</v>
      </c>
      <c r="AC28" s="238"/>
      <c r="AD28" s="391" t="s">
        <v>182</v>
      </c>
      <c r="AG28" s="120">
        <f>Model!W489</f>
        <v>8184</v>
      </c>
      <c r="AH28" s="207">
        <v>8184</v>
      </c>
      <c r="AI28" s="867">
        <f t="shared" si="6"/>
        <v>0</v>
      </c>
      <c r="AK28" s="120">
        <f>Model!X489</f>
        <v>9319</v>
      </c>
      <c r="AL28" s="120">
        <v>9126</v>
      </c>
      <c r="AM28" s="867">
        <f t="shared" si="7"/>
        <v>4.5354302241503976E-2</v>
      </c>
      <c r="AO28" s="120">
        <f>Model!Y489</f>
        <v>9421</v>
      </c>
      <c r="AP28" s="120">
        <v>9213</v>
      </c>
      <c r="AQ28" s="867">
        <f t="shared" si="8"/>
        <v>4.9357476635514028E-2</v>
      </c>
      <c r="AS28" s="120">
        <f>Model!Z489</f>
        <v>9430</v>
      </c>
      <c r="AT28" s="120">
        <v>9231</v>
      </c>
      <c r="AU28" s="867">
        <f t="shared" si="9"/>
        <v>4.8198382829675451E-2</v>
      </c>
      <c r="AW28" s="120">
        <f>Model!AA489</f>
        <v>8304</v>
      </c>
      <c r="AX28" s="120">
        <v>8097</v>
      </c>
      <c r="AY28" s="867">
        <f t="shared" si="10"/>
        <v>5.1626889724503112E-2</v>
      </c>
      <c r="BA28" s="120">
        <f>Model!AB489</f>
        <v>9848</v>
      </c>
      <c r="BB28" s="120">
        <v>10393.230105839073</v>
      </c>
      <c r="BC28" s="867">
        <f t="shared" si="11"/>
        <v>-0.13838588917862954</v>
      </c>
      <c r="BE28" s="120">
        <f>Model!AC489</f>
        <v>10162.645721581153</v>
      </c>
      <c r="BF28" s="120">
        <v>9877.7533553876456</v>
      </c>
      <c r="BG28" s="867">
        <f t="shared" si="12"/>
        <v>7.2923832784118431E-2</v>
      </c>
      <c r="BI28" s="120">
        <f>Model!AD489</f>
        <v>9938.8558633123321</v>
      </c>
      <c r="BJ28" s="120">
        <v>9649.0900543296157</v>
      </c>
      <c r="BK28" s="867">
        <f t="shared" si="13"/>
        <v>7.5526885762886145E-2</v>
      </c>
      <c r="BM28" s="120">
        <f>Model!AE489</f>
        <v>9364.6277029544326</v>
      </c>
      <c r="BN28" s="120">
        <v>9065.7926025587003</v>
      </c>
      <c r="BO28" s="867">
        <f t="shared" si="14"/>
        <v>7.9969117120339522E-2</v>
      </c>
    </row>
    <row r="29" spans="2:67" s="59" customFormat="1" x14ac:dyDescent="0.2">
      <c r="B29" s="861" t="s">
        <v>938</v>
      </c>
      <c r="C29" s="861"/>
      <c r="D29" s="861"/>
      <c r="E29" s="861"/>
      <c r="F29" s="33">
        <f>F28+F27</f>
        <v>64746</v>
      </c>
      <c r="G29" s="33">
        <v>64746</v>
      </c>
      <c r="H29" s="867">
        <f t="shared" si="0"/>
        <v>0</v>
      </c>
      <c r="I29" s="861"/>
      <c r="J29" s="33">
        <f>J28+J27</f>
        <v>69312</v>
      </c>
      <c r="K29" s="33">
        <v>68504.516628641431</v>
      </c>
      <c r="L29" s="867">
        <f t="shared" si="1"/>
        <v>0.19420455208480983</v>
      </c>
      <c r="M29" s="861"/>
      <c r="N29" s="33">
        <f>N28+N27</f>
        <v>73590.909435268346</v>
      </c>
      <c r="O29" s="33">
        <v>73294.422556386824</v>
      </c>
      <c r="P29" s="867">
        <f t="shared" si="2"/>
        <v>7.6909148611273348E-2</v>
      </c>
      <c r="Q29" s="1623"/>
      <c r="R29" s="33">
        <f>R28+R27</f>
        <v>78505.514876833433</v>
      </c>
      <c r="S29" s="33">
        <v>77973.202859699406</v>
      </c>
      <c r="T29" s="867">
        <f t="shared" si="3"/>
        <v>0.15151069789799723</v>
      </c>
      <c r="U29" s="1783"/>
      <c r="V29" s="33">
        <f>V28+V27</f>
        <v>83160.35578078618</v>
      </c>
      <c r="W29" s="33">
        <v>82692.608996980416</v>
      </c>
      <c r="X29" s="867">
        <f t="shared" si="4"/>
        <v>0.14626909579594388</v>
      </c>
      <c r="Y29" s="1623"/>
      <c r="Z29" s="33">
        <f>Z28+Z27</f>
        <v>83160.35578078618</v>
      </c>
      <c r="AA29" s="33">
        <v>79871.554975463194</v>
      </c>
      <c r="AB29" s="867">
        <f t="shared" si="5"/>
        <v>1.0085441496052243</v>
      </c>
      <c r="AC29" s="861"/>
      <c r="AD29" s="895" t="s">
        <v>938</v>
      </c>
      <c r="AE29" s="895"/>
      <c r="AF29" s="49"/>
      <c r="AG29" s="33">
        <f>AG28+AG27</f>
        <v>16151</v>
      </c>
      <c r="AH29" s="33">
        <v>16151</v>
      </c>
      <c r="AI29" s="867">
        <f t="shared" si="6"/>
        <v>0</v>
      </c>
      <c r="AK29" s="33">
        <f>AK28+AK27</f>
        <v>17165</v>
      </c>
      <c r="AL29" s="33">
        <v>16943</v>
      </c>
      <c r="AM29" s="867">
        <f t="shared" si="7"/>
        <v>5.216919739696313E-2</v>
      </c>
      <c r="AO29" s="33">
        <f>AO28+AO27</f>
        <v>17494</v>
      </c>
      <c r="AP29" s="33">
        <v>17248</v>
      </c>
      <c r="AQ29" s="867">
        <f t="shared" si="8"/>
        <v>5.8374707943925241E-2</v>
      </c>
      <c r="AS29" s="33">
        <f>AS28+AS27</f>
        <v>17900</v>
      </c>
      <c r="AT29" s="33">
        <v>17664</v>
      </c>
      <c r="AU29" s="867">
        <f t="shared" si="9"/>
        <v>5.7159891194991992E-2</v>
      </c>
      <c r="AW29" s="33">
        <f>AW28+AW27</f>
        <v>16753</v>
      </c>
      <c r="AX29" s="33">
        <v>16509</v>
      </c>
      <c r="AY29" s="867">
        <f t="shared" si="10"/>
        <v>6.0854884506177577E-2</v>
      </c>
      <c r="BA29" s="33">
        <f>BA28+BA27</f>
        <v>18281</v>
      </c>
      <c r="BB29" s="33">
        <v>18799.666420907568</v>
      </c>
      <c r="BC29" s="867">
        <f t="shared" si="11"/>
        <v>-0.13164370983134255</v>
      </c>
      <c r="BE29" s="33">
        <f>BE28+BE27</f>
        <v>18537.185561718139</v>
      </c>
      <c r="BF29" s="33">
        <v>18264.139034030111</v>
      </c>
      <c r="BG29" s="867">
        <f t="shared" si="12"/>
        <v>6.9891656254072176E-2</v>
      </c>
      <c r="BI29" s="33">
        <f>BI28+BI27</f>
        <v>18626.260823331511</v>
      </c>
      <c r="BJ29" s="33">
        <v>18349.439468274519</v>
      </c>
      <c r="BK29" s="867">
        <f t="shared" si="13"/>
        <v>7.2152939415167122E-2</v>
      </c>
      <c r="BM29" s="33">
        <f>BM28+BM27</f>
        <v>18146.463050218706</v>
      </c>
      <c r="BN29" s="33">
        <v>17881.17763317463</v>
      </c>
      <c r="BO29" s="867">
        <f t="shared" si="14"/>
        <v>7.0991127072497232E-2</v>
      </c>
    </row>
    <row r="30" spans="2:67" x14ac:dyDescent="0.2">
      <c r="B30" s="861" t="s">
        <v>840</v>
      </c>
      <c r="D30" s="238"/>
      <c r="E30" s="238"/>
      <c r="F30" s="885"/>
      <c r="G30" s="895"/>
      <c r="H30" s="867">
        <f t="shared" si="0"/>
        <v>0</v>
      </c>
      <c r="I30" s="238"/>
      <c r="J30" s="885"/>
      <c r="K30" s="885"/>
      <c r="L30" s="867">
        <f t="shared" si="1"/>
        <v>0</v>
      </c>
      <c r="M30" s="238"/>
      <c r="N30" s="885"/>
      <c r="O30" s="885"/>
      <c r="P30" s="867">
        <f t="shared" si="2"/>
        <v>0</v>
      </c>
      <c r="Q30" s="238"/>
      <c r="R30" s="885"/>
      <c r="S30" s="885"/>
      <c r="T30" s="867">
        <f t="shared" si="3"/>
        <v>0</v>
      </c>
      <c r="U30" s="238"/>
      <c r="V30" s="885"/>
      <c r="W30" s="885"/>
      <c r="X30" s="867">
        <f t="shared" si="4"/>
        <v>0</v>
      </c>
      <c r="Y30" s="238"/>
      <c r="Z30" s="885"/>
      <c r="AA30" s="885"/>
      <c r="AB30" s="867">
        <f t="shared" si="5"/>
        <v>0</v>
      </c>
      <c r="AC30" s="238"/>
      <c r="AD30" s="895" t="s">
        <v>840</v>
      </c>
      <c r="AG30" s="885"/>
      <c r="AI30" s="867">
        <f t="shared" si="6"/>
        <v>0</v>
      </c>
      <c r="AK30" s="885"/>
      <c r="AL30" s="885"/>
      <c r="AM30" s="867">
        <f t="shared" si="7"/>
        <v>0</v>
      </c>
      <c r="AO30" s="885"/>
      <c r="AP30" s="885"/>
      <c r="AQ30" s="867">
        <f t="shared" si="8"/>
        <v>0</v>
      </c>
      <c r="AS30" s="885"/>
      <c r="AT30" s="885"/>
      <c r="AU30" s="867">
        <f t="shared" si="9"/>
        <v>0</v>
      </c>
      <c r="AW30" s="885"/>
      <c r="AX30" s="885"/>
      <c r="AY30" s="867">
        <f t="shared" si="10"/>
        <v>0</v>
      </c>
      <c r="BA30" s="885"/>
      <c r="BB30" s="885"/>
      <c r="BC30" s="867">
        <f t="shared" si="11"/>
        <v>0</v>
      </c>
      <c r="BE30" s="885"/>
      <c r="BF30" s="885"/>
      <c r="BG30" s="867">
        <f t="shared" si="12"/>
        <v>0</v>
      </c>
      <c r="BI30" s="885"/>
      <c r="BJ30" s="885"/>
      <c r="BK30" s="867">
        <f t="shared" si="13"/>
        <v>0</v>
      </c>
      <c r="BM30" s="885"/>
      <c r="BN30" s="885"/>
      <c r="BO30" s="867">
        <f t="shared" si="14"/>
        <v>0</v>
      </c>
    </row>
    <row r="31" spans="2:67" x14ac:dyDescent="0.2">
      <c r="B31" s="861" t="s">
        <v>17</v>
      </c>
      <c r="F31" s="186">
        <f>Model!AY52</f>
        <v>5129</v>
      </c>
      <c r="G31" s="186">
        <v>5129</v>
      </c>
      <c r="H31" s="870">
        <f t="shared" si="0"/>
        <v>0</v>
      </c>
      <c r="J31" s="186">
        <f>Model!AZ52</f>
        <v>3132</v>
      </c>
      <c r="K31" s="186">
        <v>2985.1613698630135</v>
      </c>
      <c r="L31" s="870">
        <f t="shared" si="1"/>
        <v>3.5315563646248098E-2</v>
      </c>
      <c r="N31" s="186">
        <f>Model!BA52</f>
        <v>2131.8446749315067</v>
      </c>
      <c r="O31" s="186">
        <v>2106.7588098801366</v>
      </c>
      <c r="P31" s="870">
        <f t="shared" si="2"/>
        <v>6.5073116576236222E-3</v>
      </c>
      <c r="R31" s="186">
        <f>Model!BB52</f>
        <v>1662.9156441078158</v>
      </c>
      <c r="S31" s="186">
        <v>1669.5541321954418</v>
      </c>
      <c r="T31" s="870">
        <f t="shared" si="3"/>
        <v>-1.8894970069603238E-3</v>
      </c>
      <c r="V31" s="186">
        <f>Model!BC52</f>
        <v>1319.5921652302852</v>
      </c>
      <c r="W31" s="186">
        <v>1326.7384580291653</v>
      </c>
      <c r="X31" s="870">
        <f t="shared" si="4"/>
        <v>-2.2347172063492192E-3</v>
      </c>
      <c r="Z31" s="186">
        <f>Model!BC52</f>
        <v>1319.5921652302852</v>
      </c>
      <c r="AA31" s="186">
        <v>1313.3406048723748</v>
      </c>
      <c r="AB31" s="870">
        <f t="shared" si="5"/>
        <v>1.9171044396090447E-3</v>
      </c>
      <c r="AC31" s="238"/>
      <c r="AD31" s="895" t="s">
        <v>17</v>
      </c>
      <c r="AG31" s="186">
        <f>Model!W52</f>
        <v>861</v>
      </c>
      <c r="AH31" s="186">
        <v>861</v>
      </c>
      <c r="AI31" s="870">
        <f t="shared" si="6"/>
        <v>0</v>
      </c>
      <c r="AK31" s="186">
        <f>Model!X52</f>
        <v>1201</v>
      </c>
      <c r="AL31" s="186">
        <v>1177</v>
      </c>
      <c r="AM31" s="870">
        <f t="shared" si="7"/>
        <v>5.6399132321041223E-3</v>
      </c>
      <c r="AO31" s="186">
        <f>Model!Y52</f>
        <v>661</v>
      </c>
      <c r="AP31" s="186">
        <v>653</v>
      </c>
      <c r="AQ31" s="870">
        <f t="shared" si="8"/>
        <v>1.8983644859813086E-3</v>
      </c>
      <c r="AS31" s="186">
        <f>Model!Z52</f>
        <v>519</v>
      </c>
      <c r="AT31" s="186">
        <v>509</v>
      </c>
      <c r="AU31" s="870">
        <f t="shared" si="9"/>
        <v>2.4220292879233896E-3</v>
      </c>
      <c r="AW31" s="186">
        <f>Model!AA52</f>
        <v>751</v>
      </c>
      <c r="AX31" s="186">
        <v>746</v>
      </c>
      <c r="AY31" s="870">
        <f t="shared" si="10"/>
        <v>1.2470263218479012E-3</v>
      </c>
      <c r="BA31" s="186">
        <f>Model!AB52</f>
        <v>591</v>
      </c>
      <c r="BB31" s="186">
        <v>562.29127397260265</v>
      </c>
      <c r="BC31" s="870">
        <f t="shared" si="11"/>
        <v>7.2866163037219739E-3</v>
      </c>
      <c r="BE31" s="186">
        <f>Model!AC52</f>
        <v>537.62799999999993</v>
      </c>
      <c r="BF31" s="186">
        <v>538.69178999999986</v>
      </c>
      <c r="BG31" s="870">
        <f t="shared" si="12"/>
        <v>-2.7229807914445903E-4</v>
      </c>
      <c r="BI31" s="186">
        <f>Model!AD52</f>
        <v>514.89187561643837</v>
      </c>
      <c r="BJ31" s="186">
        <v>516.11183815068489</v>
      </c>
      <c r="BK31" s="870">
        <f t="shared" si="13"/>
        <v>-3.1798082486858835E-4</v>
      </c>
      <c r="BM31" s="186">
        <f>Model!AE52</f>
        <v>488.3247993150685</v>
      </c>
      <c r="BN31" s="186">
        <v>489.66390775684931</v>
      </c>
      <c r="BO31" s="870">
        <f t="shared" si="14"/>
        <v>-3.5834920220480959E-4</v>
      </c>
    </row>
    <row r="32" spans="2:67" x14ac:dyDescent="0.2">
      <c r="B32" s="861" t="s">
        <v>81</v>
      </c>
      <c r="F32" s="195">
        <f>+F27+F28+F31</f>
        <v>69875</v>
      </c>
      <c r="G32" s="91">
        <v>69875</v>
      </c>
      <c r="H32" s="867">
        <f t="shared" si="0"/>
        <v>0</v>
      </c>
      <c r="J32" s="195">
        <f>+J27+J28+J31</f>
        <v>72444</v>
      </c>
      <c r="K32" s="195">
        <v>71489.677998504441</v>
      </c>
      <c r="L32" s="867">
        <f t="shared" si="1"/>
        <v>0.22952011573105882</v>
      </c>
      <c r="N32" s="195">
        <f>+N27+N28+N31</f>
        <v>75722.75411019985</v>
      </c>
      <c r="O32" s="195">
        <v>75401.181366266959</v>
      </c>
      <c r="P32" s="867">
        <f t="shared" si="2"/>
        <v>8.3416460268896736E-2</v>
      </c>
      <c r="R32" s="195">
        <f>+R27+R28+R31</f>
        <v>80168.430520941241</v>
      </c>
      <c r="S32" s="195">
        <v>79642.756991894843</v>
      </c>
      <c r="T32" s="867">
        <f t="shared" si="3"/>
        <v>0.1496212008910362</v>
      </c>
      <c r="V32" s="195">
        <f>+V27+V28+V31</f>
        <v>84479.947946016458</v>
      </c>
      <c r="W32" s="195">
        <v>84019.347455009585</v>
      </c>
      <c r="X32" s="867">
        <f t="shared" si="4"/>
        <v>0.14403437858959137</v>
      </c>
      <c r="Z32" s="195">
        <f>+Z27+Z28+Z31</f>
        <v>84479.947946016458</v>
      </c>
      <c r="AA32" s="195">
        <v>81184.895580335564</v>
      </c>
      <c r="AB32" s="867">
        <f t="shared" si="5"/>
        <v>1.0104612540448328</v>
      </c>
      <c r="AD32" s="895" t="s">
        <v>81</v>
      </c>
      <c r="AG32" s="195">
        <f>+AG27+AG28+AG31</f>
        <v>17012</v>
      </c>
      <c r="AH32" s="91">
        <v>17012</v>
      </c>
      <c r="AI32" s="867">
        <f t="shared" si="6"/>
        <v>0</v>
      </c>
      <c r="AK32" s="195">
        <f>+AK27+AK28+AK31</f>
        <v>18366</v>
      </c>
      <c r="AL32" s="195">
        <v>18120</v>
      </c>
      <c r="AM32" s="867">
        <f t="shared" si="7"/>
        <v>5.7809110629067247E-2</v>
      </c>
      <c r="AO32" s="195">
        <f>+AO27+AO28+AO31</f>
        <v>18155</v>
      </c>
      <c r="AP32" s="195">
        <v>17901</v>
      </c>
      <c r="AQ32" s="867">
        <f t="shared" si="8"/>
        <v>6.0273072429906545E-2</v>
      </c>
      <c r="AS32" s="195">
        <f>+AS27+AS28+AS31</f>
        <v>18419</v>
      </c>
      <c r="AT32" s="195">
        <v>18173</v>
      </c>
      <c r="AU32" s="867">
        <f t="shared" si="9"/>
        <v>5.9581920482915385E-2</v>
      </c>
      <c r="AW32" s="195">
        <f>+AW27+AW28+AW31</f>
        <v>17504</v>
      </c>
      <c r="AX32" s="195">
        <v>17255</v>
      </c>
      <c r="AY32" s="867">
        <f t="shared" si="10"/>
        <v>6.2101910828025478E-2</v>
      </c>
      <c r="BA32" s="195">
        <f>+BA27+BA28+BA31</f>
        <v>18872</v>
      </c>
      <c r="BB32" s="195">
        <v>19361.95769488017</v>
      </c>
      <c r="BC32" s="867">
        <f t="shared" si="11"/>
        <v>-0.12435709352762032</v>
      </c>
      <c r="BE32" s="195">
        <f>+BE27+BE28+BE31</f>
        <v>19074.81356171814</v>
      </c>
      <c r="BF32" s="195">
        <v>18802.830824030112</v>
      </c>
      <c r="BG32" s="867">
        <f t="shared" si="12"/>
        <v>6.9619358174927662E-2</v>
      </c>
      <c r="BI32" s="195">
        <f>+BI27+BI28+BI31</f>
        <v>19141.15269894795</v>
      </c>
      <c r="BJ32" s="195">
        <v>18865.551306425205</v>
      </c>
      <c r="BK32" s="867">
        <f t="shared" si="13"/>
        <v>7.1834958590298328E-2</v>
      </c>
      <c r="BM32" s="195">
        <f>+BM27+BM28+BM31</f>
        <v>18634.787849533775</v>
      </c>
      <c r="BN32" s="195">
        <v>18370.84154093148</v>
      </c>
      <c r="BO32" s="867">
        <f t="shared" si="14"/>
        <v>7.0632777870292179E-2</v>
      </c>
    </row>
    <row r="33" spans="2:67" x14ac:dyDescent="0.2">
      <c r="B33" s="238"/>
      <c r="D33" s="238"/>
      <c r="F33" s="238"/>
      <c r="G33" s="238"/>
      <c r="H33" s="884"/>
      <c r="J33" s="238"/>
      <c r="K33" s="238"/>
      <c r="L33" s="884"/>
      <c r="N33" s="238"/>
      <c r="O33" s="238"/>
      <c r="P33" s="884"/>
      <c r="R33" s="238"/>
      <c r="S33" s="238"/>
      <c r="T33" s="884"/>
      <c r="V33" s="238"/>
      <c r="W33" s="238"/>
      <c r="X33" s="884"/>
      <c r="Z33" s="238"/>
      <c r="AA33" s="238"/>
      <c r="AB33" s="884"/>
      <c r="AC33" s="238"/>
      <c r="AD33" s="238"/>
      <c r="AG33" s="238"/>
      <c r="AH33" s="238"/>
      <c r="AI33" s="884"/>
      <c r="AK33" s="238"/>
      <c r="AL33" s="238"/>
      <c r="AM33" s="884"/>
      <c r="AO33" s="238"/>
      <c r="AP33" s="238"/>
      <c r="AQ33" s="884"/>
      <c r="AS33" s="238"/>
      <c r="AT33" s="238"/>
      <c r="AU33" s="884"/>
      <c r="AW33" s="238"/>
      <c r="AX33" s="238"/>
      <c r="AY33" s="884"/>
      <c r="BA33" s="238"/>
      <c r="BB33" s="238"/>
      <c r="BC33" s="884"/>
      <c r="BE33" s="238"/>
      <c r="BF33" s="238"/>
      <c r="BG33" s="884"/>
      <c r="BI33" s="238"/>
      <c r="BJ33" s="238"/>
      <c r="BK33" s="884"/>
      <c r="BM33" s="238"/>
      <c r="BN33" s="238"/>
      <c r="BO33" s="884"/>
    </row>
    <row r="34" spans="2:67" x14ac:dyDescent="0.2">
      <c r="B34" s="394" t="s">
        <v>48</v>
      </c>
      <c r="D34" s="238"/>
      <c r="F34" s="238"/>
      <c r="G34" s="238"/>
      <c r="H34" s="884"/>
      <c r="J34" s="238"/>
      <c r="K34" s="238"/>
      <c r="L34" s="884"/>
      <c r="N34" s="238"/>
      <c r="O34" s="238"/>
      <c r="P34" s="884"/>
      <c r="R34" s="238"/>
      <c r="S34" s="238"/>
      <c r="T34" s="884"/>
      <c r="V34" s="238"/>
      <c r="W34" s="238"/>
      <c r="X34" s="884"/>
      <c r="Z34" s="238"/>
      <c r="AA34" s="238"/>
      <c r="AB34" s="884"/>
      <c r="AC34" s="238"/>
      <c r="AD34" s="394" t="s">
        <v>48</v>
      </c>
      <c r="AG34" s="238"/>
      <c r="AH34" s="238"/>
      <c r="AI34" s="884"/>
      <c r="AK34" s="238"/>
      <c r="AL34" s="238"/>
      <c r="AM34" s="884"/>
      <c r="AO34" s="238"/>
      <c r="AP34" s="238"/>
      <c r="AQ34" s="884"/>
      <c r="AS34" s="238"/>
      <c r="AT34" s="238"/>
      <c r="AU34" s="884"/>
      <c r="AW34" s="238"/>
      <c r="AX34" s="238"/>
      <c r="AY34" s="884"/>
      <c r="BA34" s="238"/>
      <c r="BB34" s="238"/>
      <c r="BC34" s="884"/>
      <c r="BE34" s="238"/>
      <c r="BF34" s="238"/>
      <c r="BG34" s="884"/>
      <c r="BI34" s="238"/>
      <c r="BJ34" s="238"/>
      <c r="BK34" s="884"/>
      <c r="BM34" s="238"/>
      <c r="BN34" s="238"/>
      <c r="BO34" s="884"/>
    </row>
    <row r="35" spans="2:67" s="15" customFormat="1" x14ac:dyDescent="0.2">
      <c r="B35" s="391" t="s">
        <v>100</v>
      </c>
      <c r="F35" s="90">
        <f>Model!AY56</f>
        <v>17483</v>
      </c>
      <c r="G35" s="90">
        <v>17483</v>
      </c>
      <c r="H35" s="893">
        <f>((G35-F35)*0.65)/G$20</f>
        <v>0</v>
      </c>
      <c r="J35" s="90">
        <f>Model!AZ56</f>
        <v>18003</v>
      </c>
      <c r="K35" s="90">
        <v>17915.314146586301</v>
      </c>
      <c r="L35" s="893">
        <f>((K35-J35)*0.65)/K$20</f>
        <v>-2.1088969123575774E-2</v>
      </c>
      <c r="N35" s="90">
        <f>Model!BA56</f>
        <v>18526.008026978885</v>
      </c>
      <c r="O35" s="90">
        <v>18426.716711460504</v>
      </c>
      <c r="P35" s="893">
        <f>((O35-N35)*0.65)/O$20</f>
        <v>-2.575631869383194E-2</v>
      </c>
      <c r="R35" s="90">
        <f>Model!BB56</f>
        <v>18768.027834704681</v>
      </c>
      <c r="S35" s="90">
        <v>18219.973420575843</v>
      </c>
      <c r="T35" s="893">
        <f>((S35-R35)*0.65)/S$20</f>
        <v>-0.15599141875061426</v>
      </c>
      <c r="V35" s="90">
        <f>Model!BC56</f>
        <v>19159.862882073696</v>
      </c>
      <c r="W35" s="90">
        <v>18681.680363449526</v>
      </c>
      <c r="X35" s="893">
        <f>((W35-V35)*0.65)/W$20</f>
        <v>-0.14953245440941179</v>
      </c>
      <c r="Z35" s="90">
        <f>Model!BC56</f>
        <v>19159.862882073696</v>
      </c>
      <c r="AA35" s="90">
        <v>19559.895349388618</v>
      </c>
      <c r="AB35" s="893">
        <f>((AA35-Z35)*0.65)/AA$20</f>
        <v>0.12267401659280069</v>
      </c>
      <c r="AC35" s="391"/>
      <c r="AD35" s="391" t="s">
        <v>100</v>
      </c>
      <c r="AF35" s="109"/>
      <c r="AG35" s="90">
        <f>Model!W56</f>
        <v>4356</v>
      </c>
      <c r="AH35" s="90">
        <v>4356</v>
      </c>
      <c r="AI35" s="893">
        <f>((AH35-AG35)*0.65)/AH$20</f>
        <v>0</v>
      </c>
      <c r="AK35" s="90">
        <f>Model!X56</f>
        <v>4451</v>
      </c>
      <c r="AL35" s="90">
        <v>4415</v>
      </c>
      <c r="AM35" s="893">
        <f>((AL35-AK35)*0.65)/AL$20</f>
        <v>-8.4598698481561825E-3</v>
      </c>
      <c r="AO35" s="90">
        <f>Model!Y56</f>
        <v>4537</v>
      </c>
      <c r="AP35" s="90">
        <v>4497</v>
      </c>
      <c r="AQ35" s="893">
        <f>((AP35-AO35)*0.65)/AP$20</f>
        <v>-9.4918224299065431E-3</v>
      </c>
      <c r="AS35" s="90">
        <f>Model!Z56</f>
        <v>4452</v>
      </c>
      <c r="AT35" s="90">
        <v>4410</v>
      </c>
      <c r="AU35" s="893">
        <f>((AT35-AS35)*0.65)/AT$20</f>
        <v>-1.0172523009278235E-2</v>
      </c>
      <c r="AW35" s="90">
        <f>Model!AA56</f>
        <v>4563</v>
      </c>
      <c r="AX35" s="90">
        <v>4521</v>
      </c>
      <c r="AY35" s="893">
        <f>((AX35-AW35)*0.65)/AX$20</f>
        <v>-1.0475021103522371E-2</v>
      </c>
      <c r="BA35" s="90">
        <f>Model!AB56</f>
        <v>4681</v>
      </c>
      <c r="BB35" s="90">
        <v>4665.2932128082193</v>
      </c>
      <c r="BC35" s="893">
        <f>((BB35-BA35)*0.65)/BB$20</f>
        <v>-3.9865695023004197E-3</v>
      </c>
      <c r="BE35" s="90">
        <f>Model!AC56</f>
        <v>4512.5533532739719</v>
      </c>
      <c r="BF35" s="90">
        <v>4462.0456534535206</v>
      </c>
      <c r="BG35" s="893">
        <f>((BF35-BE35)*0.65)/BF$20</f>
        <v>-1.2928444188340537E-2</v>
      </c>
      <c r="BI35" s="90">
        <f>Model!AD56</f>
        <v>4639.4705000265212</v>
      </c>
      <c r="BJ35" s="90">
        <v>4617.6415989645848</v>
      </c>
      <c r="BK35" s="893">
        <f>((BJ35-BI35)*0.65)/BJ$20</f>
        <v>-5.6896599451198744E-3</v>
      </c>
      <c r="BM35" s="90">
        <f>Model!AE56</f>
        <v>4692.9841736783928</v>
      </c>
      <c r="BN35" s="90">
        <v>4681.7362462341771</v>
      </c>
      <c r="BO35" s="893">
        <f>((BN35-BM35)*0.65)/BN$20</f>
        <v>-3.0099771611715796E-3</v>
      </c>
    </row>
    <row r="36" spans="2:67" x14ac:dyDescent="0.2">
      <c r="B36" s="391" t="s">
        <v>182</v>
      </c>
      <c r="F36" s="90">
        <f>Model!AY57</f>
        <v>18956</v>
      </c>
      <c r="G36" s="90">
        <v>18956</v>
      </c>
      <c r="H36" s="867">
        <f>((G36-F36)*0.65)/G$20</f>
        <v>0</v>
      </c>
      <c r="J36" s="90">
        <f>Model!AZ57</f>
        <v>20415</v>
      </c>
      <c r="K36" s="90">
        <v>19567.409665131097</v>
      </c>
      <c r="L36" s="867">
        <f>((K36-J36)*0.65)/K$20</f>
        <v>-0.20385051528390524</v>
      </c>
      <c r="N36" s="90">
        <f>Model!BA57</f>
        <v>21717.351288502625</v>
      </c>
      <c r="O36" s="90">
        <v>21598.124816550859</v>
      </c>
      <c r="P36" s="867">
        <f>((O36-N36)*0.65)/O$20</f>
        <v>-3.0927528679609555E-2</v>
      </c>
      <c r="R36" s="90">
        <f>Model!BB57</f>
        <v>22875.475563583415</v>
      </c>
      <c r="S36" s="90">
        <v>22618.212904853553</v>
      </c>
      <c r="T36" s="867">
        <f>((S36-R36)*0.65)/S$20</f>
        <v>-7.322405602848088E-2</v>
      </c>
      <c r="V36" s="90">
        <f>Model!BC57</f>
        <v>23917.060992124185</v>
      </c>
      <c r="W36" s="90">
        <v>23729.042985156924</v>
      </c>
      <c r="X36" s="867">
        <f>((W36-V36)*0.65)/W$20</f>
        <v>-5.879511056964707E-2</v>
      </c>
      <c r="Z36" s="90">
        <f>Model!BC57</f>
        <v>23917.060992124185</v>
      </c>
      <c r="AA36" s="90">
        <v>21175.729706030063</v>
      </c>
      <c r="AB36" s="867">
        <f>((AA36-Z36)*0.65)/AA$20</f>
        <v>-0.84065706449754785</v>
      </c>
      <c r="AC36" s="238"/>
      <c r="AD36" s="391" t="s">
        <v>182</v>
      </c>
      <c r="AG36" s="90">
        <f>Model!W57</f>
        <v>4634</v>
      </c>
      <c r="AH36" s="90">
        <v>4634</v>
      </c>
      <c r="AI36" s="867">
        <f>((AH36-AG36)*0.65)/AH$20</f>
        <v>0</v>
      </c>
      <c r="AK36" s="90">
        <f>Model!X57</f>
        <v>5138</v>
      </c>
      <c r="AL36" s="90">
        <v>4945</v>
      </c>
      <c r="AM36" s="867">
        <f>((AL36-AK36)*0.65)/AL$20</f>
        <v>-4.5354302241503976E-2</v>
      </c>
      <c r="AO36" s="90">
        <f>Model!Y57</f>
        <v>5227</v>
      </c>
      <c r="AP36" s="90">
        <v>5019</v>
      </c>
      <c r="AQ36" s="867">
        <f>((AP36-AO36)*0.65)/AP$20</f>
        <v>-4.9357476635514028E-2</v>
      </c>
      <c r="AS36" s="90">
        <f>Model!Z57</f>
        <v>5138</v>
      </c>
      <c r="AT36" s="90">
        <v>4939</v>
      </c>
      <c r="AU36" s="867">
        <f>((AT36-AS36)*0.65)/AT$20</f>
        <v>-4.8198382829675451E-2</v>
      </c>
      <c r="AW36" s="90">
        <f>Model!AA57</f>
        <v>4912</v>
      </c>
      <c r="AX36" s="90">
        <v>4705</v>
      </c>
      <c r="AY36" s="867">
        <f>((AX36-AW36)*0.65)/AX$20</f>
        <v>-5.1626889724503112E-2</v>
      </c>
      <c r="BA36" s="90">
        <f>Model!AB57</f>
        <v>5503</v>
      </c>
      <c r="BB36" s="90">
        <v>5872.1750097990762</v>
      </c>
      <c r="BC36" s="867">
        <f>((BB36-BA36)*0.65)/BB$20</f>
        <v>9.3701010722715763E-2</v>
      </c>
      <c r="BE36" s="90">
        <f>Model!AC57</f>
        <v>5691.0816040854461</v>
      </c>
      <c r="BF36" s="90">
        <v>5432.7643454632052</v>
      </c>
      <c r="BG36" s="867">
        <f>((BF36-BE36)*0.65)/BF$20</f>
        <v>-6.6121408673425669E-2</v>
      </c>
      <c r="BI36" s="90">
        <f>Model!AD57</f>
        <v>5466.3707248217834</v>
      </c>
      <c r="BJ36" s="90">
        <v>5306.9995298812892</v>
      </c>
      <c r="BK36" s="867">
        <f>((BJ36-BI36)*0.65)/BJ$20</f>
        <v>-4.1539787169587429E-2</v>
      </c>
      <c r="BM36" s="90">
        <f>Model!AE57</f>
        <v>5056.8989595953935</v>
      </c>
      <c r="BN36" s="90">
        <v>4986.1859314072854</v>
      </c>
      <c r="BO36" s="867">
        <f>((BN36-BM36)*0.65)/BN$20</f>
        <v>-1.8923006118157636E-2</v>
      </c>
    </row>
    <row r="37" spans="2:67" x14ac:dyDescent="0.2">
      <c r="B37" s="391" t="s">
        <v>840</v>
      </c>
      <c r="F37" s="886"/>
      <c r="G37" s="895"/>
      <c r="H37" s="867">
        <f>((G37-F37)*0.65)/G$20</f>
        <v>0</v>
      </c>
      <c r="J37" s="886"/>
      <c r="K37" s="886"/>
      <c r="L37" s="867">
        <f>((K37-J37)*0.65)/K$20</f>
        <v>0</v>
      </c>
      <c r="N37" s="886"/>
      <c r="O37" s="886"/>
      <c r="P37" s="867">
        <f>((O37-N37)*0.65)/O$20</f>
        <v>0</v>
      </c>
      <c r="R37" s="886"/>
      <c r="S37" s="886"/>
      <c r="T37" s="867">
        <f>((S37-R37)*0.65)/S$20</f>
        <v>0</v>
      </c>
      <c r="V37" s="886"/>
      <c r="W37" s="886"/>
      <c r="X37" s="867">
        <f>((W37-V37)*0.65)/W$20</f>
        <v>0</v>
      </c>
      <c r="Z37" s="886"/>
      <c r="AA37" s="886"/>
      <c r="AB37" s="867">
        <f>((AA37-Z37)*0.65)/AA$20</f>
        <v>0</v>
      </c>
      <c r="AC37" s="238"/>
      <c r="AD37" s="391" t="s">
        <v>840</v>
      </c>
      <c r="AG37" s="886"/>
      <c r="AI37" s="867">
        <f>((AH37-AG37)*0.65)/AH$20</f>
        <v>0</v>
      </c>
      <c r="AK37" s="886"/>
      <c r="AL37" s="886"/>
      <c r="AM37" s="867">
        <f>((AL37-AK37)*0.65)/AL$20</f>
        <v>0</v>
      </c>
      <c r="AO37" s="886"/>
      <c r="AP37" s="886"/>
      <c r="AQ37" s="867">
        <f>((AP37-AO37)*0.65)/AP$20</f>
        <v>0</v>
      </c>
      <c r="AS37" s="886"/>
      <c r="AT37" s="886"/>
      <c r="AU37" s="867">
        <f>((AT37-AS37)*0.65)/AT$20</f>
        <v>0</v>
      </c>
      <c r="AW37" s="886"/>
      <c r="AX37" s="886"/>
      <c r="AY37" s="867">
        <f>((AX37-AW37)*0.65)/AX$20</f>
        <v>0</v>
      </c>
      <c r="BA37" s="886"/>
      <c r="BB37" s="886"/>
      <c r="BC37" s="867">
        <f>((BB37-BA37)*0.65)/BB$20</f>
        <v>0</v>
      </c>
      <c r="BE37" s="886"/>
      <c r="BF37" s="886"/>
      <c r="BG37" s="867">
        <f>((BF37-BE37)*0.65)/BF$20</f>
        <v>0</v>
      </c>
      <c r="BI37" s="886"/>
      <c r="BJ37" s="886"/>
      <c r="BK37" s="867">
        <f>((BJ37-BI37)*0.65)/BJ$20</f>
        <v>0</v>
      </c>
      <c r="BM37" s="886"/>
      <c r="BN37" s="886"/>
      <c r="BO37" s="867">
        <f>((BN37-BM37)*0.65)/BN$20</f>
        <v>0</v>
      </c>
    </row>
    <row r="38" spans="2:67" x14ac:dyDescent="0.2">
      <c r="B38" s="391" t="s">
        <v>17</v>
      </c>
      <c r="F38" s="186">
        <f>Model!AY58</f>
        <v>4977</v>
      </c>
      <c r="G38" s="186">
        <v>4977</v>
      </c>
      <c r="H38" s="870">
        <f>((G38-F38)*0.65)/G$20</f>
        <v>0</v>
      </c>
      <c r="J38" s="186">
        <f>Model!AZ58</f>
        <v>3814</v>
      </c>
      <c r="K38" s="186">
        <v>3801.3178493150685</v>
      </c>
      <c r="L38" s="870">
        <f>((K38-J38)*0.65)/K$20</f>
        <v>-3.0501326474319385E-3</v>
      </c>
      <c r="N38" s="186">
        <f>Model!BA58</f>
        <v>2799.5968816383565</v>
      </c>
      <c r="O38" s="186">
        <v>2949.4623338321908</v>
      </c>
      <c r="P38" s="870">
        <f>((O38-N38)*0.65)/O$20</f>
        <v>3.8875326887828826E-2</v>
      </c>
      <c r="R38" s="186">
        <f>Model!BB58</f>
        <v>2161.7903373401605</v>
      </c>
      <c r="S38" s="186">
        <v>2337.3757850736183</v>
      </c>
      <c r="T38" s="870">
        <f>((S38-R38)*0.65)/S$20</f>
        <v>4.9976466565717824E-2</v>
      </c>
      <c r="V38" s="186">
        <f>Model!BC58</f>
        <v>1715.4698147993709</v>
      </c>
      <c r="W38" s="186">
        <v>1857.4338412408313</v>
      </c>
      <c r="X38" s="870">
        <f>((W38-V38)*0.65)/W$20</f>
        <v>4.4393570414728335E-2</v>
      </c>
      <c r="Z38" s="186">
        <f>Model!BC58</f>
        <v>1715.4698147993709</v>
      </c>
      <c r="AA38" s="186">
        <v>1838.6768468213245</v>
      </c>
      <c r="AB38" s="870">
        <f>((AA38-Z38)*0.65)/AA$20</f>
        <v>3.7782686970535939E-2</v>
      </c>
      <c r="AC38" s="238"/>
      <c r="AD38" s="391" t="s">
        <v>17</v>
      </c>
      <c r="AG38" s="186">
        <f>Model!W58</f>
        <v>1130</v>
      </c>
      <c r="AH38" s="186">
        <v>1130</v>
      </c>
      <c r="AI38" s="870">
        <f>((AH38-AG38)*0.65)/AH$20</f>
        <v>0</v>
      </c>
      <c r="AK38" s="186">
        <f>Model!X58</f>
        <v>1134</v>
      </c>
      <c r="AL38" s="186">
        <v>1117</v>
      </c>
      <c r="AM38" s="870">
        <f>((AL38-AK38)*0.65)/AL$20</f>
        <v>-3.9949385394070867E-3</v>
      </c>
      <c r="AO38" s="186">
        <f>Model!Y58</f>
        <v>996</v>
      </c>
      <c r="AP38" s="186">
        <v>990</v>
      </c>
      <c r="AQ38" s="870">
        <f>((AP38-AO38)*0.65)/AP$20</f>
        <v>-1.4237733644859815E-3</v>
      </c>
      <c r="AS38" s="186">
        <f>Model!Z58</f>
        <v>827</v>
      </c>
      <c r="AT38" s="186">
        <v>822</v>
      </c>
      <c r="AU38" s="870">
        <f>((AT38-AS38)*0.65)/AT$20</f>
        <v>-1.2110146439616948E-3</v>
      </c>
      <c r="AW38" s="186">
        <f>Model!AA58</f>
        <v>857</v>
      </c>
      <c r="AX38" s="186">
        <v>857</v>
      </c>
      <c r="AY38" s="870">
        <f>((AX38-AW38)*0.65)/AX$20</f>
        <v>0</v>
      </c>
      <c r="BA38" s="186">
        <f>Model!AB58</f>
        <v>741</v>
      </c>
      <c r="BB38" s="186">
        <v>787.20778356164362</v>
      </c>
      <c r="BC38" s="870">
        <f>((BB38-BA38)*0.65)/BB$20</f>
        <v>1.1728085347214996E-2</v>
      </c>
      <c r="BE38" s="186">
        <f>Model!AC58</f>
        <v>709.66895999999997</v>
      </c>
      <c r="BF38" s="186">
        <v>754.16850599999975</v>
      </c>
      <c r="BG38" s="870">
        <f>((BF38-BE38)*0.65)/BF$20</f>
        <v>1.1390538450823259E-2</v>
      </c>
      <c r="BI38" s="186">
        <f>Model!AD58</f>
        <v>684.80619456986312</v>
      </c>
      <c r="BJ38" s="186">
        <v>722.55657341095878</v>
      </c>
      <c r="BK38" s="870">
        <f>((BJ38-BI38)*0.65)/BJ$20</f>
        <v>9.8395616799881614E-3</v>
      </c>
      <c r="BM38" s="186">
        <f>Model!AE58</f>
        <v>664.12172706849321</v>
      </c>
      <c r="BN38" s="186">
        <v>685.52947085958897</v>
      </c>
      <c r="BO38" s="870">
        <f>((BN38-BM38)*0.65)/BN$20</f>
        <v>5.7287727186173818E-3</v>
      </c>
    </row>
    <row r="39" spans="2:67" x14ac:dyDescent="0.2">
      <c r="C39" s="861" t="s">
        <v>81</v>
      </c>
      <c r="F39" s="91">
        <f>+F38+F36+F35</f>
        <v>41416</v>
      </c>
      <c r="G39" s="91">
        <v>41416</v>
      </c>
      <c r="H39" s="868">
        <f>((G39-F39)*0.65)/G$20</f>
        <v>0</v>
      </c>
      <c r="J39" s="91">
        <f>+J38+J36+J35</f>
        <v>42232</v>
      </c>
      <c r="K39" s="91">
        <v>41284.041661032468</v>
      </c>
      <c r="L39" s="868">
        <f>((K39-J39)*0.65)/K$20</f>
        <v>-0.22798961705491261</v>
      </c>
      <c r="N39" s="91">
        <f>+N38+N36+N35</f>
        <v>43042.956197119871</v>
      </c>
      <c r="O39" s="91">
        <v>42974.303861843553</v>
      </c>
      <c r="P39" s="868">
        <f>((O39-N39)*0.65)/O$20</f>
        <v>-1.7808520485613853E-2</v>
      </c>
      <c r="R39" s="91">
        <f>+R38+R36+R35</f>
        <v>43805.293735628256</v>
      </c>
      <c r="S39" s="91">
        <v>43175.562110503015</v>
      </c>
      <c r="T39" s="868">
        <f>((S39-R39)*0.65)/S$20</f>
        <v>-0.17923900821337729</v>
      </c>
      <c r="V39" s="91">
        <f>+V38+V36+V35</f>
        <v>44792.393688997254</v>
      </c>
      <c r="W39" s="91">
        <v>44268.157189847283</v>
      </c>
      <c r="X39" s="868">
        <f>((W39-V39)*0.65)/W$20</f>
        <v>-0.16393399456433089</v>
      </c>
      <c r="Z39" s="91">
        <f>+Z38+Z36+Z35</f>
        <v>44792.393688997254</v>
      </c>
      <c r="AA39" s="91">
        <v>42574.301902240004</v>
      </c>
      <c r="AB39" s="868">
        <f>((AA39-Z39)*0.65)/AA$20</f>
        <v>-0.68020036093421232</v>
      </c>
      <c r="AE39" s="895" t="s">
        <v>81</v>
      </c>
      <c r="AG39" s="91">
        <f>+AG38+AG36+AG35</f>
        <v>10120</v>
      </c>
      <c r="AH39" s="91">
        <v>10120</v>
      </c>
      <c r="AI39" s="868">
        <f>((AH39-AG39)*0.65)/AH$20</f>
        <v>0</v>
      </c>
      <c r="AK39" s="91">
        <f>+AK38+AK36+AK35</f>
        <v>10723</v>
      </c>
      <c r="AL39" s="91">
        <v>10477</v>
      </c>
      <c r="AM39" s="868">
        <f>((AL39-AK39)*0.65)/AL$20</f>
        <v>-5.7809110629067247E-2</v>
      </c>
      <c r="AO39" s="91">
        <f>+AO38+AO36+AO35</f>
        <v>10760</v>
      </c>
      <c r="AP39" s="91">
        <v>10506</v>
      </c>
      <c r="AQ39" s="868">
        <f>((AP39-AO39)*0.65)/AP$20</f>
        <v>-6.0273072429906545E-2</v>
      </c>
      <c r="AS39" s="91">
        <f>+AS38+AS36+AS35</f>
        <v>10417</v>
      </c>
      <c r="AT39" s="91">
        <v>10171</v>
      </c>
      <c r="AU39" s="868">
        <f>((AT39-AS39)*0.65)/AT$20</f>
        <v>-5.9581920482915385E-2</v>
      </c>
      <c r="AW39" s="91">
        <f>+AW38+AW36+AW35</f>
        <v>10332</v>
      </c>
      <c r="AX39" s="91">
        <v>10083</v>
      </c>
      <c r="AY39" s="868">
        <f>((AX39-AW39)*0.65)/AX$20</f>
        <v>-6.2101910828025478E-2</v>
      </c>
      <c r="BA39" s="91">
        <f>+BA38+BA36+BA35</f>
        <v>10925</v>
      </c>
      <c r="BB39" s="91">
        <v>11324.676006168938</v>
      </c>
      <c r="BC39" s="868">
        <f>((BB39-BA39)*0.65)/BB$20</f>
        <v>0.10144252656763013</v>
      </c>
      <c r="BE39" s="91">
        <f>+BE38+BE36+BE35</f>
        <v>10913.303917359419</v>
      </c>
      <c r="BF39" s="91">
        <v>10648.978504916726</v>
      </c>
      <c r="BG39" s="868">
        <f>((BF39-BE39)*0.65)/BF$20</f>
        <v>-6.7659314410943125E-2</v>
      </c>
      <c r="BI39" s="91">
        <f>+BI38+BI36+BI35</f>
        <v>10790.647419418168</v>
      </c>
      <c r="BJ39" s="91">
        <v>10647.197702256832</v>
      </c>
      <c r="BK39" s="868">
        <f>((BJ39-BI39)*0.65)/BJ$20</f>
        <v>-3.7389885434719557E-2</v>
      </c>
      <c r="BM39" s="91">
        <f>+BM38+BM36+BM35</f>
        <v>10414.00486034228</v>
      </c>
      <c r="BN39" s="91">
        <v>10353.451648501052</v>
      </c>
      <c r="BO39" s="868">
        <f>((BN39-BM39)*0.65)/BN$20</f>
        <v>-1.6204210560711894E-2</v>
      </c>
    </row>
    <row r="40" spans="2:67" x14ac:dyDescent="0.2">
      <c r="F40" s="895"/>
      <c r="G40" s="895"/>
      <c r="H40" s="867"/>
      <c r="J40" s="895"/>
      <c r="L40" s="867"/>
      <c r="P40" s="867"/>
      <c r="T40" s="867"/>
      <c r="X40" s="867"/>
      <c r="AB40" s="867"/>
      <c r="AC40" s="238"/>
      <c r="AI40" s="867"/>
      <c r="AM40" s="867"/>
      <c r="AQ40" s="867"/>
      <c r="AU40" s="867"/>
      <c r="AY40" s="867"/>
      <c r="BC40" s="867"/>
      <c r="BG40" s="867"/>
      <c r="BK40" s="867"/>
      <c r="BO40" s="867"/>
    </row>
    <row r="41" spans="2:67" x14ac:dyDescent="0.2">
      <c r="B41" s="394" t="s">
        <v>738</v>
      </c>
      <c r="F41" s="895"/>
      <c r="G41" s="895"/>
      <c r="H41" s="867"/>
      <c r="J41" s="895"/>
      <c r="L41" s="867"/>
      <c r="P41" s="867"/>
      <c r="T41" s="867"/>
      <c r="X41" s="867"/>
      <c r="AB41" s="867"/>
      <c r="AC41" s="238"/>
      <c r="AD41" s="394" t="s">
        <v>738</v>
      </c>
      <c r="AI41" s="867"/>
      <c r="AM41" s="867"/>
      <c r="AQ41" s="867"/>
      <c r="AU41" s="867"/>
      <c r="AY41" s="867"/>
      <c r="BC41" s="867"/>
      <c r="BG41" s="867"/>
      <c r="BK41" s="867"/>
      <c r="BO41" s="867"/>
    </row>
    <row r="42" spans="2:67" s="15" customFormat="1" x14ac:dyDescent="0.2">
      <c r="B42" s="391" t="s">
        <v>100</v>
      </c>
      <c r="F42" s="23">
        <f>Model!AY1505</f>
        <v>0.55468130334084198</v>
      </c>
      <c r="G42" s="23">
        <v>0.55468130334084198</v>
      </c>
      <c r="H42" s="869">
        <f t="shared" ref="H42:H45" si="15">(F42-G42)*10000</f>
        <v>0</v>
      </c>
      <c r="J42" s="23">
        <f>Model!AZ1505</f>
        <v>0.54823679883062304</v>
      </c>
      <c r="K42" s="23">
        <v>0.54701008185488431</v>
      </c>
      <c r="L42" s="869">
        <f>(J42-K42)*10000</f>
        <v>12.267169757387286</v>
      </c>
      <c r="N42" s="23">
        <f>Model!BA1505</f>
        <v>0.54048273925674117</v>
      </c>
      <c r="O42" s="23">
        <v>0.53708808018821741</v>
      </c>
      <c r="P42" s="869">
        <f>(N42-O42)*10000</f>
        <v>33.946590685237645</v>
      </c>
      <c r="R42" s="23">
        <f>Model!BB1505</f>
        <v>0.52338674011712716</v>
      </c>
      <c r="S42" s="23">
        <v>0.50867868680270178</v>
      </c>
      <c r="T42" s="869">
        <f>(R42-S42)*10000</f>
        <v>147.08053314425374</v>
      </c>
      <c r="V42" s="23">
        <f>Model!BC1505</f>
        <v>0.509515951760526</v>
      </c>
      <c r="W42" s="23">
        <v>0.49825212506342448</v>
      </c>
      <c r="X42" s="869">
        <f>(V42-W42)*10000</f>
        <v>112.6382669710152</v>
      </c>
      <c r="Z42" s="23">
        <f>Model!BC1505</f>
        <v>0.509515951760526</v>
      </c>
      <c r="AA42" s="23">
        <v>0.50472416973852707</v>
      </c>
      <c r="AB42" s="869">
        <f>(Z42-AA42)*10000</f>
        <v>47.917820219989252</v>
      </c>
      <c r="AC42" s="391"/>
      <c r="AD42" s="391" t="s">
        <v>100</v>
      </c>
      <c r="AF42" s="109"/>
      <c r="AG42" s="23">
        <f>Model!W1505</f>
        <v>0.54675536588427265</v>
      </c>
      <c r="AH42" s="23">
        <v>0.54675536588427265</v>
      </c>
      <c r="AI42" s="869">
        <f t="shared" ref="AI42:AI45" si="16">(AG42-AH42)*10000</f>
        <v>0</v>
      </c>
      <c r="AK42" s="23">
        <f>Model!X1505</f>
        <v>0.56729543716543462</v>
      </c>
      <c r="AL42" s="23">
        <v>0.56479467826531915</v>
      </c>
      <c r="AM42" s="869">
        <f t="shared" ref="AM42:AM45" si="17">(AK42-AL42)*10000</f>
        <v>25.007589001154741</v>
      </c>
      <c r="AO42" s="23">
        <f>Model!Y1505</f>
        <v>0.56199677938808379</v>
      </c>
      <c r="AP42" s="23">
        <v>0.55967641568139392</v>
      </c>
      <c r="AQ42" s="869">
        <f t="shared" ref="AQ42:AQ45" si="18">(AO42-AP42)*10000</f>
        <v>23.203637066898651</v>
      </c>
      <c r="AS42" s="23">
        <f>Model!Z1505</f>
        <v>0.52561983471074381</v>
      </c>
      <c r="AT42" s="23">
        <v>0.52294557097118466</v>
      </c>
      <c r="AU42" s="869">
        <f t="shared" ref="AU42:AU45" si="19">(AS42-AT42)*10000</f>
        <v>26.742637395591462</v>
      </c>
      <c r="AW42" s="23">
        <f>Model!AA1505</f>
        <v>0.54006391288909927</v>
      </c>
      <c r="AX42" s="23">
        <v>0.53744650499286728</v>
      </c>
      <c r="AY42" s="869">
        <f t="shared" ref="AY42:AY45" si="20">(AW42-AX42)*10000</f>
        <v>26.174078962319935</v>
      </c>
      <c r="BA42" s="23">
        <f>Model!AB1505</f>
        <v>0.55508122850705566</v>
      </c>
      <c r="BB42" s="23">
        <v>0.55496681803747261</v>
      </c>
      <c r="BC42" s="869">
        <f t="shared" ref="BC42:BC45" si="21">(BA42-BB42)*10000</f>
        <v>1.1441046958304835</v>
      </c>
      <c r="BE42" s="23">
        <f>Model!AC1505</f>
        <v>0.53884194706991306</v>
      </c>
      <c r="BF42" s="23">
        <v>0.53205824588022155</v>
      </c>
      <c r="BG42" s="869">
        <f t="shared" ref="BG42:BG45" si="22">(BE42-BF42)*10000</f>
        <v>67.837011896915158</v>
      </c>
      <c r="BI42" s="23">
        <f>Model!AD1505</f>
        <v>0.53404561216820245</v>
      </c>
      <c r="BJ42" s="23">
        <v>0.53074208623890862</v>
      </c>
      <c r="BK42" s="869">
        <f t="shared" ref="BK42:BK45" si="23">(BI42-BJ42)*10000</f>
        <v>33.035259292938377</v>
      </c>
      <c r="BM42" s="23">
        <f>Model!AE1505</f>
        <v>0.53439673918964514</v>
      </c>
      <c r="BN42" s="23">
        <v>0.53108698371931062</v>
      </c>
      <c r="BO42" s="869">
        <f t="shared" ref="BO42:BO45" si="24">(BM42-BN42)*10000</f>
        <v>33.097554703345189</v>
      </c>
    </row>
    <row r="43" spans="2:67" x14ac:dyDescent="0.2">
      <c r="B43" s="391" t="s">
        <v>182</v>
      </c>
      <c r="F43" s="26">
        <f>Model!AY1510</f>
        <v>0.5704998946639781</v>
      </c>
      <c r="G43" s="26">
        <v>0.5704998946639781</v>
      </c>
      <c r="H43" s="869">
        <f>(F43-G43)*10000</f>
        <v>0</v>
      </c>
      <c r="J43" s="26">
        <f>Model!AZ1510</f>
        <v>0.55971376871195921</v>
      </c>
      <c r="K43" s="26">
        <v>0.54729152716140228</v>
      </c>
      <c r="L43" s="869">
        <f>(J43-K43)*10000</f>
        <v>124.22241550556934</v>
      </c>
      <c r="N43" s="26">
        <f>Model!BA1510</f>
        <v>0.55240575543448467</v>
      </c>
      <c r="O43" s="26">
        <v>0.5539988454050313</v>
      </c>
      <c r="P43" s="869">
        <f>(N43-O43)*10000</f>
        <v>-15.93089970546635</v>
      </c>
      <c r="R43" s="26">
        <f>Model!BB1510</f>
        <v>0.53639496527965291</v>
      </c>
      <c r="S43" s="26">
        <v>0.5365491842959047</v>
      </c>
      <c r="T43" s="869">
        <f>(R43-S43)*10000</f>
        <v>-1.5421901625178869</v>
      </c>
      <c r="V43" s="26">
        <f>Model!BC1510</f>
        <v>0.52500000000000002</v>
      </c>
      <c r="W43" s="26">
        <v>0.52500000000000002</v>
      </c>
      <c r="X43" s="869">
        <f>(V43-W43)*10000</f>
        <v>0</v>
      </c>
      <c r="Z43" s="26">
        <f>Model!BC1510</f>
        <v>0.52500000000000002</v>
      </c>
      <c r="AA43" s="26">
        <v>0.51500000000000001</v>
      </c>
      <c r="AB43" s="869">
        <f>(Z43-AA43)*10000</f>
        <v>100.00000000000009</v>
      </c>
      <c r="AC43" s="238"/>
      <c r="AD43" s="391" t="s">
        <v>182</v>
      </c>
      <c r="AG43" s="26">
        <f>Model!W1510</f>
        <v>0.5662267839687195</v>
      </c>
      <c r="AH43" s="26">
        <v>0.5662267839687195</v>
      </c>
      <c r="AI43" s="869">
        <f t="shared" si="16"/>
        <v>0</v>
      </c>
      <c r="AK43" s="26">
        <f>Model!X1510</f>
        <v>0.55134671102049582</v>
      </c>
      <c r="AL43" s="26">
        <v>0.54185842647381111</v>
      </c>
      <c r="AM43" s="869">
        <f t="shared" si="17"/>
        <v>94.882845466847115</v>
      </c>
      <c r="AO43" s="26">
        <f>Model!Y1510</f>
        <v>0.55482432862753428</v>
      </c>
      <c r="AP43" s="26">
        <v>0.54477368935200265</v>
      </c>
      <c r="AQ43" s="869">
        <f t="shared" si="18"/>
        <v>100.50639275531626</v>
      </c>
      <c r="AS43" s="26">
        <f>Model!Z1510</f>
        <v>0.54485683987274658</v>
      </c>
      <c r="AT43" s="26">
        <v>0.53504495720940315</v>
      </c>
      <c r="AU43" s="869">
        <f t="shared" si="19"/>
        <v>98.118826633434296</v>
      </c>
      <c r="AW43" s="26">
        <f>Model!AA1510</f>
        <v>0.59152215799614638</v>
      </c>
      <c r="AX43" s="26">
        <v>0.58107941212794867</v>
      </c>
      <c r="AY43" s="869">
        <f t="shared" si="20"/>
        <v>104.42745868197711</v>
      </c>
      <c r="BA43" s="26">
        <f>Model!AB1510</f>
        <v>0.5587936636880585</v>
      </c>
      <c r="BB43" s="26">
        <v>0.56499999999999995</v>
      </c>
      <c r="BC43" s="869">
        <f t="shared" si="21"/>
        <v>-62.063363119414518</v>
      </c>
      <c r="BE43" s="26">
        <f>Model!AC1510</f>
        <v>0.56000000000000005</v>
      </c>
      <c r="BF43" s="26">
        <v>0.55000000000000004</v>
      </c>
      <c r="BG43" s="869">
        <f t="shared" si="22"/>
        <v>100.00000000000009</v>
      </c>
      <c r="BI43" s="26">
        <f>Model!AD1510</f>
        <v>0.55000000000000004</v>
      </c>
      <c r="BJ43" s="26">
        <v>0.55000000000000004</v>
      </c>
      <c r="BK43" s="869">
        <f t="shared" si="23"/>
        <v>0</v>
      </c>
      <c r="BM43" s="26">
        <f>Model!AE1510</f>
        <v>0.54</v>
      </c>
      <c r="BN43" s="26">
        <v>0.55000000000000004</v>
      </c>
      <c r="BO43" s="869">
        <f t="shared" si="24"/>
        <v>-100.00000000000009</v>
      </c>
    </row>
    <row r="44" spans="2:67" x14ac:dyDescent="0.2">
      <c r="B44" s="391" t="s">
        <v>17</v>
      </c>
      <c r="F44" s="64">
        <f>Model!AY1511</f>
        <v>0.97036459348800941</v>
      </c>
      <c r="G44" s="64">
        <v>0.97036459348800941</v>
      </c>
      <c r="H44" s="887">
        <f t="shared" si="15"/>
        <v>0</v>
      </c>
      <c r="J44" s="64">
        <f>Model!AZ1511</f>
        <v>1.2177522349936143</v>
      </c>
      <c r="K44" s="64">
        <v>1.2734044757819936</v>
      </c>
      <c r="L44" s="887">
        <f>(J44-K44)*10000</f>
        <v>-556.52240788379265</v>
      </c>
      <c r="N44" s="64">
        <f>Model!BA1511</f>
        <v>1.3132274196891496</v>
      </c>
      <c r="O44" s="64">
        <v>1.3999999999999997</v>
      </c>
      <c r="P44" s="887">
        <f>(N44-O44)*10000</f>
        <v>-867.72580310850117</v>
      </c>
      <c r="R44" s="64">
        <f>Model!BB1511</f>
        <v>1.3</v>
      </c>
      <c r="S44" s="64">
        <v>1.4000000000000001</v>
      </c>
      <c r="T44" s="887">
        <f>(R44-S44)*10000</f>
        <v>-1000.0000000000009</v>
      </c>
      <c r="V44" s="64">
        <f>Model!BC1511</f>
        <v>1.3</v>
      </c>
      <c r="W44" s="64">
        <v>1.4</v>
      </c>
      <c r="X44" s="887">
        <f>(V44-W44)*10000</f>
        <v>-999.99999999999864</v>
      </c>
      <c r="Z44" s="64">
        <f>Model!BC1511</f>
        <v>1.3</v>
      </c>
      <c r="AA44" s="64">
        <v>1.4</v>
      </c>
      <c r="AB44" s="887">
        <f>(Z44-AA44)*10000</f>
        <v>-999.99999999999864</v>
      </c>
      <c r="AC44" s="238"/>
      <c r="AD44" s="391" t="s">
        <v>17</v>
      </c>
      <c r="AG44" s="64">
        <f>Model!W1511</f>
        <v>1.3124274099883857</v>
      </c>
      <c r="AH44" s="64">
        <v>1.3124274099883857</v>
      </c>
      <c r="AI44" s="887">
        <f t="shared" si="16"/>
        <v>0</v>
      </c>
      <c r="AK44" s="64">
        <f>Model!X1511</f>
        <v>0.94421315570358033</v>
      </c>
      <c r="AL44" s="64">
        <v>0.94902293967714524</v>
      </c>
      <c r="AM44" s="887">
        <f t="shared" si="17"/>
        <v>-48.097839735649075</v>
      </c>
      <c r="AO44" s="64">
        <f>Model!Y1511</f>
        <v>1.5068078668683813</v>
      </c>
      <c r="AP44" s="64">
        <v>1.5160796324655437</v>
      </c>
      <c r="AQ44" s="887">
        <f t="shared" si="18"/>
        <v>-92.717655971623628</v>
      </c>
      <c r="AS44" s="64">
        <f>Model!Z1511</f>
        <v>1.5934489402697496</v>
      </c>
      <c r="AT44" s="64">
        <v>1.6149312377210217</v>
      </c>
      <c r="AU44" s="887">
        <f t="shared" si="19"/>
        <v>-214.82297451272058</v>
      </c>
      <c r="AW44" s="64">
        <f>Model!AA1511</f>
        <v>1.1411451398135819</v>
      </c>
      <c r="AX44" s="64">
        <v>1.1487935656836461</v>
      </c>
      <c r="AY44" s="887">
        <f t="shared" si="20"/>
        <v>-76.484258700642016</v>
      </c>
      <c r="BA44" s="64">
        <f>Model!AB1511</f>
        <v>1.2538071065989849</v>
      </c>
      <c r="BB44" s="64">
        <v>1.4</v>
      </c>
      <c r="BC44" s="887">
        <f t="shared" si="21"/>
        <v>-1461.9289340101504</v>
      </c>
      <c r="BE44" s="64">
        <f>Model!AC1511</f>
        <v>1.32</v>
      </c>
      <c r="BF44" s="64">
        <v>1.4</v>
      </c>
      <c r="BG44" s="887">
        <f t="shared" si="22"/>
        <v>-799.99999999999852</v>
      </c>
      <c r="BI44" s="64">
        <f>Model!AD1511</f>
        <v>1.33</v>
      </c>
      <c r="BJ44" s="64">
        <v>1.4</v>
      </c>
      <c r="BK44" s="887">
        <f t="shared" si="23"/>
        <v>-699.99999999999841</v>
      </c>
      <c r="BM44" s="64">
        <f>Model!AE1511</f>
        <v>1.36</v>
      </c>
      <c r="BN44" s="64">
        <v>1.4</v>
      </c>
      <c r="BO44" s="887">
        <f t="shared" si="24"/>
        <v>-399.99999999999812</v>
      </c>
    </row>
    <row r="45" spans="2:67" x14ac:dyDescent="0.2">
      <c r="B45" s="861" t="s">
        <v>81</v>
      </c>
      <c r="F45" s="26">
        <f>F39/F32</f>
        <v>0.5927155635062612</v>
      </c>
      <c r="G45" s="26">
        <v>0.5927155635062612</v>
      </c>
      <c r="H45" s="869">
        <f t="shared" si="15"/>
        <v>0</v>
      </c>
      <c r="J45" s="26">
        <f>J39/J32</f>
        <v>0.58296063166031697</v>
      </c>
      <c r="K45" s="26">
        <v>0.57748255156354356</v>
      </c>
      <c r="L45" s="869">
        <f>(J45-K45)*10000</f>
        <v>54.780800967734187</v>
      </c>
      <c r="N45" s="26">
        <f>N39/N32</f>
        <v>0.56842829745044876</v>
      </c>
      <c r="O45" s="26">
        <v>0.56994204975506435</v>
      </c>
      <c r="P45" s="869">
        <f>(N45-O45)*10000</f>
        <v>-15.137523046155898</v>
      </c>
      <c r="R45" s="26">
        <f>R39/R32</f>
        <v>0.54641575806059506</v>
      </c>
      <c r="S45" s="26">
        <v>0.54211536291865114</v>
      </c>
      <c r="T45" s="869">
        <f>(R45-S45)*10000</f>
        <v>43.003951419439133</v>
      </c>
      <c r="V45" s="26">
        <f>V39/V32</f>
        <v>0.53021332017889078</v>
      </c>
      <c r="W45" s="26">
        <v>0.52688051658044421</v>
      </c>
      <c r="X45" s="869">
        <f>(V45-W45)*10000</f>
        <v>33.328035984465657</v>
      </c>
      <c r="Z45" s="26">
        <f>Z39/Z32</f>
        <v>0.53021332017889078</v>
      </c>
      <c r="AA45" s="26">
        <v>0.52441161127208824</v>
      </c>
      <c r="AB45" s="869">
        <f>(Z45-AA45)*10000</f>
        <v>58.017089068025385</v>
      </c>
      <c r="AC45" s="238"/>
      <c r="AD45" s="895" t="s">
        <v>81</v>
      </c>
      <c r="AG45" s="26">
        <f>AG39/AG32</f>
        <v>0.59487420644251121</v>
      </c>
      <c r="AH45" s="26">
        <v>0.59487420644251121</v>
      </c>
      <c r="AI45" s="869">
        <f t="shared" si="16"/>
        <v>0</v>
      </c>
      <c r="AK45" s="26">
        <f>AK39/AK32</f>
        <v>0.58385059348796686</v>
      </c>
      <c r="AL45" s="26">
        <v>0.57820088300220751</v>
      </c>
      <c r="AM45" s="869">
        <f t="shared" si="17"/>
        <v>56.497104857593513</v>
      </c>
      <c r="AO45" s="26">
        <f>AO39/AO32</f>
        <v>0.59267419443679425</v>
      </c>
      <c r="AP45" s="26">
        <v>0.58689458689458684</v>
      </c>
      <c r="AQ45" s="869">
        <f t="shared" si="18"/>
        <v>57.796075422074097</v>
      </c>
      <c r="AS45" s="26">
        <f>AS39/AS32</f>
        <v>0.56555730495683809</v>
      </c>
      <c r="AT45" s="26">
        <v>0.55967644307489128</v>
      </c>
      <c r="AU45" s="869">
        <f t="shared" si="19"/>
        <v>58.80861881946808</v>
      </c>
      <c r="AW45" s="26">
        <f>AW39/AW32</f>
        <v>0.59026508226691043</v>
      </c>
      <c r="AX45" s="26">
        <v>0.58435236163430893</v>
      </c>
      <c r="AY45" s="869">
        <f t="shared" si="20"/>
        <v>59.127206326015092</v>
      </c>
      <c r="BA45" s="26">
        <f>BA39/BA32</f>
        <v>0.57889995760915647</v>
      </c>
      <c r="BB45" s="26">
        <v>0.58489312829990803</v>
      </c>
      <c r="BC45" s="869">
        <f t="shared" si="21"/>
        <v>-59.93170690751559</v>
      </c>
      <c r="BE45" s="26">
        <f>BE39/BE32</f>
        <v>0.5721316164925293</v>
      </c>
      <c r="BF45" s="26">
        <v>0.56634974832126228</v>
      </c>
      <c r="BG45" s="869">
        <f t="shared" si="22"/>
        <v>57.818681712670241</v>
      </c>
      <c r="BI45" s="26">
        <f>BI39/BI32</f>
        <v>0.56374073124714441</v>
      </c>
      <c r="BJ45" s="26">
        <v>0.56437246541693287</v>
      </c>
      <c r="BK45" s="869">
        <f t="shared" si="23"/>
        <v>-6.3173416978845598</v>
      </c>
      <c r="BM45" s="26">
        <f>BM39/BM32</f>
        <v>0.55884751382360542</v>
      </c>
      <c r="BN45" s="26">
        <v>0.5635806952791389</v>
      </c>
      <c r="BO45" s="869">
        <f t="shared" si="24"/>
        <v>-47.331814555334752</v>
      </c>
    </row>
    <row r="46" spans="2:67" x14ac:dyDescent="0.2">
      <c r="F46" s="895"/>
      <c r="G46" s="895"/>
      <c r="H46" s="867"/>
      <c r="J46" s="895"/>
      <c r="L46" s="867"/>
      <c r="P46" s="867"/>
      <c r="T46" s="867"/>
      <c r="X46" s="867"/>
      <c r="AB46" s="867"/>
      <c r="AC46" s="238"/>
      <c r="AI46" s="867"/>
      <c r="AM46" s="867"/>
      <c r="AQ46" s="867"/>
      <c r="AU46" s="867"/>
      <c r="AY46" s="867"/>
      <c r="BC46" s="867"/>
      <c r="BG46" s="867"/>
      <c r="BK46" s="867"/>
      <c r="BO46" s="867"/>
    </row>
    <row r="47" spans="2:67" x14ac:dyDescent="0.2">
      <c r="F47" s="90"/>
      <c r="G47" s="90"/>
      <c r="H47" s="867"/>
      <c r="J47" s="90"/>
      <c r="K47" s="90"/>
      <c r="L47" s="867"/>
      <c r="N47" s="90"/>
      <c r="O47" s="90"/>
      <c r="P47" s="867"/>
      <c r="R47" s="90"/>
      <c r="S47" s="90"/>
      <c r="T47" s="867"/>
      <c r="V47" s="90"/>
      <c r="W47" s="90"/>
      <c r="X47" s="867"/>
      <c r="Z47" s="90"/>
      <c r="AA47" s="90"/>
      <c r="AB47" s="867"/>
      <c r="AC47" s="238"/>
      <c r="AG47" s="90"/>
      <c r="AH47" s="90"/>
      <c r="AI47" s="867"/>
      <c r="AK47" s="90"/>
      <c r="AL47" s="90"/>
      <c r="AM47" s="867"/>
      <c r="AO47" s="90"/>
      <c r="AP47" s="90"/>
      <c r="AQ47" s="867"/>
      <c r="AS47" s="90"/>
      <c r="AT47" s="90"/>
      <c r="AU47" s="867"/>
      <c r="AW47" s="90"/>
      <c r="AX47" s="90"/>
      <c r="AY47" s="867"/>
      <c r="BA47" s="90"/>
      <c r="BB47" s="90"/>
      <c r="BC47" s="867"/>
      <c r="BE47" s="90"/>
      <c r="BF47" s="90"/>
      <c r="BG47" s="867"/>
      <c r="BI47" s="90"/>
      <c r="BJ47" s="90"/>
      <c r="BK47" s="867"/>
      <c r="BM47" s="90"/>
      <c r="BN47" s="90"/>
      <c r="BO47" s="867"/>
    </row>
    <row r="48" spans="2:67" x14ac:dyDescent="0.2">
      <c r="B48" s="394" t="s">
        <v>835</v>
      </c>
      <c r="F48" s="90"/>
      <c r="G48" s="90"/>
      <c r="H48" s="867"/>
      <c r="J48" s="90"/>
      <c r="K48" s="90"/>
      <c r="L48" s="867"/>
      <c r="N48" s="90"/>
      <c r="O48" s="90"/>
      <c r="P48" s="867"/>
      <c r="R48" s="90"/>
      <c r="S48" s="90"/>
      <c r="T48" s="867"/>
      <c r="V48" s="90"/>
      <c r="W48" s="90"/>
      <c r="X48" s="867"/>
      <c r="Z48" s="90"/>
      <c r="AA48" s="90"/>
      <c r="AB48" s="867"/>
      <c r="AC48" s="238"/>
      <c r="AD48" s="394" t="s">
        <v>835</v>
      </c>
      <c r="AG48" s="90"/>
      <c r="AH48" s="90"/>
      <c r="AI48" s="867"/>
      <c r="AK48" s="90"/>
      <c r="AL48" s="90"/>
      <c r="AM48" s="867"/>
      <c r="AO48" s="90"/>
      <c r="AP48" s="90"/>
      <c r="AQ48" s="867"/>
      <c r="AS48" s="90"/>
      <c r="AT48" s="90"/>
      <c r="AU48" s="867"/>
      <c r="AW48" s="90"/>
      <c r="AX48" s="90"/>
      <c r="AY48" s="867"/>
      <c r="BA48" s="90"/>
      <c r="BB48" s="90"/>
      <c r="BC48" s="867"/>
      <c r="BE48" s="90"/>
      <c r="BF48" s="90"/>
      <c r="BG48" s="867"/>
      <c r="BI48" s="90"/>
      <c r="BJ48" s="90"/>
      <c r="BK48" s="867"/>
      <c r="BM48" s="90"/>
      <c r="BN48" s="90"/>
      <c r="BO48" s="867"/>
    </row>
    <row r="49" spans="2:67" s="15" customFormat="1" x14ac:dyDescent="0.2">
      <c r="B49" s="391" t="s">
        <v>100</v>
      </c>
      <c r="F49" s="37">
        <f>F27-F35</f>
        <v>14036</v>
      </c>
      <c r="G49" s="37">
        <v>14036</v>
      </c>
      <c r="H49" s="893">
        <f>((F49-G49)*0.65)/G$20</f>
        <v>0</v>
      </c>
      <c r="J49" s="37">
        <f>J27-J35</f>
        <v>14835</v>
      </c>
      <c r="K49" s="37">
        <v>14836.027630947945</v>
      </c>
      <c r="L49" s="893">
        <f t="shared" ref="L49:L53" si="25">((J49-K49)*0.65)/K$20</f>
        <v>-2.47151353245052E-4</v>
      </c>
      <c r="N49" s="37">
        <f>N27-N35</f>
        <v>15750.772120441554</v>
      </c>
      <c r="O49" s="37">
        <v>15881.839726811289</v>
      </c>
      <c r="P49" s="893">
        <f t="shared" ref="P49:P53" si="26">((N49-O49)*0.65)/O$20</f>
        <v>-3.3999137008832087E-2</v>
      </c>
      <c r="R49" s="37">
        <f>R27-R35</f>
        <v>17090.786300526637</v>
      </c>
      <c r="S49" s="37">
        <v>17598.262910687474</v>
      </c>
      <c r="T49" s="893">
        <f t="shared" ref="T49:T53" si="27">((R49-S49)*0.65)/S$20</f>
        <v>-0.14444185533579476</v>
      </c>
      <c r="V49" s="37">
        <f>V27-V35</f>
        <v>18444.186247047375</v>
      </c>
      <c r="W49" s="37">
        <v>18812.751518946276</v>
      </c>
      <c r="X49" s="893">
        <f t="shared" ref="X49:X53" si="28">((V49-W49)*0.65)/W$20</f>
        <v>-0.11525404541279513</v>
      </c>
      <c r="Z49" s="37">
        <f>Z27-Z35</f>
        <v>18444.186247047375</v>
      </c>
      <c r="AA49" s="37">
        <v>19193.737866792897</v>
      </c>
      <c r="AB49" s="893">
        <f t="shared" ref="AB49:AB53" si="29">((Z49-AA49)*0.65)/AA$20</f>
        <v>-0.22985761244583039</v>
      </c>
      <c r="AC49" s="391"/>
      <c r="AD49" s="391" t="s">
        <v>100</v>
      </c>
      <c r="AF49" s="109"/>
      <c r="AG49" s="37">
        <f>AG27-AG35</f>
        <v>3611</v>
      </c>
      <c r="AH49" s="37">
        <v>3611</v>
      </c>
      <c r="AI49" s="893"/>
      <c r="AK49" s="37">
        <f>AK27-AK35</f>
        <v>3395</v>
      </c>
      <c r="AL49" s="37">
        <v>3402</v>
      </c>
      <c r="AM49" s="893"/>
      <c r="AO49" s="37">
        <f>AO27-AO35</f>
        <v>3536</v>
      </c>
      <c r="AP49" s="37">
        <v>3538</v>
      </c>
      <c r="AQ49" s="893"/>
      <c r="AS49" s="37">
        <f>AS27-AS35</f>
        <v>4018</v>
      </c>
      <c r="AT49" s="37">
        <v>4023</v>
      </c>
      <c r="AU49" s="893"/>
      <c r="AW49" s="37">
        <f>AW27-AW35</f>
        <v>3886</v>
      </c>
      <c r="AX49" s="37">
        <v>3891</v>
      </c>
      <c r="AY49" s="893"/>
      <c r="BA49" s="37">
        <f>BA27-BA35</f>
        <v>3752</v>
      </c>
      <c r="BB49" s="37">
        <v>3741.1431022602756</v>
      </c>
      <c r="BC49" s="893"/>
      <c r="BE49" s="37">
        <f>BE27-BE35</f>
        <v>3861.9864868630139</v>
      </c>
      <c r="BF49" s="37">
        <v>3924.3400251889452</v>
      </c>
      <c r="BG49" s="893"/>
      <c r="BI49" s="37">
        <f>BI27-BI35</f>
        <v>4047.934459992658</v>
      </c>
      <c r="BJ49" s="37">
        <v>4082.7078149803183</v>
      </c>
      <c r="BK49" s="893"/>
      <c r="BM49" s="37">
        <f>BM27-BM35</f>
        <v>4088.8511735858829</v>
      </c>
      <c r="BN49" s="37">
        <v>4133.6487843817522</v>
      </c>
      <c r="BO49" s="893"/>
    </row>
    <row r="50" spans="2:67" x14ac:dyDescent="0.2">
      <c r="B50" s="391" t="s">
        <v>182</v>
      </c>
      <c r="F50" s="37">
        <f>F28-F36</f>
        <v>14271</v>
      </c>
      <c r="G50" s="37">
        <v>14271</v>
      </c>
      <c r="H50" s="867">
        <f>((F50-G50)*0.65)/G$20</f>
        <v>0</v>
      </c>
      <c r="J50" s="37">
        <f>J28-J36</f>
        <v>16059</v>
      </c>
      <c r="K50" s="37">
        <v>16185.765185976095</v>
      </c>
      <c r="L50" s="867">
        <f t="shared" si="25"/>
        <v>-3.0487780969427867E-2</v>
      </c>
      <c r="N50" s="37">
        <f>N28-N36</f>
        <v>17596.77799934529</v>
      </c>
      <c r="O50" s="37">
        <v>17387.741301564172</v>
      </c>
      <c r="P50" s="867">
        <f t="shared" si="26"/>
        <v>5.4224438246665833E-2</v>
      </c>
      <c r="R50" s="37">
        <f>R28-R36</f>
        <v>19771.2251780187</v>
      </c>
      <c r="S50" s="37">
        <v>19536.753623582543</v>
      </c>
      <c r="T50" s="867">
        <f t="shared" si="27"/>
        <v>6.6737078454694801E-2</v>
      </c>
      <c r="V50" s="37">
        <f>V28-V36</f>
        <v>21639.245659540924</v>
      </c>
      <c r="W50" s="37">
        <v>21469.13412942769</v>
      </c>
      <c r="X50" s="867">
        <f t="shared" si="28"/>
        <v>5.3195576229680144E-2</v>
      </c>
      <c r="Z50" s="37">
        <f>Z28-Z36</f>
        <v>21639.245659540924</v>
      </c>
      <c r="AA50" s="37">
        <v>19942.192053251609</v>
      </c>
      <c r="AB50" s="867">
        <f t="shared" si="29"/>
        <v>0.52041871414630991</v>
      </c>
      <c r="AC50" s="238"/>
      <c r="AD50" s="391" t="s">
        <v>182</v>
      </c>
      <c r="AG50" s="37">
        <f>AG28-AG36</f>
        <v>3550</v>
      </c>
      <c r="AH50" s="37">
        <v>3550</v>
      </c>
      <c r="AI50" s="867">
        <f>((AG50-AH50)*0.65)/AH$20</f>
        <v>0</v>
      </c>
      <c r="AK50" s="37">
        <f>AK28-AK36</f>
        <v>4181</v>
      </c>
      <c r="AL50" s="37">
        <v>4181</v>
      </c>
      <c r="AM50" s="867">
        <f>((AK50-AL50)*0.65)/AL$20</f>
        <v>0</v>
      </c>
      <c r="AO50" s="37">
        <f>AO28-AO36</f>
        <v>4194</v>
      </c>
      <c r="AP50" s="37">
        <v>4194</v>
      </c>
      <c r="AQ50" s="867">
        <f>((AO50-AP50)*0.65)/AP$20</f>
        <v>0</v>
      </c>
      <c r="AS50" s="37">
        <f>AS28-AS36</f>
        <v>4292</v>
      </c>
      <c r="AT50" s="37">
        <v>4292</v>
      </c>
      <c r="AU50" s="867">
        <f>((AS50-AT50)*0.65)/AT$20</f>
        <v>0</v>
      </c>
      <c r="AW50" s="37">
        <f>AW28-AW36</f>
        <v>3392</v>
      </c>
      <c r="AX50" s="37">
        <v>3392</v>
      </c>
      <c r="AY50" s="867">
        <f>((AW50-AX50)*0.65)/AX$20</f>
        <v>0</v>
      </c>
      <c r="BA50" s="37">
        <f>BA28-BA36</f>
        <v>4345</v>
      </c>
      <c r="BB50" s="37">
        <v>4521.0550960399969</v>
      </c>
      <c r="BC50" s="867">
        <f>((BA50-BB50)*0.65)/BB$20</f>
        <v>-4.468487845591379E-2</v>
      </c>
      <c r="BE50" s="37">
        <f>BE28-BE36</f>
        <v>4471.5641174957073</v>
      </c>
      <c r="BF50" s="37">
        <v>4444.9890099244403</v>
      </c>
      <c r="BG50" s="867">
        <f>((BE50-BF50)*0.65)/BF$20</f>
        <v>6.8024241106927636E-3</v>
      </c>
      <c r="BI50" s="37">
        <f>BI28-BI36</f>
        <v>4472.4851384905487</v>
      </c>
      <c r="BJ50" s="37">
        <v>4342.0905244483265</v>
      </c>
      <c r="BK50" s="867">
        <f>((BI50-BJ50)*0.65)/BJ$20</f>
        <v>3.3987098593298716E-2</v>
      </c>
      <c r="BM50" s="37">
        <f>BM28-BM36</f>
        <v>4307.7287433590391</v>
      </c>
      <c r="BN50" s="37">
        <v>4079.606671151415</v>
      </c>
      <c r="BO50" s="867">
        <f>((BM50-BN50)*0.65)/BN$20</f>
        <v>6.104611100218188E-2</v>
      </c>
    </row>
    <row r="51" spans="2:67" x14ac:dyDescent="0.2">
      <c r="B51" s="391" t="s">
        <v>840</v>
      </c>
      <c r="F51" s="878"/>
      <c r="G51" s="33"/>
      <c r="H51" s="867">
        <f t="shared" ref="H51:H53" si="30">((F51-G51)*0.65)/G$20</f>
        <v>0</v>
      </c>
      <c r="J51" s="878"/>
      <c r="K51" s="878"/>
      <c r="L51" s="867">
        <f t="shared" si="25"/>
        <v>0</v>
      </c>
      <c r="N51" s="878"/>
      <c r="O51" s="878"/>
      <c r="P51" s="867">
        <f t="shared" si="26"/>
        <v>0</v>
      </c>
      <c r="R51" s="878"/>
      <c r="S51" s="878"/>
      <c r="T51" s="867">
        <f t="shared" si="27"/>
        <v>0</v>
      </c>
      <c r="V51" s="878"/>
      <c r="W51" s="878"/>
      <c r="X51" s="867">
        <f t="shared" si="28"/>
        <v>0</v>
      </c>
      <c r="Z51" s="878"/>
      <c r="AA51" s="878"/>
      <c r="AB51" s="867">
        <f t="shared" si="29"/>
        <v>0</v>
      </c>
      <c r="AC51" s="238"/>
      <c r="AD51" s="391" t="s">
        <v>840</v>
      </c>
      <c r="AG51" s="878"/>
      <c r="AH51" s="33"/>
      <c r="AI51" s="867"/>
      <c r="AK51" s="878"/>
      <c r="AL51" s="878"/>
      <c r="AM51" s="867"/>
      <c r="AO51" s="878"/>
      <c r="AP51" s="878"/>
      <c r="AQ51" s="867"/>
      <c r="AS51" s="878"/>
      <c r="AT51" s="878"/>
      <c r="AU51" s="867"/>
      <c r="AW51" s="878"/>
      <c r="AX51" s="878"/>
      <c r="AY51" s="867"/>
      <c r="BA51" s="878"/>
      <c r="BB51" s="878"/>
      <c r="BC51" s="867"/>
      <c r="BE51" s="878"/>
      <c r="BF51" s="878"/>
      <c r="BG51" s="867"/>
      <c r="BI51" s="878"/>
      <c r="BJ51" s="878"/>
      <c r="BK51" s="867"/>
      <c r="BM51" s="878"/>
      <c r="BN51" s="878"/>
      <c r="BO51" s="867"/>
    </row>
    <row r="52" spans="2:67" x14ac:dyDescent="0.2">
      <c r="B52" s="391" t="s">
        <v>17</v>
      </c>
      <c r="F52" s="42">
        <f>F31-F38</f>
        <v>152</v>
      </c>
      <c r="G52" s="42">
        <v>152</v>
      </c>
      <c r="H52" s="870">
        <f t="shared" si="30"/>
        <v>0</v>
      </c>
      <c r="J52" s="42">
        <f>J31-J38</f>
        <v>-682</v>
      </c>
      <c r="K52" s="42">
        <v>-816.15647945205501</v>
      </c>
      <c r="L52" s="870">
        <f t="shared" si="25"/>
        <v>3.2265430998816159E-2</v>
      </c>
      <c r="N52" s="42">
        <f>N31-N38</f>
        <v>-667.75220670684985</v>
      </c>
      <c r="O52" s="42">
        <v>-842.70352395205418</v>
      </c>
      <c r="P52" s="870">
        <f t="shared" si="26"/>
        <v>4.5382638545452443E-2</v>
      </c>
      <c r="R52" s="42">
        <f>R31-R38</f>
        <v>-498.87469323234473</v>
      </c>
      <c r="S52" s="42">
        <v>-667.82165287817656</v>
      </c>
      <c r="T52" s="870">
        <f t="shared" si="27"/>
        <v>4.8086969558757506E-2</v>
      </c>
      <c r="V52" s="42">
        <f>V31-V38</f>
        <v>-395.87764956908563</v>
      </c>
      <c r="W52" s="42">
        <v>-530.69538321166601</v>
      </c>
      <c r="X52" s="870">
        <f t="shared" si="28"/>
        <v>4.2158853208379116E-2</v>
      </c>
      <c r="Z52" s="42">
        <f>Z31-Z38</f>
        <v>-395.87764956908563</v>
      </c>
      <c r="AA52" s="42">
        <v>-525.33624194894969</v>
      </c>
      <c r="AB52" s="870">
        <f t="shared" si="29"/>
        <v>3.9699791410144986E-2</v>
      </c>
      <c r="AC52" s="238"/>
      <c r="AD52" s="391" t="s">
        <v>17</v>
      </c>
      <c r="AG52" s="42">
        <f>AG31-AG38</f>
        <v>-269</v>
      </c>
      <c r="AH52" s="42">
        <v>-269</v>
      </c>
      <c r="AI52" s="870"/>
      <c r="AK52" s="42">
        <f>AK31-AK38</f>
        <v>67</v>
      </c>
      <c r="AL52" s="42">
        <v>60</v>
      </c>
      <c r="AM52" s="870"/>
      <c r="AO52" s="42">
        <f>AO31-AO38</f>
        <v>-335</v>
      </c>
      <c r="AP52" s="42">
        <v>-337</v>
      </c>
      <c r="AQ52" s="870"/>
      <c r="AS52" s="42">
        <f>AS31-AS38</f>
        <v>-308</v>
      </c>
      <c r="AT52" s="42">
        <v>-313</v>
      </c>
      <c r="AU52" s="870"/>
      <c r="AW52" s="42">
        <f>AW31-AW38</f>
        <v>-106</v>
      </c>
      <c r="AX52" s="42">
        <v>-111</v>
      </c>
      <c r="AY52" s="870"/>
      <c r="BA52" s="42">
        <f>BA31-BA38</f>
        <v>-150</v>
      </c>
      <c r="BB52" s="42">
        <v>-224.91650958904097</v>
      </c>
      <c r="BC52" s="870"/>
      <c r="BE52" s="42">
        <f>BE31-BE38</f>
        <v>-172.04096000000004</v>
      </c>
      <c r="BF52" s="42">
        <v>-215.4767159999999</v>
      </c>
      <c r="BG52" s="870"/>
      <c r="BI52" s="42">
        <f>BI31-BI38</f>
        <v>-169.91431895342475</v>
      </c>
      <c r="BJ52" s="42">
        <v>-206.44473526027389</v>
      </c>
      <c r="BK52" s="870"/>
      <c r="BM52" s="42">
        <f>BM31-BM38</f>
        <v>-175.79692775342471</v>
      </c>
      <c r="BN52" s="42">
        <v>-195.86556310273966</v>
      </c>
      <c r="BO52" s="870"/>
    </row>
    <row r="53" spans="2:67" x14ac:dyDescent="0.2">
      <c r="B53" s="861" t="s">
        <v>81</v>
      </c>
      <c r="F53" s="195">
        <f>F32-F39</f>
        <v>28459</v>
      </c>
      <c r="G53" s="195">
        <v>28459</v>
      </c>
      <c r="H53" s="868">
        <f t="shared" si="30"/>
        <v>0</v>
      </c>
      <c r="J53" s="195">
        <f>J32-J39</f>
        <v>30212</v>
      </c>
      <c r="K53" s="195">
        <v>30205.636337471973</v>
      </c>
      <c r="L53" s="868">
        <f t="shared" si="25"/>
        <v>1.5304986761461932E-3</v>
      </c>
      <c r="N53" s="195">
        <f>N32-N39</f>
        <v>32679.797913079979</v>
      </c>
      <c r="O53" s="195">
        <v>32426.877504423406</v>
      </c>
      <c r="P53" s="868">
        <f t="shared" si="26"/>
        <v>6.5607939783282873E-2</v>
      </c>
      <c r="R53" s="195">
        <f>R32-R39</f>
        <v>36363.136785312985</v>
      </c>
      <c r="S53" s="195">
        <v>36467.194881391828</v>
      </c>
      <c r="T53" s="868">
        <f t="shared" si="27"/>
        <v>-2.9617807322341098E-2</v>
      </c>
      <c r="V53" s="195">
        <f>V32-V39</f>
        <v>39687.554257019205</v>
      </c>
      <c r="W53" s="195">
        <v>39751.190265162302</v>
      </c>
      <c r="X53" s="868">
        <f t="shared" si="28"/>
        <v>-1.9899615974739507E-2</v>
      </c>
      <c r="Z53" s="195">
        <f>Z32-Z39</f>
        <v>39687.554257019205</v>
      </c>
      <c r="AA53" s="195">
        <v>38610.59367809556</v>
      </c>
      <c r="AB53" s="868">
        <f t="shared" si="29"/>
        <v>0.33026089311062051</v>
      </c>
      <c r="AD53" s="895" t="s">
        <v>81</v>
      </c>
      <c r="AG53" s="195">
        <f>AG32-AG39</f>
        <v>6892</v>
      </c>
      <c r="AH53" s="195">
        <v>6892</v>
      </c>
      <c r="AI53" s="868"/>
      <c r="AK53" s="195">
        <f>AK32-AK39</f>
        <v>7643</v>
      </c>
      <c r="AL53" s="195">
        <v>7643</v>
      </c>
      <c r="AM53" s="868"/>
      <c r="AO53" s="195">
        <f>AO32-AO39</f>
        <v>7395</v>
      </c>
      <c r="AP53" s="195">
        <v>7395</v>
      </c>
      <c r="AQ53" s="868"/>
      <c r="AS53" s="195">
        <f>AS32-AS39</f>
        <v>8002</v>
      </c>
      <c r="AT53" s="195">
        <v>8002</v>
      </c>
      <c r="AU53" s="868"/>
      <c r="AW53" s="195">
        <f>AW32-AW39</f>
        <v>7172</v>
      </c>
      <c r="AX53" s="195">
        <v>7172</v>
      </c>
      <c r="AY53" s="868"/>
      <c r="BA53" s="195">
        <f>BA32-BA39</f>
        <v>7947</v>
      </c>
      <c r="BB53" s="195">
        <v>8037.2816887112313</v>
      </c>
      <c r="BC53" s="868"/>
      <c r="BE53" s="195">
        <f>BE32-BE39</f>
        <v>8161.5096443587208</v>
      </c>
      <c r="BF53" s="195">
        <v>8153.8523191133863</v>
      </c>
      <c r="BG53" s="868"/>
      <c r="BI53" s="195">
        <f>BI32-BI39</f>
        <v>8350.5052795297815</v>
      </c>
      <c r="BJ53" s="195">
        <v>8218.3536041683728</v>
      </c>
      <c r="BK53" s="868"/>
      <c r="BM53" s="195">
        <f>BM32-BM39</f>
        <v>8220.7829891914953</v>
      </c>
      <c r="BN53" s="195">
        <v>8017.3898924304285</v>
      </c>
      <c r="BO53" s="868"/>
    </row>
    <row r="54" spans="2:67" x14ac:dyDescent="0.2">
      <c r="B54" s="238"/>
      <c r="D54" s="238"/>
      <c r="F54" s="238"/>
      <c r="G54" s="238"/>
      <c r="H54" s="884"/>
      <c r="J54" s="238"/>
      <c r="K54" s="238"/>
      <c r="L54" s="884"/>
      <c r="N54" s="238"/>
      <c r="O54" s="238"/>
      <c r="P54" s="884"/>
      <c r="R54" s="238"/>
      <c r="S54" s="238"/>
      <c r="T54" s="884"/>
      <c r="V54" s="238"/>
      <c r="W54" s="238"/>
      <c r="X54" s="884"/>
      <c r="Z54" s="238"/>
      <c r="AA54" s="238"/>
      <c r="AB54" s="884"/>
      <c r="AC54" s="238"/>
      <c r="AD54" s="238"/>
      <c r="AG54" s="238"/>
      <c r="AH54" s="238"/>
      <c r="AI54" s="884"/>
      <c r="AK54" s="238"/>
      <c r="AL54" s="238"/>
      <c r="AM54" s="884"/>
      <c r="AO54" s="238"/>
      <c r="AP54" s="238"/>
      <c r="AQ54" s="884"/>
      <c r="AS54" s="238"/>
      <c r="AT54" s="238"/>
      <c r="AU54" s="884"/>
      <c r="AW54" s="238"/>
      <c r="AX54" s="238"/>
      <c r="AY54" s="884"/>
      <c r="BA54" s="238"/>
      <c r="BB54" s="238"/>
      <c r="BC54" s="884"/>
      <c r="BE54" s="238"/>
      <c r="BF54" s="238"/>
      <c r="BG54" s="884"/>
      <c r="BI54" s="238"/>
      <c r="BJ54" s="238"/>
      <c r="BK54" s="884"/>
      <c r="BM54" s="238"/>
      <c r="BN54" s="238"/>
      <c r="BO54" s="884"/>
    </row>
    <row r="55" spans="2:67" x14ac:dyDescent="0.2">
      <c r="B55" s="394" t="s">
        <v>937</v>
      </c>
      <c r="D55" s="238"/>
      <c r="F55" s="238"/>
      <c r="G55" s="238"/>
      <c r="H55" s="884"/>
      <c r="J55" s="238"/>
      <c r="K55" s="238"/>
      <c r="L55" s="884"/>
      <c r="N55" s="238"/>
      <c r="O55" s="238"/>
      <c r="P55" s="884"/>
      <c r="R55" s="238"/>
      <c r="S55" s="238"/>
      <c r="T55" s="884"/>
      <c r="V55" s="238"/>
      <c r="W55" s="238"/>
      <c r="X55" s="884"/>
      <c r="Z55" s="238"/>
      <c r="AA55" s="238"/>
      <c r="AB55" s="884"/>
      <c r="AC55" s="238"/>
      <c r="AD55" s="394" t="s">
        <v>937</v>
      </c>
      <c r="AG55" s="238"/>
      <c r="AH55" s="238"/>
      <c r="AI55" s="884"/>
      <c r="AK55" s="238"/>
      <c r="AL55" s="238"/>
      <c r="AM55" s="884"/>
      <c r="AO55" s="238"/>
      <c r="AP55" s="238"/>
      <c r="AQ55" s="884"/>
      <c r="AS55" s="238"/>
      <c r="AT55" s="238"/>
      <c r="AU55" s="884"/>
      <c r="AW55" s="238"/>
      <c r="AX55" s="238"/>
      <c r="AY55" s="884"/>
      <c r="BA55" s="238"/>
      <c r="BB55" s="238"/>
      <c r="BC55" s="884"/>
      <c r="BE55" s="238"/>
      <c r="BF55" s="238"/>
      <c r="BG55" s="884"/>
      <c r="BI55" s="238"/>
      <c r="BJ55" s="238"/>
      <c r="BK55" s="884"/>
      <c r="BM55" s="238"/>
      <c r="BN55" s="238"/>
      <c r="BO55" s="884"/>
    </row>
    <row r="56" spans="2:67" s="15" customFormat="1" x14ac:dyDescent="0.2">
      <c r="B56" s="391" t="s">
        <v>100</v>
      </c>
      <c r="D56" s="391"/>
      <c r="E56" s="120"/>
      <c r="F56" s="90">
        <f>Model!AY62</f>
        <v>6427</v>
      </c>
      <c r="G56" s="37">
        <v>6427</v>
      </c>
      <c r="H56" s="893">
        <f t="shared" ref="H56:H60" si="31">((G56-F56)*0.65)/G$20</f>
        <v>0</v>
      </c>
      <c r="I56" s="120"/>
      <c r="J56" s="90">
        <f>Model!AZ62</f>
        <v>7641</v>
      </c>
      <c r="K56" s="90">
        <v>7768.1398236164387</v>
      </c>
      <c r="L56" s="893">
        <f t="shared" ref="L56:L60" si="32">((K56-J56)*0.65)/K$20</f>
        <v>3.0577883549515138E-2</v>
      </c>
      <c r="M56" s="120"/>
      <c r="N56" s="90">
        <f>Model!BA62</f>
        <v>8113.1052357112312</v>
      </c>
      <c r="O56" s="90">
        <v>8175.9152620860423</v>
      </c>
      <c r="P56" s="893">
        <f t="shared" ref="P56:P60" si="33">((O56-N56)*0.65)/O$20</f>
        <v>1.6293016645329207E-2</v>
      </c>
      <c r="Q56" s="120"/>
      <c r="R56" s="90">
        <f>Model!BB62</f>
        <v>9031.3454984142863</v>
      </c>
      <c r="S56" s="90">
        <v>8970.2305524368167</v>
      </c>
      <c r="T56" s="893">
        <f t="shared" ref="T56:T60" si="34">((S56-R56)*0.65)/S$20</f>
        <v>-1.7395001087704979E-2</v>
      </c>
      <c r="U56" s="120"/>
      <c r="V56" s="90">
        <f>Model!BC62</f>
        <v>10112.742731167547</v>
      </c>
      <c r="W56" s="90">
        <v>10007.565073887812</v>
      </c>
      <c r="X56" s="893">
        <f t="shared" ref="X56:X60" si="35">((W56-V56)*0.65)/W$20</f>
        <v>-3.2890104990291082E-2</v>
      </c>
      <c r="Y56" s="120"/>
      <c r="Z56" s="90">
        <f>Model!BC62</f>
        <v>10112.742731167547</v>
      </c>
      <c r="AA56" s="90">
        <v>9980.3430061061881</v>
      </c>
      <c r="AB56" s="893">
        <f t="shared" ref="AB56:AB60" si="36">((AA56-Z56)*0.65)/AA$20</f>
        <v>-4.060171960060692E-2</v>
      </c>
      <c r="AC56" s="391"/>
      <c r="AD56" s="391" t="s">
        <v>100</v>
      </c>
      <c r="AF56" s="109"/>
      <c r="AG56" s="90">
        <f>Model!W62</f>
        <v>1709</v>
      </c>
      <c r="AH56" s="37">
        <v>1709</v>
      </c>
      <c r="AI56" s="893">
        <f>((AH56-AG56)*0.65)/AH$20</f>
        <v>0</v>
      </c>
      <c r="AK56" s="90">
        <f>Model!X62</f>
        <v>1815</v>
      </c>
      <c r="AL56" s="90">
        <v>1815</v>
      </c>
      <c r="AM56" s="893">
        <f>((AL56-AK56)*0.65)/AL$20</f>
        <v>0</v>
      </c>
      <c r="AO56" s="90">
        <f>Model!Y62</f>
        <v>1762</v>
      </c>
      <c r="AP56" s="90">
        <v>1762</v>
      </c>
      <c r="AQ56" s="893">
        <f>((AP56-AO56)*0.65)/AP$20</f>
        <v>0</v>
      </c>
      <c r="AS56" s="90">
        <f>Model!Z62</f>
        <v>2213</v>
      </c>
      <c r="AT56" s="90">
        <v>2213</v>
      </c>
      <c r="AU56" s="893">
        <f>((AT56-AS56)*0.65)/AT$20</f>
        <v>0</v>
      </c>
      <c r="AW56" s="90">
        <f>Model!AA62</f>
        <v>1851</v>
      </c>
      <c r="AX56" s="90">
        <v>1851</v>
      </c>
      <c r="AY56" s="893">
        <f>((AX56-AW56)*0.65)/AX$20</f>
        <v>0</v>
      </c>
      <c r="BA56" s="90">
        <f>Model!AB62</f>
        <v>1905</v>
      </c>
      <c r="BB56" s="90">
        <v>1916.2642286958908</v>
      </c>
      <c r="BC56" s="893">
        <f>((BB56-BA56)*0.65)/BB$20</f>
        <v>2.8589952889585472E-3</v>
      </c>
      <c r="BE56" s="90">
        <f>Model!AC62</f>
        <v>1976.3290670410961</v>
      </c>
      <c r="BF56" s="90">
        <v>1993.8605892123974</v>
      </c>
      <c r="BG56" s="893">
        <f>((BF56-BE56)*0.65)/BF$20</f>
        <v>4.4875396570038858E-3</v>
      </c>
      <c r="BI56" s="90">
        <f>Model!AD62</f>
        <v>2073.2323909670058</v>
      </c>
      <c r="BJ56" s="90">
        <v>2090.8381083193494</v>
      </c>
      <c r="BK56" s="893">
        <f>((BJ56-BI56)*0.65)/BJ$20</f>
        <v>4.5888954528911707E-3</v>
      </c>
      <c r="BM56" s="90">
        <f>Model!AE62</f>
        <v>2158.5437777031289</v>
      </c>
      <c r="BN56" s="90">
        <v>2174.9523358584042</v>
      </c>
      <c r="BO56" s="893">
        <f>((BN56-BM56)*0.65)/BN$20</f>
        <v>4.3909765190148957E-3</v>
      </c>
    </row>
    <row r="57" spans="2:67" x14ac:dyDescent="0.2">
      <c r="B57" s="391" t="s">
        <v>182</v>
      </c>
      <c r="D57" s="238"/>
      <c r="E57" s="120"/>
      <c r="F57" s="90">
        <f>Model!AY63</f>
        <v>486</v>
      </c>
      <c r="G57" s="37">
        <v>486</v>
      </c>
      <c r="H57" s="867">
        <f t="shared" si="31"/>
        <v>0</v>
      </c>
      <c r="I57" s="120"/>
      <c r="J57" s="90">
        <f>Model!AZ63</f>
        <v>-15</v>
      </c>
      <c r="K57" s="90">
        <v>-157.96559999999999</v>
      </c>
      <c r="L57" s="867">
        <f t="shared" si="32"/>
        <v>-3.4384076869376223E-2</v>
      </c>
      <c r="M57" s="120"/>
      <c r="N57" s="90">
        <f>Model!BA63</f>
        <v>550.50903067123295</v>
      </c>
      <c r="O57" s="90">
        <v>741.40963642849329</v>
      </c>
      <c r="P57" s="867">
        <f t="shared" si="33"/>
        <v>4.9519908312820347E-2</v>
      </c>
      <c r="Q57" s="120"/>
      <c r="R57" s="90">
        <f>Model!BB63</f>
        <v>1130.587864831698</v>
      </c>
      <c r="S57" s="90">
        <v>1104.8411441340556</v>
      </c>
      <c r="T57" s="867">
        <f t="shared" si="34"/>
        <v>-7.3282276107293287E-3</v>
      </c>
      <c r="U57" s="120"/>
      <c r="V57" s="90">
        <f>Model!BC63</f>
        <v>1407.4206282004766</v>
      </c>
      <c r="W57" s="90">
        <v>1375.3696333635808</v>
      </c>
      <c r="X57" s="867">
        <f t="shared" si="35"/>
        <v>-1.0022666529119274E-2</v>
      </c>
      <c r="Y57" s="120"/>
      <c r="Z57" s="90">
        <f>Model!BC63</f>
        <v>1407.4206282004766</v>
      </c>
      <c r="AA57" s="90">
        <v>1317.4552256720378</v>
      </c>
      <c r="AB57" s="867">
        <f t="shared" si="36"/>
        <v>-2.7588803870420227E-2</v>
      </c>
      <c r="AC57" s="238"/>
      <c r="AD57" s="391" t="s">
        <v>182</v>
      </c>
      <c r="AG57" s="90">
        <f>Model!W63</f>
        <v>104</v>
      </c>
      <c r="AH57" s="37">
        <v>104</v>
      </c>
      <c r="AI57" s="867">
        <f>((AH57-AG57)*0.65)/AH$20</f>
        <v>0</v>
      </c>
      <c r="AK57" s="90">
        <f>Model!X63</f>
        <v>-205</v>
      </c>
      <c r="AL57" s="90">
        <v>-205</v>
      </c>
      <c r="AM57" s="867">
        <f>((AL57-AK57)*0.65)/AL$20</f>
        <v>0</v>
      </c>
      <c r="AO57" s="90">
        <f>Model!Y63</f>
        <v>87</v>
      </c>
      <c r="AP57" s="90">
        <v>87</v>
      </c>
      <c r="AQ57" s="867">
        <f>((AP57-AO57)*0.65)/AP$20</f>
        <v>0</v>
      </c>
      <c r="AS57" s="90">
        <f>Model!Z63</f>
        <v>-164</v>
      </c>
      <c r="AT57" s="90">
        <v>-164</v>
      </c>
      <c r="AU57" s="867">
        <f>((AT57-AS57)*0.65)/AT$20</f>
        <v>0</v>
      </c>
      <c r="AW57" s="90">
        <f>Model!AA63</f>
        <v>267</v>
      </c>
      <c r="AX57" s="90">
        <v>267</v>
      </c>
      <c r="AY57" s="867">
        <f>((AX57-AW57)*0.65)/AX$20</f>
        <v>0</v>
      </c>
      <c r="BA57" s="90">
        <f>Model!AB63</f>
        <v>-41</v>
      </c>
      <c r="BB57" s="90">
        <v>163.37095890410964</v>
      </c>
      <c r="BC57" s="867">
        <f>((BB57-BA57)*0.65)/BB$20</f>
        <v>5.1871781413665989E-2</v>
      </c>
      <c r="BE57" s="90">
        <f>Model!AC63</f>
        <v>172.41632876712333</v>
      </c>
      <c r="BF57" s="90">
        <v>168.4899156164384</v>
      </c>
      <c r="BG57" s="867">
        <f>((BF57-BE57)*0.65)/BF$20</f>
        <v>-1.0050430619380946E-3</v>
      </c>
      <c r="BI57" s="90">
        <f>Model!AD63</f>
        <v>194.61824679452059</v>
      </c>
      <c r="BJ57" s="90">
        <v>190.18623244273974</v>
      </c>
      <c r="BK57" s="867">
        <f>((BJ57-BI57)*0.65)/BJ$20</f>
        <v>-1.155195786630541E-3</v>
      </c>
      <c r="BM57" s="90">
        <f>Model!AE63</f>
        <v>224.47445510958903</v>
      </c>
      <c r="BN57" s="90">
        <v>219.36252946520548</v>
      </c>
      <c r="BO57" s="867">
        <f>((BN57-BM57)*0.65)/BN$20</f>
        <v>-1.3679657444016003E-3</v>
      </c>
    </row>
    <row r="58" spans="2:67" x14ac:dyDescent="0.2">
      <c r="B58" s="391" t="s">
        <v>840</v>
      </c>
      <c r="D58" s="238"/>
      <c r="E58" s="120"/>
      <c r="F58" s="886"/>
      <c r="G58" s="33"/>
      <c r="H58" s="867">
        <f t="shared" si="31"/>
        <v>0</v>
      </c>
      <c r="I58" s="120"/>
      <c r="J58" s="886"/>
      <c r="K58" s="886"/>
      <c r="L58" s="867">
        <f t="shared" si="32"/>
        <v>0</v>
      </c>
      <c r="M58" s="120"/>
      <c r="N58" s="886"/>
      <c r="O58" s="886"/>
      <c r="P58" s="867">
        <f t="shared" si="33"/>
        <v>0</v>
      </c>
      <c r="Q58" s="120"/>
      <c r="R58" s="886"/>
      <c r="S58" s="886"/>
      <c r="T58" s="867">
        <f t="shared" si="34"/>
        <v>0</v>
      </c>
      <c r="U58" s="120"/>
      <c r="V58" s="886"/>
      <c r="W58" s="886"/>
      <c r="X58" s="867">
        <f t="shared" si="35"/>
        <v>0</v>
      </c>
      <c r="Y58" s="120"/>
      <c r="Z58" s="886"/>
      <c r="AA58" s="886"/>
      <c r="AB58" s="867">
        <f t="shared" si="36"/>
        <v>0</v>
      </c>
      <c r="AC58" s="238"/>
      <c r="AD58" s="391" t="s">
        <v>840</v>
      </c>
      <c r="AG58" s="886"/>
      <c r="AH58" s="33"/>
      <c r="AI58" s="867">
        <f>((AH58-AG58)*0.65)/AH$20</f>
        <v>0</v>
      </c>
      <c r="AK58" s="886"/>
      <c r="AL58" s="886"/>
      <c r="AM58" s="867">
        <f>((AL58-AK58)*0.65)/AL$20</f>
        <v>0</v>
      </c>
      <c r="AO58" s="886"/>
      <c r="AP58" s="886"/>
      <c r="AQ58" s="867">
        <f>((AP58-AO58)*0.65)/AP$20</f>
        <v>0</v>
      </c>
      <c r="AS58" s="886"/>
      <c r="AT58" s="886"/>
      <c r="AU58" s="867">
        <f>((AT58-AS58)*0.65)/AT$20</f>
        <v>0</v>
      </c>
      <c r="AW58" s="886"/>
      <c r="AX58" s="886"/>
      <c r="AY58" s="867">
        <f>((AX58-AW58)*0.65)/AX$20</f>
        <v>0</v>
      </c>
      <c r="BA58" s="886"/>
      <c r="BB58" s="886"/>
      <c r="BC58" s="867">
        <f>((BB58-BA58)*0.65)/BB$20</f>
        <v>0</v>
      </c>
      <c r="BE58" s="886"/>
      <c r="BF58" s="886"/>
      <c r="BG58" s="867">
        <f>((BF58-BE58)*0.65)/BF$20</f>
        <v>0</v>
      </c>
      <c r="BI58" s="886"/>
      <c r="BJ58" s="886"/>
      <c r="BK58" s="867">
        <f>((BJ58-BI58)*0.65)/BJ$20</f>
        <v>0</v>
      </c>
      <c r="BM58" s="886"/>
      <c r="BN58" s="886"/>
      <c r="BO58" s="867">
        <f>((BN58-BM58)*0.65)/BN$20</f>
        <v>0</v>
      </c>
    </row>
    <row r="59" spans="2:67" x14ac:dyDescent="0.2">
      <c r="B59" s="391" t="s">
        <v>17</v>
      </c>
      <c r="D59" s="238"/>
      <c r="E59" s="120"/>
      <c r="F59" s="186">
        <f>Model!AY64</f>
        <v>69</v>
      </c>
      <c r="G59" s="42">
        <v>69</v>
      </c>
      <c r="H59" s="870">
        <f t="shared" si="31"/>
        <v>0</v>
      </c>
      <c r="I59" s="120"/>
      <c r="J59" s="186">
        <f>Model!AZ64</f>
        <v>-175</v>
      </c>
      <c r="K59" s="186">
        <v>-68.460821917808204</v>
      </c>
      <c r="L59" s="870">
        <f t="shared" si="32"/>
        <v>2.5623305807678524E-2</v>
      </c>
      <c r="M59" s="120"/>
      <c r="N59" s="186">
        <f>Model!BA64</f>
        <v>143.57848493150686</v>
      </c>
      <c r="O59" s="186">
        <v>206.0050748630137</v>
      </c>
      <c r="P59" s="870">
        <f t="shared" si="33"/>
        <v>1.6193552647083109E-2</v>
      </c>
      <c r="Q59" s="120"/>
      <c r="R59" s="186">
        <f>Model!BB64</f>
        <v>161.46845219836285</v>
      </c>
      <c r="S59" s="186">
        <v>162.11283774528331</v>
      </c>
      <c r="T59" s="870">
        <f t="shared" si="34"/>
        <v>1.8340991896998593E-4</v>
      </c>
      <c r="U59" s="120"/>
      <c r="V59" s="186">
        <f>Model!BC64</f>
        <v>127.49682755848167</v>
      </c>
      <c r="W59" s="186">
        <v>128.18729063083723</v>
      </c>
      <c r="X59" s="870">
        <f t="shared" si="35"/>
        <v>2.1591470592745957E-4</v>
      </c>
      <c r="Y59" s="120"/>
      <c r="Z59" s="186">
        <f>Model!BC64</f>
        <v>127.49682755848167</v>
      </c>
      <c r="AA59" s="186">
        <v>136.09747200749999</v>
      </c>
      <c r="AB59" s="870">
        <f t="shared" si="36"/>
        <v>2.6374749202970373E-3</v>
      </c>
      <c r="AC59" s="238"/>
      <c r="AD59" s="391" t="s">
        <v>17</v>
      </c>
      <c r="AG59" s="186">
        <f>Model!W64</f>
        <v>-21</v>
      </c>
      <c r="AH59" s="42">
        <v>-21</v>
      </c>
      <c r="AI59" s="870">
        <f>((AH59-AG59)*0.65)/AH$20</f>
        <v>0</v>
      </c>
      <c r="AK59" s="186">
        <f>Model!X64</f>
        <v>52</v>
      </c>
      <c r="AL59" s="186">
        <v>52</v>
      </c>
      <c r="AM59" s="870">
        <f>((AL59-AK59)*0.65)/AL$20</f>
        <v>0</v>
      </c>
      <c r="AO59" s="186">
        <f>Model!Y64</f>
        <v>-132</v>
      </c>
      <c r="AP59" s="186">
        <v>-132</v>
      </c>
      <c r="AQ59" s="870">
        <f>((AP59-AO59)*0.65)/AP$20</f>
        <v>0</v>
      </c>
      <c r="AS59" s="186">
        <f>Model!Z64</f>
        <v>-50</v>
      </c>
      <c r="AT59" s="186">
        <v>-50</v>
      </c>
      <c r="AU59" s="870">
        <f>((AT59-AS59)*0.65)/AT$20</f>
        <v>0</v>
      </c>
      <c r="AW59" s="186">
        <f>Model!AA64</f>
        <v>-45</v>
      </c>
      <c r="AX59" s="186">
        <v>-45</v>
      </c>
      <c r="AY59" s="870">
        <f>((AX59-AW59)*0.65)/AX$20</f>
        <v>0</v>
      </c>
      <c r="BA59" s="186">
        <f>Model!AB64</f>
        <v>-7</v>
      </c>
      <c r="BB59" s="186">
        <v>55.072602739726022</v>
      </c>
      <c r="BC59" s="870">
        <f>((BB59-BA59)*0.65)/BB$20</f>
        <v>1.575476524824216E-2</v>
      </c>
      <c r="BE59" s="186">
        <f>Model!AC64</f>
        <v>52.605479452054794</v>
      </c>
      <c r="BF59" s="186">
        <v>52.709568493150677</v>
      </c>
      <c r="BG59" s="870">
        <f>((BF59-BE59)*0.65)/BF$20</f>
        <v>2.6643647665798117E-5</v>
      </c>
      <c r="BI59" s="186">
        <f>Model!AD64</f>
        <v>50.33156164383562</v>
      </c>
      <c r="BJ59" s="186">
        <v>50.450815068493156</v>
      </c>
      <c r="BK59" s="870">
        <f>((BJ59-BI59)*0.65)/BJ$20</f>
        <v>3.1083169586374227E-5</v>
      </c>
      <c r="BM59" s="186">
        <f>Model!AE64</f>
        <v>47.641443835616442</v>
      </c>
      <c r="BN59" s="186">
        <v>47.772088561643834</v>
      </c>
      <c r="BO59" s="870">
        <f>((BN59-BM59)*0.65)/BN$20</f>
        <v>3.4960897776077734E-5</v>
      </c>
    </row>
    <row r="60" spans="2:67" x14ac:dyDescent="0.2">
      <c r="B60" s="861" t="s">
        <v>81</v>
      </c>
      <c r="E60" s="306"/>
      <c r="F60" s="91">
        <f>+F59+F57+F56</f>
        <v>6982</v>
      </c>
      <c r="G60" s="195">
        <v>6982</v>
      </c>
      <c r="H60" s="868">
        <f t="shared" si="31"/>
        <v>0</v>
      </c>
      <c r="I60" s="306"/>
      <c r="J60" s="91">
        <f>+J59+J57+J56</f>
        <v>7451</v>
      </c>
      <c r="K60" s="91">
        <v>7541.7134016986302</v>
      </c>
      <c r="L60" s="868">
        <f t="shared" si="32"/>
        <v>2.1817112487817366E-2</v>
      </c>
      <c r="M60" s="306"/>
      <c r="N60" s="91">
        <f>+N59+N57+N56</f>
        <v>8807.1927513139708</v>
      </c>
      <c r="O60" s="91">
        <v>9123.3299733775493</v>
      </c>
      <c r="P60" s="868">
        <f t="shared" si="33"/>
        <v>8.2006477605232733E-2</v>
      </c>
      <c r="Q60" s="306"/>
      <c r="R60" s="91">
        <f>+R59+R57+R56</f>
        <v>10323.401815444347</v>
      </c>
      <c r="S60" s="91">
        <v>10237.184534316155</v>
      </c>
      <c r="T60" s="868">
        <f t="shared" si="34"/>
        <v>-2.4539818779464605E-2</v>
      </c>
      <c r="U60" s="306"/>
      <c r="V60" s="91">
        <f>+V59+V57+V56</f>
        <v>11647.660186926505</v>
      </c>
      <c r="W60" s="91">
        <v>11511.12199788223</v>
      </c>
      <c r="X60" s="868">
        <f t="shared" si="35"/>
        <v>-4.2696856813482724E-2</v>
      </c>
      <c r="Y60" s="306"/>
      <c r="Z60" s="91">
        <f>+Z59+Z57+Z56</f>
        <v>11647.660186926505</v>
      </c>
      <c r="AA60" s="91">
        <v>11433.895703785725</v>
      </c>
      <c r="AB60" s="868">
        <f t="shared" si="36"/>
        <v>-6.5553048550730103E-2</v>
      </c>
      <c r="AD60" s="895" t="s">
        <v>81</v>
      </c>
      <c r="AG60" s="91">
        <f>+AG59+AG57+AG56</f>
        <v>1792</v>
      </c>
      <c r="AH60" s="195">
        <v>1792</v>
      </c>
      <c r="AI60" s="868">
        <f>((AH60-AG60)*0.65)/AH$20</f>
        <v>0</v>
      </c>
      <c r="AK60" s="91">
        <f>+AK59+AK57+AK56</f>
        <v>1662</v>
      </c>
      <c r="AL60" s="91">
        <v>1662</v>
      </c>
      <c r="AM60" s="868">
        <f>((AL60-AK60)*0.65)/AL$20</f>
        <v>0</v>
      </c>
      <c r="AO60" s="91">
        <f>+AO59+AO57+AO56</f>
        <v>1717</v>
      </c>
      <c r="AP60" s="91">
        <v>1717</v>
      </c>
      <c r="AQ60" s="868">
        <f>((AP60-AO60)*0.65)/AP$20</f>
        <v>0</v>
      </c>
      <c r="AS60" s="91">
        <f>+AS59+AS57+AS56</f>
        <v>1999</v>
      </c>
      <c r="AT60" s="91">
        <v>1999</v>
      </c>
      <c r="AU60" s="868">
        <f>((AT60-AS60)*0.65)/AT$20</f>
        <v>0</v>
      </c>
      <c r="AW60" s="91">
        <f>+AW59+AW57+AW56</f>
        <v>2073</v>
      </c>
      <c r="AX60" s="91">
        <v>2073</v>
      </c>
      <c r="AY60" s="868">
        <f>((AX60-AW60)*0.65)/AX$20</f>
        <v>0</v>
      </c>
      <c r="BA60" s="91">
        <f>+BA59+BA57+BA56</f>
        <v>1857</v>
      </c>
      <c r="BB60" s="91">
        <v>2134.7077903397267</v>
      </c>
      <c r="BC60" s="868">
        <f>((BB60-BA60)*0.65)/BB$20</f>
        <v>7.0485541950866745E-2</v>
      </c>
      <c r="BE60" s="91">
        <f>+BE59+BE57+BE56</f>
        <v>2201.3508752602743</v>
      </c>
      <c r="BF60" s="91">
        <v>2215.0600733219862</v>
      </c>
      <c r="BG60" s="868">
        <f>((BF60-BE60)*0.65)/BF$20</f>
        <v>3.5091402427315215E-3</v>
      </c>
      <c r="BI60" s="91">
        <f>+BI59+BI57+BI56</f>
        <v>2318.1821994053621</v>
      </c>
      <c r="BJ60" s="91">
        <v>2331.4751558305825</v>
      </c>
      <c r="BK60" s="868">
        <f>((BJ60-BI60)*0.65)/BJ$20</f>
        <v>3.464782835847024E-3</v>
      </c>
      <c r="BM60" s="91">
        <f>+BM59+BM57+BM56</f>
        <v>2430.6596766483344</v>
      </c>
      <c r="BN60" s="91">
        <v>2442.0869538852535</v>
      </c>
      <c r="BO60" s="868">
        <f>((BN60-BM60)*0.65)/BN$20</f>
        <v>3.0579716723893257E-3</v>
      </c>
    </row>
    <row r="61" spans="2:67" x14ac:dyDescent="0.2">
      <c r="D61" s="238"/>
      <c r="E61" s="120"/>
      <c r="F61" s="895"/>
      <c r="G61" s="895"/>
      <c r="H61" s="867"/>
      <c r="I61" s="120"/>
      <c r="J61" s="895"/>
      <c r="L61" s="867"/>
      <c r="M61" s="120"/>
      <c r="P61" s="867"/>
      <c r="Q61" s="120"/>
      <c r="T61" s="867"/>
      <c r="U61" s="120"/>
      <c r="X61" s="867"/>
      <c r="Y61" s="120"/>
      <c r="AB61" s="867"/>
      <c r="AC61" s="238"/>
      <c r="AI61" s="867"/>
      <c r="AM61" s="867"/>
      <c r="AQ61" s="867"/>
      <c r="AU61" s="867"/>
      <c r="AY61" s="867"/>
      <c r="BC61" s="867"/>
      <c r="BG61" s="867"/>
      <c r="BK61" s="867"/>
      <c r="BO61" s="867"/>
    </row>
    <row r="62" spans="2:67" x14ac:dyDescent="0.2">
      <c r="B62" s="394" t="s">
        <v>224</v>
      </c>
      <c r="D62" s="238"/>
      <c r="E62" s="120"/>
      <c r="F62" s="895"/>
      <c r="G62" s="895"/>
      <c r="H62" s="867"/>
      <c r="I62" s="120"/>
      <c r="J62" s="895"/>
      <c r="L62" s="867"/>
      <c r="M62" s="120"/>
      <c r="P62" s="867"/>
      <c r="Q62" s="120"/>
      <c r="T62" s="867"/>
      <c r="U62" s="120"/>
      <c r="X62" s="867"/>
      <c r="Y62" s="120"/>
      <c r="AB62" s="867"/>
      <c r="AC62" s="238"/>
      <c r="AD62" s="394" t="s">
        <v>224</v>
      </c>
      <c r="AI62" s="867"/>
      <c r="AM62" s="867"/>
      <c r="AQ62" s="867"/>
      <c r="AU62" s="867"/>
      <c r="AY62" s="867"/>
      <c r="BC62" s="867"/>
      <c r="BG62" s="867"/>
      <c r="BK62" s="867"/>
      <c r="BO62" s="867"/>
    </row>
    <row r="63" spans="2:67" s="15" customFormat="1" x14ac:dyDescent="0.2">
      <c r="B63" s="391" t="s">
        <v>100</v>
      </c>
      <c r="D63" s="391"/>
      <c r="E63" s="120"/>
      <c r="F63" s="37">
        <f>Model!AY1179</f>
        <v>5610</v>
      </c>
      <c r="G63" s="37">
        <v>5610</v>
      </c>
      <c r="H63" s="893">
        <f>((G63-F63)*0.65)/G$20</f>
        <v>0</v>
      </c>
      <c r="I63" s="120"/>
      <c r="J63" s="37">
        <f>Model!AZ1179</f>
        <v>6562</v>
      </c>
      <c r="K63" s="37">
        <v>6649.6609172602739</v>
      </c>
      <c r="L63" s="893">
        <f>((K63-J63)*0.65)/K$20</f>
        <v>2.1082971830407356E-2</v>
      </c>
      <c r="M63" s="120"/>
      <c r="N63" s="37">
        <f>Model!BA1179</f>
        <v>7379.8225641972876</v>
      </c>
      <c r="O63" s="37">
        <v>7376.9555306373932</v>
      </c>
      <c r="P63" s="893">
        <f t="shared" ref="P63:P67" si="37">((O63-N63)*0.65)/O$20</f>
        <v>-7.4371287850328867E-4</v>
      </c>
      <c r="Q63" s="120"/>
      <c r="R63" s="37">
        <f>Model!BB1179</f>
        <v>8219.0569702377215</v>
      </c>
      <c r="S63" s="37">
        <v>8154.7550476698316</v>
      </c>
      <c r="T63" s="893">
        <f t="shared" ref="T63:T67" si="38">((S63-R63)*0.65)/S$20</f>
        <v>-1.8302102621874518E-2</v>
      </c>
      <c r="U63" s="120"/>
      <c r="V63" s="37">
        <f>Model!BC1179</f>
        <v>9193.4024828795882</v>
      </c>
      <c r="W63" s="37">
        <v>9097.7864308071021</v>
      </c>
      <c r="X63" s="893">
        <f t="shared" ref="X63:X67" si="39">((W63-V63)*0.65)/W$20</f>
        <v>-2.9900095445719012E-2</v>
      </c>
      <c r="Y63" s="120"/>
      <c r="Z63" s="37">
        <f>Model!BC1179</f>
        <v>9193.4024828795882</v>
      </c>
      <c r="AA63" s="37">
        <v>9073.0390964601702</v>
      </c>
      <c r="AB63" s="893">
        <f t="shared" ref="AB63:AB67" si="40">((AA63-Z63)*0.65)/AA$20</f>
        <v>-3.6910654182370078E-2</v>
      </c>
      <c r="AC63" s="391"/>
      <c r="AD63" s="391" t="s">
        <v>100</v>
      </c>
      <c r="AF63" s="109"/>
      <c r="AG63" s="37">
        <f>Model!W1179</f>
        <v>1516</v>
      </c>
      <c r="AH63" s="37">
        <v>1516</v>
      </c>
      <c r="AI63" s="893"/>
      <c r="AK63" s="37">
        <f>Model!X1179</f>
        <v>1603</v>
      </c>
      <c r="AL63" s="37">
        <v>1603</v>
      </c>
      <c r="AM63" s="893"/>
      <c r="AO63" s="37">
        <f>Model!Y1179</f>
        <v>1615</v>
      </c>
      <c r="AP63" s="37">
        <v>1615</v>
      </c>
      <c r="AQ63" s="893"/>
      <c r="AS63" s="37">
        <f>Model!Z1179</f>
        <v>1704</v>
      </c>
      <c r="AT63" s="37">
        <v>1704</v>
      </c>
      <c r="AU63" s="893"/>
      <c r="AW63" s="37">
        <f>Model!AA1179</f>
        <v>1640</v>
      </c>
      <c r="AX63" s="37">
        <v>1640</v>
      </c>
      <c r="AY63" s="893"/>
      <c r="BA63" s="37">
        <f>Model!AB1179</f>
        <v>1736</v>
      </c>
      <c r="BB63" s="37">
        <v>1728.9200653150685</v>
      </c>
      <c r="BC63" s="893"/>
      <c r="BE63" s="37">
        <f>Model!AC1179</f>
        <v>1799.5945838356165</v>
      </c>
      <c r="BF63" s="37">
        <v>1798.974874209589</v>
      </c>
      <c r="BG63" s="893"/>
      <c r="BI63" s="37">
        <f>Model!AD1179</f>
        <v>1887.6612557010137</v>
      </c>
      <c r="BJ63" s="37">
        <v>1886.5649981186612</v>
      </c>
      <c r="BK63" s="893"/>
      <c r="BM63" s="37">
        <f>Model!AE1179</f>
        <v>1956.5667246606577</v>
      </c>
      <c r="BN63" s="37">
        <v>1962.4955929940752</v>
      </c>
      <c r="BO63" s="893"/>
    </row>
    <row r="64" spans="2:67" x14ac:dyDescent="0.2">
      <c r="B64" s="391" t="s">
        <v>182</v>
      </c>
      <c r="D64" s="90"/>
      <c r="E64" s="120"/>
      <c r="F64" s="37">
        <f>Model!AY1231</f>
        <v>516</v>
      </c>
      <c r="G64" s="33">
        <v>516</v>
      </c>
      <c r="H64" s="867">
        <f>((G64-F64)*0.65)/G$20</f>
        <v>0</v>
      </c>
      <c r="I64" s="120"/>
      <c r="J64" s="37">
        <f>Model!AZ1231</f>
        <v>365</v>
      </c>
      <c r="K64" s="37">
        <v>264.03440000000001</v>
      </c>
      <c r="L64" s="867">
        <f>((K64-J64)*0.65)/K$20</f>
        <v>-2.4282827138575235E-2</v>
      </c>
      <c r="M64" s="120"/>
      <c r="N64" s="37">
        <f>Model!BA1231</f>
        <v>696.50903067123295</v>
      </c>
      <c r="O64" s="37">
        <v>741.40963642849329</v>
      </c>
      <c r="P64" s="867">
        <f t="shared" si="37"/>
        <v>1.1647285620019893E-2</v>
      </c>
      <c r="Q64" s="120"/>
      <c r="R64" s="37">
        <f>Model!BB1231</f>
        <v>1130.587864831698</v>
      </c>
      <c r="S64" s="37">
        <v>1104.8411441340556</v>
      </c>
      <c r="T64" s="867">
        <f t="shared" si="38"/>
        <v>-7.3282276107293287E-3</v>
      </c>
      <c r="U64" s="120"/>
      <c r="V64" s="37">
        <f>Model!BC1231</f>
        <v>1407.4206282004766</v>
      </c>
      <c r="W64" s="37">
        <v>1375.3696333635808</v>
      </c>
      <c r="X64" s="867">
        <f t="shared" si="39"/>
        <v>-1.0022666529119274E-2</v>
      </c>
      <c r="Y64" s="120"/>
      <c r="Z64" s="37">
        <f>Model!BC1231</f>
        <v>1407.4206282004766</v>
      </c>
      <c r="AA64" s="37">
        <v>1317.4552256720378</v>
      </c>
      <c r="AB64" s="867">
        <f t="shared" si="40"/>
        <v>-2.7588803870420227E-2</v>
      </c>
      <c r="AC64" s="238"/>
      <c r="AD64" s="391" t="s">
        <v>182</v>
      </c>
      <c r="AG64" s="37">
        <f>Model!W1231</f>
        <v>119</v>
      </c>
      <c r="AH64" s="33">
        <v>119</v>
      </c>
      <c r="AI64" s="867">
        <f>((AH64-AG64)*0.65)/AH$20</f>
        <v>0</v>
      </c>
      <c r="AK64" s="37">
        <f>Model!X1231</f>
        <v>25</v>
      </c>
      <c r="AL64" s="37">
        <v>25</v>
      </c>
      <c r="AM64" s="867">
        <f>((AL64-AK64)*0.65)/AL$20</f>
        <v>0</v>
      </c>
      <c r="AO64" s="37">
        <f>Model!Y1231</f>
        <v>71</v>
      </c>
      <c r="AP64" s="37">
        <v>71</v>
      </c>
      <c r="AQ64" s="867">
        <f>((AP64-AO64)*0.65)/AP$20</f>
        <v>0</v>
      </c>
      <c r="AS64" s="37">
        <f>Model!Z1231</f>
        <v>44</v>
      </c>
      <c r="AT64" s="37">
        <v>44</v>
      </c>
      <c r="AU64" s="867">
        <f>((AT64-AS64)*0.65)/AT$20</f>
        <v>0</v>
      </c>
      <c r="AW64" s="37">
        <f>Model!AA1231</f>
        <v>225</v>
      </c>
      <c r="AX64" s="37">
        <v>225</v>
      </c>
      <c r="AY64" s="867">
        <f>((AX64-AW64)*0.65)/AX$20</f>
        <v>0</v>
      </c>
      <c r="BA64" s="37">
        <f>Model!AB1231</f>
        <v>105</v>
      </c>
      <c r="BB64" s="37">
        <v>163.37095890410964</v>
      </c>
      <c r="BC64" s="867">
        <f>((BB64-BA64)*0.65)/BB$20</f>
        <v>1.4815243992668717E-2</v>
      </c>
      <c r="BE64" s="37">
        <f>Model!AC1231</f>
        <v>172.41632876712333</v>
      </c>
      <c r="BF64" s="37">
        <v>168.4899156164384</v>
      </c>
      <c r="BG64" s="867">
        <f>((BF64-BE64)*0.65)/BF$20</f>
        <v>-1.0050430619380946E-3</v>
      </c>
      <c r="BI64" s="37">
        <f>Model!AD1231</f>
        <v>194.61824679452059</v>
      </c>
      <c r="BJ64" s="37">
        <v>190.18623244273974</v>
      </c>
      <c r="BK64" s="867">
        <f>((BJ64-BI64)*0.65)/BJ$20</f>
        <v>-1.155195786630541E-3</v>
      </c>
      <c r="BM64" s="37">
        <f>Model!AE1231</f>
        <v>224.47445510958903</v>
      </c>
      <c r="BN64" s="37">
        <v>219.36252946520548</v>
      </c>
      <c r="BO64" s="867">
        <f>((BN64-BM64)*0.65)/BN$20</f>
        <v>-1.3679657444016003E-3</v>
      </c>
    </row>
    <row r="65" spans="2:67" x14ac:dyDescent="0.2">
      <c r="B65" s="391" t="s">
        <v>840</v>
      </c>
      <c r="D65" s="238"/>
      <c r="E65" s="120"/>
      <c r="F65" s="878"/>
      <c r="G65" s="33"/>
      <c r="H65" s="867">
        <f>((G65-F65)*0.65)/G$20</f>
        <v>0</v>
      </c>
      <c r="I65" s="120"/>
      <c r="J65" s="878"/>
      <c r="K65" s="878"/>
      <c r="L65" s="867">
        <f>((K65-J65)*0.65)/K$20</f>
        <v>0</v>
      </c>
      <c r="M65" s="120"/>
      <c r="N65" s="878"/>
      <c r="O65" s="878"/>
      <c r="P65" s="867">
        <f t="shared" si="37"/>
        <v>0</v>
      </c>
      <c r="Q65" s="120"/>
      <c r="R65" s="878"/>
      <c r="S65" s="878"/>
      <c r="T65" s="867">
        <f t="shared" si="38"/>
        <v>0</v>
      </c>
      <c r="U65" s="120"/>
      <c r="V65" s="878"/>
      <c r="W65" s="878"/>
      <c r="X65" s="867">
        <f t="shared" si="39"/>
        <v>0</v>
      </c>
      <c r="Y65" s="120"/>
      <c r="Z65" s="878"/>
      <c r="AA65" s="878"/>
      <c r="AB65" s="867">
        <f t="shared" si="40"/>
        <v>0</v>
      </c>
      <c r="AC65" s="238"/>
      <c r="AD65" s="391" t="s">
        <v>840</v>
      </c>
      <c r="AG65" s="878"/>
      <c r="AH65" s="33"/>
      <c r="AI65" s="867"/>
      <c r="AK65" s="878"/>
      <c r="AL65" s="878"/>
      <c r="AM65" s="867"/>
      <c r="AO65" s="878"/>
      <c r="AP65" s="878"/>
      <c r="AQ65" s="867"/>
      <c r="AS65" s="878"/>
      <c r="AT65" s="878"/>
      <c r="AU65" s="867"/>
      <c r="AW65" s="878"/>
      <c r="AX65" s="878"/>
      <c r="AY65" s="867"/>
      <c r="BA65" s="878"/>
      <c r="BB65" s="878"/>
      <c r="BC65" s="867"/>
      <c r="BE65" s="878"/>
      <c r="BF65" s="878"/>
      <c r="BG65" s="867"/>
      <c r="BI65" s="878"/>
      <c r="BJ65" s="878"/>
      <c r="BK65" s="867"/>
      <c r="BM65" s="878"/>
      <c r="BN65" s="878"/>
      <c r="BO65" s="867"/>
    </row>
    <row r="66" spans="2:67" x14ac:dyDescent="0.2">
      <c r="B66" s="391" t="s">
        <v>17</v>
      </c>
      <c r="D66" s="238"/>
      <c r="E66" s="120"/>
      <c r="F66" s="42">
        <f>Model!AY1236</f>
        <v>435</v>
      </c>
      <c r="G66" s="42">
        <v>435</v>
      </c>
      <c r="H66" s="870"/>
      <c r="I66" s="120"/>
      <c r="J66" s="42">
        <f>Model!AZ1236</f>
        <v>149</v>
      </c>
      <c r="K66" s="42">
        <v>195.5391780821918</v>
      </c>
      <c r="L66" s="870"/>
      <c r="M66" s="120"/>
      <c r="N66" s="42">
        <f>Model!BA1236</f>
        <v>176.57848493150686</v>
      </c>
      <c r="O66" s="42">
        <v>206.0050748630137</v>
      </c>
      <c r="P66" s="870">
        <f t="shared" si="37"/>
        <v>7.6333023124090359E-3</v>
      </c>
      <c r="Q66" s="120"/>
      <c r="R66" s="42">
        <f>Model!BB1236</f>
        <v>161.46845219836285</v>
      </c>
      <c r="S66" s="42">
        <v>162.11283774528331</v>
      </c>
      <c r="T66" s="870">
        <f t="shared" si="38"/>
        <v>1.8340991896998593E-4</v>
      </c>
      <c r="U66" s="120"/>
      <c r="V66" s="42">
        <f>Model!BC1236</f>
        <v>127.49682755848167</v>
      </c>
      <c r="W66" s="42">
        <v>128.18729063083723</v>
      </c>
      <c r="X66" s="870">
        <f t="shared" si="39"/>
        <v>2.1591470592745957E-4</v>
      </c>
      <c r="Y66" s="120"/>
      <c r="Z66" s="42">
        <f>Model!BC1236</f>
        <v>127.49682755848167</v>
      </c>
      <c r="AA66" s="42">
        <v>136.09747200749999</v>
      </c>
      <c r="AB66" s="870">
        <f t="shared" si="40"/>
        <v>2.6374749202970373E-3</v>
      </c>
      <c r="AC66" s="238"/>
      <c r="AD66" s="391" t="s">
        <v>17</v>
      </c>
      <c r="AG66" s="42">
        <f>Model!W1236</f>
        <v>61</v>
      </c>
      <c r="AH66" s="42">
        <v>61</v>
      </c>
      <c r="AI66" s="870"/>
      <c r="AK66" s="42">
        <f>Model!X1236</f>
        <v>81</v>
      </c>
      <c r="AL66" s="42">
        <v>81</v>
      </c>
      <c r="AM66" s="870"/>
      <c r="AO66" s="42">
        <f>Model!Y1236</f>
        <v>24</v>
      </c>
      <c r="AP66" s="42">
        <v>24</v>
      </c>
      <c r="AQ66" s="870"/>
      <c r="AS66" s="42">
        <f>Model!Z1236</f>
        <v>29</v>
      </c>
      <c r="AT66" s="42">
        <v>29</v>
      </c>
      <c r="AU66" s="870"/>
      <c r="AW66" s="42">
        <f>Model!AA1236</f>
        <v>15</v>
      </c>
      <c r="AX66" s="42">
        <v>15</v>
      </c>
      <c r="AY66" s="870"/>
      <c r="BA66" s="42">
        <f>Model!AB1236</f>
        <v>26</v>
      </c>
      <c r="BB66" s="42">
        <v>55.072602739726022</v>
      </c>
      <c r="BC66" s="870"/>
      <c r="BE66" s="42">
        <f>Model!AC1236</f>
        <v>52.605479452054794</v>
      </c>
      <c r="BF66" s="42">
        <v>52.709568493150677</v>
      </c>
      <c r="BG66" s="870"/>
      <c r="BI66" s="42">
        <f>Model!AD1236</f>
        <v>50.33156164383562</v>
      </c>
      <c r="BJ66" s="42">
        <v>50.450815068493156</v>
      </c>
      <c r="BK66" s="870"/>
      <c r="BM66" s="42">
        <f>Model!AE1236</f>
        <v>47.641443835616442</v>
      </c>
      <c r="BN66" s="42">
        <v>47.772088561643834</v>
      </c>
      <c r="BO66" s="870"/>
    </row>
    <row r="67" spans="2:67" x14ac:dyDescent="0.2">
      <c r="B67" s="861" t="s">
        <v>81</v>
      </c>
      <c r="D67" s="238"/>
      <c r="E67" s="120"/>
      <c r="F67" s="195">
        <f>Model!AY1240</f>
        <v>6561</v>
      </c>
      <c r="G67" s="195">
        <v>6561</v>
      </c>
      <c r="H67" s="868">
        <f>((G67-F67)*0.65)/G$20</f>
        <v>0</v>
      </c>
      <c r="I67" s="120"/>
      <c r="J67" s="195">
        <f>Model!AZ1240</f>
        <v>7076</v>
      </c>
      <c r="K67" s="195">
        <v>7109.2344953424654</v>
      </c>
      <c r="L67" s="868">
        <f>((K67-J67)*0.65)/K$20</f>
        <v>7.9930937412234521E-3</v>
      </c>
      <c r="M67" s="120"/>
      <c r="N67" s="195">
        <f>Model!BA1240</f>
        <v>8252.9100798000272</v>
      </c>
      <c r="O67" s="195">
        <v>8324.3702419289002</v>
      </c>
      <c r="P67" s="868">
        <f t="shared" si="37"/>
        <v>1.8536875053925712E-2</v>
      </c>
      <c r="Q67" s="120"/>
      <c r="R67" s="195">
        <f>Model!BB1240</f>
        <v>9511.1132872677827</v>
      </c>
      <c r="S67" s="195">
        <v>9421.7090295491707</v>
      </c>
      <c r="T67" s="868">
        <f t="shared" si="38"/>
        <v>-2.5446920313633881E-2</v>
      </c>
      <c r="U67" s="120"/>
      <c r="V67" s="195">
        <f>Model!BC1240</f>
        <v>10728.319938638546</v>
      </c>
      <c r="W67" s="195">
        <v>10601.34335480152</v>
      </c>
      <c r="X67" s="868">
        <f t="shared" si="39"/>
        <v>-3.9706847268910654E-2</v>
      </c>
      <c r="Y67" s="120"/>
      <c r="Z67" s="195">
        <f>Model!BC1240</f>
        <v>10728.319938638546</v>
      </c>
      <c r="AA67" s="195">
        <v>10526.591794139707</v>
      </c>
      <c r="AB67" s="868">
        <f t="shared" si="40"/>
        <v>-6.1861983132493269E-2</v>
      </c>
      <c r="AC67" s="238"/>
      <c r="AD67" s="895" t="s">
        <v>81</v>
      </c>
      <c r="AG67" s="195">
        <f>Model!W1240</f>
        <v>1696</v>
      </c>
      <c r="AH67" s="195">
        <v>1696</v>
      </c>
      <c r="AI67" s="868"/>
      <c r="AK67" s="195">
        <f>Model!X1240</f>
        <v>1709</v>
      </c>
      <c r="AL67" s="195">
        <v>1709</v>
      </c>
      <c r="AM67" s="868"/>
      <c r="AO67" s="195">
        <f>Model!Y1240</f>
        <v>1710</v>
      </c>
      <c r="AP67" s="195">
        <v>1710</v>
      </c>
      <c r="AQ67" s="868"/>
      <c r="AS67" s="195">
        <f>Model!Z1240</f>
        <v>1777</v>
      </c>
      <c r="AT67" s="195">
        <v>1777</v>
      </c>
      <c r="AU67" s="868"/>
      <c r="AW67" s="195">
        <f>Model!AA1240</f>
        <v>1880</v>
      </c>
      <c r="AX67" s="195">
        <v>1880</v>
      </c>
      <c r="AY67" s="868"/>
      <c r="BA67" s="195">
        <f>Model!AB1240</f>
        <v>1867</v>
      </c>
      <c r="BB67" s="195">
        <v>1947.3636269589042</v>
      </c>
      <c r="BC67" s="868"/>
      <c r="BE67" s="195">
        <f>Model!AC1240</f>
        <v>2024.6163920547947</v>
      </c>
      <c r="BF67" s="195">
        <v>2020.1743583191781</v>
      </c>
      <c r="BG67" s="868"/>
      <c r="BI67" s="195">
        <f>Model!AD1240</f>
        <v>2132.6110641393698</v>
      </c>
      <c r="BJ67" s="195">
        <v>2127.2020456298942</v>
      </c>
      <c r="BK67" s="868"/>
      <c r="BM67" s="195">
        <f>Model!AE1240</f>
        <v>2228.6826236058632</v>
      </c>
      <c r="BN67" s="195">
        <v>2229.6302110209244</v>
      </c>
      <c r="BO67" s="868"/>
    </row>
    <row r="68" spans="2:67" x14ac:dyDescent="0.2">
      <c r="D68" s="238"/>
      <c r="E68" s="120"/>
      <c r="F68" s="895"/>
      <c r="G68" s="895"/>
      <c r="H68" s="867"/>
      <c r="I68" s="120"/>
      <c r="J68" s="895"/>
      <c r="L68" s="867"/>
      <c r="M68" s="120"/>
      <c r="P68" s="867"/>
      <c r="Q68" s="120"/>
      <c r="T68" s="867"/>
      <c r="U68" s="120"/>
      <c r="X68" s="867"/>
      <c r="Y68" s="120"/>
      <c r="AB68" s="867"/>
      <c r="AC68" s="238"/>
      <c r="AI68" s="867"/>
      <c r="AM68" s="867"/>
      <c r="AQ68" s="867"/>
      <c r="AU68" s="867"/>
      <c r="AY68" s="867"/>
      <c r="BC68" s="867"/>
      <c r="BG68" s="867"/>
      <c r="BK68" s="867"/>
      <c r="BO68" s="867"/>
    </row>
    <row r="69" spans="2:67" x14ac:dyDescent="0.2">
      <c r="B69" s="394" t="s">
        <v>908</v>
      </c>
      <c r="D69" s="238"/>
      <c r="E69" s="120"/>
      <c r="F69" s="895"/>
      <c r="G69" s="895"/>
      <c r="H69" s="867"/>
      <c r="I69" s="120"/>
      <c r="J69" s="895"/>
      <c r="L69" s="867"/>
      <c r="M69" s="120"/>
      <c r="P69" s="867"/>
      <c r="Q69" s="120"/>
      <c r="T69" s="867"/>
      <c r="U69" s="120"/>
      <c r="X69" s="867"/>
      <c r="Y69" s="120"/>
      <c r="AB69" s="867"/>
      <c r="AC69" s="238"/>
      <c r="AD69" s="394" t="s">
        <v>908</v>
      </c>
      <c r="AI69" s="867"/>
      <c r="AM69" s="867"/>
      <c r="AQ69" s="867"/>
      <c r="AU69" s="867"/>
      <c r="AY69" s="867"/>
      <c r="BC69" s="867"/>
      <c r="BG69" s="867"/>
      <c r="BK69" s="867"/>
      <c r="BO69" s="867"/>
    </row>
    <row r="70" spans="2:67" s="15" customFormat="1" x14ac:dyDescent="0.2">
      <c r="B70" s="391" t="s">
        <v>100</v>
      </c>
      <c r="D70" s="391"/>
      <c r="E70" s="120"/>
      <c r="F70" s="90">
        <f>F56-F63</f>
        <v>817</v>
      </c>
      <c r="G70" s="90">
        <v>817</v>
      </c>
      <c r="H70" s="893">
        <f t="shared" ref="H70:H74" si="41">((G70-F70)*0.65)/G$20</f>
        <v>0</v>
      </c>
      <c r="I70" s="120"/>
      <c r="J70" s="90">
        <f>J56-J63</f>
        <v>1079</v>
      </c>
      <c r="K70" s="90">
        <v>1118.4789063561648</v>
      </c>
      <c r="L70" s="893">
        <f t="shared" ref="L70:L74" si="42">((K70-J70)*0.65)/K$20</f>
        <v>9.4949117191077785E-3</v>
      </c>
      <c r="M70" s="120"/>
      <c r="N70" s="90">
        <f>N56-N63</f>
        <v>733.28267151394357</v>
      </c>
      <c r="O70" s="90">
        <v>798.95973144864911</v>
      </c>
      <c r="P70" s="893">
        <f t="shared" ref="P70:P74" si="43">((O70-N70)*0.65)/O$20</f>
        <v>1.7036729523832495E-2</v>
      </c>
      <c r="Q70" s="120"/>
      <c r="R70" s="90">
        <f>R56-R63</f>
        <v>812.2885281765648</v>
      </c>
      <c r="S70" s="90">
        <v>815.47550476698507</v>
      </c>
      <c r="T70" s="893">
        <f t="shared" ref="T70:T74" si="44">((S70-R70)*0.65)/S$20</f>
        <v>9.0710153416953413E-4</v>
      </c>
      <c r="U70" s="120"/>
      <c r="V70" s="90">
        <f>V56-V63</f>
        <v>919.34024828795918</v>
      </c>
      <c r="W70" s="90">
        <v>909.77864308071003</v>
      </c>
      <c r="X70" s="893">
        <f t="shared" ref="X70:X74" si="45">((W70-V70)*0.65)/W$20</f>
        <v>-2.990009544572072E-3</v>
      </c>
      <c r="Y70" s="120"/>
      <c r="Z70" s="90">
        <f>Z56-Z63</f>
        <v>919.34024828795918</v>
      </c>
      <c r="AA70" s="90">
        <v>907.30390964601793</v>
      </c>
      <c r="AB70" s="893">
        <f t="shared" ref="AB70:AB74" si="46">((AA70-Z70)*0.65)/AA$20</f>
        <v>-3.6910654182368409E-3</v>
      </c>
      <c r="AC70" s="391"/>
      <c r="AD70" s="391" t="s">
        <v>100</v>
      </c>
      <c r="AF70" s="109"/>
      <c r="AG70" s="90">
        <f>AG56-AG63</f>
        <v>193</v>
      </c>
      <c r="AH70" s="90">
        <v>193</v>
      </c>
      <c r="AI70" s="893"/>
      <c r="AK70" s="90">
        <f>AK56-AK63</f>
        <v>212</v>
      </c>
      <c r="AL70" s="90">
        <v>212</v>
      </c>
      <c r="AM70" s="893"/>
      <c r="AO70" s="90">
        <f>AO56-AO63</f>
        <v>147</v>
      </c>
      <c r="AP70" s="90">
        <v>147</v>
      </c>
      <c r="AQ70" s="893"/>
      <c r="AS70" s="90">
        <f>AS56-AS63</f>
        <v>509</v>
      </c>
      <c r="AT70" s="90">
        <v>509</v>
      </c>
      <c r="AU70" s="893"/>
      <c r="AW70" s="90">
        <f>AW56-AW63</f>
        <v>211</v>
      </c>
      <c r="AX70" s="90">
        <v>211</v>
      </c>
      <c r="AY70" s="893"/>
      <c r="BA70" s="90">
        <f>BA56-BA63</f>
        <v>169</v>
      </c>
      <c r="BB70" s="90">
        <v>187.34416338082224</v>
      </c>
      <c r="BC70" s="893"/>
      <c r="BE70" s="90">
        <f>BE56-BE63</f>
        <v>176.73448320547959</v>
      </c>
      <c r="BF70" s="90">
        <v>194.88571500280841</v>
      </c>
      <c r="BG70" s="893"/>
      <c r="BI70" s="90">
        <f>BI56-BI63</f>
        <v>185.5711352659921</v>
      </c>
      <c r="BJ70" s="90">
        <v>204.27311020068828</v>
      </c>
      <c r="BK70" s="893"/>
      <c r="BM70" s="90">
        <f>BM56-BM63</f>
        <v>201.9770530424712</v>
      </c>
      <c r="BN70" s="90">
        <v>212.45674286432904</v>
      </c>
      <c r="BO70" s="893"/>
    </row>
    <row r="71" spans="2:67" x14ac:dyDescent="0.2">
      <c r="B71" s="391" t="s">
        <v>182</v>
      </c>
      <c r="D71" s="238"/>
      <c r="E71" s="120"/>
      <c r="F71" s="90">
        <f>F57-F64</f>
        <v>-30</v>
      </c>
      <c r="G71" s="90">
        <v>-30</v>
      </c>
      <c r="H71" s="867">
        <f t="shared" si="41"/>
        <v>0</v>
      </c>
      <c r="I71" s="120"/>
      <c r="J71" s="90">
        <f>J57-J64</f>
        <v>-380</v>
      </c>
      <c r="K71" s="90">
        <v>-422</v>
      </c>
      <c r="L71" s="867">
        <f t="shared" si="42"/>
        <v>-1.0101249730800985E-2</v>
      </c>
      <c r="M71" s="120"/>
      <c r="N71" s="90">
        <f>N57-N64</f>
        <v>-146</v>
      </c>
      <c r="O71" s="90">
        <v>0</v>
      </c>
      <c r="P71" s="867">
        <f t="shared" si="43"/>
        <v>3.7872622692800451E-2</v>
      </c>
      <c r="Q71" s="120"/>
      <c r="R71" s="90">
        <f>R57-R64</f>
        <v>0</v>
      </c>
      <c r="S71" s="90">
        <v>0</v>
      </c>
      <c r="T71" s="867">
        <f t="shared" si="44"/>
        <v>0</v>
      </c>
      <c r="U71" s="120"/>
      <c r="V71" s="90">
        <f>V57-V64</f>
        <v>0</v>
      </c>
      <c r="W71" s="90">
        <v>0</v>
      </c>
      <c r="X71" s="867">
        <f t="shared" si="45"/>
        <v>0</v>
      </c>
      <c r="Y71" s="120"/>
      <c r="Z71" s="90">
        <f>Z57-Z64</f>
        <v>0</v>
      </c>
      <c r="AA71" s="90">
        <v>0</v>
      </c>
      <c r="AB71" s="867">
        <f t="shared" si="46"/>
        <v>0</v>
      </c>
      <c r="AC71" s="238"/>
      <c r="AD71" s="391" t="s">
        <v>182</v>
      </c>
      <c r="AG71" s="90">
        <f>AG57-AG64</f>
        <v>-15</v>
      </c>
      <c r="AH71" s="90">
        <v>-15</v>
      </c>
      <c r="AI71" s="867">
        <f>((AH71-AG71)*0.65)/AH$20</f>
        <v>0</v>
      </c>
      <c r="AK71" s="90">
        <f>AK57-AK64</f>
        <v>-230</v>
      </c>
      <c r="AL71" s="90">
        <v>-230</v>
      </c>
      <c r="AM71" s="867">
        <f>((AL71-AK71)*0.65)/AL$20</f>
        <v>0</v>
      </c>
      <c r="AO71" s="90">
        <f>AO57-AO64</f>
        <v>16</v>
      </c>
      <c r="AP71" s="90">
        <v>16</v>
      </c>
      <c r="AQ71" s="867">
        <f>((AP71-AO71)*0.65)/AP$20</f>
        <v>0</v>
      </c>
      <c r="AS71" s="90">
        <f>AS57-AS64</f>
        <v>-208</v>
      </c>
      <c r="AT71" s="90">
        <v>-208</v>
      </c>
      <c r="AU71" s="867">
        <f>((AT71-AS71)*0.65)/AT$20</f>
        <v>0</v>
      </c>
      <c r="AW71" s="90">
        <f>AW57-AW64</f>
        <v>42</v>
      </c>
      <c r="AX71" s="90">
        <v>42</v>
      </c>
      <c r="AY71" s="867">
        <f>((AX71-AW71)*0.65)/AX$20</f>
        <v>0</v>
      </c>
      <c r="BA71" s="90">
        <f>BA57-BA64</f>
        <v>-146</v>
      </c>
      <c r="BB71" s="90">
        <v>0</v>
      </c>
      <c r="BC71" s="867">
        <f>((BB71-BA71)*0.65)/BB$20</f>
        <v>3.7056537420997272E-2</v>
      </c>
      <c r="BE71" s="90">
        <f>BE57-BE64</f>
        <v>0</v>
      </c>
      <c r="BF71" s="90">
        <v>0</v>
      </c>
      <c r="BG71" s="867">
        <f>((BF71-BE71)*0.65)/BF$20</f>
        <v>0</v>
      </c>
      <c r="BI71" s="90">
        <f>BI57-BI64</f>
        <v>0</v>
      </c>
      <c r="BJ71" s="90">
        <v>0</v>
      </c>
      <c r="BK71" s="867">
        <f>((BJ71-BI71)*0.65)/BJ$20</f>
        <v>0</v>
      </c>
      <c r="BM71" s="90">
        <f>BM57-BM64</f>
        <v>0</v>
      </c>
      <c r="BN71" s="90">
        <v>0</v>
      </c>
      <c r="BO71" s="867">
        <f>((BN71-BM71)*0.65)/BN$20</f>
        <v>0</v>
      </c>
    </row>
    <row r="72" spans="2:67" x14ac:dyDescent="0.2">
      <c r="B72" s="391" t="s">
        <v>840</v>
      </c>
      <c r="D72" s="238"/>
      <c r="E72" s="120"/>
      <c r="F72" s="90">
        <f>F58-F65</f>
        <v>0</v>
      </c>
      <c r="G72" s="90">
        <v>0</v>
      </c>
      <c r="H72" s="867">
        <f t="shared" si="41"/>
        <v>0</v>
      </c>
      <c r="I72" s="120"/>
      <c r="J72" s="90">
        <f>J58-J65</f>
        <v>0</v>
      </c>
      <c r="K72" s="90">
        <v>0</v>
      </c>
      <c r="L72" s="867">
        <f t="shared" si="42"/>
        <v>0</v>
      </c>
      <c r="M72" s="120"/>
      <c r="N72" s="90">
        <f>N58-N65</f>
        <v>0</v>
      </c>
      <c r="O72" s="90">
        <v>0</v>
      </c>
      <c r="P72" s="867">
        <f t="shared" si="43"/>
        <v>0</v>
      </c>
      <c r="Q72" s="120"/>
      <c r="R72" s="90">
        <f>R58-R65</f>
        <v>0</v>
      </c>
      <c r="S72" s="90">
        <v>0</v>
      </c>
      <c r="T72" s="867">
        <f t="shared" si="44"/>
        <v>0</v>
      </c>
      <c r="U72" s="120"/>
      <c r="V72" s="90">
        <f>V58-V65</f>
        <v>0</v>
      </c>
      <c r="W72" s="90">
        <v>0</v>
      </c>
      <c r="X72" s="867">
        <f t="shared" si="45"/>
        <v>0</v>
      </c>
      <c r="Y72" s="120"/>
      <c r="Z72" s="90">
        <f>Z58-Z65</f>
        <v>0</v>
      </c>
      <c r="AA72" s="90">
        <v>0</v>
      </c>
      <c r="AB72" s="867">
        <f t="shared" si="46"/>
        <v>0</v>
      </c>
      <c r="AC72" s="238"/>
      <c r="AD72" s="391" t="s">
        <v>840</v>
      </c>
      <c r="AG72" s="90">
        <f>AG58-AG65</f>
        <v>0</v>
      </c>
      <c r="AH72" s="90">
        <v>0</v>
      </c>
      <c r="AI72" s="867">
        <f>AG72-AH72</f>
        <v>0</v>
      </c>
      <c r="AK72" s="90">
        <f>AK58-AK65</f>
        <v>0</v>
      </c>
      <c r="AL72" s="90">
        <v>0</v>
      </c>
      <c r="AM72" s="867">
        <f>AK72-AL72</f>
        <v>0</v>
      </c>
      <c r="AO72" s="90">
        <f>AO58-AO65</f>
        <v>0</v>
      </c>
      <c r="AP72" s="90">
        <v>0</v>
      </c>
      <c r="AQ72" s="867">
        <f>AO72-AP72</f>
        <v>0</v>
      </c>
      <c r="AS72" s="90">
        <f>AS58-AS65</f>
        <v>0</v>
      </c>
      <c r="AT72" s="90">
        <v>0</v>
      </c>
      <c r="AU72" s="867">
        <f>AS72-AT72</f>
        <v>0</v>
      </c>
      <c r="AW72" s="90">
        <f>AW58-AW65</f>
        <v>0</v>
      </c>
      <c r="AX72" s="90">
        <v>0</v>
      </c>
      <c r="AY72" s="867">
        <f>AW72-AX72</f>
        <v>0</v>
      </c>
      <c r="BA72" s="90">
        <f>BA58-BA65</f>
        <v>0</v>
      </c>
      <c r="BB72" s="90">
        <v>0</v>
      </c>
      <c r="BC72" s="867">
        <f>BA72-BB72</f>
        <v>0</v>
      </c>
      <c r="BE72" s="90">
        <f>BE58-BE65</f>
        <v>0</v>
      </c>
      <c r="BF72" s="90">
        <v>0</v>
      </c>
      <c r="BG72" s="867">
        <f>BE72-BF72</f>
        <v>0</v>
      </c>
      <c r="BI72" s="90">
        <f>BI58-BI65</f>
        <v>0</v>
      </c>
      <c r="BJ72" s="90">
        <v>0</v>
      </c>
      <c r="BK72" s="867">
        <f>BI72-BJ72</f>
        <v>0</v>
      </c>
      <c r="BM72" s="90">
        <f>BM58-BM65</f>
        <v>0</v>
      </c>
      <c r="BN72" s="90">
        <v>0</v>
      </c>
      <c r="BO72" s="867">
        <f>BM72-BN72</f>
        <v>0</v>
      </c>
    </row>
    <row r="73" spans="2:67" x14ac:dyDescent="0.2">
      <c r="B73" s="391" t="s">
        <v>17</v>
      </c>
      <c r="D73" s="238"/>
      <c r="E73" s="120"/>
      <c r="F73" s="186">
        <f>F59-F66</f>
        <v>-366</v>
      </c>
      <c r="G73" s="186">
        <v>-366</v>
      </c>
      <c r="H73" s="870">
        <f t="shared" si="41"/>
        <v>0</v>
      </c>
      <c r="I73" s="120"/>
      <c r="J73" s="186">
        <f>J59-J66</f>
        <v>-324</v>
      </c>
      <c r="K73" s="186">
        <v>-264</v>
      </c>
      <c r="L73" s="870">
        <f t="shared" si="42"/>
        <v>1.4430356758287121E-2</v>
      </c>
      <c r="M73" s="120"/>
      <c r="N73" s="186">
        <f>N59-N66</f>
        <v>-33</v>
      </c>
      <c r="O73" s="186">
        <v>0</v>
      </c>
      <c r="P73" s="870">
        <f t="shared" si="43"/>
        <v>8.5602503346740733E-3</v>
      </c>
      <c r="Q73" s="120"/>
      <c r="R73" s="186">
        <f>R59-R66</f>
        <v>0</v>
      </c>
      <c r="S73" s="186">
        <v>0</v>
      </c>
      <c r="T73" s="870">
        <f t="shared" si="44"/>
        <v>0</v>
      </c>
      <c r="U73" s="120"/>
      <c r="V73" s="186">
        <f>V59-V66</f>
        <v>0</v>
      </c>
      <c r="W73" s="186">
        <v>0</v>
      </c>
      <c r="X73" s="870">
        <f t="shared" si="45"/>
        <v>0</v>
      </c>
      <c r="Y73" s="120"/>
      <c r="Z73" s="186">
        <f>Z59-Z66</f>
        <v>0</v>
      </c>
      <c r="AA73" s="186">
        <v>0</v>
      </c>
      <c r="AB73" s="870">
        <f t="shared" si="46"/>
        <v>0</v>
      </c>
      <c r="AC73" s="238"/>
      <c r="AD73" s="391" t="s">
        <v>17</v>
      </c>
      <c r="AG73" s="186">
        <f>AG59-AG66</f>
        <v>-82</v>
      </c>
      <c r="AH73" s="186">
        <v>-82</v>
      </c>
      <c r="AI73" s="870"/>
      <c r="AK73" s="186">
        <f>AK59-AK66</f>
        <v>-29</v>
      </c>
      <c r="AL73" s="186">
        <v>-29</v>
      </c>
      <c r="AM73" s="870"/>
      <c r="AO73" s="186">
        <f>AO59-AO66</f>
        <v>-156</v>
      </c>
      <c r="AP73" s="186">
        <v>-156</v>
      </c>
      <c r="AQ73" s="870"/>
      <c r="AS73" s="186">
        <f>AS59-AS66</f>
        <v>-79</v>
      </c>
      <c r="AT73" s="186">
        <v>-79</v>
      </c>
      <c r="AU73" s="870"/>
      <c r="AW73" s="186">
        <f>AW59-AW66</f>
        <v>-60</v>
      </c>
      <c r="AX73" s="186">
        <v>-60</v>
      </c>
      <c r="AY73" s="870"/>
      <c r="BA73" s="186">
        <f>BA59-BA66</f>
        <v>-33</v>
      </c>
      <c r="BB73" s="186">
        <v>0</v>
      </c>
      <c r="BC73" s="870"/>
      <c r="BE73" s="186">
        <f>BE59-BE66</f>
        <v>0</v>
      </c>
      <c r="BF73" s="186">
        <v>0</v>
      </c>
      <c r="BG73" s="870"/>
      <c r="BI73" s="186">
        <f>BI59-BI66</f>
        <v>0</v>
      </c>
      <c r="BJ73" s="186">
        <v>0</v>
      </c>
      <c r="BK73" s="870"/>
      <c r="BM73" s="186">
        <f>BM59-BM66</f>
        <v>0</v>
      </c>
      <c r="BN73" s="186">
        <v>0</v>
      </c>
      <c r="BO73" s="870"/>
    </row>
    <row r="74" spans="2:67" x14ac:dyDescent="0.2">
      <c r="B74" s="861" t="s">
        <v>81</v>
      </c>
      <c r="D74" s="238"/>
      <c r="E74" s="120"/>
      <c r="F74" s="91">
        <f>F60-F67</f>
        <v>421</v>
      </c>
      <c r="G74" s="91">
        <v>421</v>
      </c>
      <c r="H74" s="868">
        <f t="shared" si="41"/>
        <v>0</v>
      </c>
      <c r="I74" s="120"/>
      <c r="J74" s="91">
        <f>J60-J67</f>
        <v>375</v>
      </c>
      <c r="K74" s="91">
        <v>432.47890635616477</v>
      </c>
      <c r="L74" s="868">
        <f t="shared" si="42"/>
        <v>1.3824018746593914E-2</v>
      </c>
      <c r="M74" s="120"/>
      <c r="N74" s="91">
        <f>N60-N67</f>
        <v>554.28267151394357</v>
      </c>
      <c r="O74" s="91">
        <v>798.95973144864911</v>
      </c>
      <c r="P74" s="868">
        <f t="shared" si="43"/>
        <v>6.3469602551307014E-2</v>
      </c>
      <c r="Q74" s="120"/>
      <c r="R74" s="91">
        <f>R60-R67</f>
        <v>812.2885281765648</v>
      </c>
      <c r="S74" s="91">
        <v>815.47550476698416</v>
      </c>
      <c r="T74" s="868">
        <f t="shared" si="44"/>
        <v>9.0710153416927511E-4</v>
      </c>
      <c r="U74" s="120"/>
      <c r="V74" s="91">
        <f>V60-V67</f>
        <v>919.34024828795918</v>
      </c>
      <c r="W74" s="91">
        <v>909.77864308071003</v>
      </c>
      <c r="X74" s="868">
        <f t="shared" si="45"/>
        <v>-2.990009544572072E-3</v>
      </c>
      <c r="Y74" s="120"/>
      <c r="Z74" s="91">
        <f>Z60-Z67</f>
        <v>919.34024828795918</v>
      </c>
      <c r="AA74" s="91">
        <v>907.30390964601793</v>
      </c>
      <c r="AB74" s="868">
        <f t="shared" si="46"/>
        <v>-3.6910654182368409E-3</v>
      </c>
      <c r="AC74" s="238"/>
      <c r="AD74" s="895" t="s">
        <v>81</v>
      </c>
      <c r="AG74" s="91">
        <f>AG60-AG67</f>
        <v>96</v>
      </c>
      <c r="AH74" s="91">
        <v>96</v>
      </c>
      <c r="AI74" s="868"/>
      <c r="AK74" s="91">
        <f>AK60-AK67</f>
        <v>-47</v>
      </c>
      <c r="AL74" s="91">
        <v>-47</v>
      </c>
      <c r="AM74" s="868"/>
      <c r="AO74" s="91">
        <f>AO60-AO67</f>
        <v>7</v>
      </c>
      <c r="AP74" s="91">
        <v>7</v>
      </c>
      <c r="AQ74" s="868"/>
      <c r="AS74" s="91">
        <f>AS60-AS67</f>
        <v>222</v>
      </c>
      <c r="AT74" s="91">
        <v>222</v>
      </c>
      <c r="AU74" s="868"/>
      <c r="AW74" s="91">
        <f>AW60-AW67</f>
        <v>193</v>
      </c>
      <c r="AX74" s="91">
        <v>193</v>
      </c>
      <c r="AY74" s="868"/>
      <c r="BA74" s="91">
        <f>BA60-BA67</f>
        <v>-10</v>
      </c>
      <c r="BB74" s="91">
        <v>187.34416338082247</v>
      </c>
      <c r="BC74" s="868"/>
      <c r="BE74" s="91">
        <f>BE60-BE67</f>
        <v>176.73448320547959</v>
      </c>
      <c r="BF74" s="91">
        <v>194.88571500280818</v>
      </c>
      <c r="BG74" s="868"/>
      <c r="BI74" s="91">
        <f>BI60-BI67</f>
        <v>185.57113526599233</v>
      </c>
      <c r="BJ74" s="91">
        <v>204.27311020068828</v>
      </c>
      <c r="BK74" s="868"/>
      <c r="BM74" s="91">
        <f>BM60-BM67</f>
        <v>201.9770530424712</v>
      </c>
      <c r="BN74" s="91">
        <v>212.45674286432904</v>
      </c>
      <c r="BO74" s="868"/>
    </row>
    <row r="75" spans="2:67" x14ac:dyDescent="0.2">
      <c r="D75" s="238"/>
      <c r="E75" s="120"/>
      <c r="F75" s="895"/>
      <c r="G75" s="895"/>
      <c r="H75" s="867"/>
      <c r="I75" s="120"/>
      <c r="J75" s="895"/>
      <c r="L75" s="867"/>
      <c r="M75" s="120"/>
      <c r="P75" s="867"/>
      <c r="Q75" s="120"/>
      <c r="T75" s="867"/>
      <c r="U75" s="120"/>
      <c r="X75" s="867"/>
      <c r="Y75" s="120"/>
      <c r="AB75" s="867"/>
      <c r="AC75" s="238"/>
      <c r="AI75" s="867"/>
      <c r="AM75" s="867"/>
      <c r="AQ75" s="867"/>
      <c r="AU75" s="867"/>
      <c r="AY75" s="867"/>
      <c r="BC75" s="867"/>
      <c r="BG75" s="867"/>
      <c r="BK75" s="867"/>
      <c r="BO75" s="867"/>
    </row>
    <row r="76" spans="2:67" x14ac:dyDescent="0.2">
      <c r="B76" s="394" t="s">
        <v>903</v>
      </c>
      <c r="D76" s="238"/>
      <c r="E76" s="120"/>
      <c r="F76" s="895"/>
      <c r="G76" s="895"/>
      <c r="H76" s="867"/>
      <c r="I76" s="120"/>
      <c r="J76" s="895"/>
      <c r="L76" s="867"/>
      <c r="M76" s="120"/>
      <c r="P76" s="867"/>
      <c r="Q76" s="120"/>
      <c r="T76" s="867"/>
      <c r="U76" s="120"/>
      <c r="X76" s="867"/>
      <c r="Y76" s="120"/>
      <c r="AB76" s="867"/>
      <c r="AC76" s="238"/>
      <c r="AD76" s="394" t="s">
        <v>903</v>
      </c>
      <c r="AI76" s="867"/>
      <c r="AM76" s="867"/>
      <c r="AQ76" s="867"/>
      <c r="AU76" s="867"/>
      <c r="AY76" s="867"/>
      <c r="BC76" s="867"/>
      <c r="BG76" s="867"/>
      <c r="BK76" s="867"/>
      <c r="BO76" s="867"/>
    </row>
    <row r="77" spans="2:67" x14ac:dyDescent="0.2">
      <c r="B77" s="391" t="s">
        <v>909</v>
      </c>
      <c r="D77" s="238"/>
      <c r="E77" s="120"/>
      <c r="F77" s="90">
        <f>Model!AY1130</f>
        <v>12060</v>
      </c>
      <c r="G77" s="90">
        <v>12060</v>
      </c>
      <c r="H77" s="37">
        <f>F77-G77</f>
        <v>0</v>
      </c>
      <c r="I77" s="120"/>
      <c r="J77" s="90">
        <f>Model!AZ1130</f>
        <v>12355</v>
      </c>
      <c r="K77" s="90">
        <v>12616.478906356166</v>
      </c>
      <c r="L77" s="37">
        <f>J77-K77</f>
        <v>-261.47890635616568</v>
      </c>
      <c r="M77" s="120"/>
      <c r="N77" s="90">
        <f>Model!BA1130</f>
        <v>12918.282671513942</v>
      </c>
      <c r="O77" s="90">
        <v>13153.959731448649</v>
      </c>
      <c r="P77" s="37">
        <f>N77-O77</f>
        <v>-235.67705993470736</v>
      </c>
      <c r="Q77" s="120"/>
      <c r="R77" s="90">
        <f>Model!BB1130</f>
        <v>13730.571199690507</v>
      </c>
      <c r="S77" s="90">
        <v>13969.435236215631</v>
      </c>
      <c r="T77" s="37">
        <f>R77-S77</f>
        <v>-238.8640365251249</v>
      </c>
      <c r="U77" s="120"/>
      <c r="V77" s="90">
        <f>Model!BC1130</f>
        <v>14649.911447978466</v>
      </c>
      <c r="W77" s="90">
        <v>14879.213879296341</v>
      </c>
      <c r="X77" s="37">
        <f>V77-W77</f>
        <v>-229.30243131787574</v>
      </c>
      <c r="Y77" s="120"/>
      <c r="Z77" s="90">
        <f>Model!BC1130</f>
        <v>14649.911447978466</v>
      </c>
      <c r="AA77" s="90">
        <v>14890.700260934236</v>
      </c>
      <c r="AB77" s="37">
        <f>Z77-AA77</f>
        <v>-240.78881295577048</v>
      </c>
      <c r="AC77" s="238"/>
      <c r="AD77" s="391" t="s">
        <v>909</v>
      </c>
      <c r="AG77" s="90">
        <f>Model!W1130</f>
        <v>12060</v>
      </c>
      <c r="AH77" s="90">
        <v>12060</v>
      </c>
      <c r="AI77" s="37">
        <f>AG77-AH77</f>
        <v>0</v>
      </c>
      <c r="AK77" s="90">
        <f>Model!X1130</f>
        <v>12030</v>
      </c>
      <c r="AL77" s="90">
        <v>12030</v>
      </c>
      <c r="AM77" s="37">
        <f>AK77-AL77</f>
        <v>0</v>
      </c>
      <c r="AO77" s="90">
        <f>Model!Y1130</f>
        <v>12025</v>
      </c>
      <c r="AP77" s="90">
        <v>12025</v>
      </c>
      <c r="AQ77" s="37">
        <f>AO77-AP77</f>
        <v>0</v>
      </c>
      <c r="AS77" s="90">
        <f>Model!Z1130</f>
        <v>12366</v>
      </c>
      <c r="AT77" s="90">
        <v>12366</v>
      </c>
      <c r="AU77" s="37">
        <f>AS77-AT77</f>
        <v>0</v>
      </c>
      <c r="AW77" s="90">
        <f>Model!AA1130</f>
        <v>12355</v>
      </c>
      <c r="AX77" s="90">
        <v>12355</v>
      </c>
      <c r="AY77" s="37">
        <f>AW77-AX77</f>
        <v>0</v>
      </c>
      <c r="BA77" s="90">
        <f>Model!AB1130</f>
        <v>12354</v>
      </c>
      <c r="BB77" s="90">
        <v>12542.344163380822</v>
      </c>
      <c r="BC77" s="37">
        <f>BA77-BB77</f>
        <v>-188.34416338082156</v>
      </c>
      <c r="BE77" s="90">
        <f>Model!AC1130</f>
        <v>12530.734483205479</v>
      </c>
      <c r="BF77" s="90">
        <v>12737.22987838363</v>
      </c>
      <c r="BG77" s="37">
        <f>BE77-BF77</f>
        <v>-206.49539517815174</v>
      </c>
      <c r="BI77" s="90">
        <f>Model!AD1130</f>
        <v>12716.305618471471</v>
      </c>
      <c r="BJ77" s="90">
        <v>12941.50298858432</v>
      </c>
      <c r="BK77" s="37">
        <f>BI77-BJ77</f>
        <v>-225.19737011284815</v>
      </c>
      <c r="BM77" s="90">
        <f>Model!AE1130</f>
        <v>12918.282671513942</v>
      </c>
      <c r="BN77" s="90">
        <v>13153.959731448649</v>
      </c>
      <c r="BO77" s="37">
        <f>BM77-BN77</f>
        <v>-235.67705993470736</v>
      </c>
    </row>
    <row r="78" spans="2:67" x14ac:dyDescent="0.2">
      <c r="D78" s="238"/>
      <c r="E78" s="120"/>
      <c r="F78" s="895"/>
      <c r="G78" s="895"/>
      <c r="H78" s="867"/>
      <c r="I78" s="120"/>
      <c r="J78" s="895"/>
      <c r="L78" s="867"/>
      <c r="M78" s="120"/>
      <c r="P78" s="867"/>
      <c r="Q78" s="120"/>
      <c r="T78" s="867"/>
      <c r="U78" s="120"/>
      <c r="X78" s="867"/>
      <c r="Y78" s="120"/>
      <c r="AB78" s="867"/>
      <c r="AC78" s="238"/>
      <c r="AI78" s="867"/>
      <c r="AM78" s="867"/>
      <c r="AQ78" s="867"/>
      <c r="AU78" s="867"/>
      <c r="AY78" s="867"/>
      <c r="BC78" s="867"/>
      <c r="BG78" s="867"/>
      <c r="BK78" s="867"/>
      <c r="BO78" s="867"/>
    </row>
    <row r="79" spans="2:67" s="394" customFormat="1" x14ac:dyDescent="0.2">
      <c r="B79" s="394" t="s">
        <v>910</v>
      </c>
      <c r="D79" s="888"/>
      <c r="E79" s="889"/>
      <c r="F79" s="891"/>
      <c r="G79" s="891"/>
      <c r="H79" s="890"/>
      <c r="I79" s="889"/>
      <c r="J79" s="891"/>
      <c r="K79" s="891"/>
      <c r="L79" s="890"/>
      <c r="M79" s="889"/>
      <c r="N79" s="891"/>
      <c r="O79" s="891"/>
      <c r="P79" s="890"/>
      <c r="Q79" s="889"/>
      <c r="R79" s="891"/>
      <c r="S79" s="891"/>
      <c r="T79" s="890"/>
      <c r="U79" s="889"/>
      <c r="V79" s="891"/>
      <c r="W79" s="891"/>
      <c r="X79" s="890"/>
      <c r="Y79" s="889"/>
      <c r="Z79" s="891"/>
      <c r="AA79" s="891"/>
      <c r="AB79" s="890"/>
      <c r="AC79" s="888"/>
      <c r="AD79" s="394" t="s">
        <v>910</v>
      </c>
      <c r="AF79" s="900"/>
      <c r="AG79" s="891"/>
      <c r="AH79" s="891"/>
      <c r="AI79" s="890"/>
      <c r="AK79" s="891"/>
      <c r="AL79" s="891"/>
      <c r="AM79" s="890"/>
      <c r="AO79" s="891"/>
      <c r="AP79" s="891"/>
      <c r="AQ79" s="890"/>
      <c r="AS79" s="891"/>
      <c r="AT79" s="891"/>
      <c r="AU79" s="890"/>
      <c r="AW79" s="891"/>
      <c r="AX79" s="891"/>
      <c r="AY79" s="890"/>
      <c r="BA79" s="891"/>
      <c r="BB79" s="891"/>
      <c r="BC79" s="890"/>
      <c r="BE79" s="891"/>
      <c r="BF79" s="891"/>
      <c r="BG79" s="890"/>
      <c r="BI79" s="891"/>
      <c r="BJ79" s="891"/>
      <c r="BK79" s="890"/>
      <c r="BM79" s="891"/>
      <c r="BN79" s="891"/>
      <c r="BO79" s="890"/>
    </row>
    <row r="80" spans="2:67" x14ac:dyDescent="0.2">
      <c r="B80" s="391" t="s">
        <v>100</v>
      </c>
      <c r="D80" s="238"/>
      <c r="E80" s="120"/>
      <c r="F80" s="37">
        <f>F49-F56</f>
        <v>7609</v>
      </c>
      <c r="G80" s="37">
        <v>7609</v>
      </c>
      <c r="H80" s="867">
        <f t="shared" ref="H80:H84" si="47">((F80-G80)*0.65)/G$20</f>
        <v>0</v>
      </c>
      <c r="I80" s="120"/>
      <c r="J80" s="37">
        <f>J49-J56</f>
        <v>7194</v>
      </c>
      <c r="K80" s="37">
        <v>7067.8878073315063</v>
      </c>
      <c r="L80" s="867">
        <f t="shared" ref="L80:L84" si="48">((J80-K80)*0.65)/K$20</f>
        <v>3.0330732196270086E-2</v>
      </c>
      <c r="M80" s="120"/>
      <c r="N80" s="37">
        <f>N49-N56</f>
        <v>7637.6668847303226</v>
      </c>
      <c r="O80" s="37">
        <v>7705.9244647252472</v>
      </c>
      <c r="P80" s="867">
        <f t="shared" ref="P80:P84" si="49">((N80-O80)*0.65)/O$20</f>
        <v>-1.7706120363502883E-2</v>
      </c>
      <c r="Q80" s="120"/>
      <c r="R80" s="37">
        <f>R49-R56</f>
        <v>8059.4408021123509</v>
      </c>
      <c r="S80" s="37">
        <v>8628.0323582506571</v>
      </c>
      <c r="T80" s="867">
        <f t="shared" ref="T80:T84" si="50">((R80-S80)*0.65)/S$20</f>
        <v>-0.16183685642349974</v>
      </c>
      <c r="U80" s="120"/>
      <c r="V80" s="37">
        <f>V49-V56</f>
        <v>8331.4435158798278</v>
      </c>
      <c r="W80" s="37">
        <v>8805.1864450584635</v>
      </c>
      <c r="X80" s="867">
        <f t="shared" ref="X80:X84" si="51">((V80-W80)*0.65)/W$20</f>
        <v>-0.14814415040308623</v>
      </c>
      <c r="Y80" s="120"/>
      <c r="Z80" s="37">
        <f>Z49-Z56</f>
        <v>8331.4435158798278</v>
      </c>
      <c r="AA80" s="37">
        <v>9213.3948606867089</v>
      </c>
      <c r="AB80" s="867">
        <f t="shared" ref="AB80:AB84" si="52">((Z80-AA80)*0.65)/AA$20</f>
        <v>-0.2704593320464373</v>
      </c>
      <c r="AC80" s="238"/>
      <c r="AD80" s="391" t="s">
        <v>100</v>
      </c>
      <c r="AG80" s="37">
        <f>AG49-AG56</f>
        <v>1902</v>
      </c>
      <c r="AH80" s="37">
        <v>1902</v>
      </c>
      <c r="AI80" s="867">
        <f t="shared" ref="AI80:AI84" si="53">((AG80-AH80)*0.65)/AH$20</f>
        <v>0</v>
      </c>
      <c r="AK80" s="37">
        <f>AK49-AK56</f>
        <v>1580</v>
      </c>
      <c r="AL80" s="37">
        <v>1587</v>
      </c>
      <c r="AM80" s="867">
        <f t="shared" ref="AM80:AM84" si="54">((AK80-AL80)*0.65)/AL$20</f>
        <v>-1.6449746926970354E-3</v>
      </c>
      <c r="AO80" s="37">
        <f>AO49-AO56</f>
        <v>1774</v>
      </c>
      <c r="AP80" s="37">
        <v>1776</v>
      </c>
      <c r="AQ80" s="867">
        <f t="shared" ref="AQ80:AQ84" si="55">((AO80-AP80)*0.65)/AP$20</f>
        <v>-4.7459112149532716E-4</v>
      </c>
      <c r="AS80" s="37">
        <f>AS49-AS56</f>
        <v>1805</v>
      </c>
      <c r="AT80" s="37">
        <v>1810</v>
      </c>
      <c r="AU80" s="867">
        <f t="shared" ref="AU80:AU84" si="56">((AS80-AT80)*0.65)/AT$20</f>
        <v>-1.2110146439616948E-3</v>
      </c>
      <c r="AW80" s="37">
        <f>AW49-AW56</f>
        <v>2035</v>
      </c>
      <c r="AX80" s="37">
        <v>2040</v>
      </c>
      <c r="AY80" s="867">
        <f t="shared" ref="AY80:AY84" si="57">((AW80-AX80)*0.65)/AX$20</f>
        <v>-1.2470263218479012E-3</v>
      </c>
      <c r="BA80" s="37">
        <f>BA49-BA56</f>
        <v>1847</v>
      </c>
      <c r="BB80" s="37">
        <v>1824.8788735643848</v>
      </c>
      <c r="BC80" s="867">
        <f t="shared" ref="BC80:BC84" si="58">((BA80-BB80)*0.65)/BB$20</f>
        <v>5.6146051339451206E-3</v>
      </c>
      <c r="BE80" s="37">
        <f>BE49-BE56</f>
        <v>1885.6574198219178</v>
      </c>
      <c r="BF80" s="37">
        <v>1930.4794359765478</v>
      </c>
      <c r="BG80" s="867">
        <f t="shared" ref="BG80:BG84" si="59">((BE80-BF80)*0.65)/BF$20</f>
        <v>-1.1473081061382914E-2</v>
      </c>
      <c r="BI80" s="37">
        <f>BI49-BI56</f>
        <v>1974.7020690256522</v>
      </c>
      <c r="BJ80" s="37">
        <v>1991.8697066609689</v>
      </c>
      <c r="BK80" s="867">
        <f t="shared" ref="BK80:BK84" si="60">((BI80-BJ80)*0.65)/BJ$20</f>
        <v>-4.4747108399477266E-3</v>
      </c>
      <c r="BM80" s="37">
        <f>BM49-BM56</f>
        <v>1930.307395882754</v>
      </c>
      <c r="BN80" s="37">
        <v>1958.696448523348</v>
      </c>
      <c r="BO80" s="867">
        <f t="shared" ref="BO80:BO84" si="61">((BM80-BN80)*0.65)/BN$20</f>
        <v>-7.5969906899984851E-3</v>
      </c>
    </row>
    <row r="81" spans="2:67" x14ac:dyDescent="0.2">
      <c r="B81" s="391" t="s">
        <v>182</v>
      </c>
      <c r="D81" s="238"/>
      <c r="E81" s="120"/>
      <c r="F81" s="37">
        <f>F50-F57</f>
        <v>13785</v>
      </c>
      <c r="G81" s="37">
        <v>13785</v>
      </c>
      <c r="H81" s="867">
        <f>((F81-G81)*0.65)/G$20</f>
        <v>0</v>
      </c>
      <c r="I81" s="120"/>
      <c r="J81" s="37">
        <f>J50-J57</f>
        <v>16074</v>
      </c>
      <c r="K81" s="37">
        <v>16343.730785976095</v>
      </c>
      <c r="L81" s="867">
        <f t="shared" si="48"/>
        <v>-6.4871857838803976E-2</v>
      </c>
      <c r="M81" s="120"/>
      <c r="N81" s="37">
        <f>N50-N57</f>
        <v>17046.268968674056</v>
      </c>
      <c r="O81" s="37">
        <v>16646.33166513568</v>
      </c>
      <c r="P81" s="867">
        <f t="shared" si="49"/>
        <v>0.10374434655948576</v>
      </c>
      <c r="Q81" s="120"/>
      <c r="R81" s="37">
        <f>R50-R57</f>
        <v>18640.637313187002</v>
      </c>
      <c r="S81" s="37">
        <v>18431.912479448489</v>
      </c>
      <c r="T81" s="867">
        <f t="shared" si="50"/>
        <v>5.9408850843965154E-2</v>
      </c>
      <c r="U81" s="120"/>
      <c r="V81" s="37">
        <f>V50-V57</f>
        <v>20231.825031340446</v>
      </c>
      <c r="W81" s="37">
        <v>20093.764496064108</v>
      </c>
      <c r="X81" s="867">
        <f t="shared" si="51"/>
        <v>4.3172909700560723E-2</v>
      </c>
      <c r="Y81" s="120"/>
      <c r="Z81" s="37">
        <f>Z50-Z57</f>
        <v>20231.825031340446</v>
      </c>
      <c r="AA81" s="37">
        <v>18624.736827579571</v>
      </c>
      <c r="AB81" s="867">
        <f t="shared" si="52"/>
        <v>0.49282991027588929</v>
      </c>
      <c r="AC81" s="238"/>
      <c r="AD81" s="391" t="s">
        <v>182</v>
      </c>
      <c r="AG81" s="37">
        <f>AG50-AG57</f>
        <v>3446</v>
      </c>
      <c r="AH81" s="37">
        <v>3446</v>
      </c>
      <c r="AI81" s="867">
        <f t="shared" si="53"/>
        <v>0</v>
      </c>
      <c r="AK81" s="37">
        <f>AK50-AK57</f>
        <v>4386</v>
      </c>
      <c r="AL81" s="37">
        <v>4386</v>
      </c>
      <c r="AM81" s="867">
        <f t="shared" si="54"/>
        <v>0</v>
      </c>
      <c r="AO81" s="37">
        <f>AO50-AO57</f>
        <v>4107</v>
      </c>
      <c r="AP81" s="37">
        <v>4107</v>
      </c>
      <c r="AQ81" s="867">
        <f t="shared" si="55"/>
        <v>0</v>
      </c>
      <c r="AS81" s="37">
        <f>AS50-AS57</f>
        <v>4456</v>
      </c>
      <c r="AT81" s="37">
        <v>4456</v>
      </c>
      <c r="AU81" s="867">
        <f t="shared" si="56"/>
        <v>0</v>
      </c>
      <c r="AW81" s="37">
        <f>AW50-AW57</f>
        <v>3125</v>
      </c>
      <c r="AX81" s="37">
        <v>3125</v>
      </c>
      <c r="AY81" s="867">
        <f t="shared" si="57"/>
        <v>0</v>
      </c>
      <c r="BA81" s="37">
        <f>BA50-BA57</f>
        <v>4386</v>
      </c>
      <c r="BB81" s="37">
        <v>4357.6841371358869</v>
      </c>
      <c r="BC81" s="867">
        <f t="shared" si="58"/>
        <v>7.1869029577522909E-3</v>
      </c>
      <c r="BE81" s="37">
        <f>BE50-BE57</f>
        <v>4299.1477887285837</v>
      </c>
      <c r="BF81" s="37">
        <v>4276.499094308002</v>
      </c>
      <c r="BG81" s="867">
        <f t="shared" si="59"/>
        <v>5.7973810487545957E-3</v>
      </c>
      <c r="BI81" s="37">
        <f>BI50-BI57</f>
        <v>4277.8668916960278</v>
      </c>
      <c r="BJ81" s="37">
        <v>4151.9042920055872</v>
      </c>
      <c r="BK81" s="867">
        <f t="shared" si="60"/>
        <v>3.2831902806667979E-2</v>
      </c>
      <c r="BM81" s="37">
        <f>BM50-BM57</f>
        <v>4083.2542882494499</v>
      </c>
      <c r="BN81" s="37">
        <v>3860.2441416862093</v>
      </c>
      <c r="BO81" s="867">
        <f t="shared" si="61"/>
        <v>5.9678145257780292E-2</v>
      </c>
    </row>
    <row r="82" spans="2:67" x14ac:dyDescent="0.2">
      <c r="B82" s="391" t="s">
        <v>840</v>
      </c>
      <c r="D82" s="238"/>
      <c r="E82" s="120"/>
      <c r="F82" s="878"/>
      <c r="G82" s="37"/>
      <c r="H82" s="867">
        <f t="shared" si="47"/>
        <v>0</v>
      </c>
      <c r="I82" s="120"/>
      <c r="J82" s="878"/>
      <c r="K82" s="878"/>
      <c r="L82" s="867">
        <f t="shared" si="48"/>
        <v>0</v>
      </c>
      <c r="M82" s="120"/>
      <c r="N82" s="878"/>
      <c r="O82" s="878"/>
      <c r="P82" s="867">
        <f t="shared" si="49"/>
        <v>0</v>
      </c>
      <c r="Q82" s="120"/>
      <c r="R82" s="878"/>
      <c r="S82" s="878"/>
      <c r="T82" s="867">
        <f t="shared" si="50"/>
        <v>0</v>
      </c>
      <c r="U82" s="120"/>
      <c r="V82" s="878"/>
      <c r="W82" s="878"/>
      <c r="X82" s="867">
        <f t="shared" si="51"/>
        <v>0</v>
      </c>
      <c r="Y82" s="120"/>
      <c r="Z82" s="878"/>
      <c r="AA82" s="878"/>
      <c r="AB82" s="867">
        <f t="shared" si="52"/>
        <v>0</v>
      </c>
      <c r="AC82" s="238"/>
      <c r="AD82" s="391" t="s">
        <v>840</v>
      </c>
      <c r="AG82" s="878"/>
      <c r="AH82" s="37"/>
      <c r="AI82" s="867">
        <f t="shared" si="53"/>
        <v>0</v>
      </c>
      <c r="AK82" s="878"/>
      <c r="AL82" s="878"/>
      <c r="AM82" s="867">
        <f t="shared" si="54"/>
        <v>0</v>
      </c>
      <c r="AO82" s="878"/>
      <c r="AP82" s="878"/>
      <c r="AQ82" s="867">
        <f t="shared" si="55"/>
        <v>0</v>
      </c>
      <c r="AS82" s="878"/>
      <c r="AT82" s="878"/>
      <c r="AU82" s="867">
        <f t="shared" si="56"/>
        <v>0</v>
      </c>
      <c r="AW82" s="878"/>
      <c r="AX82" s="878"/>
      <c r="AY82" s="867">
        <f t="shared" si="57"/>
        <v>0</v>
      </c>
      <c r="BA82" s="878"/>
      <c r="BB82" s="878"/>
      <c r="BC82" s="867">
        <f t="shared" si="58"/>
        <v>0</v>
      </c>
      <c r="BE82" s="878"/>
      <c r="BF82" s="878"/>
      <c r="BG82" s="867">
        <f t="shared" si="59"/>
        <v>0</v>
      </c>
      <c r="BI82" s="878"/>
      <c r="BJ82" s="878"/>
      <c r="BK82" s="867">
        <f t="shared" si="60"/>
        <v>0</v>
      </c>
      <c r="BM82" s="878"/>
      <c r="BN82" s="878"/>
      <c r="BO82" s="867">
        <f t="shared" si="61"/>
        <v>0</v>
      </c>
    </row>
    <row r="83" spans="2:67" x14ac:dyDescent="0.2">
      <c r="B83" s="391" t="s">
        <v>17</v>
      </c>
      <c r="D83" s="238"/>
      <c r="E83" s="120"/>
      <c r="F83" s="42">
        <f>F52-F59</f>
        <v>83</v>
      </c>
      <c r="G83" s="42">
        <v>83</v>
      </c>
      <c r="H83" s="870">
        <f t="shared" si="47"/>
        <v>0</v>
      </c>
      <c r="I83" s="120"/>
      <c r="J83" s="42">
        <f>J52-J59</f>
        <v>-507</v>
      </c>
      <c r="K83" s="42">
        <v>-747.69565753424683</v>
      </c>
      <c r="L83" s="870">
        <f t="shared" si="48"/>
        <v>5.7888736806494687E-2</v>
      </c>
      <c r="M83" s="120"/>
      <c r="N83" s="42">
        <f>N52-N59</f>
        <v>-811.33069163835671</v>
      </c>
      <c r="O83" s="42">
        <v>-1048.7085988150679</v>
      </c>
      <c r="P83" s="870">
        <f t="shared" si="49"/>
        <v>6.1576191192535566E-2</v>
      </c>
      <c r="Q83" s="120"/>
      <c r="R83" s="42">
        <f>R52-R59</f>
        <v>-660.34314543070764</v>
      </c>
      <c r="S83" s="42">
        <v>-829.93449062345985</v>
      </c>
      <c r="T83" s="870">
        <f t="shared" si="50"/>
        <v>4.8270379477727464E-2</v>
      </c>
      <c r="U83" s="120"/>
      <c r="V83" s="42">
        <f>V52-V59</f>
        <v>-523.37447712756727</v>
      </c>
      <c r="W83" s="42">
        <v>-658.88267384250321</v>
      </c>
      <c r="X83" s="870">
        <f t="shared" si="51"/>
        <v>4.2374767914306576E-2</v>
      </c>
      <c r="Y83" s="120"/>
      <c r="Z83" s="42">
        <f>Z52-Z59</f>
        <v>-523.37447712756727</v>
      </c>
      <c r="AA83" s="42">
        <v>-661.43371395644965</v>
      </c>
      <c r="AB83" s="870">
        <f t="shared" si="52"/>
        <v>4.2337266330442019E-2</v>
      </c>
      <c r="AC83" s="238"/>
      <c r="AD83" s="391" t="s">
        <v>17</v>
      </c>
      <c r="AG83" s="42">
        <f>AG52-AG59</f>
        <v>-248</v>
      </c>
      <c r="AH83" s="42">
        <v>-248</v>
      </c>
      <c r="AI83" s="870">
        <f t="shared" si="53"/>
        <v>0</v>
      </c>
      <c r="AK83" s="42">
        <f>AK52-AK59</f>
        <v>15</v>
      </c>
      <c r="AL83" s="42">
        <v>8</v>
      </c>
      <c r="AM83" s="870">
        <f t="shared" si="54"/>
        <v>1.6449746926970354E-3</v>
      </c>
      <c r="AO83" s="42">
        <f>AO52-AO59</f>
        <v>-203</v>
      </c>
      <c r="AP83" s="42">
        <v>-205</v>
      </c>
      <c r="AQ83" s="870">
        <f t="shared" si="55"/>
        <v>4.7459112149532716E-4</v>
      </c>
      <c r="AS83" s="42">
        <f>AS52-AS59</f>
        <v>-258</v>
      </c>
      <c r="AT83" s="42">
        <v>-263</v>
      </c>
      <c r="AU83" s="870">
        <f t="shared" si="56"/>
        <v>1.2110146439616948E-3</v>
      </c>
      <c r="AW83" s="42">
        <f>AW52-AW59</f>
        <v>-61</v>
      </c>
      <c r="AX83" s="42">
        <v>-66</v>
      </c>
      <c r="AY83" s="870">
        <f t="shared" si="57"/>
        <v>1.2470263218479012E-3</v>
      </c>
      <c r="BA83" s="42">
        <f>BA52-BA59</f>
        <v>-143</v>
      </c>
      <c r="BB83" s="42">
        <v>-279.98911232876696</v>
      </c>
      <c r="BC83" s="870">
        <f t="shared" si="58"/>
        <v>3.4769466899179119E-2</v>
      </c>
      <c r="BE83" s="42">
        <f>BE52-BE59</f>
        <v>-224.64643945205484</v>
      </c>
      <c r="BF83" s="42">
        <v>-268.18628449315059</v>
      </c>
      <c r="BG83" s="870">
        <f t="shared" si="59"/>
        <v>1.1144884019344603E-2</v>
      </c>
      <c r="BI83" s="42">
        <f>BI52-BI59</f>
        <v>-220.24588059726037</v>
      </c>
      <c r="BJ83" s="42">
        <v>-256.89555032876706</v>
      </c>
      <c r="BK83" s="870">
        <f t="shared" si="60"/>
        <v>9.5526640247059532E-3</v>
      </c>
      <c r="BM83" s="42">
        <f>BM52-BM59</f>
        <v>-223.43837158904114</v>
      </c>
      <c r="BN83" s="42">
        <v>-243.6376516643835</v>
      </c>
      <c r="BO83" s="870">
        <f t="shared" si="61"/>
        <v>5.4053844141886557E-3</v>
      </c>
    </row>
    <row r="84" spans="2:67" x14ac:dyDescent="0.2">
      <c r="B84" s="861" t="s">
        <v>81</v>
      </c>
      <c r="E84" s="306"/>
      <c r="F84" s="195">
        <f>F53-F60</f>
        <v>21477</v>
      </c>
      <c r="G84" s="195">
        <v>21477</v>
      </c>
      <c r="H84" s="868">
        <f t="shared" si="47"/>
        <v>0</v>
      </c>
      <c r="I84" s="306"/>
      <c r="J84" s="195">
        <f>J53-J60</f>
        <v>22761</v>
      </c>
      <c r="K84" s="195">
        <v>22663.922935773342</v>
      </c>
      <c r="L84" s="868">
        <f t="shared" si="48"/>
        <v>2.3347611163963781E-2</v>
      </c>
      <c r="M84" s="306"/>
      <c r="N84" s="195">
        <f>N53-N60</f>
        <v>23872.605161766009</v>
      </c>
      <c r="O84" s="195">
        <v>23303.547531045857</v>
      </c>
      <c r="P84" s="868">
        <f t="shared" si="49"/>
        <v>0.14761441738851561</v>
      </c>
      <c r="Q84" s="306"/>
      <c r="R84" s="195">
        <f>R53-R60</f>
        <v>26039.734969868638</v>
      </c>
      <c r="S84" s="195">
        <v>26230.010347075673</v>
      </c>
      <c r="T84" s="868">
        <f t="shared" si="50"/>
        <v>-5.4157626101805703E-2</v>
      </c>
      <c r="U84" s="306"/>
      <c r="V84" s="195">
        <f>V53-V60</f>
        <v>28039.894070092698</v>
      </c>
      <c r="W84" s="195">
        <v>28240.068267280072</v>
      </c>
      <c r="X84" s="868">
        <f t="shared" si="51"/>
        <v>-6.2596472788222793E-2</v>
      </c>
      <c r="Y84" s="306"/>
      <c r="Z84" s="195">
        <f>Z53-Z60</f>
        <v>28039.894070092698</v>
      </c>
      <c r="AA84" s="195">
        <v>27176.697974309835</v>
      </c>
      <c r="AB84" s="868">
        <f t="shared" si="52"/>
        <v>0.26470784455988988</v>
      </c>
      <c r="AD84" s="895" t="s">
        <v>81</v>
      </c>
      <c r="AG84" s="195">
        <f>AG53-AG60</f>
        <v>5100</v>
      </c>
      <c r="AH84" s="195">
        <v>5100</v>
      </c>
      <c r="AI84" s="868">
        <f t="shared" si="53"/>
        <v>0</v>
      </c>
      <c r="AK84" s="195">
        <f>AK53-AK60</f>
        <v>5981</v>
      </c>
      <c r="AL84" s="195">
        <v>5981</v>
      </c>
      <c r="AM84" s="868">
        <f t="shared" si="54"/>
        <v>0</v>
      </c>
      <c r="AO84" s="195">
        <f>AO53-AO60</f>
        <v>5678</v>
      </c>
      <c r="AP84" s="195">
        <v>5678</v>
      </c>
      <c r="AQ84" s="868">
        <f t="shared" si="55"/>
        <v>0</v>
      </c>
      <c r="AS84" s="195">
        <f>AS53-AS60</f>
        <v>6003</v>
      </c>
      <c r="AT84" s="195">
        <v>6003</v>
      </c>
      <c r="AU84" s="868">
        <f t="shared" si="56"/>
        <v>0</v>
      </c>
      <c r="AW84" s="195">
        <f>AW53-AW60</f>
        <v>5099</v>
      </c>
      <c r="AX84" s="195">
        <v>5099</v>
      </c>
      <c r="AY84" s="868">
        <f t="shared" si="57"/>
        <v>0</v>
      </c>
      <c r="BA84" s="195">
        <f>BA53-BA60</f>
        <v>6090</v>
      </c>
      <c r="BB84" s="195">
        <v>5902.5738983715046</v>
      </c>
      <c r="BC84" s="868">
        <f t="shared" si="58"/>
        <v>4.7570974990876556E-2</v>
      </c>
      <c r="BE84" s="195">
        <f>BE53-BE60</f>
        <v>5960.158769098447</v>
      </c>
      <c r="BF84" s="195">
        <v>5938.7922457914001</v>
      </c>
      <c r="BG84" s="868">
        <f t="shared" si="59"/>
        <v>5.4691840067161686E-3</v>
      </c>
      <c r="BI84" s="195">
        <f>BI53-BI60</f>
        <v>6032.323080124419</v>
      </c>
      <c r="BJ84" s="195">
        <v>5886.8784483377904</v>
      </c>
      <c r="BK84" s="868">
        <f t="shared" si="60"/>
        <v>3.7909855991425677E-2</v>
      </c>
      <c r="BM84" s="195">
        <f>BM53-BM60</f>
        <v>5790.1233125431609</v>
      </c>
      <c r="BN84" s="195">
        <v>5575.3029385451755</v>
      </c>
      <c r="BO84" s="868">
        <f t="shared" si="61"/>
        <v>5.7486538981969482E-2</v>
      </c>
    </row>
    <row r="85" spans="2:67" x14ac:dyDescent="0.2">
      <c r="B85" s="238"/>
      <c r="D85" s="238"/>
      <c r="F85" s="33"/>
      <c r="G85" s="33"/>
      <c r="H85" s="884"/>
      <c r="J85" s="33"/>
      <c r="K85" s="33"/>
      <c r="L85" s="884"/>
      <c r="N85" s="33"/>
      <c r="O85" s="33"/>
      <c r="P85" s="884"/>
      <c r="R85" s="33"/>
      <c r="S85" s="33"/>
      <c r="T85" s="884"/>
      <c r="V85" s="33"/>
      <c r="W85" s="33"/>
      <c r="X85" s="884"/>
      <c r="Z85" s="33"/>
      <c r="AA85" s="33"/>
      <c r="AB85" s="884"/>
      <c r="AC85" s="238"/>
      <c r="AD85" s="238"/>
      <c r="AG85" s="33"/>
      <c r="AH85" s="33"/>
      <c r="AI85" s="884"/>
      <c r="AK85" s="33"/>
      <c r="AL85" s="33"/>
      <c r="AM85" s="884"/>
      <c r="AO85" s="33"/>
      <c r="AP85" s="33"/>
      <c r="AQ85" s="884"/>
      <c r="AS85" s="33"/>
      <c r="AT85" s="33"/>
      <c r="AU85" s="884"/>
      <c r="AW85" s="33"/>
      <c r="AX85" s="33"/>
      <c r="AY85" s="884"/>
      <c r="BA85" s="33"/>
      <c r="BB85" s="33"/>
      <c r="BC85" s="884"/>
      <c r="BE85" s="33"/>
      <c r="BF85" s="33"/>
      <c r="BG85" s="884"/>
      <c r="BI85" s="33"/>
      <c r="BJ85" s="33"/>
      <c r="BK85" s="884"/>
      <c r="BM85" s="33"/>
      <c r="BN85" s="33"/>
      <c r="BO85" s="884"/>
    </row>
    <row r="86" spans="2:67" x14ac:dyDescent="0.2">
      <c r="B86" s="238"/>
      <c r="D86" s="238"/>
      <c r="F86" s="238"/>
      <c r="G86" s="238"/>
      <c r="H86" s="884"/>
      <c r="J86" s="238"/>
      <c r="K86" s="238"/>
      <c r="L86" s="884"/>
      <c r="N86" s="238"/>
      <c r="O86" s="238"/>
      <c r="P86" s="884"/>
      <c r="R86" s="238"/>
      <c r="S86" s="238"/>
      <c r="T86" s="884"/>
      <c r="V86" s="238"/>
      <c r="W86" s="238"/>
      <c r="X86" s="884"/>
      <c r="Z86" s="238"/>
      <c r="AA86" s="238"/>
      <c r="AB86" s="884"/>
      <c r="AC86" s="238"/>
      <c r="AD86" s="238"/>
      <c r="AG86" s="238"/>
      <c r="AH86" s="238"/>
      <c r="AI86" s="884"/>
      <c r="AK86" s="238"/>
      <c r="AL86" s="238"/>
      <c r="AM86" s="884"/>
      <c r="AO86" s="238"/>
      <c r="AP86" s="238"/>
      <c r="AQ86" s="884"/>
      <c r="AS86" s="238"/>
      <c r="AT86" s="238"/>
      <c r="AU86" s="884"/>
      <c r="AW86" s="238"/>
      <c r="AX86" s="238"/>
      <c r="AY86" s="884"/>
      <c r="BA86" s="238"/>
      <c r="BB86" s="238"/>
      <c r="BC86" s="884"/>
      <c r="BE86" s="238"/>
      <c r="BF86" s="238"/>
      <c r="BG86" s="884"/>
      <c r="BI86" s="238"/>
      <c r="BJ86" s="238"/>
      <c r="BK86" s="884"/>
      <c r="BM86" s="238"/>
      <c r="BN86" s="238"/>
      <c r="BO86" s="884"/>
    </row>
    <row r="87" spans="2:67" x14ac:dyDescent="0.2">
      <c r="B87" s="13" t="s">
        <v>181</v>
      </c>
      <c r="C87" s="13"/>
      <c r="D87" s="13"/>
      <c r="E87" s="14"/>
      <c r="F87" s="14"/>
      <c r="G87" s="14"/>
      <c r="H87" s="892"/>
      <c r="I87" s="14"/>
      <c r="J87" s="14"/>
      <c r="K87" s="14"/>
      <c r="L87" s="892"/>
      <c r="M87" s="14"/>
      <c r="N87" s="14"/>
      <c r="O87" s="14"/>
      <c r="P87" s="892"/>
      <c r="Q87" s="14"/>
      <c r="R87" s="14"/>
      <c r="S87" s="14"/>
      <c r="T87" s="892"/>
      <c r="U87" s="14"/>
      <c r="V87" s="14"/>
      <c r="W87" s="14"/>
      <c r="X87" s="892"/>
      <c r="Y87" s="14"/>
      <c r="Z87" s="14"/>
      <c r="AA87" s="14"/>
      <c r="AB87" s="892"/>
      <c r="AC87" s="238"/>
      <c r="AD87" s="13" t="s">
        <v>181</v>
      </c>
      <c r="AE87" s="13"/>
      <c r="AF87" s="901"/>
      <c r="AG87" s="14"/>
      <c r="AH87" s="14"/>
      <c r="AI87" s="892"/>
      <c r="AJ87" s="892"/>
      <c r="AK87" s="14"/>
      <c r="AL87" s="14"/>
      <c r="AM87" s="892"/>
      <c r="AN87" s="892"/>
      <c r="AO87" s="892"/>
      <c r="AP87" s="892"/>
      <c r="AQ87" s="892"/>
      <c r="AR87" s="892"/>
      <c r="AS87" s="892"/>
      <c r="AT87" s="892"/>
      <c r="AU87" s="892"/>
      <c r="AV87" s="892"/>
      <c r="AW87" s="892"/>
      <c r="AX87" s="892"/>
      <c r="AY87" s="892"/>
      <c r="AZ87" s="892"/>
      <c r="BA87" s="14"/>
      <c r="BB87" s="14"/>
      <c r="BC87" s="892"/>
      <c r="BD87" s="892"/>
      <c r="BE87" s="892"/>
      <c r="BF87" s="892"/>
      <c r="BG87" s="892"/>
      <c r="BH87" s="892"/>
      <c r="BI87" s="892"/>
      <c r="BJ87" s="892"/>
      <c r="BK87" s="892"/>
      <c r="BL87" s="892"/>
      <c r="BM87" s="892"/>
      <c r="BN87" s="892"/>
      <c r="BO87" s="892"/>
    </row>
    <row r="88" spans="2:67" s="15" customFormat="1" x14ac:dyDescent="0.2">
      <c r="B88" s="175" t="s">
        <v>710</v>
      </c>
      <c r="D88" s="16"/>
      <c r="H88" s="893"/>
      <c r="L88" s="893"/>
      <c r="P88" s="893"/>
      <c r="T88" s="893"/>
      <c r="X88" s="893"/>
      <c r="AB88" s="893"/>
      <c r="AC88" s="391"/>
      <c r="AD88" s="175" t="s">
        <v>710</v>
      </c>
      <c r="AF88" s="109"/>
      <c r="AI88" s="893"/>
      <c r="AM88" s="893"/>
      <c r="AQ88" s="893"/>
      <c r="AU88" s="893"/>
      <c r="AY88" s="893"/>
      <c r="BC88" s="893"/>
      <c r="BG88" s="893"/>
      <c r="BK88" s="893"/>
      <c r="BO88" s="893"/>
    </row>
    <row r="89" spans="2:67" s="15" customFormat="1" x14ac:dyDescent="0.2">
      <c r="B89" s="17" t="s">
        <v>65</v>
      </c>
      <c r="D89" s="16"/>
      <c r="H89" s="893"/>
      <c r="L89" s="893"/>
      <c r="P89" s="893"/>
      <c r="T89" s="893"/>
      <c r="X89" s="893"/>
      <c r="AB89" s="893"/>
      <c r="AC89" s="391"/>
      <c r="AD89" s="17" t="s">
        <v>65</v>
      </c>
      <c r="AF89" s="109"/>
      <c r="AI89" s="893"/>
      <c r="AM89" s="893"/>
      <c r="AQ89" s="893"/>
      <c r="AU89" s="893"/>
      <c r="AY89" s="893"/>
      <c r="BC89" s="893"/>
      <c r="BG89" s="893"/>
      <c r="BK89" s="893"/>
      <c r="BO89" s="893"/>
    </row>
    <row r="90" spans="2:67" s="15" customFormat="1" x14ac:dyDescent="0.2">
      <c r="C90" s="391" t="s">
        <v>63</v>
      </c>
      <c r="D90" s="391"/>
      <c r="E90" s="120"/>
      <c r="F90" s="37">
        <f>Model!AY471</f>
        <v>2674</v>
      </c>
      <c r="G90" s="37">
        <v>2674</v>
      </c>
      <c r="H90" s="109">
        <f t="shared" ref="H90:H96" si="62">F90/G90-1</f>
        <v>0</v>
      </c>
      <c r="I90" s="120"/>
      <c r="J90" s="37">
        <f>Model!AZ471</f>
        <v>3126</v>
      </c>
      <c r="K90" s="37">
        <v>3063.5545434999995</v>
      </c>
      <c r="L90" s="109">
        <f t="shared" ref="L90:L97" si="63">J90/K90-1</f>
        <v>2.0383334330538405E-2</v>
      </c>
      <c r="M90" s="120"/>
      <c r="N90" s="37">
        <f>Model!BA471</f>
        <v>3031.9076002050629</v>
      </c>
      <c r="O90" s="37">
        <v>3009.4316903300632</v>
      </c>
      <c r="P90" s="109">
        <f t="shared" ref="P90:P97" si="64">N90/O90-1</f>
        <v>7.4684897973327224E-3</v>
      </c>
      <c r="Q90" s="120"/>
      <c r="R90" s="37">
        <f>Model!BB471</f>
        <v>3220.8785703953417</v>
      </c>
      <c r="S90" s="37">
        <v>3220.8785703953417</v>
      </c>
      <c r="T90" s="109">
        <f t="shared" ref="T90:T97" si="65">R90/S90-1</f>
        <v>0</v>
      </c>
      <c r="U90" s="120"/>
      <c r="V90" s="37">
        <f>Model!BC471</f>
        <v>3349.6658920008167</v>
      </c>
      <c r="W90" s="37">
        <v>3349.6658920008167</v>
      </c>
      <c r="X90" s="109">
        <f t="shared" ref="X90:X97" si="66">V90/W90-1</f>
        <v>0</v>
      </c>
      <c r="Y90" s="120"/>
      <c r="Z90" s="37">
        <f>Model!BC471</f>
        <v>3349.6658920008167</v>
      </c>
      <c r="AA90" s="37">
        <v>3521.2810633610443</v>
      </c>
      <c r="AB90" s="109">
        <f t="shared" ref="AB90:AB97" si="67">Z90/AA90-1</f>
        <v>-4.87365729324718E-2</v>
      </c>
      <c r="AC90" s="391"/>
      <c r="AE90" s="391" t="s">
        <v>63</v>
      </c>
      <c r="AF90" s="109"/>
      <c r="AG90" s="37">
        <f>Model!W471</f>
        <v>645</v>
      </c>
      <c r="AH90" s="37">
        <v>645</v>
      </c>
      <c r="AI90" s="109">
        <f>AG90/AH90-1</f>
        <v>0</v>
      </c>
      <c r="AK90" s="37">
        <f>Model!X471</f>
        <v>763</v>
      </c>
      <c r="AL90" s="37">
        <v>733</v>
      </c>
      <c r="AM90" s="109">
        <f t="shared" ref="AM90:AM97" si="68">AK90/AL90-1</f>
        <v>4.0927694406548421E-2</v>
      </c>
      <c r="AO90" s="37">
        <f>Model!Y471</f>
        <v>908</v>
      </c>
      <c r="AP90" s="37">
        <v>877</v>
      </c>
      <c r="AQ90" s="109">
        <f t="shared" ref="AQ90:AQ97" si="69">AO90/AP90-1</f>
        <v>3.5347776510832318E-2</v>
      </c>
      <c r="AS90" s="37">
        <f>Model!Z471</f>
        <v>729</v>
      </c>
      <c r="AT90" s="37">
        <v>704</v>
      </c>
      <c r="AU90" s="109">
        <f t="shared" ref="AU90:AU97" si="70">AS90/AT90-1</f>
        <v>3.5511363636363535E-2</v>
      </c>
      <c r="AW90" s="37">
        <f>Model!AA471</f>
        <v>726</v>
      </c>
      <c r="AX90" s="37">
        <v>697</v>
      </c>
      <c r="AY90" s="109">
        <f t="shared" ref="AY90:AY97" si="71">AW90/AX90-1</f>
        <v>4.1606886657101771E-2</v>
      </c>
      <c r="BA90" s="37">
        <f>Model!AB471</f>
        <v>699</v>
      </c>
      <c r="BB90" s="37">
        <v>676.52409012500016</v>
      </c>
      <c r="BC90" s="109">
        <f t="shared" ref="BC90:BC97" si="72">BA90/BB90-1</f>
        <v>3.3222630506545503E-2</v>
      </c>
      <c r="BE90" s="37">
        <f>Model!AC471</f>
        <v>817.84666089572761</v>
      </c>
      <c r="BF90" s="37">
        <v>817.84666089572761</v>
      </c>
      <c r="BG90" s="109">
        <f t="shared" ref="BG90:BG97" si="73">BE90/BF90-1</f>
        <v>0</v>
      </c>
      <c r="BI90" s="37">
        <f>Model!AD471</f>
        <v>776.95432785094124</v>
      </c>
      <c r="BJ90" s="37">
        <v>776.95432785094124</v>
      </c>
      <c r="BK90" s="109">
        <f t="shared" ref="BK90:BK97" si="74">BI90/BJ90-1</f>
        <v>0</v>
      </c>
      <c r="BM90" s="37">
        <f>Model!AE471</f>
        <v>738.10661145839413</v>
      </c>
      <c r="BN90" s="37">
        <v>738.10661145839413</v>
      </c>
      <c r="BO90" s="109">
        <f t="shared" ref="BO90:BO97" si="75">BM90/BN90-1</f>
        <v>0</v>
      </c>
    </row>
    <row r="91" spans="2:67" s="15" customFormat="1" x14ac:dyDescent="0.2">
      <c r="C91" s="391" t="s">
        <v>64</v>
      </c>
      <c r="D91" s="391"/>
      <c r="E91" s="120"/>
      <c r="F91" s="37">
        <f>Model!AY470</f>
        <v>628</v>
      </c>
      <c r="G91" s="37">
        <v>628</v>
      </c>
      <c r="H91" s="109">
        <f t="shared" si="62"/>
        <v>0</v>
      </c>
      <c r="I91" s="120"/>
      <c r="J91" s="37">
        <f>Model!AZ470</f>
        <v>1121</v>
      </c>
      <c r="K91" s="37">
        <v>1048.107804925</v>
      </c>
      <c r="L91" s="109">
        <f t="shared" si="63"/>
        <v>6.9546467197824091E-2</v>
      </c>
      <c r="M91" s="120"/>
      <c r="N91" s="37">
        <f>Model!BA470</f>
        <v>840.25853790300016</v>
      </c>
      <c r="O91" s="37">
        <v>877.9877905393638</v>
      </c>
      <c r="P91" s="109">
        <f t="shared" si="64"/>
        <v>-4.2972411510626918E-2</v>
      </c>
      <c r="Q91" s="120"/>
      <c r="R91" s="37">
        <f>Model!BB470</f>
        <v>955.75241919365271</v>
      </c>
      <c r="S91" s="37">
        <v>955.75241919365271</v>
      </c>
      <c r="T91" s="109">
        <f t="shared" si="65"/>
        <v>0</v>
      </c>
      <c r="U91" s="120"/>
      <c r="V91" s="37">
        <f>Model!BC470</f>
        <v>1087.1683768327803</v>
      </c>
      <c r="W91" s="37">
        <v>1170.7967135122249</v>
      </c>
      <c r="X91" s="109">
        <f t="shared" si="66"/>
        <v>-7.1428571428571397E-2</v>
      </c>
      <c r="Y91" s="120"/>
      <c r="Z91" s="37">
        <f>Model!BC470</f>
        <v>1087.1683768327803</v>
      </c>
      <c r="AA91" s="37">
        <v>979.23132943829808</v>
      </c>
      <c r="AB91" s="109">
        <f t="shared" si="67"/>
        <v>0.11022630112988363</v>
      </c>
      <c r="AC91" s="391"/>
      <c r="AE91" s="391" t="s">
        <v>64</v>
      </c>
      <c r="AF91" s="109"/>
      <c r="AG91" s="37">
        <f>Model!W470</f>
        <v>190</v>
      </c>
      <c r="AH91" s="37">
        <v>190</v>
      </c>
      <c r="AI91" s="109">
        <f>AG91/AH91-1</f>
        <v>0</v>
      </c>
      <c r="AK91" s="37">
        <f>Model!X470</f>
        <v>250</v>
      </c>
      <c r="AL91" s="37">
        <v>235</v>
      </c>
      <c r="AM91" s="109">
        <f t="shared" si="68"/>
        <v>6.3829787234042534E-2</v>
      </c>
      <c r="AO91" s="37">
        <f>Model!Y470</f>
        <v>309</v>
      </c>
      <c r="AP91" s="37">
        <v>295</v>
      </c>
      <c r="AQ91" s="109">
        <f t="shared" si="69"/>
        <v>4.7457627118643986E-2</v>
      </c>
      <c r="AS91" s="37">
        <f>Model!Z470</f>
        <v>311</v>
      </c>
      <c r="AT91" s="37">
        <v>290</v>
      </c>
      <c r="AU91" s="109">
        <f t="shared" si="70"/>
        <v>7.241379310344831E-2</v>
      </c>
      <c r="AW91" s="37">
        <f>Model!AA470</f>
        <v>251</v>
      </c>
      <c r="AX91" s="37">
        <v>233</v>
      </c>
      <c r="AY91" s="109">
        <f t="shared" si="71"/>
        <v>7.7253218884120178E-2</v>
      </c>
      <c r="BA91" s="37">
        <f>Model!AB470</f>
        <v>216</v>
      </c>
      <c r="BB91" s="37">
        <v>253.72925263636364</v>
      </c>
      <c r="BC91" s="109">
        <f t="shared" si="72"/>
        <v>-0.14869886796393927</v>
      </c>
      <c r="BE91" s="37">
        <f>Model!AC470</f>
        <v>204.67493046000001</v>
      </c>
      <c r="BF91" s="37">
        <v>204.67493046000001</v>
      </c>
      <c r="BG91" s="109">
        <f t="shared" si="73"/>
        <v>0</v>
      </c>
      <c r="BI91" s="37">
        <f>Model!AD470</f>
        <v>204.67493046000001</v>
      </c>
      <c r="BJ91" s="37">
        <v>204.67493046000001</v>
      </c>
      <c r="BK91" s="109">
        <f t="shared" si="74"/>
        <v>0</v>
      </c>
      <c r="BM91" s="37">
        <f>Model!AE470</f>
        <v>214.90867698300005</v>
      </c>
      <c r="BN91" s="37">
        <v>214.90867698300005</v>
      </c>
      <c r="BO91" s="109">
        <f t="shared" si="75"/>
        <v>0</v>
      </c>
    </row>
    <row r="92" spans="2:67" s="15" customFormat="1" x14ac:dyDescent="0.2">
      <c r="B92" s="28"/>
      <c r="C92" s="1692" t="s">
        <v>911</v>
      </c>
      <c r="D92" s="391"/>
      <c r="E92" s="120"/>
      <c r="F92" s="42">
        <f>Model!AY469</f>
        <v>1000</v>
      </c>
      <c r="G92" s="42">
        <v>1000</v>
      </c>
      <c r="H92" s="1693">
        <f t="shared" si="62"/>
        <v>0</v>
      </c>
      <c r="I92" s="120"/>
      <c r="J92" s="42">
        <f>Model!AZ469</f>
        <v>1123</v>
      </c>
      <c r="K92" s="42">
        <v>1052.7898445999999</v>
      </c>
      <c r="L92" s="1693">
        <f t="shared" si="63"/>
        <v>6.6689620687475415E-2</v>
      </c>
      <c r="M92" s="120"/>
      <c r="N92" s="42">
        <f>Model!BA469</f>
        <v>1136.7378994023206</v>
      </c>
      <c r="O92" s="42">
        <v>1164.6082100069184</v>
      </c>
      <c r="P92" s="1693">
        <f t="shared" si="64"/>
        <v>-2.3931061420588984E-2</v>
      </c>
      <c r="Q92" s="120"/>
      <c r="R92" s="42">
        <f>Model!BB469</f>
        <v>1344.3497229560744</v>
      </c>
      <c r="S92" s="42">
        <v>1331.6023193358069</v>
      </c>
      <c r="T92" s="1693">
        <f t="shared" si="65"/>
        <v>9.5729809382021358E-3</v>
      </c>
      <c r="U92" s="120"/>
      <c r="V92" s="42">
        <f>Model!BC469</f>
        <v>1460.2419404522875</v>
      </c>
      <c r="W92" s="42">
        <v>1415.9921846810059</v>
      </c>
      <c r="X92" s="1693">
        <f t="shared" si="66"/>
        <v>3.125E-2</v>
      </c>
      <c r="Y92" s="120"/>
      <c r="Z92" s="42">
        <f>Model!BC469</f>
        <v>1460.2419404522875</v>
      </c>
      <c r="AA92" s="42">
        <v>1183.8011406644728</v>
      </c>
      <c r="AB92" s="1693">
        <f t="shared" si="67"/>
        <v>0.23351962613640276</v>
      </c>
      <c r="AC92" s="391"/>
      <c r="AD92" s="28"/>
      <c r="AE92" s="1692" t="s">
        <v>911</v>
      </c>
      <c r="AF92" s="1693"/>
      <c r="AG92" s="42">
        <f>Model!W469</f>
        <v>296</v>
      </c>
      <c r="AH92" s="42">
        <v>296</v>
      </c>
      <c r="AI92" s="1693">
        <f>AG92/AH92-1</f>
        <v>0</v>
      </c>
      <c r="AK92" s="42">
        <f>Model!X469</f>
        <v>249</v>
      </c>
      <c r="AL92" s="42">
        <v>246</v>
      </c>
      <c r="AM92" s="1693">
        <f t="shared" si="68"/>
        <v>1.2195121951219523E-2</v>
      </c>
      <c r="AO92" s="42">
        <f>Model!Y469</f>
        <v>318</v>
      </c>
      <c r="AP92" s="42">
        <v>314</v>
      </c>
      <c r="AQ92" s="1693">
        <f t="shared" si="69"/>
        <v>1.2738853503184711E-2</v>
      </c>
      <c r="AS92" s="42">
        <f>Model!Z469</f>
        <v>240</v>
      </c>
      <c r="AT92" s="42">
        <v>237</v>
      </c>
      <c r="AU92" s="1693">
        <f t="shared" si="70"/>
        <v>1.2658227848101333E-2</v>
      </c>
      <c r="AW92" s="42">
        <f>Model!AA469</f>
        <v>316</v>
      </c>
      <c r="AX92" s="42">
        <v>311</v>
      </c>
      <c r="AY92" s="1693">
        <f t="shared" si="71"/>
        <v>1.6077170418006492E-2</v>
      </c>
      <c r="BA92" s="42">
        <f>Model!AB469</f>
        <v>215</v>
      </c>
      <c r="BB92" s="42">
        <v>221.92172198181819</v>
      </c>
      <c r="BC92" s="1693">
        <f t="shared" si="72"/>
        <v>-3.1189925528719908E-2</v>
      </c>
      <c r="BE92" s="42">
        <f>Model!AC469</f>
        <v>278.47066447200012</v>
      </c>
      <c r="BF92" s="42">
        <v>284.79954321000008</v>
      </c>
      <c r="BG92" s="1693">
        <f t="shared" si="73"/>
        <v>-2.2222222222222032E-2</v>
      </c>
      <c r="BI92" s="42">
        <f>Model!AD469</f>
        <v>306.31773091920019</v>
      </c>
      <c r="BJ92" s="42">
        <v>313.27949753100012</v>
      </c>
      <c r="BK92" s="1693">
        <f t="shared" si="74"/>
        <v>-2.2222222222222032E-2</v>
      </c>
      <c r="BM92" s="42">
        <f>Model!AE469</f>
        <v>336.94950401112021</v>
      </c>
      <c r="BN92" s="42">
        <v>344.60744728410015</v>
      </c>
      <c r="BO92" s="1693">
        <f t="shared" si="75"/>
        <v>-2.2222222222222032E-2</v>
      </c>
    </row>
    <row r="93" spans="2:67" s="15" customFormat="1" x14ac:dyDescent="0.2">
      <c r="B93" s="15" t="s">
        <v>68</v>
      </c>
      <c r="C93" s="391"/>
      <c r="D93" s="391"/>
      <c r="E93" s="120"/>
      <c r="F93" s="37">
        <f>SUM(F90:F92)</f>
        <v>4302</v>
      </c>
      <c r="G93" s="37">
        <v>4302</v>
      </c>
      <c r="H93" s="109"/>
      <c r="I93" s="120"/>
      <c r="J93" s="37">
        <f>SUM(J90:J92)</f>
        <v>5370</v>
      </c>
      <c r="K93" s="37">
        <v>5164.4521930249994</v>
      </c>
      <c r="L93" s="109">
        <f t="shared" si="63"/>
        <v>3.9800505318378088E-2</v>
      </c>
      <c r="M93" s="120"/>
      <c r="N93" s="37">
        <f>SUM(N90:N92)</f>
        <v>5008.9040375103832</v>
      </c>
      <c r="O93" s="37">
        <v>5052.0276908763453</v>
      </c>
      <c r="P93" s="109">
        <f t="shared" si="64"/>
        <v>-8.5359099364876734E-3</v>
      </c>
      <c r="Q93" s="120"/>
      <c r="R93" s="37">
        <f>SUM(R90:R92)</f>
        <v>5520.9807125450689</v>
      </c>
      <c r="S93" s="37">
        <v>5508.2333089248013</v>
      </c>
      <c r="T93" s="109">
        <f t="shared" si="65"/>
        <v>2.314245404168469E-3</v>
      </c>
      <c r="U93" s="120"/>
      <c r="V93" s="37">
        <f>SUM(V90:V92)</f>
        <v>5897.076209285884</v>
      </c>
      <c r="W93" s="37">
        <v>5936.4547901940468</v>
      </c>
      <c r="X93" s="109">
        <f t="shared" si="66"/>
        <v>-6.6333497516412043E-3</v>
      </c>
      <c r="Y93" s="120"/>
      <c r="Z93" s="37">
        <f>SUM(Z90:Z92)</f>
        <v>5897.076209285884</v>
      </c>
      <c r="AA93" s="37">
        <v>5684.3135334638155</v>
      </c>
      <c r="AB93" s="109">
        <f t="shared" si="67"/>
        <v>3.7429792457704059E-2</v>
      </c>
      <c r="AC93" s="391"/>
      <c r="AD93" s="15" t="s">
        <v>68</v>
      </c>
      <c r="AE93" s="391"/>
      <c r="AF93" s="109"/>
      <c r="AG93" s="37">
        <f>SUM(AG90:AG92)</f>
        <v>1131</v>
      </c>
      <c r="AH93" s="37">
        <v>1131</v>
      </c>
      <c r="AI93" s="109"/>
      <c r="AK93" s="37">
        <f>SUM(AK90:AK92)</f>
        <v>1262</v>
      </c>
      <c r="AL93" s="37">
        <v>1214</v>
      </c>
      <c r="AM93" s="109">
        <f t="shared" si="68"/>
        <v>3.9538714991762758E-2</v>
      </c>
      <c r="AO93" s="37">
        <f>SUM(AO90:AO92)</f>
        <v>1535</v>
      </c>
      <c r="AP93" s="37">
        <v>1486</v>
      </c>
      <c r="AQ93" s="109">
        <f t="shared" si="69"/>
        <v>3.2974427994616473E-2</v>
      </c>
      <c r="AS93" s="37">
        <f>SUM(AS90:AS92)</f>
        <v>1280</v>
      </c>
      <c r="AT93" s="37">
        <v>1231</v>
      </c>
      <c r="AU93" s="109">
        <f t="shared" si="70"/>
        <v>3.9805036555645712E-2</v>
      </c>
      <c r="AW93" s="37">
        <f>SUM(AW90:AW92)</f>
        <v>1293</v>
      </c>
      <c r="AX93" s="37">
        <v>1241</v>
      </c>
      <c r="AY93" s="109">
        <f t="shared" si="71"/>
        <v>4.190169218372275E-2</v>
      </c>
      <c r="BA93" s="37">
        <f>SUM(BA90:BA92)</f>
        <v>1130</v>
      </c>
      <c r="BB93" s="37">
        <v>1152.175064743182</v>
      </c>
      <c r="BC93" s="109">
        <f t="shared" si="72"/>
        <v>-1.9246263368947969E-2</v>
      </c>
      <c r="BE93" s="37">
        <f>SUM(BE90:BE92)</f>
        <v>1300.9922558277278</v>
      </c>
      <c r="BF93" s="37">
        <v>1307.3211345657278</v>
      </c>
      <c r="BG93" s="109">
        <f t="shared" si="73"/>
        <v>-4.8411048904998255E-3</v>
      </c>
      <c r="BI93" s="37">
        <f>SUM(BI90:BI92)</f>
        <v>1287.9469892301415</v>
      </c>
      <c r="BJ93" s="37">
        <v>1294.9087558419415</v>
      </c>
      <c r="BK93" s="109">
        <f t="shared" si="74"/>
        <v>-5.3762603584168733E-3</v>
      </c>
      <c r="BM93" s="37">
        <f>SUM(BM90:BM92)</f>
        <v>1289.9647924525143</v>
      </c>
      <c r="BN93" s="37">
        <v>1297.6227357254943</v>
      </c>
      <c r="BO93" s="109">
        <f t="shared" si="75"/>
        <v>-5.9015174920609148E-3</v>
      </c>
    </row>
    <row r="94" spans="2:67" s="15" customFormat="1" x14ac:dyDescent="0.2">
      <c r="B94" s="391" t="s">
        <v>10</v>
      </c>
      <c r="D94" s="391"/>
      <c r="E94" s="120"/>
      <c r="F94" s="207">
        <f>Model!AY473</f>
        <v>7897</v>
      </c>
      <c r="G94" s="207">
        <v>7897</v>
      </c>
      <c r="H94" s="109">
        <f t="shared" si="62"/>
        <v>0</v>
      </c>
      <c r="I94" s="120"/>
      <c r="J94" s="207">
        <f>Model!AZ473</f>
        <v>8635</v>
      </c>
      <c r="K94" s="207">
        <v>8473.4421380821914</v>
      </c>
      <c r="L94" s="109">
        <f t="shared" si="63"/>
        <v>1.9066379316112769E-2</v>
      </c>
      <c r="M94" s="120"/>
      <c r="N94" s="207">
        <f>Model!BA473</f>
        <v>9497.8395778849317</v>
      </c>
      <c r="O94" s="207">
        <v>9220.9840032263019</v>
      </c>
      <c r="P94" s="109">
        <f t="shared" si="64"/>
        <v>3.0024515231971138E-2</v>
      </c>
      <c r="Q94" s="120"/>
      <c r="R94" s="207">
        <f>Model!BB473</f>
        <v>10176.511558680264</v>
      </c>
      <c r="S94" s="207">
        <v>9847.1402374370755</v>
      </c>
      <c r="T94" s="109">
        <f t="shared" si="65"/>
        <v>3.3448423938452487E-2</v>
      </c>
      <c r="U94" s="120"/>
      <c r="V94" s="207">
        <f>Model!BC473</f>
        <v>10759.000813490404</v>
      </c>
      <c r="W94" s="207">
        <v>10511.336186364879</v>
      </c>
      <c r="X94" s="109">
        <f t="shared" si="66"/>
        <v>2.3561669300121046E-2</v>
      </c>
      <c r="Y94" s="120"/>
      <c r="Z94" s="207">
        <f>Model!BC473</f>
        <v>10759.000813490404</v>
      </c>
      <c r="AA94" s="207">
        <v>10052.763613300778</v>
      </c>
      <c r="AB94" s="109">
        <f t="shared" si="67"/>
        <v>7.0253039597509837E-2</v>
      </c>
      <c r="AC94" s="391"/>
      <c r="AD94" s="391" t="s">
        <v>10</v>
      </c>
      <c r="AF94" s="109"/>
      <c r="AG94" s="207">
        <f>Model!W473</f>
        <v>2009</v>
      </c>
      <c r="AH94" s="207">
        <v>2009</v>
      </c>
      <c r="AI94" s="109"/>
      <c r="AK94" s="207">
        <f>Model!X473</f>
        <v>2108</v>
      </c>
      <c r="AL94" s="207">
        <v>2075</v>
      </c>
      <c r="AM94" s="109">
        <f t="shared" si="68"/>
        <v>1.5903614457831283E-2</v>
      </c>
      <c r="AO94" s="207">
        <f>Model!Y473</f>
        <v>2106</v>
      </c>
      <c r="AP94" s="207">
        <v>2065</v>
      </c>
      <c r="AQ94" s="109">
        <f t="shared" si="69"/>
        <v>1.9854721549636745E-2</v>
      </c>
      <c r="AS94" s="207">
        <f>Model!Z473</f>
        <v>2185</v>
      </c>
      <c r="AT94" s="207">
        <v>2144</v>
      </c>
      <c r="AU94" s="109">
        <f t="shared" si="70"/>
        <v>1.9123134328358216E-2</v>
      </c>
      <c r="AW94" s="207">
        <f>Model!AA473</f>
        <v>2236</v>
      </c>
      <c r="AX94" s="207">
        <v>2189</v>
      </c>
      <c r="AY94" s="109">
        <f t="shared" si="71"/>
        <v>2.1470991320237554E-2</v>
      </c>
      <c r="BA94" s="207">
        <f>Model!AB473</f>
        <v>2268</v>
      </c>
      <c r="BB94" s="207">
        <v>2206.1650684931506</v>
      </c>
      <c r="BC94" s="109">
        <f t="shared" si="72"/>
        <v>2.802824339390142E-2</v>
      </c>
      <c r="BE94" s="207">
        <f>Model!AC473</f>
        <v>2341.2128465753426</v>
      </c>
      <c r="BF94" s="207">
        <v>2275.2915739726027</v>
      </c>
      <c r="BG94" s="109">
        <f t="shared" si="73"/>
        <v>2.8972670297215064E-2</v>
      </c>
      <c r="BI94" s="207">
        <f>Model!AD473</f>
        <v>2414.2792694794521</v>
      </c>
      <c r="BJ94" s="207">
        <v>2346.300673643836</v>
      </c>
      <c r="BK94" s="109">
        <f t="shared" si="74"/>
        <v>2.8972670297214842E-2</v>
      </c>
      <c r="BM94" s="207">
        <f>Model!AE473</f>
        <v>2474.3474618301375</v>
      </c>
      <c r="BN94" s="207">
        <v>2393.2266871167121</v>
      </c>
      <c r="BO94" s="109">
        <f t="shared" si="75"/>
        <v>3.3895984509163757E-2</v>
      </c>
    </row>
    <row r="95" spans="2:67" s="15" customFormat="1" x14ac:dyDescent="0.2">
      <c r="B95" s="391" t="s">
        <v>951</v>
      </c>
      <c r="D95" s="391"/>
      <c r="E95" s="120"/>
      <c r="F95" s="207">
        <f>Model!AY474</f>
        <v>1718</v>
      </c>
      <c r="G95" s="207">
        <v>1718</v>
      </c>
      <c r="H95" s="109">
        <f t="shared" si="62"/>
        <v>0</v>
      </c>
      <c r="I95" s="120"/>
      <c r="J95" s="207">
        <f>Model!AZ474</f>
        <v>1938</v>
      </c>
      <c r="K95" s="207">
        <v>1925.67552</v>
      </c>
      <c r="L95" s="109">
        <f t="shared" si="63"/>
        <v>6.4000813595013195E-3</v>
      </c>
      <c r="M95" s="120"/>
      <c r="N95" s="207">
        <f>Model!BA474</f>
        <v>2160.6568724526028</v>
      </c>
      <c r="O95" s="207">
        <v>2057.079515012384</v>
      </c>
      <c r="P95" s="109">
        <f t="shared" si="64"/>
        <v>5.0351654704798854E-2</v>
      </c>
      <c r="Q95" s="120"/>
      <c r="R95" s="207">
        <f>Model!BB474</f>
        <v>2330.5535369215781</v>
      </c>
      <c r="S95" s="207">
        <v>2240.7466133026078</v>
      </c>
      <c r="T95" s="109">
        <f t="shared" si="65"/>
        <v>4.0079017897791225E-2</v>
      </c>
      <c r="U95" s="120"/>
      <c r="V95" s="207">
        <f>Model!BC474</f>
        <v>2533.3571307608577</v>
      </c>
      <c r="W95" s="207">
        <v>2436.3690648154857</v>
      </c>
      <c r="X95" s="109">
        <f t="shared" si="66"/>
        <v>3.9808445832781647E-2</v>
      </c>
      <c r="Y95" s="120"/>
      <c r="Z95" s="207">
        <f>Model!BC474</f>
        <v>2533.3571307608577</v>
      </c>
      <c r="AA95" s="207">
        <v>2278.1349895436019</v>
      </c>
      <c r="AB95" s="109">
        <f t="shared" si="67"/>
        <v>0.11203117567163412</v>
      </c>
      <c r="AC95" s="391"/>
      <c r="AD95" s="391" t="s">
        <v>951</v>
      </c>
      <c r="AF95" s="109"/>
      <c r="AG95" s="207">
        <f>Model!W474</f>
        <v>448</v>
      </c>
      <c r="AH95" s="207">
        <v>448</v>
      </c>
      <c r="AI95" s="109">
        <f>AG95/AH95-1</f>
        <v>0</v>
      </c>
      <c r="AK95" s="207">
        <f>Model!X474</f>
        <v>438</v>
      </c>
      <c r="AL95" s="207">
        <v>434</v>
      </c>
      <c r="AM95" s="109">
        <f t="shared" si="68"/>
        <v>9.2165898617511122E-3</v>
      </c>
      <c r="AO95" s="207">
        <f>Model!Y474</f>
        <v>481</v>
      </c>
      <c r="AP95" s="207">
        <v>477</v>
      </c>
      <c r="AQ95" s="109">
        <f t="shared" si="69"/>
        <v>8.3857442348007627E-3</v>
      </c>
      <c r="AS95" s="207">
        <f>Model!Z474</f>
        <v>506</v>
      </c>
      <c r="AT95" s="207">
        <v>502</v>
      </c>
      <c r="AU95" s="109">
        <f t="shared" si="70"/>
        <v>7.9681274900398336E-3</v>
      </c>
      <c r="AW95" s="207">
        <f>Model!AA474</f>
        <v>513</v>
      </c>
      <c r="AX95" s="207">
        <v>509</v>
      </c>
      <c r="AY95" s="109">
        <f t="shared" si="71"/>
        <v>7.8585461689586467E-3</v>
      </c>
      <c r="BA95" s="207">
        <f>Model!AB474</f>
        <v>521</v>
      </c>
      <c r="BB95" s="207">
        <v>506.44997260273976</v>
      </c>
      <c r="BC95" s="109">
        <f t="shared" si="72"/>
        <v>2.8729446508773515E-2</v>
      </c>
      <c r="BE95" s="207">
        <f>Model!AC474</f>
        <v>534.49061917808228</v>
      </c>
      <c r="BF95" s="207">
        <v>505.46974684931513</v>
      </c>
      <c r="BG95" s="109">
        <f t="shared" si="73"/>
        <v>5.7413668196087952E-2</v>
      </c>
      <c r="BI95" s="207">
        <f>Model!AD474</f>
        <v>548.46960460273976</v>
      </c>
      <c r="BJ95" s="207">
        <v>518.68972484383562</v>
      </c>
      <c r="BK95" s="109">
        <f t="shared" si="74"/>
        <v>5.7413668196087952E-2</v>
      </c>
      <c r="BM95" s="207">
        <f>Model!AE474</f>
        <v>556.69664867178074</v>
      </c>
      <c r="BN95" s="207">
        <v>526.47007071649318</v>
      </c>
      <c r="BO95" s="109">
        <f t="shared" si="75"/>
        <v>5.741366819608773E-2</v>
      </c>
    </row>
    <row r="96" spans="2:67" s="15" customFormat="1" x14ac:dyDescent="0.2">
      <c r="B96" s="1692" t="s">
        <v>15</v>
      </c>
      <c r="C96" s="28"/>
      <c r="D96" s="391"/>
      <c r="E96" s="120"/>
      <c r="F96" s="42">
        <f>Model!AY475</f>
        <v>2709</v>
      </c>
      <c r="G96" s="42">
        <v>2709</v>
      </c>
      <c r="H96" s="1693">
        <f t="shared" si="62"/>
        <v>0</v>
      </c>
      <c r="I96" s="120"/>
      <c r="J96" s="42">
        <f>Model!AZ475</f>
        <v>3108</v>
      </c>
      <c r="K96" s="42">
        <v>3113.7750000000001</v>
      </c>
      <c r="L96" s="1693">
        <f t="shared" si="63"/>
        <v>-1.8546619457090463E-3</v>
      </c>
      <c r="M96" s="120"/>
      <c r="N96" s="42">
        <f>Model!BA475</f>
        <v>3543.4088000000002</v>
      </c>
      <c r="O96" s="42">
        <v>3233.6349089999999</v>
      </c>
      <c r="P96" s="1693">
        <f t="shared" si="64"/>
        <v>9.5797422936591659E-2</v>
      </c>
      <c r="Q96" s="120"/>
      <c r="R96" s="42">
        <f>Model!BB475</f>
        <v>3714.4810334552008</v>
      </c>
      <c r="S96" s="42">
        <v>3389.7515687716113</v>
      </c>
      <c r="T96" s="1693">
        <f t="shared" si="65"/>
        <v>9.5797422936591659E-2</v>
      </c>
      <c r="U96" s="120"/>
      <c r="V96" s="42">
        <f>Model!BC475</f>
        <v>3900.205085127961</v>
      </c>
      <c r="W96" s="42">
        <v>3559.2391472101922</v>
      </c>
      <c r="X96" s="1693">
        <f t="shared" si="66"/>
        <v>9.5797422936591659E-2</v>
      </c>
      <c r="Y96" s="120"/>
      <c r="Z96" s="42">
        <f>Model!BC475</f>
        <v>3900.205085127961</v>
      </c>
      <c r="AA96" s="42">
        <v>3788.9029784534664</v>
      </c>
      <c r="AB96" s="1693">
        <f t="shared" si="67"/>
        <v>2.9375813344242774E-2</v>
      </c>
      <c r="AC96" s="391"/>
      <c r="AD96" s="1692" t="s">
        <v>15</v>
      </c>
      <c r="AE96" s="28"/>
      <c r="AF96" s="1693"/>
      <c r="AG96" s="42">
        <f>Model!W475</f>
        <v>671</v>
      </c>
      <c r="AH96" s="42">
        <v>671</v>
      </c>
      <c r="AI96" s="1693">
        <f>AG96/AH96-1</f>
        <v>0</v>
      </c>
      <c r="AK96" s="42">
        <f>Model!X475</f>
        <v>749</v>
      </c>
      <c r="AL96" s="42">
        <v>744</v>
      </c>
      <c r="AM96" s="1693">
        <f t="shared" si="68"/>
        <v>6.7204301075269868E-3</v>
      </c>
      <c r="AO96" s="42">
        <f>Model!Y475</f>
        <v>793</v>
      </c>
      <c r="AP96" s="42">
        <v>788</v>
      </c>
      <c r="AQ96" s="1693">
        <f t="shared" si="69"/>
        <v>6.345177664974555E-3</v>
      </c>
      <c r="AS96" s="42">
        <f>Model!Z475</f>
        <v>790</v>
      </c>
      <c r="AT96" s="42">
        <v>785</v>
      </c>
      <c r="AU96" s="1693">
        <f t="shared" si="70"/>
        <v>6.3694267515923553E-3</v>
      </c>
      <c r="AW96" s="42">
        <f>Model!AA475</f>
        <v>776</v>
      </c>
      <c r="AX96" s="42">
        <v>771</v>
      </c>
      <c r="AY96" s="1693">
        <f t="shared" si="71"/>
        <v>6.4850843060959562E-3</v>
      </c>
      <c r="BA96" s="42">
        <f>Model!AB475</f>
        <v>904</v>
      </c>
      <c r="BB96" s="42">
        <v>824.97</v>
      </c>
      <c r="BC96" s="1693">
        <f t="shared" si="72"/>
        <v>9.5797422936591659E-2</v>
      </c>
      <c r="BE96" s="42">
        <f>Model!AC475</f>
        <v>876.88</v>
      </c>
      <c r="BF96" s="42">
        <v>800.22090000000003</v>
      </c>
      <c r="BG96" s="1693">
        <f t="shared" si="73"/>
        <v>9.5797422936591659E-2</v>
      </c>
      <c r="BI96" s="42">
        <f>Model!AD475</f>
        <v>876.88</v>
      </c>
      <c r="BJ96" s="42">
        <v>800.22090000000003</v>
      </c>
      <c r="BK96" s="1693">
        <f t="shared" si="74"/>
        <v>9.5797422936591659E-2</v>
      </c>
      <c r="BM96" s="42">
        <f>Model!AE475</f>
        <v>885.64880000000005</v>
      </c>
      <c r="BN96" s="42">
        <v>808.22310900000002</v>
      </c>
      <c r="BO96" s="1693">
        <f t="shared" si="75"/>
        <v>9.5797422936591659E-2</v>
      </c>
    </row>
    <row r="97" spans="2:67" s="15" customFormat="1" x14ac:dyDescent="0.2">
      <c r="B97" s="879" t="s">
        <v>952</v>
      </c>
      <c r="C97" s="70"/>
      <c r="D97" s="391"/>
      <c r="E97" s="120"/>
      <c r="F97" s="207">
        <f>SUM(F93:F96)</f>
        <v>16626</v>
      </c>
      <c r="G97" s="207">
        <v>16626</v>
      </c>
      <c r="H97" s="109"/>
      <c r="I97" s="120"/>
      <c r="J97" s="207">
        <f>SUM(J93:J96)</f>
        <v>19051</v>
      </c>
      <c r="K97" s="207">
        <v>18677.344851107191</v>
      </c>
      <c r="L97" s="109">
        <f t="shared" si="63"/>
        <v>2.0005795891842704E-2</v>
      </c>
      <c r="M97" s="120"/>
      <c r="N97" s="207">
        <f>SUM(N93:N96)</f>
        <v>20210.809287847918</v>
      </c>
      <c r="O97" s="207">
        <v>19563.726118115032</v>
      </c>
      <c r="P97" s="109">
        <f t="shared" si="64"/>
        <v>3.307566083404323E-2</v>
      </c>
      <c r="Q97" s="120"/>
      <c r="R97" s="207">
        <f>SUM(R93:R96)</f>
        <v>21742.526841602114</v>
      </c>
      <c r="S97" s="207">
        <v>20985.871728436094</v>
      </c>
      <c r="T97" s="109">
        <f t="shared" si="65"/>
        <v>3.6055453066585974E-2</v>
      </c>
      <c r="U97" s="120"/>
      <c r="V97" s="207">
        <f>SUM(V93:V96)</f>
        <v>23089.639238665106</v>
      </c>
      <c r="W97" s="207">
        <v>22443.399188584601</v>
      </c>
      <c r="X97" s="109">
        <f t="shared" si="66"/>
        <v>2.8794214488204739E-2</v>
      </c>
      <c r="Y97" s="120"/>
      <c r="Z97" s="207">
        <f>SUM(Z93:Z96)</f>
        <v>23089.639238665106</v>
      </c>
      <c r="AA97" s="207">
        <v>21804.115114761662</v>
      </c>
      <c r="AB97" s="109">
        <f t="shared" si="67"/>
        <v>5.8957867225399418E-2</v>
      </c>
      <c r="AC97" s="391"/>
      <c r="AD97" s="879" t="s">
        <v>952</v>
      </c>
      <c r="AE97" s="70"/>
      <c r="AF97" s="133"/>
      <c r="AG97" s="207">
        <f>SUM(AG93:AG96)</f>
        <v>4259</v>
      </c>
      <c r="AH97" s="207">
        <v>4259</v>
      </c>
      <c r="AI97" s="109"/>
      <c r="AK97" s="207">
        <f>SUM(AK93:AK96)</f>
        <v>4557</v>
      </c>
      <c r="AL97" s="207">
        <v>4467</v>
      </c>
      <c r="AM97" s="109">
        <f t="shared" si="68"/>
        <v>2.0147750167897938E-2</v>
      </c>
      <c r="AO97" s="207">
        <f>SUM(AO93:AO96)</f>
        <v>4915</v>
      </c>
      <c r="AP97" s="207">
        <v>4816</v>
      </c>
      <c r="AQ97" s="109">
        <f t="shared" si="69"/>
        <v>2.0556478405315604E-2</v>
      </c>
      <c r="AS97" s="207">
        <f>SUM(AS93:AS96)</f>
        <v>4761</v>
      </c>
      <c r="AT97" s="207">
        <v>4662</v>
      </c>
      <c r="AU97" s="109">
        <f t="shared" si="70"/>
        <v>2.1235521235521304E-2</v>
      </c>
      <c r="AW97" s="207">
        <f>SUM(AW93:AW96)</f>
        <v>4818</v>
      </c>
      <c r="AX97" s="207">
        <v>4710</v>
      </c>
      <c r="AY97" s="109">
        <f t="shared" si="71"/>
        <v>2.2929936305732479E-2</v>
      </c>
      <c r="BA97" s="207">
        <f>SUM(BA93:BA96)</f>
        <v>4823</v>
      </c>
      <c r="BB97" s="207">
        <v>4689.7601058390728</v>
      </c>
      <c r="BC97" s="109">
        <f t="shared" si="72"/>
        <v>2.8410812313200084E-2</v>
      </c>
      <c r="BE97" s="207">
        <f>SUM(BE93:BE96)</f>
        <v>5053.5757215811527</v>
      </c>
      <c r="BF97" s="207">
        <v>4888.3033553876458</v>
      </c>
      <c r="BG97" s="109">
        <f t="shared" si="73"/>
        <v>3.3809760601569927E-2</v>
      </c>
      <c r="BI97" s="207">
        <f>SUM(BI93:BI96)</f>
        <v>5127.5758633123341</v>
      </c>
      <c r="BJ97" s="207">
        <v>4960.1200543296136</v>
      </c>
      <c r="BK97" s="109">
        <f t="shared" si="74"/>
        <v>3.3760434656526339E-2</v>
      </c>
      <c r="BM97" s="207">
        <f>SUM(BM93:BM96)</f>
        <v>5206.6577029544324</v>
      </c>
      <c r="BN97" s="207">
        <v>5025.5426025587003</v>
      </c>
      <c r="BO97" s="109">
        <f t="shared" si="75"/>
        <v>3.6038914544972656E-2</v>
      </c>
    </row>
    <row r="98" spans="2:67" s="15" customFormat="1" x14ac:dyDescent="0.2">
      <c r="B98" s="391"/>
      <c r="D98" s="391"/>
      <c r="E98" s="120"/>
      <c r="F98" s="207"/>
      <c r="G98" s="207"/>
      <c r="H98" s="893"/>
      <c r="I98" s="120"/>
      <c r="J98" s="207"/>
      <c r="K98" s="207"/>
      <c r="L98" s="893"/>
      <c r="M98" s="120"/>
      <c r="N98" s="207"/>
      <c r="O98" s="207"/>
      <c r="P98" s="893"/>
      <c r="Q98" s="120"/>
      <c r="R98" s="207"/>
      <c r="S98" s="207"/>
      <c r="T98" s="893"/>
      <c r="U98" s="120"/>
      <c r="V98" s="207"/>
      <c r="W98" s="207"/>
      <c r="X98" s="893"/>
      <c r="Y98" s="120"/>
      <c r="Z98" s="207"/>
      <c r="AA98" s="207"/>
      <c r="AB98" s="893"/>
      <c r="AC98" s="391"/>
      <c r="AD98" s="391"/>
      <c r="AF98" s="109"/>
      <c r="AG98" s="207"/>
      <c r="AH98" s="207"/>
      <c r="AI98" s="893"/>
      <c r="AK98" s="207"/>
      <c r="AL98" s="207"/>
      <c r="AM98" s="893"/>
      <c r="AO98" s="1207"/>
      <c r="AP98" s="1207"/>
      <c r="AQ98" s="893"/>
      <c r="AS98" s="207"/>
      <c r="AT98" s="207"/>
      <c r="AU98" s="893"/>
      <c r="AW98" s="207"/>
      <c r="AX98" s="207"/>
      <c r="AY98" s="893"/>
      <c r="BA98" s="207"/>
      <c r="BB98" s="207"/>
      <c r="BC98" s="893"/>
      <c r="BE98" s="1207"/>
      <c r="BF98" s="1207"/>
      <c r="BG98" s="893"/>
      <c r="BI98" s="207"/>
      <c r="BJ98" s="207"/>
      <c r="BK98" s="893"/>
      <c r="BM98" s="207"/>
      <c r="BN98" s="207"/>
      <c r="BO98" s="893"/>
    </row>
    <row r="99" spans="2:67" s="15" customFormat="1" x14ac:dyDescent="0.2">
      <c r="B99" s="391" t="s">
        <v>914</v>
      </c>
      <c r="D99" s="391"/>
      <c r="E99" s="120"/>
      <c r="F99" s="207">
        <v>0</v>
      </c>
      <c r="G99" s="207">
        <v>0</v>
      </c>
      <c r="H99" s="1694"/>
      <c r="I99" s="120"/>
      <c r="J99" s="207">
        <v>0</v>
      </c>
      <c r="K99" s="207">
        <v>0</v>
      </c>
      <c r="L99" s="1694" t="str">
        <f>IFERROR(J99/K99-1,"NA")</f>
        <v>NA</v>
      </c>
      <c r="M99" s="120"/>
      <c r="N99" s="207">
        <v>0</v>
      </c>
      <c r="O99" s="207">
        <v>0</v>
      </c>
      <c r="P99" s="1694" t="str">
        <f>IFERROR(N99/O99-1,"NA")</f>
        <v>NA</v>
      </c>
      <c r="Q99" s="120"/>
      <c r="R99" s="207"/>
      <c r="S99" s="207"/>
      <c r="T99" s="1694"/>
      <c r="U99" s="120"/>
      <c r="V99" s="207"/>
      <c r="W99" s="207"/>
      <c r="X99" s="1694"/>
      <c r="Y99" s="120"/>
      <c r="Z99" s="207"/>
      <c r="AA99" s="207"/>
      <c r="AB99" s="1694"/>
      <c r="AC99" s="391"/>
      <c r="AD99" s="391" t="s">
        <v>914</v>
      </c>
      <c r="AF99" s="109"/>
      <c r="AG99" s="207">
        <v>0</v>
      </c>
      <c r="AH99" s="207">
        <v>0</v>
      </c>
      <c r="AI99" s="1694"/>
      <c r="AK99" s="207">
        <v>0</v>
      </c>
      <c r="AL99" s="207">
        <v>0</v>
      </c>
      <c r="AM99" s="1694" t="str">
        <f>IFERROR(AK99/AL99-1,"NA")</f>
        <v>NA</v>
      </c>
      <c r="AO99" s="207">
        <v>0</v>
      </c>
      <c r="AP99" s="207">
        <v>0</v>
      </c>
      <c r="AQ99" s="1694" t="str">
        <f>IFERROR(AO99/AP99-1,"NA")</f>
        <v>NA</v>
      </c>
      <c r="AS99" s="207">
        <v>0</v>
      </c>
      <c r="AT99" s="207">
        <v>0</v>
      </c>
      <c r="AU99" s="1694" t="str">
        <f>IFERROR(AS99/AT99-1,"NA")</f>
        <v>NA</v>
      </c>
      <c r="AW99" s="207">
        <v>0</v>
      </c>
      <c r="AX99" s="207">
        <v>0</v>
      </c>
      <c r="AY99" s="1694" t="str">
        <f>IFERROR(AW99/AX99-1,"NA")</f>
        <v>NA</v>
      </c>
      <c r="BA99" s="207">
        <v>0</v>
      </c>
      <c r="BB99" s="207">
        <v>0</v>
      </c>
      <c r="BC99" s="1694" t="str">
        <f>IFERROR(BA99/BB99-1,"NA")</f>
        <v>NA</v>
      </c>
      <c r="BE99" s="207">
        <v>0</v>
      </c>
      <c r="BF99" s="207">
        <v>0</v>
      </c>
      <c r="BG99" s="1694" t="str">
        <f>IFERROR(BE99/BF99-1,"NA")</f>
        <v>NA</v>
      </c>
      <c r="BI99" s="207">
        <v>0</v>
      </c>
      <c r="BJ99" s="207">
        <v>0</v>
      </c>
      <c r="BK99" s="1694" t="str">
        <f>IFERROR(BI99/BJ99-1,"NA")</f>
        <v>NA</v>
      </c>
      <c r="BM99" s="207">
        <v>0</v>
      </c>
      <c r="BN99" s="207">
        <v>0</v>
      </c>
      <c r="BO99" s="1694" t="str">
        <f>IFERROR(BM99/BN99-1,"NA")</f>
        <v>NA</v>
      </c>
    </row>
    <row r="100" spans="2:67" s="15" customFormat="1" x14ac:dyDescent="0.2">
      <c r="B100" s="391"/>
      <c r="D100" s="391"/>
      <c r="E100" s="120"/>
      <c r="F100" s="37"/>
      <c r="G100" s="37"/>
      <c r="H100" s="893"/>
      <c r="I100" s="120"/>
      <c r="J100" s="37"/>
      <c r="K100" s="37"/>
      <c r="L100" s="893"/>
      <c r="M100" s="120"/>
      <c r="N100" s="37"/>
      <c r="O100" s="37"/>
      <c r="P100" s="893"/>
      <c r="Q100" s="120"/>
      <c r="R100" s="37"/>
      <c r="S100" s="37"/>
      <c r="T100" s="893"/>
      <c r="U100" s="120"/>
      <c r="V100" s="37"/>
      <c r="W100" s="37"/>
      <c r="X100" s="893"/>
      <c r="Y100" s="120"/>
      <c r="Z100" s="37"/>
      <c r="AA100" s="37"/>
      <c r="AB100" s="893"/>
      <c r="AC100" s="391"/>
      <c r="AD100" s="391"/>
      <c r="AF100" s="109"/>
      <c r="AG100" s="37"/>
      <c r="AH100" s="37"/>
      <c r="AI100" s="893"/>
      <c r="AK100" s="37"/>
      <c r="AL100" s="37"/>
      <c r="AM100" s="893"/>
      <c r="AO100" s="37"/>
      <c r="AP100" s="37"/>
      <c r="AQ100" s="893"/>
      <c r="AS100" s="37"/>
      <c r="AT100" s="37"/>
      <c r="AU100" s="893"/>
      <c r="AW100" s="37"/>
      <c r="AX100" s="37"/>
      <c r="AY100" s="893"/>
      <c r="BA100" s="37"/>
      <c r="BB100" s="37"/>
      <c r="BC100" s="893"/>
      <c r="BE100" s="37"/>
      <c r="BF100" s="37"/>
      <c r="BG100" s="893"/>
      <c r="BI100" s="37"/>
      <c r="BJ100" s="37"/>
      <c r="BK100" s="893"/>
      <c r="BM100" s="37"/>
      <c r="BN100" s="37"/>
      <c r="BO100" s="893"/>
    </row>
    <row r="101" spans="2:67" s="15" customFormat="1" x14ac:dyDescent="0.2">
      <c r="B101" s="391" t="s">
        <v>913</v>
      </c>
      <c r="D101" s="391"/>
      <c r="E101" s="120"/>
      <c r="F101" s="37">
        <f>Model!AY481</f>
        <v>12853</v>
      </c>
      <c r="G101" s="37">
        <v>12853</v>
      </c>
      <c r="H101" s="109">
        <f>F101/G101-1</f>
        <v>0</v>
      </c>
      <c r="I101" s="120"/>
      <c r="J101" s="37">
        <f>Model!AZ481</f>
        <v>12351</v>
      </c>
      <c r="K101" s="37">
        <v>12079.6</v>
      </c>
      <c r="L101" s="109">
        <f>J101/K101-1</f>
        <v>2.2467631378522368E-2</v>
      </c>
      <c r="M101" s="120"/>
      <c r="N101" s="37">
        <f>Model!BA481</f>
        <v>12784.84</v>
      </c>
      <c r="O101" s="37">
        <v>13332.59</v>
      </c>
      <c r="P101" s="109">
        <f>N101/O101-1</f>
        <v>-4.1083540407377717E-2</v>
      </c>
      <c r="Q101" s="120"/>
      <c r="R101" s="37">
        <f>Model!BB481</f>
        <v>14131.684000000001</v>
      </c>
      <c r="S101" s="37">
        <v>14665.849000000002</v>
      </c>
      <c r="T101" s="109">
        <f>R101/S101-1</f>
        <v>-3.6422371456299674E-2</v>
      </c>
      <c r="U101" s="120"/>
      <c r="V101" s="37">
        <f>Model!BC481</f>
        <v>15262.218720000003</v>
      </c>
      <c r="W101" s="37">
        <v>15839.116920000004</v>
      </c>
      <c r="X101" s="109">
        <f>V101/W101-1</f>
        <v>-3.6422371456299674E-2</v>
      </c>
      <c r="Y101" s="120"/>
      <c r="Z101" s="37">
        <f>Model!BC481</f>
        <v>15262.218720000003</v>
      </c>
      <c r="AA101" s="37">
        <v>13891.341025800002</v>
      </c>
      <c r="AB101" s="109">
        <f>Z101/AA101-1</f>
        <v>9.8685770628905267E-2</v>
      </c>
      <c r="AC101" s="391"/>
      <c r="AD101" s="391" t="s">
        <v>913</v>
      </c>
      <c r="AF101" s="109"/>
      <c r="AG101" s="37">
        <f>Model!W481</f>
        <v>2957</v>
      </c>
      <c r="AH101" s="37">
        <v>2957</v>
      </c>
      <c r="AI101" s="109">
        <f>AG101/AH101-1</f>
        <v>0</v>
      </c>
      <c r="AK101" s="37">
        <f>Model!X481</f>
        <v>3678</v>
      </c>
      <c r="AL101" s="37">
        <v>3622</v>
      </c>
      <c r="AM101" s="109">
        <f>AK101/AL101-1</f>
        <v>1.5461071231363865E-2</v>
      </c>
      <c r="AO101" s="37">
        <f>Model!Y481</f>
        <v>3274</v>
      </c>
      <c r="AP101" s="37">
        <v>3215</v>
      </c>
      <c r="AQ101" s="109">
        <f>AO101/AP101-1</f>
        <v>1.8351477449455755E-2</v>
      </c>
      <c r="AS101" s="37">
        <f>Model!Z481</f>
        <v>2936</v>
      </c>
      <c r="AT101" s="37">
        <v>2877</v>
      </c>
      <c r="AU101" s="109">
        <f>AS101/AT101-1</f>
        <v>2.0507473062217674E-2</v>
      </c>
      <c r="AW101" s="37">
        <f>Model!AA481</f>
        <v>2463</v>
      </c>
      <c r="AX101" s="37">
        <v>2413</v>
      </c>
      <c r="AY101" s="109">
        <f>AW101/AX101-1</f>
        <v>2.0721094073766988E-2</v>
      </c>
      <c r="BA101" s="37">
        <f>Model!AV481</f>
        <v>13538</v>
      </c>
      <c r="BB101" s="37">
        <v>13538</v>
      </c>
      <c r="BC101" s="109">
        <f>BA101/BB101-1</f>
        <v>0</v>
      </c>
      <c r="BE101" s="37">
        <f>Model!AC481</f>
        <v>3535.92</v>
      </c>
      <c r="BF101" s="37">
        <v>3472.2000000000003</v>
      </c>
      <c r="BG101" s="109">
        <f>BE101/BF101-1</f>
        <v>1.8351477449455533E-2</v>
      </c>
      <c r="BI101" s="37">
        <f>Model!AD481</f>
        <v>3170.88</v>
      </c>
      <c r="BJ101" s="37">
        <v>3107.1600000000003</v>
      </c>
      <c r="BK101" s="109">
        <f>BI101/BJ101-1</f>
        <v>2.0507473062217452E-2</v>
      </c>
      <c r="BM101" s="37">
        <f>Model!AE481</f>
        <v>2660.04</v>
      </c>
      <c r="BN101" s="37">
        <v>2606.04</v>
      </c>
      <c r="BO101" s="109">
        <f>BM101/BN101-1</f>
        <v>2.0721094073766988E-2</v>
      </c>
    </row>
    <row r="102" spans="2:67" s="15" customFormat="1" x14ac:dyDescent="0.2">
      <c r="B102" s="391" t="s">
        <v>912</v>
      </c>
      <c r="D102" s="391"/>
      <c r="E102" s="120"/>
      <c r="F102" s="37">
        <f>Model!AY482</f>
        <v>2812</v>
      </c>
      <c r="G102" s="37">
        <v>2812</v>
      </c>
      <c r="H102" s="109">
        <f>F102/G102-1</f>
        <v>0</v>
      </c>
      <c r="I102" s="120"/>
      <c r="J102" s="37">
        <f>Model!AZ482</f>
        <v>2879</v>
      </c>
      <c r="K102" s="37">
        <v>2833.5</v>
      </c>
      <c r="L102" s="109">
        <f>J102/K102-1</f>
        <v>1.6057878948297244E-2</v>
      </c>
      <c r="M102" s="120"/>
      <c r="N102" s="37">
        <f>Model!BA482</f>
        <v>3375.55</v>
      </c>
      <c r="O102" s="37">
        <v>3023.9300000000003</v>
      </c>
      <c r="P102" s="109">
        <f>N102/O102-1</f>
        <v>0.11627914667336881</v>
      </c>
      <c r="Q102" s="120"/>
      <c r="R102" s="37">
        <f>Model!BB482</f>
        <v>3323.7275</v>
      </c>
      <c r="S102" s="37">
        <v>3265.8444000000004</v>
      </c>
      <c r="T102" s="109">
        <f>R102/S102-1</f>
        <v>1.77237776545629E-2</v>
      </c>
      <c r="U102" s="120"/>
      <c r="V102" s="37">
        <f>Model!BC482</f>
        <v>3556.3884250000001</v>
      </c>
      <c r="W102" s="37">
        <v>3494.4535080000005</v>
      </c>
      <c r="X102" s="109">
        <f>V102/W102-1</f>
        <v>1.77237776545629E-2</v>
      </c>
      <c r="Y102" s="120"/>
      <c r="Z102" s="37">
        <f>Model!BC482</f>
        <v>3556.3884250000001</v>
      </c>
      <c r="AA102" s="37">
        <v>3325.6041000000005</v>
      </c>
      <c r="AB102" s="109">
        <f>Z102/AA102-1</f>
        <v>6.9396211352998893E-2</v>
      </c>
      <c r="AC102" s="391"/>
      <c r="AD102" s="391" t="s">
        <v>912</v>
      </c>
      <c r="AF102" s="109"/>
      <c r="AG102" s="37">
        <f>Model!W482</f>
        <v>685</v>
      </c>
      <c r="AH102" s="37">
        <v>685</v>
      </c>
      <c r="AI102" s="109">
        <f>AG102/AH102-1</f>
        <v>0</v>
      </c>
      <c r="AK102" s="37">
        <f>Model!X482</f>
        <v>802</v>
      </c>
      <c r="AL102" s="37">
        <v>769</v>
      </c>
      <c r="AM102" s="109">
        <f>AK102/AL102-1</f>
        <v>4.2912873862158696E-2</v>
      </c>
      <c r="AO102" s="37">
        <f>Model!Y482</f>
        <v>725</v>
      </c>
      <c r="AP102" s="37">
        <v>691</v>
      </c>
      <c r="AQ102" s="109">
        <f>AO102/AP102-1</f>
        <v>4.9204052098408058E-2</v>
      </c>
      <c r="AS102" s="37">
        <f>Model!Z482</f>
        <v>785</v>
      </c>
      <c r="AT102" s="37">
        <v>757</v>
      </c>
      <c r="AU102" s="109">
        <f>AS102/AT102-1</f>
        <v>3.6988110964332854E-2</v>
      </c>
      <c r="AW102" s="37">
        <f>Model!AA482</f>
        <v>567</v>
      </c>
      <c r="AX102" s="37">
        <v>530</v>
      </c>
      <c r="AY102" s="109">
        <f>AW102/AX102-1</f>
        <v>6.9811320754717077E-2</v>
      </c>
      <c r="BA102" s="37">
        <f>Model!AV482</f>
        <v>2905</v>
      </c>
      <c r="BB102" s="37">
        <v>2905</v>
      </c>
      <c r="BC102" s="109">
        <f>BA102/BB102-1</f>
        <v>0</v>
      </c>
      <c r="BE102" s="37">
        <f>Model!AC482</f>
        <v>775.75</v>
      </c>
      <c r="BF102" s="37">
        <v>739.37</v>
      </c>
      <c r="BG102" s="109">
        <f>BE102/BF102-1</f>
        <v>4.9204052098408058E-2</v>
      </c>
      <c r="BI102" s="37">
        <f>Model!AD482</f>
        <v>816.4</v>
      </c>
      <c r="BJ102" s="37">
        <v>787.28</v>
      </c>
      <c r="BK102" s="109">
        <f>BI102/BJ102-1</f>
        <v>3.6988110964332854E-2</v>
      </c>
      <c r="BM102" s="37">
        <f>Model!AE482</f>
        <v>680.4</v>
      </c>
      <c r="BN102" s="37">
        <v>636</v>
      </c>
      <c r="BO102" s="109">
        <f>BM102/BN102-1</f>
        <v>6.9811320754716855E-2</v>
      </c>
    </row>
    <row r="103" spans="2:67" s="15" customFormat="1" x14ac:dyDescent="0.2">
      <c r="B103" s="391" t="s">
        <v>115</v>
      </c>
      <c r="D103" s="391"/>
      <c r="E103" s="120"/>
      <c r="F103" s="207">
        <f>Model!AY483</f>
        <v>2152</v>
      </c>
      <c r="G103" s="207">
        <v>2152</v>
      </c>
      <c r="H103" s="109">
        <f>F103/G103-1</f>
        <v>0</v>
      </c>
      <c r="I103" s="120"/>
      <c r="J103" s="207">
        <f>Model!AZ483</f>
        <v>2366</v>
      </c>
      <c r="K103" s="207">
        <v>2292.0300000000002</v>
      </c>
      <c r="L103" s="109">
        <f>J103/K103-1</f>
        <v>3.2272701491690592E-2</v>
      </c>
      <c r="M103" s="120"/>
      <c r="N103" s="207">
        <f>Model!BA483</f>
        <v>2630.28</v>
      </c>
      <c r="O103" s="207">
        <v>2454.0200000000004</v>
      </c>
      <c r="P103" s="109">
        <f>N103/O103-1</f>
        <v>7.1825005501177541E-2</v>
      </c>
      <c r="Q103" s="120"/>
      <c r="R103" s="207">
        <f>Model!BB483</f>
        <v>2847.1124</v>
      </c>
      <c r="S103" s="207">
        <v>2625.8014000000003</v>
      </c>
      <c r="T103" s="109">
        <f>R103/S103-1</f>
        <v>8.4283221114894502E-2</v>
      </c>
      <c r="U103" s="120"/>
      <c r="V103" s="207">
        <f>Model!BC483</f>
        <v>3046.4102680000001</v>
      </c>
      <c r="W103" s="207">
        <v>2809.6074980000003</v>
      </c>
      <c r="X103" s="109">
        <f>V103/W103-1</f>
        <v>8.4283221114894502E-2</v>
      </c>
      <c r="Y103" s="120"/>
      <c r="Z103" s="207">
        <f>Model!BC483</f>
        <v>3046.4102680000001</v>
      </c>
      <c r="AA103" s="207">
        <v>2510.1115187200003</v>
      </c>
      <c r="AB103" s="109">
        <f>Z103/AA103-1</f>
        <v>0.21365534769286998</v>
      </c>
      <c r="AC103" s="391"/>
      <c r="AD103" s="391" t="s">
        <v>115</v>
      </c>
      <c r="AF103" s="109"/>
      <c r="AG103" s="207">
        <f>Model!W483</f>
        <v>529</v>
      </c>
      <c r="AH103" s="207">
        <v>529</v>
      </c>
      <c r="AI103" s="109"/>
      <c r="AK103" s="207">
        <f>Model!X483</f>
        <v>552</v>
      </c>
      <c r="AL103" s="207">
        <v>543</v>
      </c>
      <c r="AM103" s="133">
        <f>AK103/AL103-1</f>
        <v>1.6574585635359185E-2</v>
      </c>
      <c r="AO103" s="207">
        <f>Model!Y483</f>
        <v>594</v>
      </c>
      <c r="AP103" s="207">
        <v>584</v>
      </c>
      <c r="AQ103" s="109">
        <f>AO103/AP103-1</f>
        <v>1.7123287671232834E-2</v>
      </c>
      <c r="AS103" s="207">
        <f>Model!Z483</f>
        <v>608</v>
      </c>
      <c r="AT103" s="207">
        <v>599</v>
      </c>
      <c r="AU103" s="109">
        <f>AS103/AT103-1</f>
        <v>1.5025041736226985E-2</v>
      </c>
      <c r="AW103" s="207">
        <f>Model!AA483</f>
        <v>612</v>
      </c>
      <c r="AX103" s="207">
        <v>603</v>
      </c>
      <c r="AY103" s="109">
        <f>AW103/AX103-1</f>
        <v>1.4925373134328401E-2</v>
      </c>
      <c r="BA103" s="207">
        <f>Model!AV483</f>
        <v>1978</v>
      </c>
      <c r="BB103" s="207">
        <v>1978</v>
      </c>
      <c r="BC103" s="133">
        <f>BA103/BB103-1</f>
        <v>0</v>
      </c>
      <c r="BE103" s="207">
        <f>Model!AC483</f>
        <v>653.40000000000009</v>
      </c>
      <c r="BF103" s="207">
        <v>624.88</v>
      </c>
      <c r="BG103" s="109">
        <f>BE103/BF103-1</f>
        <v>4.5640763026501219E-2</v>
      </c>
      <c r="BI103" s="207">
        <f>Model!AD483</f>
        <v>668.80000000000007</v>
      </c>
      <c r="BJ103" s="207">
        <v>640.93000000000006</v>
      </c>
      <c r="BK103" s="109">
        <f>BI103/BJ103-1</f>
        <v>4.3483687766214807E-2</v>
      </c>
      <c r="BM103" s="207">
        <f>Model!AE483</f>
        <v>667.08</v>
      </c>
      <c r="BN103" s="207">
        <v>645.21</v>
      </c>
      <c r="BO103" s="109">
        <f>BM103/BN103-1</f>
        <v>3.3895940856465412E-2</v>
      </c>
    </row>
    <row r="104" spans="2:67" s="15" customFormat="1" x14ac:dyDescent="0.2">
      <c r="B104" s="1692" t="s">
        <v>915</v>
      </c>
      <c r="C104" s="28"/>
      <c r="D104" s="391"/>
      <c r="E104" s="120"/>
      <c r="F104" s="42">
        <f>Model!AY484</f>
        <v>-622</v>
      </c>
      <c r="G104" s="42">
        <v>-622</v>
      </c>
      <c r="H104" s="1693">
        <f>F104/G104-1</f>
        <v>0</v>
      </c>
      <c r="I104" s="120"/>
      <c r="J104" s="42">
        <f>Model!AZ484</f>
        <v>-40</v>
      </c>
      <c r="K104" s="42">
        <v>24.700000000000003</v>
      </c>
      <c r="L104" s="1693">
        <f>J104/K104-1</f>
        <v>-2.6194331983805665</v>
      </c>
      <c r="M104" s="120"/>
      <c r="N104" s="42">
        <f>Model!BA484</f>
        <v>289.65000000000003</v>
      </c>
      <c r="O104" s="42">
        <v>611.6</v>
      </c>
      <c r="P104" s="1693">
        <f>N104/O104-1</f>
        <v>-0.52640614780902539</v>
      </c>
      <c r="Q104" s="120"/>
      <c r="R104" s="42">
        <f>Model!BB484</f>
        <v>601.65000000000009</v>
      </c>
      <c r="S104" s="42">
        <v>611.6</v>
      </c>
      <c r="T104" s="1693">
        <f>R104/S104-1</f>
        <v>-1.6268803139306676E-2</v>
      </c>
      <c r="U104" s="120"/>
      <c r="V104" s="42">
        <f>Model!BC484</f>
        <v>601.65000000000009</v>
      </c>
      <c r="W104" s="42">
        <v>611.6</v>
      </c>
      <c r="X104" s="1693">
        <f>V104/W104-1</f>
        <v>-1.6268803139306676E-2</v>
      </c>
      <c r="Y104" s="120"/>
      <c r="Z104" s="42">
        <f>Model!BC484</f>
        <v>601.65000000000009</v>
      </c>
      <c r="AA104" s="42">
        <v>-413.25</v>
      </c>
      <c r="AB104" s="1693">
        <f>Z104/AA104-1</f>
        <v>-2.4558983666061707</v>
      </c>
      <c r="AC104" s="391"/>
      <c r="AD104" s="1692" t="s">
        <v>915</v>
      </c>
      <c r="AE104" s="28"/>
      <c r="AF104" s="1693"/>
      <c r="AG104" s="42">
        <f>Model!W484</f>
        <v>-139</v>
      </c>
      <c r="AH104" s="42">
        <v>-139</v>
      </c>
      <c r="AI104" s="1693">
        <f>AG104/AH104-1</f>
        <v>0</v>
      </c>
      <c r="AK104" s="42">
        <f>Model!X484</f>
        <v>-155</v>
      </c>
      <c r="AL104" s="42">
        <v>-160</v>
      </c>
      <c r="AM104" s="1693">
        <f>AK104/AL104-1</f>
        <v>-3.125E-2</v>
      </c>
      <c r="AO104" s="42">
        <f>Model!Y484</f>
        <v>-96</v>
      </c>
      <c r="AP104" s="42">
        <v>-102</v>
      </c>
      <c r="AQ104" s="1693">
        <f>AO104/AP104-1</f>
        <v>-5.8823529411764719E-2</v>
      </c>
      <c r="AS104" s="42">
        <f>Model!Z484</f>
        <v>388</v>
      </c>
      <c r="AT104" s="42">
        <v>384</v>
      </c>
      <c r="AU104" s="1693">
        <f>AS104/AT104-1</f>
        <v>1.0416666666666741E-2</v>
      </c>
      <c r="AW104" s="42">
        <f>Model!AA484</f>
        <v>-177</v>
      </c>
      <c r="AX104" s="42">
        <v>-180</v>
      </c>
      <c r="AY104" s="1693">
        <f>AW104/AX104-1</f>
        <v>-1.6666666666666718E-2</v>
      </c>
      <c r="BA104" s="42">
        <f>Model!AV484</f>
        <v>-504</v>
      </c>
      <c r="BB104" s="42">
        <v>-504</v>
      </c>
      <c r="BC104" s="1693">
        <f>BA104/BB104-1</f>
        <v>0</v>
      </c>
      <c r="BE104" s="42">
        <f>Model!AC484</f>
        <v>144</v>
      </c>
      <c r="BF104" s="42">
        <v>153</v>
      </c>
      <c r="BG104" s="1693">
        <f>BE104/BF104-1</f>
        <v>-5.8823529411764719E-2</v>
      </c>
      <c r="BI104" s="42">
        <f>Model!AD484</f>
        <v>155.20000000000002</v>
      </c>
      <c r="BJ104" s="42">
        <v>153.60000000000002</v>
      </c>
      <c r="BK104" s="1693">
        <f>BI104/BJ104-1</f>
        <v>1.0416666666666519E-2</v>
      </c>
      <c r="BM104" s="42">
        <f>Model!AE484</f>
        <v>150.45000000000002</v>
      </c>
      <c r="BN104" s="42">
        <v>153.00000000000003</v>
      </c>
      <c r="BO104" s="1693">
        <f>BM104/BN104-1</f>
        <v>-1.6666666666666718E-2</v>
      </c>
    </row>
    <row r="105" spans="2:67" s="15" customFormat="1" x14ac:dyDescent="0.2">
      <c r="B105" s="879" t="s">
        <v>953</v>
      </c>
      <c r="C105" s="70"/>
      <c r="D105" s="391"/>
      <c r="E105" s="120"/>
      <c r="F105" s="207">
        <f>SUM(F101:F104)</f>
        <v>17195</v>
      </c>
      <c r="G105" s="207">
        <v>17195</v>
      </c>
      <c r="H105" s="109"/>
      <c r="I105" s="120"/>
      <c r="J105" s="207">
        <f>SUM(J101:J104)</f>
        <v>17556</v>
      </c>
      <c r="K105" s="207">
        <v>17229.830000000002</v>
      </c>
      <c r="L105" s="109">
        <f>J105/K105-1</f>
        <v>1.8930540812068353E-2</v>
      </c>
      <c r="M105" s="120"/>
      <c r="N105" s="207">
        <f>SUM(N101:N104)</f>
        <v>19080.32</v>
      </c>
      <c r="O105" s="207">
        <v>19422.14</v>
      </c>
      <c r="P105" s="109">
        <f>N105/O105-1</f>
        <v>-1.7599502423522817E-2</v>
      </c>
      <c r="Q105" s="120"/>
      <c r="R105" s="207">
        <f>SUM(R101:R104)</f>
        <v>20904.173900000002</v>
      </c>
      <c r="S105" s="207">
        <v>21169.094800000003</v>
      </c>
      <c r="T105" s="109">
        <f>R105/S105-1</f>
        <v>-1.2514512429695479E-2</v>
      </c>
      <c r="U105" s="120"/>
      <c r="V105" s="207">
        <f>SUM(V101:V104)</f>
        <v>22466.667413000003</v>
      </c>
      <c r="W105" s="207">
        <v>22754.777926000006</v>
      </c>
      <c r="X105" s="109">
        <f>V105/W105-1</f>
        <v>-1.2661539213300932E-2</v>
      </c>
      <c r="Y105" s="120"/>
      <c r="Z105" s="207">
        <f>SUM(Z101:Z104)</f>
        <v>22466.667413000003</v>
      </c>
      <c r="AA105" s="207">
        <v>19313.806644520006</v>
      </c>
      <c r="AB105" s="109">
        <f>Z105/AA105-1</f>
        <v>0.1632438817737969</v>
      </c>
      <c r="AC105" s="391"/>
      <c r="AD105" s="879" t="s">
        <v>953</v>
      </c>
      <c r="AE105" s="70"/>
      <c r="AF105" s="133"/>
      <c r="AG105" s="207">
        <f>SUM(AG101:AG104)</f>
        <v>4032</v>
      </c>
      <c r="AH105" s="207">
        <v>4032</v>
      </c>
      <c r="AI105" s="109"/>
      <c r="AK105" s="207">
        <f>SUM(AK101:AK104)</f>
        <v>4877</v>
      </c>
      <c r="AL105" s="207">
        <v>4774</v>
      </c>
      <c r="AM105" s="133">
        <f>AK105/AL105-1</f>
        <v>2.1575198994553846E-2</v>
      </c>
      <c r="AO105" s="207">
        <f>SUM(AO101:AO104)</f>
        <v>4497</v>
      </c>
      <c r="AP105" s="207">
        <v>4388</v>
      </c>
      <c r="AQ105" s="109">
        <f>AO105/AP105-1</f>
        <v>2.4840474020054737E-2</v>
      </c>
      <c r="AS105" s="207">
        <f>SUM(AS101:AS104)</f>
        <v>4717</v>
      </c>
      <c r="AT105" s="207">
        <v>4617</v>
      </c>
      <c r="AU105" s="109">
        <f>AS105/AT105-1</f>
        <v>2.1659085986571291E-2</v>
      </c>
      <c r="AW105" s="207">
        <f>SUM(AW101:AW104)</f>
        <v>3465</v>
      </c>
      <c r="AX105" s="207">
        <v>3366</v>
      </c>
      <c r="AY105" s="109">
        <f>AW105/AX105-1</f>
        <v>2.9411764705882248E-2</v>
      </c>
      <c r="BA105" s="207">
        <f>SUM(BA101:BA104)</f>
        <v>17917</v>
      </c>
      <c r="BB105" s="207">
        <v>17917</v>
      </c>
      <c r="BC105" s="133">
        <f>BA105/BB105-1</f>
        <v>0</v>
      </c>
      <c r="BE105" s="207">
        <f>SUM(BE101:BE104)</f>
        <v>5109.07</v>
      </c>
      <c r="BF105" s="207">
        <v>4989.4500000000007</v>
      </c>
      <c r="BG105" s="109">
        <f>BE105/BF105-1</f>
        <v>2.3974586377255802E-2</v>
      </c>
      <c r="BI105" s="207">
        <f>SUM(BI101:BI104)</f>
        <v>4811.28</v>
      </c>
      <c r="BJ105" s="207">
        <v>4688.9700000000012</v>
      </c>
      <c r="BK105" s="109">
        <f>BI105/BJ105-1</f>
        <v>2.6084619863210534E-2</v>
      </c>
      <c r="BM105" s="207">
        <f>SUM(BM101:BM104)</f>
        <v>4157.97</v>
      </c>
      <c r="BN105" s="207">
        <v>4040.25</v>
      </c>
      <c r="BO105" s="109">
        <f>BM105/BN105-1</f>
        <v>2.9136810840913352E-2</v>
      </c>
    </row>
    <row r="106" spans="2:67" s="15" customFormat="1" x14ac:dyDescent="0.2">
      <c r="B106" s="879"/>
      <c r="C106" s="70"/>
      <c r="D106" s="391"/>
      <c r="E106" s="120"/>
      <c r="F106" s="207"/>
      <c r="G106" s="207"/>
      <c r="H106" s="133"/>
      <c r="I106" s="120"/>
      <c r="J106" s="207"/>
      <c r="K106" s="207"/>
      <c r="L106" s="133"/>
      <c r="M106" s="120"/>
      <c r="N106" s="207"/>
      <c r="O106" s="207"/>
      <c r="P106" s="133"/>
      <c r="Q106" s="120"/>
      <c r="R106" s="207"/>
      <c r="S106" s="207"/>
      <c r="T106" s="133"/>
      <c r="U106" s="120"/>
      <c r="V106" s="207"/>
      <c r="W106" s="207"/>
      <c r="X106" s="133"/>
      <c r="Y106" s="120"/>
      <c r="Z106" s="207"/>
      <c r="AA106" s="207"/>
      <c r="AB106" s="133"/>
      <c r="AC106" s="391"/>
      <c r="AD106" s="879"/>
      <c r="AE106" s="70"/>
      <c r="AF106" s="133"/>
      <c r="AG106" s="207"/>
      <c r="AH106" s="207"/>
      <c r="AI106" s="133"/>
      <c r="AK106" s="207"/>
      <c r="AL106" s="207"/>
      <c r="AM106" s="133"/>
      <c r="AO106" s="207"/>
      <c r="AP106" s="207"/>
      <c r="AQ106" s="133"/>
      <c r="AS106" s="207"/>
      <c r="AT106" s="207"/>
      <c r="AU106" s="133"/>
      <c r="AW106" s="207"/>
      <c r="AX106" s="207"/>
      <c r="AY106" s="133"/>
      <c r="BA106" s="207"/>
      <c r="BB106" s="207"/>
      <c r="BC106" s="133"/>
      <c r="BE106" s="207"/>
      <c r="BF106" s="207"/>
      <c r="BG106" s="133"/>
      <c r="BI106" s="207"/>
      <c r="BJ106" s="207"/>
      <c r="BK106" s="133"/>
      <c r="BM106" s="207"/>
      <c r="BN106" s="207"/>
      <c r="BO106" s="133"/>
    </row>
    <row r="107" spans="2:67" s="15" customFormat="1" x14ac:dyDescent="0.2">
      <c r="B107" s="19" t="s">
        <v>916</v>
      </c>
      <c r="D107" s="391"/>
      <c r="E107" s="120"/>
      <c r="F107" s="91">
        <f>F105+F99+F97</f>
        <v>33821</v>
      </c>
      <c r="G107" s="91">
        <v>33821</v>
      </c>
      <c r="H107" s="898">
        <f>F107/G107-1</f>
        <v>0</v>
      </c>
      <c r="I107" s="120"/>
      <c r="J107" s="91">
        <f>J105+J99+J97</f>
        <v>36607</v>
      </c>
      <c r="K107" s="91">
        <v>35907.174851107193</v>
      </c>
      <c r="L107" s="898">
        <f>J107/K107-1</f>
        <v>1.94898415649436E-2</v>
      </c>
      <c r="M107" s="120"/>
      <c r="N107" s="91">
        <f>N105+N99+N97</f>
        <v>39291.129287847914</v>
      </c>
      <c r="O107" s="91">
        <v>38985.866118115031</v>
      </c>
      <c r="P107" s="898">
        <f>N107/O107-1</f>
        <v>7.8300984466532775E-3</v>
      </c>
      <c r="Q107" s="120"/>
      <c r="R107" s="91">
        <f>R105+R99+R97</f>
        <v>42646.700741602115</v>
      </c>
      <c r="S107" s="91">
        <v>42154.966528436096</v>
      </c>
      <c r="T107" s="898">
        <f>R107/S107-1</f>
        <v>1.1664917651738937E-2</v>
      </c>
      <c r="U107" s="120"/>
      <c r="V107" s="91">
        <f>V105+V99+V97</f>
        <v>45556.306651665109</v>
      </c>
      <c r="W107" s="91">
        <v>45198.177114584607</v>
      </c>
      <c r="X107" s="898">
        <f>V107/W107-1</f>
        <v>7.9235393978962509E-3</v>
      </c>
      <c r="Y107" s="120"/>
      <c r="Z107" s="91">
        <f>Z105+Z99+Z97</f>
        <v>45556.306651665109</v>
      </c>
      <c r="AA107" s="91">
        <v>41117.921759281671</v>
      </c>
      <c r="AB107" s="898">
        <f>Z107/AA107-1</f>
        <v>0.10794283131251747</v>
      </c>
      <c r="AC107" s="391"/>
      <c r="AD107" s="19" t="s">
        <v>916</v>
      </c>
      <c r="AF107" s="109"/>
      <c r="AG107" s="91">
        <f>AG105+AG99+AG97</f>
        <v>8291</v>
      </c>
      <c r="AH107" s="91">
        <v>8291</v>
      </c>
      <c r="AI107" s="898">
        <f>AG107/AH107-1</f>
        <v>0</v>
      </c>
      <c r="AK107" s="91">
        <f>AK105+AK99+AK97</f>
        <v>9434</v>
      </c>
      <c r="AL107" s="91">
        <v>9241</v>
      </c>
      <c r="AM107" s="898">
        <f>AK107/AL107-1</f>
        <v>2.0885185585975519E-2</v>
      </c>
      <c r="AO107" s="91">
        <f>AO105+AO99+AO97</f>
        <v>9412</v>
      </c>
      <c r="AP107" s="91">
        <v>9204</v>
      </c>
      <c r="AQ107" s="898">
        <f>AO107/AP107-1</f>
        <v>2.2598870056497189E-2</v>
      </c>
      <c r="AS107" s="91">
        <f>AS105+AS99+AS97</f>
        <v>9478</v>
      </c>
      <c r="AT107" s="91">
        <v>9279</v>
      </c>
      <c r="AU107" s="898">
        <f>AS107/AT107-1</f>
        <v>2.1446276538420017E-2</v>
      </c>
      <c r="AW107" s="91">
        <f>AW105+AW99+AW97</f>
        <v>8283</v>
      </c>
      <c r="AX107" s="91">
        <v>8076</v>
      </c>
      <c r="AY107" s="898">
        <f>AW107/AX107-1</f>
        <v>2.5631500742941959E-2</v>
      </c>
      <c r="BA107" s="91">
        <f>BA105+BA99+BA97</f>
        <v>22740</v>
      </c>
      <c r="BB107" s="91">
        <v>22606.760105839072</v>
      </c>
      <c r="BC107" s="898">
        <f>BA107/BB107-1</f>
        <v>5.8938075839762849E-3</v>
      </c>
      <c r="BE107" s="91">
        <f>BE105+BE99+BE97</f>
        <v>10162.645721581153</v>
      </c>
      <c r="BF107" s="91">
        <v>9877.7533553876456</v>
      </c>
      <c r="BG107" s="898">
        <f>BE107/BF107-1</f>
        <v>2.8841818168917843E-2</v>
      </c>
      <c r="BI107" s="91">
        <f>BI105+BI99+BI97</f>
        <v>9938.8558633123339</v>
      </c>
      <c r="BJ107" s="91">
        <v>9649.0900543296157</v>
      </c>
      <c r="BK107" s="898">
        <f>BI107/BJ107-1</f>
        <v>3.0030376683312099E-2</v>
      </c>
      <c r="BM107" s="91">
        <f>BM105+BM99+BM97</f>
        <v>9364.6277029544326</v>
      </c>
      <c r="BN107" s="91">
        <v>9065.7926025587003</v>
      </c>
      <c r="BO107" s="898">
        <f>BM107/BN107-1</f>
        <v>3.2962931482834801E-2</v>
      </c>
    </row>
    <row r="108" spans="2:67" s="15" customFormat="1" x14ac:dyDescent="0.2">
      <c r="B108" s="391"/>
      <c r="D108" s="391"/>
      <c r="G108" s="391"/>
      <c r="H108" s="1695"/>
      <c r="L108" s="1695"/>
      <c r="P108" s="1695"/>
      <c r="T108" s="1695"/>
      <c r="X108" s="1695"/>
      <c r="AB108" s="1695"/>
      <c r="AC108" s="391"/>
      <c r="AD108" s="391"/>
      <c r="AF108" s="109"/>
      <c r="AH108" s="391"/>
      <c r="AI108" s="1695"/>
      <c r="AM108" s="1695"/>
      <c r="AQ108" s="1695"/>
      <c r="AU108" s="1695"/>
      <c r="AY108" s="1695"/>
      <c r="BC108" s="1695"/>
      <c r="BG108" s="1695"/>
      <c r="BK108" s="1695"/>
      <c r="BO108" s="1695"/>
    </row>
    <row r="109" spans="2:67" s="15" customFormat="1" x14ac:dyDescent="0.2">
      <c r="B109" s="391" t="s">
        <v>917</v>
      </c>
      <c r="D109" s="391"/>
      <c r="E109" s="120"/>
      <c r="F109" s="37">
        <f>F90+F91+F92</f>
        <v>4302</v>
      </c>
      <c r="G109" s="37">
        <v>4302</v>
      </c>
      <c r="H109" s="893">
        <f>F109/G109-1</f>
        <v>0</v>
      </c>
      <c r="I109" s="120"/>
      <c r="J109" s="37">
        <f>J90+J91+J92</f>
        <v>5370</v>
      </c>
      <c r="K109" s="37">
        <v>5164.4521930249994</v>
      </c>
      <c r="L109" s="893">
        <f>J109/K109-1</f>
        <v>3.9800505318378088E-2</v>
      </c>
      <c r="M109" s="120"/>
      <c r="N109" s="37">
        <f>N90+N91+N92</f>
        <v>5008.9040375103832</v>
      </c>
      <c r="O109" s="37">
        <v>5052.0276908763453</v>
      </c>
      <c r="P109" s="893">
        <f>N109/O109-1</f>
        <v>-8.5359099364876734E-3</v>
      </c>
      <c r="Q109" s="120"/>
      <c r="R109" s="37">
        <f>R90+R91+R92</f>
        <v>5520.9807125450689</v>
      </c>
      <c r="S109" s="37">
        <v>5508.2333089248013</v>
      </c>
      <c r="T109" s="893">
        <f>R109/S109-1</f>
        <v>2.314245404168469E-3</v>
      </c>
      <c r="U109" s="120"/>
      <c r="V109" s="37">
        <f>V90+V91+V92</f>
        <v>5897.076209285884</v>
      </c>
      <c r="W109" s="37">
        <v>5936.4547901940468</v>
      </c>
      <c r="X109" s="893">
        <f>V109/W109-1</f>
        <v>-6.6333497516412043E-3</v>
      </c>
      <c r="Y109" s="120"/>
      <c r="Z109" s="37">
        <f>Z90+Z91+Z92</f>
        <v>5897.076209285884</v>
      </c>
      <c r="AA109" s="37">
        <v>5684.3135334638155</v>
      </c>
      <c r="AB109" s="893">
        <f>Z109/AA109-1</f>
        <v>3.7429792457704059E-2</v>
      </c>
      <c r="AC109" s="391"/>
      <c r="AD109" s="391" t="s">
        <v>917</v>
      </c>
      <c r="AF109" s="109"/>
      <c r="AG109" s="37">
        <f>AG90+AG91+AG92</f>
        <v>1131</v>
      </c>
      <c r="AH109" s="37">
        <v>1131</v>
      </c>
      <c r="AI109" s="893">
        <f>AG109/AH109-1</f>
        <v>0</v>
      </c>
      <c r="AK109" s="37">
        <f>AK90+AK91+AK92</f>
        <v>1262</v>
      </c>
      <c r="AL109" s="37">
        <v>1214</v>
      </c>
      <c r="AM109" s="893">
        <f>AK109/AL109-1</f>
        <v>3.9538714991762758E-2</v>
      </c>
      <c r="AO109" s="37">
        <f>AO90+AO91+AO92</f>
        <v>1535</v>
      </c>
      <c r="AP109" s="37">
        <v>1486</v>
      </c>
      <c r="AQ109" s="893">
        <f>AO109/AP109-1</f>
        <v>3.2974427994616473E-2</v>
      </c>
      <c r="AS109" s="37">
        <f>AS90+AS91+AS92</f>
        <v>1280</v>
      </c>
      <c r="AT109" s="37">
        <v>1231</v>
      </c>
      <c r="AU109" s="893">
        <f>AS109/AT109-1</f>
        <v>3.9805036555645712E-2</v>
      </c>
      <c r="AW109" s="37">
        <f>AW90+AW91+AW92</f>
        <v>1293</v>
      </c>
      <c r="AX109" s="37">
        <v>1241</v>
      </c>
      <c r="AY109" s="893">
        <f>AW109/AX109-1</f>
        <v>4.190169218372275E-2</v>
      </c>
      <c r="BA109" s="37">
        <f>BA90+BA91+BA92</f>
        <v>1130</v>
      </c>
      <c r="BB109" s="37">
        <v>1152.175064743182</v>
      </c>
      <c r="BC109" s="893">
        <f>BA109/BB109-1</f>
        <v>-1.9246263368947969E-2</v>
      </c>
      <c r="BE109" s="37">
        <f>BE90+BE91+BE92</f>
        <v>1300.9922558277278</v>
      </c>
      <c r="BF109" s="37">
        <v>1307.3211345657278</v>
      </c>
      <c r="BG109" s="893">
        <f>BE109/BF109-1</f>
        <v>-4.8411048904998255E-3</v>
      </c>
      <c r="BI109" s="37">
        <f>BI90+BI91+BI92</f>
        <v>1287.9469892301415</v>
      </c>
      <c r="BJ109" s="37">
        <v>1294.9087558419415</v>
      </c>
      <c r="BK109" s="893">
        <f>BI109/BJ109-1</f>
        <v>-5.3762603584168733E-3</v>
      </c>
      <c r="BM109" s="37">
        <f>BM90+BM91+BM92</f>
        <v>1289.9647924525143</v>
      </c>
      <c r="BN109" s="37">
        <v>1297.6227357254943</v>
      </c>
      <c r="BO109" s="893">
        <f>BM109/BN109-1</f>
        <v>-5.9015174920609148E-3</v>
      </c>
    </row>
    <row r="110" spans="2:67" s="15" customFormat="1" x14ac:dyDescent="0.2">
      <c r="B110" s="391" t="s">
        <v>918</v>
      </c>
      <c r="D110" s="391"/>
      <c r="E110" s="120"/>
      <c r="F110" s="37">
        <f>F101+F102</f>
        <v>15665</v>
      </c>
      <c r="G110" s="37">
        <v>15665</v>
      </c>
      <c r="H110" s="893">
        <f>F110/G110-1</f>
        <v>0</v>
      </c>
      <c r="I110" s="120"/>
      <c r="J110" s="37">
        <f>J101+J102</f>
        <v>15230</v>
      </c>
      <c r="K110" s="37">
        <v>14913.1</v>
      </c>
      <c r="L110" s="893">
        <f>J110/K110-1</f>
        <v>2.124977368890435E-2</v>
      </c>
      <c r="M110" s="120"/>
      <c r="N110" s="37">
        <f>N101+N102</f>
        <v>16160.39</v>
      </c>
      <c r="O110" s="37">
        <v>16356.52</v>
      </c>
      <c r="P110" s="893">
        <f>N110/O110-1</f>
        <v>-1.1990936947468112E-2</v>
      </c>
      <c r="Q110" s="120"/>
      <c r="R110" s="37">
        <f>R101+R102</f>
        <v>17455.411500000002</v>
      </c>
      <c r="S110" s="37">
        <v>17931.693400000004</v>
      </c>
      <c r="T110" s="893">
        <f>R110/S110-1</f>
        <v>-2.6560899150774087E-2</v>
      </c>
      <c r="U110" s="120"/>
      <c r="V110" s="37">
        <f>V101+V102</f>
        <v>18818.607145000002</v>
      </c>
      <c r="W110" s="37">
        <v>19333.570428000006</v>
      </c>
      <c r="X110" s="893">
        <f>V110/W110-1</f>
        <v>-2.6635705231880191E-2</v>
      </c>
      <c r="Y110" s="120"/>
      <c r="Z110" s="37">
        <f>Z101+Z102</f>
        <v>18818.607145000002</v>
      </c>
      <c r="AA110" s="37">
        <v>17216.945125800004</v>
      </c>
      <c r="AB110" s="893">
        <f>Z110/AA110-1</f>
        <v>9.3028235119357428E-2</v>
      </c>
      <c r="AC110" s="391"/>
      <c r="AD110" s="391" t="s">
        <v>918</v>
      </c>
      <c r="AF110" s="109"/>
      <c r="AG110" s="37">
        <f>AG101+AG102</f>
        <v>3642</v>
      </c>
      <c r="AH110" s="37">
        <v>3642</v>
      </c>
      <c r="AI110" s="893">
        <f>AG110/AH110-1</f>
        <v>0</v>
      </c>
      <c r="AK110" s="37">
        <f>AK101+AK102</f>
        <v>4480</v>
      </c>
      <c r="AL110" s="37">
        <v>4391</v>
      </c>
      <c r="AM110" s="893">
        <f>AK110/AL110-1</f>
        <v>2.026873149624242E-2</v>
      </c>
      <c r="AO110" s="37">
        <f>AO101+AO102</f>
        <v>3999</v>
      </c>
      <c r="AP110" s="37">
        <v>3906</v>
      </c>
      <c r="AQ110" s="893">
        <f>AO110/AP110-1</f>
        <v>2.3809523809523725E-2</v>
      </c>
      <c r="AS110" s="37">
        <f>AS101+AS102</f>
        <v>3721</v>
      </c>
      <c r="AT110" s="37">
        <v>3634</v>
      </c>
      <c r="AU110" s="893">
        <f>AS110/AT110-1</f>
        <v>2.3940561364887092E-2</v>
      </c>
      <c r="AW110" s="37">
        <f>AW101+AW102</f>
        <v>3030</v>
      </c>
      <c r="AX110" s="37">
        <v>2943</v>
      </c>
      <c r="AY110" s="893">
        <f>AW110/AX110-1</f>
        <v>2.9561671763506547E-2</v>
      </c>
      <c r="BA110" s="37">
        <f>BA101+BA102</f>
        <v>16443</v>
      </c>
      <c r="BB110" s="37">
        <v>16443</v>
      </c>
      <c r="BC110" s="893">
        <f>BA110/BB110-1</f>
        <v>0</v>
      </c>
      <c r="BE110" s="37">
        <f>BE101+BE102</f>
        <v>4311.67</v>
      </c>
      <c r="BF110" s="37">
        <v>4211.5700000000006</v>
      </c>
      <c r="BG110" s="893">
        <f>BE110/BF110-1</f>
        <v>2.3767858542063758E-2</v>
      </c>
      <c r="BI110" s="37">
        <f>BI101+BI102</f>
        <v>3987.28</v>
      </c>
      <c r="BJ110" s="37">
        <v>3894.4400000000005</v>
      </c>
      <c r="BK110" s="893">
        <f>BI110/BJ110-1</f>
        <v>2.3839114224381452E-2</v>
      </c>
      <c r="BM110" s="37">
        <f>BM101+BM102</f>
        <v>3340.44</v>
      </c>
      <c r="BN110" s="37">
        <v>3242.04</v>
      </c>
      <c r="BO110" s="893">
        <f>BM110/BN110-1</f>
        <v>3.0351260317577955E-2</v>
      </c>
    </row>
    <row r="111" spans="2:67" s="15" customFormat="1" x14ac:dyDescent="0.2">
      <c r="B111" s="391"/>
      <c r="D111" s="391"/>
      <c r="E111" s="120"/>
      <c r="H111" s="893"/>
      <c r="I111" s="120"/>
      <c r="L111" s="893"/>
      <c r="M111" s="120"/>
      <c r="P111" s="893"/>
      <c r="Q111" s="120"/>
      <c r="T111" s="893"/>
      <c r="U111" s="120"/>
      <c r="X111" s="893"/>
      <c r="Y111" s="120"/>
      <c r="AB111" s="893"/>
      <c r="AC111" s="391"/>
      <c r="AD111" s="391"/>
      <c r="AF111" s="109"/>
      <c r="AI111" s="893"/>
      <c r="AM111" s="893"/>
      <c r="AQ111" s="893"/>
      <c r="AU111" s="893"/>
      <c r="AY111" s="893"/>
      <c r="BC111" s="893"/>
      <c r="BG111" s="893"/>
      <c r="BK111" s="893"/>
      <c r="BO111" s="893"/>
    </row>
    <row r="112" spans="2:67" s="15" customFormat="1" x14ac:dyDescent="0.2">
      <c r="B112" s="391" t="s">
        <v>919</v>
      </c>
      <c r="E112" s="120"/>
      <c r="F112" s="37">
        <f>F101</f>
        <v>12853</v>
      </c>
      <c r="G112" s="37">
        <v>12853</v>
      </c>
      <c r="H112" s="893">
        <f>F112/G112-1</f>
        <v>0</v>
      </c>
      <c r="I112" s="120"/>
      <c r="J112" s="37">
        <f>J101</f>
        <v>12351</v>
      </c>
      <c r="K112" s="37">
        <v>12079.6</v>
      </c>
      <c r="L112" s="893">
        <f>J112/K112-1</f>
        <v>2.2467631378522368E-2</v>
      </c>
      <c r="M112" s="120"/>
      <c r="N112" s="37">
        <f>N101</f>
        <v>12784.84</v>
      </c>
      <c r="O112" s="37">
        <v>13332.59</v>
      </c>
      <c r="P112" s="893">
        <f>N112/O112-1</f>
        <v>-4.1083540407377717E-2</v>
      </c>
      <c r="Q112" s="120"/>
      <c r="R112" s="37">
        <f>R101</f>
        <v>14131.684000000001</v>
      </c>
      <c r="S112" s="37">
        <v>14665.849000000002</v>
      </c>
      <c r="T112" s="893">
        <f>R112/S112-1</f>
        <v>-3.6422371456299674E-2</v>
      </c>
      <c r="U112" s="120"/>
      <c r="V112" s="37">
        <f>V101</f>
        <v>15262.218720000003</v>
      </c>
      <c r="W112" s="37">
        <v>15839.116920000004</v>
      </c>
      <c r="X112" s="893">
        <f>V112/W112-1</f>
        <v>-3.6422371456299674E-2</v>
      </c>
      <c r="Y112" s="120"/>
      <c r="Z112" s="37">
        <f>Z101</f>
        <v>15262.218720000003</v>
      </c>
      <c r="AA112" s="37">
        <v>13891.341025800002</v>
      </c>
      <c r="AB112" s="893">
        <f>Z112/AA112-1</f>
        <v>9.8685770628905267E-2</v>
      </c>
      <c r="AD112" s="391" t="s">
        <v>919</v>
      </c>
      <c r="AF112" s="109"/>
      <c r="AG112" s="37">
        <f>AG101</f>
        <v>2957</v>
      </c>
      <c r="AH112" s="37">
        <v>2957</v>
      </c>
      <c r="AI112" s="893">
        <f>AG112/AH112-1</f>
        <v>0</v>
      </c>
      <c r="AK112" s="37">
        <f>AK101</f>
        <v>3678</v>
      </c>
      <c r="AL112" s="37">
        <v>3622</v>
      </c>
      <c r="AM112" s="893">
        <f>AK112/AL112-1</f>
        <v>1.5461071231363865E-2</v>
      </c>
      <c r="AO112" s="37">
        <f>AO101</f>
        <v>3274</v>
      </c>
      <c r="AP112" s="37">
        <v>3215</v>
      </c>
      <c r="AQ112" s="893">
        <f>AO112/AP112-1</f>
        <v>1.8351477449455755E-2</v>
      </c>
      <c r="AS112" s="37">
        <f>AS101</f>
        <v>2936</v>
      </c>
      <c r="AT112" s="37">
        <v>2877</v>
      </c>
      <c r="AU112" s="893">
        <f>AS112/AT112-1</f>
        <v>2.0507473062217674E-2</v>
      </c>
      <c r="AW112" s="37">
        <f>AW101</f>
        <v>2463</v>
      </c>
      <c r="AX112" s="37">
        <v>2413</v>
      </c>
      <c r="AY112" s="893">
        <f>AW112/AX112-1</f>
        <v>2.0721094073766988E-2</v>
      </c>
      <c r="BA112" s="37">
        <f>BA101</f>
        <v>13538</v>
      </c>
      <c r="BB112" s="37">
        <v>13538</v>
      </c>
      <c r="BC112" s="893">
        <f>BA112/BB112-1</f>
        <v>0</v>
      </c>
      <c r="BE112" s="37">
        <f>BE101</f>
        <v>3535.92</v>
      </c>
      <c r="BF112" s="37">
        <v>3472.2000000000003</v>
      </c>
      <c r="BG112" s="893">
        <f>BE112/BF112-1</f>
        <v>1.8351477449455533E-2</v>
      </c>
      <c r="BI112" s="37">
        <f>BI101</f>
        <v>3170.88</v>
      </c>
      <c r="BJ112" s="37">
        <v>3107.1600000000003</v>
      </c>
      <c r="BK112" s="893">
        <f>BI112/BJ112-1</f>
        <v>2.0507473062217452E-2</v>
      </c>
      <c r="BM112" s="37">
        <f>BM101</f>
        <v>2660.04</v>
      </c>
      <c r="BN112" s="37">
        <v>2606.04</v>
      </c>
      <c r="BO112" s="893">
        <f>BM112/BN112-1</f>
        <v>2.0721094073766988E-2</v>
      </c>
    </row>
    <row r="113" spans="2:67" s="15" customFormat="1" x14ac:dyDescent="0.2">
      <c r="B113" s="391" t="s">
        <v>920</v>
      </c>
      <c r="E113" s="120"/>
      <c r="F113" s="42">
        <f>F102</f>
        <v>2812</v>
      </c>
      <c r="G113" s="42">
        <v>2812</v>
      </c>
      <c r="H113" s="1696">
        <f>F113/G113-1</f>
        <v>0</v>
      </c>
      <c r="I113" s="120"/>
      <c r="J113" s="42">
        <f>J102</f>
        <v>2879</v>
      </c>
      <c r="K113" s="42">
        <v>2833.5</v>
      </c>
      <c r="L113" s="1696">
        <f>J113/K113-1</f>
        <v>1.6057878948297244E-2</v>
      </c>
      <c r="M113" s="120"/>
      <c r="N113" s="42">
        <f>N102</f>
        <v>3375.55</v>
      </c>
      <c r="O113" s="42">
        <v>3023.9300000000003</v>
      </c>
      <c r="P113" s="1696">
        <f>N113/O113-1</f>
        <v>0.11627914667336881</v>
      </c>
      <c r="Q113" s="120"/>
      <c r="R113" s="42">
        <f>R102</f>
        <v>3323.7275</v>
      </c>
      <c r="S113" s="42">
        <v>3265.8444000000004</v>
      </c>
      <c r="T113" s="1696">
        <f>R113/S113-1</f>
        <v>1.77237776545629E-2</v>
      </c>
      <c r="U113" s="120"/>
      <c r="V113" s="42">
        <f>V102</f>
        <v>3556.3884250000001</v>
      </c>
      <c r="W113" s="42">
        <v>3494.4535080000005</v>
      </c>
      <c r="X113" s="1696">
        <f>V113/W113-1</f>
        <v>1.77237776545629E-2</v>
      </c>
      <c r="Y113" s="120"/>
      <c r="Z113" s="42">
        <f>Z102</f>
        <v>3556.3884250000001</v>
      </c>
      <c r="AA113" s="42">
        <v>3325.6041000000005</v>
      </c>
      <c r="AB113" s="1696">
        <f>Z113/AA113-1</f>
        <v>6.9396211352998893E-2</v>
      </c>
      <c r="AD113" s="391" t="s">
        <v>920</v>
      </c>
      <c r="AF113" s="109"/>
      <c r="AG113" s="42">
        <f>AG102</f>
        <v>685</v>
      </c>
      <c r="AH113" s="42">
        <v>685</v>
      </c>
      <c r="AI113" s="1696">
        <f>AG113/AH113-1</f>
        <v>0</v>
      </c>
      <c r="AK113" s="42">
        <f>AK102</f>
        <v>802</v>
      </c>
      <c r="AL113" s="42">
        <v>769</v>
      </c>
      <c r="AM113" s="1696">
        <f>AK113/AL113-1</f>
        <v>4.2912873862158696E-2</v>
      </c>
      <c r="AO113" s="42">
        <f>AO102</f>
        <v>725</v>
      </c>
      <c r="AP113" s="42">
        <v>691</v>
      </c>
      <c r="AQ113" s="1696">
        <f>AO113/AP113-1</f>
        <v>4.9204052098408058E-2</v>
      </c>
      <c r="AS113" s="42">
        <f>AS102</f>
        <v>785</v>
      </c>
      <c r="AT113" s="42">
        <v>757</v>
      </c>
      <c r="AU113" s="1696">
        <f>AS113/AT113-1</f>
        <v>3.6988110964332854E-2</v>
      </c>
      <c r="AW113" s="42">
        <f>AW102</f>
        <v>567</v>
      </c>
      <c r="AX113" s="42">
        <v>530</v>
      </c>
      <c r="AY113" s="1696">
        <f>AW113/AX113-1</f>
        <v>6.9811320754717077E-2</v>
      </c>
      <c r="BA113" s="42">
        <f>BA102</f>
        <v>2905</v>
      </c>
      <c r="BB113" s="42">
        <v>2905</v>
      </c>
      <c r="BC113" s="1696">
        <f>BA113/BB113-1</f>
        <v>0</v>
      </c>
      <c r="BE113" s="42">
        <f>BE102</f>
        <v>775.75</v>
      </c>
      <c r="BF113" s="42">
        <v>739.37</v>
      </c>
      <c r="BG113" s="1696">
        <f>BE113/BF113-1</f>
        <v>4.9204052098408058E-2</v>
      </c>
      <c r="BI113" s="42">
        <f>BI102</f>
        <v>816.4</v>
      </c>
      <c r="BJ113" s="42">
        <v>787.28</v>
      </c>
      <c r="BK113" s="1696">
        <f>BI113/BJ113-1</f>
        <v>3.6988110964332854E-2</v>
      </c>
      <c r="BM113" s="42">
        <f>BM102</f>
        <v>680.4</v>
      </c>
      <c r="BN113" s="42">
        <v>636</v>
      </c>
      <c r="BO113" s="1696">
        <f>BM113/BN113-1</f>
        <v>6.9811320754716855E-2</v>
      </c>
    </row>
    <row r="114" spans="2:67" s="15" customFormat="1" x14ac:dyDescent="0.2">
      <c r="B114" s="391" t="s">
        <v>921</v>
      </c>
      <c r="E114" s="120"/>
      <c r="F114" s="37">
        <f>SUM(F112:F113)</f>
        <v>15665</v>
      </c>
      <c r="G114" s="37">
        <v>15665</v>
      </c>
      <c r="H114" s="893">
        <f>F114/G114-1</f>
        <v>0</v>
      </c>
      <c r="I114" s="120"/>
      <c r="J114" s="37">
        <f>SUM(J112:J113)</f>
        <v>15230</v>
      </c>
      <c r="K114" s="37">
        <v>14913.1</v>
      </c>
      <c r="L114" s="893">
        <f>J114/K114-1</f>
        <v>2.124977368890435E-2</v>
      </c>
      <c r="M114" s="120"/>
      <c r="N114" s="37">
        <f>SUM(N112:N113)</f>
        <v>16160.39</v>
      </c>
      <c r="O114" s="37">
        <v>16356.52</v>
      </c>
      <c r="P114" s="893">
        <f>N114/O114-1</f>
        <v>-1.1990936947468112E-2</v>
      </c>
      <c r="Q114" s="120"/>
      <c r="R114" s="37">
        <f>SUM(R112:R113)</f>
        <v>17455.411500000002</v>
      </c>
      <c r="S114" s="37">
        <v>17931.693400000004</v>
      </c>
      <c r="T114" s="893">
        <f>R114/S114-1</f>
        <v>-2.6560899150774087E-2</v>
      </c>
      <c r="U114" s="120"/>
      <c r="V114" s="37">
        <f>SUM(V112:V113)</f>
        <v>18818.607145000002</v>
      </c>
      <c r="W114" s="37">
        <v>19333.570428000006</v>
      </c>
      <c r="X114" s="893">
        <f>V114/W114-1</f>
        <v>-2.6635705231880191E-2</v>
      </c>
      <c r="Y114" s="120"/>
      <c r="Z114" s="37">
        <f>SUM(Z112:Z113)</f>
        <v>18818.607145000002</v>
      </c>
      <c r="AA114" s="37">
        <v>17216.945125800004</v>
      </c>
      <c r="AB114" s="893">
        <f>Z114/AA114-1</f>
        <v>9.3028235119357428E-2</v>
      </c>
      <c r="AD114" s="391" t="s">
        <v>921</v>
      </c>
      <c r="AF114" s="109"/>
      <c r="AG114" s="37">
        <f>SUM(AG112:AG113)</f>
        <v>3642</v>
      </c>
      <c r="AH114" s="37">
        <v>3642</v>
      </c>
      <c r="AI114" s="893">
        <f>AG114/AH114-1</f>
        <v>0</v>
      </c>
      <c r="AK114" s="37">
        <f>SUM(AK112:AK113)</f>
        <v>4480</v>
      </c>
      <c r="AL114" s="37">
        <v>4391</v>
      </c>
      <c r="AM114" s="893">
        <f>AK114/AL114-1</f>
        <v>2.026873149624242E-2</v>
      </c>
      <c r="AO114" s="37">
        <f>SUM(AO112:AO113)</f>
        <v>3999</v>
      </c>
      <c r="AP114" s="37">
        <v>3906</v>
      </c>
      <c r="AQ114" s="893">
        <f>AO114/AP114-1</f>
        <v>2.3809523809523725E-2</v>
      </c>
      <c r="AS114" s="37">
        <f>SUM(AS112:AS113)</f>
        <v>3721</v>
      </c>
      <c r="AT114" s="37">
        <v>3634</v>
      </c>
      <c r="AU114" s="893">
        <f>AS114/AT114-1</f>
        <v>2.3940561364887092E-2</v>
      </c>
      <c r="AW114" s="37">
        <f>SUM(AW112:AW113)</f>
        <v>3030</v>
      </c>
      <c r="AX114" s="37">
        <v>2943</v>
      </c>
      <c r="AY114" s="893">
        <f>AW114/AX114-1</f>
        <v>2.9561671763506547E-2</v>
      </c>
      <c r="BA114" s="37">
        <f>SUM(BA112:BA113)</f>
        <v>16443</v>
      </c>
      <c r="BB114" s="37">
        <v>16443</v>
      </c>
      <c r="BC114" s="893">
        <f>BA114/BB114-1</f>
        <v>0</v>
      </c>
      <c r="BE114" s="37">
        <f>SUM(BE112:BE113)</f>
        <v>4311.67</v>
      </c>
      <c r="BF114" s="37">
        <v>4211.5700000000006</v>
      </c>
      <c r="BG114" s="893">
        <f>BE114/BF114-1</f>
        <v>2.3767858542063758E-2</v>
      </c>
      <c r="BI114" s="37">
        <f>SUM(BI112:BI113)</f>
        <v>3987.28</v>
      </c>
      <c r="BJ114" s="37">
        <v>3894.4400000000005</v>
      </c>
      <c r="BK114" s="893">
        <f>BI114/BJ114-1</f>
        <v>2.3839114224381452E-2</v>
      </c>
      <c r="BM114" s="37">
        <f>SUM(BM112:BM113)</f>
        <v>3340.44</v>
      </c>
      <c r="BN114" s="37">
        <v>3242.04</v>
      </c>
      <c r="BO114" s="893">
        <f>BM114/BN114-1</f>
        <v>3.0351260317577955E-2</v>
      </c>
    </row>
    <row r="115" spans="2:67" x14ac:dyDescent="0.2">
      <c r="B115" s="238"/>
      <c r="E115" s="120"/>
      <c r="F115" s="895"/>
      <c r="G115" s="895"/>
      <c r="H115" s="867"/>
      <c r="I115" s="120"/>
      <c r="J115" s="895"/>
      <c r="L115" s="867"/>
      <c r="M115" s="120"/>
      <c r="P115" s="867"/>
      <c r="Q115" s="120"/>
      <c r="T115" s="867"/>
      <c r="U115" s="120"/>
      <c r="X115" s="867"/>
      <c r="Y115" s="120"/>
      <c r="AB115" s="867"/>
      <c r="AD115" s="238"/>
      <c r="AI115" s="867"/>
      <c r="AM115" s="867"/>
      <c r="AQ115" s="867"/>
      <c r="AU115" s="867"/>
      <c r="AY115" s="867"/>
      <c r="BC115" s="867"/>
      <c r="BG115" s="867"/>
      <c r="BK115" s="867"/>
      <c r="BO115" s="867"/>
    </row>
    <row r="116" spans="2:67" x14ac:dyDescent="0.2">
      <c r="B116" s="238" t="s">
        <v>922</v>
      </c>
      <c r="E116" s="120"/>
      <c r="F116" s="885">
        <v>0</v>
      </c>
      <c r="G116" s="895">
        <v>0</v>
      </c>
      <c r="H116" s="867" t="str">
        <f>IF(ISERROR(F116/G116-1),"NA",F116/G116-1)</f>
        <v>NA</v>
      </c>
      <c r="I116" s="120"/>
      <c r="J116" s="885">
        <v>0</v>
      </c>
      <c r="K116" s="885">
        <v>0</v>
      </c>
      <c r="L116" s="896" t="str">
        <f>IF(ISERROR(J116/K116-1),"NA",J116/K116-1)</f>
        <v>NA</v>
      </c>
      <c r="M116" s="120"/>
      <c r="N116" s="885">
        <v>0</v>
      </c>
      <c r="O116" s="885">
        <v>0</v>
      </c>
      <c r="P116" s="896" t="str">
        <f>IF(ISERROR(N116/O116-1),"NA",N116/O116-1)</f>
        <v>NA</v>
      </c>
      <c r="Q116" s="120"/>
      <c r="R116" s="885"/>
      <c r="S116" s="885"/>
      <c r="T116" s="896"/>
      <c r="U116" s="120"/>
      <c r="V116" s="885"/>
      <c r="W116" s="885"/>
      <c r="X116" s="896"/>
      <c r="Y116" s="120"/>
      <c r="Z116" s="885"/>
      <c r="AA116" s="885"/>
      <c r="AB116" s="896"/>
      <c r="AD116" s="238" t="s">
        <v>922</v>
      </c>
      <c r="AG116" s="885">
        <v>0</v>
      </c>
      <c r="AH116" s="895">
        <v>0</v>
      </c>
      <c r="AI116" s="896" t="str">
        <f>IF(ISERROR(AG116/AH116-1),"NA",AG116/AH116-1)</f>
        <v>NA</v>
      </c>
      <c r="AK116" s="885">
        <v>0</v>
      </c>
      <c r="AL116" s="885">
        <v>0</v>
      </c>
      <c r="AM116" s="896" t="str">
        <f>IF(ISERROR(AK116/AL116-1),"NA",AK116/AL116-1)</f>
        <v>NA</v>
      </c>
      <c r="AO116" s="885">
        <v>0</v>
      </c>
      <c r="AP116" s="885">
        <v>0</v>
      </c>
      <c r="AQ116" s="896" t="str">
        <f>IF(ISERROR(AO116/AP116-1),"NA",AO116/AP116-1)</f>
        <v>NA</v>
      </c>
      <c r="AS116" s="885">
        <v>0</v>
      </c>
      <c r="AT116" s="885">
        <v>0</v>
      </c>
      <c r="AU116" s="896" t="str">
        <f>IF(ISERROR(AS116/AT116-1),"NA",AS116/AT116-1)</f>
        <v>NA</v>
      </c>
      <c r="AW116" s="885">
        <v>0</v>
      </c>
      <c r="AX116" s="885">
        <v>0</v>
      </c>
      <c r="AY116" s="896" t="str">
        <f>IF(ISERROR(AW116/AX116-1),"NA",AW116/AX116-1)</f>
        <v>NA</v>
      </c>
      <c r="BA116" s="885">
        <v>0</v>
      </c>
      <c r="BB116" s="885">
        <v>0</v>
      </c>
      <c r="BC116" s="896" t="str">
        <f>IF(ISERROR(BA116/BB116-1),"NA",BA116/BB116-1)</f>
        <v>NA</v>
      </c>
      <c r="BE116" s="885">
        <v>0</v>
      </c>
      <c r="BF116" s="885">
        <v>0</v>
      </c>
      <c r="BG116" s="896" t="str">
        <f>IF(ISERROR(BE116/BF116-1),"NA",BE116/BF116-1)</f>
        <v>NA</v>
      </c>
      <c r="BI116" s="885">
        <v>0</v>
      </c>
      <c r="BJ116" s="885">
        <v>0</v>
      </c>
      <c r="BK116" s="896" t="str">
        <f>IF(ISERROR(BI116/BJ116-1),"NA",BI116/BJ116-1)</f>
        <v>NA</v>
      </c>
      <c r="BM116" s="885">
        <v>0</v>
      </c>
      <c r="BN116" s="885">
        <v>0</v>
      </c>
      <c r="BO116" s="896" t="str">
        <f>IF(ISERROR(BM116/BN116-1),"NA",BM116/BN116-1)</f>
        <v>NA</v>
      </c>
    </row>
    <row r="117" spans="2:67" x14ac:dyDescent="0.2">
      <c r="B117" s="238" t="s">
        <v>923</v>
      </c>
      <c r="F117" s="885">
        <v>0</v>
      </c>
      <c r="G117" s="895">
        <v>0</v>
      </c>
      <c r="H117" s="867" t="str">
        <f>IF(ISERROR(F117/G117-1),"NA",F117/G117-1)</f>
        <v>NA</v>
      </c>
      <c r="J117" s="885">
        <v>0</v>
      </c>
      <c r="K117" s="885">
        <v>0</v>
      </c>
      <c r="L117" s="896" t="str">
        <f>IF(ISERROR(J117/K117-1),"NA",J117/K117-1)</f>
        <v>NA</v>
      </c>
      <c r="N117" s="885">
        <v>0</v>
      </c>
      <c r="O117" s="885">
        <v>0</v>
      </c>
      <c r="P117" s="896" t="str">
        <f>IF(ISERROR(N117/O117-1),"NA",N117/O117-1)</f>
        <v>NA</v>
      </c>
      <c r="R117" s="885"/>
      <c r="S117" s="885"/>
      <c r="T117" s="896"/>
      <c r="V117" s="885"/>
      <c r="W117" s="885"/>
      <c r="X117" s="896"/>
      <c r="Z117" s="885"/>
      <c r="AA117" s="885"/>
      <c r="AB117" s="896"/>
      <c r="AD117" s="238" t="s">
        <v>923</v>
      </c>
      <c r="AG117" s="885">
        <v>0</v>
      </c>
      <c r="AH117" s="895">
        <v>0</v>
      </c>
      <c r="AI117" s="896" t="str">
        <f>IF(ISERROR(AG117/AH117-1),"NA",AG117/AH117-1)</f>
        <v>NA</v>
      </c>
      <c r="AK117" s="885">
        <v>0</v>
      </c>
      <c r="AL117" s="885">
        <v>0</v>
      </c>
      <c r="AM117" s="896" t="str">
        <f>IF(ISERROR(AK117/AL117-1),"NA",AK117/AL117-1)</f>
        <v>NA</v>
      </c>
      <c r="AO117" s="885">
        <v>0</v>
      </c>
      <c r="AP117" s="885">
        <v>0</v>
      </c>
      <c r="AQ117" s="896" t="str">
        <f>IF(ISERROR(AO117/AP117-1),"NA",AO117/AP117-1)</f>
        <v>NA</v>
      </c>
      <c r="AS117" s="885">
        <v>0</v>
      </c>
      <c r="AT117" s="885">
        <v>0</v>
      </c>
      <c r="AU117" s="896" t="str">
        <f>IF(ISERROR(AS117/AT117-1),"NA",AS117/AT117-1)</f>
        <v>NA</v>
      </c>
      <c r="AW117" s="885">
        <v>0</v>
      </c>
      <c r="AX117" s="885">
        <v>0</v>
      </c>
      <c r="AY117" s="896" t="str">
        <f>IF(ISERROR(AW117/AX117-1),"NA",AW117/AX117-1)</f>
        <v>NA</v>
      </c>
      <c r="BA117" s="885">
        <v>0</v>
      </c>
      <c r="BB117" s="885">
        <v>0</v>
      </c>
      <c r="BC117" s="896" t="str">
        <f>IF(ISERROR(BA117/BB117-1),"NA",BA117/BB117-1)</f>
        <v>NA</v>
      </c>
      <c r="BE117" s="885">
        <v>0</v>
      </c>
      <c r="BF117" s="885">
        <v>0</v>
      </c>
      <c r="BG117" s="896" t="str">
        <f>IF(ISERROR(BE117/BF117-1),"NA",BE117/BF117-1)</f>
        <v>NA</v>
      </c>
      <c r="BI117" s="885">
        <v>0</v>
      </c>
      <c r="BJ117" s="885">
        <v>0</v>
      </c>
      <c r="BK117" s="896" t="str">
        <f>IF(ISERROR(BI117/BJ117-1),"NA",BI117/BJ117-1)</f>
        <v>NA</v>
      </c>
      <c r="BM117" s="885">
        <v>0</v>
      </c>
      <c r="BN117" s="885">
        <v>0</v>
      </c>
      <c r="BO117" s="896" t="str">
        <f>IF(ISERROR(BM117/BN117-1),"NA",BM117/BN117-1)</f>
        <v>NA</v>
      </c>
    </row>
    <row r="118" spans="2:67" x14ac:dyDescent="0.2">
      <c r="B118" s="238" t="s">
        <v>924</v>
      </c>
      <c r="F118" s="885">
        <f>F22+F117</f>
        <v>4.74</v>
      </c>
      <c r="G118" s="895">
        <v>4.74</v>
      </c>
      <c r="H118" s="867">
        <f>F118/G118-1</f>
        <v>0</v>
      </c>
      <c r="J118" s="885">
        <f>J22+J117</f>
        <v>5.38</v>
      </c>
      <c r="K118" s="885">
        <v>5.22</v>
      </c>
      <c r="L118" s="867">
        <f>J118/K118-1</f>
        <v>3.0651340996168619E-2</v>
      </c>
      <c r="N118" s="885">
        <f>N22+N117</f>
        <v>6.65</v>
      </c>
      <c r="O118" s="885">
        <v>6.46</v>
      </c>
      <c r="P118" s="867">
        <f>N118/O118-1</f>
        <v>2.941176470588247E-2</v>
      </c>
      <c r="R118" s="885"/>
      <c r="S118" s="885"/>
      <c r="T118" s="867"/>
      <c r="V118" s="885"/>
      <c r="W118" s="885"/>
      <c r="X118" s="867"/>
      <c r="Z118" s="885"/>
      <c r="AA118" s="885"/>
      <c r="AB118" s="867"/>
      <c r="AD118" s="238" t="s">
        <v>924</v>
      </c>
      <c r="AG118" s="885">
        <f>AG22+AG117</f>
        <v>1.1399999999999999</v>
      </c>
      <c r="AH118" s="895">
        <v>1.1399999999999999</v>
      </c>
      <c r="AI118" s="867">
        <f>AG118/AH118-1</f>
        <v>0</v>
      </c>
      <c r="AK118" s="885">
        <f>AK22+AK117</f>
        <v>1.36</v>
      </c>
      <c r="AL118" s="885">
        <v>1.36</v>
      </c>
      <c r="AM118" s="867">
        <f>AK118/AL118-1</f>
        <v>0</v>
      </c>
      <c r="AO118" s="885">
        <f>AO22+AO117</f>
        <v>1.27</v>
      </c>
      <c r="AP118" s="885">
        <v>1.27</v>
      </c>
      <c r="AQ118" s="867">
        <f>AO118/AP118-1</f>
        <v>0</v>
      </c>
      <c r="AS118" s="885">
        <f>AS22+AS117</f>
        <v>1.42</v>
      </c>
      <c r="AT118" s="885">
        <v>1.42</v>
      </c>
      <c r="AU118" s="867">
        <f>AS118/AT118-1</f>
        <v>0</v>
      </c>
      <c r="AW118" s="885">
        <f>AW22+AW117</f>
        <v>1.33</v>
      </c>
      <c r="AX118" s="885">
        <v>1.33</v>
      </c>
      <c r="AY118" s="867">
        <f>AW118/AX118-1</f>
        <v>0</v>
      </c>
      <c r="BA118" s="885">
        <f>BA22+BA117</f>
        <v>1.68</v>
      </c>
      <c r="BB118" s="885">
        <v>1.61</v>
      </c>
      <c r="BC118" s="867">
        <f>BA118/BB118-1</f>
        <v>4.3478260869565188E-2</v>
      </c>
      <c r="BE118" s="885">
        <f>BE22+BE117</f>
        <v>1.61</v>
      </c>
      <c r="BF118" s="885">
        <v>1.62</v>
      </c>
      <c r="BG118" s="867">
        <f>BE118/BF118-1</f>
        <v>-6.1728395061728669E-3</v>
      </c>
      <c r="BI118" s="885">
        <f>BI22+BI117</f>
        <v>1.7</v>
      </c>
      <c r="BJ118" s="885">
        <v>1.65</v>
      </c>
      <c r="BK118" s="867">
        <f>BI118/BJ118-1</f>
        <v>3.0303030303030276E-2</v>
      </c>
      <c r="BM118" s="885">
        <f>BM22+BM117</f>
        <v>1.65</v>
      </c>
      <c r="BN118" s="885">
        <v>1.58</v>
      </c>
      <c r="BO118" s="867">
        <f>BM118/BN118-1</f>
        <v>4.4303797468354222E-2</v>
      </c>
    </row>
    <row r="119" spans="2:67" x14ac:dyDescent="0.2">
      <c r="B119" s="238"/>
      <c r="D119" s="238"/>
      <c r="F119" s="238"/>
      <c r="G119" s="238"/>
      <c r="H119" s="884"/>
      <c r="J119" s="238"/>
      <c r="K119" s="238"/>
      <c r="L119" s="884"/>
      <c r="N119" s="238"/>
      <c r="O119" s="238"/>
      <c r="P119" s="884"/>
      <c r="R119" s="238"/>
      <c r="S119" s="238"/>
      <c r="T119" s="884"/>
      <c r="V119" s="238"/>
      <c r="W119" s="238"/>
      <c r="X119" s="884"/>
      <c r="Z119" s="238"/>
      <c r="AA119" s="238"/>
      <c r="AB119" s="884"/>
      <c r="AC119" s="238"/>
      <c r="AD119" s="238"/>
      <c r="AG119" s="238"/>
      <c r="AH119" s="238"/>
      <c r="AI119" s="884"/>
      <c r="AK119" s="238"/>
      <c r="AL119" s="238"/>
      <c r="AM119" s="884"/>
      <c r="AO119" s="238"/>
      <c r="AP119" s="238"/>
      <c r="AQ119" s="884"/>
      <c r="AS119" s="238"/>
      <c r="AT119" s="238"/>
      <c r="AU119" s="884"/>
      <c r="AW119" s="238"/>
      <c r="AX119" s="238"/>
      <c r="AY119" s="884"/>
      <c r="BA119" s="238"/>
      <c r="BB119" s="238"/>
      <c r="BC119" s="884"/>
      <c r="BE119" s="238"/>
      <c r="BF119" s="238"/>
      <c r="BG119" s="884"/>
      <c r="BI119" s="238"/>
      <c r="BJ119" s="238"/>
      <c r="BK119" s="884"/>
      <c r="BM119" s="238"/>
      <c r="BN119" s="238"/>
      <c r="BO119" s="884"/>
    </row>
    <row r="120" spans="2:67" x14ac:dyDescent="0.2">
      <c r="B120" s="59" t="s">
        <v>925</v>
      </c>
      <c r="D120" s="238"/>
      <c r="F120" s="238"/>
      <c r="G120" s="238"/>
      <c r="H120" s="884"/>
      <c r="J120" s="238"/>
      <c r="K120" s="238"/>
      <c r="L120" s="884"/>
      <c r="N120" s="238"/>
      <c r="O120" s="238"/>
      <c r="P120" s="884"/>
      <c r="R120" s="238"/>
      <c r="S120" s="238"/>
      <c r="T120" s="884"/>
      <c r="V120" s="238"/>
      <c r="W120" s="238"/>
      <c r="X120" s="884"/>
      <c r="Z120" s="238"/>
      <c r="AA120" s="238"/>
      <c r="AB120" s="884"/>
      <c r="AC120" s="238"/>
      <c r="AD120" s="59" t="s">
        <v>925</v>
      </c>
      <c r="AG120" s="238"/>
      <c r="AH120" s="238"/>
      <c r="AI120" s="884"/>
      <c r="AK120" s="238"/>
      <c r="AL120" s="238"/>
      <c r="AM120" s="884"/>
      <c r="AO120" s="238"/>
      <c r="AP120" s="238"/>
      <c r="AQ120" s="884"/>
      <c r="AS120" s="238"/>
      <c r="AT120" s="238"/>
      <c r="AU120" s="884"/>
      <c r="AW120" s="238"/>
      <c r="AX120" s="238"/>
      <c r="AY120" s="884"/>
      <c r="BA120" s="238"/>
      <c r="BB120" s="238"/>
      <c r="BC120" s="884"/>
      <c r="BE120" s="238"/>
      <c r="BF120" s="238"/>
      <c r="BG120" s="884"/>
      <c r="BI120" s="238"/>
      <c r="BJ120" s="238"/>
      <c r="BK120" s="884"/>
      <c r="BM120" s="238"/>
      <c r="BN120" s="238"/>
      <c r="BO120" s="884"/>
    </row>
    <row r="121" spans="2:67" x14ac:dyDescent="0.2">
      <c r="B121" s="238" t="s">
        <v>12</v>
      </c>
      <c r="D121" s="238"/>
      <c r="F121" s="894">
        <f>Model!AY482/Model!AY470</f>
        <v>4.4777070063694264</v>
      </c>
      <c r="G121" s="894">
        <v>4.4777070063694264</v>
      </c>
      <c r="H121" s="894">
        <f>F121-G121</f>
        <v>0</v>
      </c>
      <c r="J121" s="894">
        <f>Model!AZ482/Model!AZ470</f>
        <v>2.568242640499554</v>
      </c>
      <c r="K121" s="894">
        <v>2.7034432781490052</v>
      </c>
      <c r="L121" s="894">
        <f>J121-K121</f>
        <v>-0.13520063764945123</v>
      </c>
      <c r="N121" s="894">
        <f>Model!BA482/Model!BA470</f>
        <v>4.017275454795409</v>
      </c>
      <c r="O121" s="894">
        <v>3.4441595117653576</v>
      </c>
      <c r="P121" s="894">
        <f>N121-O121</f>
        <v>0.57311594303005142</v>
      </c>
      <c r="R121" s="894">
        <f>Model!BB482/Model!BB470</f>
        <v>3.4776030206694699</v>
      </c>
      <c r="S121" s="894">
        <v>3.4170401606258256</v>
      </c>
      <c r="T121" s="894">
        <f>R121-S121</f>
        <v>6.0562860043644307E-2</v>
      </c>
      <c r="V121" s="894">
        <f>Model!BC482/Model!BC470</f>
        <v>3.2712397644978739</v>
      </c>
      <c r="W121" s="894">
        <v>2.9846799770364347</v>
      </c>
      <c r="X121" s="894">
        <f>V121-W121</f>
        <v>0.28655978746143917</v>
      </c>
      <c r="Z121" s="894">
        <f>Model!BC482/Model!BC470</f>
        <v>3.2712397644978739</v>
      </c>
      <c r="AA121" s="894">
        <v>3.3961373579699674</v>
      </c>
      <c r="AB121" s="894">
        <f>Z121-AA121</f>
        <v>-0.1248975934720935</v>
      </c>
      <c r="AC121" s="238"/>
      <c r="AD121" s="238" t="s">
        <v>12</v>
      </c>
      <c r="AG121" s="894">
        <f>Model!W482/Model!W470</f>
        <v>3.6052631578947367</v>
      </c>
      <c r="AH121" s="894">
        <v>3.6052631578947367</v>
      </c>
      <c r="AI121" s="894">
        <f>AG121-AH121</f>
        <v>0</v>
      </c>
      <c r="AK121" s="894">
        <f>Model!X482/Model!X470</f>
        <v>3.2080000000000002</v>
      </c>
      <c r="AL121" s="894">
        <v>3.2723404255319148</v>
      </c>
      <c r="AM121" s="894">
        <f>AK121-AL121</f>
        <v>-6.4340425531914658E-2</v>
      </c>
      <c r="AO121" s="894">
        <f>Model!Y482/Model!Y470</f>
        <v>2.3462783171521036</v>
      </c>
      <c r="AP121" s="894">
        <v>2.3423728813559324</v>
      </c>
      <c r="AQ121" s="894">
        <f>AO121-AP121</f>
        <v>3.9054357961711972E-3</v>
      </c>
      <c r="AS121" s="894">
        <f>Model!Z482/Model!Z470</f>
        <v>2.5241157556270095</v>
      </c>
      <c r="AT121" s="894">
        <v>2.6103448275862071</v>
      </c>
      <c r="AU121" s="894">
        <f>AS121-AT121</f>
        <v>-8.6229071959197601E-2</v>
      </c>
      <c r="AW121" s="894">
        <f>Model!AA482/Model!AA470</f>
        <v>2.258964143426295</v>
      </c>
      <c r="AX121" s="894">
        <v>2.2746781115879831</v>
      </c>
      <c r="AY121" s="894">
        <f>AW121-AX121</f>
        <v>-1.5713968161688019E-2</v>
      </c>
      <c r="BA121" s="894">
        <f>Model!AV482/Model!AV470</f>
        <v>2.7174929840972872</v>
      </c>
      <c r="BB121" s="894">
        <v>2.7174929840972872</v>
      </c>
      <c r="BC121" s="894">
        <f>BA121-BB121</f>
        <v>0</v>
      </c>
      <c r="BE121" s="894">
        <f>Model!AC482/Model!AC470</f>
        <v>3.7901564117135793</v>
      </c>
      <c r="BF121" s="894">
        <v>3.6124111455090802</v>
      </c>
      <c r="BG121" s="894">
        <f>BE121-BF121</f>
        <v>0.17774526620449915</v>
      </c>
      <c r="BI121" s="894">
        <f>Model!AD482/Model!AD470</f>
        <v>3.9887640277447192</v>
      </c>
      <c r="BJ121" s="894">
        <v>3.8464896420417229</v>
      </c>
      <c r="BK121" s="894">
        <f>BI121-BJ121</f>
        <v>0.14227438570299622</v>
      </c>
      <c r="BM121" s="894">
        <f>Model!AE482/Model!AE470</f>
        <v>3.1659959455886546</v>
      </c>
      <c r="BN121" s="894">
        <v>2.9593965628959205</v>
      </c>
      <c r="BO121" s="894">
        <f>BM121-BN121</f>
        <v>0.20659938269273415</v>
      </c>
    </row>
    <row r="122" spans="2:67" x14ac:dyDescent="0.2">
      <c r="B122" s="238" t="s">
        <v>926</v>
      </c>
      <c r="D122" s="238"/>
      <c r="F122" s="894">
        <f>Model!AY481/Model!AY471</f>
        <v>4.8066566940912487</v>
      </c>
      <c r="G122" s="894">
        <v>4.8066566940912487</v>
      </c>
      <c r="H122" s="894">
        <f>F122-G122</f>
        <v>0</v>
      </c>
      <c r="J122" s="894">
        <f>Model!AZ481/Model!AZ471</f>
        <v>3.9510556621880997</v>
      </c>
      <c r="K122" s="894">
        <v>3.9430014476580846</v>
      </c>
      <c r="L122" s="894">
        <f>J122-K122</f>
        <v>8.0542145300150914E-3</v>
      </c>
      <c r="N122" s="894">
        <f>Model!BA481/Model!BA471</f>
        <v>4.2167643892364328</v>
      </c>
      <c r="O122" s="894">
        <v>4.430268360249018</v>
      </c>
      <c r="P122" s="894">
        <f>N122-O122</f>
        <v>-0.21350397101258523</v>
      </c>
      <c r="R122" s="894">
        <f>Model!BB481/Model!BB471</f>
        <v>4.3875246120394502</v>
      </c>
      <c r="S122" s="894">
        <v>4.5533691132602572</v>
      </c>
      <c r="T122" s="894">
        <f>R122-S122</f>
        <v>-0.16584450122080696</v>
      </c>
      <c r="V122" s="894">
        <f>Model!BC481/Model!BC471</f>
        <v>4.5563406059234168</v>
      </c>
      <c r="W122" s="894">
        <v>4.7285662005350062</v>
      </c>
      <c r="X122" s="894">
        <f>V122-W122</f>
        <v>-0.17222559461158937</v>
      </c>
      <c r="Z122" s="894">
        <f>Model!BC481/Model!BC471</f>
        <v>4.5563406059234168</v>
      </c>
      <c r="AA122" s="894">
        <v>3.9449679749621547</v>
      </c>
      <c r="AB122" s="894">
        <f>Z122-AA122</f>
        <v>0.61137263096126215</v>
      </c>
      <c r="AC122" s="238"/>
      <c r="AD122" s="238" t="s">
        <v>926</v>
      </c>
      <c r="AG122" s="894">
        <f>Model!W481/Model!W471</f>
        <v>4.5844961240310074</v>
      </c>
      <c r="AH122" s="894">
        <v>4.5844961240310074</v>
      </c>
      <c r="AI122" s="894">
        <f>AG122-AH122</f>
        <v>0</v>
      </c>
      <c r="AK122" s="894">
        <f>Model!X481/Model!X471</f>
        <v>4.820445609436435</v>
      </c>
      <c r="AL122" s="894">
        <v>4.9413369713506139</v>
      </c>
      <c r="AM122" s="894">
        <f>AK122-AL122</f>
        <v>-0.12089136191417893</v>
      </c>
      <c r="AO122" s="894">
        <f>Model!Y481/Model!Y471</f>
        <v>3.605726872246696</v>
      </c>
      <c r="AP122" s="894">
        <v>3.6659064994298745</v>
      </c>
      <c r="AQ122" s="894">
        <f>AO122-AP122</f>
        <v>-6.0179627183178486E-2</v>
      </c>
      <c r="AS122" s="894">
        <f>Model!Z481/Model!Z471</f>
        <v>4.0274348422496571</v>
      </c>
      <c r="AT122" s="894">
        <v>4.0866477272727275</v>
      </c>
      <c r="AU122" s="894">
        <f>AS122-AT122</f>
        <v>-5.9212885023070427E-2</v>
      </c>
      <c r="AW122" s="894">
        <f>Model!AA481/Model!AA471</f>
        <v>3.3925619834710745</v>
      </c>
      <c r="AX122" s="894">
        <v>3.4619799139167862</v>
      </c>
      <c r="AY122" s="894">
        <f>AW122-AX122</f>
        <v>-6.9417930445711651E-2</v>
      </c>
      <c r="BA122" s="894">
        <f>Model!AV481/Model!AV471</f>
        <v>5.3531039936733888</v>
      </c>
      <c r="BB122" s="894">
        <v>5.3531039936733888</v>
      </c>
      <c r="BC122" s="894">
        <f>BA122-BB122</f>
        <v>0</v>
      </c>
      <c r="BE122" s="894">
        <f>Model!AC481/Model!AC471</f>
        <v>4.3234510441448348</v>
      </c>
      <c r="BF122" s="894">
        <v>4.245539128566171</v>
      </c>
      <c r="BG122" s="894">
        <f>BE122-BF122</f>
        <v>7.7911915578663837E-2</v>
      </c>
      <c r="BI122" s="894">
        <f>Model!AD481/Model!AD471</f>
        <v>4.0811665323631914</v>
      </c>
      <c r="BJ122" s="894">
        <v>3.9991539896488089</v>
      </c>
      <c r="BK122" s="894">
        <f>BI122-BJ122</f>
        <v>8.2012542714382519E-2</v>
      </c>
      <c r="BM122" s="894">
        <f>Model!AE481/Model!AE471</f>
        <v>3.6038696290013412</v>
      </c>
      <c r="BN122" s="894">
        <v>3.5307094660090281</v>
      </c>
      <c r="BO122" s="894">
        <f>BM122-BN122</f>
        <v>7.3160162992313094E-2</v>
      </c>
    </row>
    <row r="123" spans="2:67" x14ac:dyDescent="0.2">
      <c r="B123" s="238"/>
      <c r="D123" s="238"/>
      <c r="F123" s="894"/>
      <c r="G123" s="894"/>
      <c r="H123" s="894"/>
      <c r="J123" s="894"/>
      <c r="K123" s="894"/>
      <c r="L123" s="894"/>
      <c r="N123" s="894"/>
      <c r="O123" s="894"/>
      <c r="P123" s="894"/>
      <c r="R123" s="894"/>
      <c r="S123" s="894"/>
      <c r="T123" s="894"/>
      <c r="V123" s="894"/>
      <c r="W123" s="894"/>
      <c r="X123" s="894"/>
      <c r="Z123" s="894"/>
      <c r="AA123" s="894"/>
      <c r="AB123" s="894"/>
      <c r="AC123" s="238"/>
      <c r="AD123" s="238"/>
      <c r="AG123" s="894"/>
      <c r="AH123" s="894"/>
      <c r="AI123" s="894"/>
      <c r="AK123" s="894"/>
      <c r="AL123" s="894"/>
      <c r="AM123" s="894"/>
      <c r="AO123" s="894"/>
      <c r="AP123" s="894"/>
      <c r="AQ123" s="894"/>
      <c r="AS123" s="894"/>
      <c r="AT123" s="894"/>
      <c r="AU123" s="894"/>
      <c r="AW123" s="894"/>
      <c r="AX123" s="894"/>
      <c r="AY123" s="894"/>
      <c r="BA123" s="894"/>
      <c r="BB123" s="894"/>
      <c r="BC123" s="894"/>
      <c r="BE123" s="894"/>
      <c r="BF123" s="894"/>
      <c r="BG123" s="894"/>
      <c r="BI123" s="894"/>
      <c r="BJ123" s="894"/>
      <c r="BK123" s="894"/>
      <c r="BM123" s="894"/>
      <c r="BN123" s="894"/>
      <c r="BO123" s="894"/>
    </row>
    <row r="124" spans="2:67" x14ac:dyDescent="0.2">
      <c r="B124" s="13" t="s">
        <v>954</v>
      </c>
      <c r="C124" s="13"/>
      <c r="D124" s="13"/>
      <c r="E124" s="14"/>
      <c r="F124" s="14"/>
      <c r="G124" s="14"/>
      <c r="H124" s="892"/>
      <c r="I124" s="14"/>
      <c r="J124" s="14"/>
      <c r="K124" s="14"/>
      <c r="L124" s="892"/>
      <c r="M124" s="14"/>
      <c r="N124" s="14"/>
      <c r="O124" s="14"/>
      <c r="P124" s="892"/>
      <c r="Q124" s="14"/>
      <c r="R124" s="14"/>
      <c r="S124" s="14"/>
      <c r="T124" s="892"/>
      <c r="U124" s="14"/>
      <c r="V124" s="14"/>
      <c r="W124" s="14"/>
      <c r="X124" s="892"/>
      <c r="Y124" s="14"/>
      <c r="Z124" s="14"/>
      <c r="AA124" s="14"/>
      <c r="AB124" s="892"/>
      <c r="AC124" s="238"/>
      <c r="AD124" s="13" t="s">
        <v>954</v>
      </c>
      <c r="AE124" s="13"/>
      <c r="AF124" s="901"/>
      <c r="AG124" s="14"/>
      <c r="AH124" s="14"/>
      <c r="AI124" s="892"/>
      <c r="AJ124" s="892"/>
      <c r="AK124" s="14"/>
      <c r="AL124" s="14"/>
      <c r="AM124" s="892"/>
      <c r="AN124" s="892"/>
      <c r="AO124" s="892"/>
      <c r="AP124" s="892"/>
      <c r="AQ124" s="892"/>
      <c r="AR124" s="892"/>
      <c r="AS124" s="892"/>
      <c r="AT124" s="892"/>
      <c r="AU124" s="892"/>
      <c r="AV124" s="892"/>
      <c r="AW124" s="892"/>
      <c r="AX124" s="892"/>
      <c r="AY124" s="892"/>
      <c r="AZ124" s="892"/>
      <c r="BA124" s="14"/>
      <c r="BB124" s="14"/>
      <c r="BC124" s="892"/>
      <c r="BD124" s="892"/>
      <c r="BE124" s="892"/>
      <c r="BF124" s="892"/>
      <c r="BG124" s="892"/>
      <c r="BH124" s="892"/>
      <c r="BI124" s="892"/>
      <c r="BJ124" s="892"/>
      <c r="BK124" s="892"/>
      <c r="BL124" s="892"/>
      <c r="BM124" s="892"/>
      <c r="BN124" s="892"/>
      <c r="BO124" s="892"/>
    </row>
    <row r="125" spans="2:67" s="15" customFormat="1" x14ac:dyDescent="0.2">
      <c r="B125" s="59" t="s">
        <v>955</v>
      </c>
      <c r="C125" s="16"/>
      <c r="D125" s="16"/>
      <c r="H125" s="893"/>
      <c r="L125" s="893"/>
      <c r="P125" s="893"/>
      <c r="T125" s="893"/>
      <c r="X125" s="893"/>
      <c r="AB125" s="893"/>
      <c r="AC125" s="391"/>
      <c r="AD125" s="59" t="s">
        <v>955</v>
      </c>
      <c r="AE125" s="16"/>
      <c r="AF125" s="898"/>
      <c r="AI125" s="893"/>
      <c r="AM125" s="893"/>
      <c r="AQ125" s="893"/>
      <c r="AU125" s="893"/>
      <c r="AY125" s="893"/>
      <c r="BC125" s="893"/>
      <c r="BG125" s="893"/>
      <c r="BK125" s="893"/>
      <c r="BO125" s="893"/>
    </row>
    <row r="126" spans="2:67" s="15" customFormat="1" x14ac:dyDescent="0.2">
      <c r="B126" s="895" t="s">
        <v>956</v>
      </c>
      <c r="C126" s="895"/>
      <c r="D126" s="16"/>
      <c r="F126" s="23">
        <f>Model!AY217/Model!AX217-1</f>
        <v>0.14425332290852255</v>
      </c>
      <c r="G126" s="15">
        <v>0.14425332290852255</v>
      </c>
      <c r="H126" s="26">
        <f>F126-G126</f>
        <v>0</v>
      </c>
      <c r="J126" s="23">
        <f>Model!AZ217/Model!AY217-1</f>
        <v>0.15510761872224088</v>
      </c>
      <c r="K126" s="23">
        <v>0.15907755380936095</v>
      </c>
      <c r="L126" s="26">
        <f>J126-K126</f>
        <v>-3.9699350871200689E-3</v>
      </c>
      <c r="N126" s="23">
        <f>Model!BA217/Model!AZ217-1</f>
        <v>3.8430582667849933E-2</v>
      </c>
      <c r="O126" s="23">
        <v>2.4139362318840618E-2</v>
      </c>
      <c r="P126" s="26">
        <f>N126-O126</f>
        <v>1.4291220349009315E-2</v>
      </c>
      <c r="R126" s="23">
        <f>Model!BB217/Model!BA217-1</f>
        <v>2.7572100094054752E-2</v>
      </c>
      <c r="S126" s="23">
        <v>4.0094000000000074E-2</v>
      </c>
      <c r="T126" s="26">
        <f>R126-S126</f>
        <v>-1.2521899905945322E-2</v>
      </c>
      <c r="V126" s="23">
        <f>Model!BC217/Model!BB217-1</f>
        <v>4.0000000000000036E-2</v>
      </c>
      <c r="W126" s="23">
        <v>4.0000000000000036E-2</v>
      </c>
      <c r="X126" s="26">
        <f>V126-W126</f>
        <v>0</v>
      </c>
      <c r="Z126" s="23">
        <f>Model!BC217/Model!BB217-1</f>
        <v>4.0000000000000036E-2</v>
      </c>
      <c r="AA126" s="23">
        <v>4.0000000000000036E-2</v>
      </c>
      <c r="AB126" s="26">
        <f>Z126-AA126</f>
        <v>0</v>
      </c>
      <c r="AC126" s="391"/>
      <c r="AD126" s="895" t="s">
        <v>956</v>
      </c>
      <c r="AE126" s="895"/>
      <c r="AF126" s="49"/>
      <c r="AG126" s="23">
        <f>Model!W217/Model!V217-1</f>
        <v>3.6616161616161547E-2</v>
      </c>
      <c r="AH126" s="15">
        <v>3.6616161616161547E-2</v>
      </c>
      <c r="AI126" s="26">
        <f>AG126-AH126</f>
        <v>0</v>
      </c>
      <c r="AK126" s="23">
        <f>Model!X217/Model!W217-1</f>
        <v>6.0901339829475543E-3</v>
      </c>
      <c r="AL126" s="23">
        <v>6.0901339829475543E-3</v>
      </c>
      <c r="AM126" s="26">
        <f>AK126-AL126</f>
        <v>0</v>
      </c>
      <c r="AO126" s="23">
        <f>Model!Y217/Model!X217-1</f>
        <v>8.4745762711864181E-3</v>
      </c>
      <c r="AP126" s="23">
        <v>8.4745762711864181E-3</v>
      </c>
      <c r="AQ126" s="26">
        <f>AO126-AP126</f>
        <v>0</v>
      </c>
      <c r="AS126" s="23">
        <f>Model!Z217/Model!Y217-1</f>
        <v>2.5210084033613578E-2</v>
      </c>
      <c r="AT126" s="23">
        <v>2.5210084033613578E-2</v>
      </c>
      <c r="AU126" s="26">
        <f>AS126-AT126</f>
        <v>0</v>
      </c>
      <c r="AW126" s="23">
        <f>Model!AA217/Model!Z217-1</f>
        <v>1.6393442622950616E-2</v>
      </c>
      <c r="AX126" s="23">
        <v>1.6393442622950616E-2</v>
      </c>
      <c r="AY126" s="26">
        <f>AW126-AX126</f>
        <v>0</v>
      </c>
      <c r="BA126" s="23">
        <f>Model!AV217/Model!AU217-1</f>
        <v>-4.5517720639332571E-2</v>
      </c>
      <c r="BB126" s="23">
        <v>-4.5517720639332571E-2</v>
      </c>
      <c r="BC126" s="26">
        <f>BA126-BB126</f>
        <v>0</v>
      </c>
      <c r="BE126" s="23">
        <f>Model!AC217/Model!AV217-1</f>
        <v>0.26538041499817977</v>
      </c>
      <c r="BF126" s="23">
        <v>0.23864579541317776</v>
      </c>
      <c r="BG126" s="26">
        <f>BE126-BF126</f>
        <v>2.6734619585002006E-2</v>
      </c>
      <c r="BI126" s="23">
        <f>Model!AD217/Model!AW217-1</f>
        <v>0.32132480240873185</v>
      </c>
      <c r="BJ126" s="23">
        <v>0.30621422657132102</v>
      </c>
      <c r="BK126" s="26">
        <f>BI126-BJ126</f>
        <v>1.5110575837410822E-2</v>
      </c>
      <c r="BM126" s="23">
        <f>Model!AE217/Model!AX217-1</f>
        <v>0.39991211884284628</v>
      </c>
      <c r="BN126" s="23">
        <v>0.39747049882720886</v>
      </c>
      <c r="BO126" s="26">
        <f>BM126-BN126</f>
        <v>2.4416200156374135E-3</v>
      </c>
    </row>
    <row r="127" spans="2:67" s="15" customFormat="1" x14ac:dyDescent="0.2">
      <c r="B127" s="895" t="s">
        <v>958</v>
      </c>
      <c r="C127" s="895"/>
      <c r="D127" s="16"/>
      <c r="F127" s="23">
        <f>Model!AY218/Model!AX218-1</f>
        <v>8.635578583765291E-3</v>
      </c>
      <c r="G127" s="15">
        <v>8.635578583765291E-3</v>
      </c>
      <c r="H127" s="26">
        <f t="shared" ref="H127:H128" si="76">F127-G127</f>
        <v>0</v>
      </c>
      <c r="J127" s="23">
        <f>Model!AZ218/Model!AY218-1</f>
        <v>4.0525114155251174E-2</v>
      </c>
      <c r="K127" s="23">
        <v>4.3515981735159803E-2</v>
      </c>
      <c r="L127" s="26">
        <f t="shared" ref="L127:L128" si="77">J127-K127</f>
        <v>-2.9908675799086293E-3</v>
      </c>
      <c r="N127" s="23">
        <f>Model!BA218/Model!AZ218-1</f>
        <v>5.0397562534283846E-2</v>
      </c>
      <c r="O127" s="23">
        <v>2.6304451337081369E-2</v>
      </c>
      <c r="P127" s="26">
        <f t="shared" ref="P127:P128" si="78">N127-O127</f>
        <v>2.4093111197202477E-2</v>
      </c>
      <c r="R127" s="23">
        <f>Model!BB218/Model!BA218-1</f>
        <v>3.7350941980959229E-2</v>
      </c>
      <c r="S127" s="23">
        <v>4.112986218926995E-2</v>
      </c>
      <c r="T127" s="26">
        <f t="shared" ref="T127:T128" si="79">R127-S127</f>
        <v>-3.778920208310721E-3</v>
      </c>
      <c r="V127" s="23">
        <f>Model!BC218/Model!BB218-1</f>
        <v>4.0000000000000036E-2</v>
      </c>
      <c r="W127" s="23">
        <v>4.0000000000000036E-2</v>
      </c>
      <c r="X127" s="26">
        <f t="shared" ref="X127:X128" si="80">V127-W127</f>
        <v>0</v>
      </c>
      <c r="Z127" s="23">
        <f>Model!BC218/Model!BB218-1</f>
        <v>4.0000000000000036E-2</v>
      </c>
      <c r="AA127" s="23">
        <v>4.0000000000000036E-2</v>
      </c>
      <c r="AB127" s="26">
        <f t="shared" ref="AB127:AB128" si="81">Z127-AA127</f>
        <v>0</v>
      </c>
      <c r="AC127" s="391"/>
      <c r="AD127" s="895" t="s">
        <v>958</v>
      </c>
      <c r="AE127" s="895"/>
      <c r="AF127" s="49"/>
      <c r="AG127" s="23">
        <f>Model!W218/Model!V218-1</f>
        <v>2.9816513761467878E-2</v>
      </c>
      <c r="AH127" s="15">
        <v>2.9816513761467878E-2</v>
      </c>
      <c r="AI127" s="26">
        <f t="shared" ref="AI127:AI128" si="82">AG127-AH127</f>
        <v>0</v>
      </c>
      <c r="AK127" s="23">
        <f>Model!X218/Model!W218-1</f>
        <v>8.9086859688196629E-3</v>
      </c>
      <c r="AL127" s="23">
        <v>8.9086859688196629E-3</v>
      </c>
      <c r="AM127" s="26">
        <f t="shared" ref="AM127:AM128" si="83">AK127-AL127</f>
        <v>0</v>
      </c>
      <c r="AO127" s="23">
        <f>Model!Y218/Model!X218-1</f>
        <v>-1.7660044150110354E-2</v>
      </c>
      <c r="AP127" s="23">
        <v>-1.7660044150110354E-2</v>
      </c>
      <c r="AQ127" s="26">
        <f t="shared" ref="AQ127:AQ128" si="84">AO127-AP127</f>
        <v>0</v>
      </c>
      <c r="AS127" s="23">
        <f>Model!Z218/Model!Y218-1</f>
        <v>2.4719101123595433E-2</v>
      </c>
      <c r="AT127" s="23">
        <v>2.4719101123595433E-2</v>
      </c>
      <c r="AU127" s="26">
        <f t="shared" ref="AU127:AU128" si="85">AS127-AT127</f>
        <v>0</v>
      </c>
      <c r="AW127" s="23">
        <f>Model!AA218/Model!Z218-1</f>
        <v>2.8508771929824483E-2</v>
      </c>
      <c r="AX127" s="23">
        <v>2.8508771929824483E-2</v>
      </c>
      <c r="AY127" s="26">
        <f t="shared" ref="AY127:AY128" si="86">AW127-AX127</f>
        <v>0</v>
      </c>
      <c r="BA127" s="23">
        <f>Model!AV218/Model!AU218-1</f>
        <v>4.2682926829268331E-2</v>
      </c>
      <c r="BB127" s="23">
        <v>4.2682926829268331E-2</v>
      </c>
      <c r="BC127" s="26">
        <f t="shared" ref="BC127:BC128" si="87">BA127-BB127</f>
        <v>0</v>
      </c>
      <c r="BE127" s="23">
        <f>Model!AC218/Model!AV218-1</f>
        <v>0.23029239766081866</v>
      </c>
      <c r="BF127" s="23">
        <v>0.20056686159844017</v>
      </c>
      <c r="BG127" s="26">
        <f t="shared" ref="BG127:BG128" si="88">BE127-BF127</f>
        <v>2.9725536062378488E-2</v>
      </c>
      <c r="BI127" s="23">
        <f>Model!AD218/Model!AW218-1</f>
        <v>0.11216510416666647</v>
      </c>
      <c r="BJ127" s="23">
        <v>8.5293684027777372E-2</v>
      </c>
      <c r="BK127" s="26">
        <f t="shared" ref="BK127:BK128" si="89">BI127-BJ127</f>
        <v>2.6871420138889102E-2</v>
      </c>
      <c r="BM127" s="23">
        <f>Model!AE218/Model!AX218-1</f>
        <v>0.12853064248704671</v>
      </c>
      <c r="BN127" s="23">
        <v>0.10666216070811707</v>
      </c>
      <c r="BO127" s="26">
        <f t="shared" ref="BO127:BO128" si="90">BM127-BN127</f>
        <v>2.1868481778929638E-2</v>
      </c>
    </row>
    <row r="128" spans="2:67" s="15" customFormat="1" x14ac:dyDescent="0.2">
      <c r="B128" s="895" t="s">
        <v>957</v>
      </c>
      <c r="C128" s="895"/>
      <c r="D128" s="16"/>
      <c r="F128" s="23">
        <f>Model!AY219/Model!AX219-1</f>
        <v>8.9406286379511313E-2</v>
      </c>
      <c r="G128" s="15">
        <v>8.9406286379511313E-2</v>
      </c>
      <c r="H128" s="26">
        <f t="shared" si="76"/>
        <v>0</v>
      </c>
      <c r="J128" s="23">
        <f>Model!AZ219/Model!AY219-1</f>
        <v>0.11220346227826439</v>
      </c>
      <c r="K128" s="23">
        <v>0.11580679632400059</v>
      </c>
      <c r="L128" s="26">
        <f t="shared" si="77"/>
        <v>-3.6033340457362062E-3</v>
      </c>
      <c r="N128" s="23">
        <f>Model!BA219/Model!AZ219-1</f>
        <v>4.2622704938508837E-2</v>
      </c>
      <c r="O128" s="23">
        <v>2.489780914440809E-2</v>
      </c>
      <c r="P128" s="26">
        <f t="shared" si="78"/>
        <v>1.7724895794100748E-2</v>
      </c>
      <c r="R128" s="23">
        <f>Model!BB219/Model!BA219-1</f>
        <v>3.1023246090462031E-2</v>
      </c>
      <c r="S128" s="23">
        <v>4.045736827686186E-2</v>
      </c>
      <c r="T128" s="26">
        <f t="shared" si="79"/>
        <v>-9.4341221863998292E-3</v>
      </c>
      <c r="V128" s="23">
        <f>Model!BC219/Model!BB219-1</f>
        <v>4.0000000000000258E-2</v>
      </c>
      <c r="W128" s="23">
        <v>4.0000000000000036E-2</v>
      </c>
      <c r="X128" s="26">
        <f t="shared" si="80"/>
        <v>2.2204460492503131E-16</v>
      </c>
      <c r="Z128" s="23">
        <f>Model!BC219/Model!BB219-1</f>
        <v>4.0000000000000258E-2</v>
      </c>
      <c r="AA128" s="23">
        <v>4.0000000000000036E-2</v>
      </c>
      <c r="AB128" s="26">
        <f t="shared" si="81"/>
        <v>2.2204460492503131E-16</v>
      </c>
      <c r="AC128" s="391"/>
      <c r="AD128" s="895" t="s">
        <v>957</v>
      </c>
      <c r="AE128" s="895"/>
      <c r="AF128" s="49"/>
      <c r="AG128" s="23">
        <f>Model!W219/Model!V219-1</f>
        <v>3.4201954397394152E-2</v>
      </c>
      <c r="AH128" s="15">
        <v>3.4201954397394152E-2</v>
      </c>
      <c r="AI128" s="26">
        <f t="shared" si="82"/>
        <v>0</v>
      </c>
      <c r="AK128" s="23">
        <f>Model!X219/Model!W219-1</f>
        <v>7.0866141732282006E-3</v>
      </c>
      <c r="AL128" s="23">
        <v>7.0866141732282006E-3</v>
      </c>
      <c r="AM128" s="26">
        <f t="shared" si="83"/>
        <v>0</v>
      </c>
      <c r="AO128" s="23">
        <f>Model!Y219/Model!X219-1</f>
        <v>-7.8186082877240715E-4</v>
      </c>
      <c r="AP128" s="23">
        <v>-7.8186082877240715E-4</v>
      </c>
      <c r="AQ128" s="26">
        <f t="shared" si="84"/>
        <v>0</v>
      </c>
      <c r="AS128" s="23">
        <f>Model!Z219/Model!Y219-1</f>
        <v>2.5039123630672844E-2</v>
      </c>
      <c r="AT128" s="23">
        <v>2.5039123630672844E-2</v>
      </c>
      <c r="AU128" s="26">
        <f t="shared" si="85"/>
        <v>0</v>
      </c>
      <c r="AW128" s="23">
        <f>Model!AA219/Model!Z219-1</f>
        <v>2.0610687022900587E-2</v>
      </c>
      <c r="AX128" s="23">
        <v>2.0610687022900587E-2</v>
      </c>
      <c r="AY128" s="26">
        <f t="shared" si="86"/>
        <v>0</v>
      </c>
      <c r="BA128" s="23">
        <f>Model!AV219/Model!AU219-1</f>
        <v>-1.5617822691777583E-2</v>
      </c>
      <c r="BB128" s="23">
        <v>-1.5617822691777583E-2</v>
      </c>
      <c r="BC128" s="26">
        <f t="shared" si="87"/>
        <v>0</v>
      </c>
      <c r="BE128" s="23">
        <f>Model!AC219/Model!AV219-1</f>
        <v>0.25278114792347162</v>
      </c>
      <c r="BF128" s="23">
        <v>0.22497256182921133</v>
      </c>
      <c r="BG128" s="26">
        <f t="shared" si="88"/>
        <v>2.780858609426029E-2</v>
      </c>
      <c r="BI128" s="23">
        <f>Model!AD219/Model!AW219-1</f>
        <v>0.23890109464082077</v>
      </c>
      <c r="BJ128" s="23">
        <v>0.2191559147092359</v>
      </c>
      <c r="BK128" s="26">
        <f t="shared" si="89"/>
        <v>1.9745179931584866E-2</v>
      </c>
      <c r="BM128" s="23">
        <f>Model!AE219/Model!AX219-1</f>
        <v>0.29015900488940627</v>
      </c>
      <c r="BN128" s="23">
        <v>0.27986070061699642</v>
      </c>
      <c r="BO128" s="26">
        <f t="shared" si="90"/>
        <v>1.0298304272409853E-2</v>
      </c>
    </row>
    <row r="129" spans="2:67" s="15" customFormat="1" x14ac:dyDescent="0.2">
      <c r="B129" s="895"/>
      <c r="C129" s="895"/>
      <c r="D129" s="16"/>
      <c r="F129" s="23"/>
      <c r="H129" s="893"/>
      <c r="J129" s="23"/>
      <c r="K129" s="23"/>
      <c r="L129" s="893"/>
      <c r="N129" s="23"/>
      <c r="O129" s="23"/>
      <c r="P129" s="893"/>
      <c r="R129" s="23"/>
      <c r="S129" s="23"/>
      <c r="T129" s="893"/>
      <c r="V129" s="23"/>
      <c r="W129" s="23"/>
      <c r="X129" s="893"/>
      <c r="Z129" s="23"/>
      <c r="AA129" s="23"/>
      <c r="AB129" s="893"/>
      <c r="AC129" s="391"/>
      <c r="AD129" s="895"/>
      <c r="AE129" s="895"/>
      <c r="AF129" s="49"/>
      <c r="AG129" s="23"/>
      <c r="AI129" s="893"/>
      <c r="AK129" s="23"/>
      <c r="AL129" s="23"/>
      <c r="AM129" s="893"/>
      <c r="AO129" s="23"/>
      <c r="AP129" s="23"/>
      <c r="AQ129" s="893"/>
      <c r="AS129" s="23"/>
      <c r="AT129" s="23"/>
      <c r="AU129" s="893"/>
      <c r="AW129" s="23"/>
      <c r="AX129" s="23"/>
      <c r="AY129" s="893"/>
      <c r="BA129" s="23"/>
      <c r="BB129" s="23"/>
      <c r="BC129" s="893"/>
      <c r="BE129" s="23"/>
      <c r="BF129" s="23"/>
      <c r="BG129" s="893"/>
      <c r="BI129" s="23"/>
      <c r="BJ129" s="23"/>
      <c r="BK129" s="893"/>
      <c r="BM129" s="23"/>
      <c r="BN129" s="23"/>
      <c r="BO129" s="893"/>
    </row>
    <row r="130" spans="2:67" s="15" customFormat="1" x14ac:dyDescent="0.2">
      <c r="B130" s="895" t="s">
        <v>959</v>
      </c>
      <c r="C130" s="895"/>
      <c r="D130" s="16"/>
      <c r="F130" s="23">
        <f>Model!AY243/Model!AX243-1</f>
        <v>0.37239868565169765</v>
      </c>
      <c r="G130" s="15">
        <v>0.37239868565169765</v>
      </c>
      <c r="H130" s="26">
        <f>F130-G130</f>
        <v>0</v>
      </c>
      <c r="J130" s="23">
        <f>Model!AZ243/Model!AY243-1</f>
        <v>0.27573822825219474</v>
      </c>
      <c r="K130" s="23">
        <v>0.2728052673583401</v>
      </c>
      <c r="L130" s="26">
        <f>J130-K130</f>
        <v>2.9329608938546414E-3</v>
      </c>
      <c r="N130" s="23">
        <f>Model!BA243/Model!AZ243-1</f>
        <v>8.0938379730997934E-2</v>
      </c>
      <c r="O130" s="23">
        <v>8.7177040975915165E-2</v>
      </c>
      <c r="P130" s="26">
        <f>N130-O130</f>
        <v>-6.2386612449172318E-3</v>
      </c>
      <c r="R130" s="23">
        <f>Model!BB243/Model!BA243-1</f>
        <v>7.0000000000000062E-2</v>
      </c>
      <c r="S130" s="23">
        <v>6.999999999999984E-2</v>
      </c>
      <c r="T130" s="26">
        <f>R130-S130</f>
        <v>2.2204460492503131E-16</v>
      </c>
      <c r="V130" s="23">
        <f>Model!BC243/Model!BB243-1</f>
        <v>6.0000000000000053E-2</v>
      </c>
      <c r="W130" s="23">
        <v>6.0000000000000053E-2</v>
      </c>
      <c r="X130" s="26">
        <f>V130-W130</f>
        <v>0</v>
      </c>
      <c r="Z130" s="23">
        <f>Model!BC243/Model!BB243-1</f>
        <v>6.0000000000000053E-2</v>
      </c>
      <c r="AA130" s="23">
        <v>6.0000000000000053E-2</v>
      </c>
      <c r="AB130" s="26">
        <f>Z130-AA130</f>
        <v>0</v>
      </c>
      <c r="AC130" s="391"/>
      <c r="AD130" s="895" t="s">
        <v>959</v>
      </c>
      <c r="AE130" s="895"/>
      <c r="AF130" s="49"/>
      <c r="AG130" s="23">
        <f>Model!W243/Model!V243-1</f>
        <v>7.3871409028727797E-2</v>
      </c>
      <c r="AH130" s="15">
        <v>7.3871409028727797E-2</v>
      </c>
      <c r="AI130" s="26">
        <f>AG130-AH130</f>
        <v>0</v>
      </c>
      <c r="AK130" s="23">
        <f>Model!X243/Model!W243-1</f>
        <v>-7.6433121019108263E-2</v>
      </c>
      <c r="AL130" s="23">
        <v>-7.6433121019108263E-2</v>
      </c>
      <c r="AM130" s="26">
        <f>AK130-AL130</f>
        <v>0</v>
      </c>
      <c r="AO130" s="23">
        <f>Model!Y243/Model!X243-1</f>
        <v>0.1103448275862069</v>
      </c>
      <c r="AP130" s="23">
        <v>0.1103448275862069</v>
      </c>
      <c r="AQ130" s="26">
        <f>AO130-AP130</f>
        <v>0</v>
      </c>
      <c r="AS130" s="23">
        <f>Model!Z243/Model!Y243-1</f>
        <v>-1.242236024844634E-3</v>
      </c>
      <c r="AT130" s="23">
        <v>-1.242236024844634E-3</v>
      </c>
      <c r="AU130" s="26">
        <f>AS130-AT130</f>
        <v>0</v>
      </c>
      <c r="AW130" s="23">
        <f>Model!AA243/Model!Z243-1</f>
        <v>7.3383084577114399E-2</v>
      </c>
      <c r="AX130" s="23">
        <v>7.3383084577114399E-2</v>
      </c>
      <c r="AY130" s="26">
        <f>AW130-AX130</f>
        <v>0</v>
      </c>
      <c r="BA130" s="23">
        <f>Model!AV243/Model!AU243-1</f>
        <v>2.672467371037901E-2</v>
      </c>
      <c r="BB130" s="23">
        <v>2.672467371037901E-2</v>
      </c>
      <c r="BC130" s="26">
        <f>BA130-BB130</f>
        <v>0</v>
      </c>
      <c r="BE130" s="23">
        <f>Model!AC243/Model!AV243-1</f>
        <v>-0.47372881355932195</v>
      </c>
      <c r="BF130" s="23">
        <v>-0.46885593220338972</v>
      </c>
      <c r="BG130" s="26">
        <f>BE130-BF130</f>
        <v>-4.8728813559322237E-3</v>
      </c>
      <c r="BI130" s="23">
        <f>Model!AD243/Model!AW243-1</f>
        <v>-0.49486910994764399</v>
      </c>
      <c r="BJ130" s="23">
        <v>-0.49253054101221638</v>
      </c>
      <c r="BK130" s="26">
        <f>BI130-BJ130</f>
        <v>-2.3385689354276096E-3</v>
      </c>
      <c r="BM130" s="23">
        <f>Model!AE243/Model!AX243-1</f>
        <v>-0.48957283680175245</v>
      </c>
      <c r="BN130" s="23">
        <v>-0.48957283680175245</v>
      </c>
      <c r="BO130" s="26">
        <f>BM130-BN130</f>
        <v>0</v>
      </c>
    </row>
    <row r="131" spans="2:67" s="15" customFormat="1" x14ac:dyDescent="0.2">
      <c r="B131" s="895" t="s">
        <v>960</v>
      </c>
      <c r="C131" s="895"/>
      <c r="D131" s="16"/>
      <c r="F131" s="23">
        <f>Model!AY244/Model!AX244-1</f>
        <v>-1.2499999999999734E-3</v>
      </c>
      <c r="G131" s="15">
        <v>-1.2499999999999734E-3</v>
      </c>
      <c r="H131" s="26">
        <f t="shared" ref="H131:H132" si="91">F131-G131</f>
        <v>0</v>
      </c>
      <c r="J131" s="23">
        <f>Model!AZ244/Model!AY244-1</f>
        <v>1.5018773466833446E-2</v>
      </c>
      <c r="K131" s="23">
        <v>1.5819774718397905E-2</v>
      </c>
      <c r="L131" s="26">
        <f t="shared" ref="L131:L132" si="92">J131-K131</f>
        <v>-8.0100125156445934E-4</v>
      </c>
      <c r="N131" s="23">
        <f>Model!BA244/Model!AZ244-1</f>
        <v>2.8643649815043304E-2</v>
      </c>
      <c r="O131" s="23">
        <v>2.6646115906288514E-2</v>
      </c>
      <c r="P131" s="26">
        <f t="shared" ref="P131:P132" si="93">N131-O131</f>
        <v>1.9975339087547894E-3</v>
      </c>
      <c r="R131" s="23">
        <f>Model!BB244/Model!BA244-1</f>
        <v>3.0000000000000027E-2</v>
      </c>
      <c r="S131" s="23">
        <v>3.0000000000000249E-2</v>
      </c>
      <c r="T131" s="26">
        <f t="shared" ref="T131:T132" si="94">R131-S131</f>
        <v>-2.2204460492503131E-16</v>
      </c>
      <c r="V131" s="23">
        <f>Model!BC244/Model!BB244-1</f>
        <v>4.0000000000000036E-2</v>
      </c>
      <c r="W131" s="23">
        <v>4.0000000000000036E-2</v>
      </c>
      <c r="X131" s="26">
        <f t="shared" ref="X131:X132" si="95">V131-W131</f>
        <v>0</v>
      </c>
      <c r="Z131" s="23">
        <f>Model!BC244/Model!BB244-1</f>
        <v>4.0000000000000036E-2</v>
      </c>
      <c r="AA131" s="23">
        <v>4.0000000000000036E-2</v>
      </c>
      <c r="AB131" s="26">
        <f t="shared" ref="AB131:AB132" si="96">Z131-AA131</f>
        <v>0</v>
      </c>
      <c r="AC131" s="391"/>
      <c r="AD131" s="895" t="s">
        <v>960</v>
      </c>
      <c r="AE131" s="895"/>
      <c r="AF131" s="49"/>
      <c r="AG131" s="23">
        <f>Model!W244/Model!V244-1</f>
        <v>0.17766497461928932</v>
      </c>
      <c r="AH131" s="15">
        <v>0.17766497461928932</v>
      </c>
      <c r="AI131" s="26">
        <f t="shared" ref="AI131:AI132" si="97">AG131-AH131</f>
        <v>0</v>
      </c>
      <c r="AK131" s="23">
        <f>Model!X244/Model!W244-1</f>
        <v>-0.27155172413793105</v>
      </c>
      <c r="AL131" s="23">
        <v>-0.27155172413793105</v>
      </c>
      <c r="AM131" s="26">
        <f t="shared" ref="AM131:AM132" si="98">AK131-AL131</f>
        <v>0</v>
      </c>
      <c r="AO131" s="23">
        <f>Model!Y244/Model!X244-1</f>
        <v>0.21893491124260378</v>
      </c>
      <c r="AP131" s="23">
        <v>0.21893491124260378</v>
      </c>
      <c r="AQ131" s="26">
        <f t="shared" ref="AQ131:AQ132" si="99">AO131-AP131</f>
        <v>0</v>
      </c>
      <c r="AS131" s="23">
        <f>Model!Z244/Model!Y244-1</f>
        <v>-2.9126213592233108E-2</v>
      </c>
      <c r="AT131" s="23">
        <v>-2.9126213592233108E-2</v>
      </c>
      <c r="AU131" s="26">
        <f t="shared" ref="AU131:AU132" si="100">AS131-AT131</f>
        <v>0</v>
      </c>
      <c r="AW131" s="23">
        <f>Model!AA244/Model!Z244-1</f>
        <v>0.18000000000000016</v>
      </c>
      <c r="AX131" s="23">
        <v>0.18000000000000016</v>
      </c>
      <c r="AY131" s="26">
        <f t="shared" ref="AY131:AY132" si="101">AW131-AX131</f>
        <v>0</v>
      </c>
      <c r="BA131" s="23">
        <f>Model!AV244/Model!AU244-1</f>
        <v>4.8951048951048959E-2</v>
      </c>
      <c r="BB131" s="23">
        <v>4.8951048951048959E-2</v>
      </c>
      <c r="BC131" s="26">
        <f t="shared" ref="BC131:BC132" si="102">BA131-BB131</f>
        <v>0</v>
      </c>
      <c r="BE131" s="23">
        <f>Model!AC244/Model!AV244-1</f>
        <v>-0.7184666666666667</v>
      </c>
      <c r="BF131" s="23">
        <v>-0.7184666666666667</v>
      </c>
      <c r="BG131" s="26">
        <f t="shared" ref="BG131:BG132" si="103">BE131-BF131</f>
        <v>0</v>
      </c>
      <c r="BI131" s="23">
        <f>Model!AD244/Model!AW244-1</f>
        <v>-0.74346201743462015</v>
      </c>
      <c r="BJ131" s="23">
        <v>-0.74346201743462015</v>
      </c>
      <c r="BK131" s="26">
        <f t="shared" ref="BK131:BK132" si="104">BI131-BJ131</f>
        <v>0</v>
      </c>
      <c r="BM131" s="23">
        <f>Model!AE244/Model!AX244-1</f>
        <v>-0.69614999999999994</v>
      </c>
      <c r="BN131" s="23">
        <v>-0.69614999999999994</v>
      </c>
      <c r="BO131" s="26">
        <f t="shared" ref="BO131:BO132" si="105">BM131-BN131</f>
        <v>0</v>
      </c>
    </row>
    <row r="132" spans="2:67" s="15" customFormat="1" x14ac:dyDescent="0.2">
      <c r="B132" s="895" t="s">
        <v>929</v>
      </c>
      <c r="C132" s="895"/>
      <c r="D132" s="16"/>
      <c r="F132" s="23">
        <f>Model!AY245/Model!AX245-1</f>
        <v>0.25856816450875852</v>
      </c>
      <c r="G132" s="15">
        <v>0.25856816450875852</v>
      </c>
      <c r="H132" s="26">
        <f t="shared" si="91"/>
        <v>0</v>
      </c>
      <c r="J132" s="23">
        <f>Model!AZ245/Model!AY245-1</f>
        <v>0.21270801815431151</v>
      </c>
      <c r="K132" s="23">
        <v>0.21067776096822999</v>
      </c>
      <c r="L132" s="26">
        <f t="shared" si="92"/>
        <v>2.0302571860815188E-3</v>
      </c>
      <c r="N132" s="23">
        <f>Model!BA245/Model!AZ245-1</f>
        <v>7.0356786427145934E-2</v>
      </c>
      <c r="O132" s="23">
        <v>7.4928892215569087E-2</v>
      </c>
      <c r="P132" s="26">
        <f t="shared" si="93"/>
        <v>-4.5721057884231531E-3</v>
      </c>
      <c r="R132" s="23">
        <f>Model!BB245/Model!BA245-1</f>
        <v>6.2221613570194956E-2</v>
      </c>
      <c r="S132" s="23">
        <v>6.2269738865426527E-2</v>
      </c>
      <c r="T132" s="26">
        <f t="shared" si="94"/>
        <v>-4.8125295231571386E-5</v>
      </c>
      <c r="V132" s="23">
        <f>Model!BC245/Model!BB245-1</f>
        <v>5.6228782242637942E-2</v>
      </c>
      <c r="W132" s="23">
        <v>5.6252284764736649E-2</v>
      </c>
      <c r="X132" s="26">
        <f t="shared" si="95"/>
        <v>-2.350252209870618E-5</v>
      </c>
      <c r="Z132" s="23">
        <f>Model!BC245/Model!BB245-1</f>
        <v>5.6228782242637942E-2</v>
      </c>
      <c r="AA132" s="23">
        <v>5.5993829278656815E-2</v>
      </c>
      <c r="AB132" s="26">
        <f t="shared" si="96"/>
        <v>2.3495296398112764E-4</v>
      </c>
      <c r="AC132" s="391"/>
      <c r="AD132" s="895" t="s">
        <v>929</v>
      </c>
      <c r="AE132" s="895"/>
      <c r="AF132" s="49"/>
      <c r="AG132" s="23">
        <f>Model!W245/Model!V245-1</f>
        <v>9.5905172413793149E-2</v>
      </c>
      <c r="AH132" s="15">
        <v>9.5905172413793149E-2</v>
      </c>
      <c r="AI132" s="26">
        <f t="shared" si="97"/>
        <v>0</v>
      </c>
      <c r="AK132" s="23">
        <f>Model!X245/Model!W245-1</f>
        <v>-0.12094395280235981</v>
      </c>
      <c r="AL132" s="23">
        <v>-0.12094395280235981</v>
      </c>
      <c r="AM132" s="26">
        <f t="shared" si="98"/>
        <v>0</v>
      </c>
      <c r="AO132" s="23">
        <f>Model!Y245/Model!X245-1</f>
        <v>0.13087248322147627</v>
      </c>
      <c r="AP132" s="23">
        <v>0.13087248322147627</v>
      </c>
      <c r="AQ132" s="26">
        <f t="shared" si="99"/>
        <v>0</v>
      </c>
      <c r="AS132" s="23">
        <f>Model!Z245/Model!Y245-1</f>
        <v>-6.923837784371778E-3</v>
      </c>
      <c r="AT132" s="23">
        <v>-6.923837784371778E-3</v>
      </c>
      <c r="AU132" s="26">
        <f t="shared" si="100"/>
        <v>0</v>
      </c>
      <c r="AW132" s="23">
        <f>Model!AA245/Model!Z245-1</f>
        <v>9.4621513944223024E-2</v>
      </c>
      <c r="AX132" s="23">
        <v>9.4621513944223024E-2</v>
      </c>
      <c r="AY132" s="26">
        <f t="shared" si="101"/>
        <v>0</v>
      </c>
      <c r="BA132" s="23">
        <f>Model!AV245/Model!AU245-1</f>
        <v>3.3562822719449104E-2</v>
      </c>
      <c r="BB132" s="23">
        <v>3.3562822719449104E-2</v>
      </c>
      <c r="BC132" s="26">
        <f t="shared" si="102"/>
        <v>0</v>
      </c>
      <c r="BE132" s="23">
        <f>Model!AC245/Model!AV245-1</f>
        <v>-0.55014571190674433</v>
      </c>
      <c r="BF132" s="23">
        <v>-0.54679433805162359</v>
      </c>
      <c r="BG132" s="26">
        <f t="shared" si="103"/>
        <v>-3.3513738551207428E-3</v>
      </c>
      <c r="BI132" s="23">
        <f>Model!AD245/Model!AW245-1</f>
        <v>-0.57402061855670095</v>
      </c>
      <c r="BJ132" s="23">
        <v>-0.57242664551942901</v>
      </c>
      <c r="BK132" s="26">
        <f t="shared" si="104"/>
        <v>-1.5939730372719341E-3</v>
      </c>
      <c r="BM132" s="23">
        <f>Model!AE245/Model!AX245-1</f>
        <v>-0.55250571210967248</v>
      </c>
      <c r="BN132" s="23">
        <v>-0.55250571210967248</v>
      </c>
      <c r="BO132" s="26">
        <f t="shared" si="105"/>
        <v>0</v>
      </c>
    </row>
    <row r="133" spans="2:67" s="15" customFormat="1" x14ac:dyDescent="0.2">
      <c r="B133" s="895"/>
      <c r="C133" s="895"/>
      <c r="D133" s="16"/>
      <c r="F133" s="23"/>
      <c r="H133" s="893"/>
      <c r="J133" s="23"/>
      <c r="K133" s="23"/>
      <c r="L133" s="893"/>
      <c r="N133" s="23"/>
      <c r="O133" s="23"/>
      <c r="P133" s="893"/>
      <c r="R133" s="23"/>
      <c r="S133" s="23"/>
      <c r="T133" s="893"/>
      <c r="V133" s="23"/>
      <c r="W133" s="23"/>
      <c r="X133" s="893"/>
      <c r="Z133" s="23"/>
      <c r="AA133" s="23"/>
      <c r="AB133" s="893"/>
      <c r="AC133" s="391"/>
      <c r="AD133" s="895"/>
      <c r="AE133" s="895"/>
      <c r="AF133" s="49"/>
      <c r="AG133" s="23"/>
      <c r="AI133" s="893"/>
      <c r="AK133" s="23"/>
      <c r="AL133" s="23"/>
      <c r="AM133" s="893"/>
      <c r="AO133" s="23"/>
      <c r="AP133" s="23"/>
      <c r="AQ133" s="893"/>
      <c r="AS133" s="23"/>
      <c r="AT133" s="23"/>
      <c r="AU133" s="893"/>
      <c r="AW133" s="23"/>
      <c r="AX133" s="23"/>
      <c r="AY133" s="893"/>
      <c r="BA133" s="23"/>
      <c r="BB133" s="23"/>
      <c r="BC133" s="893"/>
      <c r="BE133" s="23"/>
      <c r="BF133" s="23"/>
      <c r="BG133" s="893"/>
      <c r="BI133" s="23"/>
      <c r="BJ133" s="23"/>
      <c r="BK133" s="893"/>
      <c r="BM133" s="23"/>
      <c r="BN133" s="23"/>
      <c r="BO133" s="893"/>
    </row>
    <row r="134" spans="2:67" s="15" customFormat="1" x14ac:dyDescent="0.2">
      <c r="B134" s="895" t="s">
        <v>930</v>
      </c>
      <c r="C134" s="895"/>
      <c r="D134" s="16"/>
      <c r="F134" s="23">
        <f>Model!AY214/Model!AX214-1</f>
        <v>9.0863453815261064E-2</v>
      </c>
      <c r="G134" s="15">
        <v>9.0863453815261064E-2</v>
      </c>
      <c r="H134" s="26">
        <f>F134-G134</f>
        <v>0</v>
      </c>
      <c r="J134" s="23">
        <f>Model!AZ214/Model!AY214-1</f>
        <v>2.4850437183616902E-2</v>
      </c>
      <c r="K134" s="23">
        <v>2.5392314772204161E-2</v>
      </c>
      <c r="L134" s="26">
        <f>J134-K134</f>
        <v>-5.4187758858725843E-4</v>
      </c>
      <c r="N134" s="23">
        <f>Model!BA214/Model!AZ214-1</f>
        <v>1.81074602604403E-2</v>
      </c>
      <c r="O134" s="23">
        <v>4.6704388684328801E-2</v>
      </c>
      <c r="P134" s="26">
        <f>N134-O134</f>
        <v>-2.8596928423888501E-2</v>
      </c>
      <c r="R134" s="23">
        <f>Model!BB214/Model!BA214-1</f>
        <v>5.8755902111795821E-2</v>
      </c>
      <c r="S134" s="23">
        <v>6.1312040000000012E-2</v>
      </c>
      <c r="T134" s="26">
        <f>R134-S134</f>
        <v>-2.5561378882041907E-3</v>
      </c>
      <c r="V134" s="23">
        <f>Model!BC214/Model!BB214-1</f>
        <v>6.0000000000000053E-2</v>
      </c>
      <c r="W134" s="23">
        <v>6.0000000000000053E-2</v>
      </c>
      <c r="X134" s="26">
        <f>V134-W134</f>
        <v>0</v>
      </c>
      <c r="Z134" s="23">
        <f>Model!BC214/Model!BB214-1</f>
        <v>6.0000000000000053E-2</v>
      </c>
      <c r="AA134" s="23">
        <v>6.0000000000000053E-2</v>
      </c>
      <c r="AB134" s="26">
        <f>Z134-AA134</f>
        <v>0</v>
      </c>
      <c r="AC134" s="391"/>
      <c r="AD134" s="895" t="s">
        <v>930</v>
      </c>
      <c r="AE134" s="895"/>
      <c r="AF134" s="49"/>
      <c r="AG134" s="23">
        <f>Model!W214/Model!V214-1</f>
        <v>0</v>
      </c>
      <c r="AH134" s="15">
        <v>0</v>
      </c>
      <c r="AI134" s="26">
        <f>AG134-AH134</f>
        <v>0</v>
      </c>
      <c r="AK134" s="23">
        <f>Model!X214/Model!W214-1</f>
        <v>7.2727272727273196E-3</v>
      </c>
      <c r="AL134" s="23">
        <v>7.2727272727273196E-3</v>
      </c>
      <c r="AM134" s="26">
        <f>AK134-AL134</f>
        <v>0</v>
      </c>
      <c r="AO134" s="23">
        <f>Model!Y214/Model!X214-1</f>
        <v>3.6101083032491488E-3</v>
      </c>
      <c r="AP134" s="23">
        <v>3.6101083032491488E-3</v>
      </c>
      <c r="AQ134" s="26">
        <f>AO134-AP134</f>
        <v>0</v>
      </c>
      <c r="AS134" s="23">
        <f>Model!Z214/Model!Y214-1</f>
        <v>1.7985611510791255E-3</v>
      </c>
      <c r="AT134" s="23">
        <v>1.7985611510791255E-3</v>
      </c>
      <c r="AU134" s="26">
        <f>AS134-AT134</f>
        <v>0</v>
      </c>
      <c r="AW134" s="23">
        <f>Model!AA214/Model!Z214-1</f>
        <v>5.3859964093356805E-3</v>
      </c>
      <c r="AX134" s="23">
        <v>5.3859964093356805E-3</v>
      </c>
      <c r="AY134" s="26">
        <f>AW134-AX134</f>
        <v>0</v>
      </c>
      <c r="BA134" s="23">
        <f>Model!AV214/Model!AU214-1</f>
        <v>3.8158691701998926E-2</v>
      </c>
      <c r="BB134" s="23">
        <v>3.8158691701998926E-2</v>
      </c>
      <c r="BC134" s="26">
        <f>BA134-BB134</f>
        <v>0</v>
      </c>
      <c r="BE134" s="23">
        <f>Model!AC214/Model!AV214-1</f>
        <v>0.31288214702450423</v>
      </c>
      <c r="BF134" s="23">
        <v>0.35301750291715273</v>
      </c>
      <c r="BG134" s="26">
        <f>BE134-BF134</f>
        <v>-4.0135355892648494E-2</v>
      </c>
      <c r="BI134" s="23">
        <f>Model!AD214/Model!AW214-1</f>
        <v>0.21799721329046107</v>
      </c>
      <c r="BJ134" s="23">
        <v>0.25523189710610938</v>
      </c>
      <c r="BK134" s="26">
        <f>BI134-BJ134</f>
        <v>-3.7234683815648317E-2</v>
      </c>
      <c r="BM134" s="23">
        <f>Model!AE214/Model!AX214-1</f>
        <v>0.16377432530120495</v>
      </c>
      <c r="BN134" s="23">
        <v>0.19935139277108438</v>
      </c>
      <c r="BO134" s="26">
        <f>BM134-BN134</f>
        <v>-3.5577067469879431E-2</v>
      </c>
    </row>
    <row r="135" spans="2:67" s="15" customFormat="1" x14ac:dyDescent="0.2">
      <c r="B135" s="895" t="s">
        <v>931</v>
      </c>
      <c r="C135" s="895"/>
      <c r="D135" s="16"/>
      <c r="F135" s="23">
        <f>Model!AY215/Model!AX215-1</f>
        <v>1.341817678793733E-2</v>
      </c>
      <c r="G135" s="15">
        <v>1.341817678793733E-2</v>
      </c>
      <c r="H135" s="26">
        <f t="shared" ref="H135" si="106">F135-G135</f>
        <v>0</v>
      </c>
      <c r="J135" s="23">
        <f>Model!AZ215/Model!AY215-1</f>
        <v>6.5520065520066062E-3</v>
      </c>
      <c r="K135" s="23">
        <v>9.0912503412503565E-3</v>
      </c>
      <c r="L135" s="26">
        <f t="shared" ref="L135" si="107">J135-K135</f>
        <v>-2.5392437892437503E-3</v>
      </c>
      <c r="N135" s="23">
        <f>Model!BA215/Model!AZ215-1</f>
        <v>-1.5028447925142574E-2</v>
      </c>
      <c r="O135" s="23">
        <v>-2.2396965419041459E-3</v>
      </c>
      <c r="P135" s="26">
        <f t="shared" ref="P135" si="108">N135-O135</f>
        <v>-1.2788751383238428E-2</v>
      </c>
      <c r="R135" s="23">
        <f>Model!BB215/Model!BA215-1</f>
        <v>1.8886404978023519E-2</v>
      </c>
      <c r="S135" s="23">
        <v>1.9898438624869286E-2</v>
      </c>
      <c r="T135" s="26">
        <f t="shared" ref="T135" si="109">R135-S135</f>
        <v>-1.0120336468457669E-3</v>
      </c>
      <c r="V135" s="23">
        <f>Model!BC215/Model!BB215-1</f>
        <v>2.4999999999999911E-2</v>
      </c>
      <c r="W135" s="23">
        <v>2.4999999999999911E-2</v>
      </c>
      <c r="X135" s="26">
        <f t="shared" ref="X135" si="110">V135-W135</f>
        <v>0</v>
      </c>
      <c r="Z135" s="23">
        <f>Model!BC215/Model!BB215-1</f>
        <v>2.4999999999999911E-2</v>
      </c>
      <c r="AA135" s="23">
        <v>2.4000000000000021E-2</v>
      </c>
      <c r="AB135" s="26">
        <f t="shared" ref="AB135" si="111">Z135-AA135</f>
        <v>9.9999999999988987E-4</v>
      </c>
      <c r="AC135" s="391"/>
      <c r="AD135" s="895" t="s">
        <v>931</v>
      </c>
      <c r="AE135" s="895"/>
      <c r="AF135" s="49"/>
      <c r="AG135" s="23">
        <f>Model!W215/Model!V215-1</f>
        <v>1.1419249592169667E-2</v>
      </c>
      <c r="AH135" s="15">
        <v>1.1419249592169667E-2</v>
      </c>
      <c r="AI135" s="26">
        <f t="shared" ref="AI135" si="112">AG135-AH135</f>
        <v>0</v>
      </c>
      <c r="AK135" s="23">
        <f>Model!X215/Model!W215-1</f>
        <v>-2.6881720430107503E-3</v>
      </c>
      <c r="AL135" s="23">
        <v>-2.6881720430107503E-3</v>
      </c>
      <c r="AM135" s="26">
        <f t="shared" ref="AM135" si="113">AK135-AL135</f>
        <v>0</v>
      </c>
      <c r="AO135" s="23">
        <f>Model!Y215/Model!X215-1</f>
        <v>-2.1563342318059453E-3</v>
      </c>
      <c r="AP135" s="23">
        <v>-2.1563342318059453E-3</v>
      </c>
      <c r="AQ135" s="26">
        <f t="shared" ref="AQ135" si="114">AO135-AP135</f>
        <v>0</v>
      </c>
      <c r="AS135" s="23">
        <f>Model!Z215/Model!Y215-1</f>
        <v>-5.4024851431658805E-3</v>
      </c>
      <c r="AT135" s="23">
        <v>-5.4024851431658805E-3</v>
      </c>
      <c r="AU135" s="26">
        <f t="shared" ref="AU135" si="115">AS135-AT135</f>
        <v>0</v>
      </c>
      <c r="AW135" s="23">
        <f>Model!AA215/Model!Z215-1</f>
        <v>-7.6045627376426506E-3</v>
      </c>
      <c r="AX135" s="23">
        <v>-7.6045627376426506E-3</v>
      </c>
      <c r="AY135" s="26">
        <f t="shared" ref="AY135" si="116">AW135-AX135</f>
        <v>0</v>
      </c>
      <c r="BA135" s="23">
        <f>Model!AV215/Model!AU215-1</f>
        <v>7.9085573061476788E-2</v>
      </c>
      <c r="BB135" s="23">
        <v>7.9085573061476788E-2</v>
      </c>
      <c r="BC135" s="26">
        <f t="shared" ref="BC135" si="117">BA135-BB135</f>
        <v>0</v>
      </c>
      <c r="BE135" s="23">
        <f>Model!AC215/Model!AV215-1</f>
        <v>3.5785857429144086E-2</v>
      </c>
      <c r="BF135" s="23">
        <v>5.0276553106212152E-2</v>
      </c>
      <c r="BG135" s="26">
        <f t="shared" ref="BG135" si="118">BE135-BF135</f>
        <v>-1.4490695677068066E-2</v>
      </c>
      <c r="BI135" s="23">
        <f>Model!AD215/Model!AW215-1</f>
        <v>1.2979523610530785E-2</v>
      </c>
      <c r="BJ135" s="23">
        <v>2.7151157542833149E-2</v>
      </c>
      <c r="BK135" s="26">
        <f t="shared" ref="BK135" si="119">BI135-BJ135</f>
        <v>-1.4171633932302363E-2</v>
      </c>
      <c r="BM135" s="23">
        <f>Model!AE215/Model!AX215-1</f>
        <v>1.1003029464655922E-2</v>
      </c>
      <c r="BN135" s="23">
        <v>2.5147012145524616E-2</v>
      </c>
      <c r="BO135" s="26">
        <f t="shared" ref="BO135" si="120">BM135-BN135</f>
        <v>-1.4143982680868694E-2</v>
      </c>
    </row>
    <row r="136" spans="2:67" s="15" customFormat="1" x14ac:dyDescent="0.2">
      <c r="B136" s="16"/>
      <c r="C136" s="16"/>
      <c r="D136" s="16"/>
      <c r="H136" s="893"/>
      <c r="L136" s="893"/>
      <c r="P136" s="893"/>
      <c r="T136" s="893"/>
      <c r="X136" s="893"/>
      <c r="AB136" s="893"/>
      <c r="AC136" s="391"/>
      <c r="AD136" s="16"/>
      <c r="AE136" s="16"/>
      <c r="AF136" s="898"/>
      <c r="AI136" s="893"/>
      <c r="AM136" s="893"/>
      <c r="AQ136" s="893"/>
      <c r="AU136" s="893"/>
      <c r="AY136" s="893"/>
      <c r="BC136" s="893"/>
      <c r="BG136" s="893"/>
      <c r="BK136" s="893"/>
      <c r="BO136" s="893"/>
    </row>
    <row r="137" spans="2:67" x14ac:dyDescent="0.2">
      <c r="B137" s="59" t="s">
        <v>961</v>
      </c>
      <c r="D137" s="238"/>
      <c r="F137" s="238"/>
      <c r="G137" s="238"/>
      <c r="H137" s="884"/>
      <c r="J137" s="238"/>
      <c r="K137" s="238"/>
      <c r="L137" s="884"/>
      <c r="N137" s="238"/>
      <c r="O137" s="238"/>
      <c r="P137" s="884"/>
      <c r="R137" s="238"/>
      <c r="S137" s="238"/>
      <c r="T137" s="884"/>
      <c r="V137" s="238"/>
      <c r="W137" s="238"/>
      <c r="X137" s="884"/>
      <c r="Z137" s="238"/>
      <c r="AA137" s="238"/>
      <c r="AB137" s="884"/>
      <c r="AC137" s="238"/>
      <c r="AD137" s="59" t="s">
        <v>961</v>
      </c>
      <c r="AG137" s="238"/>
      <c r="AH137" s="238"/>
      <c r="AI137" s="884"/>
      <c r="AK137" s="238"/>
      <c r="AL137" s="238"/>
      <c r="AM137" s="884"/>
      <c r="AO137" s="238"/>
      <c r="AP137" s="238"/>
      <c r="AQ137" s="884"/>
      <c r="AS137" s="238"/>
      <c r="AT137" s="238"/>
      <c r="AU137" s="884"/>
      <c r="AW137" s="238"/>
      <c r="AX137" s="238"/>
      <c r="AY137" s="884"/>
      <c r="BA137" s="238"/>
      <c r="BB137" s="238"/>
      <c r="BC137" s="884"/>
      <c r="BE137" s="238"/>
      <c r="BF137" s="238"/>
      <c r="BG137" s="884"/>
      <c r="BI137" s="238"/>
      <c r="BJ137" s="238"/>
      <c r="BK137" s="884"/>
      <c r="BM137" s="238"/>
      <c r="BN137" s="238"/>
      <c r="BO137" s="884"/>
    </row>
    <row r="138" spans="2:67" s="895" customFormat="1" x14ac:dyDescent="0.2">
      <c r="B138" s="895" t="s">
        <v>956</v>
      </c>
      <c r="D138" s="238"/>
      <c r="F138" s="26">
        <f>Model!AY327/Model!AX327-1</f>
        <v>-0.13559322033898313</v>
      </c>
      <c r="G138" s="238">
        <v>-0.13559322033898313</v>
      </c>
      <c r="H138" s="26">
        <f>F138-G138</f>
        <v>0</v>
      </c>
      <c r="J138" s="26">
        <f>Model!AZ327/Model!AY327-1</f>
        <v>3.4313725490196179E-2</v>
      </c>
      <c r="K138" s="26">
        <v>4.5490196078431522E-2</v>
      </c>
      <c r="L138" s="26">
        <f>J138-K138</f>
        <v>-1.1176470588235343E-2</v>
      </c>
      <c r="N138" s="26">
        <f>Model!BA327/Model!AZ327-1</f>
        <v>6.8022843601895477E-2</v>
      </c>
      <c r="O138" s="26">
        <v>4.02397872037914E-2</v>
      </c>
      <c r="P138" s="26">
        <f>N138-O138</f>
        <v>2.7783056398104078E-2</v>
      </c>
      <c r="Q138" s="1623"/>
      <c r="R138" s="26">
        <f>Model!BB327/Model!BA327-1</f>
        <v>4.4861084404480778E-2</v>
      </c>
      <c r="S138" s="26">
        <v>4.8873216109669437E-2</v>
      </c>
      <c r="T138" s="26">
        <f>R138-S138</f>
        <v>-4.0121317051886596E-3</v>
      </c>
      <c r="U138" s="1783"/>
      <c r="V138" s="26">
        <f>Model!BC327/Model!BB327-1</f>
        <v>5.0000000000000044E-2</v>
      </c>
      <c r="W138" s="26">
        <v>5.0000000000000044E-2</v>
      </c>
      <c r="X138" s="26">
        <f>V138-W138</f>
        <v>0</v>
      </c>
      <c r="Y138" s="1623"/>
      <c r="Z138" s="26">
        <f>Model!BC327/Model!BB327-1</f>
        <v>5.0000000000000044E-2</v>
      </c>
      <c r="AA138" s="26">
        <v>5.0000000000000044E-2</v>
      </c>
      <c r="AB138" s="26">
        <f>Z138-AA138</f>
        <v>0</v>
      </c>
      <c r="AC138" s="238"/>
      <c r="AD138" s="895" t="s">
        <v>956</v>
      </c>
      <c r="AF138" s="49"/>
      <c r="AG138" s="26">
        <f>Model!W327/Model!V327-1</f>
        <v>-1.9607843137254832E-2</v>
      </c>
      <c r="AH138" s="238">
        <v>-1.9607843137254832E-2</v>
      </c>
      <c r="AI138" s="26">
        <f>AG138-AH138</f>
        <v>0</v>
      </c>
      <c r="AK138" s="26">
        <f>Model!X327/Model!W327-1</f>
        <v>-4.0000000000000036E-2</v>
      </c>
      <c r="AL138" s="26">
        <v>-4.0000000000000036E-2</v>
      </c>
      <c r="AM138" s="26">
        <f>AK138-AL138</f>
        <v>0</v>
      </c>
      <c r="AO138" s="26">
        <f>Model!Y327/Model!X327-1</f>
        <v>0.10416666666666674</v>
      </c>
      <c r="AP138" s="26">
        <v>0.10416666666666674</v>
      </c>
      <c r="AQ138" s="26">
        <f>AO138-AP138</f>
        <v>0</v>
      </c>
      <c r="AS138" s="26">
        <f>Model!Z327/Model!Y327-1</f>
        <v>5.6603773584905648E-2</v>
      </c>
      <c r="AT138" s="26">
        <v>5.6603773584905648E-2</v>
      </c>
      <c r="AU138" s="26">
        <f>AS138-AT138</f>
        <v>0</v>
      </c>
      <c r="AW138" s="26">
        <f>Model!AA327/Model!Z327-1</f>
        <v>-3.5714285714285587E-2</v>
      </c>
      <c r="AX138" s="26">
        <v>-3.5714285714285587E-2</v>
      </c>
      <c r="AY138" s="26">
        <f>AW138-AX138</f>
        <v>0</v>
      </c>
      <c r="AZ138" s="1707"/>
      <c r="BA138" s="26">
        <f>Model!AV327/Model!AU327-1</f>
        <v>0.17012448132780089</v>
      </c>
      <c r="BB138" s="26">
        <v>0.17012448132780089</v>
      </c>
      <c r="BC138" s="26">
        <f>BA138-BB138</f>
        <v>0</v>
      </c>
      <c r="BD138" s="1707"/>
      <c r="BE138" s="26">
        <f>Model!AC327/Model!AV327-1</f>
        <v>-0.22156028368794345</v>
      </c>
      <c r="BF138" s="26">
        <v>-0.23434893617021291</v>
      </c>
      <c r="BG138" s="26">
        <f>BE138-BF138</f>
        <v>1.2788652482269458E-2</v>
      </c>
      <c r="BH138" s="1707"/>
      <c r="BI138" s="26">
        <f>Model!AD327/Model!AW327-1</f>
        <v>-0.22411034482758641</v>
      </c>
      <c r="BJ138" s="26">
        <v>-0.23685710344827604</v>
      </c>
      <c r="BK138" s="26">
        <f>BI138-BJ138</f>
        <v>1.2746758620689635E-2</v>
      </c>
      <c r="BL138" s="1707"/>
      <c r="BM138" s="26">
        <f>Model!AE327/Model!AX327-1</f>
        <v>-1.3206440677966502E-2</v>
      </c>
      <c r="BN138" s="26">
        <v>-2.9418049152542647E-2</v>
      </c>
      <c r="BO138" s="26">
        <f>BM138-BN138</f>
        <v>1.6211608474576145E-2</v>
      </c>
    </row>
    <row r="139" spans="2:67" s="895" customFormat="1" x14ac:dyDescent="0.2">
      <c r="B139" s="895" t="s">
        <v>959</v>
      </c>
      <c r="D139" s="238"/>
      <c r="F139" s="26">
        <f>Model!AY344/Model!AX344-1</f>
        <v>-8.3832335329341423E-2</v>
      </c>
      <c r="G139" s="238">
        <v>-8.3832335329341423E-2</v>
      </c>
      <c r="H139" s="26">
        <f>F139-G139</f>
        <v>0</v>
      </c>
      <c r="J139" s="26">
        <f>Model!AZ344/Model!AY344-1</f>
        <v>7.1895424836601274E-2</v>
      </c>
      <c r="K139" s="26">
        <v>5.7516339869281063E-2</v>
      </c>
      <c r="L139" s="26">
        <f>J139-K139</f>
        <v>1.437908496732021E-2</v>
      </c>
      <c r="N139" s="26">
        <f>Model!BA344/Model!AZ344-1</f>
        <v>0.11689024390243907</v>
      </c>
      <c r="O139" s="26">
        <v>8.0000000000000071E-2</v>
      </c>
      <c r="P139" s="26">
        <f>N139-O139</f>
        <v>3.6890243902439002E-2</v>
      </c>
      <c r="Q139" s="1623"/>
      <c r="R139" s="26">
        <f>Model!BB344/Model!BA344-1</f>
        <v>6.7092864552055653E-2</v>
      </c>
      <c r="S139" s="26">
        <v>6.0000000000000053E-2</v>
      </c>
      <c r="T139" s="26">
        <f>R139-S139</f>
        <v>7.0928645520556E-3</v>
      </c>
      <c r="U139" s="1783"/>
      <c r="V139" s="26">
        <f>Model!BC344/Model!BB344-1</f>
        <v>6.0000000000000053E-2</v>
      </c>
      <c r="W139" s="26">
        <v>6.0000000000000053E-2</v>
      </c>
      <c r="X139" s="26">
        <f>V139-W139</f>
        <v>0</v>
      </c>
      <c r="Y139" s="1623"/>
      <c r="Z139" s="26">
        <f>Model!BC344/Model!BB344-1</f>
        <v>6.0000000000000053E-2</v>
      </c>
      <c r="AA139" s="26">
        <v>6.0000000000000053E-2</v>
      </c>
      <c r="AB139" s="26">
        <f>Z139-AA139</f>
        <v>0</v>
      </c>
      <c r="AC139" s="238"/>
      <c r="AD139" s="895" t="s">
        <v>959</v>
      </c>
      <c r="AF139" s="49"/>
      <c r="AG139" s="26">
        <f>Model!W344/Model!V344-1</f>
        <v>5.2631578947368363E-2</v>
      </c>
      <c r="AH139" s="238">
        <v>5.2631578947368363E-2</v>
      </c>
      <c r="AI139" s="26">
        <f>AG139-AH139</f>
        <v>0</v>
      </c>
      <c r="AK139" s="26">
        <f>Model!X344/Model!W344-1</f>
        <v>-9.9999999999999978E-2</v>
      </c>
      <c r="AL139" s="26">
        <v>-9.9999999999999978E-2</v>
      </c>
      <c r="AM139" s="26">
        <f>AK139-AL139</f>
        <v>0</v>
      </c>
      <c r="AO139" s="26">
        <f>Model!Y344/Model!X344-1</f>
        <v>0.13888888888888884</v>
      </c>
      <c r="AP139" s="26">
        <v>0.13888888888888884</v>
      </c>
      <c r="AQ139" s="26">
        <f>AO139-AP139</f>
        <v>0</v>
      </c>
      <c r="AS139" s="26">
        <f>Model!Z344/Model!Y344-1</f>
        <v>2.4390243902439046E-2</v>
      </c>
      <c r="AT139" s="26">
        <v>2.4390243902439046E-2</v>
      </c>
      <c r="AU139" s="26">
        <f>AS139-AT139</f>
        <v>0</v>
      </c>
      <c r="AW139" s="26">
        <f>Model!AA344/Model!Z344-1</f>
        <v>7.1428571428571397E-2</v>
      </c>
      <c r="AX139" s="26">
        <v>7.1428571428571397E-2</v>
      </c>
      <c r="AY139" s="26">
        <f>AW139-AX139</f>
        <v>0</v>
      </c>
      <c r="AZ139" s="1707"/>
      <c r="BA139" s="26">
        <f>Model!AV344/Model!AU344-1</f>
        <v>0.1637426900584793</v>
      </c>
      <c r="BB139" s="26">
        <v>0.1637426900584793</v>
      </c>
      <c r="BC139" s="26">
        <f>BA139-BB139</f>
        <v>0</v>
      </c>
      <c r="BD139" s="1707"/>
      <c r="BE139" s="26">
        <f>Model!AC344/Model!AV344-1</f>
        <v>-0.76924623115577884</v>
      </c>
      <c r="BF139" s="26">
        <v>-0.77748743718592961</v>
      </c>
      <c r="BG139" s="26">
        <f>BE139-BF139</f>
        <v>8.2412060301507717E-3</v>
      </c>
      <c r="BH139" s="1707"/>
      <c r="BI139" s="26">
        <f>Model!AD344/Model!AW344-1</f>
        <v>-0.76062176165803108</v>
      </c>
      <c r="BJ139" s="26">
        <v>-0.7649740932642487</v>
      </c>
      <c r="BK139" s="26">
        <f>BI139-BJ139</f>
        <v>4.3523316062176187E-3</v>
      </c>
      <c r="BL139" s="1707"/>
      <c r="BM139" s="26">
        <f>Model!AE344/Model!AX344-1</f>
        <v>-0.70628742514970067</v>
      </c>
      <c r="BN139" s="26">
        <v>-0.70898203592814379</v>
      </c>
      <c r="BO139" s="26">
        <f>BM139-BN139</f>
        <v>2.6946107784431295E-3</v>
      </c>
    </row>
    <row r="140" spans="2:67" s="895" customFormat="1" x14ac:dyDescent="0.2">
      <c r="B140" s="895" t="s">
        <v>930</v>
      </c>
      <c r="D140" s="238"/>
      <c r="F140" s="26">
        <f>Model!AY325/Model!AX325-1</f>
        <v>-6.6339066339066388E-2</v>
      </c>
      <c r="G140" s="238">
        <v>-6.6339066339066388E-2</v>
      </c>
      <c r="H140" s="26">
        <f t="shared" ref="H140:H141" si="121">F140-G140</f>
        <v>0</v>
      </c>
      <c r="J140" s="26">
        <f>Model!AZ325/Model!AY325-1</f>
        <v>5.2631578947368363E-2</v>
      </c>
      <c r="K140" s="26">
        <v>6.5868421052631687E-2</v>
      </c>
      <c r="L140" s="26">
        <f t="shared" ref="L140:L141" si="122">J140-K140</f>
        <v>-1.3236842105263324E-2</v>
      </c>
      <c r="N140" s="26">
        <f>Model!BA325/Model!AZ325-1</f>
        <v>5.5907776249999985E-2</v>
      </c>
      <c r="O140" s="26">
        <v>4.0681280056249935E-2</v>
      </c>
      <c r="P140" s="26">
        <f t="shared" ref="P140:P141" si="123">N140-O140</f>
        <v>1.522649619375005E-2</v>
      </c>
      <c r="Q140" s="1623"/>
      <c r="R140" s="26">
        <f>Model!BB325/Model!BA325-1</f>
        <v>3.5196469999999813E-2</v>
      </c>
      <c r="S140" s="26">
        <v>3.5196470000000035E-2</v>
      </c>
      <c r="T140" s="26">
        <f t="shared" ref="T140:T141" si="124">R140-S140</f>
        <v>-2.2204460492503131E-16</v>
      </c>
      <c r="U140" s="1783"/>
      <c r="V140" s="26">
        <f>Model!BC325/Model!BB325-1</f>
        <v>4.0000000000000036E-2</v>
      </c>
      <c r="W140" s="26">
        <v>4.0000000000000036E-2</v>
      </c>
      <c r="X140" s="26">
        <f t="shared" ref="X140:X141" si="125">V140-W140</f>
        <v>0</v>
      </c>
      <c r="Y140" s="1623"/>
      <c r="Z140" s="26">
        <f>Model!BC325/Model!BB325-1</f>
        <v>4.0000000000000036E-2</v>
      </c>
      <c r="AA140" s="26">
        <v>4.0000000000000036E-2</v>
      </c>
      <c r="AB140" s="26">
        <f t="shared" ref="AB140:AB141" si="126">Z140-AA140</f>
        <v>0</v>
      </c>
      <c r="AC140" s="238"/>
      <c r="AD140" s="895" t="s">
        <v>930</v>
      </c>
      <c r="AF140" s="49"/>
      <c r="AG140" s="26">
        <f>Model!W325/Model!V325-1</f>
        <v>-3.1413612565445059E-2</v>
      </c>
      <c r="AH140" s="238">
        <v>-3.1413612565445059E-2</v>
      </c>
      <c r="AI140" s="26">
        <f t="shared" ref="AI140:AI141" si="127">AG140-AH140</f>
        <v>0</v>
      </c>
      <c r="AK140" s="26">
        <f>Model!X325/Model!W325-1</f>
        <v>-1.0810810810810811E-2</v>
      </c>
      <c r="AL140" s="26">
        <v>-1.0810810810810811E-2</v>
      </c>
      <c r="AM140" s="26">
        <f t="shared" ref="AM140:AM141" si="128">AK140-AL140</f>
        <v>0</v>
      </c>
      <c r="AO140" s="26">
        <f>Model!Y325/Model!X325-1</f>
        <v>0.10382513661202175</v>
      </c>
      <c r="AP140" s="26">
        <v>0.10382513661202175</v>
      </c>
      <c r="AQ140" s="26">
        <f t="shared" ref="AQ140:AQ141" si="129">AO140-AP140</f>
        <v>0</v>
      </c>
      <c r="AS140" s="26">
        <f>Model!Z325/Model!Y325-1</f>
        <v>4.9504950495049549E-2</v>
      </c>
      <c r="AT140" s="26">
        <v>4.9504950495049549E-2</v>
      </c>
      <c r="AU140" s="26">
        <f t="shared" ref="AU140:AU141" si="130">AS140-AT140</f>
        <v>0</v>
      </c>
      <c r="AW140" s="26">
        <f>Model!AA325/Model!Z325-1</f>
        <v>-4.245283018867918E-2</v>
      </c>
      <c r="AX140" s="26">
        <v>-4.245283018867918E-2</v>
      </c>
      <c r="AY140" s="26">
        <f t="shared" ref="AY140:AY141" si="131">AW140-AX140</f>
        <v>0</v>
      </c>
      <c r="AZ140" s="1707"/>
      <c r="BA140" s="26">
        <f>Model!AV325/Model!AU325-1</f>
        <v>0.1412500000000001</v>
      </c>
      <c r="BB140" s="26">
        <v>0.1412500000000001</v>
      </c>
      <c r="BC140" s="26">
        <f t="shared" ref="BC140:BC141" si="132">BA140-BB140</f>
        <v>0</v>
      </c>
      <c r="BD140" s="1707"/>
      <c r="BE140" s="26">
        <f>Model!AC325/Model!AV325-1</f>
        <v>-8.4030668127053731E-2</v>
      </c>
      <c r="BF140" s="26">
        <v>-9.7239211391018765E-2</v>
      </c>
      <c r="BG140" s="26">
        <f t="shared" ref="BG140:BG141" si="133">BE140-BF140</f>
        <v>1.3208543263965034E-2</v>
      </c>
      <c r="BH140" s="1707"/>
      <c r="BI140" s="26">
        <f>Model!AD325/Model!AW325-1</f>
        <v>-7.1308315098468356E-2</v>
      </c>
      <c r="BJ140" s="26">
        <v>-8.4700318380743989E-2</v>
      </c>
      <c r="BK140" s="26">
        <f t="shared" ref="BK140:BK141" si="134">BI140-BJ140</f>
        <v>1.3392003282275633E-2</v>
      </c>
      <c r="BL140" s="1707"/>
      <c r="BM140" s="26">
        <f>Model!AE325/Model!AX325-1</f>
        <v>6.3637203931203867E-2</v>
      </c>
      <c r="BN140" s="26">
        <v>4.82992471498771E-2</v>
      </c>
      <c r="BO140" s="26">
        <f t="shared" ref="BO140:BO141" si="135">BM140-BN140</f>
        <v>1.5337956781326767E-2</v>
      </c>
    </row>
    <row r="141" spans="2:67" s="895" customFormat="1" x14ac:dyDescent="0.2">
      <c r="B141" s="895" t="s">
        <v>931</v>
      </c>
      <c r="D141" s="238"/>
      <c r="F141" s="26">
        <f>Model!AY324/Model!AX324-1</f>
        <v>-3.7418147801683843E-2</v>
      </c>
      <c r="G141" s="238">
        <v>-3.7418147801683843E-2</v>
      </c>
      <c r="H141" s="26">
        <f t="shared" si="121"/>
        <v>0</v>
      </c>
      <c r="J141" s="26">
        <f>Model!AZ324/Model!AY324-1</f>
        <v>6.608357628765793E-2</v>
      </c>
      <c r="K141" s="26">
        <v>7.7201166180758118E-2</v>
      </c>
      <c r="L141" s="26">
        <f t="shared" si="122"/>
        <v>-1.1117589893100188E-2</v>
      </c>
      <c r="N141" s="26">
        <f>Model!BA324/Model!AZ324-1</f>
        <v>6.9695432087511389E-2</v>
      </c>
      <c r="O141" s="26">
        <v>3.9270184849589773E-2</v>
      </c>
      <c r="P141" s="26">
        <f t="shared" si="123"/>
        <v>3.0425247237921615E-2</v>
      </c>
      <c r="Q141" s="1623"/>
      <c r="R141" s="26">
        <f>Model!BB324/Model!BA324-1</f>
        <v>4.0604010000000024E-2</v>
      </c>
      <c r="S141" s="26">
        <v>4.0604010000000024E-2</v>
      </c>
      <c r="T141" s="26">
        <f t="shared" si="124"/>
        <v>0</v>
      </c>
      <c r="U141" s="1783"/>
      <c r="V141" s="26">
        <f>Model!BC324/Model!BB324-1</f>
        <v>4.0000000000000036E-2</v>
      </c>
      <c r="W141" s="26">
        <v>4.0000000000000036E-2</v>
      </c>
      <c r="X141" s="26">
        <f t="shared" si="125"/>
        <v>0</v>
      </c>
      <c r="Y141" s="1623"/>
      <c r="Z141" s="26">
        <f>Model!BC324/Model!BB324-1</f>
        <v>4.0000000000000036E-2</v>
      </c>
      <c r="AA141" s="26">
        <v>4.0000000000000036E-2</v>
      </c>
      <c r="AB141" s="26">
        <f t="shared" si="126"/>
        <v>0</v>
      </c>
      <c r="AC141" s="238"/>
      <c r="AD141" s="895" t="s">
        <v>931</v>
      </c>
      <c r="AF141" s="49"/>
      <c r="AG141" s="26">
        <f>Model!W324/Model!V324-1</f>
        <v>-1.945525291828798E-2</v>
      </c>
      <c r="AH141" s="238">
        <v>-1.945525291828798E-2</v>
      </c>
      <c r="AI141" s="26">
        <f t="shared" si="127"/>
        <v>0</v>
      </c>
      <c r="AK141" s="26">
        <f>Model!X324/Model!W324-1</f>
        <v>3.9682539682539542E-3</v>
      </c>
      <c r="AL141" s="26">
        <v>3.9682539682539542E-3</v>
      </c>
      <c r="AM141" s="26">
        <f t="shared" si="128"/>
        <v>0</v>
      </c>
      <c r="AO141" s="26">
        <f>Model!Y324/Model!X324-1</f>
        <v>9.8814229249011953E-2</v>
      </c>
      <c r="AP141" s="26">
        <v>9.8814229249011953E-2</v>
      </c>
      <c r="AQ141" s="26">
        <f t="shared" si="129"/>
        <v>0</v>
      </c>
      <c r="AS141" s="26">
        <f>Model!Z324/Model!Y324-1</f>
        <v>3.5971223021582732E-2</v>
      </c>
      <c r="AT141" s="26">
        <v>3.5971223021582732E-2</v>
      </c>
      <c r="AU141" s="26">
        <f t="shared" si="130"/>
        <v>0</v>
      </c>
      <c r="AW141" s="26">
        <f>Model!AA324/Model!Z324-1</f>
        <v>-3.472222222222221E-2</v>
      </c>
      <c r="AX141" s="26">
        <v>-3.472222222222221E-2</v>
      </c>
      <c r="AY141" s="26">
        <f t="shared" si="131"/>
        <v>0</v>
      </c>
      <c r="AZ141" s="1707"/>
      <c r="BA141" s="26">
        <f>Model!AV324/Model!AU324-1</f>
        <v>4.0925266903914626E-2</v>
      </c>
      <c r="BB141" s="26">
        <v>4.0925266903914626E-2</v>
      </c>
      <c r="BC141" s="26">
        <f t="shared" si="132"/>
        <v>0</v>
      </c>
      <c r="BD141" s="1707"/>
      <c r="BE141" s="26">
        <f>Model!AC324/Model!AV324-1</f>
        <v>-2.0854700854701091E-3</v>
      </c>
      <c r="BF141" s="26">
        <v>-3.0469059829059897E-2</v>
      </c>
      <c r="BG141" s="26">
        <f t="shared" si="133"/>
        <v>2.8383589743589788E-2</v>
      </c>
      <c r="BH141" s="1707"/>
      <c r="BI141" s="26">
        <f>Model!AD324/Model!AW324-1</f>
        <v>-4.8644725738397065E-3</v>
      </c>
      <c r="BJ141" s="26">
        <v>-3.3169019409282741E-2</v>
      </c>
      <c r="BK141" s="26">
        <f t="shared" si="134"/>
        <v>2.8304546835443034E-2</v>
      </c>
      <c r="BL141" s="1707"/>
      <c r="BM141" s="26">
        <f>Model!AE324/Model!AX324-1</f>
        <v>0.11415150233863414</v>
      </c>
      <c r="BN141" s="26">
        <v>8.2461795247895209E-2</v>
      </c>
      <c r="BO141" s="26">
        <f t="shared" si="135"/>
        <v>3.1689707090738928E-2</v>
      </c>
    </row>
    <row r="142" spans="2:67" s="895" customFormat="1" x14ac:dyDescent="0.2">
      <c r="B142" s="59"/>
      <c r="D142" s="238"/>
      <c r="F142" s="238"/>
      <c r="G142" s="238"/>
      <c r="H142" s="884"/>
      <c r="J142" s="238"/>
      <c r="K142" s="238"/>
      <c r="L142" s="884"/>
      <c r="N142" s="238"/>
      <c r="O142" s="238"/>
      <c r="P142" s="884"/>
      <c r="Q142" s="1623"/>
      <c r="R142" s="238"/>
      <c r="S142" s="238"/>
      <c r="T142" s="884"/>
      <c r="U142" s="1783"/>
      <c r="V142" s="238"/>
      <c r="W142" s="238"/>
      <c r="X142" s="884"/>
      <c r="Y142" s="1623"/>
      <c r="Z142" s="238"/>
      <c r="AA142" s="238"/>
      <c r="AB142" s="884"/>
      <c r="AC142" s="238"/>
      <c r="AD142" s="59"/>
      <c r="AF142" s="49"/>
      <c r="AG142" s="238"/>
      <c r="AH142" s="238"/>
      <c r="AI142" s="884"/>
      <c r="AK142" s="238"/>
      <c r="AL142" s="238"/>
      <c r="AM142" s="884"/>
      <c r="AO142" s="238"/>
      <c r="AP142" s="238"/>
      <c r="AQ142" s="884"/>
      <c r="AS142" s="238"/>
      <c r="AT142" s="238"/>
      <c r="AU142" s="884"/>
      <c r="AW142" s="238"/>
      <c r="AX142" s="238"/>
      <c r="AY142" s="884"/>
      <c r="AZ142" s="1707"/>
      <c r="BA142" s="238"/>
      <c r="BB142" s="238"/>
      <c r="BC142" s="884"/>
      <c r="BD142" s="1707"/>
      <c r="BE142" s="238"/>
      <c r="BF142" s="238"/>
      <c r="BG142" s="884"/>
      <c r="BH142" s="1707"/>
      <c r="BI142" s="238"/>
      <c r="BJ142" s="238"/>
      <c r="BK142" s="884"/>
      <c r="BL142" s="1707"/>
      <c r="BM142" s="238"/>
      <c r="BN142" s="238"/>
      <c r="BO142" s="884"/>
    </row>
    <row r="143" spans="2:67" s="895" customFormat="1" x14ac:dyDescent="0.2">
      <c r="B143" s="59" t="s">
        <v>962</v>
      </c>
      <c r="D143" s="238"/>
      <c r="F143" s="238"/>
      <c r="G143" s="238"/>
      <c r="H143" s="884"/>
      <c r="J143" s="238"/>
      <c r="K143" s="238"/>
      <c r="L143" s="884"/>
      <c r="N143" s="238"/>
      <c r="O143" s="238"/>
      <c r="P143" s="884"/>
      <c r="Q143" s="1623"/>
      <c r="R143" s="238"/>
      <c r="S143" s="238"/>
      <c r="T143" s="884"/>
      <c r="U143" s="1783"/>
      <c r="V143" s="238"/>
      <c r="W143" s="238"/>
      <c r="X143" s="884"/>
      <c r="Y143" s="1623"/>
      <c r="Z143" s="238"/>
      <c r="AA143" s="238"/>
      <c r="AB143" s="884"/>
      <c r="AC143" s="238"/>
      <c r="AD143" s="59" t="s">
        <v>962</v>
      </c>
      <c r="AF143" s="49"/>
      <c r="AG143" s="238"/>
      <c r="AH143" s="238"/>
      <c r="AI143" s="884"/>
      <c r="AK143" s="238"/>
      <c r="AL143" s="238"/>
      <c r="AM143" s="884"/>
      <c r="AO143" s="238"/>
      <c r="AP143" s="238"/>
      <c r="AQ143" s="884"/>
      <c r="AS143" s="238"/>
      <c r="AT143" s="238"/>
      <c r="AU143" s="884"/>
      <c r="AW143" s="238"/>
      <c r="AX143" s="238"/>
      <c r="AY143" s="884"/>
      <c r="AZ143" s="1707"/>
      <c r="BA143" s="238"/>
      <c r="BB143" s="238"/>
      <c r="BC143" s="884"/>
      <c r="BD143" s="1707"/>
      <c r="BE143" s="238"/>
      <c r="BF143" s="238"/>
      <c r="BG143" s="884"/>
      <c r="BH143" s="1707"/>
      <c r="BI143" s="238"/>
      <c r="BJ143" s="238"/>
      <c r="BK143" s="884"/>
      <c r="BL143" s="1707"/>
      <c r="BM143" s="238"/>
      <c r="BN143" s="238"/>
      <c r="BO143" s="884"/>
    </row>
    <row r="144" spans="2:67" s="895" customFormat="1" x14ac:dyDescent="0.2">
      <c r="B144" s="895" t="s">
        <v>956</v>
      </c>
      <c r="D144" s="238"/>
      <c r="F144" s="26">
        <f>Model!AY405/Model!AX405-1</f>
        <v>-9.9431818181818787E-3</v>
      </c>
      <c r="G144" s="238">
        <v>-9.9431818181818787E-3</v>
      </c>
      <c r="H144" s="26">
        <f>F144-G144</f>
        <v>0</v>
      </c>
      <c r="J144" s="26">
        <f>Model!AZ405/Model!AY405-1</f>
        <v>6.7431850789096082E-2</v>
      </c>
      <c r="K144" s="26">
        <v>6.4476327116212095E-2</v>
      </c>
      <c r="L144" s="26">
        <f>J144-K144</f>
        <v>2.9555236728839862E-3</v>
      </c>
      <c r="N144" s="26">
        <f>Model!BA405/Model!AZ405-1</f>
        <v>7.2362892473118334E-2</v>
      </c>
      <c r="O144" s="26">
        <v>5.2889040322580572E-2</v>
      </c>
      <c r="P144" s="26">
        <f>N144-O144</f>
        <v>1.9473852150537763E-2</v>
      </c>
      <c r="Q144" s="1623"/>
      <c r="R144" s="26">
        <f>Model!BB405/Model!BA405-1</f>
        <v>5.090650366014704E-2</v>
      </c>
      <c r="S144" s="26">
        <v>4.2630006823192401E-2</v>
      </c>
      <c r="T144" s="26">
        <f>R144-S144</f>
        <v>8.2764968369546388E-3</v>
      </c>
      <c r="U144" s="1783"/>
      <c r="V144" s="26">
        <f>Model!BC405/Model!BB405-1</f>
        <v>5.0000000000000044E-2</v>
      </c>
      <c r="W144" s="26">
        <v>5.0000000000000044E-2</v>
      </c>
      <c r="X144" s="26">
        <f>V144-W144</f>
        <v>0</v>
      </c>
      <c r="Y144" s="1623"/>
      <c r="Z144" s="26">
        <f>Model!BC405/Model!BB405-1</f>
        <v>5.0000000000000044E-2</v>
      </c>
      <c r="AA144" s="26">
        <v>5.0000000000000044E-2</v>
      </c>
      <c r="AB144" s="26">
        <f>Z144-AA144</f>
        <v>0</v>
      </c>
      <c r="AC144" s="238"/>
      <c r="AD144" s="895" t="s">
        <v>956</v>
      </c>
      <c r="AF144" s="49"/>
      <c r="AG144" s="26">
        <f>Model!W405/Model!V405-1</f>
        <v>-1.7045454545454586E-2</v>
      </c>
      <c r="AH144" s="238">
        <v>-1.7045454545454586E-2</v>
      </c>
      <c r="AI144" s="26">
        <f>AG144-AH144</f>
        <v>0</v>
      </c>
      <c r="AK144" s="26">
        <f>Model!X405/Model!W405-1</f>
        <v>4.6242774566473965E-2</v>
      </c>
      <c r="AL144" s="26">
        <v>4.6242774566473965E-2</v>
      </c>
      <c r="AM144" s="26">
        <f>AK144-AL144</f>
        <v>0</v>
      </c>
      <c r="AO144" s="26">
        <f>Model!Y405/Model!X405-1</f>
        <v>1.6574585635358963E-2</v>
      </c>
      <c r="AP144" s="26">
        <v>1.6574585635358963E-2</v>
      </c>
      <c r="AQ144" s="26">
        <f>AO144-AP144</f>
        <v>0</v>
      </c>
      <c r="AS144" s="26">
        <f>Model!Z405/Model!Y405-1</f>
        <v>2.1739130434782705E-2</v>
      </c>
      <c r="AT144" s="26">
        <v>2.1739130434782705E-2</v>
      </c>
      <c r="AU144" s="26">
        <f>AS144-AT144</f>
        <v>0</v>
      </c>
      <c r="AW144" s="26">
        <f>Model!AA405/Model!Z405-1</f>
        <v>1.5957446808510634E-2</v>
      </c>
      <c r="AX144" s="26">
        <v>1.5957446808510634E-2</v>
      </c>
      <c r="AY144" s="26">
        <f>AW144-AX144</f>
        <v>0</v>
      </c>
      <c r="AZ144" s="1707"/>
      <c r="BA144" s="26">
        <f>Model!AV405/Model!AU405-1</f>
        <v>-3.0000000000000027E-2</v>
      </c>
      <c r="BB144" s="26">
        <v>-3.0000000000000027E-2</v>
      </c>
      <c r="BC144" s="26">
        <f>BA144-BB144</f>
        <v>0</v>
      </c>
      <c r="BD144" s="1707"/>
      <c r="BE144" s="26">
        <f>Model!AC405/Model!AV405-1</f>
        <v>2.0412371134020946E-2</v>
      </c>
      <c r="BF144" s="26">
        <v>-5.6185567010308413E-3</v>
      </c>
      <c r="BG144" s="26">
        <f>BE144-BF144</f>
        <v>2.6030927835051787E-2</v>
      </c>
      <c r="BH144" s="1707"/>
      <c r="BI144" s="26">
        <f>Model!AD405/Model!AW405-1</f>
        <v>5.3700131752305813E-2</v>
      </c>
      <c r="BJ144" s="26">
        <v>3.6986561264821916E-2</v>
      </c>
      <c r="BK144" s="26">
        <f>BI144-BJ144</f>
        <v>1.6713570487483898E-2</v>
      </c>
      <c r="BL144" s="1707"/>
      <c r="BM144" s="26">
        <f>Model!AE405/Model!AX405-1</f>
        <v>0.15874086363636386</v>
      </c>
      <c r="BN144" s="26">
        <v>0.15154117045454529</v>
      </c>
      <c r="BO144" s="26">
        <f>BM144-BN144</f>
        <v>7.1996931818185672E-3</v>
      </c>
    </row>
    <row r="145" spans="2:67" s="895" customFormat="1" x14ac:dyDescent="0.2">
      <c r="B145" s="895" t="s">
        <v>959</v>
      </c>
      <c r="D145" s="238"/>
      <c r="F145" s="26">
        <f>Model!AY422/Model!AX422-1</f>
        <v>-5.312084993359778E-3</v>
      </c>
      <c r="G145" s="238">
        <v>-5.312084993359778E-3</v>
      </c>
      <c r="H145" s="26">
        <f>F145-G145</f>
        <v>0</v>
      </c>
      <c r="J145" s="26">
        <f>Model!AZ422/Model!AY422-1</f>
        <v>8.8117489986648811E-2</v>
      </c>
      <c r="K145" s="26">
        <v>7.0280373831775433E-2</v>
      </c>
      <c r="L145" s="26">
        <f>J145-K145</f>
        <v>1.7837116154873378E-2</v>
      </c>
      <c r="N145" s="26">
        <f>Model!BA422/Model!AZ422-1</f>
        <v>9.6797546012269864E-2</v>
      </c>
      <c r="O145" s="26">
        <v>8.0000000000000071E-2</v>
      </c>
      <c r="P145" s="26">
        <f>N145-O145</f>
        <v>1.6797546012269793E-2</v>
      </c>
      <c r="Q145" s="1623"/>
      <c r="R145" s="26">
        <f>Model!BB422/Model!BA422-1</f>
        <v>6.2405217644229349E-2</v>
      </c>
      <c r="S145" s="26">
        <v>6.0000000000000053E-2</v>
      </c>
      <c r="T145" s="26">
        <f>R145-S145</f>
        <v>2.4052176442292961E-3</v>
      </c>
      <c r="U145" s="1783"/>
      <c r="V145" s="26">
        <f>Model!BC422/Model!BB422-1</f>
        <v>6.0000000000000053E-2</v>
      </c>
      <c r="W145" s="26">
        <v>6.0000000000000053E-2</v>
      </c>
      <c r="X145" s="26">
        <f>V145-W145</f>
        <v>0</v>
      </c>
      <c r="Y145" s="1623"/>
      <c r="Z145" s="26">
        <f>Model!BC422/Model!BB422-1</f>
        <v>6.0000000000000053E-2</v>
      </c>
      <c r="AA145" s="26">
        <v>6.0000000000000053E-2</v>
      </c>
      <c r="AB145" s="26">
        <f>Z145-AA145</f>
        <v>0</v>
      </c>
      <c r="AC145" s="238"/>
      <c r="AD145" s="895" t="s">
        <v>959</v>
      </c>
      <c r="AF145" s="49"/>
      <c r="AG145" s="26">
        <f>Model!W422/Model!V422-1</f>
        <v>3.7433155080213831E-2</v>
      </c>
      <c r="AH145" s="238">
        <v>3.7433155080213831E-2</v>
      </c>
      <c r="AI145" s="26">
        <f>AG145-AH145</f>
        <v>0</v>
      </c>
      <c r="AK145" s="26">
        <f>Model!X422/Model!W422-1</f>
        <v>-1.0309278350515427E-2</v>
      </c>
      <c r="AL145" s="26">
        <v>-1.0309278350515427E-2</v>
      </c>
      <c r="AM145" s="26">
        <f>AK145-AL145</f>
        <v>0</v>
      </c>
      <c r="AO145" s="26">
        <f>Model!Y422/Model!X422-1</f>
        <v>4.6875000000000222E-2</v>
      </c>
      <c r="AP145" s="26">
        <v>4.6875000000000222E-2</v>
      </c>
      <c r="AQ145" s="26">
        <f>AO145-AP145</f>
        <v>0</v>
      </c>
      <c r="AS145" s="26">
        <f>Model!Z422/Model!Y422-1</f>
        <v>9.9502487562188602E-3</v>
      </c>
      <c r="AT145" s="26">
        <v>9.9502487562188602E-3</v>
      </c>
      <c r="AU145" s="26">
        <f>AS145-AT145</f>
        <v>0</v>
      </c>
      <c r="AW145" s="26">
        <f>Model!AA422/Model!Z422-1</f>
        <v>7.8817733990147687E-2</v>
      </c>
      <c r="AX145" s="26">
        <v>7.8817733990147687E-2</v>
      </c>
      <c r="AY145" s="26">
        <f>AW145-AX145</f>
        <v>0</v>
      </c>
      <c r="AZ145" s="1707"/>
      <c r="BA145" s="26">
        <f>Model!AV422/Model!AU422-1</f>
        <v>3.0065359477124076E-2</v>
      </c>
      <c r="BB145" s="26">
        <v>3.0065359477124076E-2</v>
      </c>
      <c r="BC145" s="26">
        <f>BA145-BB145</f>
        <v>0</v>
      </c>
      <c r="BD145" s="1707"/>
      <c r="BE145" s="26">
        <f>Model!AC422/Model!AV422-1</f>
        <v>-0.71941624365482226</v>
      </c>
      <c r="BF145" s="26">
        <v>-0.72451776649746191</v>
      </c>
      <c r="BG145" s="26">
        <f>BE145-BF145</f>
        <v>5.1015228426396497E-3</v>
      </c>
      <c r="BH145" s="1707"/>
      <c r="BI145" s="26">
        <f>Model!AD422/Model!AW422-1</f>
        <v>-0.72132241813602016</v>
      </c>
      <c r="BJ145" s="26">
        <v>-0.72387909319899246</v>
      </c>
      <c r="BK145" s="26">
        <f>BI145-BJ145</f>
        <v>2.5566750629723023E-3</v>
      </c>
      <c r="BL145" s="1707"/>
      <c r="BM145" s="26">
        <f>Model!AE422/Model!AX422-1</f>
        <v>-0.68589641434262938</v>
      </c>
      <c r="BN145" s="26">
        <v>-0.68589641434262938</v>
      </c>
      <c r="BO145" s="26">
        <f>BM145-BN145</f>
        <v>0</v>
      </c>
    </row>
    <row r="146" spans="2:67" s="895" customFormat="1" x14ac:dyDescent="0.2">
      <c r="B146" s="895" t="s">
        <v>930</v>
      </c>
      <c r="D146" s="238"/>
      <c r="F146" s="26">
        <f>Model!AY403/Model!AX403-1</f>
        <v>-5.6104446012702813E-2</v>
      </c>
      <c r="G146" s="238">
        <v>-5.6104446012702813E-2</v>
      </c>
      <c r="H146" s="26">
        <f t="shared" ref="H146:H147" si="136">F146-G146</f>
        <v>0</v>
      </c>
      <c r="J146" s="26">
        <f>Model!AZ403/Model!AY403-1</f>
        <v>1.1214953271028172E-3</v>
      </c>
      <c r="K146" s="26">
        <v>-1.5925233644858983E-3</v>
      </c>
      <c r="L146" s="26">
        <f t="shared" ref="L146:L147" si="137">J146-K146</f>
        <v>2.7140186915887154E-3</v>
      </c>
      <c r="N146" s="26">
        <f>Model!BA403/Model!AZ403-1</f>
        <v>7.7344182598954481E-2</v>
      </c>
      <c r="O146" s="26">
        <v>4.3149552531740243E-2</v>
      </c>
      <c r="P146" s="26">
        <f t="shared" ref="P146:P147" si="138">N146-O146</f>
        <v>3.4194630067214238E-2</v>
      </c>
      <c r="Q146" s="1623"/>
      <c r="R146" s="26">
        <f>Model!BB403/Model!BA403-1</f>
        <v>4.0164600997551814E-2</v>
      </c>
      <c r="S146" s="26">
        <v>4.0164600997552258E-2</v>
      </c>
      <c r="T146" s="26">
        <f t="shared" ref="T146:T147" si="139">R146-S146</f>
        <v>-4.4408920985006262E-16</v>
      </c>
      <c r="U146" s="1783"/>
      <c r="V146" s="26">
        <f>Model!BC403/Model!BB403-1</f>
        <v>4.0000000000000036E-2</v>
      </c>
      <c r="W146" s="26">
        <v>4.0000000000000036E-2</v>
      </c>
      <c r="X146" s="26">
        <f t="shared" ref="X146:X147" si="140">V146-W146</f>
        <v>0</v>
      </c>
      <c r="Y146" s="1623"/>
      <c r="Z146" s="26">
        <f>Model!BC403/Model!BB403-1</f>
        <v>4.0000000000000036E-2</v>
      </c>
      <c r="AA146" s="26">
        <v>4.0000000000000036E-2</v>
      </c>
      <c r="AB146" s="26">
        <f t="shared" ref="AB146:AB147" si="141">Z146-AA146</f>
        <v>0</v>
      </c>
      <c r="AC146" s="238"/>
      <c r="AD146" s="895" t="s">
        <v>930</v>
      </c>
      <c r="AF146" s="49"/>
      <c r="AG146" s="26">
        <f>Model!W403/Model!V403-1</f>
        <v>-4.8600883652430205E-2</v>
      </c>
      <c r="AH146" s="238">
        <v>-4.8600883652430205E-2</v>
      </c>
      <c r="AI146" s="26">
        <f t="shared" ref="AI146:AI147" si="142">AG146-AH146</f>
        <v>0</v>
      </c>
      <c r="AK146" s="26">
        <f>Model!X403/Model!W403-1</f>
        <v>7.7399380804954454E-3</v>
      </c>
      <c r="AL146" s="26">
        <v>7.7399380804954454E-3</v>
      </c>
      <c r="AM146" s="26">
        <f t="shared" ref="AM146:AM147" si="143">AK146-AL146</f>
        <v>0</v>
      </c>
      <c r="AO146" s="26">
        <f>Model!Y403/Model!X403-1</f>
        <v>2.1505376344086002E-2</v>
      </c>
      <c r="AP146" s="26">
        <v>2.1505376344086002E-2</v>
      </c>
      <c r="AQ146" s="26">
        <f t="shared" ref="AQ146:AQ147" si="144">AO146-AP146</f>
        <v>0</v>
      </c>
      <c r="AS146" s="26">
        <f>Model!Z403/Model!Y403-1</f>
        <v>1.3533834586466176E-2</v>
      </c>
      <c r="AT146" s="26">
        <v>1.3533834586466176E-2</v>
      </c>
      <c r="AU146" s="26">
        <f t="shared" ref="AU146:AU147" si="145">AS146-AT146</f>
        <v>0</v>
      </c>
      <c r="AW146" s="26">
        <f>Model!AA403/Model!Z403-1</f>
        <v>2.0771513353115667E-2</v>
      </c>
      <c r="AX146" s="26">
        <v>2.0771513353115667E-2</v>
      </c>
      <c r="AY146" s="26">
        <f t="shared" ref="AY146:AY147" si="146">AW146-AX146</f>
        <v>0</v>
      </c>
      <c r="AZ146" s="1707"/>
      <c r="BA146" s="26">
        <f>Model!AV403/Model!AU403-1</f>
        <v>2.6306174643770497E-2</v>
      </c>
      <c r="BB146" s="26">
        <v>2.6306174643770497E-2</v>
      </c>
      <c r="BC146" s="26">
        <f t="shared" ref="BC146:BC147" si="147">BA146-BB146</f>
        <v>0</v>
      </c>
      <c r="BD146" s="1707"/>
      <c r="BE146" s="26">
        <f>Model!AC403/Model!AV403-1</f>
        <v>1.6831612673549268E-2</v>
      </c>
      <c r="BF146" s="26">
        <v>-1.5442363830544537E-2</v>
      </c>
      <c r="BG146" s="26">
        <f t="shared" ref="BG146:BG147" si="148">BE146-BF146</f>
        <v>3.2273976504093804E-2</v>
      </c>
      <c r="BH146" s="1707"/>
      <c r="BI146" s="26">
        <f>Model!AD403/Model!AW403-1</f>
        <v>-2.9744243641231849E-2</v>
      </c>
      <c r="BJ146" s="26">
        <v>-6.0539914323962551E-2</v>
      </c>
      <c r="BK146" s="26">
        <f t="shared" ref="BK146:BK147" si="149">BI146-BJ146</f>
        <v>3.0795670682730703E-2</v>
      </c>
      <c r="BL146" s="1707"/>
      <c r="BM146" s="26">
        <f>Model!AE403/Model!AX403-1</f>
        <v>4.3439196894847987E-2</v>
      </c>
      <c r="BN146" s="26">
        <v>1.0320702441778629E-2</v>
      </c>
      <c r="BO146" s="26">
        <f t="shared" ref="BO146:BO147" si="150">BM146-BN146</f>
        <v>3.3118494453069358E-2</v>
      </c>
    </row>
    <row r="147" spans="2:67" s="895" customFormat="1" x14ac:dyDescent="0.2">
      <c r="B147" s="895" t="s">
        <v>931</v>
      </c>
      <c r="D147" s="238"/>
      <c r="F147" s="26">
        <f>Model!AY402/Model!AX402-1</f>
        <v>2.1391899600684772E-2</v>
      </c>
      <c r="G147" s="238">
        <v>2.1391899600684772E-2</v>
      </c>
      <c r="H147" s="26">
        <f t="shared" si="136"/>
        <v>0</v>
      </c>
      <c r="J147" s="26">
        <f>Model!AZ402/Model!AY402-1</f>
        <v>5.6129572745043266E-2</v>
      </c>
      <c r="K147" s="26">
        <v>5.5224797542585691E-2</v>
      </c>
      <c r="L147" s="26">
        <f t="shared" si="137"/>
        <v>9.0477520245757503E-4</v>
      </c>
      <c r="N147" s="26">
        <f>Model!BA402/Model!AZ402-1</f>
        <v>6.3949601004759327E-2</v>
      </c>
      <c r="O147" s="26">
        <v>4.0974301850872807E-2</v>
      </c>
      <c r="P147" s="26">
        <f t="shared" si="138"/>
        <v>2.2975299153886519E-2</v>
      </c>
      <c r="Q147" s="1623"/>
      <c r="R147" s="26">
        <f>Model!BB402/Model!BA402-1</f>
        <v>4.0081145312201638E-2</v>
      </c>
      <c r="S147" s="26">
        <v>4.0081145312201194E-2</v>
      </c>
      <c r="T147" s="26">
        <f t="shared" si="139"/>
        <v>4.4408920985006262E-16</v>
      </c>
      <c r="U147" s="1783"/>
      <c r="V147" s="26">
        <f>Model!BC402/Model!BB402-1</f>
        <v>5.0000000000000044E-2</v>
      </c>
      <c r="W147" s="26">
        <v>5.0000000000000044E-2</v>
      </c>
      <c r="X147" s="26">
        <f t="shared" si="140"/>
        <v>0</v>
      </c>
      <c r="Y147" s="1623"/>
      <c r="Z147" s="26">
        <f>Model!BC402/Model!BB402-1</f>
        <v>5.0000000000000044E-2</v>
      </c>
      <c r="AA147" s="26">
        <v>5.0000000000000044E-2</v>
      </c>
      <c r="AB147" s="26">
        <f t="shared" si="141"/>
        <v>0</v>
      </c>
      <c r="AC147" s="238"/>
      <c r="AD147" s="895" t="s">
        <v>931</v>
      </c>
      <c r="AF147" s="49"/>
      <c r="AG147" s="26">
        <f>Model!W402/Model!V402-1</f>
        <v>-1.8558951965065407E-2</v>
      </c>
      <c r="AH147" s="238">
        <v>-1.8558951965065407E-2</v>
      </c>
      <c r="AI147" s="26">
        <f t="shared" si="142"/>
        <v>0</v>
      </c>
      <c r="AK147" s="26">
        <f>Model!X402/Model!W402-1</f>
        <v>3.1145717463848754E-2</v>
      </c>
      <c r="AL147" s="26">
        <v>3.1145717463848754E-2</v>
      </c>
      <c r="AM147" s="26">
        <f t="shared" si="143"/>
        <v>0</v>
      </c>
      <c r="AO147" s="26">
        <f>Model!Y402/Model!X402-1</f>
        <v>1.7259978425026912E-2</v>
      </c>
      <c r="AP147" s="26">
        <v>1.7259978425026912E-2</v>
      </c>
      <c r="AQ147" s="26">
        <f t="shared" si="144"/>
        <v>0</v>
      </c>
      <c r="AS147" s="26">
        <f>Model!Z402/Model!Y402-1</f>
        <v>9.5440084835631822E-3</v>
      </c>
      <c r="AT147" s="26">
        <v>9.5440084835631822E-3</v>
      </c>
      <c r="AU147" s="26">
        <f t="shared" si="145"/>
        <v>0</v>
      </c>
      <c r="AW147" s="26">
        <f>Model!AA402/Model!Z402-1</f>
        <v>8.4033613445377853E-3</v>
      </c>
      <c r="AX147" s="26">
        <v>8.4033613445377853E-3</v>
      </c>
      <c r="AY147" s="26">
        <f t="shared" si="146"/>
        <v>0</v>
      </c>
      <c r="AZ147" s="1707"/>
      <c r="BA147" s="26">
        <f>Model!AV402/Model!AU402-1</f>
        <v>-5.7936507936507842E-2</v>
      </c>
      <c r="BB147" s="26">
        <v>-5.7936507936507842E-2</v>
      </c>
      <c r="BC147" s="26">
        <f t="shared" si="147"/>
        <v>0</v>
      </c>
      <c r="BD147" s="1707"/>
      <c r="BE147" s="26">
        <f>Model!AC402/Model!AV402-1</f>
        <v>0.12430216231395663</v>
      </c>
      <c r="BF147" s="26">
        <v>0.10002358887952822</v>
      </c>
      <c r="BG147" s="26">
        <f t="shared" si="148"/>
        <v>2.4278573434428408E-2</v>
      </c>
      <c r="BH147" s="1707"/>
      <c r="BI147" s="26">
        <f>Model!AD402/Model!AW402-1</f>
        <v>0.12920312761798369</v>
      </c>
      <c r="BJ147" s="26">
        <v>0.10481872102764589</v>
      </c>
      <c r="BK147" s="26">
        <f t="shared" si="149"/>
        <v>2.4384406590337804E-2</v>
      </c>
      <c r="BL147" s="1707"/>
      <c r="BM147" s="26">
        <f>Model!AE402/Model!AX402-1</f>
        <v>0.16489251682829442</v>
      </c>
      <c r="BN147" s="26">
        <v>0.13973742110667464</v>
      </c>
      <c r="BO147" s="26">
        <f t="shared" si="150"/>
        <v>2.515509572161978E-2</v>
      </c>
    </row>
    <row r="148" spans="2:67" s="895" customFormat="1" x14ac:dyDescent="0.2">
      <c r="B148" s="59"/>
      <c r="D148" s="238"/>
      <c r="F148" s="238"/>
      <c r="G148" s="238"/>
      <c r="H148" s="884"/>
      <c r="J148" s="238"/>
      <c r="K148" s="238"/>
      <c r="L148" s="884"/>
      <c r="N148" s="238"/>
      <c r="O148" s="238"/>
      <c r="P148" s="884"/>
      <c r="Q148" s="1623"/>
      <c r="R148" s="238"/>
      <c r="S148" s="238"/>
      <c r="T148" s="884"/>
      <c r="U148" s="1783"/>
      <c r="V148" s="238"/>
      <c r="W148" s="238"/>
      <c r="X148" s="884"/>
      <c r="Y148" s="1623"/>
      <c r="Z148" s="238"/>
      <c r="AA148" s="238"/>
      <c r="AB148" s="884"/>
      <c r="AC148" s="238"/>
      <c r="AD148" s="59"/>
      <c r="AF148" s="49"/>
      <c r="AG148" s="238"/>
      <c r="AH148" s="238"/>
      <c r="AI148" s="884"/>
      <c r="AK148" s="238"/>
      <c r="AL148" s="238"/>
      <c r="AM148" s="884"/>
      <c r="AO148" s="238"/>
      <c r="AP148" s="238"/>
      <c r="AQ148" s="884"/>
      <c r="AS148" s="238"/>
      <c r="AT148" s="238"/>
      <c r="AU148" s="884"/>
      <c r="AW148" s="238"/>
      <c r="AX148" s="238"/>
      <c r="AY148" s="884"/>
      <c r="AZ148" s="1707"/>
      <c r="BA148" s="238"/>
      <c r="BB148" s="238"/>
      <c r="BC148" s="884"/>
      <c r="BD148" s="1707"/>
      <c r="BE148" s="238"/>
      <c r="BF148" s="238"/>
      <c r="BG148" s="884"/>
      <c r="BH148" s="1707"/>
      <c r="BI148" s="238"/>
      <c r="BJ148" s="238"/>
      <c r="BK148" s="884"/>
      <c r="BL148" s="1707"/>
      <c r="BM148" s="238"/>
      <c r="BN148" s="238"/>
      <c r="BO148" s="884"/>
    </row>
    <row r="149" spans="2:67" x14ac:dyDescent="0.2">
      <c r="B149" s="59" t="s">
        <v>927</v>
      </c>
      <c r="D149" s="238"/>
      <c r="F149" s="238"/>
      <c r="G149" s="238"/>
      <c r="H149" s="884"/>
      <c r="J149" s="238"/>
      <c r="K149" s="238"/>
      <c r="L149" s="884"/>
      <c r="N149" s="238"/>
      <c r="O149" s="238"/>
      <c r="P149" s="884"/>
      <c r="R149" s="238"/>
      <c r="S149" s="238"/>
      <c r="T149" s="884"/>
      <c r="V149" s="238"/>
      <c r="W149" s="238"/>
      <c r="X149" s="884"/>
      <c r="Z149" s="238"/>
      <c r="AA149" s="238"/>
      <c r="AB149" s="884"/>
      <c r="AC149" s="238"/>
      <c r="AD149" s="59" t="s">
        <v>927</v>
      </c>
      <c r="AG149" s="238"/>
      <c r="AH149" s="238"/>
      <c r="AI149" s="884"/>
      <c r="AK149" s="238"/>
      <c r="AL149" s="238"/>
      <c r="AM149" s="884"/>
      <c r="AO149" s="238"/>
      <c r="AP149" s="238"/>
      <c r="AQ149" s="884"/>
      <c r="AS149" s="238"/>
      <c r="AT149" s="238"/>
      <c r="AU149" s="884"/>
      <c r="AW149" s="238"/>
      <c r="AX149" s="238"/>
      <c r="AY149" s="884"/>
      <c r="BA149" s="238"/>
      <c r="BB149" s="238"/>
      <c r="BC149" s="884"/>
      <c r="BE149" s="238"/>
      <c r="BF149" s="238"/>
      <c r="BG149" s="884"/>
      <c r="BI149" s="238"/>
      <c r="BJ149" s="238"/>
      <c r="BK149" s="884"/>
      <c r="BM149" s="238"/>
      <c r="BN149" s="238"/>
      <c r="BO149" s="884"/>
    </row>
    <row r="150" spans="2:67" x14ac:dyDescent="0.2">
      <c r="B150" s="861" t="s">
        <v>928</v>
      </c>
      <c r="D150" s="238"/>
      <c r="F150" s="26">
        <f>(Model!AY405+Model!AY327)/(Model!AX405+Model!AX327)-1</f>
        <v>-4.1489361702127692E-2</v>
      </c>
      <c r="G150" s="26">
        <v>-4.1489361702127692E-2</v>
      </c>
      <c r="H150" s="26">
        <f>F150-G150</f>
        <v>0</v>
      </c>
      <c r="J150" s="26">
        <f>(Model!AZ405+Model!AZ327)/(Model!AY405+Model!AY327)-1</f>
        <v>5.9933407325194255E-2</v>
      </c>
      <c r="K150" s="26">
        <v>6.0177580466148628E-2</v>
      </c>
      <c r="L150" s="26">
        <f>J150-K150</f>
        <v>-2.4417314095437348E-4</v>
      </c>
      <c r="N150" s="26">
        <f>(Model!BA405+Model!BA327)/(Model!AZ405+Model!AZ327)-1</f>
        <v>7.1403991623036678E-2</v>
      </c>
      <c r="O150" s="26">
        <v>5.0094283874345447E-2</v>
      </c>
      <c r="P150" s="26">
        <f>N150-O150</f>
        <v>2.1309707748691231E-2</v>
      </c>
      <c r="R150" s="26">
        <f>(Model!BB405+Model!BB327)/(Model!BA405+Model!BA327)-1</f>
        <v>4.9575029353136957E-2</v>
      </c>
      <c r="S150" s="26">
        <v>4.3996451784962698E-2</v>
      </c>
      <c r="T150" s="26">
        <f>R150-S150</f>
        <v>5.5785775681742589E-3</v>
      </c>
      <c r="V150" s="26">
        <f>(Model!BC405+Model!BC327)/(Model!BB405+Model!BB327)-1</f>
        <v>5.0000000000000266E-2</v>
      </c>
      <c r="W150" s="26">
        <v>5.0000000000000044E-2</v>
      </c>
      <c r="X150" s="26">
        <f>V150-W150</f>
        <v>2.2204460492503131E-16</v>
      </c>
      <c r="Z150" s="26">
        <f>(Model!BC405+Model!BC327)/(Model!BB405+Model!BB327)-1</f>
        <v>5.0000000000000266E-2</v>
      </c>
      <c r="AA150" s="26">
        <v>4.9999999999999822E-2</v>
      </c>
      <c r="AB150" s="26">
        <f>Z150-AA150</f>
        <v>4.4408920985006262E-16</v>
      </c>
      <c r="AC150" s="238"/>
      <c r="AD150" s="895" t="s">
        <v>928</v>
      </c>
      <c r="AG150" s="26">
        <f>(Model!W405+Model!W327)/(Model!V405+Model!V327)-1</f>
        <v>-1.7621145374449476E-2</v>
      </c>
      <c r="AH150" s="26">
        <v>-1.7621145374449476E-2</v>
      </c>
      <c r="AI150" s="26">
        <f>AG150-AH150</f>
        <v>0</v>
      </c>
      <c r="AK150" s="26">
        <f>(Model!X405+Model!X327)/(Model!W405+Model!W327)-1</f>
        <v>2.6905829596412634E-2</v>
      </c>
      <c r="AL150" s="26">
        <v>2.6905829596412634E-2</v>
      </c>
      <c r="AM150" s="26">
        <f>AK150-AL150</f>
        <v>0</v>
      </c>
      <c r="AO150" s="26">
        <f>(Model!Y405+Model!Y327)/(Model!X405+Model!X327)-1</f>
        <v>3.4934497816593746E-2</v>
      </c>
      <c r="AP150" s="26">
        <v>3.4934497816593746E-2</v>
      </c>
      <c r="AQ150" s="26">
        <f>AO150-AP150</f>
        <v>0</v>
      </c>
      <c r="AS150" s="26">
        <f>(Model!Z405+Model!Z327)/(Model!Y405+Model!Y327)-1</f>
        <v>2.9535864978902815E-2</v>
      </c>
      <c r="AT150" s="26">
        <v>2.9535864978902815E-2</v>
      </c>
      <c r="AU150" s="26">
        <f>AS150-AT150</f>
        <v>0</v>
      </c>
      <c r="AW150" s="26">
        <f>(Model!AA405+Model!AA327)/(Model!Z405+Model!Z327)-1</f>
        <v>4.098360655737654E-3</v>
      </c>
      <c r="AX150" s="26">
        <v>4.098360655737654E-3</v>
      </c>
      <c r="AY150" s="26">
        <f>AW150-AX150</f>
        <v>0</v>
      </c>
      <c r="BA150" s="26">
        <f>(Model!AV405+Model!AV327)/(Model!AU405+Model!AU327)-1</f>
        <v>1.6330451488953068E-2</v>
      </c>
      <c r="BB150" s="26">
        <v>1.6330451488953068E-2</v>
      </c>
      <c r="BC150" s="26">
        <f>BA150-BB150</f>
        <v>0</v>
      </c>
      <c r="BE150" s="26">
        <f>(Model!AC405+Model!AC327)/(Model!AV405+Model!AV327)-1</f>
        <v>-4.4083175803402486E-2</v>
      </c>
      <c r="BF150" s="26">
        <v>-6.6584499054820445E-2</v>
      </c>
      <c r="BG150" s="26">
        <f>BE150-BF150</f>
        <v>2.250132325141796E-2</v>
      </c>
      <c r="BI150" s="26">
        <f>(Model!AD405+Model!AD327)/(Model!AW405+Model!AW327)-1</f>
        <v>-2.3101620591038929E-2</v>
      </c>
      <c r="BJ150" s="26">
        <v>-3.8718551000953449E-2</v>
      </c>
      <c r="BK150" s="26">
        <f>BI150-BJ150</f>
        <v>1.561693040991452E-2</v>
      </c>
      <c r="BM150" s="26">
        <f>(Model!AE405+Model!AE327)/(Model!AX405+Model!AX327)-1</f>
        <v>0.11557111489361716</v>
      </c>
      <c r="BN150" s="26">
        <v>0.10610885574468076</v>
      </c>
      <c r="BO150" s="26">
        <f>BM150-BN150</f>
        <v>9.4622591489363916E-3</v>
      </c>
    </row>
    <row r="151" spans="2:67" x14ac:dyDescent="0.2">
      <c r="B151" s="861" t="s">
        <v>929</v>
      </c>
      <c r="D151" s="238"/>
      <c r="F151" s="26">
        <f>(Model!AY422+Model!AY344)/(Model!AX422+Model!AX344)-1</f>
        <v>-1.9565217391304346E-2</v>
      </c>
      <c r="G151" s="26">
        <v>-1.9565217391304346E-2</v>
      </c>
      <c r="H151" s="26">
        <f>F151-G151</f>
        <v>0</v>
      </c>
      <c r="J151" s="26">
        <f>(Model!AZ422+Model!AZ344)/(Model!AY422+Model!AY344)-1</f>
        <v>8.5365853658536661E-2</v>
      </c>
      <c r="K151" s="26">
        <v>6.811529933481153E-2</v>
      </c>
      <c r="L151" s="26">
        <f>J151-K151</f>
        <v>1.7250554323725131E-2</v>
      </c>
      <c r="N151" s="26">
        <f>(Model!BA422+Model!BA344)/(Model!AZ422+Model!AZ344)-1</f>
        <v>0.10016343207354428</v>
      </c>
      <c r="O151" s="26">
        <v>8.0000000000000071E-2</v>
      </c>
      <c r="P151" s="26">
        <f>N151-O151</f>
        <v>2.0163432073544207E-2</v>
      </c>
      <c r="R151" s="26">
        <f>(Model!BB422+Model!BB344)/(Model!BA422+Model!BA344)-1</f>
        <v>6.3202421406421516E-2</v>
      </c>
      <c r="S151" s="26">
        <v>6.0000000000000053E-2</v>
      </c>
      <c r="T151" s="26">
        <f>R151-S151</f>
        <v>3.2024214064214629E-3</v>
      </c>
      <c r="V151" s="26">
        <f>(Model!BC422+Model!BC344)/(Model!BB422+Model!BB344)-1</f>
        <v>6.0000000000000053E-2</v>
      </c>
      <c r="W151" s="26">
        <v>6.0000000000000053E-2</v>
      </c>
      <c r="X151" s="26">
        <f>V151-W151</f>
        <v>0</v>
      </c>
      <c r="Z151" s="26">
        <f>(Model!BC422+Model!BC344)/(Model!BB422+Model!BB344)-1</f>
        <v>6.0000000000000053E-2</v>
      </c>
      <c r="AA151" s="26">
        <v>5.9999999999999831E-2</v>
      </c>
      <c r="AB151" s="26">
        <f>Z151-AA151</f>
        <v>2.2204460492503131E-16</v>
      </c>
      <c r="AC151" s="238"/>
      <c r="AD151" s="895" t="s">
        <v>929</v>
      </c>
      <c r="AG151" s="26">
        <f>(Model!W422+Model!W344)/(Model!V422+Model!V344)-1</f>
        <v>4.0000000000000036E-2</v>
      </c>
      <c r="AH151" s="26">
        <v>4.0000000000000036E-2</v>
      </c>
      <c r="AI151" s="26">
        <f>AG151-AH151</f>
        <v>0</v>
      </c>
      <c r="AK151" s="26">
        <f>(Model!X422+Model!X344)/(Model!W422+Model!W344)-1</f>
        <v>-2.564102564102555E-2</v>
      </c>
      <c r="AL151" s="26">
        <v>-2.564102564102555E-2</v>
      </c>
      <c r="AM151" s="26">
        <f>AK151-AL151</f>
        <v>0</v>
      </c>
      <c r="AO151" s="26">
        <f>(Model!Y422+Model!Y344)/(Model!X422+Model!X344)-1</f>
        <v>6.1403508771930015E-2</v>
      </c>
      <c r="AP151" s="26">
        <v>6.1403508771930015E-2</v>
      </c>
      <c r="AQ151" s="26">
        <f>AO151-AP151</f>
        <v>0</v>
      </c>
      <c r="AS151" s="26">
        <f>(Model!Z422+Model!Z344)/(Model!Y422+Model!Y344)-1</f>
        <v>1.2396694214875881E-2</v>
      </c>
      <c r="AT151" s="26">
        <v>1.2396694214875881E-2</v>
      </c>
      <c r="AU151" s="26">
        <f>AS151-AT151</f>
        <v>0</v>
      </c>
      <c r="AW151" s="26">
        <f>(Model!AA422+Model!AA344)/(Model!Z422+Model!Z344)-1</f>
        <v>7.7551020408163307E-2</v>
      </c>
      <c r="AX151" s="26">
        <v>7.7551020408163307E-2</v>
      </c>
      <c r="AY151" s="26">
        <f>AW151-AX151</f>
        <v>0</v>
      </c>
      <c r="BA151" s="26">
        <f>(Model!AV422+Model!AV344)/(Model!AU422+Model!AU344)-1</f>
        <v>5.4487179487179516E-2</v>
      </c>
      <c r="BB151" s="26">
        <v>5.4487179487179516E-2</v>
      </c>
      <c r="BC151" s="26">
        <f>BA151-BB151</f>
        <v>0</v>
      </c>
      <c r="BE151" s="26">
        <f>(Model!AC422+Model!AC344)/(Model!AV422+Model!AV344)-1</f>
        <v>-0.72946301925025325</v>
      </c>
      <c r="BF151" s="26">
        <v>-0.7351975683890577</v>
      </c>
      <c r="BG151" s="26">
        <f>BE151-BF151</f>
        <v>5.7345491388044456E-3</v>
      </c>
      <c r="BI151" s="26">
        <f>(Model!AD422+Model!AD344)/(Model!AW422+Model!AW344)-1</f>
        <v>-0.72900709219858151</v>
      </c>
      <c r="BJ151" s="26">
        <v>-0.73191489361702122</v>
      </c>
      <c r="BK151" s="26">
        <f>BI151-BJ151</f>
        <v>2.907801418439715E-3</v>
      </c>
      <c r="BM151" s="26">
        <f>(Model!AE422+Model!AE344)/(Model!AX422+Model!AX344)-1</f>
        <v>-0.68959782608695652</v>
      </c>
      <c r="BN151" s="26">
        <v>-0.69008695652173913</v>
      </c>
      <c r="BO151" s="26">
        <f>BM151-BN151</f>
        <v>4.891304347826031E-4</v>
      </c>
    </row>
    <row r="152" spans="2:67" x14ac:dyDescent="0.2">
      <c r="B152" s="861" t="s">
        <v>930</v>
      </c>
      <c r="D152" s="238"/>
      <c r="F152" s="26">
        <f>(Model!AY403+Model!AY325)/(Model!AX403+Model!AX325)-1</f>
        <v>-5.8388157894736725E-2</v>
      </c>
      <c r="G152" s="26">
        <v>-5.8388157894736725E-2</v>
      </c>
      <c r="H152" s="26">
        <f>F152-G152</f>
        <v>0</v>
      </c>
      <c r="J152" s="26">
        <f>(Model!AZ403+Model!AZ325)/(Model!AY403+Model!AY325)-1</f>
        <v>1.251819505094609E-2</v>
      </c>
      <c r="K152" s="26">
        <v>1.3333333333333419E-2</v>
      </c>
      <c r="L152" s="26">
        <f>J152-K152</f>
        <v>-8.1513828238732877E-4</v>
      </c>
      <c r="N152" s="26">
        <f>(Model!BA403+Model!BA325)/(Model!AZ403+Model!AZ325)-1</f>
        <v>7.2413439332949858E-2</v>
      </c>
      <c r="O152" s="26">
        <v>4.2581807281483641E-2</v>
      </c>
      <c r="P152" s="26">
        <f>N152-O152</f>
        <v>2.9831632051466217E-2</v>
      </c>
      <c r="R152" s="26">
        <f>(Model!BB403+Model!BB325)/(Model!BA403+Model!BA325)-1</f>
        <v>3.9039433474036267E-2</v>
      </c>
      <c r="S152" s="26">
        <v>3.9023928296355814E-2</v>
      </c>
      <c r="T152" s="26">
        <f>R152-S152</f>
        <v>1.5505177680452675E-5</v>
      </c>
      <c r="V152" s="26">
        <f>(Model!BC403+Model!BC325)/(Model!BB403+Model!BB325)-1</f>
        <v>4.0000000000000036E-2</v>
      </c>
      <c r="W152" s="26">
        <v>4.0000000000000036E-2</v>
      </c>
      <c r="X152" s="26">
        <f>V152-W152</f>
        <v>0</v>
      </c>
      <c r="Z152" s="26">
        <f>(Model!BC403+Model!BC325)/(Model!BB403+Model!BB325)-1</f>
        <v>4.0000000000000036E-2</v>
      </c>
      <c r="AA152" s="26">
        <v>4.0000000000000258E-2</v>
      </c>
      <c r="AB152" s="26">
        <f>Z152-AA152</f>
        <v>-2.2204460492503131E-16</v>
      </c>
      <c r="AC152" s="238"/>
      <c r="AD152" s="895" t="s">
        <v>930</v>
      </c>
      <c r="AG152" s="26">
        <f>(Model!W403+Model!W325)/(Model!V403+Model!V325)-1</f>
        <v>-4.4827586206896641E-2</v>
      </c>
      <c r="AH152" s="26">
        <v>-4.4827586206896641E-2</v>
      </c>
      <c r="AI152" s="26">
        <f>AG152-AH152</f>
        <v>0</v>
      </c>
      <c r="AK152" s="26">
        <f>(Model!X403+Model!X325)/(Model!W403+Model!W325)-1</f>
        <v>3.6101083032491488E-3</v>
      </c>
      <c r="AL152" s="26">
        <v>3.6101083032491488E-3</v>
      </c>
      <c r="AM152" s="26">
        <f>AK152-AL152</f>
        <v>0</v>
      </c>
      <c r="AO152" s="26">
        <f>(Model!Y403+Model!Y325)/(Model!X403+Model!X325)-1</f>
        <v>3.9568345323741205E-2</v>
      </c>
      <c r="AP152" s="26">
        <v>3.9568345323741205E-2</v>
      </c>
      <c r="AQ152" s="26">
        <f>AO152-AP152</f>
        <v>0</v>
      </c>
      <c r="AS152" s="26">
        <f>(Model!Z403+Model!Z325)/(Model!Y403+Model!Y325)-1</f>
        <v>2.1914648212226107E-2</v>
      </c>
      <c r="AT152" s="26">
        <v>2.1914648212226107E-2</v>
      </c>
      <c r="AU152" s="26">
        <f>AS152-AT152</f>
        <v>0</v>
      </c>
      <c r="AW152" s="26">
        <f>(Model!AA403+Model!AA325)/(Model!Z403+Model!Z325)-1</f>
        <v>5.6433408577876154E-3</v>
      </c>
      <c r="AX152" s="26">
        <v>5.6433408577876154E-3</v>
      </c>
      <c r="AY152" s="26">
        <f>AW152-AX152</f>
        <v>0</v>
      </c>
      <c r="BA152" s="26">
        <f>(Model!AV403+Model!AV325)/(Model!AU403+Model!AU325)-1</f>
        <v>5.2304212609556089E-2</v>
      </c>
      <c r="BB152" s="26">
        <v>5.2304212609556089E-2</v>
      </c>
      <c r="BC152" s="26">
        <f>BA152-BB152</f>
        <v>0</v>
      </c>
      <c r="BE152" s="26">
        <f>(Model!AC403+Model!AC325)/(Model!AV403+Model!AV325)-1</f>
        <v>-7.9097259537883602E-3</v>
      </c>
      <c r="BF152" s="26">
        <v>-3.5506985491671084E-2</v>
      </c>
      <c r="BG152" s="26">
        <f>BE152-BF152</f>
        <v>2.7597259537882723E-2</v>
      </c>
      <c r="BI152" s="26">
        <f>(Model!AD403+Model!AD325)/(Model!AW403+Model!AW325)-1</f>
        <v>-3.9480164018452446E-2</v>
      </c>
      <c r="BJ152" s="26">
        <v>-6.6199219630958539E-2</v>
      </c>
      <c r="BK152" s="26">
        <f>BI152-BJ152</f>
        <v>2.6719055612506093E-2</v>
      </c>
      <c r="BM152" s="26">
        <f>(Model!AE403+Model!AE325)/(Model!AX403+Model!AX325)-1</f>
        <v>4.7946098684210403E-2</v>
      </c>
      <c r="BN152" s="26">
        <v>1.8795081661184376E-2</v>
      </c>
      <c r="BO152" s="26">
        <f>BM152-BN152</f>
        <v>2.9151017023026027E-2</v>
      </c>
    </row>
    <row r="153" spans="2:67" x14ac:dyDescent="0.2">
      <c r="B153" s="861" t="s">
        <v>931</v>
      </c>
      <c r="D153" s="238"/>
      <c r="F153" s="26">
        <f>(Model!AY402+Model!AY324)/(Model!AX402+Model!AX324)-1</f>
        <v>7.6502732240437687E-3</v>
      </c>
      <c r="G153" s="26">
        <v>7.6502732240437687E-3</v>
      </c>
      <c r="H153" s="26">
        <f>F153-G153</f>
        <v>0</v>
      </c>
      <c r="J153" s="26">
        <f>(Model!AZ402+Model!AZ324)/(Model!AY402+Model!AY324)-1</f>
        <v>5.8351409978308011E-2</v>
      </c>
      <c r="K153" s="26">
        <v>6.0130151843817758E-2</v>
      </c>
      <c r="L153" s="26">
        <f>J153-K153</f>
        <v>-1.7787418655097476E-3</v>
      </c>
      <c r="N153" s="26">
        <f>(Model!BA402+Model!BA324)/(Model!AZ402+Model!AZ324)-1</f>
        <v>6.5241500307440026E-2</v>
      </c>
      <c r="O153" s="26">
        <v>4.0591146214388418E-2</v>
      </c>
      <c r="P153" s="26">
        <f>N153-O153</f>
        <v>2.4650354093051607E-2</v>
      </c>
      <c r="R153" s="26">
        <f>(Model!BB402+Model!BB324)/(Model!BA402+Model!BA324)-1</f>
        <v>4.0199198354993637E-2</v>
      </c>
      <c r="S153" s="26">
        <v>4.0198557576504923E-2</v>
      </c>
      <c r="T153" s="26">
        <f>R153-S153</f>
        <v>6.4077848871413323E-7</v>
      </c>
      <c r="V153" s="26">
        <f>(Model!BC402+Model!BC324)/(Model!BB402+Model!BB324)-1</f>
        <v>4.7741308832919938E-2</v>
      </c>
      <c r="W153" s="26">
        <v>4.7753567367823102E-2</v>
      </c>
      <c r="X153" s="26">
        <f>V153-W153</f>
        <v>-1.2258534903164531E-5</v>
      </c>
      <c r="Z153" s="26">
        <f>(Model!BC402+Model!BC324)/(Model!BB402+Model!BB324)-1</f>
        <v>4.7741308832919938E-2</v>
      </c>
      <c r="AA153" s="26">
        <v>4.772317772317769E-2</v>
      </c>
      <c r="AB153" s="26">
        <f>Z153-AA153</f>
        <v>1.8131109742247631E-5</v>
      </c>
      <c r="AC153" s="238"/>
      <c r="AD153" s="895" t="s">
        <v>931</v>
      </c>
      <c r="AG153" s="26">
        <f>(Model!W402+Model!W324)/(Model!V402+Model!V324)-1</f>
        <v>-1.8755328218243772E-2</v>
      </c>
      <c r="AH153" s="26">
        <v>-1.8755328218243772E-2</v>
      </c>
      <c r="AI153" s="26">
        <f>AG153-AH153</f>
        <v>0</v>
      </c>
      <c r="AK153" s="26">
        <f>(Model!X402+Model!X324)/(Model!W402+Model!W324)-1</f>
        <v>2.5195482189400487E-2</v>
      </c>
      <c r="AL153" s="26">
        <v>2.5195482189400487E-2</v>
      </c>
      <c r="AM153" s="26">
        <f>AK153-AL153</f>
        <v>0</v>
      </c>
      <c r="AO153" s="26">
        <f>(Model!Y402+Model!Y324)/(Model!X402+Model!X324)-1</f>
        <v>3.4745762711864359E-2</v>
      </c>
      <c r="AP153" s="26">
        <v>3.4745762711864359E-2</v>
      </c>
      <c r="AQ153" s="26">
        <f>AO153-AP153</f>
        <v>0</v>
      </c>
      <c r="AS153" s="26">
        <f>(Model!Z402+Model!Z324)/(Model!Y402+Model!Y324)-1</f>
        <v>1.5561015561015523E-2</v>
      </c>
      <c r="AT153" s="26">
        <v>1.5561015561015523E-2</v>
      </c>
      <c r="AU153" s="26">
        <f>AS153-AT153</f>
        <v>0</v>
      </c>
      <c r="AW153" s="26">
        <f>(Model!AA402+Model!AA324)/(Model!Z402+Model!Z324)-1</f>
        <v>-1.612903225806428E-3</v>
      </c>
      <c r="AX153" s="26">
        <v>-1.612903225806428E-3</v>
      </c>
      <c r="AY153" s="26">
        <f>AW153-AX153</f>
        <v>0</v>
      </c>
      <c r="BA153" s="26">
        <f>(Model!AV402+Model!AV324)/(Model!AU402+Model!AU324)-1</f>
        <v>-3.5277324632952634E-2</v>
      </c>
      <c r="BB153" s="26">
        <v>-3.5277324632952634E-2</v>
      </c>
      <c r="BC153" s="26">
        <f>BA153-BB153</f>
        <v>0</v>
      </c>
      <c r="BE153" s="26">
        <f>(Model!AC402+Model!AC324)/(Model!AV402+Model!AV324)-1</f>
        <v>9.3045867681251337E-2</v>
      </c>
      <c r="BF153" s="26">
        <v>6.7752103149439913E-2</v>
      </c>
      <c r="BG153" s="26">
        <f>BE153-BF153</f>
        <v>2.5293764531811425E-2</v>
      </c>
      <c r="BI153" s="26">
        <f>(Model!AD402+Model!AD324)/(Model!AW402+Model!AW324)-1</f>
        <v>9.5869072597565941E-2</v>
      </c>
      <c r="BJ153" s="26">
        <v>7.0509977339488161E-2</v>
      </c>
      <c r="BK153" s="26">
        <f>BI153-BJ153</f>
        <v>2.535909525807778E-2</v>
      </c>
      <c r="BM153" s="26">
        <f>(Model!AE402+Model!AE324)/(Model!AX402+Model!AX324)-1</f>
        <v>0.15303631038251364</v>
      </c>
      <c r="BN153" s="26">
        <v>0.12635432951256842</v>
      </c>
      <c r="BO153" s="26">
        <f>BM153-BN153</f>
        <v>2.6681980869945221E-2</v>
      </c>
    </row>
    <row r="154" spans="2:67" x14ac:dyDescent="0.2">
      <c r="D154" s="238"/>
      <c r="F154" s="895"/>
      <c r="G154" s="895"/>
      <c r="H154" s="895"/>
      <c r="P154" s="867"/>
      <c r="T154" s="867"/>
      <c r="X154" s="867"/>
      <c r="AB154" s="867"/>
      <c r="AC154" s="238"/>
    </row>
  </sheetData>
  <pageMargins left="0" right="0" top="0" bottom="0" header="0" footer="0"/>
  <pageSetup paperSize="5" scale="23" orientation="landscape" r:id="rId1"/>
  <headerFooter alignWithMargins="0">
    <oddHeader>&amp;C&amp;F</oddHeader>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pageSetUpPr fitToPage="1"/>
  </sheetPr>
  <dimension ref="A1:R284"/>
  <sheetViews>
    <sheetView workbookViewId="0">
      <pane xSplit="3" ySplit="5" topLeftCell="D6" activePane="bottomRight" state="frozen"/>
      <selection pane="topRight" activeCell="D1" sqref="D1"/>
      <selection pane="bottomLeft" activeCell="A6" sqref="A6"/>
      <selection pane="bottomRight" activeCell="D6" sqref="D6"/>
    </sheetView>
  </sheetViews>
  <sheetFormatPr defaultRowHeight="11.25" outlineLevelRow="1" x14ac:dyDescent="0.2"/>
  <cols>
    <col min="1" max="2" width="2.83203125" style="1102" customWidth="1"/>
    <col min="3" max="3" width="35.83203125" style="1102" customWidth="1"/>
    <col min="4" max="4" width="2.83203125" style="1102" customWidth="1"/>
    <col min="5" max="7" width="12.83203125" style="1102" customWidth="1"/>
    <col min="8" max="8" width="2.83203125" style="1102" customWidth="1"/>
    <col min="9" max="11" width="12.83203125" style="1102" customWidth="1"/>
    <col min="12" max="12" width="10.83203125" style="1102" customWidth="1"/>
    <col min="13" max="13" width="2.83203125" style="1102" customWidth="1"/>
    <col min="14" max="14" width="35.83203125" style="1102" customWidth="1" collapsed="1"/>
    <col min="15" max="15" width="2.83203125" style="1102" customWidth="1"/>
    <col min="16" max="17" width="12.83203125" style="1102" customWidth="1" collapsed="1"/>
    <col min="18" max="18" width="12.83203125" style="1102" customWidth="1"/>
    <col min="19" max="16384" width="9.33203125" style="1102"/>
  </cols>
  <sheetData>
    <row r="1" spans="2:18" s="1119" customFormat="1" ht="19.5" x14ac:dyDescent="0.3">
      <c r="B1" s="1119" t="s">
        <v>884</v>
      </c>
      <c r="G1" s="863"/>
      <c r="K1" s="863"/>
      <c r="L1" s="863"/>
      <c r="M1" s="1119" t="s">
        <v>884</v>
      </c>
      <c r="R1" s="863"/>
    </row>
    <row r="2" spans="2:18" x14ac:dyDescent="0.2">
      <c r="B2" s="1110" t="s">
        <v>885</v>
      </c>
      <c r="C2" s="1110"/>
      <c r="E2" s="1129"/>
      <c r="F2" s="1129"/>
      <c r="G2" s="238"/>
      <c r="I2" s="1129"/>
      <c r="J2" s="1129"/>
      <c r="K2" s="238"/>
      <c r="M2" s="1110" t="s">
        <v>885</v>
      </c>
      <c r="N2" s="1110"/>
      <c r="P2" s="1129"/>
      <c r="Q2" s="1129"/>
      <c r="R2" s="1110"/>
    </row>
    <row r="3" spans="2:18" x14ac:dyDescent="0.2">
      <c r="B3" s="1110" t="s">
        <v>148</v>
      </c>
      <c r="C3" s="1110"/>
      <c r="E3" s="866">
        <v>2018</v>
      </c>
      <c r="F3" s="866">
        <v>2018</v>
      </c>
      <c r="G3" s="866" t="s">
        <v>886</v>
      </c>
      <c r="I3" s="866">
        <v>2019</v>
      </c>
      <c r="J3" s="866">
        <v>2019</v>
      </c>
      <c r="K3" s="866" t="s">
        <v>886</v>
      </c>
      <c r="M3" s="1110" t="s">
        <v>148</v>
      </c>
      <c r="N3" s="1110"/>
      <c r="P3" s="866" t="s">
        <v>172</v>
      </c>
      <c r="Q3" s="866" t="s">
        <v>172</v>
      </c>
      <c r="R3" s="866" t="s">
        <v>886</v>
      </c>
    </row>
    <row r="4" spans="2:18" x14ac:dyDescent="0.2">
      <c r="E4" s="866" t="s">
        <v>1158</v>
      </c>
      <c r="F4" s="866" t="s">
        <v>902</v>
      </c>
      <c r="G4" s="866" t="s">
        <v>892</v>
      </c>
      <c r="I4" s="866" t="s">
        <v>1158</v>
      </c>
      <c r="J4" s="866" t="s">
        <v>902</v>
      </c>
      <c r="K4" s="866" t="s">
        <v>892</v>
      </c>
      <c r="P4" s="866" t="s">
        <v>1158</v>
      </c>
      <c r="Q4" s="866" t="s">
        <v>902</v>
      </c>
      <c r="R4" s="866" t="s">
        <v>892</v>
      </c>
    </row>
    <row r="5" spans="2:18" ht="5.0999999999999996" customHeight="1" x14ac:dyDescent="0.2">
      <c r="G5" s="238"/>
      <c r="K5" s="238"/>
      <c r="L5" s="391"/>
      <c r="R5" s="238"/>
    </row>
    <row r="6" spans="2:18" x14ac:dyDescent="0.2">
      <c r="B6" s="1102" t="s">
        <v>935</v>
      </c>
      <c r="E6" s="66">
        <f>Model!BA1067</f>
        <v>2.6845353044412511E-2</v>
      </c>
      <c r="F6" s="1098">
        <v>2.7071429999999997E-2</v>
      </c>
      <c r="G6" s="1114"/>
      <c r="I6" s="66">
        <f>Model!$BB1067</f>
        <v>2.8186531909965604E-2</v>
      </c>
      <c r="J6" s="1098">
        <v>2.7366670000000003E-2</v>
      </c>
      <c r="K6" s="1114"/>
      <c r="L6" s="391"/>
      <c r="M6" s="1102" t="s">
        <v>935</v>
      </c>
      <c r="P6" s="66">
        <f>Model!$AB1067</f>
        <v>2.6366897936521527E-2</v>
      </c>
      <c r="Q6" s="1098">
        <v>2.6549999999999997E-2</v>
      </c>
      <c r="R6" s="1114"/>
    </row>
    <row r="7" spans="2:18" x14ac:dyDescent="0.2">
      <c r="C7" s="1102" t="s">
        <v>934</v>
      </c>
      <c r="E7" s="33">
        <f>Model!BA887</f>
        <v>679797.6219875</v>
      </c>
      <c r="F7" s="1099">
        <v>683578.00666666694</v>
      </c>
      <c r="G7" s="1134">
        <f>E7/F7-1</f>
        <v>-5.5302900946173628E-3</v>
      </c>
      <c r="H7" s="1087"/>
      <c r="I7" s="33">
        <f>Model!$BB887</f>
        <v>715571.00267465541</v>
      </c>
      <c r="J7" s="1099">
        <v>707465.8</v>
      </c>
      <c r="K7" s="1134">
        <f>I7/J7-1</f>
        <v>1.1456670661190049E-2</v>
      </c>
      <c r="L7" s="1087"/>
      <c r="N7" s="1102" t="s">
        <v>934</v>
      </c>
      <c r="P7" s="33">
        <f>Model!$AB887</f>
        <v>667925</v>
      </c>
      <c r="Q7" s="1099">
        <v>669494.13</v>
      </c>
      <c r="R7" s="1134">
        <f>P7/Q7-1</f>
        <v>-2.3437546793726449E-3</v>
      </c>
    </row>
    <row r="8" spans="2:18" x14ac:dyDescent="0.2">
      <c r="C8" s="1102" t="s">
        <v>933</v>
      </c>
      <c r="E8" s="33">
        <f>Model!BA888</f>
        <v>1060311</v>
      </c>
      <c r="F8" s="33"/>
      <c r="G8" s="1114"/>
      <c r="H8" s="1087"/>
      <c r="I8" s="33">
        <f>Model!$BB888</f>
        <v>1073631.3227767672</v>
      </c>
      <c r="J8" s="33"/>
      <c r="K8" s="1114"/>
      <c r="L8" s="1087"/>
      <c r="N8" s="1102" t="s">
        <v>933</v>
      </c>
      <c r="P8" s="33">
        <f>Model!$AB888</f>
        <v>1060311</v>
      </c>
      <c r="Q8" s="33"/>
      <c r="R8" s="1114"/>
    </row>
    <row r="9" spans="2:18" x14ac:dyDescent="0.2">
      <c r="B9" s="1117" t="s">
        <v>932</v>
      </c>
      <c r="C9" s="1117"/>
      <c r="E9" s="132">
        <f>+E7+E8</f>
        <v>1740108.6219875</v>
      </c>
      <c r="F9" s="132"/>
      <c r="G9" s="1116"/>
      <c r="H9" s="1087"/>
      <c r="I9" s="132">
        <f>+I7+I8</f>
        <v>1789202.3254514225</v>
      </c>
      <c r="J9" s="132"/>
      <c r="K9" s="1116"/>
      <c r="L9" s="1087"/>
      <c r="M9" s="1117" t="s">
        <v>932</v>
      </c>
      <c r="N9" s="1117"/>
      <c r="P9" s="132">
        <f>+P7+P8</f>
        <v>1728236</v>
      </c>
      <c r="Q9" s="132"/>
      <c r="R9" s="1116"/>
    </row>
    <row r="10" spans="2:18" s="1110" customFormat="1" x14ac:dyDescent="0.2">
      <c r="B10" s="1110" t="s">
        <v>1157</v>
      </c>
      <c r="C10" s="1102"/>
      <c r="D10" s="1102"/>
      <c r="E10" s="304">
        <f>Model!BA751</f>
        <v>46418.520872072491</v>
      </c>
      <c r="F10" s="1100">
        <v>46772.039666666999</v>
      </c>
      <c r="G10" s="1115">
        <f>(E10-F10)*(1-F27)/F35</f>
        <v>-0.10569651950062464</v>
      </c>
      <c r="I10" s="304">
        <f>Model!$BB751</f>
        <v>50127.67010182605</v>
      </c>
      <c r="J10" s="1100">
        <v>48760</v>
      </c>
      <c r="K10" s="1115">
        <f>(I10-J10)*(1-J27)/J35</f>
        <v>0.44484771478079144</v>
      </c>
      <c r="L10" s="1102"/>
      <c r="M10" s="1110" t="s">
        <v>209</v>
      </c>
      <c r="N10" s="1102"/>
      <c r="P10" s="304">
        <f>Model!$AB751</f>
        <v>11172</v>
      </c>
      <c r="Q10" s="1100">
        <v>11344.2814</v>
      </c>
      <c r="R10" s="1115">
        <f>(P10-Q10)*(1-Q27)/Q35</f>
        <v>-5.0224234100582417E-2</v>
      </c>
    </row>
    <row r="11" spans="2:18" s="1110" customFormat="1" x14ac:dyDescent="0.2">
      <c r="B11" s="1102"/>
      <c r="C11" s="1102"/>
      <c r="D11" s="1102"/>
      <c r="E11" s="281"/>
      <c r="F11" s="281"/>
      <c r="G11" s="1114"/>
      <c r="I11" s="281"/>
      <c r="J11" s="281"/>
      <c r="K11" s="1114"/>
      <c r="L11" s="1102"/>
      <c r="M11" s="1102"/>
      <c r="N11" s="1102"/>
      <c r="P11" s="281"/>
      <c r="Q11" s="281"/>
      <c r="R11" s="1114"/>
    </row>
    <row r="12" spans="2:18" x14ac:dyDescent="0.2">
      <c r="B12" s="1110" t="s">
        <v>709</v>
      </c>
      <c r="E12" s="304">
        <f>+E14-E10</f>
        <v>29599.542658935476</v>
      </c>
      <c r="F12" s="1100">
        <v>27357.375</v>
      </c>
      <c r="G12" s="1115">
        <f>(E12-F12)*(1-F$27)/F$35</f>
        <v>0.67037261189514596</v>
      </c>
      <c r="I12" s="304">
        <f>+I14-I10</f>
        <v>30344.498757010326</v>
      </c>
      <c r="J12" s="1100">
        <v>28205.599999999999</v>
      </c>
      <c r="K12" s="1115">
        <f>(I12-J12)*(1-J$27)/J$35</f>
        <v>0.69569717356045246</v>
      </c>
      <c r="L12" s="391"/>
      <c r="M12" s="1110" t="s">
        <v>709</v>
      </c>
      <c r="P12" s="304">
        <f>+P14-P10</f>
        <v>7764</v>
      </c>
      <c r="Q12" s="1100">
        <v>7542.0164000000004</v>
      </c>
      <c r="R12" s="1115">
        <f>(P12-Q12)*(1-Q$27)/Q$35</f>
        <v>6.4713638807729887E-2</v>
      </c>
    </row>
    <row r="13" spans="2:18" x14ac:dyDescent="0.2">
      <c r="E13" s="33"/>
      <c r="F13" s="33"/>
      <c r="G13" s="1114"/>
      <c r="I13" s="33"/>
      <c r="J13" s="33"/>
      <c r="K13" s="1114"/>
      <c r="L13" s="391"/>
      <c r="P13" s="33"/>
      <c r="Q13" s="33"/>
      <c r="R13" s="1114"/>
    </row>
    <row r="14" spans="2:18" x14ac:dyDescent="0.2">
      <c r="B14" s="1110" t="s">
        <v>893</v>
      </c>
      <c r="E14" s="304">
        <f>Model!BA767</f>
        <v>76018.063531007967</v>
      </c>
      <c r="F14" s="1100">
        <v>74229.455428571004</v>
      </c>
      <c r="G14" s="1115">
        <f>(E14-F14)*(1-F$27)/F$35</f>
        <v>0.5347654893286431</v>
      </c>
      <c r="I14" s="304">
        <f>Model!$BB767</f>
        <v>80472.168858836376</v>
      </c>
      <c r="J14" s="1100">
        <v>77108.266666666997</v>
      </c>
      <c r="K14" s="1115">
        <f>(I14-J14)*(1-J$27)/J$35</f>
        <v>1.094141197453016</v>
      </c>
      <c r="L14" s="391"/>
      <c r="M14" s="1110" t="s">
        <v>893</v>
      </c>
      <c r="P14" s="304">
        <f>Model!$AB767</f>
        <v>18936</v>
      </c>
      <c r="Q14" s="1100">
        <v>18899.748166666999</v>
      </c>
      <c r="R14" s="1115">
        <f>(P14-Q14)*(1-Q$27)/Q$35</f>
        <v>1.0568294452517406E-2</v>
      </c>
    </row>
    <row r="15" spans="2:18" x14ac:dyDescent="0.2">
      <c r="G15" s="1114"/>
      <c r="K15" s="1114"/>
      <c r="L15" s="391"/>
      <c r="R15" s="1114"/>
    </row>
    <row r="16" spans="2:18" x14ac:dyDescent="0.2">
      <c r="B16" s="1110" t="s">
        <v>894</v>
      </c>
      <c r="C16" s="1110"/>
      <c r="E16" s="304">
        <f>Model!BA780</f>
        <v>43042.956197119871</v>
      </c>
      <c r="F16" s="1100">
        <v>42419.152000000002</v>
      </c>
      <c r="G16" s="1115">
        <f>(F16-E16)*(1-F$27)/F$35</f>
        <v>-0.18650757327083337</v>
      </c>
      <c r="I16" s="304">
        <f>Model!$BB780</f>
        <v>43805.293735628256</v>
      </c>
      <c r="J16" s="1100">
        <v>43008.833333333001</v>
      </c>
      <c r="K16" s="1115">
        <f>(J16-I16)*(1-J$27)/J$35</f>
        <v>-0.25905632462198619</v>
      </c>
      <c r="L16" s="391"/>
      <c r="M16" s="1110" t="s">
        <v>894</v>
      </c>
      <c r="N16" s="1110"/>
      <c r="P16" s="304">
        <f>Model!$AB780</f>
        <v>10925</v>
      </c>
      <c r="Q16" s="1100">
        <v>10935.767666667</v>
      </c>
      <c r="R16" s="1115">
        <f>(Q16-P16)*(1-Q$27)/Q$35</f>
        <v>3.1390377103995065E-3</v>
      </c>
    </row>
    <row r="17" spans="2:18" s="1118" customFormat="1" x14ac:dyDescent="0.2">
      <c r="C17" s="1102" t="s">
        <v>738</v>
      </c>
      <c r="D17" s="1102"/>
      <c r="E17" s="27">
        <f>E16/E14</f>
        <v>0.56622010871879858</v>
      </c>
      <c r="F17" s="27">
        <f>F16/F14</f>
        <v>0.57145983026668978</v>
      </c>
      <c r="G17" s="869"/>
      <c r="I17" s="27">
        <f>I16/I14</f>
        <v>0.54435333801517327</v>
      </c>
      <c r="J17" s="27">
        <f>J16/J14</f>
        <v>0.5577720157976942</v>
      </c>
      <c r="K17" s="869"/>
      <c r="L17" s="1102"/>
      <c r="N17" s="1102" t="s">
        <v>738</v>
      </c>
      <c r="P17" s="27">
        <f>P16/P14</f>
        <v>0.57694338825517533</v>
      </c>
      <c r="Q17" s="27">
        <f>Q16/Q14</f>
        <v>0.5786197556829954</v>
      </c>
      <c r="R17" s="869"/>
    </row>
    <row r="18" spans="2:18" x14ac:dyDescent="0.2">
      <c r="G18" s="1114"/>
      <c r="K18" s="1114"/>
      <c r="L18" s="391"/>
      <c r="R18" s="1114"/>
    </row>
    <row r="19" spans="2:18" x14ac:dyDescent="0.2">
      <c r="B19" s="1110" t="s">
        <v>835</v>
      </c>
      <c r="E19" s="304">
        <f>E14-E16</f>
        <v>32975.107333888096</v>
      </c>
      <c r="F19" s="304">
        <f>F14-F16</f>
        <v>31810.303428571002</v>
      </c>
      <c r="G19" s="1115">
        <f>(E19-F19)*(1-F$27)/F$35</f>
        <v>0.34825791605780976</v>
      </c>
      <c r="I19" s="304">
        <f>I14-I16</f>
        <v>36666.875123208119</v>
      </c>
      <c r="J19" s="304">
        <f>J14-J16</f>
        <v>34099.433333333996</v>
      </c>
      <c r="K19" s="1115">
        <f>(I19-J19)*(1-J$27)/J$35</f>
        <v>0.83508487283102961</v>
      </c>
      <c r="L19" s="391"/>
      <c r="M19" s="1110" t="s">
        <v>835</v>
      </c>
      <c r="P19" s="304">
        <f>P14-P16</f>
        <v>8011</v>
      </c>
      <c r="Q19" s="304">
        <f>Q14-Q16</f>
        <v>7963.9804999999997</v>
      </c>
      <c r="R19" s="1115">
        <f>(P19-Q19)*(1-Q$27)/Q$35</f>
        <v>1.3707332162916913E-2</v>
      </c>
    </row>
    <row r="20" spans="2:18" x14ac:dyDescent="0.2">
      <c r="G20" s="1114"/>
      <c r="K20" s="1114"/>
      <c r="L20" s="391"/>
      <c r="R20" s="1114"/>
    </row>
    <row r="21" spans="2:18" x14ac:dyDescent="0.2">
      <c r="B21" s="1110" t="s">
        <v>895</v>
      </c>
      <c r="E21" s="304">
        <f>Model!BA784</f>
        <v>8807.1927513139708</v>
      </c>
      <c r="F21" s="1100">
        <v>8322.8465714289996</v>
      </c>
      <c r="G21" s="1115">
        <f>(F21-E21)*(1-F27)/F35</f>
        <v>-0.14481183526885766</v>
      </c>
      <c r="I21" s="304">
        <f>Model!$BB784</f>
        <v>10323.401815444347</v>
      </c>
      <c r="J21" s="1100">
        <v>9531.8333333329992</v>
      </c>
      <c r="K21" s="1115">
        <f>(J21-I21)*(1-J27)/J35</f>
        <v>-0.25746518103275684</v>
      </c>
      <c r="L21" s="391"/>
      <c r="M21" s="1110" t="s">
        <v>895</v>
      </c>
      <c r="P21" s="304">
        <f>Model!$AB784</f>
        <v>1857</v>
      </c>
      <c r="Q21" s="1100">
        <v>1975.7394999999999</v>
      </c>
      <c r="R21" s="1115">
        <f>(Q21-P21)*(1-Q27)/Q35</f>
        <v>3.4615463102726743E-2</v>
      </c>
    </row>
    <row r="22" spans="2:18" x14ac:dyDescent="0.2">
      <c r="C22" s="1102" t="s">
        <v>224</v>
      </c>
      <c r="E22" s="33">
        <f>Model!BA785</f>
        <v>8252.9100798000291</v>
      </c>
      <c r="F22" s="1099">
        <v>7918.1096319622038</v>
      </c>
      <c r="G22" s="1114">
        <f>(F22-E22)*(1-F27)/F35</f>
        <v>-0.10010003033727924</v>
      </c>
      <c r="I22" s="33">
        <f>Model!$BB785</f>
        <v>9511.1132872677827</v>
      </c>
      <c r="J22" s="1099">
        <v>9041.4129240000002</v>
      </c>
      <c r="K22" s="1114">
        <f>(J22-I22)*(1-J27)/J35</f>
        <v>-0.15277451261997077</v>
      </c>
      <c r="L22" s="391"/>
      <c r="N22" s="1102" t="s">
        <v>224</v>
      </c>
      <c r="P22" s="33">
        <f>Model!$AB785</f>
        <v>1867</v>
      </c>
      <c r="Q22" s="1099">
        <v>1881.2785053000002</v>
      </c>
      <c r="R22" s="1114">
        <f>(Q22-P22)*(1-Q27)/Q35</f>
        <v>4.1625328839539214E-3</v>
      </c>
    </row>
    <row r="23" spans="2:18" x14ac:dyDescent="0.2">
      <c r="C23" s="1102" t="s">
        <v>896</v>
      </c>
      <c r="E23" s="33">
        <f>E21-E22</f>
        <v>554.28267151394175</v>
      </c>
      <c r="F23" s="33">
        <f>F21-F22</f>
        <v>404.73693946679577</v>
      </c>
      <c r="G23" s="1114">
        <f>(F23-E23)*(1-F27)/F35</f>
        <v>-4.471180493157844E-2</v>
      </c>
      <c r="I23" s="33">
        <f>I21-I22</f>
        <v>812.2885281765648</v>
      </c>
      <c r="J23" s="33">
        <f>J21-J22</f>
        <v>490.42040933299904</v>
      </c>
      <c r="K23" s="1114">
        <f>(J23-I23)*(1-J27)/J35</f>
        <v>-0.1046906684127861</v>
      </c>
      <c r="L23" s="391"/>
      <c r="N23" s="1102" t="s">
        <v>896</v>
      </c>
      <c r="P23" s="33">
        <f>P21-P22</f>
        <v>-10</v>
      </c>
      <c r="Q23" s="33">
        <f>Q21-Q22</f>
        <v>94.460994699999674</v>
      </c>
      <c r="R23" s="1114">
        <f>(Q23-P23)*(1-Q27)/Q35</f>
        <v>3.0452930218772819E-2</v>
      </c>
    </row>
    <row r="24" spans="2:18" x14ac:dyDescent="0.2">
      <c r="G24" s="1114"/>
      <c r="K24" s="1114"/>
      <c r="L24" s="391"/>
      <c r="R24" s="1114"/>
    </row>
    <row r="25" spans="2:18" x14ac:dyDescent="0.2">
      <c r="B25" s="1110" t="s">
        <v>711</v>
      </c>
      <c r="E25" s="1128">
        <f>E19-E21</f>
        <v>24167.914582574125</v>
      </c>
      <c r="F25" s="1128">
        <f>F19-F21</f>
        <v>23487.456857142002</v>
      </c>
      <c r="G25" s="1115">
        <f>(E25-F25)*(1-F$27)/F$35</f>
        <v>0.2034460807889521</v>
      </c>
      <c r="I25" s="1128">
        <f>I19-I21</f>
        <v>26343.473307763772</v>
      </c>
      <c r="J25" s="1128">
        <f>J19-J21</f>
        <v>24567.600000000995</v>
      </c>
      <c r="K25" s="1115">
        <f>(I25-J25)*(1-J$27)/J$35</f>
        <v>0.57761969179827344</v>
      </c>
      <c r="L25" s="391"/>
      <c r="M25" s="1110" t="s">
        <v>711</v>
      </c>
      <c r="P25" s="1128">
        <f>P19-P21</f>
        <v>6154</v>
      </c>
      <c r="Q25" s="1128">
        <f>Q19-Q21</f>
        <v>5988.241</v>
      </c>
      <c r="R25" s="1115">
        <f>(P25-Q25)*(1-Q$27)/Q$35</f>
        <v>4.8322795265643585E-2</v>
      </c>
    </row>
    <row r="26" spans="2:18" x14ac:dyDescent="0.2">
      <c r="G26" s="1114"/>
      <c r="K26" s="1114"/>
      <c r="L26" s="391"/>
      <c r="R26" s="1114"/>
    </row>
    <row r="27" spans="2:18" x14ac:dyDescent="0.2">
      <c r="B27" s="1110" t="s">
        <v>254</v>
      </c>
      <c r="E27" s="26">
        <f>Model!BA791</f>
        <v>0.25358956748856687</v>
      </c>
      <c r="F27" s="1101">
        <v>0.25014285999999997</v>
      </c>
      <c r="G27" s="1114">
        <f>+G33-G14-G16-G21</f>
        <v>-3.3341581075330556E-2</v>
      </c>
      <c r="I27" s="26">
        <f>Model!$BB791</f>
        <v>0.24999999999999981</v>
      </c>
      <c r="J27" s="1101">
        <v>0.248</v>
      </c>
      <c r="K27" s="1114">
        <f>+K33-K14-K16-K21</f>
        <v>-9.6068960048018404E-2</v>
      </c>
      <c r="L27" s="391"/>
      <c r="M27" s="1110" t="s">
        <v>254</v>
      </c>
      <c r="P27" s="26">
        <f>Model!$AB791</f>
        <v>0.24455638609034774</v>
      </c>
      <c r="Q27" s="1101">
        <v>0.25</v>
      </c>
      <c r="R27" s="1114">
        <f>+R33-R14-R16-R21</f>
        <v>6.2516114823042979E-3</v>
      </c>
    </row>
    <row r="28" spans="2:18" x14ac:dyDescent="0.2">
      <c r="G28" s="1114"/>
      <c r="K28" s="1114"/>
      <c r="L28" s="391"/>
      <c r="R28" s="1114"/>
    </row>
    <row r="29" spans="2:18" x14ac:dyDescent="0.2">
      <c r="B29" s="1110" t="s">
        <v>897</v>
      </c>
      <c r="E29" s="304">
        <f>Model!BA9</f>
        <v>18039.183576478525</v>
      </c>
      <c r="F29" s="1100"/>
      <c r="G29" s="1115"/>
      <c r="I29" s="304">
        <f>Model!$BB9</f>
        <v>19757.604980822834</v>
      </c>
      <c r="J29" s="1100"/>
      <c r="K29" s="1115"/>
      <c r="L29" s="391"/>
      <c r="M29" s="1110" t="s">
        <v>897</v>
      </c>
      <c r="P29" s="304">
        <f>Model!$AB9</f>
        <v>4649</v>
      </c>
      <c r="Q29" s="1100">
        <v>4163.5973333330003</v>
      </c>
      <c r="R29" s="1115"/>
    </row>
    <row r="30" spans="2:18" x14ac:dyDescent="0.2">
      <c r="C30" s="1102" t="s">
        <v>898</v>
      </c>
      <c r="E30" s="33">
        <f>Model!BA11</f>
        <v>1202</v>
      </c>
      <c r="F30" s="33"/>
      <c r="G30" s="1114"/>
      <c r="I30" s="33">
        <f>Model!$BB11</f>
        <v>1306</v>
      </c>
      <c r="J30" s="33"/>
      <c r="K30" s="1114"/>
      <c r="L30" s="391"/>
      <c r="N30" s="1102" t="s">
        <v>898</v>
      </c>
      <c r="P30" s="33">
        <f>Model!$AB11</f>
        <v>301</v>
      </c>
      <c r="Q30" s="33"/>
      <c r="R30" s="1114"/>
    </row>
    <row r="31" spans="2:18" x14ac:dyDescent="0.2">
      <c r="C31" s="1102" t="s">
        <v>899</v>
      </c>
      <c r="E31" s="33">
        <f>Model!BA12</f>
        <v>76.423906398376985</v>
      </c>
      <c r="F31" s="33"/>
      <c r="G31" s="1114"/>
      <c r="I31" s="33">
        <f>Model!$BB12</f>
        <v>81.893208355595291</v>
      </c>
      <c r="J31" s="33"/>
      <c r="K31" s="1114"/>
      <c r="L31" s="391"/>
      <c r="N31" s="1102" t="s">
        <v>899</v>
      </c>
      <c r="P31" s="33">
        <f>Model!$AB12</f>
        <v>22</v>
      </c>
      <c r="Q31" s="33"/>
      <c r="R31" s="1114"/>
    </row>
    <row r="32" spans="2:18" x14ac:dyDescent="0.2">
      <c r="B32" s="1117"/>
      <c r="C32" s="1117" t="s">
        <v>900</v>
      </c>
      <c r="E32" s="132">
        <f>Model!BA13</f>
        <v>117.32624309610488</v>
      </c>
      <c r="F32" s="132"/>
      <c r="G32" s="1116"/>
      <c r="I32" s="132">
        <f>Model!$BB13</f>
        <v>131.69981399365037</v>
      </c>
      <c r="J32" s="132"/>
      <c r="K32" s="1116"/>
      <c r="L32" s="391"/>
      <c r="M32" s="1117"/>
      <c r="N32" s="1117" t="s">
        <v>900</v>
      </c>
      <c r="P32" s="132">
        <f>Model!$AB13</f>
        <v>22</v>
      </c>
      <c r="Q32" s="132"/>
      <c r="R32" s="1116"/>
    </row>
    <row r="33" spans="1:18" x14ac:dyDescent="0.2">
      <c r="B33" s="1110" t="s">
        <v>901</v>
      </c>
      <c r="E33" s="304">
        <f>Model!BA14</f>
        <v>16643.433426984044</v>
      </c>
      <c r="F33" s="1100">
        <v>16216.808571428999</v>
      </c>
      <c r="G33" s="1115">
        <f>(E33-F33)/F35</f>
        <v>0.17010449971362154</v>
      </c>
      <c r="I33" s="304">
        <f>Model!$BB14</f>
        <v>18238.011958473588</v>
      </c>
      <c r="J33" s="1100">
        <v>17124.666666666999</v>
      </c>
      <c r="K33" s="1115">
        <f>(I33-J33)/J35</f>
        <v>0.48155073175025459</v>
      </c>
      <c r="L33" s="391"/>
      <c r="M33" s="1110" t="s">
        <v>901</v>
      </c>
      <c r="P33" s="304">
        <f>Model!$AB14</f>
        <v>4304</v>
      </c>
      <c r="Q33" s="1100">
        <v>4163.5973333330003</v>
      </c>
      <c r="R33" s="1115">
        <f>(P33-Q33)/Q35</f>
        <v>5.4574406747947952E-2</v>
      </c>
    </row>
    <row r="34" spans="1:18" x14ac:dyDescent="0.2">
      <c r="G34" s="1114"/>
      <c r="K34" s="1114"/>
      <c r="L34" s="391"/>
      <c r="R34" s="1114"/>
    </row>
    <row r="35" spans="1:18" x14ac:dyDescent="0.2">
      <c r="B35" s="1102" t="s">
        <v>713</v>
      </c>
      <c r="E35" s="33">
        <f>Model!BA1326</f>
        <v>2504.1623538881313</v>
      </c>
      <c r="F35" s="1099">
        <v>2508.01628571429</v>
      </c>
      <c r="G35" s="1114">
        <f>E33/E35-E33/F35</f>
        <v>1.0213018452712497E-2</v>
      </c>
      <c r="I35" s="33">
        <f>Model!$BB1326</f>
        <v>2289.6142155271455</v>
      </c>
      <c r="J35" s="1099">
        <v>2312</v>
      </c>
      <c r="K35" s="1114">
        <f>I33/I35-I33/J35</f>
        <v>7.7125798192527739E-2</v>
      </c>
      <c r="L35" s="391"/>
      <c r="M35" s="1102" t="s">
        <v>713</v>
      </c>
      <c r="P35" s="33">
        <f>Model!$AB1326</f>
        <v>2563</v>
      </c>
      <c r="Q35" s="1099">
        <v>2572.6833333333302</v>
      </c>
      <c r="R35" s="1114">
        <f>P33/P35-P33/Q35</f>
        <v>6.3206567400091451E-3</v>
      </c>
    </row>
    <row r="36" spans="1:18" ht="12" thickBot="1" x14ac:dyDescent="0.25">
      <c r="E36" s="1102" t="s">
        <v>22</v>
      </c>
      <c r="I36" s="1102" t="s">
        <v>22</v>
      </c>
      <c r="L36" s="391"/>
      <c r="P36" s="1102" t="s">
        <v>22</v>
      </c>
    </row>
    <row r="37" spans="1:18" ht="12" thickBot="1" x14ac:dyDescent="0.25">
      <c r="B37" s="1110" t="s">
        <v>712</v>
      </c>
      <c r="E37" s="1113">
        <f>Model!BA30</f>
        <v>6.65</v>
      </c>
      <c r="F37" s="1112">
        <f>F39</f>
        <v>6.43</v>
      </c>
      <c r="G37" s="1111">
        <f>(ROUND(E37,2))-(ROUND(F37,2))</f>
        <v>0.22000000000000064</v>
      </c>
      <c r="I37" s="1113">
        <f>Model!$BB30</f>
        <v>7.97</v>
      </c>
      <c r="J37" s="1112">
        <f>J39</f>
        <v>7.3929999999999998</v>
      </c>
      <c r="K37" s="1111">
        <f>(ROUND(I37,2))-(ROUND(J37,2))</f>
        <v>0.58000000000000007</v>
      </c>
      <c r="L37" s="238"/>
      <c r="M37" s="1110" t="s">
        <v>712</v>
      </c>
      <c r="P37" s="1113">
        <f>Model!$AB30</f>
        <v>1.68</v>
      </c>
      <c r="Q37" s="1112">
        <f>Q39</f>
        <v>1.613</v>
      </c>
      <c r="R37" s="1111">
        <f>(ROUND(P37,2))-(ROUND(Q37,2))</f>
        <v>6.999999999999984E-2</v>
      </c>
    </row>
    <row r="38" spans="1:18" x14ac:dyDescent="0.2">
      <c r="B38" s="1110"/>
      <c r="E38" s="1105"/>
      <c r="F38" s="1109"/>
      <c r="G38" s="1105"/>
      <c r="I38" s="1105"/>
      <c r="J38" s="1109"/>
      <c r="K38" s="1105"/>
      <c r="L38" s="238"/>
      <c r="M38" s="1110"/>
      <c r="P38" s="1105"/>
      <c r="Q38" s="1109"/>
      <c r="R38" s="1105"/>
    </row>
    <row r="39" spans="1:18" s="1106" customFormat="1" x14ac:dyDescent="0.2">
      <c r="C39" s="1106" t="s">
        <v>1159</v>
      </c>
      <c r="E39" s="1108">
        <f t="shared" ref="E39:E41" si="0">E$37</f>
        <v>6.65</v>
      </c>
      <c r="F39" s="1130">
        <v>6.43</v>
      </c>
      <c r="G39" s="1107">
        <f>E39/F39-1</f>
        <v>3.4214618973561484E-2</v>
      </c>
      <c r="I39" s="1108">
        <f t="shared" ref="I39:I41" si="1">I$37</f>
        <v>7.97</v>
      </c>
      <c r="J39" s="1130">
        <v>7.3929999999999998</v>
      </c>
      <c r="K39" s="1107">
        <f>I39/J39-1</f>
        <v>7.8046801027999546E-2</v>
      </c>
      <c r="N39" s="1106" t="s">
        <v>1159</v>
      </c>
      <c r="P39" s="1108">
        <f t="shared" ref="P39:P41" si="2">P$37</f>
        <v>1.68</v>
      </c>
      <c r="Q39" s="1130">
        <v>1.613</v>
      </c>
      <c r="R39" s="1107">
        <f>P39/Q39-1</f>
        <v>4.1537507749535019E-2</v>
      </c>
    </row>
    <row r="40" spans="1:18" x14ac:dyDescent="0.2">
      <c r="C40" s="1102" t="s">
        <v>1160</v>
      </c>
      <c r="E40" s="1105">
        <f t="shared" si="0"/>
        <v>6.65</v>
      </c>
      <c r="F40" s="1104">
        <v>6.7</v>
      </c>
      <c r="G40" s="1103">
        <f>E40/F40-1</f>
        <v>-7.4626865671642006E-3</v>
      </c>
      <c r="I40" s="1105">
        <f t="shared" si="1"/>
        <v>7.97</v>
      </c>
      <c r="J40" s="1104">
        <v>8.0299999999999994</v>
      </c>
      <c r="K40" s="1103">
        <f>I40/J40-1</f>
        <v>-7.4719800747197196E-3</v>
      </c>
      <c r="N40" s="1102" t="s">
        <v>1160</v>
      </c>
      <c r="P40" s="1105">
        <f t="shared" si="2"/>
        <v>1.68</v>
      </c>
      <c r="Q40" s="1104">
        <v>1.66</v>
      </c>
      <c r="R40" s="1103">
        <f>P40/Q40-1</f>
        <v>1.2048192771084265E-2</v>
      </c>
    </row>
    <row r="41" spans="1:18" x14ac:dyDescent="0.2">
      <c r="C41" s="1102" t="s">
        <v>1161</v>
      </c>
      <c r="E41" s="1105">
        <f t="shared" si="0"/>
        <v>6.65</v>
      </c>
      <c r="F41" s="1104">
        <v>6.07</v>
      </c>
      <c r="G41" s="1103">
        <f>E41/F41-1</f>
        <v>9.5551894563426609E-2</v>
      </c>
      <c r="I41" s="1105">
        <f t="shared" si="1"/>
        <v>7.97</v>
      </c>
      <c r="J41" s="1104">
        <v>6.42</v>
      </c>
      <c r="K41" s="1103">
        <f>I41/J41-1</f>
        <v>0.24143302180685366</v>
      </c>
      <c r="N41" s="1102" t="s">
        <v>1161</v>
      </c>
      <c r="P41" s="1105">
        <f t="shared" si="2"/>
        <v>1.68</v>
      </c>
      <c r="Q41" s="1104">
        <v>1.55</v>
      </c>
      <c r="R41" s="1103">
        <f>P41/Q41-1</f>
        <v>8.3870967741935365E-2</v>
      </c>
    </row>
    <row r="43" spans="1:18" s="1132" customFormat="1" hidden="1" outlineLevel="1" x14ac:dyDescent="0.2">
      <c r="A43" s="1131" t="s">
        <v>1162</v>
      </c>
      <c r="C43" s="1132" t="s">
        <v>1163</v>
      </c>
      <c r="F43" s="1133" t="str">
        <f>_xll.ThomsonONEAddinShim.SpreadsheetFormulas.TF($A43,"TF.ES.EPS.Mean(period=#1)",,F$2)</f>
        <v xml:space="preserve">                                      #NAME?                                      </v>
      </c>
      <c r="J43" s="1133" t="str">
        <f>_xll.ThomsonONEAddinShim.SpreadsheetFormulas.TF($A43,"TF.ES.EPS.Mean(period=#1)",,J$2)</f>
        <v xml:space="preserve">                                      #NAME?                                      </v>
      </c>
      <c r="Q43" s="1133" t="str">
        <f>_xll.ThomsonONEAddinShim.SpreadsheetFormulas.TF($A43,"TF.ES.EPS.Mean(period=#1)",,Q$2)</f>
        <v xml:space="preserve">             =TF($A43,"TF.ES.EPS.Mean(period=#1)",,Q$2)             </v>
      </c>
    </row>
    <row r="44" spans="1:18" hidden="1" outlineLevel="1" x14ac:dyDescent="0.2">
      <c r="A44" s="1102" t="s">
        <v>1162</v>
      </c>
      <c r="C44" s="1102" t="s">
        <v>1164</v>
      </c>
      <c r="F44" s="1104" t="str">
        <f>_xll.ThomsonONEAddinShim.SpreadsheetFormulas.TF($A44,"TF.ES.EPS.HighEst(period=#1)",,F$2)</f>
        <v xml:space="preserve">                                      #NAME?                                      </v>
      </c>
      <c r="J44" s="1104" t="str">
        <f>_xll.ThomsonONEAddinShim.SpreadsheetFormulas.TF($A44,"TF.ES.EPS.HighEst(period=#1)",,J$2)</f>
        <v xml:space="preserve">                                      #NAME?                                      </v>
      </c>
      <c r="Q44" s="1104" t="str">
        <f>_xll.ThomsonONEAddinShim.SpreadsheetFormulas.TF($A44,"TF.ES.EPS.HighEst(period=#1)",,Q$2)</f>
        <v xml:space="preserve">             =TF($A44,"TF.ES.EPS.HighEst(period=#1)",,Q$2)             </v>
      </c>
    </row>
    <row r="45" spans="1:18" hidden="1" outlineLevel="1" x14ac:dyDescent="0.2">
      <c r="A45" s="1102" t="s">
        <v>1162</v>
      </c>
      <c r="C45" s="1102" t="s">
        <v>1165</v>
      </c>
      <c r="F45" s="1104" t="str">
        <f>_xll.ThomsonONEAddinShim.SpreadsheetFormulas.TF($A45,"TF.ES.EPS.LowEst(period=#1)",,F$2)</f>
        <v xml:space="preserve">                                      #NAME?                                      </v>
      </c>
      <c r="J45" s="1104" t="str">
        <f>_xll.ThomsonONEAddinShim.SpreadsheetFormulas.TF($A45,"TF.ES.EPS.LowEst(period=#1)",,J$2)</f>
        <v xml:space="preserve">                                      #NAME?                                      </v>
      </c>
      <c r="Q45" s="1104" t="str">
        <f>_xll.ThomsonONEAddinShim.SpreadsheetFormulas.TF($A45,"TF.ES.EPS.LowEst(period=#1)",,Q$2)</f>
        <v xml:space="preserve">             =TF($A45,"TF.ES.EPS.LowEst(period=#1)",,Q$2)             </v>
      </c>
    </row>
    <row r="46" spans="1:18" collapsed="1" x14ac:dyDescent="0.2"/>
    <row r="197" collapsed="1" x14ac:dyDescent="0.2"/>
    <row r="284" collapsed="1" x14ac:dyDescent="0.2"/>
  </sheetData>
  <pageMargins left="0" right="0" top="0" bottom="0" header="0" footer="0"/>
  <pageSetup paperSize="5" scale="65" orientation="landscape" r:id="rId1"/>
  <headerFooter alignWithMargins="0">
    <oddHeader>&amp;C&amp;F</oddHeader>
  </headerFooter>
  <rowBreaks count="3" manualBreakCount="3">
    <brk id="40" min="2" max="35" man="1"/>
    <brk id="95" min="2" max="35" man="1"/>
    <brk id="139" min="2" max="35" man="1"/>
  </rowBreaks>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1:DU96"/>
  <sheetViews>
    <sheetView workbookViewId="0"/>
  </sheetViews>
  <sheetFormatPr defaultRowHeight="11.25" x14ac:dyDescent="0.2"/>
  <cols>
    <col min="1" max="1" width="2.83203125" style="15" customWidth="1"/>
    <col min="2" max="2" width="1" style="15" customWidth="1"/>
    <col min="3" max="3" width="8.83203125" style="15" customWidth="1"/>
    <col min="4" max="5" width="9.83203125" style="15" customWidth="1"/>
    <col min="6" max="6" width="10.83203125" style="15" customWidth="1"/>
    <col min="7" max="7" width="11.83203125" style="15" customWidth="1"/>
    <col min="8" max="8" width="2.83203125" style="15" customWidth="1"/>
    <col min="9" max="9" width="12.1640625" style="15" customWidth="1"/>
    <col min="10" max="10" width="12.83203125" style="15" customWidth="1"/>
    <col min="11" max="11" width="7.83203125" style="15" customWidth="1"/>
    <col min="12" max="12" width="8.83203125" style="15" customWidth="1"/>
    <col min="13" max="13" width="1.83203125" style="15" customWidth="1"/>
    <col min="14" max="14" width="10.83203125" style="15" customWidth="1"/>
    <col min="15" max="15" width="9.83203125" style="15" customWidth="1"/>
    <col min="16" max="16" width="1.83203125" style="15" customWidth="1"/>
    <col min="17" max="18" width="10.83203125" style="15" customWidth="1"/>
    <col min="19" max="19" width="1.83203125" style="15" customWidth="1"/>
    <col min="20" max="20" width="10.83203125" style="15" customWidth="1"/>
    <col min="21" max="21" width="12.83203125" style="15" customWidth="1"/>
    <col min="22" max="22" width="9" style="15" customWidth="1"/>
    <col min="23" max="24" width="2.83203125" style="15" customWidth="1"/>
    <col min="25" max="25" width="44.83203125" style="15" customWidth="1"/>
    <col min="26" max="125" width="12.83203125" style="15" customWidth="1"/>
    <col min="126" max="257" width="9.33203125" style="15"/>
    <col min="258" max="258" width="1" style="15" customWidth="1"/>
    <col min="259" max="259" width="8.83203125" style="15" customWidth="1"/>
    <col min="260" max="261" width="9.83203125" style="15" customWidth="1"/>
    <col min="262" max="262" width="10.83203125" style="15" customWidth="1"/>
    <col min="263" max="263" width="11.83203125" style="15" customWidth="1"/>
    <col min="264" max="264" width="2.83203125" style="15" customWidth="1"/>
    <col min="265" max="265" width="12.1640625" style="15" customWidth="1"/>
    <col min="266" max="266" width="12.83203125" style="15" customWidth="1"/>
    <col min="267" max="267" width="7.83203125" style="15" customWidth="1"/>
    <col min="268" max="268" width="8.83203125" style="15" customWidth="1"/>
    <col min="269" max="269" width="1.83203125" style="15" customWidth="1"/>
    <col min="270" max="270" width="10.83203125" style="15" customWidth="1"/>
    <col min="271" max="271" width="9.83203125" style="15" customWidth="1"/>
    <col min="272" max="272" width="1.83203125" style="15" customWidth="1"/>
    <col min="273" max="274" width="10.83203125" style="15" customWidth="1"/>
    <col min="275" max="275" width="1.83203125" style="15" customWidth="1"/>
    <col min="276" max="276" width="7.83203125" style="15" customWidth="1"/>
    <col min="277" max="277" width="12.83203125" style="15" customWidth="1"/>
    <col min="278" max="278" width="9" style="15" customWidth="1"/>
    <col min="279" max="280" width="2.83203125" style="15" customWidth="1"/>
    <col min="281" max="281" width="44.83203125" style="15" customWidth="1"/>
    <col min="282" max="381" width="12.83203125" style="15" customWidth="1"/>
    <col min="382" max="513" width="9.33203125" style="15"/>
    <col min="514" max="514" width="1" style="15" customWidth="1"/>
    <col min="515" max="515" width="8.83203125" style="15" customWidth="1"/>
    <col min="516" max="517" width="9.83203125" style="15" customWidth="1"/>
    <col min="518" max="518" width="10.83203125" style="15" customWidth="1"/>
    <col min="519" max="519" width="11.83203125" style="15" customWidth="1"/>
    <col min="520" max="520" width="2.83203125" style="15" customWidth="1"/>
    <col min="521" max="521" width="12.1640625" style="15" customWidth="1"/>
    <col min="522" max="522" width="12.83203125" style="15" customWidth="1"/>
    <col min="523" max="523" width="7.83203125" style="15" customWidth="1"/>
    <col min="524" max="524" width="8.83203125" style="15" customWidth="1"/>
    <col min="525" max="525" width="1.83203125" style="15" customWidth="1"/>
    <col min="526" max="526" width="10.83203125" style="15" customWidth="1"/>
    <col min="527" max="527" width="9.83203125" style="15" customWidth="1"/>
    <col min="528" max="528" width="1.83203125" style="15" customWidth="1"/>
    <col min="529" max="530" width="10.83203125" style="15" customWidth="1"/>
    <col min="531" max="531" width="1.83203125" style="15" customWidth="1"/>
    <col min="532" max="532" width="7.83203125" style="15" customWidth="1"/>
    <col min="533" max="533" width="12.83203125" style="15" customWidth="1"/>
    <col min="534" max="534" width="9" style="15" customWidth="1"/>
    <col min="535" max="536" width="2.83203125" style="15" customWidth="1"/>
    <col min="537" max="537" width="44.83203125" style="15" customWidth="1"/>
    <col min="538" max="637" width="12.83203125" style="15" customWidth="1"/>
    <col min="638" max="769" width="9.33203125" style="15"/>
    <col min="770" max="770" width="1" style="15" customWidth="1"/>
    <col min="771" max="771" width="8.83203125" style="15" customWidth="1"/>
    <col min="772" max="773" width="9.83203125" style="15" customWidth="1"/>
    <col min="774" max="774" width="10.83203125" style="15" customWidth="1"/>
    <col min="775" max="775" width="11.83203125" style="15" customWidth="1"/>
    <col min="776" max="776" width="2.83203125" style="15" customWidth="1"/>
    <col min="777" max="777" width="12.1640625" style="15" customWidth="1"/>
    <col min="778" max="778" width="12.83203125" style="15" customWidth="1"/>
    <col min="779" max="779" width="7.83203125" style="15" customWidth="1"/>
    <col min="780" max="780" width="8.83203125" style="15" customWidth="1"/>
    <col min="781" max="781" width="1.83203125" style="15" customWidth="1"/>
    <col min="782" max="782" width="10.83203125" style="15" customWidth="1"/>
    <col min="783" max="783" width="9.83203125" style="15" customWidth="1"/>
    <col min="784" max="784" width="1.83203125" style="15" customWidth="1"/>
    <col min="785" max="786" width="10.83203125" style="15" customWidth="1"/>
    <col min="787" max="787" width="1.83203125" style="15" customWidth="1"/>
    <col min="788" max="788" width="7.83203125" style="15" customWidth="1"/>
    <col min="789" max="789" width="12.83203125" style="15" customWidth="1"/>
    <col min="790" max="790" width="9" style="15" customWidth="1"/>
    <col min="791" max="792" width="2.83203125" style="15" customWidth="1"/>
    <col min="793" max="793" width="44.83203125" style="15" customWidth="1"/>
    <col min="794" max="893" width="12.83203125" style="15" customWidth="1"/>
    <col min="894" max="1025" width="9.33203125" style="15"/>
    <col min="1026" max="1026" width="1" style="15" customWidth="1"/>
    <col min="1027" max="1027" width="8.83203125" style="15" customWidth="1"/>
    <col min="1028" max="1029" width="9.83203125" style="15" customWidth="1"/>
    <col min="1030" max="1030" width="10.83203125" style="15" customWidth="1"/>
    <col min="1031" max="1031" width="11.83203125" style="15" customWidth="1"/>
    <col min="1032" max="1032" width="2.83203125" style="15" customWidth="1"/>
    <col min="1033" max="1033" width="12.1640625" style="15" customWidth="1"/>
    <col min="1034" max="1034" width="12.83203125" style="15" customWidth="1"/>
    <col min="1035" max="1035" width="7.83203125" style="15" customWidth="1"/>
    <col min="1036" max="1036" width="8.83203125" style="15" customWidth="1"/>
    <col min="1037" max="1037" width="1.83203125" style="15" customWidth="1"/>
    <col min="1038" max="1038" width="10.83203125" style="15" customWidth="1"/>
    <col min="1039" max="1039" width="9.83203125" style="15" customWidth="1"/>
    <col min="1040" max="1040" width="1.83203125" style="15" customWidth="1"/>
    <col min="1041" max="1042" width="10.83203125" style="15" customWidth="1"/>
    <col min="1043" max="1043" width="1.83203125" style="15" customWidth="1"/>
    <col min="1044" max="1044" width="7.83203125" style="15" customWidth="1"/>
    <col min="1045" max="1045" width="12.83203125" style="15" customWidth="1"/>
    <col min="1046" max="1046" width="9" style="15" customWidth="1"/>
    <col min="1047" max="1048" width="2.83203125" style="15" customWidth="1"/>
    <col min="1049" max="1049" width="44.83203125" style="15" customWidth="1"/>
    <col min="1050" max="1149" width="12.83203125" style="15" customWidth="1"/>
    <col min="1150" max="1281" width="9.33203125" style="15"/>
    <col min="1282" max="1282" width="1" style="15" customWidth="1"/>
    <col min="1283" max="1283" width="8.83203125" style="15" customWidth="1"/>
    <col min="1284" max="1285" width="9.83203125" style="15" customWidth="1"/>
    <col min="1286" max="1286" width="10.83203125" style="15" customWidth="1"/>
    <col min="1287" max="1287" width="11.83203125" style="15" customWidth="1"/>
    <col min="1288" max="1288" width="2.83203125" style="15" customWidth="1"/>
    <col min="1289" max="1289" width="12.1640625" style="15" customWidth="1"/>
    <col min="1290" max="1290" width="12.83203125" style="15" customWidth="1"/>
    <col min="1291" max="1291" width="7.83203125" style="15" customWidth="1"/>
    <col min="1292" max="1292" width="8.83203125" style="15" customWidth="1"/>
    <col min="1293" max="1293" width="1.83203125" style="15" customWidth="1"/>
    <col min="1294" max="1294" width="10.83203125" style="15" customWidth="1"/>
    <col min="1295" max="1295" width="9.83203125" style="15" customWidth="1"/>
    <col min="1296" max="1296" width="1.83203125" style="15" customWidth="1"/>
    <col min="1297" max="1298" width="10.83203125" style="15" customWidth="1"/>
    <col min="1299" max="1299" width="1.83203125" style="15" customWidth="1"/>
    <col min="1300" max="1300" width="7.83203125" style="15" customWidth="1"/>
    <col min="1301" max="1301" width="12.83203125" style="15" customWidth="1"/>
    <col min="1302" max="1302" width="9" style="15" customWidth="1"/>
    <col min="1303" max="1304" width="2.83203125" style="15" customWidth="1"/>
    <col min="1305" max="1305" width="44.83203125" style="15" customWidth="1"/>
    <col min="1306" max="1405" width="12.83203125" style="15" customWidth="1"/>
    <col min="1406" max="1537" width="9.33203125" style="15"/>
    <col min="1538" max="1538" width="1" style="15" customWidth="1"/>
    <col min="1539" max="1539" width="8.83203125" style="15" customWidth="1"/>
    <col min="1540" max="1541" width="9.83203125" style="15" customWidth="1"/>
    <col min="1542" max="1542" width="10.83203125" style="15" customWidth="1"/>
    <col min="1543" max="1543" width="11.83203125" style="15" customWidth="1"/>
    <col min="1544" max="1544" width="2.83203125" style="15" customWidth="1"/>
    <col min="1545" max="1545" width="12.1640625" style="15" customWidth="1"/>
    <col min="1546" max="1546" width="12.83203125" style="15" customWidth="1"/>
    <col min="1547" max="1547" width="7.83203125" style="15" customWidth="1"/>
    <col min="1548" max="1548" width="8.83203125" style="15" customWidth="1"/>
    <col min="1549" max="1549" width="1.83203125" style="15" customWidth="1"/>
    <col min="1550" max="1550" width="10.83203125" style="15" customWidth="1"/>
    <col min="1551" max="1551" width="9.83203125" style="15" customWidth="1"/>
    <col min="1552" max="1552" width="1.83203125" style="15" customWidth="1"/>
    <col min="1553" max="1554" width="10.83203125" style="15" customWidth="1"/>
    <col min="1555" max="1555" width="1.83203125" style="15" customWidth="1"/>
    <col min="1556" max="1556" width="7.83203125" style="15" customWidth="1"/>
    <col min="1557" max="1557" width="12.83203125" style="15" customWidth="1"/>
    <col min="1558" max="1558" width="9" style="15" customWidth="1"/>
    <col min="1559" max="1560" width="2.83203125" style="15" customWidth="1"/>
    <col min="1561" max="1561" width="44.83203125" style="15" customWidth="1"/>
    <col min="1562" max="1661" width="12.83203125" style="15" customWidth="1"/>
    <col min="1662" max="1793" width="9.33203125" style="15"/>
    <col min="1794" max="1794" width="1" style="15" customWidth="1"/>
    <col min="1795" max="1795" width="8.83203125" style="15" customWidth="1"/>
    <col min="1796" max="1797" width="9.83203125" style="15" customWidth="1"/>
    <col min="1798" max="1798" width="10.83203125" style="15" customWidth="1"/>
    <col min="1799" max="1799" width="11.83203125" style="15" customWidth="1"/>
    <col min="1800" max="1800" width="2.83203125" style="15" customWidth="1"/>
    <col min="1801" max="1801" width="12.1640625" style="15" customWidth="1"/>
    <col min="1802" max="1802" width="12.83203125" style="15" customWidth="1"/>
    <col min="1803" max="1803" width="7.83203125" style="15" customWidth="1"/>
    <col min="1804" max="1804" width="8.83203125" style="15" customWidth="1"/>
    <col min="1805" max="1805" width="1.83203125" style="15" customWidth="1"/>
    <col min="1806" max="1806" width="10.83203125" style="15" customWidth="1"/>
    <col min="1807" max="1807" width="9.83203125" style="15" customWidth="1"/>
    <col min="1808" max="1808" width="1.83203125" style="15" customWidth="1"/>
    <col min="1809" max="1810" width="10.83203125" style="15" customWidth="1"/>
    <col min="1811" max="1811" width="1.83203125" style="15" customWidth="1"/>
    <col min="1812" max="1812" width="7.83203125" style="15" customWidth="1"/>
    <col min="1813" max="1813" width="12.83203125" style="15" customWidth="1"/>
    <col min="1814" max="1814" width="9" style="15" customWidth="1"/>
    <col min="1815" max="1816" width="2.83203125" style="15" customWidth="1"/>
    <col min="1817" max="1817" width="44.83203125" style="15" customWidth="1"/>
    <col min="1818" max="1917" width="12.83203125" style="15" customWidth="1"/>
    <col min="1918" max="2049" width="9.33203125" style="15"/>
    <col min="2050" max="2050" width="1" style="15" customWidth="1"/>
    <col min="2051" max="2051" width="8.83203125" style="15" customWidth="1"/>
    <col min="2052" max="2053" width="9.83203125" style="15" customWidth="1"/>
    <col min="2054" max="2054" width="10.83203125" style="15" customWidth="1"/>
    <col min="2055" max="2055" width="11.83203125" style="15" customWidth="1"/>
    <col min="2056" max="2056" width="2.83203125" style="15" customWidth="1"/>
    <col min="2057" max="2057" width="12.1640625" style="15" customWidth="1"/>
    <col min="2058" max="2058" width="12.83203125" style="15" customWidth="1"/>
    <col min="2059" max="2059" width="7.83203125" style="15" customWidth="1"/>
    <col min="2060" max="2060" width="8.83203125" style="15" customWidth="1"/>
    <col min="2061" max="2061" width="1.83203125" style="15" customWidth="1"/>
    <col min="2062" max="2062" width="10.83203125" style="15" customWidth="1"/>
    <col min="2063" max="2063" width="9.83203125" style="15" customWidth="1"/>
    <col min="2064" max="2064" width="1.83203125" style="15" customWidth="1"/>
    <col min="2065" max="2066" width="10.83203125" style="15" customWidth="1"/>
    <col min="2067" max="2067" width="1.83203125" style="15" customWidth="1"/>
    <col min="2068" max="2068" width="7.83203125" style="15" customWidth="1"/>
    <col min="2069" max="2069" width="12.83203125" style="15" customWidth="1"/>
    <col min="2070" max="2070" width="9" style="15" customWidth="1"/>
    <col min="2071" max="2072" width="2.83203125" style="15" customWidth="1"/>
    <col min="2073" max="2073" width="44.83203125" style="15" customWidth="1"/>
    <col min="2074" max="2173" width="12.83203125" style="15" customWidth="1"/>
    <col min="2174" max="2305" width="9.33203125" style="15"/>
    <col min="2306" max="2306" width="1" style="15" customWidth="1"/>
    <col min="2307" max="2307" width="8.83203125" style="15" customWidth="1"/>
    <col min="2308" max="2309" width="9.83203125" style="15" customWidth="1"/>
    <col min="2310" max="2310" width="10.83203125" style="15" customWidth="1"/>
    <col min="2311" max="2311" width="11.83203125" style="15" customWidth="1"/>
    <col min="2312" max="2312" width="2.83203125" style="15" customWidth="1"/>
    <col min="2313" max="2313" width="12.1640625" style="15" customWidth="1"/>
    <col min="2314" max="2314" width="12.83203125" style="15" customWidth="1"/>
    <col min="2315" max="2315" width="7.83203125" style="15" customWidth="1"/>
    <col min="2316" max="2316" width="8.83203125" style="15" customWidth="1"/>
    <col min="2317" max="2317" width="1.83203125" style="15" customWidth="1"/>
    <col min="2318" max="2318" width="10.83203125" style="15" customWidth="1"/>
    <col min="2319" max="2319" width="9.83203125" style="15" customWidth="1"/>
    <col min="2320" max="2320" width="1.83203125" style="15" customWidth="1"/>
    <col min="2321" max="2322" width="10.83203125" style="15" customWidth="1"/>
    <col min="2323" max="2323" width="1.83203125" style="15" customWidth="1"/>
    <col min="2324" max="2324" width="7.83203125" style="15" customWidth="1"/>
    <col min="2325" max="2325" width="12.83203125" style="15" customWidth="1"/>
    <col min="2326" max="2326" width="9" style="15" customWidth="1"/>
    <col min="2327" max="2328" width="2.83203125" style="15" customWidth="1"/>
    <col min="2329" max="2329" width="44.83203125" style="15" customWidth="1"/>
    <col min="2330" max="2429" width="12.83203125" style="15" customWidth="1"/>
    <col min="2430" max="2561" width="9.33203125" style="15"/>
    <col min="2562" max="2562" width="1" style="15" customWidth="1"/>
    <col min="2563" max="2563" width="8.83203125" style="15" customWidth="1"/>
    <col min="2564" max="2565" width="9.83203125" style="15" customWidth="1"/>
    <col min="2566" max="2566" width="10.83203125" style="15" customWidth="1"/>
    <col min="2567" max="2567" width="11.83203125" style="15" customWidth="1"/>
    <col min="2568" max="2568" width="2.83203125" style="15" customWidth="1"/>
    <col min="2569" max="2569" width="12.1640625" style="15" customWidth="1"/>
    <col min="2570" max="2570" width="12.83203125" style="15" customWidth="1"/>
    <col min="2571" max="2571" width="7.83203125" style="15" customWidth="1"/>
    <col min="2572" max="2572" width="8.83203125" style="15" customWidth="1"/>
    <col min="2573" max="2573" width="1.83203125" style="15" customWidth="1"/>
    <col min="2574" max="2574" width="10.83203125" style="15" customWidth="1"/>
    <col min="2575" max="2575" width="9.83203125" style="15" customWidth="1"/>
    <col min="2576" max="2576" width="1.83203125" style="15" customWidth="1"/>
    <col min="2577" max="2578" width="10.83203125" style="15" customWidth="1"/>
    <col min="2579" max="2579" width="1.83203125" style="15" customWidth="1"/>
    <col min="2580" max="2580" width="7.83203125" style="15" customWidth="1"/>
    <col min="2581" max="2581" width="12.83203125" style="15" customWidth="1"/>
    <col min="2582" max="2582" width="9" style="15" customWidth="1"/>
    <col min="2583" max="2584" width="2.83203125" style="15" customWidth="1"/>
    <col min="2585" max="2585" width="44.83203125" style="15" customWidth="1"/>
    <col min="2586" max="2685" width="12.83203125" style="15" customWidth="1"/>
    <col min="2686" max="2817" width="9.33203125" style="15"/>
    <col min="2818" max="2818" width="1" style="15" customWidth="1"/>
    <col min="2819" max="2819" width="8.83203125" style="15" customWidth="1"/>
    <col min="2820" max="2821" width="9.83203125" style="15" customWidth="1"/>
    <col min="2822" max="2822" width="10.83203125" style="15" customWidth="1"/>
    <col min="2823" max="2823" width="11.83203125" style="15" customWidth="1"/>
    <col min="2824" max="2824" width="2.83203125" style="15" customWidth="1"/>
    <col min="2825" max="2825" width="12.1640625" style="15" customWidth="1"/>
    <col min="2826" max="2826" width="12.83203125" style="15" customWidth="1"/>
    <col min="2827" max="2827" width="7.83203125" style="15" customWidth="1"/>
    <col min="2828" max="2828" width="8.83203125" style="15" customWidth="1"/>
    <col min="2829" max="2829" width="1.83203125" style="15" customWidth="1"/>
    <col min="2830" max="2830" width="10.83203125" style="15" customWidth="1"/>
    <col min="2831" max="2831" width="9.83203125" style="15" customWidth="1"/>
    <col min="2832" max="2832" width="1.83203125" style="15" customWidth="1"/>
    <col min="2833" max="2834" width="10.83203125" style="15" customWidth="1"/>
    <col min="2835" max="2835" width="1.83203125" style="15" customWidth="1"/>
    <col min="2836" max="2836" width="7.83203125" style="15" customWidth="1"/>
    <col min="2837" max="2837" width="12.83203125" style="15" customWidth="1"/>
    <col min="2838" max="2838" width="9" style="15" customWidth="1"/>
    <col min="2839" max="2840" width="2.83203125" style="15" customWidth="1"/>
    <col min="2841" max="2841" width="44.83203125" style="15" customWidth="1"/>
    <col min="2842" max="2941" width="12.83203125" style="15" customWidth="1"/>
    <col min="2942" max="3073" width="9.33203125" style="15"/>
    <col min="3074" max="3074" width="1" style="15" customWidth="1"/>
    <col min="3075" max="3075" width="8.83203125" style="15" customWidth="1"/>
    <col min="3076" max="3077" width="9.83203125" style="15" customWidth="1"/>
    <col min="3078" max="3078" width="10.83203125" style="15" customWidth="1"/>
    <col min="3079" max="3079" width="11.83203125" style="15" customWidth="1"/>
    <col min="3080" max="3080" width="2.83203125" style="15" customWidth="1"/>
    <col min="3081" max="3081" width="12.1640625" style="15" customWidth="1"/>
    <col min="3082" max="3082" width="12.83203125" style="15" customWidth="1"/>
    <col min="3083" max="3083" width="7.83203125" style="15" customWidth="1"/>
    <col min="3084" max="3084" width="8.83203125" style="15" customWidth="1"/>
    <col min="3085" max="3085" width="1.83203125" style="15" customWidth="1"/>
    <col min="3086" max="3086" width="10.83203125" style="15" customWidth="1"/>
    <col min="3087" max="3087" width="9.83203125" style="15" customWidth="1"/>
    <col min="3088" max="3088" width="1.83203125" style="15" customWidth="1"/>
    <col min="3089" max="3090" width="10.83203125" style="15" customWidth="1"/>
    <col min="3091" max="3091" width="1.83203125" style="15" customWidth="1"/>
    <col min="3092" max="3092" width="7.83203125" style="15" customWidth="1"/>
    <col min="3093" max="3093" width="12.83203125" style="15" customWidth="1"/>
    <col min="3094" max="3094" width="9" style="15" customWidth="1"/>
    <col min="3095" max="3096" width="2.83203125" style="15" customWidth="1"/>
    <col min="3097" max="3097" width="44.83203125" style="15" customWidth="1"/>
    <col min="3098" max="3197" width="12.83203125" style="15" customWidth="1"/>
    <col min="3198" max="3329" width="9.33203125" style="15"/>
    <col min="3330" max="3330" width="1" style="15" customWidth="1"/>
    <col min="3331" max="3331" width="8.83203125" style="15" customWidth="1"/>
    <col min="3332" max="3333" width="9.83203125" style="15" customWidth="1"/>
    <col min="3334" max="3334" width="10.83203125" style="15" customWidth="1"/>
    <col min="3335" max="3335" width="11.83203125" style="15" customWidth="1"/>
    <col min="3336" max="3336" width="2.83203125" style="15" customWidth="1"/>
    <col min="3337" max="3337" width="12.1640625" style="15" customWidth="1"/>
    <col min="3338" max="3338" width="12.83203125" style="15" customWidth="1"/>
    <col min="3339" max="3339" width="7.83203125" style="15" customWidth="1"/>
    <col min="3340" max="3340" width="8.83203125" style="15" customWidth="1"/>
    <col min="3341" max="3341" width="1.83203125" style="15" customWidth="1"/>
    <col min="3342" max="3342" width="10.83203125" style="15" customWidth="1"/>
    <col min="3343" max="3343" width="9.83203125" style="15" customWidth="1"/>
    <col min="3344" max="3344" width="1.83203125" style="15" customWidth="1"/>
    <col min="3345" max="3346" width="10.83203125" style="15" customWidth="1"/>
    <col min="3347" max="3347" width="1.83203125" style="15" customWidth="1"/>
    <col min="3348" max="3348" width="7.83203125" style="15" customWidth="1"/>
    <col min="3349" max="3349" width="12.83203125" style="15" customWidth="1"/>
    <col min="3350" max="3350" width="9" style="15" customWidth="1"/>
    <col min="3351" max="3352" width="2.83203125" style="15" customWidth="1"/>
    <col min="3353" max="3353" width="44.83203125" style="15" customWidth="1"/>
    <col min="3354" max="3453" width="12.83203125" style="15" customWidth="1"/>
    <col min="3454" max="3585" width="9.33203125" style="15"/>
    <col min="3586" max="3586" width="1" style="15" customWidth="1"/>
    <col min="3587" max="3587" width="8.83203125" style="15" customWidth="1"/>
    <col min="3588" max="3589" width="9.83203125" style="15" customWidth="1"/>
    <col min="3590" max="3590" width="10.83203125" style="15" customWidth="1"/>
    <col min="3591" max="3591" width="11.83203125" style="15" customWidth="1"/>
    <col min="3592" max="3592" width="2.83203125" style="15" customWidth="1"/>
    <col min="3593" max="3593" width="12.1640625" style="15" customWidth="1"/>
    <col min="3594" max="3594" width="12.83203125" style="15" customWidth="1"/>
    <col min="3595" max="3595" width="7.83203125" style="15" customWidth="1"/>
    <col min="3596" max="3596" width="8.83203125" style="15" customWidth="1"/>
    <col min="3597" max="3597" width="1.83203125" style="15" customWidth="1"/>
    <col min="3598" max="3598" width="10.83203125" style="15" customWidth="1"/>
    <col min="3599" max="3599" width="9.83203125" style="15" customWidth="1"/>
    <col min="3600" max="3600" width="1.83203125" style="15" customWidth="1"/>
    <col min="3601" max="3602" width="10.83203125" style="15" customWidth="1"/>
    <col min="3603" max="3603" width="1.83203125" style="15" customWidth="1"/>
    <col min="3604" max="3604" width="7.83203125" style="15" customWidth="1"/>
    <col min="3605" max="3605" width="12.83203125" style="15" customWidth="1"/>
    <col min="3606" max="3606" width="9" style="15" customWidth="1"/>
    <col min="3607" max="3608" width="2.83203125" style="15" customWidth="1"/>
    <col min="3609" max="3609" width="44.83203125" style="15" customWidth="1"/>
    <col min="3610" max="3709" width="12.83203125" style="15" customWidth="1"/>
    <col min="3710" max="3841" width="9.33203125" style="15"/>
    <col min="3842" max="3842" width="1" style="15" customWidth="1"/>
    <col min="3843" max="3843" width="8.83203125" style="15" customWidth="1"/>
    <col min="3844" max="3845" width="9.83203125" style="15" customWidth="1"/>
    <col min="3846" max="3846" width="10.83203125" style="15" customWidth="1"/>
    <col min="3847" max="3847" width="11.83203125" style="15" customWidth="1"/>
    <col min="3848" max="3848" width="2.83203125" style="15" customWidth="1"/>
    <col min="3849" max="3849" width="12.1640625" style="15" customWidth="1"/>
    <col min="3850" max="3850" width="12.83203125" style="15" customWidth="1"/>
    <col min="3851" max="3851" width="7.83203125" style="15" customWidth="1"/>
    <col min="3852" max="3852" width="8.83203125" style="15" customWidth="1"/>
    <col min="3853" max="3853" width="1.83203125" style="15" customWidth="1"/>
    <col min="3854" max="3854" width="10.83203125" style="15" customWidth="1"/>
    <col min="3855" max="3855" width="9.83203125" style="15" customWidth="1"/>
    <col min="3856" max="3856" width="1.83203125" style="15" customWidth="1"/>
    <col min="3857" max="3858" width="10.83203125" style="15" customWidth="1"/>
    <col min="3859" max="3859" width="1.83203125" style="15" customWidth="1"/>
    <col min="3860" max="3860" width="7.83203125" style="15" customWidth="1"/>
    <col min="3861" max="3861" width="12.83203125" style="15" customWidth="1"/>
    <col min="3862" max="3862" width="9" style="15" customWidth="1"/>
    <col min="3863" max="3864" width="2.83203125" style="15" customWidth="1"/>
    <col min="3865" max="3865" width="44.83203125" style="15" customWidth="1"/>
    <col min="3866" max="3965" width="12.83203125" style="15" customWidth="1"/>
    <col min="3966" max="4097" width="9.33203125" style="15"/>
    <col min="4098" max="4098" width="1" style="15" customWidth="1"/>
    <col min="4099" max="4099" width="8.83203125" style="15" customWidth="1"/>
    <col min="4100" max="4101" width="9.83203125" style="15" customWidth="1"/>
    <col min="4102" max="4102" width="10.83203125" style="15" customWidth="1"/>
    <col min="4103" max="4103" width="11.83203125" style="15" customWidth="1"/>
    <col min="4104" max="4104" width="2.83203125" style="15" customWidth="1"/>
    <col min="4105" max="4105" width="12.1640625" style="15" customWidth="1"/>
    <col min="4106" max="4106" width="12.83203125" style="15" customWidth="1"/>
    <col min="4107" max="4107" width="7.83203125" style="15" customWidth="1"/>
    <col min="4108" max="4108" width="8.83203125" style="15" customWidth="1"/>
    <col min="4109" max="4109" width="1.83203125" style="15" customWidth="1"/>
    <col min="4110" max="4110" width="10.83203125" style="15" customWidth="1"/>
    <col min="4111" max="4111" width="9.83203125" style="15" customWidth="1"/>
    <col min="4112" max="4112" width="1.83203125" style="15" customWidth="1"/>
    <col min="4113" max="4114" width="10.83203125" style="15" customWidth="1"/>
    <col min="4115" max="4115" width="1.83203125" style="15" customWidth="1"/>
    <col min="4116" max="4116" width="7.83203125" style="15" customWidth="1"/>
    <col min="4117" max="4117" width="12.83203125" style="15" customWidth="1"/>
    <col min="4118" max="4118" width="9" style="15" customWidth="1"/>
    <col min="4119" max="4120" width="2.83203125" style="15" customWidth="1"/>
    <col min="4121" max="4121" width="44.83203125" style="15" customWidth="1"/>
    <col min="4122" max="4221" width="12.83203125" style="15" customWidth="1"/>
    <col min="4222" max="4353" width="9.33203125" style="15"/>
    <col min="4354" max="4354" width="1" style="15" customWidth="1"/>
    <col min="4355" max="4355" width="8.83203125" style="15" customWidth="1"/>
    <col min="4356" max="4357" width="9.83203125" style="15" customWidth="1"/>
    <col min="4358" max="4358" width="10.83203125" style="15" customWidth="1"/>
    <col min="4359" max="4359" width="11.83203125" style="15" customWidth="1"/>
    <col min="4360" max="4360" width="2.83203125" style="15" customWidth="1"/>
    <col min="4361" max="4361" width="12.1640625" style="15" customWidth="1"/>
    <col min="4362" max="4362" width="12.83203125" style="15" customWidth="1"/>
    <col min="4363" max="4363" width="7.83203125" style="15" customWidth="1"/>
    <col min="4364" max="4364" width="8.83203125" style="15" customWidth="1"/>
    <col min="4365" max="4365" width="1.83203125" style="15" customWidth="1"/>
    <col min="4366" max="4366" width="10.83203125" style="15" customWidth="1"/>
    <col min="4367" max="4367" width="9.83203125" style="15" customWidth="1"/>
    <col min="4368" max="4368" width="1.83203125" style="15" customWidth="1"/>
    <col min="4369" max="4370" width="10.83203125" style="15" customWidth="1"/>
    <col min="4371" max="4371" width="1.83203125" style="15" customWidth="1"/>
    <col min="4372" max="4372" width="7.83203125" style="15" customWidth="1"/>
    <col min="4373" max="4373" width="12.83203125" style="15" customWidth="1"/>
    <col min="4374" max="4374" width="9" style="15" customWidth="1"/>
    <col min="4375" max="4376" width="2.83203125" style="15" customWidth="1"/>
    <col min="4377" max="4377" width="44.83203125" style="15" customWidth="1"/>
    <col min="4378" max="4477" width="12.83203125" style="15" customWidth="1"/>
    <col min="4478" max="4609" width="9.33203125" style="15"/>
    <col min="4610" max="4610" width="1" style="15" customWidth="1"/>
    <col min="4611" max="4611" width="8.83203125" style="15" customWidth="1"/>
    <col min="4612" max="4613" width="9.83203125" style="15" customWidth="1"/>
    <col min="4614" max="4614" width="10.83203125" style="15" customWidth="1"/>
    <col min="4615" max="4615" width="11.83203125" style="15" customWidth="1"/>
    <col min="4616" max="4616" width="2.83203125" style="15" customWidth="1"/>
    <col min="4617" max="4617" width="12.1640625" style="15" customWidth="1"/>
    <col min="4618" max="4618" width="12.83203125" style="15" customWidth="1"/>
    <col min="4619" max="4619" width="7.83203125" style="15" customWidth="1"/>
    <col min="4620" max="4620" width="8.83203125" style="15" customWidth="1"/>
    <col min="4621" max="4621" width="1.83203125" style="15" customWidth="1"/>
    <col min="4622" max="4622" width="10.83203125" style="15" customWidth="1"/>
    <col min="4623" max="4623" width="9.83203125" style="15" customWidth="1"/>
    <col min="4624" max="4624" width="1.83203125" style="15" customWidth="1"/>
    <col min="4625" max="4626" width="10.83203125" style="15" customWidth="1"/>
    <col min="4627" max="4627" width="1.83203125" style="15" customWidth="1"/>
    <col min="4628" max="4628" width="7.83203125" style="15" customWidth="1"/>
    <col min="4629" max="4629" width="12.83203125" style="15" customWidth="1"/>
    <col min="4630" max="4630" width="9" style="15" customWidth="1"/>
    <col min="4631" max="4632" width="2.83203125" style="15" customWidth="1"/>
    <col min="4633" max="4633" width="44.83203125" style="15" customWidth="1"/>
    <col min="4634" max="4733" width="12.83203125" style="15" customWidth="1"/>
    <col min="4734" max="4865" width="9.33203125" style="15"/>
    <col min="4866" max="4866" width="1" style="15" customWidth="1"/>
    <col min="4867" max="4867" width="8.83203125" style="15" customWidth="1"/>
    <col min="4868" max="4869" width="9.83203125" style="15" customWidth="1"/>
    <col min="4870" max="4870" width="10.83203125" style="15" customWidth="1"/>
    <col min="4871" max="4871" width="11.83203125" style="15" customWidth="1"/>
    <col min="4872" max="4872" width="2.83203125" style="15" customWidth="1"/>
    <col min="4873" max="4873" width="12.1640625" style="15" customWidth="1"/>
    <col min="4874" max="4874" width="12.83203125" style="15" customWidth="1"/>
    <col min="4875" max="4875" width="7.83203125" style="15" customWidth="1"/>
    <col min="4876" max="4876" width="8.83203125" style="15" customWidth="1"/>
    <col min="4877" max="4877" width="1.83203125" style="15" customWidth="1"/>
    <col min="4878" max="4878" width="10.83203125" style="15" customWidth="1"/>
    <col min="4879" max="4879" width="9.83203125" style="15" customWidth="1"/>
    <col min="4880" max="4880" width="1.83203125" style="15" customWidth="1"/>
    <col min="4881" max="4882" width="10.83203125" style="15" customWidth="1"/>
    <col min="4883" max="4883" width="1.83203125" style="15" customWidth="1"/>
    <col min="4884" max="4884" width="7.83203125" style="15" customWidth="1"/>
    <col min="4885" max="4885" width="12.83203125" style="15" customWidth="1"/>
    <col min="4886" max="4886" width="9" style="15" customWidth="1"/>
    <col min="4887" max="4888" width="2.83203125" style="15" customWidth="1"/>
    <col min="4889" max="4889" width="44.83203125" style="15" customWidth="1"/>
    <col min="4890" max="4989" width="12.83203125" style="15" customWidth="1"/>
    <col min="4990" max="5121" width="9.33203125" style="15"/>
    <col min="5122" max="5122" width="1" style="15" customWidth="1"/>
    <col min="5123" max="5123" width="8.83203125" style="15" customWidth="1"/>
    <col min="5124" max="5125" width="9.83203125" style="15" customWidth="1"/>
    <col min="5126" max="5126" width="10.83203125" style="15" customWidth="1"/>
    <col min="5127" max="5127" width="11.83203125" style="15" customWidth="1"/>
    <col min="5128" max="5128" width="2.83203125" style="15" customWidth="1"/>
    <col min="5129" max="5129" width="12.1640625" style="15" customWidth="1"/>
    <col min="5130" max="5130" width="12.83203125" style="15" customWidth="1"/>
    <col min="5131" max="5131" width="7.83203125" style="15" customWidth="1"/>
    <col min="5132" max="5132" width="8.83203125" style="15" customWidth="1"/>
    <col min="5133" max="5133" width="1.83203125" style="15" customWidth="1"/>
    <col min="5134" max="5134" width="10.83203125" style="15" customWidth="1"/>
    <col min="5135" max="5135" width="9.83203125" style="15" customWidth="1"/>
    <col min="5136" max="5136" width="1.83203125" style="15" customWidth="1"/>
    <col min="5137" max="5138" width="10.83203125" style="15" customWidth="1"/>
    <col min="5139" max="5139" width="1.83203125" style="15" customWidth="1"/>
    <col min="5140" max="5140" width="7.83203125" style="15" customWidth="1"/>
    <col min="5141" max="5141" width="12.83203125" style="15" customWidth="1"/>
    <col min="5142" max="5142" width="9" style="15" customWidth="1"/>
    <col min="5143" max="5144" width="2.83203125" style="15" customWidth="1"/>
    <col min="5145" max="5145" width="44.83203125" style="15" customWidth="1"/>
    <col min="5146" max="5245" width="12.83203125" style="15" customWidth="1"/>
    <col min="5246" max="5377" width="9.33203125" style="15"/>
    <col min="5378" max="5378" width="1" style="15" customWidth="1"/>
    <col min="5379" max="5379" width="8.83203125" style="15" customWidth="1"/>
    <col min="5380" max="5381" width="9.83203125" style="15" customWidth="1"/>
    <col min="5382" max="5382" width="10.83203125" style="15" customWidth="1"/>
    <col min="5383" max="5383" width="11.83203125" style="15" customWidth="1"/>
    <col min="5384" max="5384" width="2.83203125" style="15" customWidth="1"/>
    <col min="5385" max="5385" width="12.1640625" style="15" customWidth="1"/>
    <col min="5386" max="5386" width="12.83203125" style="15" customWidth="1"/>
    <col min="5387" max="5387" width="7.83203125" style="15" customWidth="1"/>
    <col min="5388" max="5388" width="8.83203125" style="15" customWidth="1"/>
    <col min="5389" max="5389" width="1.83203125" style="15" customWidth="1"/>
    <col min="5390" max="5390" width="10.83203125" style="15" customWidth="1"/>
    <col min="5391" max="5391" width="9.83203125" style="15" customWidth="1"/>
    <col min="5392" max="5392" width="1.83203125" style="15" customWidth="1"/>
    <col min="5393" max="5394" width="10.83203125" style="15" customWidth="1"/>
    <col min="5395" max="5395" width="1.83203125" style="15" customWidth="1"/>
    <col min="5396" max="5396" width="7.83203125" style="15" customWidth="1"/>
    <col min="5397" max="5397" width="12.83203125" style="15" customWidth="1"/>
    <col min="5398" max="5398" width="9" style="15" customWidth="1"/>
    <col min="5399" max="5400" width="2.83203125" style="15" customWidth="1"/>
    <col min="5401" max="5401" width="44.83203125" style="15" customWidth="1"/>
    <col min="5402" max="5501" width="12.83203125" style="15" customWidth="1"/>
    <col min="5502" max="5633" width="9.33203125" style="15"/>
    <col min="5634" max="5634" width="1" style="15" customWidth="1"/>
    <col min="5635" max="5635" width="8.83203125" style="15" customWidth="1"/>
    <col min="5636" max="5637" width="9.83203125" style="15" customWidth="1"/>
    <col min="5638" max="5638" width="10.83203125" style="15" customWidth="1"/>
    <col min="5639" max="5639" width="11.83203125" style="15" customWidth="1"/>
    <col min="5640" max="5640" width="2.83203125" style="15" customWidth="1"/>
    <col min="5641" max="5641" width="12.1640625" style="15" customWidth="1"/>
    <col min="5642" max="5642" width="12.83203125" style="15" customWidth="1"/>
    <col min="5643" max="5643" width="7.83203125" style="15" customWidth="1"/>
    <col min="5644" max="5644" width="8.83203125" style="15" customWidth="1"/>
    <col min="5645" max="5645" width="1.83203125" style="15" customWidth="1"/>
    <col min="5646" max="5646" width="10.83203125" style="15" customWidth="1"/>
    <col min="5647" max="5647" width="9.83203125" style="15" customWidth="1"/>
    <col min="5648" max="5648" width="1.83203125" style="15" customWidth="1"/>
    <col min="5649" max="5650" width="10.83203125" style="15" customWidth="1"/>
    <col min="5651" max="5651" width="1.83203125" style="15" customWidth="1"/>
    <col min="5652" max="5652" width="7.83203125" style="15" customWidth="1"/>
    <col min="5653" max="5653" width="12.83203125" style="15" customWidth="1"/>
    <col min="5654" max="5654" width="9" style="15" customWidth="1"/>
    <col min="5655" max="5656" width="2.83203125" style="15" customWidth="1"/>
    <col min="5657" max="5657" width="44.83203125" style="15" customWidth="1"/>
    <col min="5658" max="5757" width="12.83203125" style="15" customWidth="1"/>
    <col min="5758" max="5889" width="9.33203125" style="15"/>
    <col min="5890" max="5890" width="1" style="15" customWidth="1"/>
    <col min="5891" max="5891" width="8.83203125" style="15" customWidth="1"/>
    <col min="5892" max="5893" width="9.83203125" style="15" customWidth="1"/>
    <col min="5894" max="5894" width="10.83203125" style="15" customWidth="1"/>
    <col min="5895" max="5895" width="11.83203125" style="15" customWidth="1"/>
    <col min="5896" max="5896" width="2.83203125" style="15" customWidth="1"/>
    <col min="5897" max="5897" width="12.1640625" style="15" customWidth="1"/>
    <col min="5898" max="5898" width="12.83203125" style="15" customWidth="1"/>
    <col min="5899" max="5899" width="7.83203125" style="15" customWidth="1"/>
    <col min="5900" max="5900" width="8.83203125" style="15" customWidth="1"/>
    <col min="5901" max="5901" width="1.83203125" style="15" customWidth="1"/>
    <col min="5902" max="5902" width="10.83203125" style="15" customWidth="1"/>
    <col min="5903" max="5903" width="9.83203125" style="15" customWidth="1"/>
    <col min="5904" max="5904" width="1.83203125" style="15" customWidth="1"/>
    <col min="5905" max="5906" width="10.83203125" style="15" customWidth="1"/>
    <col min="5907" max="5907" width="1.83203125" style="15" customWidth="1"/>
    <col min="5908" max="5908" width="7.83203125" style="15" customWidth="1"/>
    <col min="5909" max="5909" width="12.83203125" style="15" customWidth="1"/>
    <col min="5910" max="5910" width="9" style="15" customWidth="1"/>
    <col min="5911" max="5912" width="2.83203125" style="15" customWidth="1"/>
    <col min="5913" max="5913" width="44.83203125" style="15" customWidth="1"/>
    <col min="5914" max="6013" width="12.83203125" style="15" customWidth="1"/>
    <col min="6014" max="6145" width="9.33203125" style="15"/>
    <col min="6146" max="6146" width="1" style="15" customWidth="1"/>
    <col min="6147" max="6147" width="8.83203125" style="15" customWidth="1"/>
    <col min="6148" max="6149" width="9.83203125" style="15" customWidth="1"/>
    <col min="6150" max="6150" width="10.83203125" style="15" customWidth="1"/>
    <col min="6151" max="6151" width="11.83203125" style="15" customWidth="1"/>
    <col min="6152" max="6152" width="2.83203125" style="15" customWidth="1"/>
    <col min="6153" max="6153" width="12.1640625" style="15" customWidth="1"/>
    <col min="6154" max="6154" width="12.83203125" style="15" customWidth="1"/>
    <col min="6155" max="6155" width="7.83203125" style="15" customWidth="1"/>
    <col min="6156" max="6156" width="8.83203125" style="15" customWidth="1"/>
    <col min="6157" max="6157" width="1.83203125" style="15" customWidth="1"/>
    <col min="6158" max="6158" width="10.83203125" style="15" customWidth="1"/>
    <col min="6159" max="6159" width="9.83203125" style="15" customWidth="1"/>
    <col min="6160" max="6160" width="1.83203125" style="15" customWidth="1"/>
    <col min="6161" max="6162" width="10.83203125" style="15" customWidth="1"/>
    <col min="6163" max="6163" width="1.83203125" style="15" customWidth="1"/>
    <col min="6164" max="6164" width="7.83203125" style="15" customWidth="1"/>
    <col min="6165" max="6165" width="12.83203125" style="15" customWidth="1"/>
    <col min="6166" max="6166" width="9" style="15" customWidth="1"/>
    <col min="6167" max="6168" width="2.83203125" style="15" customWidth="1"/>
    <col min="6169" max="6169" width="44.83203125" style="15" customWidth="1"/>
    <col min="6170" max="6269" width="12.83203125" style="15" customWidth="1"/>
    <col min="6270" max="6401" width="9.33203125" style="15"/>
    <col min="6402" max="6402" width="1" style="15" customWidth="1"/>
    <col min="6403" max="6403" width="8.83203125" style="15" customWidth="1"/>
    <col min="6404" max="6405" width="9.83203125" style="15" customWidth="1"/>
    <col min="6406" max="6406" width="10.83203125" style="15" customWidth="1"/>
    <col min="6407" max="6407" width="11.83203125" style="15" customWidth="1"/>
    <col min="6408" max="6408" width="2.83203125" style="15" customWidth="1"/>
    <col min="6409" max="6409" width="12.1640625" style="15" customWidth="1"/>
    <col min="6410" max="6410" width="12.83203125" style="15" customWidth="1"/>
    <col min="6411" max="6411" width="7.83203125" style="15" customWidth="1"/>
    <col min="6412" max="6412" width="8.83203125" style="15" customWidth="1"/>
    <col min="6413" max="6413" width="1.83203125" style="15" customWidth="1"/>
    <col min="6414" max="6414" width="10.83203125" style="15" customWidth="1"/>
    <col min="6415" max="6415" width="9.83203125" style="15" customWidth="1"/>
    <col min="6416" max="6416" width="1.83203125" style="15" customWidth="1"/>
    <col min="6417" max="6418" width="10.83203125" style="15" customWidth="1"/>
    <col min="6419" max="6419" width="1.83203125" style="15" customWidth="1"/>
    <col min="6420" max="6420" width="7.83203125" style="15" customWidth="1"/>
    <col min="6421" max="6421" width="12.83203125" style="15" customWidth="1"/>
    <col min="6422" max="6422" width="9" style="15" customWidth="1"/>
    <col min="6423" max="6424" width="2.83203125" style="15" customWidth="1"/>
    <col min="6425" max="6425" width="44.83203125" style="15" customWidth="1"/>
    <col min="6426" max="6525" width="12.83203125" style="15" customWidth="1"/>
    <col min="6526" max="6657" width="9.33203125" style="15"/>
    <col min="6658" max="6658" width="1" style="15" customWidth="1"/>
    <col min="6659" max="6659" width="8.83203125" style="15" customWidth="1"/>
    <col min="6660" max="6661" width="9.83203125" style="15" customWidth="1"/>
    <col min="6662" max="6662" width="10.83203125" style="15" customWidth="1"/>
    <col min="6663" max="6663" width="11.83203125" style="15" customWidth="1"/>
    <col min="6664" max="6664" width="2.83203125" style="15" customWidth="1"/>
    <col min="6665" max="6665" width="12.1640625" style="15" customWidth="1"/>
    <col min="6666" max="6666" width="12.83203125" style="15" customWidth="1"/>
    <col min="6667" max="6667" width="7.83203125" style="15" customWidth="1"/>
    <col min="6668" max="6668" width="8.83203125" style="15" customWidth="1"/>
    <col min="6669" max="6669" width="1.83203125" style="15" customWidth="1"/>
    <col min="6670" max="6670" width="10.83203125" style="15" customWidth="1"/>
    <col min="6671" max="6671" width="9.83203125" style="15" customWidth="1"/>
    <col min="6672" max="6672" width="1.83203125" style="15" customWidth="1"/>
    <col min="6673" max="6674" width="10.83203125" style="15" customWidth="1"/>
    <col min="6675" max="6675" width="1.83203125" style="15" customWidth="1"/>
    <col min="6676" max="6676" width="7.83203125" style="15" customWidth="1"/>
    <col min="6677" max="6677" width="12.83203125" style="15" customWidth="1"/>
    <col min="6678" max="6678" width="9" style="15" customWidth="1"/>
    <col min="6679" max="6680" width="2.83203125" style="15" customWidth="1"/>
    <col min="6681" max="6681" width="44.83203125" style="15" customWidth="1"/>
    <col min="6682" max="6781" width="12.83203125" style="15" customWidth="1"/>
    <col min="6782" max="6913" width="9.33203125" style="15"/>
    <col min="6914" max="6914" width="1" style="15" customWidth="1"/>
    <col min="6915" max="6915" width="8.83203125" style="15" customWidth="1"/>
    <col min="6916" max="6917" width="9.83203125" style="15" customWidth="1"/>
    <col min="6918" max="6918" width="10.83203125" style="15" customWidth="1"/>
    <col min="6919" max="6919" width="11.83203125" style="15" customWidth="1"/>
    <col min="6920" max="6920" width="2.83203125" style="15" customWidth="1"/>
    <col min="6921" max="6921" width="12.1640625" style="15" customWidth="1"/>
    <col min="6922" max="6922" width="12.83203125" style="15" customWidth="1"/>
    <col min="6923" max="6923" width="7.83203125" style="15" customWidth="1"/>
    <col min="6924" max="6924" width="8.83203125" style="15" customWidth="1"/>
    <col min="6925" max="6925" width="1.83203125" style="15" customWidth="1"/>
    <col min="6926" max="6926" width="10.83203125" style="15" customWidth="1"/>
    <col min="6927" max="6927" width="9.83203125" style="15" customWidth="1"/>
    <col min="6928" max="6928" width="1.83203125" style="15" customWidth="1"/>
    <col min="6929" max="6930" width="10.83203125" style="15" customWidth="1"/>
    <col min="6931" max="6931" width="1.83203125" style="15" customWidth="1"/>
    <col min="6932" max="6932" width="7.83203125" style="15" customWidth="1"/>
    <col min="6933" max="6933" width="12.83203125" style="15" customWidth="1"/>
    <col min="6934" max="6934" width="9" style="15" customWidth="1"/>
    <col min="6935" max="6936" width="2.83203125" style="15" customWidth="1"/>
    <col min="6937" max="6937" width="44.83203125" style="15" customWidth="1"/>
    <col min="6938" max="7037" width="12.83203125" style="15" customWidth="1"/>
    <col min="7038" max="7169" width="9.33203125" style="15"/>
    <col min="7170" max="7170" width="1" style="15" customWidth="1"/>
    <col min="7171" max="7171" width="8.83203125" style="15" customWidth="1"/>
    <col min="7172" max="7173" width="9.83203125" style="15" customWidth="1"/>
    <col min="7174" max="7174" width="10.83203125" style="15" customWidth="1"/>
    <col min="7175" max="7175" width="11.83203125" style="15" customWidth="1"/>
    <col min="7176" max="7176" width="2.83203125" style="15" customWidth="1"/>
    <col min="7177" max="7177" width="12.1640625" style="15" customWidth="1"/>
    <col min="7178" max="7178" width="12.83203125" style="15" customWidth="1"/>
    <col min="7179" max="7179" width="7.83203125" style="15" customWidth="1"/>
    <col min="7180" max="7180" width="8.83203125" style="15" customWidth="1"/>
    <col min="7181" max="7181" width="1.83203125" style="15" customWidth="1"/>
    <col min="7182" max="7182" width="10.83203125" style="15" customWidth="1"/>
    <col min="7183" max="7183" width="9.83203125" style="15" customWidth="1"/>
    <col min="7184" max="7184" width="1.83203125" style="15" customWidth="1"/>
    <col min="7185" max="7186" width="10.83203125" style="15" customWidth="1"/>
    <col min="7187" max="7187" width="1.83203125" style="15" customWidth="1"/>
    <col min="7188" max="7188" width="7.83203125" style="15" customWidth="1"/>
    <col min="7189" max="7189" width="12.83203125" style="15" customWidth="1"/>
    <col min="7190" max="7190" width="9" style="15" customWidth="1"/>
    <col min="7191" max="7192" width="2.83203125" style="15" customWidth="1"/>
    <col min="7193" max="7193" width="44.83203125" style="15" customWidth="1"/>
    <col min="7194" max="7293" width="12.83203125" style="15" customWidth="1"/>
    <col min="7294" max="7425" width="9.33203125" style="15"/>
    <col min="7426" max="7426" width="1" style="15" customWidth="1"/>
    <col min="7427" max="7427" width="8.83203125" style="15" customWidth="1"/>
    <col min="7428" max="7429" width="9.83203125" style="15" customWidth="1"/>
    <col min="7430" max="7430" width="10.83203125" style="15" customWidth="1"/>
    <col min="7431" max="7431" width="11.83203125" style="15" customWidth="1"/>
    <col min="7432" max="7432" width="2.83203125" style="15" customWidth="1"/>
    <col min="7433" max="7433" width="12.1640625" style="15" customWidth="1"/>
    <col min="7434" max="7434" width="12.83203125" style="15" customWidth="1"/>
    <col min="7435" max="7435" width="7.83203125" style="15" customWidth="1"/>
    <col min="7436" max="7436" width="8.83203125" style="15" customWidth="1"/>
    <col min="7437" max="7437" width="1.83203125" style="15" customWidth="1"/>
    <col min="7438" max="7438" width="10.83203125" style="15" customWidth="1"/>
    <col min="7439" max="7439" width="9.83203125" style="15" customWidth="1"/>
    <col min="7440" max="7440" width="1.83203125" style="15" customWidth="1"/>
    <col min="7441" max="7442" width="10.83203125" style="15" customWidth="1"/>
    <col min="7443" max="7443" width="1.83203125" style="15" customWidth="1"/>
    <col min="7444" max="7444" width="7.83203125" style="15" customWidth="1"/>
    <col min="7445" max="7445" width="12.83203125" style="15" customWidth="1"/>
    <col min="7446" max="7446" width="9" style="15" customWidth="1"/>
    <col min="7447" max="7448" width="2.83203125" style="15" customWidth="1"/>
    <col min="7449" max="7449" width="44.83203125" style="15" customWidth="1"/>
    <col min="7450" max="7549" width="12.83203125" style="15" customWidth="1"/>
    <col min="7550" max="7681" width="9.33203125" style="15"/>
    <col min="7682" max="7682" width="1" style="15" customWidth="1"/>
    <col min="7683" max="7683" width="8.83203125" style="15" customWidth="1"/>
    <col min="7684" max="7685" width="9.83203125" style="15" customWidth="1"/>
    <col min="7686" max="7686" width="10.83203125" style="15" customWidth="1"/>
    <col min="7687" max="7687" width="11.83203125" style="15" customWidth="1"/>
    <col min="7688" max="7688" width="2.83203125" style="15" customWidth="1"/>
    <col min="7689" max="7689" width="12.1640625" style="15" customWidth="1"/>
    <col min="7690" max="7690" width="12.83203125" style="15" customWidth="1"/>
    <col min="7691" max="7691" width="7.83203125" style="15" customWidth="1"/>
    <col min="7692" max="7692" width="8.83203125" style="15" customWidth="1"/>
    <col min="7693" max="7693" width="1.83203125" style="15" customWidth="1"/>
    <col min="7694" max="7694" width="10.83203125" style="15" customWidth="1"/>
    <col min="7695" max="7695" width="9.83203125" style="15" customWidth="1"/>
    <col min="7696" max="7696" width="1.83203125" style="15" customWidth="1"/>
    <col min="7697" max="7698" width="10.83203125" style="15" customWidth="1"/>
    <col min="7699" max="7699" width="1.83203125" style="15" customWidth="1"/>
    <col min="7700" max="7700" width="7.83203125" style="15" customWidth="1"/>
    <col min="7701" max="7701" width="12.83203125" style="15" customWidth="1"/>
    <col min="7702" max="7702" width="9" style="15" customWidth="1"/>
    <col min="7703" max="7704" width="2.83203125" style="15" customWidth="1"/>
    <col min="7705" max="7705" width="44.83203125" style="15" customWidth="1"/>
    <col min="7706" max="7805" width="12.83203125" style="15" customWidth="1"/>
    <col min="7806" max="7937" width="9.33203125" style="15"/>
    <col min="7938" max="7938" width="1" style="15" customWidth="1"/>
    <col min="7939" max="7939" width="8.83203125" style="15" customWidth="1"/>
    <col min="7940" max="7941" width="9.83203125" style="15" customWidth="1"/>
    <col min="7942" max="7942" width="10.83203125" style="15" customWidth="1"/>
    <col min="7943" max="7943" width="11.83203125" style="15" customWidth="1"/>
    <col min="7944" max="7944" width="2.83203125" style="15" customWidth="1"/>
    <col min="7945" max="7945" width="12.1640625" style="15" customWidth="1"/>
    <col min="7946" max="7946" width="12.83203125" style="15" customWidth="1"/>
    <col min="7947" max="7947" width="7.83203125" style="15" customWidth="1"/>
    <col min="7948" max="7948" width="8.83203125" style="15" customWidth="1"/>
    <col min="7949" max="7949" width="1.83203125" style="15" customWidth="1"/>
    <col min="7950" max="7950" width="10.83203125" style="15" customWidth="1"/>
    <col min="7951" max="7951" width="9.83203125" style="15" customWidth="1"/>
    <col min="7952" max="7952" width="1.83203125" style="15" customWidth="1"/>
    <col min="7953" max="7954" width="10.83203125" style="15" customWidth="1"/>
    <col min="7955" max="7955" width="1.83203125" style="15" customWidth="1"/>
    <col min="7956" max="7956" width="7.83203125" style="15" customWidth="1"/>
    <col min="7957" max="7957" width="12.83203125" style="15" customWidth="1"/>
    <col min="7958" max="7958" width="9" style="15" customWidth="1"/>
    <col min="7959" max="7960" width="2.83203125" style="15" customWidth="1"/>
    <col min="7961" max="7961" width="44.83203125" style="15" customWidth="1"/>
    <col min="7962" max="8061" width="12.83203125" style="15" customWidth="1"/>
    <col min="8062" max="8193" width="9.33203125" style="15"/>
    <col min="8194" max="8194" width="1" style="15" customWidth="1"/>
    <col min="8195" max="8195" width="8.83203125" style="15" customWidth="1"/>
    <col min="8196" max="8197" width="9.83203125" style="15" customWidth="1"/>
    <col min="8198" max="8198" width="10.83203125" style="15" customWidth="1"/>
    <col min="8199" max="8199" width="11.83203125" style="15" customWidth="1"/>
    <col min="8200" max="8200" width="2.83203125" style="15" customWidth="1"/>
    <col min="8201" max="8201" width="12.1640625" style="15" customWidth="1"/>
    <col min="8202" max="8202" width="12.83203125" style="15" customWidth="1"/>
    <col min="8203" max="8203" width="7.83203125" style="15" customWidth="1"/>
    <col min="8204" max="8204" width="8.83203125" style="15" customWidth="1"/>
    <col min="8205" max="8205" width="1.83203125" style="15" customWidth="1"/>
    <col min="8206" max="8206" width="10.83203125" style="15" customWidth="1"/>
    <col min="8207" max="8207" width="9.83203125" style="15" customWidth="1"/>
    <col min="8208" max="8208" width="1.83203125" style="15" customWidth="1"/>
    <col min="8209" max="8210" width="10.83203125" style="15" customWidth="1"/>
    <col min="8211" max="8211" width="1.83203125" style="15" customWidth="1"/>
    <col min="8212" max="8212" width="7.83203125" style="15" customWidth="1"/>
    <col min="8213" max="8213" width="12.83203125" style="15" customWidth="1"/>
    <col min="8214" max="8214" width="9" style="15" customWidth="1"/>
    <col min="8215" max="8216" width="2.83203125" style="15" customWidth="1"/>
    <col min="8217" max="8217" width="44.83203125" style="15" customWidth="1"/>
    <col min="8218" max="8317" width="12.83203125" style="15" customWidth="1"/>
    <col min="8318" max="8449" width="9.33203125" style="15"/>
    <col min="8450" max="8450" width="1" style="15" customWidth="1"/>
    <col min="8451" max="8451" width="8.83203125" style="15" customWidth="1"/>
    <col min="8452" max="8453" width="9.83203125" style="15" customWidth="1"/>
    <col min="8454" max="8454" width="10.83203125" style="15" customWidth="1"/>
    <col min="8455" max="8455" width="11.83203125" style="15" customWidth="1"/>
    <col min="8456" max="8456" width="2.83203125" style="15" customWidth="1"/>
    <col min="8457" max="8457" width="12.1640625" style="15" customWidth="1"/>
    <col min="8458" max="8458" width="12.83203125" style="15" customWidth="1"/>
    <col min="8459" max="8459" width="7.83203125" style="15" customWidth="1"/>
    <col min="8460" max="8460" width="8.83203125" style="15" customWidth="1"/>
    <col min="8461" max="8461" width="1.83203125" style="15" customWidth="1"/>
    <col min="8462" max="8462" width="10.83203125" style="15" customWidth="1"/>
    <col min="8463" max="8463" width="9.83203125" style="15" customWidth="1"/>
    <col min="8464" max="8464" width="1.83203125" style="15" customWidth="1"/>
    <col min="8465" max="8466" width="10.83203125" style="15" customWidth="1"/>
    <col min="8467" max="8467" width="1.83203125" style="15" customWidth="1"/>
    <col min="8468" max="8468" width="7.83203125" style="15" customWidth="1"/>
    <col min="8469" max="8469" width="12.83203125" style="15" customWidth="1"/>
    <col min="8470" max="8470" width="9" style="15" customWidth="1"/>
    <col min="8471" max="8472" width="2.83203125" style="15" customWidth="1"/>
    <col min="8473" max="8473" width="44.83203125" style="15" customWidth="1"/>
    <col min="8474" max="8573" width="12.83203125" style="15" customWidth="1"/>
    <col min="8574" max="8705" width="9.33203125" style="15"/>
    <col min="8706" max="8706" width="1" style="15" customWidth="1"/>
    <col min="8707" max="8707" width="8.83203125" style="15" customWidth="1"/>
    <col min="8708" max="8709" width="9.83203125" style="15" customWidth="1"/>
    <col min="8710" max="8710" width="10.83203125" style="15" customWidth="1"/>
    <col min="8711" max="8711" width="11.83203125" style="15" customWidth="1"/>
    <col min="8712" max="8712" width="2.83203125" style="15" customWidth="1"/>
    <col min="8713" max="8713" width="12.1640625" style="15" customWidth="1"/>
    <col min="8714" max="8714" width="12.83203125" style="15" customWidth="1"/>
    <col min="8715" max="8715" width="7.83203125" style="15" customWidth="1"/>
    <col min="8716" max="8716" width="8.83203125" style="15" customWidth="1"/>
    <col min="8717" max="8717" width="1.83203125" style="15" customWidth="1"/>
    <col min="8718" max="8718" width="10.83203125" style="15" customWidth="1"/>
    <col min="8719" max="8719" width="9.83203125" style="15" customWidth="1"/>
    <col min="8720" max="8720" width="1.83203125" style="15" customWidth="1"/>
    <col min="8721" max="8722" width="10.83203125" style="15" customWidth="1"/>
    <col min="8723" max="8723" width="1.83203125" style="15" customWidth="1"/>
    <col min="8724" max="8724" width="7.83203125" style="15" customWidth="1"/>
    <col min="8725" max="8725" width="12.83203125" style="15" customWidth="1"/>
    <col min="8726" max="8726" width="9" style="15" customWidth="1"/>
    <col min="8727" max="8728" width="2.83203125" style="15" customWidth="1"/>
    <col min="8729" max="8729" width="44.83203125" style="15" customWidth="1"/>
    <col min="8730" max="8829" width="12.83203125" style="15" customWidth="1"/>
    <col min="8830" max="8961" width="9.33203125" style="15"/>
    <col min="8962" max="8962" width="1" style="15" customWidth="1"/>
    <col min="8963" max="8963" width="8.83203125" style="15" customWidth="1"/>
    <col min="8964" max="8965" width="9.83203125" style="15" customWidth="1"/>
    <col min="8966" max="8966" width="10.83203125" style="15" customWidth="1"/>
    <col min="8967" max="8967" width="11.83203125" style="15" customWidth="1"/>
    <col min="8968" max="8968" width="2.83203125" style="15" customWidth="1"/>
    <col min="8969" max="8969" width="12.1640625" style="15" customWidth="1"/>
    <col min="8970" max="8970" width="12.83203125" style="15" customWidth="1"/>
    <col min="8971" max="8971" width="7.83203125" style="15" customWidth="1"/>
    <col min="8972" max="8972" width="8.83203125" style="15" customWidth="1"/>
    <col min="8973" max="8973" width="1.83203125" style="15" customWidth="1"/>
    <col min="8974" max="8974" width="10.83203125" style="15" customWidth="1"/>
    <col min="8975" max="8975" width="9.83203125" style="15" customWidth="1"/>
    <col min="8976" max="8976" width="1.83203125" style="15" customWidth="1"/>
    <col min="8977" max="8978" width="10.83203125" style="15" customWidth="1"/>
    <col min="8979" max="8979" width="1.83203125" style="15" customWidth="1"/>
    <col min="8980" max="8980" width="7.83203125" style="15" customWidth="1"/>
    <col min="8981" max="8981" width="12.83203125" style="15" customWidth="1"/>
    <col min="8982" max="8982" width="9" style="15" customWidth="1"/>
    <col min="8983" max="8984" width="2.83203125" style="15" customWidth="1"/>
    <col min="8985" max="8985" width="44.83203125" style="15" customWidth="1"/>
    <col min="8986" max="9085" width="12.83203125" style="15" customWidth="1"/>
    <col min="9086" max="9217" width="9.33203125" style="15"/>
    <col min="9218" max="9218" width="1" style="15" customWidth="1"/>
    <col min="9219" max="9219" width="8.83203125" style="15" customWidth="1"/>
    <col min="9220" max="9221" width="9.83203125" style="15" customWidth="1"/>
    <col min="9222" max="9222" width="10.83203125" style="15" customWidth="1"/>
    <col min="9223" max="9223" width="11.83203125" style="15" customWidth="1"/>
    <col min="9224" max="9224" width="2.83203125" style="15" customWidth="1"/>
    <col min="9225" max="9225" width="12.1640625" style="15" customWidth="1"/>
    <col min="9226" max="9226" width="12.83203125" style="15" customWidth="1"/>
    <col min="9227" max="9227" width="7.83203125" style="15" customWidth="1"/>
    <col min="9228" max="9228" width="8.83203125" style="15" customWidth="1"/>
    <col min="9229" max="9229" width="1.83203125" style="15" customWidth="1"/>
    <col min="9230" max="9230" width="10.83203125" style="15" customWidth="1"/>
    <col min="9231" max="9231" width="9.83203125" style="15" customWidth="1"/>
    <col min="9232" max="9232" width="1.83203125" style="15" customWidth="1"/>
    <col min="9233" max="9234" width="10.83203125" style="15" customWidth="1"/>
    <col min="9235" max="9235" width="1.83203125" style="15" customWidth="1"/>
    <col min="9236" max="9236" width="7.83203125" style="15" customWidth="1"/>
    <col min="9237" max="9237" width="12.83203125" style="15" customWidth="1"/>
    <col min="9238" max="9238" width="9" style="15" customWidth="1"/>
    <col min="9239" max="9240" width="2.83203125" style="15" customWidth="1"/>
    <col min="9241" max="9241" width="44.83203125" style="15" customWidth="1"/>
    <col min="9242" max="9341" width="12.83203125" style="15" customWidth="1"/>
    <col min="9342" max="9473" width="9.33203125" style="15"/>
    <col min="9474" max="9474" width="1" style="15" customWidth="1"/>
    <col min="9475" max="9475" width="8.83203125" style="15" customWidth="1"/>
    <col min="9476" max="9477" width="9.83203125" style="15" customWidth="1"/>
    <col min="9478" max="9478" width="10.83203125" style="15" customWidth="1"/>
    <col min="9479" max="9479" width="11.83203125" style="15" customWidth="1"/>
    <col min="9480" max="9480" width="2.83203125" style="15" customWidth="1"/>
    <col min="9481" max="9481" width="12.1640625" style="15" customWidth="1"/>
    <col min="9482" max="9482" width="12.83203125" style="15" customWidth="1"/>
    <col min="9483" max="9483" width="7.83203125" style="15" customWidth="1"/>
    <col min="9484" max="9484" width="8.83203125" style="15" customWidth="1"/>
    <col min="9485" max="9485" width="1.83203125" style="15" customWidth="1"/>
    <col min="9486" max="9486" width="10.83203125" style="15" customWidth="1"/>
    <col min="9487" max="9487" width="9.83203125" style="15" customWidth="1"/>
    <col min="9488" max="9488" width="1.83203125" style="15" customWidth="1"/>
    <col min="9489" max="9490" width="10.83203125" style="15" customWidth="1"/>
    <col min="9491" max="9491" width="1.83203125" style="15" customWidth="1"/>
    <col min="9492" max="9492" width="7.83203125" style="15" customWidth="1"/>
    <col min="9493" max="9493" width="12.83203125" style="15" customWidth="1"/>
    <col min="9494" max="9494" width="9" style="15" customWidth="1"/>
    <col min="9495" max="9496" width="2.83203125" style="15" customWidth="1"/>
    <col min="9497" max="9497" width="44.83203125" style="15" customWidth="1"/>
    <col min="9498" max="9597" width="12.83203125" style="15" customWidth="1"/>
    <col min="9598" max="9729" width="9.33203125" style="15"/>
    <col min="9730" max="9730" width="1" style="15" customWidth="1"/>
    <col min="9731" max="9731" width="8.83203125" style="15" customWidth="1"/>
    <col min="9732" max="9733" width="9.83203125" style="15" customWidth="1"/>
    <col min="9734" max="9734" width="10.83203125" style="15" customWidth="1"/>
    <col min="9735" max="9735" width="11.83203125" style="15" customWidth="1"/>
    <col min="9736" max="9736" width="2.83203125" style="15" customWidth="1"/>
    <col min="9737" max="9737" width="12.1640625" style="15" customWidth="1"/>
    <col min="9738" max="9738" width="12.83203125" style="15" customWidth="1"/>
    <col min="9739" max="9739" width="7.83203125" style="15" customWidth="1"/>
    <col min="9740" max="9740" width="8.83203125" style="15" customWidth="1"/>
    <col min="9741" max="9741" width="1.83203125" style="15" customWidth="1"/>
    <col min="9742" max="9742" width="10.83203125" style="15" customWidth="1"/>
    <col min="9743" max="9743" width="9.83203125" style="15" customWidth="1"/>
    <col min="9744" max="9744" width="1.83203125" style="15" customWidth="1"/>
    <col min="9745" max="9746" width="10.83203125" style="15" customWidth="1"/>
    <col min="9747" max="9747" width="1.83203125" style="15" customWidth="1"/>
    <col min="9748" max="9748" width="7.83203125" style="15" customWidth="1"/>
    <col min="9749" max="9749" width="12.83203125" style="15" customWidth="1"/>
    <col min="9750" max="9750" width="9" style="15" customWidth="1"/>
    <col min="9751" max="9752" width="2.83203125" style="15" customWidth="1"/>
    <col min="9753" max="9753" width="44.83203125" style="15" customWidth="1"/>
    <col min="9754" max="9853" width="12.83203125" style="15" customWidth="1"/>
    <col min="9854" max="9985" width="9.33203125" style="15"/>
    <col min="9986" max="9986" width="1" style="15" customWidth="1"/>
    <col min="9987" max="9987" width="8.83203125" style="15" customWidth="1"/>
    <col min="9988" max="9989" width="9.83203125" style="15" customWidth="1"/>
    <col min="9990" max="9990" width="10.83203125" style="15" customWidth="1"/>
    <col min="9991" max="9991" width="11.83203125" style="15" customWidth="1"/>
    <col min="9992" max="9992" width="2.83203125" style="15" customWidth="1"/>
    <col min="9993" max="9993" width="12.1640625" style="15" customWidth="1"/>
    <col min="9994" max="9994" width="12.83203125" style="15" customWidth="1"/>
    <col min="9995" max="9995" width="7.83203125" style="15" customWidth="1"/>
    <col min="9996" max="9996" width="8.83203125" style="15" customWidth="1"/>
    <col min="9997" max="9997" width="1.83203125" style="15" customWidth="1"/>
    <col min="9998" max="9998" width="10.83203125" style="15" customWidth="1"/>
    <col min="9999" max="9999" width="9.83203125" style="15" customWidth="1"/>
    <col min="10000" max="10000" width="1.83203125" style="15" customWidth="1"/>
    <col min="10001" max="10002" width="10.83203125" style="15" customWidth="1"/>
    <col min="10003" max="10003" width="1.83203125" style="15" customWidth="1"/>
    <col min="10004" max="10004" width="7.83203125" style="15" customWidth="1"/>
    <col min="10005" max="10005" width="12.83203125" style="15" customWidth="1"/>
    <col min="10006" max="10006" width="9" style="15" customWidth="1"/>
    <col min="10007" max="10008" width="2.83203125" style="15" customWidth="1"/>
    <col min="10009" max="10009" width="44.83203125" style="15" customWidth="1"/>
    <col min="10010" max="10109" width="12.83203125" style="15" customWidth="1"/>
    <col min="10110" max="10241" width="9.33203125" style="15"/>
    <col min="10242" max="10242" width="1" style="15" customWidth="1"/>
    <col min="10243" max="10243" width="8.83203125" style="15" customWidth="1"/>
    <col min="10244" max="10245" width="9.83203125" style="15" customWidth="1"/>
    <col min="10246" max="10246" width="10.83203125" style="15" customWidth="1"/>
    <col min="10247" max="10247" width="11.83203125" style="15" customWidth="1"/>
    <col min="10248" max="10248" width="2.83203125" style="15" customWidth="1"/>
    <col min="10249" max="10249" width="12.1640625" style="15" customWidth="1"/>
    <col min="10250" max="10250" width="12.83203125" style="15" customWidth="1"/>
    <col min="10251" max="10251" width="7.83203125" style="15" customWidth="1"/>
    <col min="10252" max="10252" width="8.83203125" style="15" customWidth="1"/>
    <col min="10253" max="10253" width="1.83203125" style="15" customWidth="1"/>
    <col min="10254" max="10254" width="10.83203125" style="15" customWidth="1"/>
    <col min="10255" max="10255" width="9.83203125" style="15" customWidth="1"/>
    <col min="10256" max="10256" width="1.83203125" style="15" customWidth="1"/>
    <col min="10257" max="10258" width="10.83203125" style="15" customWidth="1"/>
    <col min="10259" max="10259" width="1.83203125" style="15" customWidth="1"/>
    <col min="10260" max="10260" width="7.83203125" style="15" customWidth="1"/>
    <col min="10261" max="10261" width="12.83203125" style="15" customWidth="1"/>
    <col min="10262" max="10262" width="9" style="15" customWidth="1"/>
    <col min="10263" max="10264" width="2.83203125" style="15" customWidth="1"/>
    <col min="10265" max="10265" width="44.83203125" style="15" customWidth="1"/>
    <col min="10266" max="10365" width="12.83203125" style="15" customWidth="1"/>
    <col min="10366" max="10497" width="9.33203125" style="15"/>
    <col min="10498" max="10498" width="1" style="15" customWidth="1"/>
    <col min="10499" max="10499" width="8.83203125" style="15" customWidth="1"/>
    <col min="10500" max="10501" width="9.83203125" style="15" customWidth="1"/>
    <col min="10502" max="10502" width="10.83203125" style="15" customWidth="1"/>
    <col min="10503" max="10503" width="11.83203125" style="15" customWidth="1"/>
    <col min="10504" max="10504" width="2.83203125" style="15" customWidth="1"/>
    <col min="10505" max="10505" width="12.1640625" style="15" customWidth="1"/>
    <col min="10506" max="10506" width="12.83203125" style="15" customWidth="1"/>
    <col min="10507" max="10507" width="7.83203125" style="15" customWidth="1"/>
    <col min="10508" max="10508" width="8.83203125" style="15" customWidth="1"/>
    <col min="10509" max="10509" width="1.83203125" style="15" customWidth="1"/>
    <col min="10510" max="10510" width="10.83203125" style="15" customWidth="1"/>
    <col min="10511" max="10511" width="9.83203125" style="15" customWidth="1"/>
    <col min="10512" max="10512" width="1.83203125" style="15" customWidth="1"/>
    <col min="10513" max="10514" width="10.83203125" style="15" customWidth="1"/>
    <col min="10515" max="10515" width="1.83203125" style="15" customWidth="1"/>
    <col min="10516" max="10516" width="7.83203125" style="15" customWidth="1"/>
    <col min="10517" max="10517" width="12.83203125" style="15" customWidth="1"/>
    <col min="10518" max="10518" width="9" style="15" customWidth="1"/>
    <col min="10519" max="10520" width="2.83203125" style="15" customWidth="1"/>
    <col min="10521" max="10521" width="44.83203125" style="15" customWidth="1"/>
    <col min="10522" max="10621" width="12.83203125" style="15" customWidth="1"/>
    <col min="10622" max="10753" width="9.33203125" style="15"/>
    <col min="10754" max="10754" width="1" style="15" customWidth="1"/>
    <col min="10755" max="10755" width="8.83203125" style="15" customWidth="1"/>
    <col min="10756" max="10757" width="9.83203125" style="15" customWidth="1"/>
    <col min="10758" max="10758" width="10.83203125" style="15" customWidth="1"/>
    <col min="10759" max="10759" width="11.83203125" style="15" customWidth="1"/>
    <col min="10760" max="10760" width="2.83203125" style="15" customWidth="1"/>
    <col min="10761" max="10761" width="12.1640625" style="15" customWidth="1"/>
    <col min="10762" max="10762" width="12.83203125" style="15" customWidth="1"/>
    <col min="10763" max="10763" width="7.83203125" style="15" customWidth="1"/>
    <col min="10764" max="10764" width="8.83203125" style="15" customWidth="1"/>
    <col min="10765" max="10765" width="1.83203125" style="15" customWidth="1"/>
    <col min="10766" max="10766" width="10.83203125" style="15" customWidth="1"/>
    <col min="10767" max="10767" width="9.83203125" style="15" customWidth="1"/>
    <col min="10768" max="10768" width="1.83203125" style="15" customWidth="1"/>
    <col min="10769" max="10770" width="10.83203125" style="15" customWidth="1"/>
    <col min="10771" max="10771" width="1.83203125" style="15" customWidth="1"/>
    <col min="10772" max="10772" width="7.83203125" style="15" customWidth="1"/>
    <col min="10773" max="10773" width="12.83203125" style="15" customWidth="1"/>
    <col min="10774" max="10774" width="9" style="15" customWidth="1"/>
    <col min="10775" max="10776" width="2.83203125" style="15" customWidth="1"/>
    <col min="10777" max="10777" width="44.83203125" style="15" customWidth="1"/>
    <col min="10778" max="10877" width="12.83203125" style="15" customWidth="1"/>
    <col min="10878" max="11009" width="9.33203125" style="15"/>
    <col min="11010" max="11010" width="1" style="15" customWidth="1"/>
    <col min="11011" max="11011" width="8.83203125" style="15" customWidth="1"/>
    <col min="11012" max="11013" width="9.83203125" style="15" customWidth="1"/>
    <col min="11014" max="11014" width="10.83203125" style="15" customWidth="1"/>
    <col min="11015" max="11015" width="11.83203125" style="15" customWidth="1"/>
    <col min="11016" max="11016" width="2.83203125" style="15" customWidth="1"/>
    <col min="11017" max="11017" width="12.1640625" style="15" customWidth="1"/>
    <col min="11018" max="11018" width="12.83203125" style="15" customWidth="1"/>
    <col min="11019" max="11019" width="7.83203125" style="15" customWidth="1"/>
    <col min="11020" max="11020" width="8.83203125" style="15" customWidth="1"/>
    <col min="11021" max="11021" width="1.83203125" style="15" customWidth="1"/>
    <col min="11022" max="11022" width="10.83203125" style="15" customWidth="1"/>
    <col min="11023" max="11023" width="9.83203125" style="15" customWidth="1"/>
    <col min="11024" max="11024" width="1.83203125" style="15" customWidth="1"/>
    <col min="11025" max="11026" width="10.83203125" style="15" customWidth="1"/>
    <col min="11027" max="11027" width="1.83203125" style="15" customWidth="1"/>
    <col min="11028" max="11028" width="7.83203125" style="15" customWidth="1"/>
    <col min="11029" max="11029" width="12.83203125" style="15" customWidth="1"/>
    <col min="11030" max="11030" width="9" style="15" customWidth="1"/>
    <col min="11031" max="11032" width="2.83203125" style="15" customWidth="1"/>
    <col min="11033" max="11033" width="44.83203125" style="15" customWidth="1"/>
    <col min="11034" max="11133" width="12.83203125" style="15" customWidth="1"/>
    <col min="11134" max="11265" width="9.33203125" style="15"/>
    <col min="11266" max="11266" width="1" style="15" customWidth="1"/>
    <col min="11267" max="11267" width="8.83203125" style="15" customWidth="1"/>
    <col min="11268" max="11269" width="9.83203125" style="15" customWidth="1"/>
    <col min="11270" max="11270" width="10.83203125" style="15" customWidth="1"/>
    <col min="11271" max="11271" width="11.83203125" style="15" customWidth="1"/>
    <col min="11272" max="11272" width="2.83203125" style="15" customWidth="1"/>
    <col min="11273" max="11273" width="12.1640625" style="15" customWidth="1"/>
    <col min="11274" max="11274" width="12.83203125" style="15" customWidth="1"/>
    <col min="11275" max="11275" width="7.83203125" style="15" customWidth="1"/>
    <col min="11276" max="11276" width="8.83203125" style="15" customWidth="1"/>
    <col min="11277" max="11277" width="1.83203125" style="15" customWidth="1"/>
    <col min="11278" max="11278" width="10.83203125" style="15" customWidth="1"/>
    <col min="11279" max="11279" width="9.83203125" style="15" customWidth="1"/>
    <col min="11280" max="11280" width="1.83203125" style="15" customWidth="1"/>
    <col min="11281" max="11282" width="10.83203125" style="15" customWidth="1"/>
    <col min="11283" max="11283" width="1.83203125" style="15" customWidth="1"/>
    <col min="11284" max="11284" width="7.83203125" style="15" customWidth="1"/>
    <col min="11285" max="11285" width="12.83203125" style="15" customWidth="1"/>
    <col min="11286" max="11286" width="9" style="15" customWidth="1"/>
    <col min="11287" max="11288" width="2.83203125" style="15" customWidth="1"/>
    <col min="11289" max="11289" width="44.83203125" style="15" customWidth="1"/>
    <col min="11290" max="11389" width="12.83203125" style="15" customWidth="1"/>
    <col min="11390" max="11521" width="9.33203125" style="15"/>
    <col min="11522" max="11522" width="1" style="15" customWidth="1"/>
    <col min="11523" max="11523" width="8.83203125" style="15" customWidth="1"/>
    <col min="11524" max="11525" width="9.83203125" style="15" customWidth="1"/>
    <col min="11526" max="11526" width="10.83203125" style="15" customWidth="1"/>
    <col min="11527" max="11527" width="11.83203125" style="15" customWidth="1"/>
    <col min="11528" max="11528" width="2.83203125" style="15" customWidth="1"/>
    <col min="11529" max="11529" width="12.1640625" style="15" customWidth="1"/>
    <col min="11530" max="11530" width="12.83203125" style="15" customWidth="1"/>
    <col min="11531" max="11531" width="7.83203125" style="15" customWidth="1"/>
    <col min="11532" max="11532" width="8.83203125" style="15" customWidth="1"/>
    <col min="11533" max="11533" width="1.83203125" style="15" customWidth="1"/>
    <col min="11534" max="11534" width="10.83203125" style="15" customWidth="1"/>
    <col min="11535" max="11535" width="9.83203125" style="15" customWidth="1"/>
    <col min="11536" max="11536" width="1.83203125" style="15" customWidth="1"/>
    <col min="11537" max="11538" width="10.83203125" style="15" customWidth="1"/>
    <col min="11539" max="11539" width="1.83203125" style="15" customWidth="1"/>
    <col min="11540" max="11540" width="7.83203125" style="15" customWidth="1"/>
    <col min="11541" max="11541" width="12.83203125" style="15" customWidth="1"/>
    <col min="11542" max="11542" width="9" style="15" customWidth="1"/>
    <col min="11543" max="11544" width="2.83203125" style="15" customWidth="1"/>
    <col min="11545" max="11545" width="44.83203125" style="15" customWidth="1"/>
    <col min="11546" max="11645" width="12.83203125" style="15" customWidth="1"/>
    <col min="11646" max="11777" width="9.33203125" style="15"/>
    <col min="11778" max="11778" width="1" style="15" customWidth="1"/>
    <col min="11779" max="11779" width="8.83203125" style="15" customWidth="1"/>
    <col min="11780" max="11781" width="9.83203125" style="15" customWidth="1"/>
    <col min="11782" max="11782" width="10.83203125" style="15" customWidth="1"/>
    <col min="11783" max="11783" width="11.83203125" style="15" customWidth="1"/>
    <col min="11784" max="11784" width="2.83203125" style="15" customWidth="1"/>
    <col min="11785" max="11785" width="12.1640625" style="15" customWidth="1"/>
    <col min="11786" max="11786" width="12.83203125" style="15" customWidth="1"/>
    <col min="11787" max="11787" width="7.83203125" style="15" customWidth="1"/>
    <col min="11788" max="11788" width="8.83203125" style="15" customWidth="1"/>
    <col min="11789" max="11789" width="1.83203125" style="15" customWidth="1"/>
    <col min="11790" max="11790" width="10.83203125" style="15" customWidth="1"/>
    <col min="11791" max="11791" width="9.83203125" style="15" customWidth="1"/>
    <col min="11792" max="11792" width="1.83203125" style="15" customWidth="1"/>
    <col min="11793" max="11794" width="10.83203125" style="15" customWidth="1"/>
    <col min="11795" max="11795" width="1.83203125" style="15" customWidth="1"/>
    <col min="11796" max="11796" width="7.83203125" style="15" customWidth="1"/>
    <col min="11797" max="11797" width="12.83203125" style="15" customWidth="1"/>
    <col min="11798" max="11798" width="9" style="15" customWidth="1"/>
    <col min="11799" max="11800" width="2.83203125" style="15" customWidth="1"/>
    <col min="11801" max="11801" width="44.83203125" style="15" customWidth="1"/>
    <col min="11802" max="11901" width="12.83203125" style="15" customWidth="1"/>
    <col min="11902" max="12033" width="9.33203125" style="15"/>
    <col min="12034" max="12034" width="1" style="15" customWidth="1"/>
    <col min="12035" max="12035" width="8.83203125" style="15" customWidth="1"/>
    <col min="12036" max="12037" width="9.83203125" style="15" customWidth="1"/>
    <col min="12038" max="12038" width="10.83203125" style="15" customWidth="1"/>
    <col min="12039" max="12039" width="11.83203125" style="15" customWidth="1"/>
    <col min="12040" max="12040" width="2.83203125" style="15" customWidth="1"/>
    <col min="12041" max="12041" width="12.1640625" style="15" customWidth="1"/>
    <col min="12042" max="12042" width="12.83203125" style="15" customWidth="1"/>
    <col min="12043" max="12043" width="7.83203125" style="15" customWidth="1"/>
    <col min="12044" max="12044" width="8.83203125" style="15" customWidth="1"/>
    <col min="12045" max="12045" width="1.83203125" style="15" customWidth="1"/>
    <col min="12046" max="12046" width="10.83203125" style="15" customWidth="1"/>
    <col min="12047" max="12047" width="9.83203125" style="15" customWidth="1"/>
    <col min="12048" max="12048" width="1.83203125" style="15" customWidth="1"/>
    <col min="12049" max="12050" width="10.83203125" style="15" customWidth="1"/>
    <col min="12051" max="12051" width="1.83203125" style="15" customWidth="1"/>
    <col min="12052" max="12052" width="7.83203125" style="15" customWidth="1"/>
    <col min="12053" max="12053" width="12.83203125" style="15" customWidth="1"/>
    <col min="12054" max="12054" width="9" style="15" customWidth="1"/>
    <col min="12055" max="12056" width="2.83203125" style="15" customWidth="1"/>
    <col min="12057" max="12057" width="44.83203125" style="15" customWidth="1"/>
    <col min="12058" max="12157" width="12.83203125" style="15" customWidth="1"/>
    <col min="12158" max="12289" width="9.33203125" style="15"/>
    <col min="12290" max="12290" width="1" style="15" customWidth="1"/>
    <col min="12291" max="12291" width="8.83203125" style="15" customWidth="1"/>
    <col min="12292" max="12293" width="9.83203125" style="15" customWidth="1"/>
    <col min="12294" max="12294" width="10.83203125" style="15" customWidth="1"/>
    <col min="12295" max="12295" width="11.83203125" style="15" customWidth="1"/>
    <col min="12296" max="12296" width="2.83203125" style="15" customWidth="1"/>
    <col min="12297" max="12297" width="12.1640625" style="15" customWidth="1"/>
    <col min="12298" max="12298" width="12.83203125" style="15" customWidth="1"/>
    <col min="12299" max="12299" width="7.83203125" style="15" customWidth="1"/>
    <col min="12300" max="12300" width="8.83203125" style="15" customWidth="1"/>
    <col min="12301" max="12301" width="1.83203125" style="15" customWidth="1"/>
    <col min="12302" max="12302" width="10.83203125" style="15" customWidth="1"/>
    <col min="12303" max="12303" width="9.83203125" style="15" customWidth="1"/>
    <col min="12304" max="12304" width="1.83203125" style="15" customWidth="1"/>
    <col min="12305" max="12306" width="10.83203125" style="15" customWidth="1"/>
    <col min="12307" max="12307" width="1.83203125" style="15" customWidth="1"/>
    <col min="12308" max="12308" width="7.83203125" style="15" customWidth="1"/>
    <col min="12309" max="12309" width="12.83203125" style="15" customWidth="1"/>
    <col min="12310" max="12310" width="9" style="15" customWidth="1"/>
    <col min="12311" max="12312" width="2.83203125" style="15" customWidth="1"/>
    <col min="12313" max="12313" width="44.83203125" style="15" customWidth="1"/>
    <col min="12314" max="12413" width="12.83203125" style="15" customWidth="1"/>
    <col min="12414" max="12545" width="9.33203125" style="15"/>
    <col min="12546" max="12546" width="1" style="15" customWidth="1"/>
    <col min="12547" max="12547" width="8.83203125" style="15" customWidth="1"/>
    <col min="12548" max="12549" width="9.83203125" style="15" customWidth="1"/>
    <col min="12550" max="12550" width="10.83203125" style="15" customWidth="1"/>
    <col min="12551" max="12551" width="11.83203125" style="15" customWidth="1"/>
    <col min="12552" max="12552" width="2.83203125" style="15" customWidth="1"/>
    <col min="12553" max="12553" width="12.1640625" style="15" customWidth="1"/>
    <col min="12554" max="12554" width="12.83203125" style="15" customWidth="1"/>
    <col min="12555" max="12555" width="7.83203125" style="15" customWidth="1"/>
    <col min="12556" max="12556" width="8.83203125" style="15" customWidth="1"/>
    <col min="12557" max="12557" width="1.83203125" style="15" customWidth="1"/>
    <col min="12558" max="12558" width="10.83203125" style="15" customWidth="1"/>
    <col min="12559" max="12559" width="9.83203125" style="15" customWidth="1"/>
    <col min="12560" max="12560" width="1.83203125" style="15" customWidth="1"/>
    <col min="12561" max="12562" width="10.83203125" style="15" customWidth="1"/>
    <col min="12563" max="12563" width="1.83203125" style="15" customWidth="1"/>
    <col min="12564" max="12564" width="7.83203125" style="15" customWidth="1"/>
    <col min="12565" max="12565" width="12.83203125" style="15" customWidth="1"/>
    <col min="12566" max="12566" width="9" style="15" customWidth="1"/>
    <col min="12567" max="12568" width="2.83203125" style="15" customWidth="1"/>
    <col min="12569" max="12569" width="44.83203125" style="15" customWidth="1"/>
    <col min="12570" max="12669" width="12.83203125" style="15" customWidth="1"/>
    <col min="12670" max="12801" width="9.33203125" style="15"/>
    <col min="12802" max="12802" width="1" style="15" customWidth="1"/>
    <col min="12803" max="12803" width="8.83203125" style="15" customWidth="1"/>
    <col min="12804" max="12805" width="9.83203125" style="15" customWidth="1"/>
    <col min="12806" max="12806" width="10.83203125" style="15" customWidth="1"/>
    <col min="12807" max="12807" width="11.83203125" style="15" customWidth="1"/>
    <col min="12808" max="12808" width="2.83203125" style="15" customWidth="1"/>
    <col min="12809" max="12809" width="12.1640625" style="15" customWidth="1"/>
    <col min="12810" max="12810" width="12.83203125" style="15" customWidth="1"/>
    <col min="12811" max="12811" width="7.83203125" style="15" customWidth="1"/>
    <col min="12812" max="12812" width="8.83203125" style="15" customWidth="1"/>
    <col min="12813" max="12813" width="1.83203125" style="15" customWidth="1"/>
    <col min="12814" max="12814" width="10.83203125" style="15" customWidth="1"/>
    <col min="12815" max="12815" width="9.83203125" style="15" customWidth="1"/>
    <col min="12816" max="12816" width="1.83203125" style="15" customWidth="1"/>
    <col min="12817" max="12818" width="10.83203125" style="15" customWidth="1"/>
    <col min="12819" max="12819" width="1.83203125" style="15" customWidth="1"/>
    <col min="12820" max="12820" width="7.83203125" style="15" customWidth="1"/>
    <col min="12821" max="12821" width="12.83203125" style="15" customWidth="1"/>
    <col min="12822" max="12822" width="9" style="15" customWidth="1"/>
    <col min="12823" max="12824" width="2.83203125" style="15" customWidth="1"/>
    <col min="12825" max="12825" width="44.83203125" style="15" customWidth="1"/>
    <col min="12826" max="12925" width="12.83203125" style="15" customWidth="1"/>
    <col min="12926" max="13057" width="9.33203125" style="15"/>
    <col min="13058" max="13058" width="1" style="15" customWidth="1"/>
    <col min="13059" max="13059" width="8.83203125" style="15" customWidth="1"/>
    <col min="13060" max="13061" width="9.83203125" style="15" customWidth="1"/>
    <col min="13062" max="13062" width="10.83203125" style="15" customWidth="1"/>
    <col min="13063" max="13063" width="11.83203125" style="15" customWidth="1"/>
    <col min="13064" max="13064" width="2.83203125" style="15" customWidth="1"/>
    <col min="13065" max="13065" width="12.1640625" style="15" customWidth="1"/>
    <col min="13066" max="13066" width="12.83203125" style="15" customWidth="1"/>
    <col min="13067" max="13067" width="7.83203125" style="15" customWidth="1"/>
    <col min="13068" max="13068" width="8.83203125" style="15" customWidth="1"/>
    <col min="13069" max="13069" width="1.83203125" style="15" customWidth="1"/>
    <col min="13070" max="13070" width="10.83203125" style="15" customWidth="1"/>
    <col min="13071" max="13071" width="9.83203125" style="15" customWidth="1"/>
    <col min="13072" max="13072" width="1.83203125" style="15" customWidth="1"/>
    <col min="13073" max="13074" width="10.83203125" style="15" customWidth="1"/>
    <col min="13075" max="13075" width="1.83203125" style="15" customWidth="1"/>
    <col min="13076" max="13076" width="7.83203125" style="15" customWidth="1"/>
    <col min="13077" max="13077" width="12.83203125" style="15" customWidth="1"/>
    <col min="13078" max="13078" width="9" style="15" customWidth="1"/>
    <col min="13079" max="13080" width="2.83203125" style="15" customWidth="1"/>
    <col min="13081" max="13081" width="44.83203125" style="15" customWidth="1"/>
    <col min="13082" max="13181" width="12.83203125" style="15" customWidth="1"/>
    <col min="13182" max="13313" width="9.33203125" style="15"/>
    <col min="13314" max="13314" width="1" style="15" customWidth="1"/>
    <col min="13315" max="13315" width="8.83203125" style="15" customWidth="1"/>
    <col min="13316" max="13317" width="9.83203125" style="15" customWidth="1"/>
    <col min="13318" max="13318" width="10.83203125" style="15" customWidth="1"/>
    <col min="13319" max="13319" width="11.83203125" style="15" customWidth="1"/>
    <col min="13320" max="13320" width="2.83203125" style="15" customWidth="1"/>
    <col min="13321" max="13321" width="12.1640625" style="15" customWidth="1"/>
    <col min="13322" max="13322" width="12.83203125" style="15" customWidth="1"/>
    <col min="13323" max="13323" width="7.83203125" style="15" customWidth="1"/>
    <col min="13324" max="13324" width="8.83203125" style="15" customWidth="1"/>
    <col min="13325" max="13325" width="1.83203125" style="15" customWidth="1"/>
    <col min="13326" max="13326" width="10.83203125" style="15" customWidth="1"/>
    <col min="13327" max="13327" width="9.83203125" style="15" customWidth="1"/>
    <col min="13328" max="13328" width="1.83203125" style="15" customWidth="1"/>
    <col min="13329" max="13330" width="10.83203125" style="15" customWidth="1"/>
    <col min="13331" max="13331" width="1.83203125" style="15" customWidth="1"/>
    <col min="13332" max="13332" width="7.83203125" style="15" customWidth="1"/>
    <col min="13333" max="13333" width="12.83203125" style="15" customWidth="1"/>
    <col min="13334" max="13334" width="9" style="15" customWidth="1"/>
    <col min="13335" max="13336" width="2.83203125" style="15" customWidth="1"/>
    <col min="13337" max="13337" width="44.83203125" style="15" customWidth="1"/>
    <col min="13338" max="13437" width="12.83203125" style="15" customWidth="1"/>
    <col min="13438" max="13569" width="9.33203125" style="15"/>
    <col min="13570" max="13570" width="1" style="15" customWidth="1"/>
    <col min="13571" max="13571" width="8.83203125" style="15" customWidth="1"/>
    <col min="13572" max="13573" width="9.83203125" style="15" customWidth="1"/>
    <col min="13574" max="13574" width="10.83203125" style="15" customWidth="1"/>
    <col min="13575" max="13575" width="11.83203125" style="15" customWidth="1"/>
    <col min="13576" max="13576" width="2.83203125" style="15" customWidth="1"/>
    <col min="13577" max="13577" width="12.1640625" style="15" customWidth="1"/>
    <col min="13578" max="13578" width="12.83203125" style="15" customWidth="1"/>
    <col min="13579" max="13579" width="7.83203125" style="15" customWidth="1"/>
    <col min="13580" max="13580" width="8.83203125" style="15" customWidth="1"/>
    <col min="13581" max="13581" width="1.83203125" style="15" customWidth="1"/>
    <col min="13582" max="13582" width="10.83203125" style="15" customWidth="1"/>
    <col min="13583" max="13583" width="9.83203125" style="15" customWidth="1"/>
    <col min="13584" max="13584" width="1.83203125" style="15" customWidth="1"/>
    <col min="13585" max="13586" width="10.83203125" style="15" customWidth="1"/>
    <col min="13587" max="13587" width="1.83203125" style="15" customWidth="1"/>
    <col min="13588" max="13588" width="7.83203125" style="15" customWidth="1"/>
    <col min="13589" max="13589" width="12.83203125" style="15" customWidth="1"/>
    <col min="13590" max="13590" width="9" style="15" customWidth="1"/>
    <col min="13591" max="13592" width="2.83203125" style="15" customWidth="1"/>
    <col min="13593" max="13593" width="44.83203125" style="15" customWidth="1"/>
    <col min="13594" max="13693" width="12.83203125" style="15" customWidth="1"/>
    <col min="13694" max="13825" width="9.33203125" style="15"/>
    <col min="13826" max="13826" width="1" style="15" customWidth="1"/>
    <col min="13827" max="13827" width="8.83203125" style="15" customWidth="1"/>
    <col min="13828" max="13829" width="9.83203125" style="15" customWidth="1"/>
    <col min="13830" max="13830" width="10.83203125" style="15" customWidth="1"/>
    <col min="13831" max="13831" width="11.83203125" style="15" customWidth="1"/>
    <col min="13832" max="13832" width="2.83203125" style="15" customWidth="1"/>
    <col min="13833" max="13833" width="12.1640625" style="15" customWidth="1"/>
    <col min="13834" max="13834" width="12.83203125" style="15" customWidth="1"/>
    <col min="13835" max="13835" width="7.83203125" style="15" customWidth="1"/>
    <col min="13836" max="13836" width="8.83203125" style="15" customWidth="1"/>
    <col min="13837" max="13837" width="1.83203125" style="15" customWidth="1"/>
    <col min="13838" max="13838" width="10.83203125" style="15" customWidth="1"/>
    <col min="13839" max="13839" width="9.83203125" style="15" customWidth="1"/>
    <col min="13840" max="13840" width="1.83203125" style="15" customWidth="1"/>
    <col min="13841" max="13842" width="10.83203125" style="15" customWidth="1"/>
    <col min="13843" max="13843" width="1.83203125" style="15" customWidth="1"/>
    <col min="13844" max="13844" width="7.83203125" style="15" customWidth="1"/>
    <col min="13845" max="13845" width="12.83203125" style="15" customWidth="1"/>
    <col min="13846" max="13846" width="9" style="15" customWidth="1"/>
    <col min="13847" max="13848" width="2.83203125" style="15" customWidth="1"/>
    <col min="13849" max="13849" width="44.83203125" style="15" customWidth="1"/>
    <col min="13850" max="13949" width="12.83203125" style="15" customWidth="1"/>
    <col min="13950" max="14081" width="9.33203125" style="15"/>
    <col min="14082" max="14082" width="1" style="15" customWidth="1"/>
    <col min="14083" max="14083" width="8.83203125" style="15" customWidth="1"/>
    <col min="14084" max="14085" width="9.83203125" style="15" customWidth="1"/>
    <col min="14086" max="14086" width="10.83203125" style="15" customWidth="1"/>
    <col min="14087" max="14087" width="11.83203125" style="15" customWidth="1"/>
    <col min="14088" max="14088" width="2.83203125" style="15" customWidth="1"/>
    <col min="14089" max="14089" width="12.1640625" style="15" customWidth="1"/>
    <col min="14090" max="14090" width="12.83203125" style="15" customWidth="1"/>
    <col min="14091" max="14091" width="7.83203125" style="15" customWidth="1"/>
    <col min="14092" max="14092" width="8.83203125" style="15" customWidth="1"/>
    <col min="14093" max="14093" width="1.83203125" style="15" customWidth="1"/>
    <col min="14094" max="14094" width="10.83203125" style="15" customWidth="1"/>
    <col min="14095" max="14095" width="9.83203125" style="15" customWidth="1"/>
    <col min="14096" max="14096" width="1.83203125" style="15" customWidth="1"/>
    <col min="14097" max="14098" width="10.83203125" style="15" customWidth="1"/>
    <col min="14099" max="14099" width="1.83203125" style="15" customWidth="1"/>
    <col min="14100" max="14100" width="7.83203125" style="15" customWidth="1"/>
    <col min="14101" max="14101" width="12.83203125" style="15" customWidth="1"/>
    <col min="14102" max="14102" width="9" style="15" customWidth="1"/>
    <col min="14103" max="14104" width="2.83203125" style="15" customWidth="1"/>
    <col min="14105" max="14105" width="44.83203125" style="15" customWidth="1"/>
    <col min="14106" max="14205" width="12.83203125" style="15" customWidth="1"/>
    <col min="14206" max="14337" width="9.33203125" style="15"/>
    <col min="14338" max="14338" width="1" style="15" customWidth="1"/>
    <col min="14339" max="14339" width="8.83203125" style="15" customWidth="1"/>
    <col min="14340" max="14341" width="9.83203125" style="15" customWidth="1"/>
    <col min="14342" max="14342" width="10.83203125" style="15" customWidth="1"/>
    <col min="14343" max="14343" width="11.83203125" style="15" customWidth="1"/>
    <col min="14344" max="14344" width="2.83203125" style="15" customWidth="1"/>
    <col min="14345" max="14345" width="12.1640625" style="15" customWidth="1"/>
    <col min="14346" max="14346" width="12.83203125" style="15" customWidth="1"/>
    <col min="14347" max="14347" width="7.83203125" style="15" customWidth="1"/>
    <col min="14348" max="14348" width="8.83203125" style="15" customWidth="1"/>
    <col min="14349" max="14349" width="1.83203125" style="15" customWidth="1"/>
    <col min="14350" max="14350" width="10.83203125" style="15" customWidth="1"/>
    <col min="14351" max="14351" width="9.83203125" style="15" customWidth="1"/>
    <col min="14352" max="14352" width="1.83203125" style="15" customWidth="1"/>
    <col min="14353" max="14354" width="10.83203125" style="15" customWidth="1"/>
    <col min="14355" max="14355" width="1.83203125" style="15" customWidth="1"/>
    <col min="14356" max="14356" width="7.83203125" style="15" customWidth="1"/>
    <col min="14357" max="14357" width="12.83203125" style="15" customWidth="1"/>
    <col min="14358" max="14358" width="9" style="15" customWidth="1"/>
    <col min="14359" max="14360" width="2.83203125" style="15" customWidth="1"/>
    <col min="14361" max="14361" width="44.83203125" style="15" customWidth="1"/>
    <col min="14362" max="14461" width="12.83203125" style="15" customWidth="1"/>
    <col min="14462" max="14593" width="9.33203125" style="15"/>
    <col min="14594" max="14594" width="1" style="15" customWidth="1"/>
    <col min="14595" max="14595" width="8.83203125" style="15" customWidth="1"/>
    <col min="14596" max="14597" width="9.83203125" style="15" customWidth="1"/>
    <col min="14598" max="14598" width="10.83203125" style="15" customWidth="1"/>
    <col min="14599" max="14599" width="11.83203125" style="15" customWidth="1"/>
    <col min="14600" max="14600" width="2.83203125" style="15" customWidth="1"/>
    <col min="14601" max="14601" width="12.1640625" style="15" customWidth="1"/>
    <col min="14602" max="14602" width="12.83203125" style="15" customWidth="1"/>
    <col min="14603" max="14603" width="7.83203125" style="15" customWidth="1"/>
    <col min="14604" max="14604" width="8.83203125" style="15" customWidth="1"/>
    <col min="14605" max="14605" width="1.83203125" style="15" customWidth="1"/>
    <col min="14606" max="14606" width="10.83203125" style="15" customWidth="1"/>
    <col min="14607" max="14607" width="9.83203125" style="15" customWidth="1"/>
    <col min="14608" max="14608" width="1.83203125" style="15" customWidth="1"/>
    <col min="14609" max="14610" width="10.83203125" style="15" customWidth="1"/>
    <col min="14611" max="14611" width="1.83203125" style="15" customWidth="1"/>
    <col min="14612" max="14612" width="7.83203125" style="15" customWidth="1"/>
    <col min="14613" max="14613" width="12.83203125" style="15" customWidth="1"/>
    <col min="14614" max="14614" width="9" style="15" customWidth="1"/>
    <col min="14615" max="14616" width="2.83203125" style="15" customWidth="1"/>
    <col min="14617" max="14617" width="44.83203125" style="15" customWidth="1"/>
    <col min="14618" max="14717" width="12.83203125" style="15" customWidth="1"/>
    <col min="14718" max="14849" width="9.33203125" style="15"/>
    <col min="14850" max="14850" width="1" style="15" customWidth="1"/>
    <col min="14851" max="14851" width="8.83203125" style="15" customWidth="1"/>
    <col min="14852" max="14853" width="9.83203125" style="15" customWidth="1"/>
    <col min="14854" max="14854" width="10.83203125" style="15" customWidth="1"/>
    <col min="14855" max="14855" width="11.83203125" style="15" customWidth="1"/>
    <col min="14856" max="14856" width="2.83203125" style="15" customWidth="1"/>
    <col min="14857" max="14857" width="12.1640625" style="15" customWidth="1"/>
    <col min="14858" max="14858" width="12.83203125" style="15" customWidth="1"/>
    <col min="14859" max="14859" width="7.83203125" style="15" customWidth="1"/>
    <col min="14860" max="14860" width="8.83203125" style="15" customWidth="1"/>
    <col min="14861" max="14861" width="1.83203125" style="15" customWidth="1"/>
    <col min="14862" max="14862" width="10.83203125" style="15" customWidth="1"/>
    <col min="14863" max="14863" width="9.83203125" style="15" customWidth="1"/>
    <col min="14864" max="14864" width="1.83203125" style="15" customWidth="1"/>
    <col min="14865" max="14866" width="10.83203125" style="15" customWidth="1"/>
    <col min="14867" max="14867" width="1.83203125" style="15" customWidth="1"/>
    <col min="14868" max="14868" width="7.83203125" style="15" customWidth="1"/>
    <col min="14869" max="14869" width="12.83203125" style="15" customWidth="1"/>
    <col min="14870" max="14870" width="9" style="15" customWidth="1"/>
    <col min="14871" max="14872" width="2.83203125" style="15" customWidth="1"/>
    <col min="14873" max="14873" width="44.83203125" style="15" customWidth="1"/>
    <col min="14874" max="14973" width="12.83203125" style="15" customWidth="1"/>
    <col min="14974" max="15105" width="9.33203125" style="15"/>
    <col min="15106" max="15106" width="1" style="15" customWidth="1"/>
    <col min="15107" max="15107" width="8.83203125" style="15" customWidth="1"/>
    <col min="15108" max="15109" width="9.83203125" style="15" customWidth="1"/>
    <col min="15110" max="15110" width="10.83203125" style="15" customWidth="1"/>
    <col min="15111" max="15111" width="11.83203125" style="15" customWidth="1"/>
    <col min="15112" max="15112" width="2.83203125" style="15" customWidth="1"/>
    <col min="15113" max="15113" width="12.1640625" style="15" customWidth="1"/>
    <col min="15114" max="15114" width="12.83203125" style="15" customWidth="1"/>
    <col min="15115" max="15115" width="7.83203125" style="15" customWidth="1"/>
    <col min="15116" max="15116" width="8.83203125" style="15" customWidth="1"/>
    <col min="15117" max="15117" width="1.83203125" style="15" customWidth="1"/>
    <col min="15118" max="15118" width="10.83203125" style="15" customWidth="1"/>
    <col min="15119" max="15119" width="9.83203125" style="15" customWidth="1"/>
    <col min="15120" max="15120" width="1.83203125" style="15" customWidth="1"/>
    <col min="15121" max="15122" width="10.83203125" style="15" customWidth="1"/>
    <col min="15123" max="15123" width="1.83203125" style="15" customWidth="1"/>
    <col min="15124" max="15124" width="7.83203125" style="15" customWidth="1"/>
    <col min="15125" max="15125" width="12.83203125" style="15" customWidth="1"/>
    <col min="15126" max="15126" width="9" style="15" customWidth="1"/>
    <col min="15127" max="15128" width="2.83203125" style="15" customWidth="1"/>
    <col min="15129" max="15129" width="44.83203125" style="15" customWidth="1"/>
    <col min="15130" max="15229" width="12.83203125" style="15" customWidth="1"/>
    <col min="15230" max="15361" width="9.33203125" style="15"/>
    <col min="15362" max="15362" width="1" style="15" customWidth="1"/>
    <col min="15363" max="15363" width="8.83203125" style="15" customWidth="1"/>
    <col min="15364" max="15365" width="9.83203125" style="15" customWidth="1"/>
    <col min="15366" max="15366" width="10.83203125" style="15" customWidth="1"/>
    <col min="15367" max="15367" width="11.83203125" style="15" customWidth="1"/>
    <col min="15368" max="15368" width="2.83203125" style="15" customWidth="1"/>
    <col min="15369" max="15369" width="12.1640625" style="15" customWidth="1"/>
    <col min="15370" max="15370" width="12.83203125" style="15" customWidth="1"/>
    <col min="15371" max="15371" width="7.83203125" style="15" customWidth="1"/>
    <col min="15372" max="15372" width="8.83203125" style="15" customWidth="1"/>
    <col min="15373" max="15373" width="1.83203125" style="15" customWidth="1"/>
    <col min="15374" max="15374" width="10.83203125" style="15" customWidth="1"/>
    <col min="15375" max="15375" width="9.83203125" style="15" customWidth="1"/>
    <col min="15376" max="15376" width="1.83203125" style="15" customWidth="1"/>
    <col min="15377" max="15378" width="10.83203125" style="15" customWidth="1"/>
    <col min="15379" max="15379" width="1.83203125" style="15" customWidth="1"/>
    <col min="15380" max="15380" width="7.83203125" style="15" customWidth="1"/>
    <col min="15381" max="15381" width="12.83203125" style="15" customWidth="1"/>
    <col min="15382" max="15382" width="9" style="15" customWidth="1"/>
    <col min="15383" max="15384" width="2.83203125" style="15" customWidth="1"/>
    <col min="15385" max="15385" width="44.83203125" style="15" customWidth="1"/>
    <col min="15386" max="15485" width="12.83203125" style="15" customWidth="1"/>
    <col min="15486" max="15617" width="9.33203125" style="15"/>
    <col min="15618" max="15618" width="1" style="15" customWidth="1"/>
    <col min="15619" max="15619" width="8.83203125" style="15" customWidth="1"/>
    <col min="15620" max="15621" width="9.83203125" style="15" customWidth="1"/>
    <col min="15622" max="15622" width="10.83203125" style="15" customWidth="1"/>
    <col min="15623" max="15623" width="11.83203125" style="15" customWidth="1"/>
    <col min="15624" max="15624" width="2.83203125" style="15" customWidth="1"/>
    <col min="15625" max="15625" width="12.1640625" style="15" customWidth="1"/>
    <col min="15626" max="15626" width="12.83203125" style="15" customWidth="1"/>
    <col min="15627" max="15627" width="7.83203125" style="15" customWidth="1"/>
    <col min="15628" max="15628" width="8.83203125" style="15" customWidth="1"/>
    <col min="15629" max="15629" width="1.83203125" style="15" customWidth="1"/>
    <col min="15630" max="15630" width="10.83203125" style="15" customWidth="1"/>
    <col min="15631" max="15631" width="9.83203125" style="15" customWidth="1"/>
    <col min="15632" max="15632" width="1.83203125" style="15" customWidth="1"/>
    <col min="15633" max="15634" width="10.83203125" style="15" customWidth="1"/>
    <col min="15635" max="15635" width="1.83203125" style="15" customWidth="1"/>
    <col min="15636" max="15636" width="7.83203125" style="15" customWidth="1"/>
    <col min="15637" max="15637" width="12.83203125" style="15" customWidth="1"/>
    <col min="15638" max="15638" width="9" style="15" customWidth="1"/>
    <col min="15639" max="15640" width="2.83203125" style="15" customWidth="1"/>
    <col min="15641" max="15641" width="44.83203125" style="15" customWidth="1"/>
    <col min="15642" max="15741" width="12.83203125" style="15" customWidth="1"/>
    <col min="15742" max="15873" width="9.33203125" style="15"/>
    <col min="15874" max="15874" width="1" style="15" customWidth="1"/>
    <col min="15875" max="15875" width="8.83203125" style="15" customWidth="1"/>
    <col min="15876" max="15877" width="9.83203125" style="15" customWidth="1"/>
    <col min="15878" max="15878" width="10.83203125" style="15" customWidth="1"/>
    <col min="15879" max="15879" width="11.83203125" style="15" customWidth="1"/>
    <col min="15880" max="15880" width="2.83203125" style="15" customWidth="1"/>
    <col min="15881" max="15881" width="12.1640625" style="15" customWidth="1"/>
    <col min="15882" max="15882" width="12.83203125" style="15" customWidth="1"/>
    <col min="15883" max="15883" width="7.83203125" style="15" customWidth="1"/>
    <col min="15884" max="15884" width="8.83203125" style="15" customWidth="1"/>
    <col min="15885" max="15885" width="1.83203125" style="15" customWidth="1"/>
    <col min="15886" max="15886" width="10.83203125" style="15" customWidth="1"/>
    <col min="15887" max="15887" width="9.83203125" style="15" customWidth="1"/>
    <col min="15888" max="15888" width="1.83203125" style="15" customWidth="1"/>
    <col min="15889" max="15890" width="10.83203125" style="15" customWidth="1"/>
    <col min="15891" max="15891" width="1.83203125" style="15" customWidth="1"/>
    <col min="15892" max="15892" width="7.83203125" style="15" customWidth="1"/>
    <col min="15893" max="15893" width="12.83203125" style="15" customWidth="1"/>
    <col min="15894" max="15894" width="9" style="15" customWidth="1"/>
    <col min="15895" max="15896" width="2.83203125" style="15" customWidth="1"/>
    <col min="15897" max="15897" width="44.83203125" style="15" customWidth="1"/>
    <col min="15898" max="15997" width="12.83203125" style="15" customWidth="1"/>
    <col min="15998" max="16129" width="9.33203125" style="15"/>
    <col min="16130" max="16130" width="1" style="15" customWidth="1"/>
    <col min="16131" max="16131" width="8.83203125" style="15" customWidth="1"/>
    <col min="16132" max="16133" width="9.83203125" style="15" customWidth="1"/>
    <col min="16134" max="16134" width="10.83203125" style="15" customWidth="1"/>
    <col min="16135" max="16135" width="11.83203125" style="15" customWidth="1"/>
    <col min="16136" max="16136" width="2.83203125" style="15" customWidth="1"/>
    <col min="16137" max="16137" width="12.1640625" style="15" customWidth="1"/>
    <col min="16138" max="16138" width="12.83203125" style="15" customWidth="1"/>
    <col min="16139" max="16139" width="7.83203125" style="15" customWidth="1"/>
    <col min="16140" max="16140" width="8.83203125" style="15" customWidth="1"/>
    <col min="16141" max="16141" width="1.83203125" style="15" customWidth="1"/>
    <col min="16142" max="16142" width="10.83203125" style="15" customWidth="1"/>
    <col min="16143" max="16143" width="9.83203125" style="15" customWidth="1"/>
    <col min="16144" max="16144" width="1.83203125" style="15" customWidth="1"/>
    <col min="16145" max="16146" width="10.83203125" style="15" customWidth="1"/>
    <col min="16147" max="16147" width="1.83203125" style="15" customWidth="1"/>
    <col min="16148" max="16148" width="7.83203125" style="15" customWidth="1"/>
    <col min="16149" max="16149" width="12.83203125" style="15" customWidth="1"/>
    <col min="16150" max="16150" width="9" style="15" customWidth="1"/>
    <col min="16151" max="16152" width="2.83203125" style="15" customWidth="1"/>
    <col min="16153" max="16153" width="44.83203125" style="15" customWidth="1"/>
    <col min="16154" max="16253" width="12.83203125" style="15" customWidth="1"/>
    <col min="16254" max="16384" width="9.33203125" style="15"/>
  </cols>
  <sheetData>
    <row r="1" spans="2:125" ht="20.25" thickBot="1" x14ac:dyDescent="0.35">
      <c r="B1" s="937"/>
      <c r="C1" s="938" t="s">
        <v>149</v>
      </c>
      <c r="D1" s="937"/>
      <c r="E1" s="937"/>
      <c r="F1" s="937"/>
      <c r="G1" s="939"/>
      <c r="H1" s="939"/>
      <c r="I1" s="939"/>
      <c r="J1" s="940"/>
      <c r="K1" s="940"/>
      <c r="L1" s="940"/>
      <c r="M1" s="940"/>
      <c r="N1" s="940"/>
      <c r="O1" s="940"/>
      <c r="P1" s="940"/>
      <c r="Q1" s="940"/>
      <c r="R1" s="940"/>
      <c r="S1" s="940"/>
      <c r="T1" s="940"/>
      <c r="U1" s="940"/>
      <c r="V1" s="940"/>
      <c r="W1" s="940"/>
      <c r="X1" s="941"/>
      <c r="Y1" s="942" t="s">
        <v>1003</v>
      </c>
      <c r="Z1" s="943"/>
      <c r="AA1" s="943"/>
      <c r="AB1" s="943"/>
      <c r="AC1" s="943"/>
      <c r="AD1" s="943"/>
      <c r="AE1" s="943"/>
      <c r="AF1" s="943"/>
      <c r="AG1" s="943"/>
      <c r="AH1" s="943"/>
      <c r="AI1" s="943"/>
      <c r="AJ1" s="943"/>
      <c r="AK1" s="943"/>
      <c r="AL1" s="943"/>
      <c r="AM1" s="943"/>
      <c r="AN1" s="943"/>
      <c r="AO1" s="943"/>
      <c r="AP1" s="943"/>
      <c r="AQ1" s="943"/>
      <c r="AR1" s="943"/>
      <c r="AS1" s="943"/>
      <c r="AT1" s="943"/>
      <c r="AU1" s="943"/>
      <c r="AV1" s="943"/>
      <c r="AW1" s="943"/>
      <c r="AX1" s="943"/>
      <c r="AY1" s="943"/>
      <c r="AZ1" s="943"/>
      <c r="BA1" s="943"/>
      <c r="BB1" s="943"/>
      <c r="BC1" s="943"/>
      <c r="BD1" s="943"/>
      <c r="BE1" s="943"/>
      <c r="BF1" s="943"/>
      <c r="BG1" s="943"/>
      <c r="BH1" s="943"/>
      <c r="BI1" s="943"/>
      <c r="BJ1" s="943"/>
      <c r="BK1" s="943"/>
      <c r="BL1" s="943"/>
      <c r="BM1" s="943"/>
      <c r="BN1" s="943"/>
      <c r="BO1" s="943"/>
      <c r="BP1" s="943"/>
      <c r="BQ1" s="943"/>
      <c r="BR1" s="943"/>
      <c r="BS1" s="943"/>
      <c r="BT1" s="943"/>
      <c r="BU1" s="943"/>
      <c r="BV1" s="943"/>
      <c r="BW1" s="943"/>
      <c r="BX1" s="944"/>
      <c r="BY1" s="944"/>
      <c r="BZ1" s="944"/>
      <c r="CA1" s="944"/>
      <c r="CB1" s="944"/>
      <c r="CC1" s="944"/>
      <c r="CD1" s="944"/>
      <c r="CE1" s="944"/>
      <c r="CF1" s="944"/>
      <c r="CG1" s="944"/>
      <c r="CH1" s="944"/>
      <c r="CI1" s="944"/>
      <c r="CJ1" s="944"/>
      <c r="CK1" s="944"/>
      <c r="CL1" s="944"/>
      <c r="CM1" s="944"/>
      <c r="CN1" s="944"/>
      <c r="CO1" s="944"/>
      <c r="CP1" s="944"/>
      <c r="CQ1" s="944"/>
      <c r="CR1" s="944"/>
      <c r="CS1" s="944"/>
      <c r="CT1" s="944"/>
      <c r="CU1" s="944"/>
      <c r="CV1" s="944"/>
      <c r="CW1" s="944"/>
      <c r="CX1" s="944"/>
      <c r="CY1" s="944"/>
      <c r="CZ1" s="944"/>
      <c r="DA1" s="944"/>
      <c r="DB1" s="944"/>
      <c r="DC1" s="944"/>
      <c r="DD1" s="944"/>
      <c r="DE1" s="944"/>
      <c r="DF1" s="944"/>
      <c r="DG1" s="944"/>
      <c r="DH1" s="944"/>
      <c r="DI1" s="944"/>
      <c r="DJ1" s="944"/>
      <c r="DK1" s="944"/>
      <c r="DL1" s="944"/>
      <c r="DM1" s="944"/>
      <c r="DN1" s="944"/>
      <c r="DO1" s="944"/>
      <c r="DP1" s="944"/>
      <c r="DQ1" s="944"/>
      <c r="DR1" s="944"/>
      <c r="DS1" s="944"/>
      <c r="DT1" s="944"/>
      <c r="DU1" s="944"/>
    </row>
    <row r="2" spans="2:125" ht="15" x14ac:dyDescent="0.2">
      <c r="C2" s="945" t="s">
        <v>1104</v>
      </c>
      <c r="D2" s="946"/>
      <c r="E2" s="946"/>
      <c r="F2" s="946"/>
      <c r="G2" s="946"/>
      <c r="H2" s="946"/>
      <c r="I2" s="946"/>
      <c r="J2" s="946"/>
      <c r="K2" s="946"/>
      <c r="L2" s="946"/>
      <c r="M2" s="946"/>
      <c r="N2" s="946"/>
      <c r="O2" s="946"/>
      <c r="P2" s="946"/>
      <c r="Q2" s="946"/>
      <c r="R2" s="947"/>
      <c r="S2" s="947"/>
      <c r="T2" s="947"/>
      <c r="U2" s="947"/>
      <c r="V2" s="947"/>
      <c r="W2" s="947"/>
      <c r="X2" s="947"/>
      <c r="Y2" s="944"/>
      <c r="Z2" s="948" t="s">
        <v>1004</v>
      </c>
      <c r="AA2" s="948"/>
      <c r="AB2" s="947"/>
      <c r="AC2" s="947"/>
      <c r="AD2" s="947"/>
      <c r="AE2" s="949" t="s">
        <v>1107</v>
      </c>
      <c r="AF2" s="949" t="s">
        <v>1106</v>
      </c>
      <c r="AG2" s="949" t="s">
        <v>1106</v>
      </c>
      <c r="AH2" s="949" t="s">
        <v>1106</v>
      </c>
      <c r="AI2" s="949" t="s">
        <v>1106</v>
      </c>
      <c r="AJ2" s="949" t="s">
        <v>1108</v>
      </c>
      <c r="AK2" s="949" t="s">
        <v>1106</v>
      </c>
      <c r="AL2" s="949" t="s">
        <v>1106</v>
      </c>
      <c r="AM2" s="949" t="s">
        <v>1106</v>
      </c>
      <c r="AN2" s="949" t="s">
        <v>1106</v>
      </c>
      <c r="AO2" s="949" t="s">
        <v>1106</v>
      </c>
      <c r="AP2" s="949" t="s">
        <v>1106</v>
      </c>
      <c r="AQ2" s="949" t="s">
        <v>1106</v>
      </c>
      <c r="AR2" s="949" t="s">
        <v>1106</v>
      </c>
      <c r="AS2" s="949" t="s">
        <v>1106</v>
      </c>
      <c r="AT2" s="949" t="s">
        <v>1106</v>
      </c>
      <c r="AU2" s="949" t="s">
        <v>1106</v>
      </c>
      <c r="AV2" s="949" t="s">
        <v>1106</v>
      </c>
      <c r="AW2" s="949" t="s">
        <v>1106</v>
      </c>
      <c r="AX2" s="949" t="s">
        <v>1106</v>
      </c>
      <c r="AY2" s="949" t="s">
        <v>1106</v>
      </c>
      <c r="AZ2" s="949" t="s">
        <v>1106</v>
      </c>
      <c r="BA2" s="949" t="s">
        <v>1106</v>
      </c>
      <c r="BB2" s="949" t="s">
        <v>1106</v>
      </c>
      <c r="BC2" s="949" t="s">
        <v>1106</v>
      </c>
      <c r="BD2" s="949" t="s">
        <v>1106</v>
      </c>
      <c r="BE2" s="949" t="s">
        <v>1106</v>
      </c>
      <c r="BF2" s="949" t="s">
        <v>1106</v>
      </c>
      <c r="BG2" s="949" t="s">
        <v>1106</v>
      </c>
      <c r="BH2" s="949" t="s">
        <v>1106</v>
      </c>
      <c r="BI2" s="949" t="s">
        <v>1106</v>
      </c>
      <c r="BJ2" s="949" t="s">
        <v>1106</v>
      </c>
      <c r="BK2" s="949" t="s">
        <v>1106</v>
      </c>
      <c r="BL2" s="949" t="s">
        <v>1106</v>
      </c>
      <c r="BM2" s="949" t="s">
        <v>1106</v>
      </c>
      <c r="BN2" s="949" t="s">
        <v>1106</v>
      </c>
      <c r="BO2" s="949" t="s">
        <v>1106</v>
      </c>
      <c r="BP2" s="949" t="s">
        <v>1106</v>
      </c>
      <c r="BQ2" s="949" t="s">
        <v>1106</v>
      </c>
      <c r="BR2" s="949" t="s">
        <v>1106</v>
      </c>
      <c r="BS2" s="949" t="s">
        <v>1106</v>
      </c>
      <c r="BT2" s="949" t="s">
        <v>1106</v>
      </c>
      <c r="BU2" s="949" t="s">
        <v>1106</v>
      </c>
      <c r="BV2" s="949" t="s">
        <v>1106</v>
      </c>
      <c r="BW2" s="949" t="s">
        <v>1106</v>
      </c>
      <c r="BX2" s="950" t="s">
        <v>1106</v>
      </c>
      <c r="BY2" s="950" t="s">
        <v>1106</v>
      </c>
      <c r="BZ2" s="950" t="s">
        <v>1106</v>
      </c>
      <c r="CA2" s="950" t="s">
        <v>1106</v>
      </c>
      <c r="CB2" s="950" t="s">
        <v>1106</v>
      </c>
      <c r="CC2" s="950" t="s">
        <v>1106</v>
      </c>
      <c r="CD2" s="950" t="s">
        <v>1106</v>
      </c>
      <c r="CE2" s="950" t="s">
        <v>1106</v>
      </c>
      <c r="CF2" s="950" t="s">
        <v>1106</v>
      </c>
      <c r="CG2" s="950" t="s">
        <v>1106</v>
      </c>
      <c r="CH2" s="950" t="s">
        <v>1106</v>
      </c>
      <c r="CI2" s="950" t="s">
        <v>1106</v>
      </c>
      <c r="CJ2" s="950" t="s">
        <v>1106</v>
      </c>
      <c r="CK2" s="950" t="s">
        <v>1106</v>
      </c>
      <c r="CL2" s="950" t="s">
        <v>1106</v>
      </c>
      <c r="CM2" s="950" t="s">
        <v>1106</v>
      </c>
      <c r="CN2" s="950" t="s">
        <v>1106</v>
      </c>
      <c r="CO2" s="950" t="s">
        <v>1106</v>
      </c>
      <c r="CP2" s="950" t="s">
        <v>1106</v>
      </c>
      <c r="CQ2" s="950" t="s">
        <v>1106</v>
      </c>
      <c r="CR2" s="950" t="s">
        <v>1106</v>
      </c>
      <c r="CS2" s="950" t="s">
        <v>1106</v>
      </c>
      <c r="CT2" s="950" t="s">
        <v>1106</v>
      </c>
      <c r="CU2" s="950" t="s">
        <v>1106</v>
      </c>
      <c r="CV2" s="950" t="s">
        <v>1106</v>
      </c>
      <c r="CW2" s="950" t="s">
        <v>1106</v>
      </c>
      <c r="CX2" s="950" t="s">
        <v>1106</v>
      </c>
      <c r="CY2" s="950" t="s">
        <v>1106</v>
      </c>
      <c r="CZ2" s="950" t="s">
        <v>1106</v>
      </c>
      <c r="DA2" s="950" t="s">
        <v>1106</v>
      </c>
      <c r="DB2" s="950" t="s">
        <v>1106</v>
      </c>
      <c r="DC2" s="950" t="s">
        <v>1106</v>
      </c>
      <c r="DD2" s="950" t="s">
        <v>1106</v>
      </c>
      <c r="DE2" s="950" t="s">
        <v>1106</v>
      </c>
      <c r="DF2" s="950" t="s">
        <v>1106</v>
      </c>
      <c r="DG2" s="950" t="s">
        <v>1106</v>
      </c>
      <c r="DH2" s="950" t="s">
        <v>1106</v>
      </c>
      <c r="DI2" s="950" t="s">
        <v>1106</v>
      </c>
      <c r="DJ2" s="950" t="s">
        <v>1106</v>
      </c>
      <c r="DK2" s="950" t="s">
        <v>1106</v>
      </c>
      <c r="DL2" s="950" t="s">
        <v>1106</v>
      </c>
      <c r="DM2" s="950" t="s">
        <v>1106</v>
      </c>
      <c r="DN2" s="950" t="s">
        <v>1106</v>
      </c>
      <c r="DO2" s="950" t="s">
        <v>1106</v>
      </c>
      <c r="DP2" s="950" t="s">
        <v>1106</v>
      </c>
      <c r="DQ2" s="950" t="s">
        <v>1106</v>
      </c>
      <c r="DR2" s="950" t="s">
        <v>1106</v>
      </c>
      <c r="DS2" s="950" t="s">
        <v>1106</v>
      </c>
      <c r="DT2" s="950" t="s">
        <v>1106</v>
      </c>
      <c r="DU2" s="951" t="s">
        <v>1106</v>
      </c>
    </row>
    <row r="3" spans="2:125" x14ac:dyDescent="0.2">
      <c r="B3" s="946"/>
      <c r="C3" s="946"/>
      <c r="D3" s="946"/>
      <c r="E3" s="946"/>
      <c r="F3" s="946"/>
      <c r="G3" s="952"/>
      <c r="H3" s="952"/>
      <c r="I3" s="953"/>
      <c r="J3" s="947"/>
      <c r="K3" s="947"/>
      <c r="L3" s="947"/>
      <c r="M3" s="947"/>
      <c r="N3" s="947"/>
      <c r="O3" s="947"/>
      <c r="P3" s="947"/>
      <c r="Q3" s="947"/>
      <c r="R3" s="947"/>
      <c r="S3" s="947"/>
      <c r="T3" s="947"/>
      <c r="U3" s="947"/>
      <c r="V3" s="947"/>
      <c r="W3" s="947"/>
      <c r="X3" s="944"/>
      <c r="Y3" s="954" t="s">
        <v>0</v>
      </c>
      <c r="Z3" s="955">
        <v>1</v>
      </c>
      <c r="AA3" s="955">
        <f t="shared" ref="AA3:CL3" si="0">Z3+1</f>
        <v>2</v>
      </c>
      <c r="AB3" s="955">
        <f t="shared" si="0"/>
        <v>3</v>
      </c>
      <c r="AC3" s="955">
        <f t="shared" si="0"/>
        <v>4</v>
      </c>
      <c r="AD3" s="955">
        <f t="shared" si="0"/>
        <v>5</v>
      </c>
      <c r="AE3" s="955">
        <f t="shared" si="0"/>
        <v>6</v>
      </c>
      <c r="AF3" s="955">
        <f t="shared" si="0"/>
        <v>7</v>
      </c>
      <c r="AG3" s="955">
        <f t="shared" si="0"/>
        <v>8</v>
      </c>
      <c r="AH3" s="955">
        <f t="shared" si="0"/>
        <v>9</v>
      </c>
      <c r="AI3" s="955">
        <f t="shared" si="0"/>
        <v>10</v>
      </c>
      <c r="AJ3" s="955">
        <f t="shared" si="0"/>
        <v>11</v>
      </c>
      <c r="AK3" s="955">
        <f t="shared" si="0"/>
        <v>12</v>
      </c>
      <c r="AL3" s="955">
        <f t="shared" si="0"/>
        <v>13</v>
      </c>
      <c r="AM3" s="955">
        <f t="shared" si="0"/>
        <v>14</v>
      </c>
      <c r="AN3" s="955">
        <f t="shared" si="0"/>
        <v>15</v>
      </c>
      <c r="AO3" s="955">
        <f t="shared" si="0"/>
        <v>16</v>
      </c>
      <c r="AP3" s="955">
        <f t="shared" si="0"/>
        <v>17</v>
      </c>
      <c r="AQ3" s="955">
        <f t="shared" si="0"/>
        <v>18</v>
      </c>
      <c r="AR3" s="955">
        <f t="shared" si="0"/>
        <v>19</v>
      </c>
      <c r="AS3" s="955">
        <f t="shared" si="0"/>
        <v>20</v>
      </c>
      <c r="AT3" s="955">
        <f t="shared" si="0"/>
        <v>21</v>
      </c>
      <c r="AU3" s="955">
        <f t="shared" si="0"/>
        <v>22</v>
      </c>
      <c r="AV3" s="955">
        <f t="shared" si="0"/>
        <v>23</v>
      </c>
      <c r="AW3" s="955">
        <f t="shared" si="0"/>
        <v>24</v>
      </c>
      <c r="AX3" s="955">
        <f t="shared" si="0"/>
        <v>25</v>
      </c>
      <c r="AY3" s="955">
        <f t="shared" si="0"/>
        <v>26</v>
      </c>
      <c r="AZ3" s="955">
        <f t="shared" si="0"/>
        <v>27</v>
      </c>
      <c r="BA3" s="955">
        <f t="shared" si="0"/>
        <v>28</v>
      </c>
      <c r="BB3" s="955">
        <f t="shared" si="0"/>
        <v>29</v>
      </c>
      <c r="BC3" s="955">
        <f t="shared" si="0"/>
        <v>30</v>
      </c>
      <c r="BD3" s="955">
        <f t="shared" si="0"/>
        <v>31</v>
      </c>
      <c r="BE3" s="955">
        <f t="shared" si="0"/>
        <v>32</v>
      </c>
      <c r="BF3" s="955">
        <f t="shared" si="0"/>
        <v>33</v>
      </c>
      <c r="BG3" s="955">
        <f t="shared" si="0"/>
        <v>34</v>
      </c>
      <c r="BH3" s="955">
        <f t="shared" si="0"/>
        <v>35</v>
      </c>
      <c r="BI3" s="955">
        <f t="shared" si="0"/>
        <v>36</v>
      </c>
      <c r="BJ3" s="955">
        <f t="shared" si="0"/>
        <v>37</v>
      </c>
      <c r="BK3" s="955">
        <f t="shared" si="0"/>
        <v>38</v>
      </c>
      <c r="BL3" s="955">
        <f t="shared" si="0"/>
        <v>39</v>
      </c>
      <c r="BM3" s="955">
        <f t="shared" si="0"/>
        <v>40</v>
      </c>
      <c r="BN3" s="955">
        <f t="shared" si="0"/>
        <v>41</v>
      </c>
      <c r="BO3" s="955">
        <f t="shared" si="0"/>
        <v>42</v>
      </c>
      <c r="BP3" s="955">
        <f t="shared" si="0"/>
        <v>43</v>
      </c>
      <c r="BQ3" s="955">
        <f t="shared" si="0"/>
        <v>44</v>
      </c>
      <c r="BR3" s="955">
        <f t="shared" si="0"/>
        <v>45</v>
      </c>
      <c r="BS3" s="955">
        <f t="shared" si="0"/>
        <v>46</v>
      </c>
      <c r="BT3" s="955">
        <f t="shared" si="0"/>
        <v>47</v>
      </c>
      <c r="BU3" s="955">
        <f t="shared" si="0"/>
        <v>48</v>
      </c>
      <c r="BV3" s="955">
        <f t="shared" si="0"/>
        <v>49</v>
      </c>
      <c r="BW3" s="955">
        <f t="shared" si="0"/>
        <v>50</v>
      </c>
      <c r="BX3" s="955">
        <f t="shared" si="0"/>
        <v>51</v>
      </c>
      <c r="BY3" s="955">
        <f t="shared" si="0"/>
        <v>52</v>
      </c>
      <c r="BZ3" s="955">
        <f t="shared" si="0"/>
        <v>53</v>
      </c>
      <c r="CA3" s="955">
        <f t="shared" si="0"/>
        <v>54</v>
      </c>
      <c r="CB3" s="955">
        <f t="shared" si="0"/>
        <v>55</v>
      </c>
      <c r="CC3" s="955">
        <f t="shared" si="0"/>
        <v>56</v>
      </c>
      <c r="CD3" s="955">
        <f t="shared" si="0"/>
        <v>57</v>
      </c>
      <c r="CE3" s="955">
        <f t="shared" si="0"/>
        <v>58</v>
      </c>
      <c r="CF3" s="955">
        <f t="shared" si="0"/>
        <v>59</v>
      </c>
      <c r="CG3" s="955">
        <f t="shared" si="0"/>
        <v>60</v>
      </c>
      <c r="CH3" s="955">
        <f t="shared" si="0"/>
        <v>61</v>
      </c>
      <c r="CI3" s="955">
        <f t="shared" si="0"/>
        <v>62</v>
      </c>
      <c r="CJ3" s="955">
        <f t="shared" si="0"/>
        <v>63</v>
      </c>
      <c r="CK3" s="955">
        <f t="shared" si="0"/>
        <v>64</v>
      </c>
      <c r="CL3" s="955">
        <f t="shared" si="0"/>
        <v>65</v>
      </c>
      <c r="CM3" s="955">
        <f t="shared" ref="CM3:DU3" si="1">CL3+1</f>
        <v>66</v>
      </c>
      <c r="CN3" s="955">
        <f t="shared" si="1"/>
        <v>67</v>
      </c>
      <c r="CO3" s="955">
        <f t="shared" si="1"/>
        <v>68</v>
      </c>
      <c r="CP3" s="955">
        <f t="shared" si="1"/>
        <v>69</v>
      </c>
      <c r="CQ3" s="955">
        <f t="shared" si="1"/>
        <v>70</v>
      </c>
      <c r="CR3" s="955">
        <f t="shared" si="1"/>
        <v>71</v>
      </c>
      <c r="CS3" s="955">
        <f t="shared" si="1"/>
        <v>72</v>
      </c>
      <c r="CT3" s="955">
        <f t="shared" si="1"/>
        <v>73</v>
      </c>
      <c r="CU3" s="955">
        <f t="shared" si="1"/>
        <v>74</v>
      </c>
      <c r="CV3" s="955">
        <f t="shared" si="1"/>
        <v>75</v>
      </c>
      <c r="CW3" s="955">
        <f t="shared" si="1"/>
        <v>76</v>
      </c>
      <c r="CX3" s="955">
        <f t="shared" si="1"/>
        <v>77</v>
      </c>
      <c r="CY3" s="955">
        <f t="shared" si="1"/>
        <v>78</v>
      </c>
      <c r="CZ3" s="955">
        <f t="shared" si="1"/>
        <v>79</v>
      </c>
      <c r="DA3" s="955">
        <f t="shared" si="1"/>
        <v>80</v>
      </c>
      <c r="DB3" s="955">
        <f t="shared" si="1"/>
        <v>81</v>
      </c>
      <c r="DC3" s="955">
        <f t="shared" si="1"/>
        <v>82</v>
      </c>
      <c r="DD3" s="955">
        <f t="shared" si="1"/>
        <v>83</v>
      </c>
      <c r="DE3" s="955">
        <f t="shared" si="1"/>
        <v>84</v>
      </c>
      <c r="DF3" s="955">
        <f t="shared" si="1"/>
        <v>85</v>
      </c>
      <c r="DG3" s="955">
        <f t="shared" si="1"/>
        <v>86</v>
      </c>
      <c r="DH3" s="955">
        <f t="shared" si="1"/>
        <v>87</v>
      </c>
      <c r="DI3" s="955">
        <f t="shared" si="1"/>
        <v>88</v>
      </c>
      <c r="DJ3" s="955">
        <f t="shared" si="1"/>
        <v>89</v>
      </c>
      <c r="DK3" s="955">
        <f t="shared" si="1"/>
        <v>90</v>
      </c>
      <c r="DL3" s="955">
        <f t="shared" si="1"/>
        <v>91</v>
      </c>
      <c r="DM3" s="955">
        <f t="shared" si="1"/>
        <v>92</v>
      </c>
      <c r="DN3" s="955">
        <f t="shared" si="1"/>
        <v>93</v>
      </c>
      <c r="DO3" s="955">
        <f t="shared" si="1"/>
        <v>94</v>
      </c>
      <c r="DP3" s="955">
        <f t="shared" si="1"/>
        <v>95</v>
      </c>
      <c r="DQ3" s="955">
        <f t="shared" si="1"/>
        <v>96</v>
      </c>
      <c r="DR3" s="955">
        <f t="shared" si="1"/>
        <v>97</v>
      </c>
      <c r="DS3" s="955">
        <f t="shared" si="1"/>
        <v>98</v>
      </c>
      <c r="DT3" s="955">
        <f t="shared" si="1"/>
        <v>99</v>
      </c>
      <c r="DU3" s="956">
        <f t="shared" si="1"/>
        <v>100</v>
      </c>
    </row>
    <row r="4" spans="2:125" x14ac:dyDescent="0.2">
      <c r="B4" s="957"/>
      <c r="C4" s="957"/>
      <c r="D4" s="957"/>
      <c r="E4" s="957"/>
      <c r="F4" s="957"/>
      <c r="G4" s="958"/>
      <c r="H4" s="947"/>
      <c r="I4" s="947" t="s">
        <v>22</v>
      </c>
      <c r="J4" s="947"/>
      <c r="K4" s="947"/>
      <c r="L4" s="947"/>
      <c r="M4" s="947"/>
      <c r="N4" s="947"/>
      <c r="O4" s="947"/>
      <c r="P4" s="947"/>
      <c r="Q4" s="947"/>
      <c r="R4" s="947"/>
      <c r="S4" s="947"/>
      <c r="T4" s="947"/>
      <c r="U4" s="947"/>
      <c r="V4" s="947"/>
      <c r="W4" s="947"/>
      <c r="X4" s="947"/>
      <c r="Y4" s="959" t="s">
        <v>1005</v>
      </c>
      <c r="Z4" s="960">
        <v>43100</v>
      </c>
      <c r="AA4" s="961">
        <f t="shared" ref="AA4:CL4" si="2">DATE(YEAR(Z4)+1,MONTH(Z4),DAY(Z4))</f>
        <v>43465</v>
      </c>
      <c r="AB4" s="961">
        <f t="shared" si="2"/>
        <v>43830</v>
      </c>
      <c r="AC4" s="961">
        <f t="shared" si="2"/>
        <v>44196</v>
      </c>
      <c r="AD4" s="961">
        <f t="shared" si="2"/>
        <v>44561</v>
      </c>
      <c r="AE4" s="961">
        <f t="shared" si="2"/>
        <v>44926</v>
      </c>
      <c r="AF4" s="961">
        <f t="shared" si="2"/>
        <v>45291</v>
      </c>
      <c r="AG4" s="961">
        <f t="shared" si="2"/>
        <v>45657</v>
      </c>
      <c r="AH4" s="961">
        <f t="shared" si="2"/>
        <v>46022</v>
      </c>
      <c r="AI4" s="961">
        <f t="shared" si="2"/>
        <v>46387</v>
      </c>
      <c r="AJ4" s="961">
        <f t="shared" si="2"/>
        <v>46752</v>
      </c>
      <c r="AK4" s="961">
        <f t="shared" si="2"/>
        <v>47118</v>
      </c>
      <c r="AL4" s="961">
        <f t="shared" si="2"/>
        <v>47483</v>
      </c>
      <c r="AM4" s="961">
        <f t="shared" si="2"/>
        <v>47848</v>
      </c>
      <c r="AN4" s="961">
        <f t="shared" si="2"/>
        <v>48213</v>
      </c>
      <c r="AO4" s="961">
        <f t="shared" si="2"/>
        <v>48579</v>
      </c>
      <c r="AP4" s="961">
        <f t="shared" si="2"/>
        <v>48944</v>
      </c>
      <c r="AQ4" s="961">
        <f t="shared" si="2"/>
        <v>49309</v>
      </c>
      <c r="AR4" s="961">
        <f t="shared" si="2"/>
        <v>49674</v>
      </c>
      <c r="AS4" s="961">
        <f t="shared" si="2"/>
        <v>50040</v>
      </c>
      <c r="AT4" s="961">
        <f t="shared" si="2"/>
        <v>50405</v>
      </c>
      <c r="AU4" s="961">
        <f t="shared" si="2"/>
        <v>50770</v>
      </c>
      <c r="AV4" s="961">
        <f t="shared" si="2"/>
        <v>51135</v>
      </c>
      <c r="AW4" s="961">
        <f t="shared" si="2"/>
        <v>51501</v>
      </c>
      <c r="AX4" s="961">
        <f t="shared" si="2"/>
        <v>51866</v>
      </c>
      <c r="AY4" s="961">
        <f t="shared" si="2"/>
        <v>52231</v>
      </c>
      <c r="AZ4" s="961">
        <f t="shared" si="2"/>
        <v>52596</v>
      </c>
      <c r="BA4" s="961">
        <f t="shared" si="2"/>
        <v>52962</v>
      </c>
      <c r="BB4" s="961">
        <f t="shared" si="2"/>
        <v>53327</v>
      </c>
      <c r="BC4" s="961">
        <f t="shared" si="2"/>
        <v>53692</v>
      </c>
      <c r="BD4" s="961">
        <f t="shared" si="2"/>
        <v>54057</v>
      </c>
      <c r="BE4" s="961">
        <f t="shared" si="2"/>
        <v>54423</v>
      </c>
      <c r="BF4" s="961">
        <f t="shared" si="2"/>
        <v>54788</v>
      </c>
      <c r="BG4" s="961">
        <f t="shared" si="2"/>
        <v>55153</v>
      </c>
      <c r="BH4" s="961">
        <f t="shared" si="2"/>
        <v>55518</v>
      </c>
      <c r="BI4" s="961">
        <f t="shared" si="2"/>
        <v>55884</v>
      </c>
      <c r="BJ4" s="961">
        <f t="shared" si="2"/>
        <v>56249</v>
      </c>
      <c r="BK4" s="961">
        <f t="shared" si="2"/>
        <v>56614</v>
      </c>
      <c r="BL4" s="961">
        <f t="shared" si="2"/>
        <v>56979</v>
      </c>
      <c r="BM4" s="961">
        <f t="shared" si="2"/>
        <v>57345</v>
      </c>
      <c r="BN4" s="961">
        <f t="shared" si="2"/>
        <v>57710</v>
      </c>
      <c r="BO4" s="961">
        <f t="shared" si="2"/>
        <v>58075</v>
      </c>
      <c r="BP4" s="961">
        <f t="shared" si="2"/>
        <v>58440</v>
      </c>
      <c r="BQ4" s="961">
        <f t="shared" si="2"/>
        <v>58806</v>
      </c>
      <c r="BR4" s="961">
        <f t="shared" si="2"/>
        <v>59171</v>
      </c>
      <c r="BS4" s="961">
        <f t="shared" si="2"/>
        <v>59536</v>
      </c>
      <c r="BT4" s="961">
        <f t="shared" si="2"/>
        <v>59901</v>
      </c>
      <c r="BU4" s="961">
        <f t="shared" si="2"/>
        <v>60267</v>
      </c>
      <c r="BV4" s="961">
        <f t="shared" si="2"/>
        <v>60632</v>
      </c>
      <c r="BW4" s="961">
        <f t="shared" si="2"/>
        <v>60997</v>
      </c>
      <c r="BX4" s="961">
        <f t="shared" si="2"/>
        <v>61362</v>
      </c>
      <c r="BY4" s="961">
        <f t="shared" si="2"/>
        <v>61728</v>
      </c>
      <c r="BZ4" s="961">
        <f t="shared" si="2"/>
        <v>62093</v>
      </c>
      <c r="CA4" s="961">
        <f t="shared" si="2"/>
        <v>62458</v>
      </c>
      <c r="CB4" s="961">
        <f t="shared" si="2"/>
        <v>62823</v>
      </c>
      <c r="CC4" s="961">
        <f t="shared" si="2"/>
        <v>63189</v>
      </c>
      <c r="CD4" s="961">
        <f t="shared" si="2"/>
        <v>63554</v>
      </c>
      <c r="CE4" s="961">
        <f t="shared" si="2"/>
        <v>63919</v>
      </c>
      <c r="CF4" s="961">
        <f t="shared" si="2"/>
        <v>64284</v>
      </c>
      <c r="CG4" s="961">
        <f t="shared" si="2"/>
        <v>64650</v>
      </c>
      <c r="CH4" s="961">
        <f t="shared" si="2"/>
        <v>65015</v>
      </c>
      <c r="CI4" s="961">
        <f t="shared" si="2"/>
        <v>65380</v>
      </c>
      <c r="CJ4" s="961">
        <f t="shared" si="2"/>
        <v>65745</v>
      </c>
      <c r="CK4" s="961">
        <f t="shared" si="2"/>
        <v>66111</v>
      </c>
      <c r="CL4" s="961">
        <f t="shared" si="2"/>
        <v>66476</v>
      </c>
      <c r="CM4" s="961">
        <f t="shared" ref="CM4:DU4" si="3">DATE(YEAR(CL4)+1,MONTH(CL4),DAY(CL4))</f>
        <v>66841</v>
      </c>
      <c r="CN4" s="961">
        <f t="shared" si="3"/>
        <v>67206</v>
      </c>
      <c r="CO4" s="961">
        <f t="shared" si="3"/>
        <v>67572</v>
      </c>
      <c r="CP4" s="961">
        <f t="shared" si="3"/>
        <v>67937</v>
      </c>
      <c r="CQ4" s="961">
        <f t="shared" si="3"/>
        <v>68302</v>
      </c>
      <c r="CR4" s="961">
        <f t="shared" si="3"/>
        <v>68667</v>
      </c>
      <c r="CS4" s="961">
        <f t="shared" si="3"/>
        <v>69033</v>
      </c>
      <c r="CT4" s="961">
        <f t="shared" si="3"/>
        <v>69398</v>
      </c>
      <c r="CU4" s="961">
        <f t="shared" si="3"/>
        <v>69763</v>
      </c>
      <c r="CV4" s="961">
        <f t="shared" si="3"/>
        <v>70128</v>
      </c>
      <c r="CW4" s="961">
        <f t="shared" si="3"/>
        <v>70494</v>
      </c>
      <c r="CX4" s="961">
        <f t="shared" si="3"/>
        <v>70859</v>
      </c>
      <c r="CY4" s="961">
        <f t="shared" si="3"/>
        <v>71224</v>
      </c>
      <c r="CZ4" s="961">
        <f t="shared" si="3"/>
        <v>71589</v>
      </c>
      <c r="DA4" s="961">
        <f t="shared" si="3"/>
        <v>71955</v>
      </c>
      <c r="DB4" s="961">
        <f t="shared" si="3"/>
        <v>72320</v>
      </c>
      <c r="DC4" s="961">
        <f t="shared" si="3"/>
        <v>72685</v>
      </c>
      <c r="DD4" s="961">
        <f t="shared" si="3"/>
        <v>73050</v>
      </c>
      <c r="DE4" s="961">
        <f t="shared" si="3"/>
        <v>73415</v>
      </c>
      <c r="DF4" s="961">
        <f t="shared" si="3"/>
        <v>73780</v>
      </c>
      <c r="DG4" s="961">
        <f t="shared" si="3"/>
        <v>74145</v>
      </c>
      <c r="DH4" s="961">
        <f t="shared" si="3"/>
        <v>74510</v>
      </c>
      <c r="DI4" s="961">
        <f t="shared" si="3"/>
        <v>74876</v>
      </c>
      <c r="DJ4" s="961">
        <f t="shared" si="3"/>
        <v>75241</v>
      </c>
      <c r="DK4" s="961">
        <f t="shared" si="3"/>
        <v>75606</v>
      </c>
      <c r="DL4" s="961">
        <f t="shared" si="3"/>
        <v>75971</v>
      </c>
      <c r="DM4" s="961">
        <f t="shared" si="3"/>
        <v>76337</v>
      </c>
      <c r="DN4" s="961">
        <f t="shared" si="3"/>
        <v>76702</v>
      </c>
      <c r="DO4" s="961">
        <f t="shared" si="3"/>
        <v>77067</v>
      </c>
      <c r="DP4" s="961">
        <f t="shared" si="3"/>
        <v>77432</v>
      </c>
      <c r="DQ4" s="961">
        <f t="shared" si="3"/>
        <v>77798</v>
      </c>
      <c r="DR4" s="961">
        <f t="shared" si="3"/>
        <v>78163</v>
      </c>
      <c r="DS4" s="961">
        <f t="shared" si="3"/>
        <v>78528</v>
      </c>
      <c r="DT4" s="961">
        <f t="shared" si="3"/>
        <v>78893</v>
      </c>
      <c r="DU4" s="961">
        <f t="shared" si="3"/>
        <v>79259</v>
      </c>
    </row>
    <row r="5" spans="2:125" ht="12" thickBot="1" x14ac:dyDescent="0.25">
      <c r="B5" s="948" t="s">
        <v>1006</v>
      </c>
      <c r="C5" s="948"/>
      <c r="D5" s="948"/>
      <c r="E5" s="948"/>
      <c r="F5" s="948"/>
      <c r="G5" s="947"/>
      <c r="H5" s="947"/>
      <c r="I5" s="962" t="s">
        <v>1007</v>
      </c>
      <c r="J5" s="962"/>
      <c r="K5" s="962"/>
      <c r="L5" s="963"/>
      <c r="M5" s="963"/>
      <c r="N5" s="963"/>
      <c r="O5" s="963"/>
      <c r="P5" s="963"/>
      <c r="Q5" s="963"/>
      <c r="R5" s="963"/>
      <c r="S5" s="963"/>
      <c r="T5" s="963"/>
      <c r="U5" s="963" t="s">
        <v>22</v>
      </c>
      <c r="V5" s="963"/>
      <c r="W5" s="963"/>
      <c r="X5" s="944"/>
      <c r="Y5" s="964"/>
      <c r="Z5" s="964"/>
      <c r="AA5" s="964"/>
      <c r="AB5" s="964"/>
      <c r="AC5" s="964"/>
      <c r="AD5" s="964"/>
      <c r="AE5" s="964"/>
      <c r="AF5" s="964"/>
      <c r="AG5" s="964"/>
      <c r="AH5" s="964"/>
      <c r="AI5" s="964"/>
      <c r="AJ5" s="964"/>
      <c r="AK5" s="964"/>
      <c r="AL5" s="964"/>
      <c r="AM5" s="964"/>
      <c r="AN5" s="965"/>
      <c r="AO5" s="964"/>
      <c r="AP5" s="964"/>
      <c r="AQ5" s="964"/>
      <c r="AR5" s="964"/>
      <c r="AS5" s="964"/>
      <c r="AT5" s="964"/>
      <c r="AU5" s="964"/>
      <c r="AV5" s="964"/>
      <c r="AW5" s="964"/>
      <c r="AX5" s="964"/>
      <c r="AY5" s="964"/>
      <c r="AZ5" s="964"/>
      <c r="BA5" s="964"/>
      <c r="BB5" s="964"/>
      <c r="BC5" s="964"/>
      <c r="BD5" s="964"/>
      <c r="BE5" s="964"/>
      <c r="BF5" s="964"/>
      <c r="BG5" s="964"/>
      <c r="BH5" s="964"/>
      <c r="BI5" s="964"/>
      <c r="BJ5" s="964"/>
      <c r="BK5" s="964"/>
      <c r="BL5" s="964"/>
      <c r="BM5" s="964"/>
      <c r="BN5" s="964"/>
      <c r="BO5" s="964"/>
      <c r="BP5" s="964"/>
      <c r="BQ5" s="964"/>
      <c r="BR5" s="964"/>
      <c r="BS5" s="964"/>
      <c r="BT5" s="964"/>
      <c r="BU5" s="964"/>
      <c r="BV5" s="964"/>
      <c r="BW5" s="964"/>
      <c r="BX5" s="964"/>
      <c r="BY5" s="964"/>
      <c r="BZ5" s="964"/>
      <c r="CA5" s="964"/>
      <c r="CB5" s="964"/>
      <c r="CC5" s="964"/>
      <c r="CD5" s="964"/>
      <c r="CE5" s="964"/>
      <c r="CF5" s="964"/>
      <c r="CG5" s="964"/>
      <c r="CH5" s="964"/>
      <c r="CI5" s="964"/>
      <c r="CJ5" s="964"/>
      <c r="CK5" s="964"/>
      <c r="CL5" s="964"/>
      <c r="CM5" s="964"/>
      <c r="CN5" s="964"/>
      <c r="CO5" s="964"/>
      <c r="CP5" s="964"/>
      <c r="CQ5" s="964"/>
      <c r="CR5" s="964"/>
      <c r="CS5" s="964"/>
      <c r="CT5" s="964"/>
      <c r="CU5" s="964"/>
      <c r="CV5" s="964"/>
      <c r="CW5" s="964"/>
      <c r="CX5" s="964"/>
      <c r="CY5" s="964"/>
      <c r="CZ5" s="964"/>
      <c r="DA5" s="964"/>
      <c r="DB5" s="964"/>
      <c r="DC5" s="964"/>
      <c r="DD5" s="964"/>
      <c r="DE5" s="964"/>
      <c r="DF5" s="964"/>
      <c r="DG5" s="964"/>
      <c r="DH5" s="964"/>
      <c r="DI5" s="964"/>
      <c r="DJ5" s="964"/>
      <c r="DK5" s="964"/>
      <c r="DL5" s="964"/>
      <c r="DM5" s="964"/>
      <c r="DN5" s="964"/>
      <c r="DO5" s="964"/>
      <c r="DP5" s="964"/>
      <c r="DQ5" s="964"/>
      <c r="DR5" s="964"/>
      <c r="DS5" s="964"/>
      <c r="DT5" s="964"/>
      <c r="DU5" s="966"/>
    </row>
    <row r="6" spans="2:125" x14ac:dyDescent="0.2">
      <c r="B6" s="967"/>
      <c r="C6" s="968"/>
      <c r="D6" s="968"/>
      <c r="E6" s="968"/>
      <c r="F6" s="968"/>
      <c r="G6" s="969"/>
      <c r="H6" s="944"/>
      <c r="I6" s="970"/>
      <c r="J6" s="947"/>
      <c r="K6" s="947"/>
      <c r="L6" s="947"/>
      <c r="M6" s="947"/>
      <c r="N6" s="947"/>
      <c r="O6" s="947"/>
      <c r="P6" s="947"/>
      <c r="Q6" s="947"/>
      <c r="R6" s="947"/>
      <c r="S6" s="947"/>
      <c r="T6" s="947"/>
      <c r="U6" s="947"/>
      <c r="V6" s="947"/>
      <c r="W6" s="971"/>
      <c r="X6" s="944"/>
      <c r="Y6" s="972" t="s">
        <v>1008</v>
      </c>
      <c r="Z6" s="1058">
        <f>Model!AZ23</f>
        <v>-8179</v>
      </c>
      <c r="AA6" s="1058">
        <f>Model!BA23</f>
        <v>16636.43342698404</v>
      </c>
      <c r="AB6" s="1058">
        <f>Model!BB23</f>
        <v>18238.011958473595</v>
      </c>
      <c r="AC6" s="1058">
        <f>Model!BC23</f>
        <v>19727.965572865374</v>
      </c>
      <c r="AD6" s="1058">
        <f>Model!BD23</f>
        <v>20888.344086501922</v>
      </c>
      <c r="AE6" s="1058">
        <f>Model!BE23</f>
        <v>21441.804884779107</v>
      </c>
      <c r="AF6" s="973">
        <f t="shared" ref="AF6:CQ6" ca="1" si="4">AF39*AF40/100-AF7</f>
        <v>21924.080300351452</v>
      </c>
      <c r="AG6" s="973">
        <f t="shared" ca="1" si="4"/>
        <v>22906.994300096158</v>
      </c>
      <c r="AH6" s="973">
        <f t="shared" ca="1" si="4"/>
        <v>23337.673427700949</v>
      </c>
      <c r="AI6" s="973">
        <f t="shared" ca="1" si="4"/>
        <v>23785.987148985219</v>
      </c>
      <c r="AJ6" s="973">
        <f t="shared" ca="1" si="4"/>
        <v>24227.742326823194</v>
      </c>
      <c r="AK6" s="973">
        <f t="shared" ca="1" si="4"/>
        <v>24686.638280178053</v>
      </c>
      <c r="AL6" s="973">
        <f t="shared" ca="1" si="4"/>
        <v>25162.615776752042</v>
      </c>
      <c r="AM6" s="973">
        <f t="shared" ca="1" si="4"/>
        <v>25655.653123574812</v>
      </c>
      <c r="AN6" s="973">
        <f t="shared" ca="1" si="4"/>
        <v>26165.76398387583</v>
      </c>
      <c r="AO6" s="973">
        <f t="shared" ca="1" si="4"/>
        <v>26692.995389107451</v>
      </c>
      <c r="AP6" s="973">
        <f t="shared" ca="1" si="4"/>
        <v>27237.425931019079</v>
      </c>
      <c r="AQ6" s="973">
        <f t="shared" ca="1" si="4"/>
        <v>27799.164119903784</v>
      </c>
      <c r="AR6" s="973">
        <f t="shared" ca="1" si="4"/>
        <v>28378.346896261872</v>
      </c>
      <c r="AS6" s="973">
        <f t="shared" ca="1" si="4"/>
        <v>28975.138284160068</v>
      </c>
      <c r="AT6" s="973">
        <f t="shared" ca="1" si="4"/>
        <v>29589.728175516389</v>
      </c>
      <c r="AU6" s="973">
        <f t="shared" ca="1" si="4"/>
        <v>30222.331235416434</v>
      </c>
      <c r="AV6" s="973">
        <f t="shared" ca="1" si="4"/>
        <v>30873.185919373002</v>
      </c>
      <c r="AW6" s="973">
        <f t="shared" ca="1" si="4"/>
        <v>31542.553594182806</v>
      </c>
      <c r="AX6" s="973">
        <f t="shared" ca="1" si="4"/>
        <v>32230.717754716799</v>
      </c>
      <c r="AY6" s="973">
        <f t="shared" ca="1" si="4"/>
        <v>32937.9833296098</v>
      </c>
      <c r="AZ6" s="973">
        <f t="shared" ca="1" si="4"/>
        <v>33664.676069393114</v>
      </c>
      <c r="BA6" s="973">
        <f t="shared" ca="1" si="4"/>
        <v>34411.142011147567</v>
      </c>
      <c r="BB6" s="973">
        <f t="shared" ca="1" si="4"/>
        <v>35177.747014244313</v>
      </c>
      <c r="BC6" s="973">
        <f t="shared" ca="1" si="4"/>
        <v>35964.876362193027</v>
      </c>
      <c r="BD6" s="973">
        <f t="shared" ca="1" si="4"/>
        <v>36772.934426033047</v>
      </c>
      <c r="BE6" s="973">
        <f t="shared" ca="1" si="4"/>
        <v>37602.34438508626</v>
      </c>
      <c r="BF6" s="973">
        <f t="shared" ca="1" si="4"/>
        <v>38453.548001243609</v>
      </c>
      <c r="BG6" s="973">
        <f t="shared" ca="1" si="4"/>
        <v>39327.005443282484</v>
      </c>
      <c r="BH6" s="973">
        <f t="shared" ca="1" si="4"/>
        <v>40223.195158011695</v>
      </c>
      <c r="BI6" s="973">
        <f t="shared" ca="1" si="4"/>
        <v>41142.613785317371</v>
      </c>
      <c r="BJ6" s="973">
        <f t="shared" ca="1" si="4"/>
        <v>42085.776114437256</v>
      </c>
      <c r="BK6" s="973">
        <f t="shared" ca="1" si="4"/>
        <v>43053.215079026173</v>
      </c>
      <c r="BL6" s="973">
        <f t="shared" ca="1" si="4"/>
        <v>44045.481788791585</v>
      </c>
      <c r="BM6" s="973">
        <f t="shared" ca="1" si="4"/>
        <v>45063.145595677939</v>
      </c>
      <c r="BN6" s="973">
        <f t="shared" ca="1" si="4"/>
        <v>46106.794192763155</v>
      </c>
      <c r="BO6" s="973">
        <f t="shared" ca="1" si="4"/>
        <v>47177.033744200002</v>
      </c>
      <c r="BP6" s="973">
        <f t="shared" ca="1" si="4"/>
        <v>48274.489044693371</v>
      </c>
      <c r="BQ6" s="973">
        <f t="shared" ca="1" si="4"/>
        <v>49399.803707148007</v>
      </c>
      <c r="BR6" s="973">
        <f t="shared" ca="1" si="4"/>
        <v>50553.640377257019</v>
      </c>
      <c r="BS6" s="973">
        <f t="shared" ca="1" si="4"/>
        <v>51736.680973924325</v>
      </c>
      <c r="BT6" s="973">
        <f t="shared" ca="1" si="4"/>
        <v>52949.626954529456</v>
      </c>
      <c r="BU6" s="973">
        <f t="shared" ca="1" si="4"/>
        <v>54193.199604149144</v>
      </c>
      <c r="BV6" s="973">
        <f t="shared" ca="1" si="4"/>
        <v>55468.1403479488</v>
      </c>
      <c r="BW6" s="973">
        <f t="shared" ca="1" si="4"/>
        <v>56775.211086047784</v>
      </c>
      <c r="BX6" s="973">
        <f t="shared" ca="1" si="4"/>
        <v>58115.194550247208</v>
      </c>
      <c r="BY6" s="973">
        <f t="shared" ca="1" si="4"/>
        <v>59488.894682087768</v>
      </c>
      <c r="BZ6" s="973">
        <f t="shared" ca="1" si="4"/>
        <v>60897.137031777595</v>
      </c>
      <c r="CA6" s="973">
        <f t="shared" ca="1" si="4"/>
        <v>62340.769177598653</v>
      </c>
      <c r="CB6" s="973">
        <f t="shared" ca="1" si="4"/>
        <v>63820.661165463105</v>
      </c>
      <c r="CC6" s="973">
        <f t="shared" ca="1" si="4"/>
        <v>65337.705968350208</v>
      </c>
      <c r="CD6" s="973">
        <f t="shared" ca="1" si="4"/>
        <v>66892.81996540945</v>
      </c>
      <c r="CE6" s="973">
        <f t="shared" ca="1" si="4"/>
        <v>68486.94344056712</v>
      </c>
      <c r="CF6" s="973">
        <f t="shared" ca="1" si="4"/>
        <v>70121.04110052195</v>
      </c>
      <c r="CG6" s="973">
        <f t="shared" ca="1" si="4"/>
        <v>71796.102612060407</v>
      </c>
      <c r="CH6" s="973">
        <f t="shared" ca="1" si="4"/>
        <v>73513.143158665276</v>
      </c>
      <c r="CI6" s="973">
        <f t="shared" ca="1" si="4"/>
        <v>75273.204016430987</v>
      </c>
      <c r="CJ6" s="973">
        <f t="shared" ca="1" si="4"/>
        <v>77077.353149336937</v>
      </c>
      <c r="CK6" s="973">
        <f t="shared" ca="1" si="4"/>
        <v>78926.685823965934</v>
      </c>
      <c r="CL6" s="973">
        <f t="shared" ca="1" si="4"/>
        <v>80822.325243788975</v>
      </c>
      <c r="CM6" s="973">
        <f t="shared" ca="1" si="4"/>
        <v>82765.423203169703</v>
      </c>
      <c r="CN6" s="973">
        <f t="shared" ca="1" si="4"/>
        <v>84757.160761272055</v>
      </c>
      <c r="CO6" s="973">
        <f t="shared" ca="1" si="4"/>
        <v>86798.748936085103</v>
      </c>
      <c r="CP6" s="973">
        <f t="shared" ca="1" si="4"/>
        <v>88891.429418806001</v>
      </c>
      <c r="CQ6" s="973">
        <f t="shared" ca="1" si="4"/>
        <v>91036.475308849418</v>
      </c>
      <c r="CR6" s="973">
        <f t="shared" ref="CR6:DU6" ca="1" si="5">CR39*CR40/100-CR7</f>
        <v>93235.191869778049</v>
      </c>
      <c r="CS6" s="973">
        <f t="shared" ca="1" si="5"/>
        <v>95488.917306473333</v>
      </c>
      <c r="CT6" s="973">
        <f t="shared" ca="1" si="5"/>
        <v>97799.023563889903</v>
      </c>
      <c r="CU6" s="973">
        <f t="shared" ca="1" si="5"/>
        <v>100166.91714776149</v>
      </c>
      <c r="CV6" s="973">
        <f t="shared" ca="1" si="5"/>
        <v>102594.03996764794</v>
      </c>
      <c r="CW6" s="973">
        <f t="shared" ca="1" si="5"/>
        <v>105081.87020273617</v>
      </c>
      <c r="CX6" s="973">
        <f t="shared" ca="1" si="5"/>
        <v>107631.92319082982</v>
      </c>
      <c r="CY6" s="973">
        <f t="shared" ca="1" si="5"/>
        <v>110245.75234098382</v>
      </c>
      <c r="CZ6" s="973">
        <f t="shared" ca="1" si="5"/>
        <v>112924.95007026097</v>
      </c>
      <c r="DA6" s="973">
        <f t="shared" ca="1" si="5"/>
        <v>115671.14876510989</v>
      </c>
      <c r="DB6" s="973">
        <f t="shared" ca="1" si="5"/>
        <v>118486.02176788262</v>
      </c>
      <c r="DC6" s="973">
        <f t="shared" ca="1" si="5"/>
        <v>121371.28438903303</v>
      </c>
      <c r="DD6" s="973">
        <f t="shared" ca="1" si="5"/>
        <v>124328.69494555597</v>
      </c>
      <c r="DE6" s="973">
        <f t="shared" ca="1" si="5"/>
        <v>127360.05582624821</v>
      </c>
      <c r="DF6" s="973">
        <f t="shared" ca="1" si="5"/>
        <v>130467.21458439344</v>
      </c>
      <c r="DG6" s="973">
        <f t="shared" ca="1" si="5"/>
        <v>133652.06505849323</v>
      </c>
      <c r="DH6" s="973">
        <f t="shared" ca="1" si="5"/>
        <v>136916.54852168629</v>
      </c>
      <c r="DI6" s="973">
        <f t="shared" ca="1" si="5"/>
        <v>140262.65486052076</v>
      </c>
      <c r="DJ6" s="973">
        <f t="shared" ca="1" si="5"/>
        <v>143692.42378376267</v>
      </c>
      <c r="DK6" s="973">
        <f t="shared" ca="1" si="5"/>
        <v>147207.94606194732</v>
      </c>
      <c r="DL6" s="973">
        <f t="shared" ca="1" si="5"/>
        <v>150811.36479839939</v>
      </c>
      <c r="DM6" s="973">
        <f t="shared" ca="1" si="5"/>
        <v>154504.87673247038</v>
      </c>
      <c r="DN6" s="973">
        <f t="shared" ca="1" si="5"/>
        <v>158290.73357576435</v>
      </c>
      <c r="DO6" s="973">
        <f t="shared" ca="1" si="5"/>
        <v>162171.24338214204</v>
      </c>
      <c r="DP6" s="973">
        <f t="shared" ca="1" si="5"/>
        <v>166148.77195232053</v>
      </c>
      <c r="DQ6" s="973">
        <f t="shared" ca="1" si="5"/>
        <v>170225.74427390349</v>
      </c>
      <c r="DR6" s="973">
        <f t="shared" ca="1" si="5"/>
        <v>174404.64599770398</v>
      </c>
      <c r="DS6" s="973">
        <f t="shared" ca="1" si="5"/>
        <v>178688.02495124325</v>
      </c>
      <c r="DT6" s="973">
        <f t="shared" ca="1" si="5"/>
        <v>183078.49269033328</v>
      </c>
      <c r="DU6" s="974">
        <f t="shared" ca="1" si="5"/>
        <v>187578.72608967582</v>
      </c>
    </row>
    <row r="7" spans="2:125" x14ac:dyDescent="0.2">
      <c r="B7" s="975" t="s">
        <v>1009</v>
      </c>
      <c r="C7" s="948"/>
      <c r="D7" s="948"/>
      <c r="E7" s="948"/>
      <c r="F7" s="948"/>
      <c r="G7" s="976"/>
      <c r="H7" s="944"/>
      <c r="I7" s="977" t="s">
        <v>1010</v>
      </c>
      <c r="J7" s="948"/>
      <c r="K7" s="948"/>
      <c r="L7" s="948"/>
      <c r="M7" s="948"/>
      <c r="N7" s="948"/>
      <c r="O7" s="948"/>
      <c r="P7" s="948"/>
      <c r="Q7" s="948" t="s">
        <v>1011</v>
      </c>
      <c r="R7" s="948"/>
      <c r="S7" s="948"/>
      <c r="T7" s="948"/>
      <c r="U7" s="947"/>
      <c r="V7" s="947"/>
      <c r="W7" s="971"/>
      <c r="X7" s="944"/>
      <c r="Y7" s="972" t="s">
        <v>1012</v>
      </c>
      <c r="Z7" s="1062">
        <v>0</v>
      </c>
      <c r="AA7" s="1062">
        <v>0</v>
      </c>
      <c r="AB7" s="1062">
        <v>0</v>
      </c>
      <c r="AC7" s="1062">
        <v>0</v>
      </c>
      <c r="AD7" s="1062">
        <v>0</v>
      </c>
      <c r="AE7" s="1062">
        <v>0</v>
      </c>
      <c r="AF7" s="978">
        <f>IF($G$28-SUM($Z$7:AE7)&gt;AE7,AE7,MAX($G$28-SUM($Z$7:AE7),0))</f>
        <v>0</v>
      </c>
      <c r="AG7" s="978">
        <f>IF($G$28-SUM($Z$7:AF7)&gt;AF7,AF7,MAX($G$28-SUM($Z$7:AF7),0))</f>
        <v>0</v>
      </c>
      <c r="AH7" s="978">
        <f>IF($G$28-SUM($Z$7:AG7)&gt;AG7,AG7,MAX($G$28-SUM($Z$7:AG7),0))</f>
        <v>0</v>
      </c>
      <c r="AI7" s="978">
        <f>IF($G$28-SUM($Z$7:AH7)&gt;AH7,AH7,MAX($G$28-SUM($Z$7:AH7),0))</f>
        <v>0</v>
      </c>
      <c r="AJ7" s="978">
        <f>IF($G$28-SUM($Z$7:AI7)&gt;AI7,AI7,MAX($G$28-SUM($Z$7:AI7),0))</f>
        <v>0</v>
      </c>
      <c r="AK7" s="978">
        <f>IF($G$28-SUM($Z$7:AJ7)&gt;AJ7,AJ7,MAX($G$28-SUM($Z$7:AJ7),0))</f>
        <v>0</v>
      </c>
      <c r="AL7" s="978">
        <f>IF($G$28-SUM($Z$7:AK7)&gt;AK7,AK7,MAX($G$28-SUM($Z$7:AK7),0))</f>
        <v>0</v>
      </c>
      <c r="AM7" s="978">
        <f>IF($G$28-SUM($Z$7:AL7)&gt;AL7,AL7,MAX($G$28-SUM($Z$7:AL7),0))</f>
        <v>0</v>
      </c>
      <c r="AN7" s="978">
        <f>IF($G$28-SUM($Z$7:AM7)&gt;AM7,AM7,MAX($G$28-SUM($Z$7:AM7),0))</f>
        <v>0</v>
      </c>
      <c r="AO7" s="978">
        <f>IF($G$28-SUM($Z$7:AN7)&gt;AN7,AN7,MAX($G$28-SUM($Z$7:AN7),0))</f>
        <v>0</v>
      </c>
      <c r="AP7" s="978">
        <f>IF($G$28-SUM($Z$7:AO7)&gt;AO7,AO7,MAX($G$28-SUM($Z$7:AO7),0))</f>
        <v>0</v>
      </c>
      <c r="AQ7" s="978">
        <f>IF($G$28-SUM($Z$7:AP7)&gt;AP7,AP7,MAX($G$28-SUM($Z$7:AP7),0))</f>
        <v>0</v>
      </c>
      <c r="AR7" s="978">
        <f>IF($G$28-SUM($Z$7:AQ7)&gt;AQ7,AQ7,MAX($G$28-SUM($Z$7:AQ7),0))</f>
        <v>0</v>
      </c>
      <c r="AS7" s="978">
        <f>IF($G$28-SUM($Z$7:AR7)&gt;AR7,AR7,MAX($G$28-SUM($Z$7:AR7),0))</f>
        <v>0</v>
      </c>
      <c r="AT7" s="978">
        <f>IF($G$28-SUM($Z$7:AS7)&gt;AS7,AS7,MAX($G$28-SUM($Z$7:AS7),0))</f>
        <v>0</v>
      </c>
      <c r="AU7" s="978">
        <f>IF($G$28-SUM($Z$7:AT7)&gt;AT7,AT7,MAX($G$28-SUM($Z$7:AT7),0))</f>
        <v>0</v>
      </c>
      <c r="AV7" s="978">
        <f>IF($G$28-SUM($Z$7:AU7)&gt;AU7,AU7,MAX($G$28-SUM($Z$7:AU7),0))</f>
        <v>0</v>
      </c>
      <c r="AW7" s="978">
        <f>IF($G$28-SUM($Z$7:AV7)&gt;AV7,AV7,MAX($G$28-SUM($Z$7:AV7),0))</f>
        <v>0</v>
      </c>
      <c r="AX7" s="978">
        <f>IF($G$28-SUM($Z$7:AW7)&gt;AW7,AW7,MAX($G$28-SUM($Z$7:AW7),0))</f>
        <v>0</v>
      </c>
      <c r="AY7" s="978">
        <f>IF($G$28-SUM($Z$7:AX7)&gt;AX7,AX7,MAX($G$28-SUM($Z$7:AX7),0))</f>
        <v>0</v>
      </c>
      <c r="AZ7" s="978">
        <f>IF($G$28-SUM($Z$7:AY7)&gt;AY7,AY7,MAX($G$28-SUM($Z$7:AY7),0))</f>
        <v>0</v>
      </c>
      <c r="BA7" s="978">
        <f>IF($G$28-SUM($Z$7:AZ7)&gt;AZ7,AZ7,MAX($G$28-SUM($Z$7:AZ7),0))</f>
        <v>0</v>
      </c>
      <c r="BB7" s="978">
        <f>IF($G$28-SUM($Z$7:BA7)&gt;BA7,BA7,MAX($G$28-SUM($Z$7:BA7),0))</f>
        <v>0</v>
      </c>
      <c r="BC7" s="978">
        <f>IF($G$28-SUM($Z$7:BB7)&gt;BB7,BB7,MAX($G$28-SUM($Z$7:BB7),0))</f>
        <v>0</v>
      </c>
      <c r="BD7" s="978">
        <f>IF($G$28-SUM($Z$7:BC7)&gt;BC7,BC7,MAX($G$28-SUM($Z$7:BC7),0))</f>
        <v>0</v>
      </c>
      <c r="BE7" s="978">
        <f>IF($G$28-SUM($Z$7:BD7)&gt;BD7,BD7,MAX($G$28-SUM($Z$7:BD7),0))</f>
        <v>0</v>
      </c>
      <c r="BF7" s="978">
        <f>IF($G$28-SUM($Z$7:BE7)&gt;BE7,BE7,MAX($G$28-SUM($Z$7:BE7),0))</f>
        <v>0</v>
      </c>
      <c r="BG7" s="978">
        <f>IF($G$28-SUM($Z$7:BF7)&gt;BF7,BF7,MAX($G$28-SUM($Z$7:BF7),0))</f>
        <v>0</v>
      </c>
      <c r="BH7" s="978">
        <f>IF($G$28-SUM($Z$7:BG7)&gt;BG7,BG7,MAX($G$28-SUM($Z$7:BG7),0))</f>
        <v>0</v>
      </c>
      <c r="BI7" s="978">
        <f>IF($G$28-SUM($Z$7:BH7)&gt;BH7,BH7,MAX($G$28-SUM($Z$7:BH7),0))</f>
        <v>0</v>
      </c>
      <c r="BJ7" s="978">
        <f>IF($G$28-SUM($Z$7:BI7)&gt;BI7,BI7,MAX($G$28-SUM($Z$7:BI7),0))</f>
        <v>0</v>
      </c>
      <c r="BK7" s="978">
        <f>IF($G$28-SUM($Z$7:BJ7)&gt;BJ7,BJ7,MAX($G$28-SUM($Z$7:BJ7),0))</f>
        <v>0</v>
      </c>
      <c r="BL7" s="978">
        <f>IF($G$28-SUM($Z$7:BK7)&gt;BK7,BK7,MAX($G$28-SUM($Z$7:BK7),0))</f>
        <v>0</v>
      </c>
      <c r="BM7" s="978">
        <f>IF($G$28-SUM($Z$7:BL7)&gt;BL7,BL7,MAX($G$28-SUM($Z$7:BL7),0))</f>
        <v>0</v>
      </c>
      <c r="BN7" s="978">
        <f>IF($G$28-SUM($Z$7:BM7)&gt;BM7,BM7,MAX($G$28-SUM($Z$7:BM7),0))</f>
        <v>0</v>
      </c>
      <c r="BO7" s="978">
        <f>IF($G$28-SUM($Z$7:BN7)&gt;BN7,BN7,MAX($G$28-SUM($Z$7:BN7),0))</f>
        <v>0</v>
      </c>
      <c r="BP7" s="978">
        <f>IF($G$28-SUM($Z$7:BO7)&gt;BO7,BO7,MAX($G$28-SUM($Z$7:BO7),0))</f>
        <v>0</v>
      </c>
      <c r="BQ7" s="978">
        <f>IF($G$28-SUM($Z$7:BP7)&gt;BP7,BP7,MAX($G$28-SUM($Z$7:BP7),0))</f>
        <v>0</v>
      </c>
      <c r="BR7" s="978">
        <f>IF($G$28-SUM($Z$7:BQ7)&gt;BQ7,BQ7,MAX($G$28-SUM($Z$7:BQ7),0))</f>
        <v>0</v>
      </c>
      <c r="BS7" s="978">
        <f>IF($G$28-SUM($Z$7:BR7)&gt;BR7,BR7,MAX($G$28-SUM($Z$7:BR7),0))</f>
        <v>0</v>
      </c>
      <c r="BT7" s="978">
        <f>IF($G$28-SUM($Z$7:BS7)&gt;BS7,BS7,MAX($G$28-SUM($Z$7:BS7),0))</f>
        <v>0</v>
      </c>
      <c r="BU7" s="978">
        <f>IF($G$28-SUM($Z$7:BT7)&gt;BT7,BT7,MAX($G$28-SUM($Z$7:BT7),0))</f>
        <v>0</v>
      </c>
      <c r="BV7" s="978">
        <f>IF($G$28-SUM($Z$7:BU7)&gt;BU7,BU7,MAX($G$28-SUM($Z$7:BU7),0))</f>
        <v>0</v>
      </c>
      <c r="BW7" s="978">
        <f>IF($G$28-SUM($Z$7:BV7)&gt;BV7,BV7,MAX($G$28-SUM($Z$7:BV7),0))</f>
        <v>0</v>
      </c>
      <c r="BX7" s="978">
        <f>IF($G$28-SUM($Z$7:BW7)&gt;BW7,BW7,MAX($G$28-SUM($Z$7:BW7),0))</f>
        <v>0</v>
      </c>
      <c r="BY7" s="978">
        <f>IF($G$28-SUM($Z$7:BX7)&gt;BX7,BX7,MAX($G$28-SUM($Z$7:BX7),0))</f>
        <v>0</v>
      </c>
      <c r="BZ7" s="978">
        <f>IF($G$28-SUM($Z$7:BY7)&gt;BY7,BY7,MAX($G$28-SUM($Z$7:BY7),0))</f>
        <v>0</v>
      </c>
      <c r="CA7" s="978">
        <f>IF($G$28-SUM($Z$7:BZ7)&gt;BZ7,BZ7,MAX($G$28-SUM($Z$7:BZ7),0))</f>
        <v>0</v>
      </c>
      <c r="CB7" s="978">
        <f>IF($G$28-SUM($Z$7:CA7)&gt;CA7,CA7,MAX($G$28-SUM($Z$7:CA7),0))</f>
        <v>0</v>
      </c>
      <c r="CC7" s="978">
        <f>IF($G$28-SUM($Z$7:CB7)&gt;CB7,CB7,MAX($G$28-SUM($Z$7:CB7),0))</f>
        <v>0</v>
      </c>
      <c r="CD7" s="978">
        <f>IF($G$28-SUM($Z$7:CC7)&gt;CC7,CC7,MAX($G$28-SUM($Z$7:CC7),0))</f>
        <v>0</v>
      </c>
      <c r="CE7" s="978">
        <f>IF($G$28-SUM($Z$7:CD7)&gt;CD7,CD7,MAX($G$28-SUM($Z$7:CD7),0))</f>
        <v>0</v>
      </c>
      <c r="CF7" s="978">
        <f>IF($G$28-SUM($Z$7:CE7)&gt;CE7,CE7,MAX($G$28-SUM($Z$7:CE7),0))</f>
        <v>0</v>
      </c>
      <c r="CG7" s="978">
        <f>IF($G$28-SUM($Z$7:CF7)&gt;CF7,CF7,MAX($G$28-SUM($Z$7:CF7),0))</f>
        <v>0</v>
      </c>
      <c r="CH7" s="978">
        <f>IF($G$28-SUM($Z$7:CG7)&gt;CG7,CG7,MAX($G$28-SUM($Z$7:CG7),0))</f>
        <v>0</v>
      </c>
      <c r="CI7" s="978">
        <f>IF($G$28-SUM($Z$7:CH7)&gt;CH7,CH7,MAX($G$28-SUM($Z$7:CH7),0))</f>
        <v>0</v>
      </c>
      <c r="CJ7" s="978">
        <f>IF($G$28-SUM($Z$7:CI7)&gt;CI7,CI7,MAX($G$28-SUM($Z$7:CI7),0))</f>
        <v>0</v>
      </c>
      <c r="CK7" s="978">
        <f>IF($G$28-SUM($Z$7:CJ7)&gt;CJ7,CJ7,MAX($G$28-SUM($Z$7:CJ7),0))</f>
        <v>0</v>
      </c>
      <c r="CL7" s="978">
        <f>IF($G$28-SUM($Z$7:CK7)&gt;CK7,CK7,MAX($G$28-SUM($Z$7:CK7),0))</f>
        <v>0</v>
      </c>
      <c r="CM7" s="978">
        <f>IF($G$28-SUM($Z$7:CL7)&gt;CL7,CL7,MAX($G$28-SUM($Z$7:CL7),0))</f>
        <v>0</v>
      </c>
      <c r="CN7" s="978">
        <f>IF($G$28-SUM($Z$7:CM7)&gt;CM7,CM7,MAX($G$28-SUM($Z$7:CM7),0))</f>
        <v>0</v>
      </c>
      <c r="CO7" s="978">
        <f>IF($G$28-SUM($Z$7:CN7)&gt;CN7,CN7,MAX($G$28-SUM($Z$7:CN7),0))</f>
        <v>0</v>
      </c>
      <c r="CP7" s="978">
        <f>IF($G$28-SUM($Z$7:CO7)&gt;CO7,CO7,MAX($G$28-SUM($Z$7:CO7),0))</f>
        <v>0</v>
      </c>
      <c r="CQ7" s="978">
        <f>IF($G$28-SUM($Z$7:CP7)&gt;CP7,CP7,MAX($G$28-SUM($Z$7:CP7),0))</f>
        <v>0</v>
      </c>
      <c r="CR7" s="978">
        <f>IF($G$28-SUM($Z$7:CQ7)&gt;CQ7,CQ7,MAX($G$28-SUM($Z$7:CQ7),0))</f>
        <v>0</v>
      </c>
      <c r="CS7" s="978">
        <f>IF($G$28-SUM($Z$7:CR7)&gt;CR7,CR7,MAX($G$28-SUM($Z$7:CR7),0))</f>
        <v>0</v>
      </c>
      <c r="CT7" s="978">
        <f>IF($G$28-SUM($Z$7:CS7)&gt;CS7,CS7,MAX($G$28-SUM($Z$7:CS7),0))</f>
        <v>0</v>
      </c>
      <c r="CU7" s="978">
        <f>IF($G$28-SUM($Z$7:CT7)&gt;CT7,CT7,MAX($G$28-SUM($Z$7:CT7),0))</f>
        <v>0</v>
      </c>
      <c r="CV7" s="978">
        <f>IF($G$28-SUM($Z$7:CU7)&gt;CU7,CU7,MAX($G$28-SUM($Z$7:CU7),0))</f>
        <v>0</v>
      </c>
      <c r="CW7" s="978">
        <f>IF($G$28-SUM($Z$7:CV7)&gt;CV7,CV7,MAX($G$28-SUM($Z$7:CV7),0))</f>
        <v>0</v>
      </c>
      <c r="CX7" s="978">
        <f>IF($G$28-SUM($Z$7:CW7)&gt;CW7,CW7,MAX($G$28-SUM($Z$7:CW7),0))</f>
        <v>0</v>
      </c>
      <c r="CY7" s="978">
        <f>IF($G$28-SUM($Z$7:CX7)&gt;CX7,CX7,MAX($G$28-SUM($Z$7:CX7),0))</f>
        <v>0</v>
      </c>
      <c r="CZ7" s="978">
        <f>IF($G$28-SUM($Z$7:CY7)&gt;CY7,CY7,MAX($G$28-SUM($Z$7:CY7),0))</f>
        <v>0</v>
      </c>
      <c r="DA7" s="978">
        <f>IF($G$28-SUM($Z$7:CZ7)&gt;CZ7,CZ7,MAX($G$28-SUM($Z$7:CZ7),0))</f>
        <v>0</v>
      </c>
      <c r="DB7" s="978">
        <f>IF($G$28-SUM($Z$7:DA7)&gt;DA7,DA7,MAX($G$28-SUM($Z$7:DA7),0))</f>
        <v>0</v>
      </c>
      <c r="DC7" s="978">
        <f>IF($G$28-SUM($Z$7:DB7)&gt;DB7,DB7,MAX($G$28-SUM($Z$7:DB7),0))</f>
        <v>0</v>
      </c>
      <c r="DD7" s="978">
        <f>IF($G$28-SUM($Z$7:DC7)&gt;DC7,DC7,MAX($G$28-SUM($Z$7:DC7),0))</f>
        <v>0</v>
      </c>
      <c r="DE7" s="978">
        <f>IF($G$28-SUM($Z$7:DD7)&gt;DD7,DD7,MAX($G$28-SUM($Z$7:DD7),0))</f>
        <v>0</v>
      </c>
      <c r="DF7" s="978">
        <f>IF($G$28-SUM($Z$7:DE7)&gt;DE7,DE7,MAX($G$28-SUM($Z$7:DE7),0))</f>
        <v>0</v>
      </c>
      <c r="DG7" s="978">
        <f>IF($G$28-SUM($Z$7:DF7)&gt;DF7,DF7,MAX($G$28-SUM($Z$7:DF7),0))</f>
        <v>0</v>
      </c>
      <c r="DH7" s="978">
        <f>IF($G$28-SUM($Z$7:DG7)&gt;DG7,DG7,MAX($G$28-SUM($Z$7:DG7),0))</f>
        <v>0</v>
      </c>
      <c r="DI7" s="978">
        <f>IF($G$28-SUM($Z$7:DH7)&gt;DH7,DH7,MAX($G$28-SUM($Z$7:DH7),0))</f>
        <v>0</v>
      </c>
      <c r="DJ7" s="978">
        <f>IF($G$28-SUM($Z$7:DI7)&gt;DI7,DI7,MAX($G$28-SUM($Z$7:DI7),0))</f>
        <v>0</v>
      </c>
      <c r="DK7" s="978">
        <f>IF($G$28-SUM($Z$7:DJ7)&gt;DJ7,DJ7,MAX($G$28-SUM($Z$7:DJ7),0))</f>
        <v>0</v>
      </c>
      <c r="DL7" s="978">
        <f>IF($G$28-SUM($Z$7:DK7)&gt;DK7,DK7,MAX($G$28-SUM($Z$7:DK7),0))</f>
        <v>0</v>
      </c>
      <c r="DM7" s="978">
        <f>IF($G$28-SUM($Z$7:DL7)&gt;DL7,DL7,MAX($G$28-SUM($Z$7:DL7),0))</f>
        <v>0</v>
      </c>
      <c r="DN7" s="978">
        <f>IF($G$28-SUM($Z$7:DM7)&gt;DM7,DM7,MAX($G$28-SUM($Z$7:DM7),0))</f>
        <v>0</v>
      </c>
      <c r="DO7" s="978">
        <f>IF($G$28-SUM($Z$7:DN7)&gt;DN7,DN7,MAX($G$28-SUM($Z$7:DN7),0))</f>
        <v>0</v>
      </c>
      <c r="DP7" s="978">
        <f>IF($G$28-SUM($Z$7:DO7)&gt;DO7,DO7,MAX($G$28-SUM($Z$7:DO7),0))</f>
        <v>0</v>
      </c>
      <c r="DQ7" s="978">
        <f>IF($G$28-SUM($Z$7:DP7)&gt;DP7,DP7,MAX($G$28-SUM($Z$7:DP7),0))</f>
        <v>0</v>
      </c>
      <c r="DR7" s="978">
        <f>IF($G$28-SUM($Z$7:DQ7)&gt;DQ7,DQ7,MAX($G$28-SUM($Z$7:DQ7),0))</f>
        <v>0</v>
      </c>
      <c r="DS7" s="978">
        <f>IF($G$28-SUM($Z$7:DR7)&gt;DR7,DR7,MAX($G$28-SUM($Z$7:DR7),0))</f>
        <v>0</v>
      </c>
      <c r="DT7" s="978">
        <f>IF($G$28-SUM($Z$7:DS7)&gt;DS7,DS7,MAX($G$28-SUM($Z$7:DS7),0))</f>
        <v>0</v>
      </c>
      <c r="DU7" s="979">
        <f>IF($G$28-SUM($Z$7:DT7)&gt;DT7,DT7,MAX($G$28-SUM($Z$7:DT7),0))</f>
        <v>0</v>
      </c>
    </row>
    <row r="8" spans="2:125" x14ac:dyDescent="0.2">
      <c r="B8" s="980" t="s">
        <v>1013</v>
      </c>
      <c r="C8" s="947"/>
      <c r="D8" s="947"/>
      <c r="E8" s="947"/>
      <c r="F8" s="944"/>
      <c r="G8" s="1052">
        <f>SUM(Model!AC1330:AF1330)</f>
        <v>1.52</v>
      </c>
      <c r="H8" s="944"/>
      <c r="I8" s="970"/>
      <c r="J8" s="947"/>
      <c r="K8" s="947"/>
      <c r="L8" s="947"/>
      <c r="M8" s="947"/>
      <c r="N8" s="947"/>
      <c r="O8" s="947"/>
      <c r="P8" s="947"/>
      <c r="Q8" s="947"/>
      <c r="R8" s="947"/>
      <c r="S8" s="947"/>
      <c r="T8" s="947"/>
      <c r="U8" s="981"/>
      <c r="V8" s="944"/>
      <c r="W8" s="971"/>
      <c r="X8" s="944"/>
      <c r="Y8" s="972" t="s">
        <v>1014</v>
      </c>
      <c r="Z8" s="978">
        <f t="shared" ref="Z8:CK8" si="6">Z6+Z7</f>
        <v>-8179</v>
      </c>
      <c r="AA8" s="978">
        <f t="shared" si="6"/>
        <v>16636.43342698404</v>
      </c>
      <c r="AB8" s="978">
        <f t="shared" si="6"/>
        <v>18238.011958473595</v>
      </c>
      <c r="AC8" s="978">
        <f t="shared" si="6"/>
        <v>19727.965572865374</v>
      </c>
      <c r="AD8" s="978">
        <f t="shared" si="6"/>
        <v>20888.344086501922</v>
      </c>
      <c r="AE8" s="978">
        <f t="shared" ref="AE8" si="7">AE6+AE7</f>
        <v>21441.804884779107</v>
      </c>
      <c r="AF8" s="978">
        <f t="shared" ca="1" si="6"/>
        <v>21924.080300351452</v>
      </c>
      <c r="AG8" s="978">
        <f t="shared" ca="1" si="6"/>
        <v>22906.994300096158</v>
      </c>
      <c r="AH8" s="978">
        <f t="shared" ca="1" si="6"/>
        <v>23337.673427700949</v>
      </c>
      <c r="AI8" s="978">
        <f t="shared" ca="1" si="6"/>
        <v>23785.987148985219</v>
      </c>
      <c r="AJ8" s="978">
        <f t="shared" ca="1" si="6"/>
        <v>24227.742326823194</v>
      </c>
      <c r="AK8" s="978">
        <f t="shared" ca="1" si="6"/>
        <v>24686.638280178053</v>
      </c>
      <c r="AL8" s="978">
        <f t="shared" ca="1" si="6"/>
        <v>25162.615776752042</v>
      </c>
      <c r="AM8" s="978">
        <f t="shared" ca="1" si="6"/>
        <v>25655.653123574812</v>
      </c>
      <c r="AN8" s="978">
        <f t="shared" ca="1" si="6"/>
        <v>26165.76398387583</v>
      </c>
      <c r="AO8" s="978">
        <f t="shared" ca="1" si="6"/>
        <v>26692.995389107451</v>
      </c>
      <c r="AP8" s="978">
        <f t="shared" ca="1" si="6"/>
        <v>27237.425931019079</v>
      </c>
      <c r="AQ8" s="978">
        <f t="shared" ca="1" si="6"/>
        <v>27799.164119903784</v>
      </c>
      <c r="AR8" s="978">
        <f t="shared" ca="1" si="6"/>
        <v>28378.346896261872</v>
      </c>
      <c r="AS8" s="978">
        <f t="shared" ca="1" si="6"/>
        <v>28975.138284160068</v>
      </c>
      <c r="AT8" s="978">
        <f t="shared" ca="1" si="6"/>
        <v>29589.728175516389</v>
      </c>
      <c r="AU8" s="978">
        <f t="shared" ca="1" si="6"/>
        <v>30222.331235416434</v>
      </c>
      <c r="AV8" s="978">
        <f t="shared" ca="1" si="6"/>
        <v>30873.185919373002</v>
      </c>
      <c r="AW8" s="978">
        <f t="shared" ca="1" si="6"/>
        <v>31542.553594182806</v>
      </c>
      <c r="AX8" s="978">
        <f t="shared" ca="1" si="6"/>
        <v>32230.717754716799</v>
      </c>
      <c r="AY8" s="978">
        <f t="shared" ca="1" si="6"/>
        <v>32937.9833296098</v>
      </c>
      <c r="AZ8" s="978">
        <f t="shared" ca="1" si="6"/>
        <v>33664.676069393114</v>
      </c>
      <c r="BA8" s="978">
        <f t="shared" ca="1" si="6"/>
        <v>34411.142011147567</v>
      </c>
      <c r="BB8" s="978">
        <f t="shared" ca="1" si="6"/>
        <v>35177.747014244313</v>
      </c>
      <c r="BC8" s="978">
        <f t="shared" ca="1" si="6"/>
        <v>35964.876362193027</v>
      </c>
      <c r="BD8" s="978">
        <f t="shared" ca="1" si="6"/>
        <v>36772.934426033047</v>
      </c>
      <c r="BE8" s="978">
        <f t="shared" ca="1" si="6"/>
        <v>37602.34438508626</v>
      </c>
      <c r="BF8" s="978">
        <f t="shared" ca="1" si="6"/>
        <v>38453.548001243609</v>
      </c>
      <c r="BG8" s="978">
        <f t="shared" ca="1" si="6"/>
        <v>39327.005443282484</v>
      </c>
      <c r="BH8" s="978">
        <f t="shared" ca="1" si="6"/>
        <v>40223.195158011695</v>
      </c>
      <c r="BI8" s="978">
        <f t="shared" ca="1" si="6"/>
        <v>41142.613785317371</v>
      </c>
      <c r="BJ8" s="978">
        <f t="shared" ca="1" si="6"/>
        <v>42085.776114437256</v>
      </c>
      <c r="BK8" s="978">
        <f t="shared" ca="1" si="6"/>
        <v>43053.215079026173</v>
      </c>
      <c r="BL8" s="978">
        <f t="shared" ca="1" si="6"/>
        <v>44045.481788791585</v>
      </c>
      <c r="BM8" s="978">
        <f t="shared" ca="1" si="6"/>
        <v>45063.145595677939</v>
      </c>
      <c r="BN8" s="978">
        <f t="shared" ca="1" si="6"/>
        <v>46106.794192763155</v>
      </c>
      <c r="BO8" s="978">
        <f t="shared" ca="1" si="6"/>
        <v>47177.033744200002</v>
      </c>
      <c r="BP8" s="978">
        <f t="shared" ca="1" si="6"/>
        <v>48274.489044693371</v>
      </c>
      <c r="BQ8" s="978">
        <f t="shared" ca="1" si="6"/>
        <v>49399.803707148007</v>
      </c>
      <c r="BR8" s="978">
        <f t="shared" ca="1" si="6"/>
        <v>50553.640377257019</v>
      </c>
      <c r="BS8" s="978">
        <f t="shared" ca="1" si="6"/>
        <v>51736.680973924325</v>
      </c>
      <c r="BT8" s="978">
        <f t="shared" ca="1" si="6"/>
        <v>52949.626954529456</v>
      </c>
      <c r="BU8" s="978">
        <f t="shared" ca="1" si="6"/>
        <v>54193.199604149144</v>
      </c>
      <c r="BV8" s="978">
        <f t="shared" ca="1" si="6"/>
        <v>55468.1403479488</v>
      </c>
      <c r="BW8" s="978">
        <f t="shared" ca="1" si="6"/>
        <v>56775.211086047784</v>
      </c>
      <c r="BX8" s="978">
        <f t="shared" ca="1" si="6"/>
        <v>58115.194550247208</v>
      </c>
      <c r="BY8" s="978">
        <f t="shared" ca="1" si="6"/>
        <v>59488.894682087768</v>
      </c>
      <c r="BZ8" s="978">
        <f t="shared" ca="1" si="6"/>
        <v>60897.137031777595</v>
      </c>
      <c r="CA8" s="978">
        <f t="shared" ca="1" si="6"/>
        <v>62340.769177598653</v>
      </c>
      <c r="CB8" s="978">
        <f t="shared" ca="1" si="6"/>
        <v>63820.661165463105</v>
      </c>
      <c r="CC8" s="978">
        <f t="shared" ca="1" si="6"/>
        <v>65337.705968350208</v>
      </c>
      <c r="CD8" s="978">
        <f t="shared" ca="1" si="6"/>
        <v>66892.81996540945</v>
      </c>
      <c r="CE8" s="978">
        <f t="shared" ca="1" si="6"/>
        <v>68486.94344056712</v>
      </c>
      <c r="CF8" s="978">
        <f t="shared" ca="1" si="6"/>
        <v>70121.04110052195</v>
      </c>
      <c r="CG8" s="978">
        <f t="shared" ca="1" si="6"/>
        <v>71796.102612060407</v>
      </c>
      <c r="CH8" s="978">
        <f t="shared" ca="1" si="6"/>
        <v>73513.143158665276</v>
      </c>
      <c r="CI8" s="978">
        <f t="shared" ca="1" si="6"/>
        <v>75273.204016430987</v>
      </c>
      <c r="CJ8" s="978">
        <f t="shared" ca="1" si="6"/>
        <v>77077.353149336937</v>
      </c>
      <c r="CK8" s="978">
        <f t="shared" ca="1" si="6"/>
        <v>78926.685823965934</v>
      </c>
      <c r="CL8" s="978">
        <f t="shared" ref="CL8:DQ8" ca="1" si="8">CL6+CL7</f>
        <v>80822.325243788975</v>
      </c>
      <c r="CM8" s="978">
        <f t="shared" ca="1" si="8"/>
        <v>82765.423203169703</v>
      </c>
      <c r="CN8" s="978">
        <f t="shared" ca="1" si="8"/>
        <v>84757.160761272055</v>
      </c>
      <c r="CO8" s="978">
        <f t="shared" ca="1" si="8"/>
        <v>86798.748936085103</v>
      </c>
      <c r="CP8" s="978">
        <f t="shared" ca="1" si="8"/>
        <v>88891.429418806001</v>
      </c>
      <c r="CQ8" s="978">
        <f t="shared" ca="1" si="8"/>
        <v>91036.475308849418</v>
      </c>
      <c r="CR8" s="978">
        <f t="shared" ca="1" si="8"/>
        <v>93235.191869778049</v>
      </c>
      <c r="CS8" s="978">
        <f t="shared" ca="1" si="8"/>
        <v>95488.917306473333</v>
      </c>
      <c r="CT8" s="978">
        <f t="shared" ca="1" si="8"/>
        <v>97799.023563889903</v>
      </c>
      <c r="CU8" s="978">
        <f t="shared" ca="1" si="8"/>
        <v>100166.91714776149</v>
      </c>
      <c r="CV8" s="978">
        <f t="shared" ca="1" si="8"/>
        <v>102594.03996764794</v>
      </c>
      <c r="CW8" s="978">
        <f t="shared" ca="1" si="8"/>
        <v>105081.87020273617</v>
      </c>
      <c r="CX8" s="978">
        <f t="shared" ca="1" si="8"/>
        <v>107631.92319082982</v>
      </c>
      <c r="CY8" s="978">
        <f t="shared" ca="1" si="8"/>
        <v>110245.75234098382</v>
      </c>
      <c r="CZ8" s="978">
        <f t="shared" ca="1" si="8"/>
        <v>112924.95007026097</v>
      </c>
      <c r="DA8" s="978">
        <f t="shared" ca="1" si="8"/>
        <v>115671.14876510989</v>
      </c>
      <c r="DB8" s="978">
        <f t="shared" ca="1" si="8"/>
        <v>118486.02176788262</v>
      </c>
      <c r="DC8" s="978">
        <f t="shared" ca="1" si="8"/>
        <v>121371.28438903303</v>
      </c>
      <c r="DD8" s="978">
        <f t="shared" ca="1" si="8"/>
        <v>124328.69494555597</v>
      </c>
      <c r="DE8" s="978">
        <f t="shared" ca="1" si="8"/>
        <v>127360.05582624821</v>
      </c>
      <c r="DF8" s="978">
        <f t="shared" ca="1" si="8"/>
        <v>130467.21458439344</v>
      </c>
      <c r="DG8" s="978">
        <f t="shared" ca="1" si="8"/>
        <v>133652.06505849323</v>
      </c>
      <c r="DH8" s="978">
        <f t="shared" ca="1" si="8"/>
        <v>136916.54852168629</v>
      </c>
      <c r="DI8" s="978">
        <f t="shared" ca="1" si="8"/>
        <v>140262.65486052076</v>
      </c>
      <c r="DJ8" s="978">
        <f t="shared" ca="1" si="8"/>
        <v>143692.42378376267</v>
      </c>
      <c r="DK8" s="978">
        <f t="shared" ca="1" si="8"/>
        <v>147207.94606194732</v>
      </c>
      <c r="DL8" s="978">
        <f t="shared" ca="1" si="8"/>
        <v>150811.36479839939</v>
      </c>
      <c r="DM8" s="978">
        <f t="shared" ca="1" si="8"/>
        <v>154504.87673247038</v>
      </c>
      <c r="DN8" s="978">
        <f t="shared" ca="1" si="8"/>
        <v>158290.73357576435</v>
      </c>
      <c r="DO8" s="978">
        <f t="shared" ca="1" si="8"/>
        <v>162171.24338214204</v>
      </c>
      <c r="DP8" s="978">
        <f t="shared" ca="1" si="8"/>
        <v>166148.77195232053</v>
      </c>
      <c r="DQ8" s="978">
        <f t="shared" ca="1" si="8"/>
        <v>170225.74427390349</v>
      </c>
      <c r="DR8" s="978">
        <f ca="1">DR6+DR7</f>
        <v>174404.64599770398</v>
      </c>
      <c r="DS8" s="978">
        <f ca="1">DS6+DS7</f>
        <v>178688.02495124325</v>
      </c>
      <c r="DT8" s="978">
        <f ca="1">DT6+DT7</f>
        <v>183078.49269033328</v>
      </c>
      <c r="DU8" s="979">
        <f ca="1">DU6+DU7</f>
        <v>187578.72608967582</v>
      </c>
    </row>
    <row r="9" spans="2:125" x14ac:dyDescent="0.2">
      <c r="B9" s="980" t="s">
        <v>1015</v>
      </c>
      <c r="C9" s="947"/>
      <c r="D9" s="947"/>
      <c r="E9" s="947"/>
      <c r="F9" s="944"/>
      <c r="G9" s="1008">
        <v>71.010000000000005</v>
      </c>
      <c r="H9" s="944"/>
      <c r="I9" s="970"/>
      <c r="J9" s="947"/>
      <c r="K9" s="947"/>
      <c r="L9" s="947"/>
      <c r="M9" s="947"/>
      <c r="N9" s="947"/>
      <c r="O9" s="947"/>
      <c r="P9" s="947"/>
      <c r="Q9" s="982" t="s">
        <v>1016</v>
      </c>
      <c r="R9" s="983"/>
      <c r="S9" s="984"/>
      <c r="T9" s="984"/>
      <c r="U9" s="984"/>
      <c r="V9" s="985">
        <f>G9</f>
        <v>71.010000000000005</v>
      </c>
      <c r="W9" s="971"/>
      <c r="X9" s="944"/>
      <c r="Y9" s="972" t="s">
        <v>1017</v>
      </c>
      <c r="Z9" s="986"/>
      <c r="AA9" s="987">
        <f t="shared" ref="AA9:CL9" si="9">(AA8/Z8-1)*100</f>
        <v>-303.40424779293357</v>
      </c>
      <c r="AB9" s="987">
        <f t="shared" si="9"/>
        <v>9.6269343938335972</v>
      </c>
      <c r="AC9" s="987">
        <f t="shared" si="9"/>
        <v>8.1694957640354495</v>
      </c>
      <c r="AD9" s="987">
        <f t="shared" si="9"/>
        <v>5.8818964852238809</v>
      </c>
      <c r="AE9" s="987">
        <f t="shared" si="9"/>
        <v>2.6496154792606585</v>
      </c>
      <c r="AF9" s="987">
        <f t="shared" ca="1" si="9"/>
        <v>2.2492295688909092</v>
      </c>
      <c r="AG9" s="987">
        <f t="shared" ca="1" si="9"/>
        <v>4.4832621769267611</v>
      </c>
      <c r="AH9" s="987">
        <f t="shared" ca="1" si="9"/>
        <v>1.8801206389743808</v>
      </c>
      <c r="AI9" s="987">
        <f t="shared" ca="1" si="9"/>
        <v>1.9209872083998603</v>
      </c>
      <c r="AJ9" s="987">
        <f t="shared" ca="1" si="9"/>
        <v>1.8572076705120955</v>
      </c>
      <c r="AK9" s="987">
        <f t="shared" ca="1" si="9"/>
        <v>1.8940929252281302</v>
      </c>
      <c r="AL9" s="987">
        <f t="shared" ca="1" si="9"/>
        <v>1.9280774124526001</v>
      </c>
      <c r="AM9" s="987">
        <f t="shared" ca="1" si="9"/>
        <v>1.9594041859443356</v>
      </c>
      <c r="AN9" s="987">
        <f t="shared" ca="1" si="9"/>
        <v>1.9882980871466449</v>
      </c>
      <c r="AO9" s="987">
        <f t="shared" ca="1" si="9"/>
        <v>2.0149666012294398</v>
      </c>
      <c r="AP9" s="987">
        <f t="shared" ca="1" si="9"/>
        <v>2.0396007790635329</v>
      </c>
      <c r="AQ9" s="987">
        <f t="shared" ca="1" si="9"/>
        <v>2.0623761962945908</v>
      </c>
      <c r="AR9" s="987">
        <f t="shared" ca="1" si="9"/>
        <v>2.0834539263840712</v>
      </c>
      <c r="AS9" s="987">
        <f t="shared" ca="1" si="9"/>
        <v>2.1029815093873916</v>
      </c>
      <c r="AT9" s="987">
        <f t="shared" ca="1" si="9"/>
        <v>2.1210939023966757</v>
      </c>
      <c r="AU9" s="987">
        <f t="shared" ca="1" si="9"/>
        <v>2.1379144010639672</v>
      </c>
      <c r="AV9" s="987">
        <f t="shared" ca="1" si="9"/>
        <v>2.1535555245117965</v>
      </c>
      <c r="AW9" s="987">
        <f t="shared" ca="1" si="9"/>
        <v>2.168119858306472</v>
      </c>
      <c r="AX9" s="987">
        <f t="shared" ca="1" si="9"/>
        <v>2.1817008520860659</v>
      </c>
      <c r="AY9" s="987">
        <f t="shared" ca="1" si="9"/>
        <v>2.1943835699702818</v>
      </c>
      <c r="AZ9" s="987">
        <f t="shared" ca="1" si="9"/>
        <v>2.20624539308103</v>
      </c>
      <c r="BA9" s="987">
        <f t="shared" ca="1" si="9"/>
        <v>2.2173566744434492</v>
      </c>
      <c r="BB9" s="987">
        <f t="shared" ca="1" si="9"/>
        <v>2.2277813472403762</v>
      </c>
      <c r="BC9" s="987">
        <f t="shared" ca="1" si="9"/>
        <v>2.2375774879215049</v>
      </c>
      <c r="BD9" s="987">
        <f t="shared" ca="1" si="9"/>
        <v>2.2467978360394714</v>
      </c>
      <c r="BE9" s="987">
        <f t="shared" ca="1" si="9"/>
        <v>2.2554902729384541</v>
      </c>
      <c r="BF9" s="987">
        <f t="shared" ca="1" si="9"/>
        <v>2.2636982615768853</v>
      </c>
      <c r="BG9" s="987">
        <f t="shared" ca="1" si="9"/>
        <v>2.271461249845208</v>
      </c>
      <c r="BH9" s="987">
        <f t="shared" ca="1" si="9"/>
        <v>2.2788150397611506</v>
      </c>
      <c r="BI9" s="987">
        <f t="shared" ca="1" si="9"/>
        <v>2.2857921249016977</v>
      </c>
      <c r="BJ9" s="987">
        <f t="shared" ca="1" si="9"/>
        <v>2.2924219983720961</v>
      </c>
      <c r="BK9" s="987">
        <f t="shared" ca="1" si="9"/>
        <v>2.2987314335330522</v>
      </c>
      <c r="BL9" s="987">
        <f t="shared" ca="1" si="9"/>
        <v>2.30474473960669</v>
      </c>
      <c r="BM9" s="987">
        <f t="shared" ca="1" si="9"/>
        <v>2.3104839941728628</v>
      </c>
      <c r="BN9" s="987">
        <f t="shared" ca="1" si="9"/>
        <v>2.3159692544528321</v>
      </c>
      <c r="BO9" s="987">
        <f t="shared" ca="1" si="9"/>
        <v>2.3212187491552516</v>
      </c>
      <c r="BP9" s="987">
        <f t="shared" ca="1" si="9"/>
        <v>2.3262490525451707</v>
      </c>
      <c r="BQ9" s="987">
        <f t="shared" ca="1" si="9"/>
        <v>2.3310752422729841</v>
      </c>
      <c r="BR9" s="987">
        <f t="shared" ca="1" si="9"/>
        <v>2.3357110423944061</v>
      </c>
      <c r="BS9" s="987">
        <f t="shared" ca="1" si="9"/>
        <v>2.3401689528960823</v>
      </c>
      <c r="BT9" s="987">
        <f t="shared" ca="1" si="9"/>
        <v>2.3444603669424913</v>
      </c>
      <c r="BU9" s="987">
        <f t="shared" ca="1" si="9"/>
        <v>2.3485956769584204</v>
      </c>
      <c r="BV9" s="987">
        <f t="shared" ca="1" si="9"/>
        <v>2.3525843705711758</v>
      </c>
      <c r="BW9" s="987">
        <f t="shared" ca="1" si="9"/>
        <v>2.356435117348088</v>
      </c>
      <c r="BX9" s="987">
        <f t="shared" ca="1" si="9"/>
        <v>2.3601558471857853</v>
      </c>
      <c r="BY9" s="987">
        <f t="shared" ca="1" si="9"/>
        <v>2.3637538211333631</v>
      </c>
      <c r="BZ9" s="987">
        <f t="shared" ca="1" si="9"/>
        <v>2.3672356953605478</v>
      </c>
      <c r="CA9" s="987">
        <f t="shared" ca="1" si="9"/>
        <v>2.3706075789207137</v>
      </c>
      <c r="CB9" s="987">
        <f t="shared" ca="1" si="9"/>
        <v>2.3738750858984137</v>
      </c>
      <c r="CC9" s="987">
        <f t="shared" ca="1" si="9"/>
        <v>2.3770433824776172</v>
      </c>
      <c r="CD9" s="987">
        <f t="shared" ca="1" si="9"/>
        <v>2.3801172294181105</v>
      </c>
      <c r="CE9" s="987">
        <f t="shared" ca="1" si="9"/>
        <v>2.3831010203815506</v>
      </c>
      <c r="CF9" s="987">
        <f t="shared" ca="1" si="9"/>
        <v>2.3859988165085833</v>
      </c>
      <c r="CG9" s="987">
        <f t="shared" ca="1" si="9"/>
        <v>2.3888143776090942</v>
      </c>
      <c r="CH9" s="987">
        <f t="shared" ca="1" si="9"/>
        <v>2.3915511902959929</v>
      </c>
      <c r="CI9" s="987">
        <f t="shared" ca="1" si="9"/>
        <v>2.3942124933590714</v>
      </c>
      <c r="CJ9" s="987">
        <f t="shared" ca="1" si="9"/>
        <v>2.396801300648943</v>
      </c>
      <c r="CK9" s="987">
        <f t="shared" ca="1" si="9"/>
        <v>2.3993204217144459</v>
      </c>
      <c r="CL9" s="987">
        <f t="shared" ca="1" si="9"/>
        <v>2.4017724804142659</v>
      </c>
      <c r="CM9" s="987">
        <f t="shared" ref="CM9:DR9" ca="1" si="10">(CM8/CL8-1)*100</f>
        <v>2.4041599317015994</v>
      </c>
      <c r="CN9" s="987">
        <f t="shared" ca="1" si="10"/>
        <v>2.406485076760978</v>
      </c>
      <c r="CO9" s="987">
        <f t="shared" ca="1" si="10"/>
        <v>2.4087500766612591</v>
      </c>
      <c r="CP9" s="987">
        <f t="shared" ca="1" si="10"/>
        <v>2.4109569646699081</v>
      </c>
      <c r="CQ9" s="987">
        <f t="shared" ca="1" si="10"/>
        <v>2.4131076573616239</v>
      </c>
      <c r="CR9" s="987">
        <f t="shared" ca="1" si="10"/>
        <v>2.4152039646408552</v>
      </c>
      <c r="CS9" s="987">
        <f t="shared" ca="1" si="10"/>
        <v>2.4172475987855213</v>
      </c>
      <c r="CT9" s="987">
        <f t="shared" ca="1" si="10"/>
        <v>2.4192401826090837</v>
      </c>
      <c r="CU9" s="987">
        <f t="shared" ca="1" si="10"/>
        <v>2.4211832568294511</v>
      </c>
      <c r="CV9" s="987">
        <f t="shared" ca="1" si="10"/>
        <v>2.4230782867222356</v>
      </c>
      <c r="CW9" s="987">
        <f t="shared" ca="1" si="10"/>
        <v>2.4249266681307668</v>
      </c>
      <c r="CX9" s="987">
        <f t="shared" ca="1" si="10"/>
        <v>2.4267297328966375</v>
      </c>
      <c r="CY9" s="987">
        <f t="shared" ca="1" si="10"/>
        <v>2.428488753768443</v>
      </c>
      <c r="CZ9" s="987">
        <f t="shared" ca="1" si="10"/>
        <v>2.4302049488406086</v>
      </c>
      <c r="DA9" s="987">
        <f t="shared" ca="1" si="10"/>
        <v>2.4318794855700654</v>
      </c>
      <c r="DB9" s="987">
        <f t="shared" ca="1" si="10"/>
        <v>2.4335134844115869</v>
      </c>
      <c r="DC9" s="987">
        <f t="shared" ca="1" si="10"/>
        <v>2.4351080221114429</v>
      </c>
      <c r="DD9" s="987">
        <f t="shared" ca="1" si="10"/>
        <v>2.436664134692279</v>
      </c>
      <c r="DE9" s="987">
        <f t="shared" ca="1" si="10"/>
        <v>2.4381828201604616</v>
      </c>
      <c r="DF9" s="987">
        <f t="shared" ca="1" si="10"/>
        <v>2.439665040964023</v>
      </c>
      <c r="DG9" s="987">
        <f t="shared" ca="1" si="10"/>
        <v>2.4411117262257864</v>
      </c>
      <c r="DH9" s="987">
        <f t="shared" ca="1" si="10"/>
        <v>2.4425237737736083</v>
      </c>
      <c r="DI9" s="987">
        <f t="shared" ca="1" si="10"/>
        <v>2.443902051989344</v>
      </c>
      <c r="DJ9" s="987">
        <f t="shared" ca="1" si="10"/>
        <v>2.4452474014929448</v>
      </c>
      <c r="DK9" s="987">
        <f t="shared" ca="1" si="10"/>
        <v>2.4465606366797843</v>
      </c>
      <c r="DL9" s="987">
        <f t="shared" ca="1" si="10"/>
        <v>2.447842547124246</v>
      </c>
      <c r="DM9" s="987">
        <f t="shared" ca="1" si="10"/>
        <v>2.4490938988639188</v>
      </c>
      <c r="DN9" s="987">
        <f t="shared" ca="1" si="10"/>
        <v>2.4503154355763668</v>
      </c>
      <c r="DO9" s="987">
        <f t="shared" ca="1" si="10"/>
        <v>2.4515078796575995</v>
      </c>
      <c r="DP9" s="987">
        <f t="shared" ca="1" si="10"/>
        <v>2.4526719332143232</v>
      </c>
      <c r="DQ9" s="987">
        <f t="shared" ca="1" si="10"/>
        <v>2.4538082789759885</v>
      </c>
      <c r="DR9" s="987">
        <f t="shared" ca="1" si="10"/>
        <v>2.4549175811364954</v>
      </c>
      <c r="DS9" s="987">
        <f ca="1">(DS8/DR8-1)*100</f>
        <v>2.4560004861313489</v>
      </c>
      <c r="DT9" s="987">
        <f ca="1">(DT8/DS8-1)*100</f>
        <v>2.4570576233566843</v>
      </c>
      <c r="DU9" s="988">
        <f ca="1">(DU8/DT8-1)*100</f>
        <v>2.4580896058361335</v>
      </c>
    </row>
    <row r="10" spans="2:125" x14ac:dyDescent="0.2">
      <c r="B10" s="980" t="s">
        <v>1018</v>
      </c>
      <c r="C10" s="947"/>
      <c r="D10" s="947"/>
      <c r="E10" s="947"/>
      <c r="F10" s="944"/>
      <c r="G10" s="1053">
        <f>Model!AB1321</f>
        <v>2549.9</v>
      </c>
      <c r="H10" s="944"/>
      <c r="I10" s="970"/>
      <c r="J10" s="947"/>
      <c r="K10" s="947"/>
      <c r="L10" s="947"/>
      <c r="M10" s="947"/>
      <c r="N10" s="947"/>
      <c r="O10" s="947"/>
      <c r="P10" s="947"/>
      <c r="Q10" s="989" t="s">
        <v>1019</v>
      </c>
      <c r="R10" s="990"/>
      <c r="S10" s="990"/>
      <c r="T10" s="990"/>
      <c r="U10" s="944"/>
      <c r="V10" s="991">
        <f ca="1">AA51</f>
        <v>84.698295973245905</v>
      </c>
      <c r="W10" s="971"/>
      <c r="X10" s="947"/>
      <c r="Y10" s="947"/>
      <c r="Z10" s="947"/>
      <c r="AA10" s="947"/>
      <c r="AB10" s="947"/>
      <c r="AC10" s="947"/>
      <c r="AD10" s="947"/>
      <c r="AE10" s="947"/>
      <c r="AF10" s="947"/>
      <c r="AG10" s="947"/>
      <c r="AH10" s="947"/>
      <c r="AI10" s="947"/>
      <c r="AJ10" s="947"/>
      <c r="AK10" s="947"/>
      <c r="AL10" s="947"/>
      <c r="AM10" s="947"/>
      <c r="AN10" s="947"/>
      <c r="AO10" s="947"/>
      <c r="AP10" s="947"/>
      <c r="AQ10" s="947"/>
      <c r="AR10" s="947"/>
      <c r="AS10" s="947"/>
      <c r="AT10" s="947"/>
      <c r="AU10" s="947"/>
      <c r="AV10" s="947"/>
      <c r="AW10" s="947"/>
      <c r="AX10" s="947"/>
      <c r="AY10" s="947"/>
      <c r="AZ10" s="947"/>
      <c r="BA10" s="947"/>
      <c r="BB10" s="947"/>
      <c r="BC10" s="947"/>
      <c r="BD10" s="947"/>
      <c r="BE10" s="947"/>
      <c r="BF10" s="947"/>
      <c r="BG10" s="947"/>
      <c r="BH10" s="947"/>
      <c r="BI10" s="947"/>
      <c r="BJ10" s="947"/>
      <c r="BK10" s="947"/>
      <c r="BL10" s="947"/>
      <c r="BM10" s="947"/>
      <c r="BN10" s="947"/>
      <c r="BO10" s="947"/>
      <c r="BP10" s="947"/>
      <c r="BQ10" s="947"/>
      <c r="BR10" s="947"/>
      <c r="BS10" s="947"/>
      <c r="BT10" s="947"/>
      <c r="BU10" s="947"/>
      <c r="BV10" s="947"/>
      <c r="BW10" s="947"/>
      <c r="BX10" s="947"/>
      <c r="BY10" s="947"/>
      <c r="BZ10" s="947"/>
      <c r="CA10" s="947"/>
      <c r="CB10" s="947"/>
      <c r="CC10" s="947"/>
      <c r="CD10" s="947"/>
      <c r="CE10" s="947"/>
      <c r="CF10" s="947"/>
      <c r="CG10" s="947"/>
      <c r="CH10" s="947"/>
      <c r="CI10" s="947"/>
      <c r="CJ10" s="947"/>
      <c r="CK10" s="947"/>
      <c r="CL10" s="947"/>
      <c r="CM10" s="947"/>
      <c r="CN10" s="947"/>
      <c r="CO10" s="947"/>
      <c r="CP10" s="947"/>
      <c r="CQ10" s="947"/>
      <c r="CR10" s="947"/>
      <c r="CS10" s="947"/>
      <c r="CT10" s="947"/>
      <c r="CU10" s="947"/>
      <c r="CV10" s="947"/>
      <c r="CW10" s="947"/>
      <c r="CX10" s="947"/>
      <c r="CY10" s="947"/>
      <c r="CZ10" s="947"/>
      <c r="DA10" s="947"/>
      <c r="DB10" s="947"/>
      <c r="DC10" s="947"/>
      <c r="DD10" s="947"/>
      <c r="DE10" s="947"/>
      <c r="DF10" s="947"/>
      <c r="DG10" s="947"/>
      <c r="DH10" s="947"/>
      <c r="DI10" s="947"/>
      <c r="DJ10" s="947"/>
      <c r="DK10" s="947"/>
      <c r="DL10" s="947"/>
      <c r="DM10" s="947"/>
      <c r="DN10" s="947"/>
      <c r="DO10" s="947"/>
      <c r="DP10" s="947"/>
      <c r="DQ10" s="947"/>
      <c r="DR10" s="947"/>
      <c r="DS10" s="947"/>
      <c r="DT10" s="947"/>
      <c r="DU10" s="947"/>
    </row>
    <row r="11" spans="2:125" x14ac:dyDescent="0.2">
      <c r="B11" s="980" t="s">
        <v>1020</v>
      </c>
      <c r="C11" s="947"/>
      <c r="D11" s="947"/>
      <c r="E11" s="947"/>
      <c r="F11" s="947"/>
      <c r="G11" s="1054">
        <f>Model!AB1303</f>
        <v>71.673006784579783</v>
      </c>
      <c r="H11" s="944"/>
      <c r="I11" s="970"/>
      <c r="J11" s="947"/>
      <c r="K11" s="947"/>
      <c r="L11" s="947"/>
      <c r="M11" s="947"/>
      <c r="N11" s="947"/>
      <c r="O11" s="947"/>
      <c r="P11" s="947"/>
      <c r="Q11" s="989" t="s">
        <v>1021</v>
      </c>
      <c r="R11" s="990"/>
      <c r="S11" s="990"/>
      <c r="T11" s="990"/>
      <c r="U11" s="944"/>
      <c r="V11" s="1055">
        <f ca="1">AA52</f>
        <v>92.558632252282891</v>
      </c>
      <c r="W11" s="971"/>
      <c r="X11" s="944"/>
      <c r="Y11" s="992" t="s">
        <v>1022</v>
      </c>
      <c r="Z11" s="947"/>
      <c r="AA11" s="947"/>
      <c r="AB11" s="947"/>
      <c r="AC11" s="947"/>
      <c r="AD11" s="993"/>
      <c r="AE11" s="993"/>
      <c r="AF11" s="947"/>
      <c r="AG11" s="947"/>
      <c r="AH11" s="947"/>
      <c r="AI11" s="947"/>
      <c r="AJ11" s="947"/>
      <c r="AK11" s="947"/>
      <c r="AL11" s="947"/>
      <c r="AM11" s="947"/>
      <c r="AN11" s="947"/>
      <c r="AO11" s="947"/>
      <c r="AP11" s="947"/>
      <c r="AQ11" s="947"/>
      <c r="AR11" s="947"/>
      <c r="AS11" s="947"/>
      <c r="AT11" s="947"/>
      <c r="AU11" s="947"/>
      <c r="AV11" s="947"/>
      <c r="AW11" s="947"/>
      <c r="AX11" s="947"/>
      <c r="AY11" s="947"/>
      <c r="AZ11" s="947"/>
      <c r="BA11" s="947"/>
      <c r="BB11" s="947"/>
      <c r="BC11" s="947"/>
      <c r="BD11" s="947"/>
      <c r="BE11" s="947"/>
      <c r="BF11" s="947"/>
      <c r="BG11" s="947"/>
      <c r="BH11" s="947"/>
      <c r="BI11" s="947"/>
      <c r="BJ11" s="947"/>
      <c r="BK11" s="947"/>
      <c r="BL11" s="947"/>
      <c r="BM11" s="947"/>
      <c r="BN11" s="947"/>
      <c r="BO11" s="947"/>
      <c r="BP11" s="947"/>
      <c r="BQ11" s="947"/>
      <c r="BR11" s="947"/>
      <c r="BS11" s="947"/>
      <c r="BT11" s="947"/>
      <c r="BU11" s="947"/>
      <c r="BV11" s="947"/>
      <c r="BW11" s="947"/>
      <c r="BX11" s="947"/>
      <c r="BY11" s="947"/>
      <c r="BZ11" s="947"/>
      <c r="CA11" s="947"/>
      <c r="CB11" s="947"/>
      <c r="CC11" s="947"/>
      <c r="CD11" s="947"/>
      <c r="CE11" s="947"/>
      <c r="CF11" s="947"/>
      <c r="CG11" s="947"/>
      <c r="CH11" s="947"/>
      <c r="CI11" s="947"/>
      <c r="CJ11" s="947"/>
      <c r="CK11" s="947"/>
      <c r="CL11" s="947"/>
      <c r="CM11" s="947"/>
      <c r="CN11" s="947"/>
      <c r="CO11" s="947"/>
      <c r="CP11" s="947"/>
      <c r="CQ11" s="947"/>
      <c r="CR11" s="947"/>
      <c r="CS11" s="947"/>
      <c r="CT11" s="947"/>
      <c r="CU11" s="947"/>
      <c r="CV11" s="947"/>
      <c r="CW11" s="947"/>
      <c r="CX11" s="947"/>
      <c r="CY11" s="947"/>
      <c r="CZ11" s="947"/>
      <c r="DA11" s="947"/>
      <c r="DB11" s="947"/>
      <c r="DC11" s="947"/>
      <c r="DD11" s="947"/>
      <c r="DE11" s="947"/>
      <c r="DF11" s="947"/>
      <c r="DG11" s="947"/>
      <c r="DH11" s="947"/>
      <c r="DI11" s="947"/>
      <c r="DJ11" s="947"/>
      <c r="DK11" s="947"/>
      <c r="DL11" s="947"/>
      <c r="DM11" s="947"/>
      <c r="DN11" s="947"/>
      <c r="DO11" s="947"/>
      <c r="DP11" s="947"/>
      <c r="DQ11" s="947"/>
      <c r="DR11" s="947"/>
      <c r="DS11" s="947"/>
      <c r="DT11" s="947"/>
      <c r="DU11" s="971"/>
    </row>
    <row r="12" spans="2:125" x14ac:dyDescent="0.2">
      <c r="B12" s="975"/>
      <c r="C12" s="948"/>
      <c r="D12" s="948"/>
      <c r="E12" s="948"/>
      <c r="F12" s="948"/>
      <c r="G12" s="976"/>
      <c r="H12" s="944"/>
      <c r="I12" s="970"/>
      <c r="J12" s="947"/>
      <c r="K12" s="947"/>
      <c r="L12" s="947"/>
      <c r="M12" s="947"/>
      <c r="N12" s="947"/>
      <c r="O12" s="947"/>
      <c r="P12" s="947"/>
      <c r="Q12" s="989" t="s">
        <v>1023</v>
      </c>
      <c r="R12" s="990"/>
      <c r="S12" s="990"/>
      <c r="T12" s="990"/>
      <c r="U12" s="944"/>
      <c r="V12" s="994">
        <f ca="1">AA53</f>
        <v>32.486455784090793</v>
      </c>
      <c r="W12" s="971"/>
      <c r="X12" s="944"/>
      <c r="Y12" s="944" t="s">
        <v>1024</v>
      </c>
      <c r="Z12" s="1059">
        <f>(Model!AZ1294+Model!AZ1293)*-1</f>
        <v>16397.612591280933</v>
      </c>
      <c r="AA12" s="1059">
        <f>(Model!BA1294+Model!BA1293)*-1</f>
        <v>17653.589481695304</v>
      </c>
      <c r="AB12" s="1059">
        <f>(Model!BB1294+Model!BB1293)*-1</f>
        <v>23011.892759147879</v>
      </c>
      <c r="AC12" s="1059">
        <f>(Model!BC1294+Model!BC1293)*-1</f>
        <v>17455.555551689948</v>
      </c>
      <c r="AD12" s="1059">
        <f>(Model!BD1294+Model!BD1293)*-1</f>
        <v>15617.425981854787</v>
      </c>
      <c r="AE12" s="1059">
        <f>(Model!BE1294+Model!BE1293)*-1</f>
        <v>15952.142068028794</v>
      </c>
      <c r="AF12" s="955">
        <f ca="1">(AF6+(AF29-AE29)-(AF27-AE27))-((AF22*$G$21/100-AE30))</f>
        <v>11237.096148176897</v>
      </c>
      <c r="AG12" s="955">
        <f t="shared" ref="AG12:CR12" ca="1" si="11">(AG6+(AG29-AF29)-(AG27-AF27))-((AG22*$G$21/100-AF30))</f>
        <v>18413.780629490393</v>
      </c>
      <c r="AH12" s="955">
        <f t="shared" ca="1" si="11"/>
        <v>18832.007887155527</v>
      </c>
      <c r="AI12" s="955">
        <f t="shared" ca="1" si="11"/>
        <v>19272.932027504441</v>
      </c>
      <c r="AJ12" s="955">
        <f t="shared" ca="1" si="11"/>
        <v>19601.860827305398</v>
      </c>
      <c r="AK12" s="955">
        <f t="shared" ca="1" si="11"/>
        <v>19945.109743172314</v>
      </c>
      <c r="AL12" s="955">
        <f t="shared" ca="1" si="11"/>
        <v>20302.549026321161</v>
      </c>
      <c r="AM12" s="955">
        <f t="shared" ca="1" si="11"/>
        <v>20674.084704383175</v>
      </c>
      <c r="AN12" s="955">
        <f t="shared" ca="1" si="11"/>
        <v>21059.65635420434</v>
      </c>
      <c r="AO12" s="955">
        <f t="shared" ca="1" si="11"/>
        <v>21459.235068694205</v>
      </c>
      <c r="AP12" s="955">
        <f t="shared" ca="1" si="11"/>
        <v>21872.821602595515</v>
      </c>
      <c r="AQ12" s="955">
        <f t="shared" ca="1" si="11"/>
        <v>22300.444683269627</v>
      </c>
      <c r="AR12" s="955">
        <f t="shared" ca="1" si="11"/>
        <v>22742.15947371185</v>
      </c>
      <c r="AS12" s="955">
        <f t="shared" ca="1" si="11"/>
        <v>23198.046176046289</v>
      </c>
      <c r="AT12" s="955">
        <f t="shared" ca="1" si="11"/>
        <v>23668.208764699786</v>
      </c>
      <c r="AU12" s="955">
        <f t="shared" ca="1" si="11"/>
        <v>24152.773839329395</v>
      </c>
      <c r="AV12" s="955">
        <f t="shared" ca="1" si="11"/>
        <v>24651.889588383809</v>
      </c>
      <c r="AW12" s="955">
        <f t="shared" ca="1" si="11"/>
        <v>25165.724854918903</v>
      </c>
      <c r="AX12" s="955">
        <f t="shared" ca="1" si="11"/>
        <v>25694.468296971278</v>
      </c>
      <c r="AY12" s="955">
        <f t="shared" ca="1" si="11"/>
        <v>26238.32763542061</v>
      </c>
      <c r="AZ12" s="955">
        <f t="shared" ca="1" si="11"/>
        <v>26797.52898284921</v>
      </c>
      <c r="BA12" s="955">
        <f t="shared" ca="1" si="11"/>
        <v>27372.316247440052</v>
      </c>
      <c r="BB12" s="955">
        <f t="shared" ca="1" si="11"/>
        <v>27962.950606444145</v>
      </c>
      <c r="BC12" s="955">
        <f t="shared" ca="1" si="11"/>
        <v>28569.710044197855</v>
      </c>
      <c r="BD12" s="955">
        <f t="shared" ca="1" si="11"/>
        <v>29192.888950087996</v>
      </c>
      <c r="BE12" s="955">
        <f t="shared" ca="1" si="11"/>
        <v>29832.797772242564</v>
      </c>
      <c r="BF12" s="955">
        <f t="shared" ca="1" si="11"/>
        <v>30489.762723078828</v>
      </c>
      <c r="BG12" s="955">
        <f t="shared" ca="1" si="11"/>
        <v>31164.125533163606</v>
      </c>
      <c r="BH12" s="955">
        <f t="shared" ca="1" si="11"/>
        <v>31856.243250139763</v>
      </c>
      <c r="BI12" s="955">
        <f t="shared" ca="1" si="11"/>
        <v>32566.488079748786</v>
      </c>
      <c r="BJ12" s="955">
        <f t="shared" ca="1" si="11"/>
        <v>33295.247266229351</v>
      </c>
      <c r="BK12" s="955">
        <f t="shared" ca="1" si="11"/>
        <v>34042.923009613114</v>
      </c>
      <c r="BL12" s="955">
        <f t="shared" ca="1" si="11"/>
        <v>34809.932417643242</v>
      </c>
      <c r="BM12" s="955">
        <f t="shared" ca="1" si="11"/>
        <v>35596.707490250745</v>
      </c>
      <c r="BN12" s="955">
        <f t="shared" ca="1" si="11"/>
        <v>36403.695134700443</v>
      </c>
      <c r="BO12" s="955">
        <f t="shared" ca="1" si="11"/>
        <v>37231.357209685593</v>
      </c>
      <c r="BP12" s="955">
        <f t="shared" ca="1" si="11"/>
        <v>38080.170596816184</v>
      </c>
      <c r="BQ12" s="955">
        <f t="shared" ca="1" si="11"/>
        <v>38950.627298073843</v>
      </c>
      <c r="BR12" s="955">
        <f t="shared" ca="1" si="11"/>
        <v>39843.23455795605</v>
      </c>
      <c r="BS12" s="955">
        <f t="shared" ca="1" si="11"/>
        <v>40758.515009140749</v>
      </c>
      <c r="BT12" s="955">
        <f t="shared" ca="1" si="11"/>
        <v>41697.006840626324</v>
      </c>
      <c r="BU12" s="955">
        <f t="shared" ca="1" si="11"/>
        <v>42659.263987398524</v>
      </c>
      <c r="BV12" s="955">
        <f t="shared" ca="1" si="11"/>
        <v>43645.856340779319</v>
      </c>
      <c r="BW12" s="955">
        <f t="shared" ca="1" si="11"/>
        <v>44657.369978699164</v>
      </c>
      <c r="BX12" s="955">
        <f t="shared" ca="1" si="11"/>
        <v>45694.407415214795</v>
      </c>
      <c r="BY12" s="955">
        <f t="shared" ca="1" si="11"/>
        <v>46757.587868679497</v>
      </c>
      <c r="BZ12" s="955">
        <f t="shared" ca="1" si="11"/>
        <v>47847.547548034177</v>
      </c>
      <c r="CA12" s="955">
        <f t="shared" ca="1" si="11"/>
        <v>48964.939956761671</v>
      </c>
      <c r="CB12" s="955">
        <f t="shared" ca="1" si="11"/>
        <v>50110.436214105175</v>
      </c>
      <c r="CC12" s="955">
        <f t="shared" ca="1" si="11"/>
        <v>51284.725393208362</v>
      </c>
      <c r="CD12" s="955">
        <f t="shared" ca="1" si="11"/>
        <v>52488.514875889043</v>
      </c>
      <c r="CE12" s="955">
        <f t="shared" ca="1" si="11"/>
        <v>53722.530723808683</v>
      </c>
      <c r="CF12" s="955">
        <f t="shared" ca="1" si="11"/>
        <v>54987.518065844575</v>
      </c>
      <c r="CG12" s="955">
        <f t="shared" ca="1" si="11"/>
        <v>56284.24150151611</v>
      </c>
      <c r="CH12" s="955">
        <f t="shared" ca="1" si="11"/>
        <v>57613.485520357382</v>
      </c>
      <c r="CI12" s="955">
        <f t="shared" ca="1" si="11"/>
        <v>58976.054937165332</v>
      </c>
      <c r="CJ12" s="955">
        <f t="shared" ca="1" si="11"/>
        <v>60372.775343089656</v>
      </c>
      <c r="CK12" s="955">
        <f t="shared" ca="1" si="11"/>
        <v>61804.493572562467</v>
      </c>
      <c r="CL12" s="955">
        <f t="shared" ca="1" si="11"/>
        <v>63272.078186100436</v>
      </c>
      <c r="CM12" s="955">
        <f t="shared" ca="1" si="11"/>
        <v>64776.419969039023</v>
      </c>
      <c r="CN12" s="955">
        <f t="shared" ca="1" si="11"/>
        <v>66318.432446288163</v>
      </c>
      <c r="CO12" s="955">
        <f t="shared" ca="1" si="11"/>
        <v>67899.052413226411</v>
      </c>
      <c r="CP12" s="955">
        <f t="shared" ca="1" si="11"/>
        <v>69519.240482875975</v>
      </c>
      <c r="CQ12" s="955">
        <f t="shared" ca="1" si="11"/>
        <v>71179.981649521098</v>
      </c>
      <c r="CR12" s="955">
        <f t="shared" ca="1" si="11"/>
        <v>72882.285868966443</v>
      </c>
      <c r="CS12" s="955">
        <f t="shared" ref="CS12:DU12" ca="1" si="12">(CS6+(CS29-CR29)-(CS27-CR27))-((CS22*$G$21/100-CR30))</f>
        <v>74627.188655641599</v>
      </c>
      <c r="CT12" s="955">
        <f t="shared" ca="1" si="12"/>
        <v>76415.751696787309</v>
      </c>
      <c r="CU12" s="955">
        <f t="shared" ca="1" si="12"/>
        <v>78249.063483981343</v>
      </c>
      <c r="CV12" s="955">
        <f t="shared" ca="1" si="12"/>
        <v>80128.239962273234</v>
      </c>
      <c r="CW12" s="955">
        <f t="shared" ca="1" si="12"/>
        <v>82054.425197227101</v>
      </c>
      <c r="CX12" s="955">
        <f t="shared" ca="1" si="12"/>
        <v>84028.792060183026</v>
      </c>
      <c r="CY12" s="955">
        <f t="shared" ca="1" si="12"/>
        <v>86052.542932070894</v>
      </c>
      <c r="CZ12" s="955">
        <f t="shared" ca="1" si="12"/>
        <v>88126.910426125221</v>
      </c>
      <c r="DA12" s="955">
        <f t="shared" ca="1" si="12"/>
        <v>90253.158129870717</v>
      </c>
      <c r="DB12" s="955">
        <f t="shared" ca="1" si="12"/>
        <v>92432.581366762737</v>
      </c>
      <c r="DC12" s="955">
        <f t="shared" ca="1" si="12"/>
        <v>94666.507977885005</v>
      </c>
      <c r="DD12" s="955">
        <f t="shared" ca="1" si="12"/>
        <v>96956.299124129204</v>
      </c>
      <c r="DE12" s="955">
        <f t="shared" ca="1" si="12"/>
        <v>99303.350109285748</v>
      </c>
      <c r="DF12" s="955">
        <f t="shared" ca="1" si="12"/>
        <v>101709.09122450698</v>
      </c>
      <c r="DG12" s="955">
        <f t="shared" ca="1" si="12"/>
        <v>104174.98861460964</v>
      </c>
      <c r="DH12" s="955">
        <f t="shared" ca="1" si="12"/>
        <v>106702.54516670544</v>
      </c>
      <c r="DI12" s="955">
        <f t="shared" ca="1" si="12"/>
        <v>109293.30142166538</v>
      </c>
      <c r="DJ12" s="955">
        <f t="shared" ca="1" si="12"/>
        <v>111948.83650893607</v>
      </c>
      <c r="DK12" s="955">
        <f t="shared" ca="1" si="12"/>
        <v>114670.76910524996</v>
      </c>
      <c r="DL12" s="955">
        <f t="shared" ca="1" si="12"/>
        <v>117460.7584177847</v>
      </c>
      <c r="DM12" s="955">
        <f t="shared" ca="1" si="12"/>
        <v>120320.50519234026</v>
      </c>
      <c r="DN12" s="955">
        <f t="shared" ca="1" si="12"/>
        <v>123251.75274713105</v>
      </c>
      <c r="DO12" s="955">
        <f t="shared" ca="1" si="12"/>
        <v>126256.28803279286</v>
      </c>
      <c r="DP12" s="955">
        <f t="shared" ca="1" si="12"/>
        <v>129335.94271923736</v>
      </c>
      <c r="DQ12" s="955">
        <f t="shared" ca="1" si="12"/>
        <v>132492.5943099935</v>
      </c>
      <c r="DR12" s="955">
        <f t="shared" ca="1" si="12"/>
        <v>135728.16728469657</v>
      </c>
      <c r="DS12" s="955">
        <f t="shared" ca="1" si="12"/>
        <v>139044.63427041023</v>
      </c>
      <c r="DT12" s="955">
        <f t="shared" ca="1" si="12"/>
        <v>142444.01724247949</v>
      </c>
      <c r="DU12" s="956">
        <f t="shared" ca="1" si="12"/>
        <v>145928.38875562573</v>
      </c>
    </row>
    <row r="13" spans="2:125" x14ac:dyDescent="0.2">
      <c r="B13" s="975" t="s">
        <v>1025</v>
      </c>
      <c r="C13" s="948"/>
      <c r="D13" s="948"/>
      <c r="E13" s="948"/>
      <c r="F13" s="948"/>
      <c r="G13" s="976"/>
      <c r="H13" s="944"/>
      <c r="I13" s="970"/>
      <c r="J13" s="947"/>
      <c r="K13" s="947"/>
      <c r="L13" s="947"/>
      <c r="M13" s="947"/>
      <c r="N13" s="947"/>
      <c r="O13" s="947"/>
      <c r="P13" s="947"/>
      <c r="Q13" s="989"/>
      <c r="R13" s="947"/>
      <c r="S13" s="947"/>
      <c r="T13" s="947"/>
      <c r="U13" s="947"/>
      <c r="V13" s="995"/>
      <c r="W13" s="971"/>
      <c r="X13" s="944"/>
      <c r="Y13" s="944" t="s">
        <v>1026</v>
      </c>
      <c r="Z13" s="987">
        <f t="shared" ref="Z13:CK13" si="13">Z12/Z8*100</f>
        <v>-200.48432071501324</v>
      </c>
      <c r="AA13" s="987">
        <f t="shared" si="13"/>
        <v>106.11402713914302</v>
      </c>
      <c r="AB13" s="987">
        <f t="shared" si="13"/>
        <v>126.17544506245531</v>
      </c>
      <c r="AC13" s="987">
        <f t="shared" si="13"/>
        <v>88.481275411890465</v>
      </c>
      <c r="AD13" s="987">
        <f t="shared" si="13"/>
        <v>74.76622329266776</v>
      </c>
      <c r="AE13" s="987">
        <f t="shared" ref="AE13" si="14">AE12/AE8*100</f>
        <v>74.397384705952334</v>
      </c>
      <c r="AF13" s="987">
        <f t="shared" ca="1" si="13"/>
        <v>51.254583974483815</v>
      </c>
      <c r="AG13" s="987">
        <f t="shared" ca="1" si="13"/>
        <v>80.384970582601028</v>
      </c>
      <c r="AH13" s="987">
        <f t="shared" ca="1" si="13"/>
        <v>80.693595895478737</v>
      </c>
      <c r="AI13" s="987">
        <f t="shared" ca="1" si="13"/>
        <v>81.026412344322992</v>
      </c>
      <c r="AJ13" s="987">
        <f t="shared" ca="1" si="13"/>
        <v>80.90667534301636</v>
      </c>
      <c r="AK13" s="987">
        <f t="shared" ca="1" si="13"/>
        <v>80.793138040131964</v>
      </c>
      <c r="AL13" s="987">
        <f t="shared" ca="1" si="13"/>
        <v>80.685367556575187</v>
      </c>
      <c r="AM13" s="987">
        <f t="shared" ca="1" si="13"/>
        <v>80.582960039266709</v>
      </c>
      <c r="AN13" s="987">
        <f t="shared" ca="1" si="13"/>
        <v>80.485539681478315</v>
      </c>
      <c r="AO13" s="987">
        <f t="shared" ca="1" si="13"/>
        <v>80.39275756010143</v>
      </c>
      <c r="AP13" s="987">
        <f t="shared" ca="1" si="13"/>
        <v>80.304290346636108</v>
      </c>
      <c r="AQ13" s="987">
        <f t="shared" ca="1" si="13"/>
        <v>80.219838938620612</v>
      </c>
      <c r="AR13" s="987">
        <f t="shared" ca="1" si="13"/>
        <v>80.139127049389742</v>
      </c>
      <c r="AS13" s="987">
        <f t="shared" ca="1" si="13"/>
        <v>80.061899786438772</v>
      </c>
      <c r="AT13" s="987">
        <f t="shared" ca="1" si="13"/>
        <v>79.987922242164146</v>
      </c>
      <c r="AU13" s="987">
        <f t="shared" ca="1" si="13"/>
        <v>79.916978115260846</v>
      </c>
      <c r="AV13" s="987">
        <f t="shared" ca="1" si="13"/>
        <v>79.848868376472552</v>
      </c>
      <c r="AW13" s="987">
        <f t="shared" ca="1" si="13"/>
        <v>79.78340998859413</v>
      </c>
      <c r="AX13" s="987">
        <f t="shared" ca="1" si="13"/>
        <v>79.720434687530414</v>
      </c>
      <c r="AY13" s="987">
        <f t="shared" ca="1" si="13"/>
        <v>79.659787828702633</v>
      </c>
      <c r="AZ13" s="987">
        <f t="shared" ca="1" si="13"/>
        <v>79.601327301089626</v>
      </c>
      <c r="BA13" s="987">
        <f t="shared" ca="1" si="13"/>
        <v>79.544922509612519</v>
      </c>
      <c r="BB13" s="987">
        <f t="shared" ca="1" si="13"/>
        <v>79.490453425346644</v>
      </c>
      <c r="BC13" s="987">
        <f t="shared" ca="1" si="13"/>
        <v>79.43780970210949</v>
      </c>
      <c r="BD13" s="987">
        <f t="shared" ca="1" si="13"/>
        <v>79.386889857289091</v>
      </c>
      <c r="BE13" s="987">
        <f t="shared" ca="1" si="13"/>
        <v>79.337600514277412</v>
      </c>
      <c r="BF13" s="987">
        <f t="shared" ca="1" si="13"/>
        <v>79.289855703543338</v>
      </c>
      <c r="BG13" s="987">
        <f t="shared" ca="1" si="13"/>
        <v>79.243576219167238</v>
      </c>
      <c r="BH13" s="987">
        <f t="shared" ca="1" si="13"/>
        <v>79.198689027553812</v>
      </c>
      <c r="BI13" s="987">
        <f t="shared" ca="1" si="13"/>
        <v>79.1551267250085</v>
      </c>
      <c r="BJ13" s="987">
        <f t="shared" ca="1" si="13"/>
        <v>79.112827040886231</v>
      </c>
      <c r="BK13" s="987">
        <f t="shared" ca="1" si="13"/>
        <v>79.071732383111808</v>
      </c>
      <c r="BL13" s="987">
        <f t="shared" ca="1" si="13"/>
        <v>79.031789422953821</v>
      </c>
      <c r="BM13" s="987">
        <f t="shared" ca="1" si="13"/>
        <v>78.992948716089785</v>
      </c>
      <c r="BN13" s="987">
        <f t="shared" ca="1" si="13"/>
        <v>78.955164357131352</v>
      </c>
      <c r="BO13" s="987">
        <f t="shared" ca="1" si="13"/>
        <v>78.918393664932069</v>
      </c>
      <c r="BP13" s="987">
        <f t="shared" ca="1" si="13"/>
        <v>78.882596896180274</v>
      </c>
      <c r="BQ13" s="987">
        <f t="shared" ca="1" si="13"/>
        <v>78.847736984909915</v>
      </c>
      <c r="BR13" s="987">
        <f t="shared" ca="1" si="13"/>
        <v>78.813779305754323</v>
      </c>
      <c r="BS13" s="987">
        <f t="shared" ca="1" si="13"/>
        <v>78.780691458896143</v>
      </c>
      <c r="BT13" s="987">
        <f t="shared" ca="1" si="13"/>
        <v>78.748443074837269</v>
      </c>
      <c r="BU13" s="987">
        <f t="shared" ca="1" si="13"/>
        <v>78.717005637239481</v>
      </c>
      <c r="BV13" s="987">
        <f t="shared" ca="1" si="13"/>
        <v>78.686352322235976</v>
      </c>
      <c r="BW13" s="987">
        <f t="shared" ca="1" si="13"/>
        <v>78.656457852736168</v>
      </c>
      <c r="BX13" s="987">
        <f t="shared" ca="1" si="13"/>
        <v>78.627298366362297</v>
      </c>
      <c r="BY13" s="987">
        <f t="shared" ca="1" si="13"/>
        <v>78.598851295783618</v>
      </c>
      <c r="BZ13" s="987">
        <f t="shared" ca="1" si="13"/>
        <v>78.571095260301277</v>
      </c>
      <c r="CA13" s="987">
        <f t="shared" ca="1" si="13"/>
        <v>78.544009967648236</v>
      </c>
      <c r="CB13" s="987">
        <f t="shared" ca="1" si="13"/>
        <v>78.51757612505385</v>
      </c>
      <c r="CC13" s="987">
        <f t="shared" ca="1" si="13"/>
        <v>78.491775358704587</v>
      </c>
      <c r="CD13" s="987">
        <f t="shared" ca="1" si="13"/>
        <v>78.466590140811917</v>
      </c>
      <c r="CE13" s="987">
        <f t="shared" ca="1" si="13"/>
        <v>78.442003723569627</v>
      </c>
      <c r="CF13" s="987">
        <f t="shared" ca="1" si="13"/>
        <v>78.418000079344623</v>
      </c>
      <c r="CG13" s="987">
        <f t="shared" ca="1" si="13"/>
        <v>78.394563846508021</v>
      </c>
      <c r="CH13" s="987">
        <f t="shared" ca="1" si="13"/>
        <v>78.371680280366647</v>
      </c>
      <c r="CI13" s="987">
        <f t="shared" ca="1" si="13"/>
        <v>78.349335208704233</v>
      </c>
      <c r="CJ13" s="987">
        <f t="shared" ca="1" si="13"/>
        <v>78.327514991488798</v>
      </c>
      <c r="CK13" s="987">
        <f t="shared" ca="1" si="13"/>
        <v>78.306206484341772</v>
      </c>
      <c r="CL13" s="987">
        <f t="shared" ref="CL13:DQ13" ca="1" si="15">CL12/CL8*100</f>
        <v>78.285397005405713</v>
      </c>
      <c r="CM13" s="987">
        <f t="shared" ca="1" si="15"/>
        <v>78.265074305278546</v>
      </c>
      <c r="CN13" s="987">
        <f t="shared" ca="1" si="15"/>
        <v>78.245226539715489</v>
      </c>
      <c r="CO13" s="987">
        <f t="shared" ca="1" si="15"/>
        <v>78.225842244828186</v>
      </c>
      <c r="CP13" s="987">
        <f t="shared" ca="1" si="15"/>
        <v>78.206910314537453</v>
      </c>
      <c r="CQ13" s="987">
        <f t="shared" ca="1" si="15"/>
        <v>78.188419980053723</v>
      </c>
      <c r="CR13" s="987">
        <f t="shared" ca="1" si="15"/>
        <v>78.170360791192891</v>
      </c>
      <c r="CS13" s="987">
        <f t="shared" ca="1" si="15"/>
        <v>78.152722599340336</v>
      </c>
      <c r="CT13" s="987">
        <f t="shared" ca="1" si="15"/>
        <v>78.135495541902429</v>
      </c>
      <c r="CU13" s="987">
        <f t="shared" ca="1" si="15"/>
        <v>78.118670028101235</v>
      </c>
      <c r="CV13" s="987">
        <f t="shared" ca="1" si="15"/>
        <v>78.10223672597445</v>
      </c>
      <c r="CW13" s="987">
        <f t="shared" ca="1" si="15"/>
        <v>78.086186550465982</v>
      </c>
      <c r="CX13" s="987">
        <f t="shared" ca="1" si="15"/>
        <v>78.070510652495912</v>
      </c>
      <c r="CY13" s="987">
        <f t="shared" ca="1" si="15"/>
        <v>78.055200408914885</v>
      </c>
      <c r="CZ13" s="987">
        <f t="shared" ca="1" si="15"/>
        <v>78.040247413254022</v>
      </c>
      <c r="DA13" s="987">
        <f t="shared" ca="1" si="15"/>
        <v>78.025643467192708</v>
      </c>
      <c r="DB13" s="987">
        <f t="shared" ca="1" si="15"/>
        <v>78.011380572672707</v>
      </c>
      <c r="DC13" s="987">
        <f t="shared" ca="1" si="15"/>
        <v>77.997450924593622</v>
      </c>
      <c r="DD13" s="987">
        <f t="shared" ca="1" si="15"/>
        <v>77.983846904036724</v>
      </c>
      <c r="DE13" s="987">
        <f t="shared" ca="1" si="15"/>
        <v>77.970561071958855</v>
      </c>
      <c r="DF13" s="987">
        <f t="shared" ca="1" si="15"/>
        <v>77.957586163316066</v>
      </c>
      <c r="DG13" s="987">
        <f t="shared" ca="1" si="15"/>
        <v>77.944915081571793</v>
      </c>
      <c r="DH13" s="987">
        <f t="shared" ca="1" si="15"/>
        <v>77.932540893553693</v>
      </c>
      <c r="DI13" s="987">
        <f t="shared" ca="1" si="15"/>
        <v>77.920456824625376</v>
      </c>
      <c r="DJ13" s="987">
        <f t="shared" ca="1" si="15"/>
        <v>77.908656254141604</v>
      </c>
      <c r="DK13" s="987">
        <f t="shared" ca="1" si="15"/>
        <v>77.897132711161376</v>
      </c>
      <c r="DL13" s="987">
        <f t="shared" ca="1" si="15"/>
        <v>77.885879870395129</v>
      </c>
      <c r="DM13" s="987">
        <f t="shared" ca="1" si="15"/>
        <v>77.874891548361063</v>
      </c>
      <c r="DN13" s="987">
        <f t="shared" ca="1" si="15"/>
        <v>77.864161699735746</v>
      </c>
      <c r="DO13" s="987">
        <f t="shared" ca="1" si="15"/>
        <v>77.853684413876749</v>
      </c>
      <c r="DP13" s="987">
        <f t="shared" ca="1" si="15"/>
        <v>77.843453911505705</v>
      </c>
      <c r="DQ13" s="987">
        <f t="shared" ca="1" si="15"/>
        <v>77.833464541535463</v>
      </c>
      <c r="DR13" s="987">
        <f ca="1">DR12/DR8*100</f>
        <v>77.823710778027916</v>
      </c>
      <c r="DS13" s="987">
        <f ca="1">DS12/DS8*100</f>
        <v>77.814187217274295</v>
      </c>
      <c r="DT13" s="987">
        <f ca="1">DT12/DT8*100</f>
        <v>77.804888574986975</v>
      </c>
      <c r="DU13" s="988">
        <f ca="1">DU12/DU8*100</f>
        <v>77.795809683589439</v>
      </c>
    </row>
    <row r="14" spans="2:125" x14ac:dyDescent="0.2">
      <c r="B14" s="980" t="s">
        <v>1027</v>
      </c>
      <c r="C14" s="947"/>
      <c r="D14" s="947"/>
      <c r="E14" s="947"/>
      <c r="F14" s="944"/>
      <c r="G14" s="996">
        <v>5</v>
      </c>
      <c r="H14" s="944"/>
      <c r="I14" s="970"/>
      <c r="J14" s="947"/>
      <c r="K14" s="947"/>
      <c r="L14" s="947"/>
      <c r="M14" s="947"/>
      <c r="N14" s="947"/>
      <c r="O14" s="947"/>
      <c r="P14" s="947"/>
      <c r="Q14" s="989" t="s">
        <v>1028</v>
      </c>
      <c r="R14" s="990"/>
      <c r="S14" s="947"/>
      <c r="T14" s="947"/>
      <c r="U14" s="947"/>
      <c r="V14" s="995">
        <f>G9/G11</f>
        <v>0.99074956089713784</v>
      </c>
      <c r="W14" s="971"/>
      <c r="X14" s="944"/>
      <c r="Y14" s="944"/>
      <c r="Z14" s="993"/>
      <c r="AA14" s="997"/>
      <c r="AB14" s="997"/>
      <c r="AC14" s="997"/>
      <c r="AD14" s="997"/>
      <c r="AE14" s="997"/>
      <c r="AF14" s="947"/>
      <c r="AG14" s="947"/>
      <c r="AH14" s="947"/>
      <c r="AI14" s="947"/>
      <c r="AJ14" s="947"/>
      <c r="AK14" s="947"/>
      <c r="AL14" s="947"/>
      <c r="AM14" s="947"/>
      <c r="AN14" s="947"/>
      <c r="AO14" s="947"/>
      <c r="AP14" s="947"/>
      <c r="AQ14" s="947"/>
      <c r="AR14" s="947"/>
      <c r="AS14" s="947"/>
      <c r="AT14" s="947"/>
      <c r="AU14" s="947"/>
      <c r="AV14" s="947"/>
      <c r="AW14" s="947"/>
      <c r="AX14" s="947"/>
      <c r="AY14" s="947"/>
      <c r="AZ14" s="947"/>
      <c r="BA14" s="947"/>
      <c r="BB14" s="947"/>
      <c r="BC14" s="947"/>
      <c r="BD14" s="947"/>
      <c r="BE14" s="947"/>
      <c r="BF14" s="947"/>
      <c r="BG14" s="947"/>
      <c r="BH14" s="947"/>
      <c r="BI14" s="947"/>
      <c r="BJ14" s="947"/>
      <c r="BK14" s="947"/>
      <c r="BL14" s="947"/>
      <c r="BM14" s="947"/>
      <c r="BN14" s="947"/>
      <c r="BO14" s="947"/>
      <c r="BP14" s="947"/>
      <c r="BQ14" s="947"/>
      <c r="BR14" s="947"/>
      <c r="BS14" s="947"/>
      <c r="BT14" s="947"/>
      <c r="BU14" s="947"/>
      <c r="BV14" s="947"/>
      <c r="BW14" s="947"/>
      <c r="BX14" s="947"/>
      <c r="BY14" s="947"/>
      <c r="BZ14" s="947"/>
      <c r="CA14" s="947"/>
      <c r="CB14" s="947"/>
      <c r="CC14" s="947"/>
      <c r="CD14" s="947"/>
      <c r="CE14" s="947"/>
      <c r="CF14" s="947"/>
      <c r="CG14" s="947"/>
      <c r="CH14" s="947"/>
      <c r="CI14" s="947"/>
      <c r="CJ14" s="947"/>
      <c r="CK14" s="947"/>
      <c r="CL14" s="947"/>
      <c r="CM14" s="947"/>
      <c r="CN14" s="947"/>
      <c r="CO14" s="947"/>
      <c r="CP14" s="947"/>
      <c r="CQ14" s="947"/>
      <c r="CR14" s="947"/>
      <c r="CS14" s="947"/>
      <c r="CT14" s="947"/>
      <c r="CU14" s="947"/>
      <c r="CV14" s="947"/>
      <c r="CW14" s="947"/>
      <c r="CX14" s="947"/>
      <c r="CY14" s="947"/>
      <c r="CZ14" s="947"/>
      <c r="DA14" s="947"/>
      <c r="DB14" s="947"/>
      <c r="DC14" s="947"/>
      <c r="DD14" s="947"/>
      <c r="DE14" s="947"/>
      <c r="DF14" s="947"/>
      <c r="DG14" s="947"/>
      <c r="DH14" s="947"/>
      <c r="DI14" s="947"/>
      <c r="DJ14" s="947"/>
      <c r="DK14" s="947"/>
      <c r="DL14" s="947"/>
      <c r="DM14" s="947"/>
      <c r="DN14" s="947"/>
      <c r="DO14" s="947"/>
      <c r="DP14" s="947"/>
      <c r="DQ14" s="947"/>
      <c r="DR14" s="947"/>
      <c r="DS14" s="947"/>
      <c r="DT14" s="947"/>
      <c r="DU14" s="971"/>
    </row>
    <row r="15" spans="2:125" x14ac:dyDescent="0.2">
      <c r="B15" s="980" t="s">
        <v>1029</v>
      </c>
      <c r="C15" s="947"/>
      <c r="D15" s="947"/>
      <c r="E15" s="947"/>
      <c r="F15" s="947"/>
      <c r="G15" s="996">
        <v>1.35</v>
      </c>
      <c r="H15" s="944"/>
      <c r="I15" s="970"/>
      <c r="J15" s="947"/>
      <c r="K15" s="947"/>
      <c r="L15" s="947"/>
      <c r="M15" s="947"/>
      <c r="N15" s="947"/>
      <c r="O15" s="947"/>
      <c r="P15" s="947"/>
      <c r="Q15" s="989" t="s">
        <v>1030</v>
      </c>
      <c r="R15" s="990"/>
      <c r="S15" s="990"/>
      <c r="T15" s="990"/>
      <c r="U15" s="944"/>
      <c r="V15" s="995">
        <f ca="1">G9/((AA47+AA48)/G10)</f>
        <v>0.72870284583402511</v>
      </c>
      <c r="W15" s="971"/>
      <c r="X15" s="944"/>
      <c r="Y15" s="992" t="s">
        <v>1031</v>
      </c>
      <c r="Z15" s="993"/>
      <c r="AA15" s="997"/>
      <c r="AB15" s="997"/>
      <c r="AC15" s="997"/>
      <c r="AD15" s="997"/>
      <c r="AE15" s="997"/>
      <c r="AF15" s="997"/>
      <c r="AG15" s="997"/>
      <c r="AH15" s="997"/>
      <c r="AI15" s="997"/>
      <c r="AJ15" s="997"/>
      <c r="AK15" s="997"/>
      <c r="AL15" s="997"/>
      <c r="AM15" s="997"/>
      <c r="AN15" s="997"/>
      <c r="AO15" s="997"/>
      <c r="AP15" s="997"/>
      <c r="AQ15" s="997"/>
      <c r="AR15" s="997"/>
      <c r="AS15" s="997"/>
      <c r="AT15" s="997"/>
      <c r="AU15" s="997"/>
      <c r="AV15" s="947"/>
      <c r="AW15" s="947"/>
      <c r="AX15" s="947"/>
      <c r="AY15" s="947"/>
      <c r="AZ15" s="947"/>
      <c r="BA15" s="947"/>
      <c r="BB15" s="947"/>
      <c r="BC15" s="947"/>
      <c r="BD15" s="947"/>
      <c r="BE15" s="947"/>
      <c r="BF15" s="947"/>
      <c r="BG15" s="947"/>
      <c r="BH15" s="947"/>
      <c r="BI15" s="947"/>
      <c r="BJ15" s="947"/>
      <c r="BK15" s="947"/>
      <c r="BL15" s="947"/>
      <c r="BM15" s="947"/>
      <c r="BN15" s="947"/>
      <c r="BO15" s="947"/>
      <c r="BP15" s="947"/>
      <c r="BQ15" s="947"/>
      <c r="BR15" s="947"/>
      <c r="BS15" s="947"/>
      <c r="BT15" s="947"/>
      <c r="BU15" s="947"/>
      <c r="BV15" s="947"/>
      <c r="BW15" s="947"/>
      <c r="BX15" s="947"/>
      <c r="BY15" s="947"/>
      <c r="BZ15" s="947"/>
      <c r="CA15" s="947"/>
      <c r="CB15" s="947"/>
      <c r="CC15" s="947"/>
      <c r="CD15" s="947"/>
      <c r="CE15" s="947"/>
      <c r="CF15" s="947"/>
      <c r="CG15" s="947"/>
      <c r="CH15" s="947"/>
      <c r="CI15" s="947"/>
      <c r="CJ15" s="947"/>
      <c r="CK15" s="947"/>
      <c r="CL15" s="947"/>
      <c r="CM15" s="947"/>
      <c r="CN15" s="947"/>
      <c r="CO15" s="947"/>
      <c r="CP15" s="947"/>
      <c r="CQ15" s="947"/>
      <c r="CR15" s="947"/>
      <c r="CS15" s="947"/>
      <c r="CT15" s="947"/>
      <c r="CU15" s="947"/>
      <c r="CV15" s="947"/>
      <c r="CW15" s="947"/>
      <c r="CX15" s="947"/>
      <c r="CY15" s="947"/>
      <c r="CZ15" s="947"/>
      <c r="DA15" s="947"/>
      <c r="DB15" s="947"/>
      <c r="DC15" s="947"/>
      <c r="DD15" s="947"/>
      <c r="DE15" s="947"/>
      <c r="DF15" s="947"/>
      <c r="DG15" s="947"/>
      <c r="DH15" s="947"/>
      <c r="DI15" s="947"/>
      <c r="DJ15" s="947"/>
      <c r="DK15" s="947"/>
      <c r="DL15" s="947"/>
      <c r="DM15" s="947"/>
      <c r="DN15" s="947"/>
      <c r="DO15" s="947"/>
      <c r="DP15" s="947"/>
      <c r="DQ15" s="947"/>
      <c r="DR15" s="947"/>
      <c r="DS15" s="947"/>
      <c r="DT15" s="947"/>
      <c r="DU15" s="971"/>
    </row>
    <row r="16" spans="2:125" x14ac:dyDescent="0.2">
      <c r="B16" s="980" t="s">
        <v>1032</v>
      </c>
      <c r="C16" s="947"/>
      <c r="D16" s="947"/>
      <c r="E16" s="947"/>
      <c r="F16" s="944"/>
      <c r="G16" s="996">
        <v>4.5</v>
      </c>
      <c r="H16" s="944"/>
      <c r="I16" s="970"/>
      <c r="J16" s="947"/>
      <c r="K16" s="947"/>
      <c r="L16" s="947"/>
      <c r="M16" s="947"/>
      <c r="N16" s="947"/>
      <c r="O16" s="947"/>
      <c r="P16" s="947"/>
      <c r="Q16" s="989" t="str">
        <f ca="1">CONCATENATE(" ",YEAR(OFFSET(Y4,0,1)),"E Return on Economic Equity (%)")</f>
        <v xml:space="preserve"> 2017E Return on Economic Equity (%)</v>
      </c>
      <c r="R16" s="990"/>
      <c r="S16" s="990"/>
      <c r="T16" s="990"/>
      <c r="U16" s="990"/>
      <c r="V16" s="988">
        <f ca="1">OFFSET(Y40,0,1)</f>
        <v>-3.9729534116686991</v>
      </c>
      <c r="W16" s="971"/>
      <c r="X16" s="944"/>
      <c r="Y16" s="944" t="s">
        <v>1033</v>
      </c>
      <c r="Z16" s="1060">
        <f>Model!AZ1291</f>
        <v>205867</v>
      </c>
      <c r="AA16" s="955">
        <f t="shared" ref="AA16:CL16" si="16">Z19</f>
        <v>181290.38740871908</v>
      </c>
      <c r="AB16" s="955">
        <f t="shared" si="16"/>
        <v>180273.23135400782</v>
      </c>
      <c r="AC16" s="955">
        <f t="shared" si="16"/>
        <v>175499.35055333353</v>
      </c>
      <c r="AD16" s="955">
        <f t="shared" si="16"/>
        <v>177771.76057450898</v>
      </c>
      <c r="AE16" s="955">
        <f t="shared" si="16"/>
        <v>183042.67867915612</v>
      </c>
      <c r="AF16" s="955">
        <f t="shared" si="16"/>
        <v>188532.34149590641</v>
      </c>
      <c r="AG16" s="955">
        <f t="shared" si="16"/>
        <v>199219.32564808097</v>
      </c>
      <c r="AH16" s="955">
        <f t="shared" si="16"/>
        <v>203712.53931868673</v>
      </c>
      <c r="AI16" s="955">
        <f t="shared" si="16"/>
        <v>208218.20485923215</v>
      </c>
      <c r="AJ16" s="955">
        <f t="shared" si="16"/>
        <v>212731.25998071293</v>
      </c>
      <c r="AK16" s="955">
        <f t="shared" si="16"/>
        <v>217357.14148023073</v>
      </c>
      <c r="AL16" s="955">
        <f t="shared" si="16"/>
        <v>222098.67001723647</v>
      </c>
      <c r="AM16" s="955">
        <f t="shared" si="16"/>
        <v>226958.73676766735</v>
      </c>
      <c r="AN16" s="955">
        <f t="shared" si="16"/>
        <v>231940.30518685898</v>
      </c>
      <c r="AO16" s="955">
        <f t="shared" si="16"/>
        <v>237046.41281653047</v>
      </c>
      <c r="AP16" s="955">
        <f t="shared" si="16"/>
        <v>242280.17313694372</v>
      </c>
      <c r="AQ16" s="955">
        <f t="shared" si="16"/>
        <v>247644.77746536728</v>
      </c>
      <c r="AR16" s="955">
        <f t="shared" si="16"/>
        <v>253143.49690200144</v>
      </c>
      <c r="AS16" s="955">
        <f t="shared" si="16"/>
        <v>258779.68432455146</v>
      </c>
      <c r="AT16" s="955">
        <f t="shared" si="16"/>
        <v>264556.77643266524</v>
      </c>
      <c r="AU16" s="955">
        <f t="shared" si="16"/>
        <v>270478.29584348184</v>
      </c>
      <c r="AV16" s="955">
        <f t="shared" si="16"/>
        <v>276547.85323956888</v>
      </c>
      <c r="AW16" s="955">
        <f t="shared" si="16"/>
        <v>282769.1495705581</v>
      </c>
      <c r="AX16" s="955">
        <f t="shared" si="16"/>
        <v>289145.97830982204</v>
      </c>
      <c r="AY16" s="955">
        <f t="shared" si="16"/>
        <v>295682.22776756756</v>
      </c>
      <c r="AZ16" s="955">
        <f t="shared" si="16"/>
        <v>302381.88346175675</v>
      </c>
      <c r="BA16" s="955">
        <f t="shared" si="16"/>
        <v>309249.03054830065</v>
      </c>
      <c r="BB16" s="955">
        <f t="shared" si="16"/>
        <v>316287.85631200817</v>
      </c>
      <c r="BC16" s="955">
        <f t="shared" si="16"/>
        <v>323502.65271980833</v>
      </c>
      <c r="BD16" s="955">
        <f t="shared" si="16"/>
        <v>330897.81903780351</v>
      </c>
      <c r="BE16" s="955">
        <f t="shared" si="16"/>
        <v>338477.86451374856</v>
      </c>
      <c r="BF16" s="955">
        <f t="shared" si="16"/>
        <v>346247.41112659225</v>
      </c>
      <c r="BG16" s="955">
        <f t="shared" si="16"/>
        <v>354211.19640475704</v>
      </c>
      <c r="BH16" s="955">
        <f t="shared" si="16"/>
        <v>362374.07631487591</v>
      </c>
      <c r="BI16" s="955">
        <f t="shared" si="16"/>
        <v>370741.02822274785</v>
      </c>
      <c r="BJ16" s="955">
        <f t="shared" si="16"/>
        <v>379317.15392831643</v>
      </c>
      <c r="BK16" s="955">
        <f t="shared" si="16"/>
        <v>388107.68277652434</v>
      </c>
      <c r="BL16" s="955">
        <f t="shared" si="16"/>
        <v>397117.9748459374</v>
      </c>
      <c r="BM16" s="955">
        <f t="shared" si="16"/>
        <v>406353.52421708574</v>
      </c>
      <c r="BN16" s="955">
        <f t="shared" si="16"/>
        <v>415819.96232251293</v>
      </c>
      <c r="BO16" s="955">
        <f t="shared" si="16"/>
        <v>425523.06138057564</v>
      </c>
      <c r="BP16" s="955">
        <f t="shared" si="16"/>
        <v>435468.73791509005</v>
      </c>
      <c r="BQ16" s="955">
        <f t="shared" si="16"/>
        <v>445663.05636296724</v>
      </c>
      <c r="BR16" s="955">
        <f t="shared" si="16"/>
        <v>456112.2327720414</v>
      </c>
      <c r="BS16" s="955">
        <f t="shared" si="16"/>
        <v>466822.63859134237</v>
      </c>
      <c r="BT16" s="955">
        <f t="shared" si="16"/>
        <v>477800.80455612595</v>
      </c>
      <c r="BU16" s="955">
        <f t="shared" si="16"/>
        <v>489053.42467002908</v>
      </c>
      <c r="BV16" s="955">
        <f t="shared" si="16"/>
        <v>500587.3602867797</v>
      </c>
      <c r="BW16" s="955">
        <f t="shared" si="16"/>
        <v>512409.64429394918</v>
      </c>
      <c r="BX16" s="955">
        <f t="shared" si="16"/>
        <v>524527.4854012978</v>
      </c>
      <c r="BY16" s="955">
        <f t="shared" si="16"/>
        <v>536948.27253633016</v>
      </c>
      <c r="BZ16" s="955">
        <f t="shared" si="16"/>
        <v>549679.57934973843</v>
      </c>
      <c r="CA16" s="955">
        <f t="shared" si="16"/>
        <v>562729.16883348185</v>
      </c>
      <c r="CB16" s="955">
        <f t="shared" si="16"/>
        <v>576104.99805431883</v>
      </c>
      <c r="CC16" s="955">
        <f t="shared" si="16"/>
        <v>589815.22300567676</v>
      </c>
      <c r="CD16" s="955">
        <f t="shared" si="16"/>
        <v>603868.2035808186</v>
      </c>
      <c r="CE16" s="955">
        <f t="shared" si="16"/>
        <v>618272.50867033901</v>
      </c>
      <c r="CF16" s="955">
        <f t="shared" si="16"/>
        <v>633036.92138709745</v>
      </c>
      <c r="CG16" s="955">
        <f t="shared" si="16"/>
        <v>648170.44442177482</v>
      </c>
      <c r="CH16" s="955">
        <f t="shared" si="16"/>
        <v>663682.30553231912</v>
      </c>
      <c r="CI16" s="955">
        <f t="shared" si="16"/>
        <v>679581.96317062702</v>
      </c>
      <c r="CJ16" s="955">
        <f t="shared" si="16"/>
        <v>695879.11224989267</v>
      </c>
      <c r="CK16" s="955">
        <f t="shared" si="16"/>
        <v>712583.69005613995</v>
      </c>
      <c r="CL16" s="955">
        <f t="shared" si="16"/>
        <v>729705.88230754342</v>
      </c>
      <c r="CM16" s="955">
        <f t="shared" ref="CM16:DU16" si="17">CL19</f>
        <v>747256.12936523196</v>
      </c>
      <c r="CN16" s="955">
        <f t="shared" si="17"/>
        <v>765245.13259936264</v>
      </c>
      <c r="CO16" s="955">
        <f t="shared" si="17"/>
        <v>783683.86091434653</v>
      </c>
      <c r="CP16" s="955">
        <f t="shared" si="17"/>
        <v>802583.55743720522</v>
      </c>
      <c r="CQ16" s="955">
        <f t="shared" si="17"/>
        <v>821955.74637313525</v>
      </c>
      <c r="CR16" s="955">
        <f t="shared" si="17"/>
        <v>841812.24003246357</v>
      </c>
      <c r="CS16" s="955">
        <f t="shared" si="17"/>
        <v>862165.14603327517</v>
      </c>
      <c r="CT16" s="955">
        <f t="shared" si="17"/>
        <v>883026.87468410691</v>
      </c>
      <c r="CU16" s="955">
        <f t="shared" si="17"/>
        <v>904410.1465512095</v>
      </c>
      <c r="CV16" s="955">
        <f t="shared" si="17"/>
        <v>926328.00021498965</v>
      </c>
      <c r="CW16" s="955">
        <f t="shared" si="17"/>
        <v>948793.80022036436</v>
      </c>
      <c r="CX16" s="955">
        <f t="shared" si="17"/>
        <v>971821.24522587343</v>
      </c>
      <c r="CY16" s="955">
        <f t="shared" si="17"/>
        <v>995424.37635652022</v>
      </c>
      <c r="CZ16" s="955">
        <f t="shared" si="17"/>
        <v>1019617.5857654331</v>
      </c>
      <c r="DA16" s="955">
        <f t="shared" si="17"/>
        <v>1044415.6254095689</v>
      </c>
      <c r="DB16" s="955">
        <f t="shared" si="17"/>
        <v>1069833.6160448082</v>
      </c>
      <c r="DC16" s="955">
        <f t="shared" si="17"/>
        <v>1095887.0564459281</v>
      </c>
      <c r="DD16" s="955">
        <f t="shared" si="17"/>
        <v>1122591.8328570761</v>
      </c>
      <c r="DE16" s="955">
        <f t="shared" si="17"/>
        <v>1149964.2286785028</v>
      </c>
      <c r="DF16" s="955">
        <f t="shared" si="17"/>
        <v>1178020.9343954653</v>
      </c>
      <c r="DG16" s="955">
        <f t="shared" si="17"/>
        <v>1206779.0577553518</v>
      </c>
      <c r="DH16" s="955">
        <f t="shared" si="17"/>
        <v>1236256.1341992354</v>
      </c>
      <c r="DI16" s="955">
        <f t="shared" si="17"/>
        <v>1266470.1375542162</v>
      </c>
      <c r="DJ16" s="955">
        <f t="shared" si="17"/>
        <v>1297439.4909930716</v>
      </c>
      <c r="DK16" s="955">
        <f t="shared" si="17"/>
        <v>1329183.0782678982</v>
      </c>
      <c r="DL16" s="955">
        <f t="shared" si="17"/>
        <v>1361720.2552245955</v>
      </c>
      <c r="DM16" s="955">
        <f t="shared" si="17"/>
        <v>1395070.8616052102</v>
      </c>
      <c r="DN16" s="955">
        <f t="shared" si="17"/>
        <v>1429255.2331453403</v>
      </c>
      <c r="DO16" s="955">
        <f t="shared" si="17"/>
        <v>1464294.2139739736</v>
      </c>
      <c r="DP16" s="955">
        <f t="shared" si="17"/>
        <v>1500209.1693233228</v>
      </c>
      <c r="DQ16" s="955">
        <f t="shared" si="17"/>
        <v>1537021.998556406</v>
      </c>
      <c r="DR16" s="955">
        <f t="shared" si="17"/>
        <v>1574755.148520316</v>
      </c>
      <c r="DS16" s="955">
        <f t="shared" si="17"/>
        <v>1613431.6272333234</v>
      </c>
      <c r="DT16" s="955">
        <f t="shared" si="17"/>
        <v>1653075.0179141564</v>
      </c>
      <c r="DU16" s="956">
        <f t="shared" si="17"/>
        <v>1693709.4933620102</v>
      </c>
    </row>
    <row r="17" spans="2:125" x14ac:dyDescent="0.2">
      <c r="B17" s="980" t="s">
        <v>1034</v>
      </c>
      <c r="C17" s="947"/>
      <c r="D17" s="947"/>
      <c r="E17" s="947"/>
      <c r="F17" s="944"/>
      <c r="G17" s="998">
        <f>G14+G15*G16</f>
        <v>11.074999999999999</v>
      </c>
      <c r="H17" s="944"/>
      <c r="I17" s="970"/>
      <c r="J17" s="947"/>
      <c r="K17" s="947"/>
      <c r="L17" s="947"/>
      <c r="M17" s="947"/>
      <c r="N17" s="947"/>
      <c r="O17" s="947"/>
      <c r="P17" s="947"/>
      <c r="Q17" s="989" t="s">
        <v>1035</v>
      </c>
      <c r="R17" s="990"/>
      <c r="S17" s="990"/>
      <c r="T17" s="990"/>
      <c r="U17" s="944"/>
      <c r="V17" s="995">
        <f>cost_of_capital</f>
        <v>11.074999999999999</v>
      </c>
      <c r="W17" s="971"/>
      <c r="X17" s="944"/>
      <c r="Y17" s="944" t="s">
        <v>1036</v>
      </c>
      <c r="Z17" s="955">
        <f t="shared" ref="Z17:CK17" si="18">Z6</f>
        <v>-8179</v>
      </c>
      <c r="AA17" s="955">
        <f t="shared" si="18"/>
        <v>16636.43342698404</v>
      </c>
      <c r="AB17" s="955">
        <f t="shared" si="18"/>
        <v>18238.011958473595</v>
      </c>
      <c r="AC17" s="955">
        <f t="shared" si="18"/>
        <v>19727.965572865374</v>
      </c>
      <c r="AD17" s="955">
        <f t="shared" si="18"/>
        <v>20888.344086501922</v>
      </c>
      <c r="AE17" s="955">
        <f t="shared" ref="AE17" si="19">AE6</f>
        <v>21441.804884779107</v>
      </c>
      <c r="AF17" s="955">
        <f t="shared" ca="1" si="18"/>
        <v>21924.080300351452</v>
      </c>
      <c r="AG17" s="955">
        <f t="shared" ca="1" si="18"/>
        <v>22906.994300096158</v>
      </c>
      <c r="AH17" s="955">
        <f t="shared" ca="1" si="18"/>
        <v>23337.673427700949</v>
      </c>
      <c r="AI17" s="955">
        <f t="shared" ca="1" si="18"/>
        <v>23785.987148985219</v>
      </c>
      <c r="AJ17" s="955">
        <f t="shared" ca="1" si="18"/>
        <v>24227.742326823194</v>
      </c>
      <c r="AK17" s="955">
        <f t="shared" ca="1" si="18"/>
        <v>24686.638280178053</v>
      </c>
      <c r="AL17" s="955">
        <f t="shared" ca="1" si="18"/>
        <v>25162.615776752042</v>
      </c>
      <c r="AM17" s="955">
        <f t="shared" ca="1" si="18"/>
        <v>25655.653123574812</v>
      </c>
      <c r="AN17" s="955">
        <f t="shared" ca="1" si="18"/>
        <v>26165.76398387583</v>
      </c>
      <c r="AO17" s="955">
        <f t="shared" ca="1" si="18"/>
        <v>26692.995389107451</v>
      </c>
      <c r="AP17" s="955">
        <f t="shared" ca="1" si="18"/>
        <v>27237.425931019079</v>
      </c>
      <c r="AQ17" s="955">
        <f t="shared" ca="1" si="18"/>
        <v>27799.164119903784</v>
      </c>
      <c r="AR17" s="955">
        <f t="shared" ca="1" si="18"/>
        <v>28378.346896261872</v>
      </c>
      <c r="AS17" s="955">
        <f t="shared" ca="1" si="18"/>
        <v>28975.138284160068</v>
      </c>
      <c r="AT17" s="955">
        <f t="shared" ca="1" si="18"/>
        <v>29589.728175516389</v>
      </c>
      <c r="AU17" s="955">
        <f t="shared" ca="1" si="18"/>
        <v>30222.331235416434</v>
      </c>
      <c r="AV17" s="955">
        <f t="shared" ca="1" si="18"/>
        <v>30873.185919373002</v>
      </c>
      <c r="AW17" s="955">
        <f t="shared" ca="1" si="18"/>
        <v>31542.553594182806</v>
      </c>
      <c r="AX17" s="955">
        <f t="shared" ca="1" si="18"/>
        <v>32230.717754716799</v>
      </c>
      <c r="AY17" s="955">
        <f t="shared" ca="1" si="18"/>
        <v>32937.9833296098</v>
      </c>
      <c r="AZ17" s="955">
        <f t="shared" ca="1" si="18"/>
        <v>33664.676069393114</v>
      </c>
      <c r="BA17" s="955">
        <f t="shared" ca="1" si="18"/>
        <v>34411.142011147567</v>
      </c>
      <c r="BB17" s="955">
        <f t="shared" ca="1" si="18"/>
        <v>35177.747014244313</v>
      </c>
      <c r="BC17" s="955">
        <f t="shared" ca="1" si="18"/>
        <v>35964.876362193027</v>
      </c>
      <c r="BD17" s="955">
        <f t="shared" ca="1" si="18"/>
        <v>36772.934426033047</v>
      </c>
      <c r="BE17" s="955">
        <f t="shared" ca="1" si="18"/>
        <v>37602.34438508626</v>
      </c>
      <c r="BF17" s="955">
        <f t="shared" ca="1" si="18"/>
        <v>38453.548001243609</v>
      </c>
      <c r="BG17" s="955">
        <f t="shared" ca="1" si="18"/>
        <v>39327.005443282484</v>
      </c>
      <c r="BH17" s="955">
        <f t="shared" ca="1" si="18"/>
        <v>40223.195158011695</v>
      </c>
      <c r="BI17" s="955">
        <f t="shared" ca="1" si="18"/>
        <v>41142.613785317371</v>
      </c>
      <c r="BJ17" s="955">
        <f t="shared" ca="1" si="18"/>
        <v>42085.776114437256</v>
      </c>
      <c r="BK17" s="955">
        <f t="shared" ca="1" si="18"/>
        <v>43053.215079026173</v>
      </c>
      <c r="BL17" s="955">
        <f t="shared" ca="1" si="18"/>
        <v>44045.481788791585</v>
      </c>
      <c r="BM17" s="955">
        <f t="shared" ca="1" si="18"/>
        <v>45063.145595677939</v>
      </c>
      <c r="BN17" s="955">
        <f t="shared" ca="1" si="18"/>
        <v>46106.794192763155</v>
      </c>
      <c r="BO17" s="955">
        <f t="shared" ca="1" si="18"/>
        <v>47177.033744200002</v>
      </c>
      <c r="BP17" s="955">
        <f t="shared" ca="1" si="18"/>
        <v>48274.489044693371</v>
      </c>
      <c r="BQ17" s="955">
        <f t="shared" ca="1" si="18"/>
        <v>49399.803707148007</v>
      </c>
      <c r="BR17" s="955">
        <f t="shared" ca="1" si="18"/>
        <v>50553.640377257019</v>
      </c>
      <c r="BS17" s="955">
        <f t="shared" ca="1" si="18"/>
        <v>51736.680973924325</v>
      </c>
      <c r="BT17" s="955">
        <f t="shared" ca="1" si="18"/>
        <v>52949.626954529456</v>
      </c>
      <c r="BU17" s="955">
        <f t="shared" ca="1" si="18"/>
        <v>54193.199604149144</v>
      </c>
      <c r="BV17" s="955">
        <f t="shared" ca="1" si="18"/>
        <v>55468.1403479488</v>
      </c>
      <c r="BW17" s="955">
        <f t="shared" ca="1" si="18"/>
        <v>56775.211086047784</v>
      </c>
      <c r="BX17" s="955">
        <f t="shared" ca="1" si="18"/>
        <v>58115.194550247208</v>
      </c>
      <c r="BY17" s="955">
        <f t="shared" ca="1" si="18"/>
        <v>59488.894682087768</v>
      </c>
      <c r="BZ17" s="955">
        <f t="shared" ca="1" si="18"/>
        <v>60897.137031777595</v>
      </c>
      <c r="CA17" s="955">
        <f t="shared" ca="1" si="18"/>
        <v>62340.769177598653</v>
      </c>
      <c r="CB17" s="955">
        <f t="shared" ca="1" si="18"/>
        <v>63820.661165463105</v>
      </c>
      <c r="CC17" s="955">
        <f t="shared" ca="1" si="18"/>
        <v>65337.705968350208</v>
      </c>
      <c r="CD17" s="955">
        <f t="shared" ca="1" si="18"/>
        <v>66892.81996540945</v>
      </c>
      <c r="CE17" s="955">
        <f t="shared" ca="1" si="18"/>
        <v>68486.94344056712</v>
      </c>
      <c r="CF17" s="955">
        <f t="shared" ca="1" si="18"/>
        <v>70121.04110052195</v>
      </c>
      <c r="CG17" s="955">
        <f t="shared" ca="1" si="18"/>
        <v>71796.102612060407</v>
      </c>
      <c r="CH17" s="955">
        <f t="shared" ca="1" si="18"/>
        <v>73513.143158665276</v>
      </c>
      <c r="CI17" s="955">
        <f t="shared" ca="1" si="18"/>
        <v>75273.204016430987</v>
      </c>
      <c r="CJ17" s="955">
        <f t="shared" ca="1" si="18"/>
        <v>77077.353149336937</v>
      </c>
      <c r="CK17" s="955">
        <f t="shared" ca="1" si="18"/>
        <v>78926.685823965934</v>
      </c>
      <c r="CL17" s="955">
        <f t="shared" ref="CL17:DU17" ca="1" si="20">CL6</f>
        <v>80822.325243788975</v>
      </c>
      <c r="CM17" s="955">
        <f t="shared" ca="1" si="20"/>
        <v>82765.423203169703</v>
      </c>
      <c r="CN17" s="955">
        <f t="shared" ca="1" si="20"/>
        <v>84757.160761272055</v>
      </c>
      <c r="CO17" s="955">
        <f t="shared" ca="1" si="20"/>
        <v>86798.748936085103</v>
      </c>
      <c r="CP17" s="955">
        <f t="shared" ca="1" si="20"/>
        <v>88891.429418806001</v>
      </c>
      <c r="CQ17" s="955">
        <f t="shared" ca="1" si="20"/>
        <v>91036.475308849418</v>
      </c>
      <c r="CR17" s="955">
        <f t="shared" ca="1" si="20"/>
        <v>93235.191869778049</v>
      </c>
      <c r="CS17" s="955">
        <f t="shared" ca="1" si="20"/>
        <v>95488.917306473333</v>
      </c>
      <c r="CT17" s="955">
        <f t="shared" ca="1" si="20"/>
        <v>97799.023563889903</v>
      </c>
      <c r="CU17" s="955">
        <f t="shared" ca="1" si="20"/>
        <v>100166.91714776149</v>
      </c>
      <c r="CV17" s="955">
        <f t="shared" ca="1" si="20"/>
        <v>102594.03996764794</v>
      </c>
      <c r="CW17" s="955">
        <f t="shared" ca="1" si="20"/>
        <v>105081.87020273617</v>
      </c>
      <c r="CX17" s="955">
        <f t="shared" ca="1" si="20"/>
        <v>107631.92319082982</v>
      </c>
      <c r="CY17" s="955">
        <f t="shared" ca="1" si="20"/>
        <v>110245.75234098382</v>
      </c>
      <c r="CZ17" s="955">
        <f t="shared" ca="1" si="20"/>
        <v>112924.95007026097</v>
      </c>
      <c r="DA17" s="955">
        <f t="shared" ca="1" si="20"/>
        <v>115671.14876510989</v>
      </c>
      <c r="DB17" s="955">
        <f t="shared" ca="1" si="20"/>
        <v>118486.02176788262</v>
      </c>
      <c r="DC17" s="955">
        <f t="shared" ca="1" si="20"/>
        <v>121371.28438903303</v>
      </c>
      <c r="DD17" s="955">
        <f t="shared" ca="1" si="20"/>
        <v>124328.69494555597</v>
      </c>
      <c r="DE17" s="955">
        <f t="shared" ca="1" si="20"/>
        <v>127360.05582624821</v>
      </c>
      <c r="DF17" s="955">
        <f t="shared" ca="1" si="20"/>
        <v>130467.21458439344</v>
      </c>
      <c r="DG17" s="955">
        <f t="shared" ca="1" si="20"/>
        <v>133652.06505849323</v>
      </c>
      <c r="DH17" s="955">
        <f t="shared" ca="1" si="20"/>
        <v>136916.54852168629</v>
      </c>
      <c r="DI17" s="955">
        <f t="shared" ca="1" si="20"/>
        <v>140262.65486052076</v>
      </c>
      <c r="DJ17" s="955">
        <f t="shared" ca="1" si="20"/>
        <v>143692.42378376267</v>
      </c>
      <c r="DK17" s="955">
        <f t="shared" ca="1" si="20"/>
        <v>147207.94606194732</v>
      </c>
      <c r="DL17" s="955">
        <f t="shared" ca="1" si="20"/>
        <v>150811.36479839939</v>
      </c>
      <c r="DM17" s="955">
        <f t="shared" ca="1" si="20"/>
        <v>154504.87673247038</v>
      </c>
      <c r="DN17" s="955">
        <f t="shared" ca="1" si="20"/>
        <v>158290.73357576435</v>
      </c>
      <c r="DO17" s="955">
        <f t="shared" ca="1" si="20"/>
        <v>162171.24338214204</v>
      </c>
      <c r="DP17" s="955">
        <f t="shared" ca="1" si="20"/>
        <v>166148.77195232053</v>
      </c>
      <c r="DQ17" s="955">
        <f t="shared" ca="1" si="20"/>
        <v>170225.74427390349</v>
      </c>
      <c r="DR17" s="955">
        <f t="shared" ca="1" si="20"/>
        <v>174404.64599770398</v>
      </c>
      <c r="DS17" s="955">
        <f t="shared" ca="1" si="20"/>
        <v>178688.02495124325</v>
      </c>
      <c r="DT17" s="955">
        <f t="shared" ca="1" si="20"/>
        <v>183078.49269033328</v>
      </c>
      <c r="DU17" s="956">
        <f t="shared" ca="1" si="20"/>
        <v>187578.72608967582</v>
      </c>
    </row>
    <row r="18" spans="2:125" x14ac:dyDescent="0.2">
      <c r="B18" s="980"/>
      <c r="C18" s="947"/>
      <c r="D18" s="947"/>
      <c r="E18" s="947"/>
      <c r="F18" s="947"/>
      <c r="G18" s="999"/>
      <c r="H18" s="944"/>
      <c r="I18" s="970"/>
      <c r="J18" s="947"/>
      <c r="K18" s="947"/>
      <c r="L18" s="947"/>
      <c r="M18" s="947"/>
      <c r="N18" s="947"/>
      <c r="O18" s="947"/>
      <c r="P18" s="947"/>
      <c r="Q18" s="989"/>
      <c r="R18" s="947"/>
      <c r="S18" s="947"/>
      <c r="T18" s="947"/>
      <c r="U18" s="947"/>
      <c r="V18" s="995"/>
      <c r="W18" s="971"/>
      <c r="X18" s="944"/>
      <c r="Y18" s="944" t="s">
        <v>1037</v>
      </c>
      <c r="Z18" s="955">
        <f t="shared" ref="Z18:AE18" si="21">+Z12</f>
        <v>16397.612591280933</v>
      </c>
      <c r="AA18" s="955">
        <f t="shared" si="21"/>
        <v>17653.589481695304</v>
      </c>
      <c r="AB18" s="955">
        <f t="shared" si="21"/>
        <v>23011.892759147879</v>
      </c>
      <c r="AC18" s="955">
        <f t="shared" si="21"/>
        <v>17455.555551689948</v>
      </c>
      <c r="AD18" s="955">
        <f t="shared" si="21"/>
        <v>15617.425981854787</v>
      </c>
      <c r="AE18" s="955">
        <f t="shared" si="21"/>
        <v>15952.142068028794</v>
      </c>
      <c r="AF18" s="955">
        <f t="shared" ref="AF18:CP18" ca="1" si="22">AF12</f>
        <v>11237.096148176897</v>
      </c>
      <c r="AG18" s="955">
        <f t="shared" ca="1" si="22"/>
        <v>18413.780629490393</v>
      </c>
      <c r="AH18" s="955">
        <f t="shared" ca="1" si="22"/>
        <v>18832.007887155527</v>
      </c>
      <c r="AI18" s="955">
        <f t="shared" ca="1" si="22"/>
        <v>19272.932027504441</v>
      </c>
      <c r="AJ18" s="955">
        <f t="shared" ca="1" si="22"/>
        <v>19601.860827305398</v>
      </c>
      <c r="AK18" s="955">
        <f t="shared" ca="1" si="22"/>
        <v>19945.109743172314</v>
      </c>
      <c r="AL18" s="955">
        <f t="shared" ca="1" si="22"/>
        <v>20302.549026321161</v>
      </c>
      <c r="AM18" s="955">
        <f t="shared" ca="1" si="22"/>
        <v>20674.084704383175</v>
      </c>
      <c r="AN18" s="955">
        <f t="shared" ca="1" si="22"/>
        <v>21059.65635420434</v>
      </c>
      <c r="AO18" s="955">
        <f t="shared" ca="1" si="22"/>
        <v>21459.235068694205</v>
      </c>
      <c r="AP18" s="955">
        <f t="shared" ca="1" si="22"/>
        <v>21872.821602595515</v>
      </c>
      <c r="AQ18" s="955">
        <f t="shared" ca="1" si="22"/>
        <v>22300.444683269627</v>
      </c>
      <c r="AR18" s="955">
        <f t="shared" ca="1" si="22"/>
        <v>22742.15947371185</v>
      </c>
      <c r="AS18" s="955">
        <f t="shared" ca="1" si="22"/>
        <v>23198.046176046289</v>
      </c>
      <c r="AT18" s="955">
        <f t="shared" ca="1" si="22"/>
        <v>23668.208764699786</v>
      </c>
      <c r="AU18" s="955">
        <f t="shared" ca="1" si="22"/>
        <v>24152.773839329395</v>
      </c>
      <c r="AV18" s="955">
        <f t="shared" ca="1" si="22"/>
        <v>24651.889588383809</v>
      </c>
      <c r="AW18" s="955">
        <f t="shared" ca="1" si="22"/>
        <v>25165.724854918903</v>
      </c>
      <c r="AX18" s="955">
        <f t="shared" ca="1" si="22"/>
        <v>25694.468296971278</v>
      </c>
      <c r="AY18" s="955">
        <f t="shared" ca="1" si="22"/>
        <v>26238.32763542061</v>
      </c>
      <c r="AZ18" s="955">
        <f t="shared" ca="1" si="22"/>
        <v>26797.52898284921</v>
      </c>
      <c r="BA18" s="955">
        <f t="shared" ca="1" si="22"/>
        <v>27372.316247440052</v>
      </c>
      <c r="BB18" s="955">
        <f t="shared" ca="1" si="22"/>
        <v>27962.950606444145</v>
      </c>
      <c r="BC18" s="955">
        <f t="shared" ca="1" si="22"/>
        <v>28569.710044197855</v>
      </c>
      <c r="BD18" s="955">
        <f t="shared" ca="1" si="22"/>
        <v>29192.888950087996</v>
      </c>
      <c r="BE18" s="955">
        <f t="shared" ca="1" si="22"/>
        <v>29832.797772242564</v>
      </c>
      <c r="BF18" s="955">
        <f t="shared" ca="1" si="22"/>
        <v>30489.762723078828</v>
      </c>
      <c r="BG18" s="955">
        <f t="shared" ca="1" si="22"/>
        <v>31164.125533163606</v>
      </c>
      <c r="BH18" s="955">
        <f t="shared" ca="1" si="22"/>
        <v>31856.243250139763</v>
      </c>
      <c r="BI18" s="955">
        <f t="shared" ca="1" si="22"/>
        <v>32566.488079748786</v>
      </c>
      <c r="BJ18" s="955">
        <f t="shared" ca="1" si="22"/>
        <v>33295.247266229351</v>
      </c>
      <c r="BK18" s="955">
        <f t="shared" ca="1" si="22"/>
        <v>34042.923009613114</v>
      </c>
      <c r="BL18" s="955">
        <f t="shared" ca="1" si="22"/>
        <v>34809.932417643242</v>
      </c>
      <c r="BM18" s="955">
        <f t="shared" ca="1" si="22"/>
        <v>35596.707490250745</v>
      </c>
      <c r="BN18" s="955">
        <f t="shared" ca="1" si="22"/>
        <v>36403.695134700443</v>
      </c>
      <c r="BO18" s="955">
        <f t="shared" ca="1" si="22"/>
        <v>37231.357209685593</v>
      </c>
      <c r="BP18" s="955">
        <f t="shared" ca="1" si="22"/>
        <v>38080.170596816184</v>
      </c>
      <c r="BQ18" s="955">
        <f t="shared" ca="1" si="22"/>
        <v>38950.627298073843</v>
      </c>
      <c r="BR18" s="955">
        <f t="shared" ca="1" si="22"/>
        <v>39843.23455795605</v>
      </c>
      <c r="BS18" s="955">
        <f t="shared" ca="1" si="22"/>
        <v>40758.515009140749</v>
      </c>
      <c r="BT18" s="955">
        <f t="shared" ca="1" si="22"/>
        <v>41697.006840626324</v>
      </c>
      <c r="BU18" s="955">
        <f t="shared" ca="1" si="22"/>
        <v>42659.263987398524</v>
      </c>
      <c r="BV18" s="955">
        <f t="shared" ca="1" si="22"/>
        <v>43645.856340779319</v>
      </c>
      <c r="BW18" s="955">
        <f t="shared" ca="1" si="22"/>
        <v>44657.369978699164</v>
      </c>
      <c r="BX18" s="955">
        <f t="shared" ca="1" si="22"/>
        <v>45694.407415214795</v>
      </c>
      <c r="BY18" s="955">
        <f t="shared" ca="1" si="22"/>
        <v>46757.587868679497</v>
      </c>
      <c r="BZ18" s="955">
        <f t="shared" ca="1" si="22"/>
        <v>47847.547548034177</v>
      </c>
      <c r="CA18" s="955">
        <f t="shared" ca="1" si="22"/>
        <v>48964.939956761671</v>
      </c>
      <c r="CB18" s="955">
        <f t="shared" ca="1" si="22"/>
        <v>50110.436214105175</v>
      </c>
      <c r="CC18" s="955">
        <f t="shared" ca="1" si="22"/>
        <v>51284.725393208362</v>
      </c>
      <c r="CD18" s="955">
        <f t="shared" ca="1" si="22"/>
        <v>52488.514875889043</v>
      </c>
      <c r="CE18" s="955">
        <f t="shared" ca="1" si="22"/>
        <v>53722.530723808683</v>
      </c>
      <c r="CF18" s="955">
        <f t="shared" ca="1" si="22"/>
        <v>54987.518065844575</v>
      </c>
      <c r="CG18" s="955">
        <f t="shared" ca="1" si="22"/>
        <v>56284.24150151611</v>
      </c>
      <c r="CH18" s="955">
        <f t="shared" ca="1" si="22"/>
        <v>57613.485520357382</v>
      </c>
      <c r="CI18" s="955">
        <f t="shared" ca="1" si="22"/>
        <v>58976.054937165332</v>
      </c>
      <c r="CJ18" s="955">
        <f t="shared" ca="1" si="22"/>
        <v>60372.775343089656</v>
      </c>
      <c r="CK18" s="955">
        <f t="shared" ca="1" si="22"/>
        <v>61804.493572562467</v>
      </c>
      <c r="CL18" s="955">
        <f t="shared" ca="1" si="22"/>
        <v>63272.078186100436</v>
      </c>
      <c r="CM18" s="955">
        <f t="shared" ca="1" si="22"/>
        <v>64776.419969039023</v>
      </c>
      <c r="CN18" s="955">
        <f t="shared" ca="1" si="22"/>
        <v>66318.432446288163</v>
      </c>
      <c r="CO18" s="955">
        <f t="shared" ca="1" si="22"/>
        <v>67899.052413226411</v>
      </c>
      <c r="CP18" s="955">
        <f t="shared" ca="1" si="22"/>
        <v>69519.240482875975</v>
      </c>
      <c r="CQ18" s="955">
        <f t="shared" ref="CQ18:DU18" ca="1" si="23">CQ12</f>
        <v>71179.981649521098</v>
      </c>
      <c r="CR18" s="955">
        <f t="shared" ca="1" si="23"/>
        <v>72882.285868966443</v>
      </c>
      <c r="CS18" s="955">
        <f t="shared" ca="1" si="23"/>
        <v>74627.188655641599</v>
      </c>
      <c r="CT18" s="955">
        <f t="shared" ca="1" si="23"/>
        <v>76415.751696787309</v>
      </c>
      <c r="CU18" s="955">
        <f t="shared" ca="1" si="23"/>
        <v>78249.063483981343</v>
      </c>
      <c r="CV18" s="955">
        <f t="shared" ca="1" si="23"/>
        <v>80128.239962273234</v>
      </c>
      <c r="CW18" s="955">
        <f t="shared" ca="1" si="23"/>
        <v>82054.425197227101</v>
      </c>
      <c r="CX18" s="955">
        <f t="shared" ca="1" si="23"/>
        <v>84028.792060183026</v>
      </c>
      <c r="CY18" s="955">
        <f t="shared" ca="1" si="23"/>
        <v>86052.542932070894</v>
      </c>
      <c r="CZ18" s="955">
        <f t="shared" ca="1" si="23"/>
        <v>88126.910426125221</v>
      </c>
      <c r="DA18" s="955">
        <f t="shared" ca="1" si="23"/>
        <v>90253.158129870717</v>
      </c>
      <c r="DB18" s="955">
        <f t="shared" ca="1" si="23"/>
        <v>92432.581366762737</v>
      </c>
      <c r="DC18" s="955">
        <f t="shared" ca="1" si="23"/>
        <v>94666.507977885005</v>
      </c>
      <c r="DD18" s="955">
        <f t="shared" ca="1" si="23"/>
        <v>96956.299124129204</v>
      </c>
      <c r="DE18" s="955">
        <f t="shared" ca="1" si="23"/>
        <v>99303.350109285748</v>
      </c>
      <c r="DF18" s="955">
        <f t="shared" ca="1" si="23"/>
        <v>101709.09122450698</v>
      </c>
      <c r="DG18" s="955">
        <f t="shared" ca="1" si="23"/>
        <v>104174.98861460964</v>
      </c>
      <c r="DH18" s="955">
        <f t="shared" ca="1" si="23"/>
        <v>106702.54516670544</v>
      </c>
      <c r="DI18" s="955">
        <f t="shared" ca="1" si="23"/>
        <v>109293.30142166538</v>
      </c>
      <c r="DJ18" s="955">
        <f t="shared" ca="1" si="23"/>
        <v>111948.83650893607</v>
      </c>
      <c r="DK18" s="955">
        <f t="shared" ca="1" si="23"/>
        <v>114670.76910524996</v>
      </c>
      <c r="DL18" s="955">
        <f t="shared" ca="1" si="23"/>
        <v>117460.7584177847</v>
      </c>
      <c r="DM18" s="955">
        <f t="shared" ca="1" si="23"/>
        <v>120320.50519234026</v>
      </c>
      <c r="DN18" s="955">
        <f t="shared" ca="1" si="23"/>
        <v>123251.75274713105</v>
      </c>
      <c r="DO18" s="955">
        <f t="shared" ca="1" si="23"/>
        <v>126256.28803279286</v>
      </c>
      <c r="DP18" s="955">
        <f t="shared" ca="1" si="23"/>
        <v>129335.94271923736</v>
      </c>
      <c r="DQ18" s="955">
        <f t="shared" ca="1" si="23"/>
        <v>132492.5943099935</v>
      </c>
      <c r="DR18" s="955">
        <f t="shared" ca="1" si="23"/>
        <v>135728.16728469657</v>
      </c>
      <c r="DS18" s="955">
        <f t="shared" ca="1" si="23"/>
        <v>139044.63427041023</v>
      </c>
      <c r="DT18" s="955">
        <f t="shared" ca="1" si="23"/>
        <v>142444.01724247949</v>
      </c>
      <c r="DU18" s="956">
        <f t="shared" ca="1" si="23"/>
        <v>145928.38875562573</v>
      </c>
    </row>
    <row r="19" spans="2:125" x14ac:dyDescent="0.2">
      <c r="B19" s="975" t="s">
        <v>1038</v>
      </c>
      <c r="C19" s="948"/>
      <c r="D19" s="948"/>
      <c r="E19" s="948"/>
      <c r="F19" s="948"/>
      <c r="G19" s="976"/>
      <c r="H19" s="944"/>
      <c r="I19" s="970"/>
      <c r="J19" s="947"/>
      <c r="K19" s="947"/>
      <c r="L19" s="992"/>
      <c r="M19" s="947"/>
      <c r="N19" s="947"/>
      <c r="O19" s="947"/>
      <c r="P19" s="947"/>
      <c r="Q19" s="1000" t="s">
        <v>1105</v>
      </c>
      <c r="R19" s="1001"/>
      <c r="S19" s="1001"/>
      <c r="T19" s="1001"/>
      <c r="U19" s="1001"/>
      <c r="V19" s="1002">
        <f ca="1">((Z43/(cost_of_capital/100))*((1+(cost_of_capital/100)))^((((365-(Z4-NOW()))/365))+0.5)+AA47+AA48)/AA50*100</f>
        <v>-41.272816980866565</v>
      </c>
      <c r="W19" s="971"/>
      <c r="X19" s="944"/>
      <c r="Y19" s="944" t="s">
        <v>1039</v>
      </c>
      <c r="Z19" s="1003">
        <f t="shared" ref="Z19:AE19" si="24">Z16+Z17-Z18</f>
        <v>181290.38740871908</v>
      </c>
      <c r="AA19" s="955">
        <f t="shared" si="24"/>
        <v>180273.23135400782</v>
      </c>
      <c r="AB19" s="955">
        <f t="shared" si="24"/>
        <v>175499.35055333353</v>
      </c>
      <c r="AC19" s="955">
        <f t="shared" si="24"/>
        <v>177771.76057450898</v>
      </c>
      <c r="AD19" s="955">
        <f t="shared" si="24"/>
        <v>183042.67867915612</v>
      </c>
      <c r="AE19" s="955">
        <f t="shared" si="24"/>
        <v>188532.34149590641</v>
      </c>
      <c r="AF19" s="955">
        <f t="shared" ref="AF19:CP19" si="25">AF22*$G$21/100-AF29+AF27</f>
        <v>199219.32564808097</v>
      </c>
      <c r="AG19" s="955">
        <f t="shared" si="25"/>
        <v>203712.53931868673</v>
      </c>
      <c r="AH19" s="955">
        <f t="shared" si="25"/>
        <v>208218.20485923215</v>
      </c>
      <c r="AI19" s="955">
        <f t="shared" si="25"/>
        <v>212731.25998071293</v>
      </c>
      <c r="AJ19" s="955">
        <f t="shared" si="25"/>
        <v>217357.14148023073</v>
      </c>
      <c r="AK19" s="955">
        <f t="shared" si="25"/>
        <v>222098.67001723647</v>
      </c>
      <c r="AL19" s="955">
        <f t="shared" si="25"/>
        <v>226958.73676766735</v>
      </c>
      <c r="AM19" s="955">
        <f t="shared" si="25"/>
        <v>231940.30518685898</v>
      </c>
      <c r="AN19" s="955">
        <f t="shared" si="25"/>
        <v>237046.41281653047</v>
      </c>
      <c r="AO19" s="955">
        <f t="shared" si="25"/>
        <v>242280.17313694372</v>
      </c>
      <c r="AP19" s="955">
        <f t="shared" si="25"/>
        <v>247644.77746536728</v>
      </c>
      <c r="AQ19" s="955">
        <f t="shared" si="25"/>
        <v>253143.49690200144</v>
      </c>
      <c r="AR19" s="955">
        <f t="shared" si="25"/>
        <v>258779.68432455146</v>
      </c>
      <c r="AS19" s="955">
        <f t="shared" si="25"/>
        <v>264556.77643266524</v>
      </c>
      <c r="AT19" s="955">
        <f t="shared" si="25"/>
        <v>270478.29584348184</v>
      </c>
      <c r="AU19" s="955">
        <f t="shared" si="25"/>
        <v>276547.85323956888</v>
      </c>
      <c r="AV19" s="955">
        <f t="shared" si="25"/>
        <v>282769.1495705581</v>
      </c>
      <c r="AW19" s="955">
        <f t="shared" si="25"/>
        <v>289145.97830982204</v>
      </c>
      <c r="AX19" s="955">
        <f t="shared" si="25"/>
        <v>295682.22776756756</v>
      </c>
      <c r="AY19" s="955">
        <f t="shared" si="25"/>
        <v>302381.88346175675</v>
      </c>
      <c r="AZ19" s="955">
        <f t="shared" si="25"/>
        <v>309249.03054830065</v>
      </c>
      <c r="BA19" s="955">
        <f t="shared" si="25"/>
        <v>316287.85631200817</v>
      </c>
      <c r="BB19" s="955">
        <f t="shared" si="25"/>
        <v>323502.65271980833</v>
      </c>
      <c r="BC19" s="955">
        <f t="shared" si="25"/>
        <v>330897.81903780351</v>
      </c>
      <c r="BD19" s="955">
        <f t="shared" si="25"/>
        <v>338477.86451374856</v>
      </c>
      <c r="BE19" s="955">
        <f t="shared" si="25"/>
        <v>346247.41112659225</v>
      </c>
      <c r="BF19" s="955">
        <f t="shared" si="25"/>
        <v>354211.19640475704</v>
      </c>
      <c r="BG19" s="955">
        <f t="shared" si="25"/>
        <v>362374.07631487591</v>
      </c>
      <c r="BH19" s="955">
        <f t="shared" si="25"/>
        <v>370741.02822274785</v>
      </c>
      <c r="BI19" s="955">
        <f t="shared" si="25"/>
        <v>379317.15392831643</v>
      </c>
      <c r="BJ19" s="955">
        <f t="shared" si="25"/>
        <v>388107.68277652434</v>
      </c>
      <c r="BK19" s="955">
        <f t="shared" si="25"/>
        <v>397117.9748459374</v>
      </c>
      <c r="BL19" s="955">
        <f t="shared" si="25"/>
        <v>406353.52421708574</v>
      </c>
      <c r="BM19" s="955">
        <f t="shared" si="25"/>
        <v>415819.96232251293</v>
      </c>
      <c r="BN19" s="955">
        <f t="shared" si="25"/>
        <v>425523.06138057564</v>
      </c>
      <c r="BO19" s="955">
        <f t="shared" si="25"/>
        <v>435468.73791509005</v>
      </c>
      <c r="BP19" s="955">
        <f t="shared" si="25"/>
        <v>445663.05636296724</v>
      </c>
      <c r="BQ19" s="955">
        <f t="shared" si="25"/>
        <v>456112.2327720414</v>
      </c>
      <c r="BR19" s="955">
        <f t="shared" si="25"/>
        <v>466822.63859134237</v>
      </c>
      <c r="BS19" s="955">
        <f t="shared" si="25"/>
        <v>477800.80455612595</v>
      </c>
      <c r="BT19" s="955">
        <f t="shared" si="25"/>
        <v>489053.42467002908</v>
      </c>
      <c r="BU19" s="955">
        <f t="shared" si="25"/>
        <v>500587.3602867797</v>
      </c>
      <c r="BV19" s="955">
        <f t="shared" si="25"/>
        <v>512409.64429394918</v>
      </c>
      <c r="BW19" s="955">
        <f t="shared" si="25"/>
        <v>524527.4854012978</v>
      </c>
      <c r="BX19" s="955">
        <f t="shared" si="25"/>
        <v>536948.27253633016</v>
      </c>
      <c r="BY19" s="955">
        <f t="shared" si="25"/>
        <v>549679.57934973843</v>
      </c>
      <c r="BZ19" s="955">
        <f t="shared" si="25"/>
        <v>562729.16883348185</v>
      </c>
      <c r="CA19" s="955">
        <f t="shared" si="25"/>
        <v>576104.99805431883</v>
      </c>
      <c r="CB19" s="955">
        <f t="shared" si="25"/>
        <v>589815.22300567676</v>
      </c>
      <c r="CC19" s="955">
        <f t="shared" si="25"/>
        <v>603868.2035808186</v>
      </c>
      <c r="CD19" s="955">
        <f t="shared" si="25"/>
        <v>618272.50867033901</v>
      </c>
      <c r="CE19" s="955">
        <f t="shared" si="25"/>
        <v>633036.92138709745</v>
      </c>
      <c r="CF19" s="955">
        <f t="shared" si="25"/>
        <v>648170.44442177482</v>
      </c>
      <c r="CG19" s="955">
        <f t="shared" si="25"/>
        <v>663682.30553231912</v>
      </c>
      <c r="CH19" s="955">
        <f t="shared" si="25"/>
        <v>679581.96317062702</v>
      </c>
      <c r="CI19" s="955">
        <f t="shared" si="25"/>
        <v>695879.11224989267</v>
      </c>
      <c r="CJ19" s="955">
        <f t="shared" si="25"/>
        <v>712583.69005613995</v>
      </c>
      <c r="CK19" s="955">
        <f t="shared" si="25"/>
        <v>729705.88230754342</v>
      </c>
      <c r="CL19" s="955">
        <f t="shared" si="25"/>
        <v>747256.12936523196</v>
      </c>
      <c r="CM19" s="955">
        <f t="shared" si="25"/>
        <v>765245.13259936264</v>
      </c>
      <c r="CN19" s="955">
        <f t="shared" si="25"/>
        <v>783683.86091434653</v>
      </c>
      <c r="CO19" s="955">
        <f t="shared" si="25"/>
        <v>802583.55743720522</v>
      </c>
      <c r="CP19" s="955">
        <f t="shared" si="25"/>
        <v>821955.74637313525</v>
      </c>
      <c r="CQ19" s="955">
        <f t="shared" ref="CQ19:DU19" si="26">CQ22*$G$21/100-CQ29+CQ27</f>
        <v>841812.24003246357</v>
      </c>
      <c r="CR19" s="955">
        <f t="shared" si="26"/>
        <v>862165.14603327517</v>
      </c>
      <c r="CS19" s="955">
        <f t="shared" si="26"/>
        <v>883026.87468410691</v>
      </c>
      <c r="CT19" s="955">
        <f t="shared" si="26"/>
        <v>904410.1465512095</v>
      </c>
      <c r="CU19" s="955">
        <f t="shared" si="26"/>
        <v>926328.00021498965</v>
      </c>
      <c r="CV19" s="955">
        <f t="shared" si="26"/>
        <v>948793.80022036436</v>
      </c>
      <c r="CW19" s="955">
        <f t="shared" si="26"/>
        <v>971821.24522587343</v>
      </c>
      <c r="CX19" s="955">
        <f t="shared" si="26"/>
        <v>995424.37635652022</v>
      </c>
      <c r="CY19" s="955">
        <f t="shared" si="26"/>
        <v>1019617.5857654331</v>
      </c>
      <c r="CZ19" s="955">
        <f t="shared" si="26"/>
        <v>1044415.6254095689</v>
      </c>
      <c r="DA19" s="955">
        <f t="shared" si="26"/>
        <v>1069833.6160448082</v>
      </c>
      <c r="DB19" s="955">
        <f t="shared" si="26"/>
        <v>1095887.0564459281</v>
      </c>
      <c r="DC19" s="955">
        <f t="shared" si="26"/>
        <v>1122591.8328570761</v>
      </c>
      <c r="DD19" s="955">
        <f t="shared" si="26"/>
        <v>1149964.2286785028</v>
      </c>
      <c r="DE19" s="955">
        <f t="shared" si="26"/>
        <v>1178020.9343954653</v>
      </c>
      <c r="DF19" s="955">
        <f t="shared" si="26"/>
        <v>1206779.0577553518</v>
      </c>
      <c r="DG19" s="955">
        <f t="shared" si="26"/>
        <v>1236256.1341992354</v>
      </c>
      <c r="DH19" s="955">
        <f t="shared" si="26"/>
        <v>1266470.1375542162</v>
      </c>
      <c r="DI19" s="955">
        <f t="shared" si="26"/>
        <v>1297439.4909930716</v>
      </c>
      <c r="DJ19" s="955">
        <f t="shared" si="26"/>
        <v>1329183.0782678982</v>
      </c>
      <c r="DK19" s="955">
        <f t="shared" si="26"/>
        <v>1361720.2552245955</v>
      </c>
      <c r="DL19" s="955">
        <f t="shared" si="26"/>
        <v>1395070.8616052102</v>
      </c>
      <c r="DM19" s="955">
        <f t="shared" si="26"/>
        <v>1429255.2331453403</v>
      </c>
      <c r="DN19" s="955">
        <f t="shared" si="26"/>
        <v>1464294.2139739736</v>
      </c>
      <c r="DO19" s="955">
        <f t="shared" si="26"/>
        <v>1500209.1693233228</v>
      </c>
      <c r="DP19" s="955">
        <f t="shared" si="26"/>
        <v>1537021.998556406</v>
      </c>
      <c r="DQ19" s="955">
        <f t="shared" si="26"/>
        <v>1574755.148520316</v>
      </c>
      <c r="DR19" s="955">
        <f t="shared" si="26"/>
        <v>1613431.6272333234</v>
      </c>
      <c r="DS19" s="955">
        <f t="shared" si="26"/>
        <v>1653075.0179141564</v>
      </c>
      <c r="DT19" s="955">
        <f t="shared" si="26"/>
        <v>1693709.4933620102</v>
      </c>
      <c r="DU19" s="956">
        <f t="shared" si="26"/>
        <v>1735359.8306960603</v>
      </c>
    </row>
    <row r="20" spans="2:125" x14ac:dyDescent="0.2">
      <c r="B20" s="980" t="s">
        <v>1040</v>
      </c>
      <c r="C20" s="947"/>
      <c r="D20" s="947"/>
      <c r="E20" s="947"/>
      <c r="F20" s="947"/>
      <c r="G20" s="1004">
        <v>5</v>
      </c>
      <c r="H20" s="944"/>
      <c r="I20" s="970"/>
      <c r="J20" s="947"/>
      <c r="K20" s="947"/>
      <c r="L20" s="947"/>
      <c r="M20" s="947"/>
      <c r="N20" s="947"/>
      <c r="O20" s="947"/>
      <c r="P20" s="947"/>
      <c r="Q20" s="947"/>
      <c r="R20" s="947"/>
      <c r="S20" s="947"/>
      <c r="T20" s="947"/>
      <c r="U20" s="947"/>
      <c r="V20" s="981"/>
      <c r="W20" s="971"/>
      <c r="X20" s="944"/>
      <c r="Y20" s="944"/>
      <c r="Z20" s="1005"/>
      <c r="AA20" s="1005"/>
      <c r="AB20" s="1005"/>
      <c r="AC20" s="1005"/>
      <c r="AD20" s="1005"/>
      <c r="AE20" s="1005"/>
      <c r="AF20" s="1005"/>
      <c r="AG20" s="1005"/>
      <c r="AH20" s="1005"/>
      <c r="AI20" s="1005"/>
      <c r="AJ20" s="1005"/>
      <c r="AK20" s="1005"/>
      <c r="AL20" s="1005"/>
      <c r="AM20" s="1005"/>
      <c r="AN20" s="1005"/>
      <c r="AO20" s="1005"/>
      <c r="AP20" s="1005"/>
      <c r="AQ20" s="1005"/>
      <c r="AR20" s="1005"/>
      <c r="AS20" s="1005"/>
      <c r="AT20" s="1005"/>
      <c r="AU20" s="1005"/>
      <c r="AV20" s="1005"/>
      <c r="AW20" s="1005"/>
      <c r="AX20" s="1005"/>
      <c r="AY20" s="1005"/>
      <c r="AZ20" s="1005"/>
      <c r="BA20" s="1005"/>
      <c r="BB20" s="1005"/>
      <c r="BC20" s="1005"/>
      <c r="BD20" s="1005"/>
      <c r="BE20" s="1005"/>
      <c r="BF20" s="1005"/>
      <c r="BG20" s="1005"/>
      <c r="BH20" s="1005"/>
      <c r="BI20" s="1005"/>
      <c r="BJ20" s="1005"/>
      <c r="BK20" s="1005"/>
      <c r="BL20" s="1005"/>
      <c r="BM20" s="1005"/>
      <c r="BN20" s="1005"/>
      <c r="BO20" s="1005"/>
      <c r="BP20" s="1005"/>
      <c r="BQ20" s="1005"/>
      <c r="BR20" s="1005"/>
      <c r="BS20" s="1005"/>
      <c r="BT20" s="1005"/>
      <c r="BU20" s="1005"/>
      <c r="BV20" s="1005"/>
      <c r="BW20" s="1005"/>
      <c r="BX20" s="1005"/>
      <c r="BY20" s="1005"/>
      <c r="BZ20" s="1005"/>
      <c r="CA20" s="1005"/>
      <c r="CB20" s="1005"/>
      <c r="CC20" s="1005"/>
      <c r="CD20" s="1005"/>
      <c r="CE20" s="1005"/>
      <c r="CF20" s="1005"/>
      <c r="CG20" s="1005"/>
      <c r="CH20" s="1005"/>
      <c r="CI20" s="1005"/>
      <c r="CJ20" s="1005"/>
      <c r="CK20" s="1005"/>
      <c r="CL20" s="1005"/>
      <c r="CM20" s="1005"/>
      <c r="CN20" s="1005"/>
      <c r="CO20" s="1005"/>
      <c r="CP20" s="1005"/>
      <c r="CQ20" s="1005"/>
      <c r="CR20" s="1005"/>
      <c r="CS20" s="1005"/>
      <c r="CT20" s="1005"/>
      <c r="CU20" s="1005"/>
      <c r="CV20" s="1005"/>
      <c r="CW20" s="1005"/>
      <c r="CX20" s="1005"/>
      <c r="CY20" s="1005"/>
      <c r="CZ20" s="1005"/>
      <c r="DA20" s="1005"/>
      <c r="DB20" s="1005"/>
      <c r="DC20" s="1005"/>
      <c r="DD20" s="1005"/>
      <c r="DE20" s="1005"/>
      <c r="DF20" s="1005"/>
      <c r="DG20" s="1005"/>
      <c r="DH20" s="1005"/>
      <c r="DI20" s="1005"/>
      <c r="DJ20" s="1005"/>
      <c r="DK20" s="1005"/>
      <c r="DL20" s="1005"/>
      <c r="DM20" s="1005"/>
      <c r="DN20" s="1005"/>
      <c r="DO20" s="1005"/>
      <c r="DP20" s="1005"/>
      <c r="DQ20" s="1005"/>
      <c r="DR20" s="1005"/>
      <c r="DS20" s="1005"/>
      <c r="DT20" s="1005"/>
      <c r="DU20" s="956"/>
    </row>
    <row r="21" spans="2:125" x14ac:dyDescent="0.2">
      <c r="B21" s="980" t="s">
        <v>1041</v>
      </c>
      <c r="C21" s="947"/>
      <c r="D21" s="1006"/>
      <c r="E21" s="1006"/>
      <c r="F21" s="1007"/>
      <c r="G21" s="1008">
        <v>12.5</v>
      </c>
      <c r="H21" s="944"/>
      <c r="I21" s="970"/>
      <c r="J21" s="947"/>
      <c r="K21" s="947"/>
      <c r="L21" s="947"/>
      <c r="M21" s="947"/>
      <c r="N21" s="947"/>
      <c r="O21" s="947"/>
      <c r="P21" s="947"/>
      <c r="Q21" s="944"/>
      <c r="R21" s="947"/>
      <c r="S21" s="947"/>
      <c r="T21" s="947"/>
      <c r="U21" s="947"/>
      <c r="V21" s="1009"/>
      <c r="W21" s="971"/>
      <c r="X21" s="944"/>
      <c r="Y21" s="992" t="s">
        <v>1042</v>
      </c>
      <c r="Z21" s="1010"/>
      <c r="AA21" s="1005"/>
      <c r="AB21" s="1005"/>
      <c r="AC21" s="1005"/>
      <c r="AD21" s="1005"/>
      <c r="AE21" s="1005"/>
      <c r="AF21" s="1005"/>
      <c r="AG21" s="1005"/>
      <c r="AH21" s="1005"/>
      <c r="AI21" s="1005"/>
      <c r="AJ21" s="1005"/>
      <c r="AK21" s="1005"/>
      <c r="AL21" s="1005"/>
      <c r="AM21" s="1005"/>
      <c r="AN21" s="1005"/>
      <c r="AO21" s="1005"/>
      <c r="AP21" s="1005"/>
      <c r="AQ21" s="1005"/>
      <c r="AR21" s="1005"/>
      <c r="AS21" s="1005"/>
      <c r="AT21" s="1005"/>
      <c r="AU21" s="1005"/>
      <c r="AV21" s="1005"/>
      <c r="AW21" s="1005"/>
      <c r="AX21" s="1005"/>
      <c r="AY21" s="1005"/>
      <c r="AZ21" s="1005"/>
      <c r="BA21" s="1005"/>
      <c r="BB21" s="1005"/>
      <c r="BC21" s="1005"/>
      <c r="BD21" s="1005"/>
      <c r="BE21" s="1005"/>
      <c r="BF21" s="1005"/>
      <c r="BG21" s="1005"/>
      <c r="BH21" s="1005"/>
      <c r="BI21" s="1005"/>
      <c r="BJ21" s="1005"/>
      <c r="BK21" s="1005"/>
      <c r="BL21" s="1005"/>
      <c r="BM21" s="1005"/>
      <c r="BN21" s="1005"/>
      <c r="BO21" s="1005"/>
      <c r="BP21" s="1005"/>
      <c r="BQ21" s="1005"/>
      <c r="BR21" s="1005"/>
      <c r="BS21" s="1005"/>
      <c r="BT21" s="1005"/>
      <c r="BU21" s="1005"/>
      <c r="BV21" s="1005"/>
      <c r="BW21" s="1005"/>
      <c r="BX21" s="1005"/>
      <c r="BY21" s="1005"/>
      <c r="BZ21" s="1005"/>
      <c r="CA21" s="1005"/>
      <c r="CB21" s="1005"/>
      <c r="CC21" s="1005"/>
      <c r="CD21" s="1005"/>
      <c r="CE21" s="1005"/>
      <c r="CF21" s="1005"/>
      <c r="CG21" s="1005"/>
      <c r="CH21" s="1005"/>
      <c r="CI21" s="1005"/>
      <c r="CJ21" s="1005"/>
      <c r="CK21" s="1005"/>
      <c r="CL21" s="1005"/>
      <c r="CM21" s="1005"/>
      <c r="CN21" s="1005"/>
      <c r="CO21" s="1005"/>
      <c r="CP21" s="1005"/>
      <c r="CQ21" s="1005"/>
      <c r="CR21" s="1005"/>
      <c r="CS21" s="1005"/>
      <c r="CT21" s="1005"/>
      <c r="CU21" s="1005"/>
      <c r="CV21" s="1005"/>
      <c r="CW21" s="1005"/>
      <c r="CX21" s="1005"/>
      <c r="CY21" s="1005"/>
      <c r="CZ21" s="1005"/>
      <c r="DA21" s="1005"/>
      <c r="DB21" s="1005"/>
      <c r="DC21" s="1005"/>
      <c r="DD21" s="1005"/>
      <c r="DE21" s="1005"/>
      <c r="DF21" s="1005"/>
      <c r="DG21" s="1005"/>
      <c r="DH21" s="1005"/>
      <c r="DI21" s="1005"/>
      <c r="DJ21" s="1005"/>
      <c r="DK21" s="1005"/>
      <c r="DL21" s="1005"/>
      <c r="DM21" s="1005"/>
      <c r="DN21" s="1005"/>
      <c r="DO21" s="1005"/>
      <c r="DP21" s="1005"/>
      <c r="DQ21" s="1005"/>
      <c r="DR21" s="1005"/>
      <c r="DS21" s="1005"/>
      <c r="DT21" s="1005"/>
      <c r="DU21" s="956"/>
    </row>
    <row r="22" spans="2:125" x14ac:dyDescent="0.2">
      <c r="B22" s="980"/>
      <c r="C22" s="947"/>
      <c r="D22" s="947"/>
      <c r="E22" s="947"/>
      <c r="F22" s="947"/>
      <c r="G22" s="1011"/>
      <c r="H22" s="944"/>
      <c r="I22" s="970"/>
      <c r="J22" s="948" t="s">
        <v>1043</v>
      </c>
      <c r="K22" s="948"/>
      <c r="L22" s="947"/>
      <c r="M22" s="947"/>
      <c r="N22" s="947"/>
      <c r="O22" s="947"/>
      <c r="P22" s="947"/>
      <c r="Q22" s="944"/>
      <c r="R22" s="947"/>
      <c r="S22" s="947"/>
      <c r="T22" s="947"/>
      <c r="U22" s="947"/>
      <c r="V22" s="947"/>
      <c r="W22" s="971"/>
      <c r="X22" s="944"/>
      <c r="Y22" s="944" t="s">
        <v>1044</v>
      </c>
      <c r="Z22" s="1059">
        <f>Model!AZ1388</f>
        <v>1134864</v>
      </c>
      <c r="AA22" s="1059">
        <f>Model!BA1388</f>
        <v>1189408.6433357499</v>
      </c>
      <c r="AB22" s="1059">
        <f>Model!BB1388</f>
        <v>1221705.0348533278</v>
      </c>
      <c r="AC22" s="1059">
        <f>Model!BC1388</f>
        <v>1253655.5337618398</v>
      </c>
      <c r="AD22" s="1059">
        <f>Model!BD1388</f>
        <v>1295267.1997474239</v>
      </c>
      <c r="AE22" s="1059">
        <f>Model!BE1388</f>
        <v>1336379.7782629663</v>
      </c>
      <c r="AF22" s="955">
        <f t="shared" ref="AF22:CQ22" si="27">AE22*(1+AF23/100)</f>
        <v>1372186.6051846477</v>
      </c>
      <c r="AG22" s="955">
        <f t="shared" si="27"/>
        <v>1408132.3145494938</v>
      </c>
      <c r="AH22" s="955">
        <f t="shared" si="27"/>
        <v>1444177.6388738572</v>
      </c>
      <c r="AI22" s="955">
        <f t="shared" si="27"/>
        <v>1480282.0798457034</v>
      </c>
      <c r="AJ22" s="955">
        <f t="shared" si="27"/>
        <v>1517289.1318418458</v>
      </c>
      <c r="AK22" s="955">
        <f t="shared" si="27"/>
        <v>1555221.3601378917</v>
      </c>
      <c r="AL22" s="955">
        <f t="shared" si="27"/>
        <v>1594101.8941413388</v>
      </c>
      <c r="AM22" s="955">
        <f t="shared" si="27"/>
        <v>1633954.4414948721</v>
      </c>
      <c r="AN22" s="955">
        <f t="shared" si="27"/>
        <v>1674803.3025322438</v>
      </c>
      <c r="AO22" s="955">
        <f t="shared" si="27"/>
        <v>1716673.3850955497</v>
      </c>
      <c r="AP22" s="955">
        <f t="shared" si="27"/>
        <v>1759590.2197229383</v>
      </c>
      <c r="AQ22" s="955">
        <f t="shared" si="27"/>
        <v>1803579.9752160115</v>
      </c>
      <c r="AR22" s="955">
        <f t="shared" si="27"/>
        <v>1848669.4745964117</v>
      </c>
      <c r="AS22" s="955">
        <f t="shared" si="27"/>
        <v>1894886.2114613219</v>
      </c>
      <c r="AT22" s="955">
        <f t="shared" si="27"/>
        <v>1942258.3667478547</v>
      </c>
      <c r="AU22" s="955">
        <f t="shared" si="27"/>
        <v>1990814.8259165511</v>
      </c>
      <c r="AV22" s="955">
        <f t="shared" si="27"/>
        <v>2040585.1965644646</v>
      </c>
      <c r="AW22" s="955">
        <f t="shared" si="27"/>
        <v>2091599.8264785761</v>
      </c>
      <c r="AX22" s="955">
        <f t="shared" si="27"/>
        <v>2143889.8221405405</v>
      </c>
      <c r="AY22" s="955">
        <f t="shared" si="27"/>
        <v>2197487.067694054</v>
      </c>
      <c r="AZ22" s="955">
        <f t="shared" si="27"/>
        <v>2252424.2443864052</v>
      </c>
      <c r="BA22" s="955">
        <f t="shared" si="27"/>
        <v>2308734.8504960653</v>
      </c>
      <c r="BB22" s="955">
        <f t="shared" si="27"/>
        <v>2366453.2217584667</v>
      </c>
      <c r="BC22" s="955">
        <f t="shared" si="27"/>
        <v>2425614.5523024281</v>
      </c>
      <c r="BD22" s="955">
        <f t="shared" si="27"/>
        <v>2486254.9161099885</v>
      </c>
      <c r="BE22" s="955">
        <f t="shared" si="27"/>
        <v>2548411.289012738</v>
      </c>
      <c r="BF22" s="955">
        <f t="shared" si="27"/>
        <v>2612121.5712380563</v>
      </c>
      <c r="BG22" s="955">
        <f t="shared" si="27"/>
        <v>2677424.6105190073</v>
      </c>
      <c r="BH22" s="955">
        <f t="shared" si="27"/>
        <v>2744360.2257819823</v>
      </c>
      <c r="BI22" s="955">
        <f t="shared" si="27"/>
        <v>2812969.2314265314</v>
      </c>
      <c r="BJ22" s="955">
        <f t="shared" si="27"/>
        <v>2883293.4622121947</v>
      </c>
      <c r="BK22" s="955">
        <f t="shared" si="27"/>
        <v>2955375.7987674992</v>
      </c>
      <c r="BL22" s="955">
        <f t="shared" si="27"/>
        <v>3029260.1937366864</v>
      </c>
      <c r="BM22" s="955">
        <f t="shared" si="27"/>
        <v>3104991.6985801035</v>
      </c>
      <c r="BN22" s="955">
        <f t="shared" si="27"/>
        <v>3182616.4910446056</v>
      </c>
      <c r="BO22" s="955">
        <f t="shared" si="27"/>
        <v>3262181.9033207204</v>
      </c>
      <c r="BP22" s="955">
        <f t="shared" si="27"/>
        <v>3343736.4509037379</v>
      </c>
      <c r="BQ22" s="955">
        <f t="shared" si="27"/>
        <v>3427329.8621763312</v>
      </c>
      <c r="BR22" s="955">
        <f t="shared" si="27"/>
        <v>3513013.108730739</v>
      </c>
      <c r="BS22" s="955">
        <f t="shared" si="27"/>
        <v>3600838.4364490071</v>
      </c>
      <c r="BT22" s="955">
        <f t="shared" si="27"/>
        <v>3690859.3973602322</v>
      </c>
      <c r="BU22" s="955">
        <f t="shared" si="27"/>
        <v>3783130.8822942376</v>
      </c>
      <c r="BV22" s="955">
        <f t="shared" si="27"/>
        <v>3877709.154351593</v>
      </c>
      <c r="BW22" s="955">
        <f t="shared" si="27"/>
        <v>3974651.8832103824</v>
      </c>
      <c r="BX22" s="955">
        <f t="shared" si="27"/>
        <v>4074018.1802906417</v>
      </c>
      <c r="BY22" s="955">
        <f t="shared" si="27"/>
        <v>4175868.6347979074</v>
      </c>
      <c r="BZ22" s="955">
        <f t="shared" si="27"/>
        <v>4280265.3506678548</v>
      </c>
      <c r="CA22" s="955">
        <f t="shared" si="27"/>
        <v>4387271.9844345506</v>
      </c>
      <c r="CB22" s="955">
        <f t="shared" si="27"/>
        <v>4496953.7840454141</v>
      </c>
      <c r="CC22" s="955">
        <f t="shared" si="27"/>
        <v>4609377.6286465488</v>
      </c>
      <c r="CD22" s="955">
        <f t="shared" si="27"/>
        <v>4724612.0693627121</v>
      </c>
      <c r="CE22" s="955">
        <f t="shared" si="27"/>
        <v>4842727.3710967796</v>
      </c>
      <c r="CF22" s="955">
        <f t="shared" si="27"/>
        <v>4963795.5553741986</v>
      </c>
      <c r="CG22" s="955">
        <f t="shared" si="27"/>
        <v>5087890.444258553</v>
      </c>
      <c r="CH22" s="955">
        <f t="shared" si="27"/>
        <v>5215087.7053650161</v>
      </c>
      <c r="CI22" s="955">
        <f t="shared" si="27"/>
        <v>5345464.8979991414</v>
      </c>
      <c r="CJ22" s="955">
        <f t="shared" si="27"/>
        <v>5479101.5204491196</v>
      </c>
      <c r="CK22" s="955">
        <f t="shared" si="27"/>
        <v>5616079.0584603474</v>
      </c>
      <c r="CL22" s="955">
        <f t="shared" si="27"/>
        <v>5756481.0349218557</v>
      </c>
      <c r="CM22" s="955">
        <f t="shared" si="27"/>
        <v>5900393.0607949011</v>
      </c>
      <c r="CN22" s="955">
        <f t="shared" si="27"/>
        <v>6047902.8873147732</v>
      </c>
      <c r="CO22" s="955">
        <f t="shared" si="27"/>
        <v>6199100.4594976418</v>
      </c>
      <c r="CP22" s="955">
        <f t="shared" si="27"/>
        <v>6354077.970985082</v>
      </c>
      <c r="CQ22" s="955">
        <f t="shared" si="27"/>
        <v>6512929.9202597085</v>
      </c>
      <c r="CR22" s="955">
        <f t="shared" ref="CR22:DU22" si="28">CQ22*(1+CR23/100)</f>
        <v>6675753.1682662005</v>
      </c>
      <c r="CS22" s="955">
        <f t="shared" si="28"/>
        <v>6842646.9974728553</v>
      </c>
      <c r="CT22" s="955">
        <f t="shared" si="28"/>
        <v>7013713.172409676</v>
      </c>
      <c r="CU22" s="955">
        <f t="shared" si="28"/>
        <v>7189056.0017199172</v>
      </c>
      <c r="CV22" s="955">
        <f t="shared" si="28"/>
        <v>7368782.4017629148</v>
      </c>
      <c r="CW22" s="955">
        <f t="shared" si="28"/>
        <v>7553001.9618069874</v>
      </c>
      <c r="CX22" s="955">
        <f t="shared" si="28"/>
        <v>7741827.0108521618</v>
      </c>
      <c r="CY22" s="955">
        <f t="shared" si="28"/>
        <v>7935372.6861234652</v>
      </c>
      <c r="CZ22" s="955">
        <f t="shared" si="28"/>
        <v>8133757.0032765511</v>
      </c>
      <c r="DA22" s="955">
        <f t="shared" si="28"/>
        <v>8337100.9283584645</v>
      </c>
      <c r="DB22" s="955">
        <f t="shared" si="28"/>
        <v>8545528.4515674245</v>
      </c>
      <c r="DC22" s="955">
        <f t="shared" si="28"/>
        <v>8759166.6628566086</v>
      </c>
      <c r="DD22" s="955">
        <f t="shared" si="28"/>
        <v>8978145.8294280227</v>
      </c>
      <c r="DE22" s="955">
        <f t="shared" si="28"/>
        <v>9202599.4751637224</v>
      </c>
      <c r="DF22" s="955">
        <f t="shared" si="28"/>
        <v>9432664.4620428141</v>
      </c>
      <c r="DG22" s="955">
        <f t="shared" si="28"/>
        <v>9668481.0735938828</v>
      </c>
      <c r="DH22" s="955">
        <f t="shared" si="28"/>
        <v>9910193.1004337296</v>
      </c>
      <c r="DI22" s="955">
        <f t="shared" si="28"/>
        <v>10157947.927944573</v>
      </c>
      <c r="DJ22" s="955">
        <f t="shared" si="28"/>
        <v>10411896.626143185</v>
      </c>
      <c r="DK22" s="955">
        <f t="shared" si="28"/>
        <v>10672194.041796764</v>
      </c>
      <c r="DL22" s="955">
        <f t="shared" si="28"/>
        <v>10938998.892841682</v>
      </c>
      <c r="DM22" s="955">
        <f t="shared" si="28"/>
        <v>11212473.865162723</v>
      </c>
      <c r="DN22" s="955">
        <f t="shared" si="28"/>
        <v>11492785.711791789</v>
      </c>
      <c r="DO22" s="955">
        <f t="shared" si="28"/>
        <v>11780105.354586583</v>
      </c>
      <c r="DP22" s="955">
        <f t="shared" si="28"/>
        <v>12074607.988451246</v>
      </c>
      <c r="DQ22" s="955">
        <f t="shared" si="28"/>
        <v>12376473.188162526</v>
      </c>
      <c r="DR22" s="955">
        <f t="shared" si="28"/>
        <v>12685885.017866587</v>
      </c>
      <c r="DS22" s="955">
        <f t="shared" si="28"/>
        <v>13003032.143313251</v>
      </c>
      <c r="DT22" s="955">
        <f t="shared" si="28"/>
        <v>13328107.946896082</v>
      </c>
      <c r="DU22" s="956">
        <f t="shared" si="28"/>
        <v>13661310.645568483</v>
      </c>
    </row>
    <row r="23" spans="2:125" x14ac:dyDescent="0.2">
      <c r="B23" s="975" t="s">
        <v>1045</v>
      </c>
      <c r="C23" s="948"/>
      <c r="D23" s="948"/>
      <c r="E23" s="948"/>
      <c r="F23" s="948"/>
      <c r="G23" s="976"/>
      <c r="H23" s="944"/>
      <c r="I23" s="977"/>
      <c r="J23" s="944"/>
      <c r="K23" s="947"/>
      <c r="L23" s="947"/>
      <c r="M23" s="947"/>
      <c r="N23" s="1791" t="s">
        <v>1046</v>
      </c>
      <c r="O23" s="1791"/>
      <c r="P23" s="944"/>
      <c r="Q23" s="1791" t="s">
        <v>1047</v>
      </c>
      <c r="R23" s="1791"/>
      <c r="S23" s="944"/>
      <c r="T23" s="1791" t="s">
        <v>1048</v>
      </c>
      <c r="U23" s="1791"/>
      <c r="V23" s="944"/>
      <c r="W23" s="1012"/>
      <c r="X23" s="944"/>
      <c r="Y23" s="972" t="s">
        <v>1017</v>
      </c>
      <c r="Z23" s="986"/>
      <c r="AA23" s="987">
        <f>(AA22/Z22-1)*100</f>
        <v>4.806271353726066</v>
      </c>
      <c r="AB23" s="987">
        <f>(AB22/AA22-1)*100</f>
        <v>2.7153318330528808</v>
      </c>
      <c r="AC23" s="987">
        <f>(AC22/AB22-1)*100</f>
        <v>2.6152383756319564</v>
      </c>
      <c r="AD23" s="987">
        <f>(AD22/AC22-1)*100</f>
        <v>3.3192264433851371</v>
      </c>
      <c r="AE23" s="987">
        <f>(AE22/AD22-1)*100</f>
        <v>3.1740615776852277</v>
      </c>
      <c r="AF23" s="987">
        <v>2.6793900584325749</v>
      </c>
      <c r="AG23" s="987">
        <v>2.6195933722883833</v>
      </c>
      <c r="AH23" s="987">
        <v>2.5597966861441916</v>
      </c>
      <c r="AI23" s="987">
        <v>2.5</v>
      </c>
      <c r="AJ23" s="987">
        <v>2.5</v>
      </c>
      <c r="AK23" s="987">
        <v>2.5</v>
      </c>
      <c r="AL23" s="987">
        <v>2.5</v>
      </c>
      <c r="AM23" s="987">
        <v>2.5</v>
      </c>
      <c r="AN23" s="987">
        <v>2.5</v>
      </c>
      <c r="AO23" s="987">
        <v>2.5</v>
      </c>
      <c r="AP23" s="987">
        <v>2.5</v>
      </c>
      <c r="AQ23" s="987">
        <v>2.5</v>
      </c>
      <c r="AR23" s="987">
        <v>2.5</v>
      </c>
      <c r="AS23" s="987">
        <v>2.5</v>
      </c>
      <c r="AT23" s="987">
        <v>2.5</v>
      </c>
      <c r="AU23" s="987">
        <v>2.5</v>
      </c>
      <c r="AV23" s="987">
        <v>2.5</v>
      </c>
      <c r="AW23" s="987">
        <v>2.5</v>
      </c>
      <c r="AX23" s="987">
        <v>2.5</v>
      </c>
      <c r="AY23" s="987">
        <v>2.5</v>
      </c>
      <c r="AZ23" s="987">
        <v>2.5</v>
      </c>
      <c r="BA23" s="987">
        <v>2.5</v>
      </c>
      <c r="BB23" s="987">
        <v>2.5</v>
      </c>
      <c r="BC23" s="987">
        <v>2.5</v>
      </c>
      <c r="BD23" s="987">
        <v>2.5</v>
      </c>
      <c r="BE23" s="987">
        <v>2.5</v>
      </c>
      <c r="BF23" s="987">
        <v>2.5</v>
      </c>
      <c r="BG23" s="987">
        <v>2.5</v>
      </c>
      <c r="BH23" s="987">
        <v>2.5</v>
      </c>
      <c r="BI23" s="987">
        <v>2.5</v>
      </c>
      <c r="BJ23" s="987">
        <v>2.5</v>
      </c>
      <c r="BK23" s="987">
        <v>2.5</v>
      </c>
      <c r="BL23" s="987">
        <v>2.5</v>
      </c>
      <c r="BM23" s="987">
        <v>2.5</v>
      </c>
      <c r="BN23" s="987">
        <v>2.5</v>
      </c>
      <c r="BO23" s="987">
        <v>2.5</v>
      </c>
      <c r="BP23" s="987">
        <v>2.5</v>
      </c>
      <c r="BQ23" s="987">
        <v>2.5</v>
      </c>
      <c r="BR23" s="987">
        <v>2.5</v>
      </c>
      <c r="BS23" s="987">
        <v>2.5</v>
      </c>
      <c r="BT23" s="987">
        <v>2.5</v>
      </c>
      <c r="BU23" s="987">
        <v>2.5</v>
      </c>
      <c r="BV23" s="987">
        <v>2.5</v>
      </c>
      <c r="BW23" s="987">
        <v>2.5</v>
      </c>
      <c r="BX23" s="987">
        <v>2.5</v>
      </c>
      <c r="BY23" s="987">
        <v>2.5</v>
      </c>
      <c r="BZ23" s="987">
        <v>2.5</v>
      </c>
      <c r="CA23" s="987">
        <v>2.5</v>
      </c>
      <c r="CB23" s="987">
        <v>2.5</v>
      </c>
      <c r="CC23" s="987">
        <v>2.5</v>
      </c>
      <c r="CD23" s="987">
        <v>2.5</v>
      </c>
      <c r="CE23" s="987">
        <v>2.5</v>
      </c>
      <c r="CF23" s="987">
        <v>2.5</v>
      </c>
      <c r="CG23" s="987">
        <v>2.5</v>
      </c>
      <c r="CH23" s="987">
        <v>2.5</v>
      </c>
      <c r="CI23" s="987">
        <v>2.5</v>
      </c>
      <c r="CJ23" s="987">
        <v>2.5</v>
      </c>
      <c r="CK23" s="987">
        <v>2.5</v>
      </c>
      <c r="CL23" s="987">
        <v>2.5</v>
      </c>
      <c r="CM23" s="987">
        <v>2.5</v>
      </c>
      <c r="CN23" s="987">
        <v>2.5</v>
      </c>
      <c r="CO23" s="987">
        <v>2.5</v>
      </c>
      <c r="CP23" s="987">
        <v>2.5</v>
      </c>
      <c r="CQ23" s="987">
        <v>2.5</v>
      </c>
      <c r="CR23" s="987">
        <v>2.5</v>
      </c>
      <c r="CS23" s="987">
        <v>2.5</v>
      </c>
      <c r="CT23" s="987">
        <v>2.5</v>
      </c>
      <c r="CU23" s="987">
        <v>2.5</v>
      </c>
      <c r="CV23" s="987">
        <v>2.5</v>
      </c>
      <c r="CW23" s="987">
        <v>2.5</v>
      </c>
      <c r="CX23" s="987">
        <v>2.5</v>
      </c>
      <c r="CY23" s="987">
        <v>2.5</v>
      </c>
      <c r="CZ23" s="987">
        <v>2.5</v>
      </c>
      <c r="DA23" s="987">
        <v>2.5</v>
      </c>
      <c r="DB23" s="987">
        <v>2.5</v>
      </c>
      <c r="DC23" s="987">
        <v>2.5</v>
      </c>
      <c r="DD23" s="987">
        <v>2.5</v>
      </c>
      <c r="DE23" s="987">
        <v>2.5</v>
      </c>
      <c r="DF23" s="987">
        <v>2.5</v>
      </c>
      <c r="DG23" s="987">
        <v>2.5</v>
      </c>
      <c r="DH23" s="987">
        <v>2.5</v>
      </c>
      <c r="DI23" s="987">
        <v>2.5</v>
      </c>
      <c r="DJ23" s="987">
        <v>2.5</v>
      </c>
      <c r="DK23" s="987">
        <v>2.5</v>
      </c>
      <c r="DL23" s="987">
        <v>2.5</v>
      </c>
      <c r="DM23" s="987">
        <v>2.5</v>
      </c>
      <c r="DN23" s="987">
        <v>2.5</v>
      </c>
      <c r="DO23" s="987">
        <v>2.5</v>
      </c>
      <c r="DP23" s="987">
        <v>2.5</v>
      </c>
      <c r="DQ23" s="987">
        <v>2.5</v>
      </c>
      <c r="DR23" s="987">
        <v>2.5</v>
      </c>
      <c r="DS23" s="987">
        <v>2.5</v>
      </c>
      <c r="DT23" s="987">
        <v>2.5</v>
      </c>
      <c r="DU23" s="988">
        <v>2.5</v>
      </c>
    </row>
    <row r="24" spans="2:125" x14ac:dyDescent="0.2">
      <c r="B24" s="980" t="s">
        <v>1049</v>
      </c>
      <c r="C24" s="947"/>
      <c r="D24" s="947"/>
      <c r="E24" s="947"/>
      <c r="F24" s="944"/>
      <c r="G24" s="1004">
        <v>8</v>
      </c>
      <c r="H24" s="944"/>
      <c r="I24" s="970"/>
      <c r="J24" s="947"/>
      <c r="K24" s="947"/>
      <c r="L24" s="947"/>
      <c r="M24" s="993"/>
      <c r="N24" s="993" t="s">
        <v>1050</v>
      </c>
      <c r="O24" s="947"/>
      <c r="P24" s="947"/>
      <c r="Q24" s="993" t="s">
        <v>759</v>
      </c>
      <c r="R24" s="993" t="s">
        <v>1051</v>
      </c>
      <c r="S24" s="944"/>
      <c r="T24" s="964"/>
      <c r="U24" s="964"/>
      <c r="V24" s="944"/>
      <c r="W24" s="1012"/>
      <c r="X24" s="944"/>
      <c r="Y24" s="944"/>
      <c r="Z24" s="993"/>
      <c r="AA24" s="997"/>
      <c r="AB24" s="997"/>
      <c r="AC24" s="997"/>
      <c r="AD24" s="997"/>
      <c r="AE24" s="997"/>
      <c r="AF24" s="997"/>
      <c r="AG24" s="997"/>
      <c r="AH24" s="997"/>
      <c r="AI24" s="997"/>
      <c r="AJ24" s="997"/>
      <c r="AK24" s="997"/>
      <c r="AL24" s="997"/>
      <c r="AM24" s="997"/>
      <c r="AN24" s="947"/>
      <c r="AO24" s="947"/>
      <c r="AP24" s="997"/>
      <c r="AQ24" s="997"/>
      <c r="AR24" s="997"/>
      <c r="AS24" s="997"/>
      <c r="AT24" s="997"/>
      <c r="AU24" s="997"/>
      <c r="AV24" s="947"/>
      <c r="AW24" s="947"/>
      <c r="AX24" s="947"/>
      <c r="AY24" s="947"/>
      <c r="AZ24" s="947"/>
      <c r="BA24" s="947"/>
      <c r="BB24" s="947"/>
      <c r="BC24" s="947"/>
      <c r="BD24" s="947"/>
      <c r="BE24" s="947"/>
      <c r="BF24" s="947"/>
      <c r="BG24" s="947"/>
      <c r="BH24" s="947"/>
      <c r="BI24" s="947"/>
      <c r="BJ24" s="947"/>
      <c r="BK24" s="947"/>
      <c r="BL24" s="947"/>
      <c r="BM24" s="947"/>
      <c r="BN24" s="947"/>
      <c r="BO24" s="947"/>
      <c r="BP24" s="947"/>
      <c r="BQ24" s="947"/>
      <c r="BR24" s="947"/>
      <c r="BS24" s="947"/>
      <c r="BT24" s="947"/>
      <c r="BU24" s="947"/>
      <c r="BV24" s="947"/>
      <c r="BW24" s="947"/>
      <c r="BX24" s="947"/>
      <c r="BY24" s="947"/>
      <c r="BZ24" s="947"/>
      <c r="CA24" s="947"/>
      <c r="CB24" s="947"/>
      <c r="CC24" s="947"/>
      <c r="CD24" s="947"/>
      <c r="CE24" s="947"/>
      <c r="CF24" s="947"/>
      <c r="CG24" s="947"/>
      <c r="CH24" s="947"/>
      <c r="CI24" s="947"/>
      <c r="CJ24" s="947"/>
      <c r="CK24" s="947"/>
      <c r="CL24" s="947"/>
      <c r="CM24" s="947"/>
      <c r="CN24" s="947"/>
      <c r="CO24" s="947"/>
      <c r="CP24" s="947"/>
      <c r="CQ24" s="947"/>
      <c r="CR24" s="947"/>
      <c r="CS24" s="947"/>
      <c r="CT24" s="947"/>
      <c r="CU24" s="947"/>
      <c r="CV24" s="947"/>
      <c r="CW24" s="947"/>
      <c r="CX24" s="947"/>
      <c r="CY24" s="947"/>
      <c r="CZ24" s="947"/>
      <c r="DA24" s="947"/>
      <c r="DB24" s="947"/>
      <c r="DC24" s="947"/>
      <c r="DD24" s="947"/>
      <c r="DE24" s="947"/>
      <c r="DF24" s="947"/>
      <c r="DG24" s="947"/>
      <c r="DH24" s="947"/>
      <c r="DI24" s="947"/>
      <c r="DJ24" s="947"/>
      <c r="DK24" s="947"/>
      <c r="DL24" s="947"/>
      <c r="DM24" s="947"/>
      <c r="DN24" s="947"/>
      <c r="DO24" s="947"/>
      <c r="DP24" s="947"/>
      <c r="DQ24" s="947"/>
      <c r="DR24" s="947"/>
      <c r="DS24" s="947"/>
      <c r="DT24" s="947"/>
      <c r="DU24" s="971"/>
    </row>
    <row r="25" spans="2:125" x14ac:dyDescent="0.2">
      <c r="B25" s="980" t="s">
        <v>1052</v>
      </c>
      <c r="C25" s="947"/>
      <c r="D25" s="947"/>
      <c r="E25" s="947"/>
      <c r="F25" s="944"/>
      <c r="G25" s="1004">
        <v>2.5</v>
      </c>
      <c r="H25" s="944"/>
      <c r="I25" s="970"/>
      <c r="J25" s="943" t="s">
        <v>1053</v>
      </c>
      <c r="K25" s="943"/>
      <c r="L25" s="1013" t="s">
        <v>1054</v>
      </c>
      <c r="M25" s="943"/>
      <c r="N25" s="1013" t="s">
        <v>1055</v>
      </c>
      <c r="O25" s="1013" t="s">
        <v>1056</v>
      </c>
      <c r="P25" s="943"/>
      <c r="Q25" s="1013" t="s">
        <v>1057</v>
      </c>
      <c r="R25" s="1013" t="s">
        <v>1058</v>
      </c>
      <c r="S25" s="943"/>
      <c r="T25" s="1013" t="s">
        <v>1053</v>
      </c>
      <c r="U25" s="1013" t="s">
        <v>1059</v>
      </c>
      <c r="V25" s="944"/>
      <c r="W25" s="1012"/>
      <c r="X25" s="944"/>
      <c r="Y25" s="992" t="s">
        <v>440</v>
      </c>
      <c r="Z25" s="993"/>
      <c r="AA25" s="947"/>
      <c r="AB25" s="947"/>
      <c r="AC25" s="947"/>
      <c r="AD25" s="947"/>
      <c r="AE25" s="947"/>
      <c r="AF25" s="947"/>
      <c r="AG25" s="947"/>
      <c r="AH25" s="947"/>
      <c r="AI25" s="947"/>
      <c r="AJ25" s="947"/>
      <c r="AK25" s="947"/>
      <c r="AL25" s="997"/>
      <c r="AM25" s="997"/>
      <c r="AN25" s="997"/>
      <c r="AO25" s="997"/>
      <c r="AP25" s="997"/>
      <c r="AQ25" s="997"/>
      <c r="AR25" s="997"/>
      <c r="AS25" s="997"/>
      <c r="AT25" s="997"/>
      <c r="AU25" s="997"/>
      <c r="AV25" s="947"/>
      <c r="AW25" s="947"/>
      <c r="AX25" s="981"/>
      <c r="AY25" s="947"/>
      <c r="AZ25" s="947"/>
      <c r="BA25" s="947"/>
      <c r="BB25" s="947"/>
      <c r="BC25" s="947"/>
      <c r="BD25" s="947"/>
      <c r="BE25" s="947"/>
      <c r="BF25" s="947"/>
      <c r="BG25" s="947"/>
      <c r="BH25" s="947"/>
      <c r="BI25" s="947"/>
      <c r="BJ25" s="947"/>
      <c r="BK25" s="947"/>
      <c r="BL25" s="947"/>
      <c r="BM25" s="947"/>
      <c r="BN25" s="947"/>
      <c r="BO25" s="947"/>
      <c r="BP25" s="947"/>
      <c r="BQ25" s="947"/>
      <c r="BR25" s="947"/>
      <c r="BS25" s="947"/>
      <c r="BT25" s="947"/>
      <c r="BU25" s="947"/>
      <c r="BV25" s="947"/>
      <c r="BW25" s="947"/>
      <c r="BX25" s="947"/>
      <c r="BY25" s="947"/>
      <c r="BZ25" s="947"/>
      <c r="CA25" s="947"/>
      <c r="CB25" s="947"/>
      <c r="CC25" s="947"/>
      <c r="CD25" s="947"/>
      <c r="CE25" s="947"/>
      <c r="CF25" s="947"/>
      <c r="CG25" s="947"/>
      <c r="CH25" s="947"/>
      <c r="CI25" s="947"/>
      <c r="CJ25" s="947"/>
      <c r="CK25" s="947"/>
      <c r="CL25" s="947"/>
      <c r="CM25" s="947"/>
      <c r="CN25" s="947"/>
      <c r="CO25" s="947"/>
      <c r="CP25" s="947"/>
      <c r="CQ25" s="947"/>
      <c r="CR25" s="947"/>
      <c r="CS25" s="947"/>
      <c r="CT25" s="947"/>
      <c r="CU25" s="947"/>
      <c r="CV25" s="947"/>
      <c r="CW25" s="947"/>
      <c r="CX25" s="947"/>
      <c r="CY25" s="947"/>
      <c r="CZ25" s="947"/>
      <c r="DA25" s="947"/>
      <c r="DB25" s="947"/>
      <c r="DC25" s="947"/>
      <c r="DD25" s="947"/>
      <c r="DE25" s="947"/>
      <c r="DF25" s="947"/>
      <c r="DG25" s="947"/>
      <c r="DH25" s="947"/>
      <c r="DI25" s="947"/>
      <c r="DJ25" s="947"/>
      <c r="DK25" s="947"/>
      <c r="DL25" s="947"/>
      <c r="DM25" s="947"/>
      <c r="DN25" s="947"/>
      <c r="DO25" s="947"/>
      <c r="DP25" s="947"/>
      <c r="DQ25" s="947"/>
      <c r="DR25" s="947"/>
      <c r="DS25" s="947"/>
      <c r="DT25" s="947"/>
      <c r="DU25" s="971"/>
    </row>
    <row r="26" spans="2:125" x14ac:dyDescent="0.2">
      <c r="B26" s="980"/>
      <c r="C26" s="947"/>
      <c r="D26" s="947"/>
      <c r="E26" s="947"/>
      <c r="F26" s="947"/>
      <c r="G26" s="999"/>
      <c r="H26" s="944"/>
      <c r="I26" s="970"/>
      <c r="J26" s="947" t="s">
        <v>1060</v>
      </c>
      <c r="K26" s="947"/>
      <c r="L26" s="978" t="s">
        <v>1061</v>
      </c>
      <c r="M26" s="944"/>
      <c r="N26" s="1014" t="s">
        <v>1061</v>
      </c>
      <c r="O26" s="987" t="s">
        <v>1061</v>
      </c>
      <c r="P26" s="944"/>
      <c r="Q26" s="987" t="s">
        <v>1061</v>
      </c>
      <c r="R26" s="987" t="s">
        <v>1061</v>
      </c>
      <c r="S26" s="944"/>
      <c r="T26" s="987">
        <f ca="1">(AA47+AA48)/(AA50)*100</f>
        <v>115.05205338248537</v>
      </c>
      <c r="U26" s="987">
        <f ca="1">T26</f>
        <v>115.05205338248537</v>
      </c>
      <c r="V26" s="944"/>
      <c r="W26" s="1012"/>
      <c r="X26" s="944"/>
      <c r="Y26" s="944" t="s">
        <v>1039</v>
      </c>
      <c r="Z26" s="955">
        <f t="shared" ref="Z26:CK26" si="29">Z19</f>
        <v>181290.38740871908</v>
      </c>
      <c r="AA26" s="955">
        <f t="shared" si="29"/>
        <v>180273.23135400782</v>
      </c>
      <c r="AB26" s="955">
        <f t="shared" si="29"/>
        <v>175499.35055333353</v>
      </c>
      <c r="AC26" s="955">
        <f t="shared" si="29"/>
        <v>177771.76057450898</v>
      </c>
      <c r="AD26" s="955">
        <f t="shared" si="29"/>
        <v>183042.67867915612</v>
      </c>
      <c r="AE26" s="955">
        <f t="shared" ref="AE26" si="30">AE19</f>
        <v>188532.34149590641</v>
      </c>
      <c r="AF26" s="955">
        <f t="shared" si="29"/>
        <v>199219.32564808097</v>
      </c>
      <c r="AG26" s="955">
        <f t="shared" si="29"/>
        <v>203712.53931868673</v>
      </c>
      <c r="AH26" s="955">
        <f t="shared" si="29"/>
        <v>208218.20485923215</v>
      </c>
      <c r="AI26" s="955">
        <f t="shared" si="29"/>
        <v>212731.25998071293</v>
      </c>
      <c r="AJ26" s="955">
        <f t="shared" si="29"/>
        <v>217357.14148023073</v>
      </c>
      <c r="AK26" s="955">
        <f t="shared" si="29"/>
        <v>222098.67001723647</v>
      </c>
      <c r="AL26" s="955">
        <f t="shared" si="29"/>
        <v>226958.73676766735</v>
      </c>
      <c r="AM26" s="955">
        <f t="shared" si="29"/>
        <v>231940.30518685898</v>
      </c>
      <c r="AN26" s="955">
        <f t="shared" si="29"/>
        <v>237046.41281653047</v>
      </c>
      <c r="AO26" s="955">
        <f t="shared" si="29"/>
        <v>242280.17313694372</v>
      </c>
      <c r="AP26" s="955">
        <f t="shared" si="29"/>
        <v>247644.77746536728</v>
      </c>
      <c r="AQ26" s="955">
        <f t="shared" si="29"/>
        <v>253143.49690200144</v>
      </c>
      <c r="AR26" s="955">
        <f t="shared" si="29"/>
        <v>258779.68432455146</v>
      </c>
      <c r="AS26" s="955">
        <f t="shared" si="29"/>
        <v>264556.77643266524</v>
      </c>
      <c r="AT26" s="955">
        <f t="shared" si="29"/>
        <v>270478.29584348184</v>
      </c>
      <c r="AU26" s="955">
        <f t="shared" si="29"/>
        <v>276547.85323956888</v>
      </c>
      <c r="AV26" s="955">
        <f t="shared" si="29"/>
        <v>282769.1495705581</v>
      </c>
      <c r="AW26" s="955">
        <f t="shared" si="29"/>
        <v>289145.97830982204</v>
      </c>
      <c r="AX26" s="955">
        <f t="shared" si="29"/>
        <v>295682.22776756756</v>
      </c>
      <c r="AY26" s="955">
        <f t="shared" si="29"/>
        <v>302381.88346175675</v>
      </c>
      <c r="AZ26" s="955">
        <f t="shared" si="29"/>
        <v>309249.03054830065</v>
      </c>
      <c r="BA26" s="955">
        <f t="shared" si="29"/>
        <v>316287.85631200817</v>
      </c>
      <c r="BB26" s="955">
        <f t="shared" si="29"/>
        <v>323502.65271980833</v>
      </c>
      <c r="BC26" s="955">
        <f t="shared" si="29"/>
        <v>330897.81903780351</v>
      </c>
      <c r="BD26" s="955">
        <f t="shared" si="29"/>
        <v>338477.86451374856</v>
      </c>
      <c r="BE26" s="955">
        <f t="shared" si="29"/>
        <v>346247.41112659225</v>
      </c>
      <c r="BF26" s="955">
        <f t="shared" si="29"/>
        <v>354211.19640475704</v>
      </c>
      <c r="BG26" s="955">
        <f t="shared" si="29"/>
        <v>362374.07631487591</v>
      </c>
      <c r="BH26" s="955">
        <f t="shared" si="29"/>
        <v>370741.02822274785</v>
      </c>
      <c r="BI26" s="955">
        <f t="shared" si="29"/>
        <v>379317.15392831643</v>
      </c>
      <c r="BJ26" s="955">
        <f t="shared" si="29"/>
        <v>388107.68277652434</v>
      </c>
      <c r="BK26" s="955">
        <f t="shared" si="29"/>
        <v>397117.9748459374</v>
      </c>
      <c r="BL26" s="955">
        <f t="shared" si="29"/>
        <v>406353.52421708574</v>
      </c>
      <c r="BM26" s="955">
        <f t="shared" si="29"/>
        <v>415819.96232251293</v>
      </c>
      <c r="BN26" s="955">
        <f t="shared" si="29"/>
        <v>425523.06138057564</v>
      </c>
      <c r="BO26" s="955">
        <f t="shared" si="29"/>
        <v>435468.73791509005</v>
      </c>
      <c r="BP26" s="955">
        <f t="shared" si="29"/>
        <v>445663.05636296724</v>
      </c>
      <c r="BQ26" s="955">
        <f t="shared" si="29"/>
        <v>456112.2327720414</v>
      </c>
      <c r="BR26" s="955">
        <f t="shared" si="29"/>
        <v>466822.63859134237</v>
      </c>
      <c r="BS26" s="955">
        <f t="shared" si="29"/>
        <v>477800.80455612595</v>
      </c>
      <c r="BT26" s="955">
        <f t="shared" si="29"/>
        <v>489053.42467002908</v>
      </c>
      <c r="BU26" s="955">
        <f t="shared" si="29"/>
        <v>500587.3602867797</v>
      </c>
      <c r="BV26" s="955">
        <f t="shared" si="29"/>
        <v>512409.64429394918</v>
      </c>
      <c r="BW26" s="955">
        <f t="shared" si="29"/>
        <v>524527.4854012978</v>
      </c>
      <c r="BX26" s="955">
        <f t="shared" si="29"/>
        <v>536948.27253633016</v>
      </c>
      <c r="BY26" s="955">
        <f t="shared" si="29"/>
        <v>549679.57934973843</v>
      </c>
      <c r="BZ26" s="955">
        <f t="shared" si="29"/>
        <v>562729.16883348185</v>
      </c>
      <c r="CA26" s="955">
        <f t="shared" si="29"/>
        <v>576104.99805431883</v>
      </c>
      <c r="CB26" s="955">
        <f t="shared" si="29"/>
        <v>589815.22300567676</v>
      </c>
      <c r="CC26" s="955">
        <f t="shared" si="29"/>
        <v>603868.2035808186</v>
      </c>
      <c r="CD26" s="955">
        <f t="shared" si="29"/>
        <v>618272.50867033901</v>
      </c>
      <c r="CE26" s="955">
        <f t="shared" si="29"/>
        <v>633036.92138709745</v>
      </c>
      <c r="CF26" s="955">
        <f t="shared" si="29"/>
        <v>648170.44442177482</v>
      </c>
      <c r="CG26" s="955">
        <f t="shared" si="29"/>
        <v>663682.30553231912</v>
      </c>
      <c r="CH26" s="955">
        <f t="shared" si="29"/>
        <v>679581.96317062702</v>
      </c>
      <c r="CI26" s="955">
        <f t="shared" si="29"/>
        <v>695879.11224989267</v>
      </c>
      <c r="CJ26" s="955">
        <f t="shared" si="29"/>
        <v>712583.69005613995</v>
      </c>
      <c r="CK26" s="955">
        <f t="shared" si="29"/>
        <v>729705.88230754342</v>
      </c>
      <c r="CL26" s="955">
        <f t="shared" ref="CL26:DU26" si="31">CL19</f>
        <v>747256.12936523196</v>
      </c>
      <c r="CM26" s="955">
        <f t="shared" si="31"/>
        <v>765245.13259936264</v>
      </c>
      <c r="CN26" s="955">
        <f t="shared" si="31"/>
        <v>783683.86091434653</v>
      </c>
      <c r="CO26" s="955">
        <f t="shared" si="31"/>
        <v>802583.55743720522</v>
      </c>
      <c r="CP26" s="955">
        <f t="shared" si="31"/>
        <v>821955.74637313525</v>
      </c>
      <c r="CQ26" s="955">
        <f t="shared" si="31"/>
        <v>841812.24003246357</v>
      </c>
      <c r="CR26" s="955">
        <f t="shared" si="31"/>
        <v>862165.14603327517</v>
      </c>
      <c r="CS26" s="955">
        <f t="shared" si="31"/>
        <v>883026.87468410691</v>
      </c>
      <c r="CT26" s="955">
        <f t="shared" si="31"/>
        <v>904410.1465512095</v>
      </c>
      <c r="CU26" s="955">
        <f t="shared" si="31"/>
        <v>926328.00021498965</v>
      </c>
      <c r="CV26" s="955">
        <f t="shared" si="31"/>
        <v>948793.80022036436</v>
      </c>
      <c r="CW26" s="955">
        <f t="shared" si="31"/>
        <v>971821.24522587343</v>
      </c>
      <c r="CX26" s="955">
        <f t="shared" si="31"/>
        <v>995424.37635652022</v>
      </c>
      <c r="CY26" s="955">
        <f t="shared" si="31"/>
        <v>1019617.5857654331</v>
      </c>
      <c r="CZ26" s="955">
        <f t="shared" si="31"/>
        <v>1044415.6254095689</v>
      </c>
      <c r="DA26" s="955">
        <f t="shared" si="31"/>
        <v>1069833.6160448082</v>
      </c>
      <c r="DB26" s="955">
        <f t="shared" si="31"/>
        <v>1095887.0564459281</v>
      </c>
      <c r="DC26" s="955">
        <f t="shared" si="31"/>
        <v>1122591.8328570761</v>
      </c>
      <c r="DD26" s="955">
        <f t="shared" si="31"/>
        <v>1149964.2286785028</v>
      </c>
      <c r="DE26" s="955">
        <f t="shared" si="31"/>
        <v>1178020.9343954653</v>
      </c>
      <c r="DF26" s="955">
        <f t="shared" si="31"/>
        <v>1206779.0577553518</v>
      </c>
      <c r="DG26" s="955">
        <f t="shared" si="31"/>
        <v>1236256.1341992354</v>
      </c>
      <c r="DH26" s="955">
        <f t="shared" si="31"/>
        <v>1266470.1375542162</v>
      </c>
      <c r="DI26" s="955">
        <f t="shared" si="31"/>
        <v>1297439.4909930716</v>
      </c>
      <c r="DJ26" s="955">
        <f t="shared" si="31"/>
        <v>1329183.0782678982</v>
      </c>
      <c r="DK26" s="955">
        <f t="shared" si="31"/>
        <v>1361720.2552245955</v>
      </c>
      <c r="DL26" s="955">
        <f t="shared" si="31"/>
        <v>1395070.8616052102</v>
      </c>
      <c r="DM26" s="955">
        <f t="shared" si="31"/>
        <v>1429255.2331453403</v>
      </c>
      <c r="DN26" s="955">
        <f t="shared" si="31"/>
        <v>1464294.2139739736</v>
      </c>
      <c r="DO26" s="955">
        <f t="shared" si="31"/>
        <v>1500209.1693233228</v>
      </c>
      <c r="DP26" s="955">
        <f t="shared" si="31"/>
        <v>1537021.998556406</v>
      </c>
      <c r="DQ26" s="955">
        <f t="shared" si="31"/>
        <v>1574755.148520316</v>
      </c>
      <c r="DR26" s="955">
        <f t="shared" si="31"/>
        <v>1613431.6272333234</v>
      </c>
      <c r="DS26" s="955">
        <f t="shared" si="31"/>
        <v>1653075.0179141564</v>
      </c>
      <c r="DT26" s="955">
        <f t="shared" si="31"/>
        <v>1693709.4933620102</v>
      </c>
      <c r="DU26" s="956">
        <f t="shared" si="31"/>
        <v>1735359.8306960603</v>
      </c>
    </row>
    <row r="27" spans="2:125" x14ac:dyDescent="0.2">
      <c r="B27" s="975" t="s">
        <v>1062</v>
      </c>
      <c r="C27" s="948"/>
      <c r="D27" s="948"/>
      <c r="E27" s="948"/>
      <c r="F27" s="948"/>
      <c r="G27" s="976"/>
      <c r="H27" s="944"/>
      <c r="I27" s="970"/>
      <c r="J27" s="947" t="s">
        <v>1063</v>
      </c>
      <c r="K27" s="947"/>
      <c r="L27" s="973">
        <f>DEVELOPMENT</f>
        <v>5</v>
      </c>
      <c r="M27" s="944"/>
      <c r="N27" s="987" t="e">
        <f ca="1">((OFFSET($Z$8,0,DEVELOPMENT-1)/$Z$8)^(1/(DEVELOPMENT-1))-1)*100</f>
        <v>#NUM!</v>
      </c>
      <c r="O27" s="987">
        <f ca="1">((OFFSET($Z$22,0,DEVELOPMENT-1)/$Z$22)^(1/(DEVELOPMENT-1))-1)*100</f>
        <v>3.360329966192932</v>
      </c>
      <c r="P27" s="944"/>
      <c r="Q27" s="987">
        <f ca="1">OFFSET($Z$40,0,DEVELOPMENT-1)</f>
        <v>11.750091251274439</v>
      </c>
      <c r="R27" s="987">
        <f ca="1">OFFSET($Z$13,0,DEVELOPMENT-1)</f>
        <v>74.76622329266776</v>
      </c>
      <c r="S27" s="944"/>
      <c r="T27" s="987">
        <f ca="1">SUM(OFFSET($Z$45,0,0,1,DEVELOPMENT))/$AA$50*100</f>
        <v>-16.877069117216283</v>
      </c>
      <c r="U27" s="987">
        <f ca="1">T27+U26</f>
        <v>98.174984265269089</v>
      </c>
      <c r="V27" s="944"/>
      <c r="W27" s="1012"/>
      <c r="X27" s="944"/>
      <c r="Y27" s="944" t="s">
        <v>1064</v>
      </c>
      <c r="Z27" s="1060">
        <f>Model!AZ842+Model!AZ843+Model!AZ844</f>
        <v>27402</v>
      </c>
      <c r="AA27" s="1060">
        <f>Model!BA842+Model!BA843+Model!BA844</f>
        <v>27696</v>
      </c>
      <c r="AB27" s="1060">
        <f>Model!BB842+Model!BB843+Model!BB844</f>
        <v>27696</v>
      </c>
      <c r="AC27" s="1060">
        <f>Model!BC842+Model!BC843+Model!BC844</f>
        <v>27696</v>
      </c>
      <c r="AD27" s="1060">
        <f>Model!BD842+Model!BD843+Model!BD844</f>
        <v>27696</v>
      </c>
      <c r="AE27" s="1060">
        <f>Model!BE842+Model!BE843+Model!BE844</f>
        <v>27696</v>
      </c>
      <c r="AF27" s="955">
        <f t="shared" ref="AF27:CQ27" si="32">IF((AE27-AF7)&lt;0,0,AE27-AF7)</f>
        <v>27696</v>
      </c>
      <c r="AG27" s="955">
        <f t="shared" si="32"/>
        <v>27696</v>
      </c>
      <c r="AH27" s="955">
        <f t="shared" si="32"/>
        <v>27696</v>
      </c>
      <c r="AI27" s="955">
        <f t="shared" si="32"/>
        <v>27696</v>
      </c>
      <c r="AJ27" s="955">
        <f t="shared" si="32"/>
        <v>27696</v>
      </c>
      <c r="AK27" s="955">
        <f t="shared" si="32"/>
        <v>27696</v>
      </c>
      <c r="AL27" s="955">
        <f t="shared" si="32"/>
        <v>27696</v>
      </c>
      <c r="AM27" s="955">
        <f t="shared" si="32"/>
        <v>27696</v>
      </c>
      <c r="AN27" s="955">
        <f t="shared" si="32"/>
        <v>27696</v>
      </c>
      <c r="AO27" s="955">
        <f t="shared" si="32"/>
        <v>27696</v>
      </c>
      <c r="AP27" s="955">
        <f t="shared" si="32"/>
        <v>27696</v>
      </c>
      <c r="AQ27" s="955">
        <f t="shared" si="32"/>
        <v>27696</v>
      </c>
      <c r="AR27" s="955">
        <f t="shared" si="32"/>
        <v>27696</v>
      </c>
      <c r="AS27" s="955">
        <f t="shared" si="32"/>
        <v>27696</v>
      </c>
      <c r="AT27" s="955">
        <f t="shared" si="32"/>
        <v>27696</v>
      </c>
      <c r="AU27" s="955">
        <f t="shared" si="32"/>
        <v>27696</v>
      </c>
      <c r="AV27" s="955">
        <f t="shared" si="32"/>
        <v>27696</v>
      </c>
      <c r="AW27" s="955">
        <f t="shared" si="32"/>
        <v>27696</v>
      </c>
      <c r="AX27" s="955">
        <f t="shared" si="32"/>
        <v>27696</v>
      </c>
      <c r="AY27" s="955">
        <f t="shared" si="32"/>
        <v>27696</v>
      </c>
      <c r="AZ27" s="955">
        <f t="shared" si="32"/>
        <v>27696</v>
      </c>
      <c r="BA27" s="955">
        <f t="shared" si="32"/>
        <v>27696</v>
      </c>
      <c r="BB27" s="955">
        <f t="shared" si="32"/>
        <v>27696</v>
      </c>
      <c r="BC27" s="955">
        <f t="shared" si="32"/>
        <v>27696</v>
      </c>
      <c r="BD27" s="955">
        <f t="shared" si="32"/>
        <v>27696</v>
      </c>
      <c r="BE27" s="955">
        <f t="shared" si="32"/>
        <v>27696</v>
      </c>
      <c r="BF27" s="955">
        <f t="shared" si="32"/>
        <v>27696</v>
      </c>
      <c r="BG27" s="955">
        <f t="shared" si="32"/>
        <v>27696</v>
      </c>
      <c r="BH27" s="955">
        <f t="shared" si="32"/>
        <v>27696</v>
      </c>
      <c r="BI27" s="955">
        <f t="shared" si="32"/>
        <v>27696</v>
      </c>
      <c r="BJ27" s="955">
        <f t="shared" si="32"/>
        <v>27696</v>
      </c>
      <c r="BK27" s="955">
        <f t="shared" si="32"/>
        <v>27696</v>
      </c>
      <c r="BL27" s="955">
        <f t="shared" si="32"/>
        <v>27696</v>
      </c>
      <c r="BM27" s="955">
        <f t="shared" si="32"/>
        <v>27696</v>
      </c>
      <c r="BN27" s="955">
        <f t="shared" si="32"/>
        <v>27696</v>
      </c>
      <c r="BO27" s="955">
        <f t="shared" si="32"/>
        <v>27696</v>
      </c>
      <c r="BP27" s="955">
        <f t="shared" si="32"/>
        <v>27696</v>
      </c>
      <c r="BQ27" s="955">
        <f t="shared" si="32"/>
        <v>27696</v>
      </c>
      <c r="BR27" s="955">
        <f t="shared" si="32"/>
        <v>27696</v>
      </c>
      <c r="BS27" s="955">
        <f t="shared" si="32"/>
        <v>27696</v>
      </c>
      <c r="BT27" s="955">
        <f t="shared" si="32"/>
        <v>27696</v>
      </c>
      <c r="BU27" s="955">
        <f t="shared" si="32"/>
        <v>27696</v>
      </c>
      <c r="BV27" s="955">
        <f t="shared" si="32"/>
        <v>27696</v>
      </c>
      <c r="BW27" s="955">
        <f t="shared" si="32"/>
        <v>27696</v>
      </c>
      <c r="BX27" s="955">
        <f t="shared" si="32"/>
        <v>27696</v>
      </c>
      <c r="BY27" s="955">
        <f t="shared" si="32"/>
        <v>27696</v>
      </c>
      <c r="BZ27" s="955">
        <f t="shared" si="32"/>
        <v>27696</v>
      </c>
      <c r="CA27" s="955">
        <f t="shared" si="32"/>
        <v>27696</v>
      </c>
      <c r="CB27" s="955">
        <f t="shared" si="32"/>
        <v>27696</v>
      </c>
      <c r="CC27" s="955">
        <f t="shared" si="32"/>
        <v>27696</v>
      </c>
      <c r="CD27" s="955">
        <f t="shared" si="32"/>
        <v>27696</v>
      </c>
      <c r="CE27" s="955">
        <f t="shared" si="32"/>
        <v>27696</v>
      </c>
      <c r="CF27" s="955">
        <f t="shared" si="32"/>
        <v>27696</v>
      </c>
      <c r="CG27" s="955">
        <f t="shared" si="32"/>
        <v>27696</v>
      </c>
      <c r="CH27" s="955">
        <f t="shared" si="32"/>
        <v>27696</v>
      </c>
      <c r="CI27" s="955">
        <f t="shared" si="32"/>
        <v>27696</v>
      </c>
      <c r="CJ27" s="955">
        <f t="shared" si="32"/>
        <v>27696</v>
      </c>
      <c r="CK27" s="955">
        <f t="shared" si="32"/>
        <v>27696</v>
      </c>
      <c r="CL27" s="955">
        <f t="shared" si="32"/>
        <v>27696</v>
      </c>
      <c r="CM27" s="955">
        <f t="shared" si="32"/>
        <v>27696</v>
      </c>
      <c r="CN27" s="955">
        <f t="shared" si="32"/>
        <v>27696</v>
      </c>
      <c r="CO27" s="955">
        <f t="shared" si="32"/>
        <v>27696</v>
      </c>
      <c r="CP27" s="955">
        <f t="shared" si="32"/>
        <v>27696</v>
      </c>
      <c r="CQ27" s="955">
        <f t="shared" si="32"/>
        <v>27696</v>
      </c>
      <c r="CR27" s="955">
        <f t="shared" ref="CR27:DU27" si="33">IF((CQ27-CR7)&lt;0,0,CQ27-CR7)</f>
        <v>27696</v>
      </c>
      <c r="CS27" s="955">
        <f t="shared" si="33"/>
        <v>27696</v>
      </c>
      <c r="CT27" s="955">
        <f t="shared" si="33"/>
        <v>27696</v>
      </c>
      <c r="CU27" s="955">
        <f t="shared" si="33"/>
        <v>27696</v>
      </c>
      <c r="CV27" s="955">
        <f t="shared" si="33"/>
        <v>27696</v>
      </c>
      <c r="CW27" s="955">
        <f t="shared" si="33"/>
        <v>27696</v>
      </c>
      <c r="CX27" s="955">
        <f t="shared" si="33"/>
        <v>27696</v>
      </c>
      <c r="CY27" s="955">
        <f t="shared" si="33"/>
        <v>27696</v>
      </c>
      <c r="CZ27" s="955">
        <f t="shared" si="33"/>
        <v>27696</v>
      </c>
      <c r="DA27" s="955">
        <f t="shared" si="33"/>
        <v>27696</v>
      </c>
      <c r="DB27" s="955">
        <f t="shared" si="33"/>
        <v>27696</v>
      </c>
      <c r="DC27" s="955">
        <f t="shared" si="33"/>
        <v>27696</v>
      </c>
      <c r="DD27" s="955">
        <f t="shared" si="33"/>
        <v>27696</v>
      </c>
      <c r="DE27" s="955">
        <f t="shared" si="33"/>
        <v>27696</v>
      </c>
      <c r="DF27" s="955">
        <f t="shared" si="33"/>
        <v>27696</v>
      </c>
      <c r="DG27" s="955">
        <f t="shared" si="33"/>
        <v>27696</v>
      </c>
      <c r="DH27" s="955">
        <f t="shared" si="33"/>
        <v>27696</v>
      </c>
      <c r="DI27" s="955">
        <f t="shared" si="33"/>
        <v>27696</v>
      </c>
      <c r="DJ27" s="955">
        <f t="shared" si="33"/>
        <v>27696</v>
      </c>
      <c r="DK27" s="955">
        <f t="shared" si="33"/>
        <v>27696</v>
      </c>
      <c r="DL27" s="955">
        <f t="shared" si="33"/>
        <v>27696</v>
      </c>
      <c r="DM27" s="955">
        <f t="shared" si="33"/>
        <v>27696</v>
      </c>
      <c r="DN27" s="955">
        <f t="shared" si="33"/>
        <v>27696</v>
      </c>
      <c r="DO27" s="955">
        <f t="shared" si="33"/>
        <v>27696</v>
      </c>
      <c r="DP27" s="955">
        <f t="shared" si="33"/>
        <v>27696</v>
      </c>
      <c r="DQ27" s="955">
        <f t="shared" si="33"/>
        <v>27696</v>
      </c>
      <c r="DR27" s="955">
        <f t="shared" si="33"/>
        <v>27696</v>
      </c>
      <c r="DS27" s="955">
        <f t="shared" si="33"/>
        <v>27696</v>
      </c>
      <c r="DT27" s="955">
        <f t="shared" si="33"/>
        <v>27696</v>
      </c>
      <c r="DU27" s="956">
        <f t="shared" si="33"/>
        <v>27696</v>
      </c>
    </row>
    <row r="28" spans="2:125" x14ac:dyDescent="0.2">
      <c r="B28" s="980" t="s">
        <v>1065</v>
      </c>
      <c r="C28" s="947"/>
      <c r="D28" s="947"/>
      <c r="E28" s="947"/>
      <c r="F28" s="947"/>
      <c r="G28" s="1051">
        <f>Model!AB842</f>
        <v>22659</v>
      </c>
      <c r="H28" s="944"/>
      <c r="I28" s="970"/>
      <c r="J28" s="944" t="s">
        <v>1066</v>
      </c>
      <c r="K28" s="944"/>
      <c r="L28" s="973">
        <f>MATURITY</f>
        <v>5</v>
      </c>
      <c r="M28" s="944"/>
      <c r="N28" s="987">
        <f ca="1">IF(MATURITY=0,"NM",((OFFSET($Y$8,0,DEVELOPMENT+MATURITY-1)/OFFSET($Y$8,0,DEVELOPMENT-1))^(1/MATURITY)-1)*100)</f>
        <v>3.4177420330067765</v>
      </c>
      <c r="O28" s="987">
        <f ca="1">IF(MATURITY=0,"NM",((OFFSET($Y$22,0,DEVELOPMENT+MATURITY-1)/OFFSET($Y$22,0,DEVELOPMENT-1))^(1/MATURITY)-1)*100)</f>
        <v>2.8699381799902168</v>
      </c>
      <c r="P28" s="944"/>
      <c r="Q28" s="987">
        <f ca="1">IF(MATURITY=0,"NM",OFFSET($Y$40,0,DEVELOPMENT+MATURITY-1))</f>
        <v>11.456179136421067</v>
      </c>
      <c r="R28" s="987">
        <f ca="1">IF(MATURITY=0,"NM",OFFSET($Y$13,0,DEVELOPMENT+MATURITY-1))</f>
        <v>80.693595895478737</v>
      </c>
      <c r="S28" s="944"/>
      <c r="T28" s="1056">
        <f ca="1">IF(MATURITY=0,0,SUM(OFFSET($Z$45,0,DEVELOPMENT,1,MATURITY))/AA50*100)</f>
        <v>1.1413375463812503</v>
      </c>
      <c r="U28" s="987">
        <f ca="1">T28+U27</f>
        <v>99.31632181165034</v>
      </c>
      <c r="V28" s="944"/>
      <c r="W28" s="1012"/>
      <c r="X28" s="944"/>
      <c r="Y28" s="944" t="s">
        <v>1067</v>
      </c>
      <c r="Z28" s="955">
        <f t="shared" ref="Z28:CK28" si="34">Z26-Z27</f>
        <v>153888.38740871908</v>
      </c>
      <c r="AA28" s="955">
        <f t="shared" si="34"/>
        <v>152577.23135400782</v>
      </c>
      <c r="AB28" s="955">
        <f t="shared" si="34"/>
        <v>147803.35055333353</v>
      </c>
      <c r="AC28" s="955">
        <f t="shared" si="34"/>
        <v>150075.76057450898</v>
      </c>
      <c r="AD28" s="955">
        <f t="shared" si="34"/>
        <v>155346.67867915612</v>
      </c>
      <c r="AE28" s="955">
        <f t="shared" ref="AE28" si="35">AE26-AE27</f>
        <v>160836.34149590641</v>
      </c>
      <c r="AF28" s="955">
        <f t="shared" si="34"/>
        <v>171523.32564808097</v>
      </c>
      <c r="AG28" s="955">
        <f t="shared" si="34"/>
        <v>176016.53931868673</v>
      </c>
      <c r="AH28" s="955">
        <f t="shared" si="34"/>
        <v>180522.20485923215</v>
      </c>
      <c r="AI28" s="955">
        <f t="shared" si="34"/>
        <v>185035.25998071293</v>
      </c>
      <c r="AJ28" s="955">
        <f t="shared" si="34"/>
        <v>189661.14148023073</v>
      </c>
      <c r="AK28" s="955">
        <f t="shared" si="34"/>
        <v>194402.67001723647</v>
      </c>
      <c r="AL28" s="955">
        <f t="shared" si="34"/>
        <v>199262.73676766735</v>
      </c>
      <c r="AM28" s="955">
        <f t="shared" si="34"/>
        <v>204244.30518685898</v>
      </c>
      <c r="AN28" s="955">
        <f t="shared" si="34"/>
        <v>209350.41281653047</v>
      </c>
      <c r="AO28" s="955">
        <f t="shared" si="34"/>
        <v>214584.17313694372</v>
      </c>
      <c r="AP28" s="955">
        <f t="shared" si="34"/>
        <v>219948.77746536728</v>
      </c>
      <c r="AQ28" s="955">
        <f t="shared" si="34"/>
        <v>225447.49690200144</v>
      </c>
      <c r="AR28" s="955">
        <f t="shared" si="34"/>
        <v>231083.68432455146</v>
      </c>
      <c r="AS28" s="955">
        <f t="shared" si="34"/>
        <v>236860.77643266524</v>
      </c>
      <c r="AT28" s="955">
        <f t="shared" si="34"/>
        <v>242782.29584348184</v>
      </c>
      <c r="AU28" s="955">
        <f t="shared" si="34"/>
        <v>248851.85323956888</v>
      </c>
      <c r="AV28" s="955">
        <f t="shared" si="34"/>
        <v>255073.1495705581</v>
      </c>
      <c r="AW28" s="955">
        <f t="shared" si="34"/>
        <v>261449.97830982204</v>
      </c>
      <c r="AX28" s="955">
        <f t="shared" si="34"/>
        <v>267986.22776756756</v>
      </c>
      <c r="AY28" s="955">
        <f t="shared" si="34"/>
        <v>274685.88346175675</v>
      </c>
      <c r="AZ28" s="955">
        <f t="shared" si="34"/>
        <v>281553.03054830065</v>
      </c>
      <c r="BA28" s="955">
        <f t="shared" si="34"/>
        <v>288591.85631200817</v>
      </c>
      <c r="BB28" s="955">
        <f t="shared" si="34"/>
        <v>295806.65271980833</v>
      </c>
      <c r="BC28" s="955">
        <f t="shared" si="34"/>
        <v>303201.81903780351</v>
      </c>
      <c r="BD28" s="955">
        <f t="shared" si="34"/>
        <v>310781.86451374856</v>
      </c>
      <c r="BE28" s="955">
        <f t="shared" si="34"/>
        <v>318551.41112659225</v>
      </c>
      <c r="BF28" s="955">
        <f t="shared" si="34"/>
        <v>326515.19640475704</v>
      </c>
      <c r="BG28" s="955">
        <f t="shared" si="34"/>
        <v>334678.07631487591</v>
      </c>
      <c r="BH28" s="955">
        <f t="shared" si="34"/>
        <v>343045.02822274785</v>
      </c>
      <c r="BI28" s="955">
        <f t="shared" si="34"/>
        <v>351621.15392831643</v>
      </c>
      <c r="BJ28" s="955">
        <f t="shared" si="34"/>
        <v>360411.68277652434</v>
      </c>
      <c r="BK28" s="955">
        <f t="shared" si="34"/>
        <v>369421.9748459374</v>
      </c>
      <c r="BL28" s="955">
        <f t="shared" si="34"/>
        <v>378657.52421708574</v>
      </c>
      <c r="BM28" s="955">
        <f t="shared" si="34"/>
        <v>388123.96232251293</v>
      </c>
      <c r="BN28" s="955">
        <f t="shared" si="34"/>
        <v>397827.06138057564</v>
      </c>
      <c r="BO28" s="955">
        <f t="shared" si="34"/>
        <v>407772.73791509005</v>
      </c>
      <c r="BP28" s="955">
        <f t="shared" si="34"/>
        <v>417967.05636296724</v>
      </c>
      <c r="BQ28" s="955">
        <f t="shared" si="34"/>
        <v>428416.2327720414</v>
      </c>
      <c r="BR28" s="955">
        <f t="shared" si="34"/>
        <v>439126.63859134237</v>
      </c>
      <c r="BS28" s="955">
        <f t="shared" si="34"/>
        <v>450104.80455612595</v>
      </c>
      <c r="BT28" s="955">
        <f t="shared" si="34"/>
        <v>461357.42467002908</v>
      </c>
      <c r="BU28" s="955">
        <f t="shared" si="34"/>
        <v>472891.3602867797</v>
      </c>
      <c r="BV28" s="955">
        <f t="shared" si="34"/>
        <v>484713.64429394918</v>
      </c>
      <c r="BW28" s="955">
        <f t="shared" si="34"/>
        <v>496831.4854012978</v>
      </c>
      <c r="BX28" s="955">
        <f t="shared" si="34"/>
        <v>509252.27253633016</v>
      </c>
      <c r="BY28" s="955">
        <f t="shared" si="34"/>
        <v>521983.57934973843</v>
      </c>
      <c r="BZ28" s="955">
        <f t="shared" si="34"/>
        <v>535033.16883348185</v>
      </c>
      <c r="CA28" s="955">
        <f t="shared" si="34"/>
        <v>548408.99805431883</v>
      </c>
      <c r="CB28" s="955">
        <f t="shared" si="34"/>
        <v>562119.22300567676</v>
      </c>
      <c r="CC28" s="955">
        <f t="shared" si="34"/>
        <v>576172.2035808186</v>
      </c>
      <c r="CD28" s="955">
        <f t="shared" si="34"/>
        <v>590576.50867033901</v>
      </c>
      <c r="CE28" s="955">
        <f t="shared" si="34"/>
        <v>605340.92138709745</v>
      </c>
      <c r="CF28" s="955">
        <f t="shared" si="34"/>
        <v>620474.44442177482</v>
      </c>
      <c r="CG28" s="955">
        <f t="shared" si="34"/>
        <v>635986.30553231912</v>
      </c>
      <c r="CH28" s="955">
        <f t="shared" si="34"/>
        <v>651885.96317062702</v>
      </c>
      <c r="CI28" s="955">
        <f t="shared" si="34"/>
        <v>668183.11224989267</v>
      </c>
      <c r="CJ28" s="955">
        <f t="shared" si="34"/>
        <v>684887.69005613995</v>
      </c>
      <c r="CK28" s="955">
        <f t="shared" si="34"/>
        <v>702009.88230754342</v>
      </c>
      <c r="CL28" s="955">
        <f t="shared" ref="CL28:DQ28" si="36">CL26-CL27</f>
        <v>719560.12936523196</v>
      </c>
      <c r="CM28" s="955">
        <f t="shared" si="36"/>
        <v>737549.13259936264</v>
      </c>
      <c r="CN28" s="955">
        <f t="shared" si="36"/>
        <v>755987.86091434653</v>
      </c>
      <c r="CO28" s="955">
        <f t="shared" si="36"/>
        <v>774887.55743720522</v>
      </c>
      <c r="CP28" s="955">
        <f t="shared" si="36"/>
        <v>794259.74637313525</v>
      </c>
      <c r="CQ28" s="955">
        <f t="shared" si="36"/>
        <v>814116.24003246357</v>
      </c>
      <c r="CR28" s="955">
        <f t="shared" si="36"/>
        <v>834469.14603327517</v>
      </c>
      <c r="CS28" s="955">
        <f t="shared" si="36"/>
        <v>855330.87468410691</v>
      </c>
      <c r="CT28" s="955">
        <f t="shared" si="36"/>
        <v>876714.1465512095</v>
      </c>
      <c r="CU28" s="955">
        <f t="shared" si="36"/>
        <v>898632.00021498965</v>
      </c>
      <c r="CV28" s="955">
        <f t="shared" si="36"/>
        <v>921097.80022036436</v>
      </c>
      <c r="CW28" s="955">
        <f t="shared" si="36"/>
        <v>944125.24522587343</v>
      </c>
      <c r="CX28" s="955">
        <f t="shared" si="36"/>
        <v>967728.37635652022</v>
      </c>
      <c r="CY28" s="955">
        <f t="shared" si="36"/>
        <v>991921.58576543315</v>
      </c>
      <c r="CZ28" s="955">
        <f t="shared" si="36"/>
        <v>1016719.6254095689</v>
      </c>
      <c r="DA28" s="955">
        <f t="shared" si="36"/>
        <v>1042137.6160448082</v>
      </c>
      <c r="DB28" s="955">
        <f t="shared" si="36"/>
        <v>1068191.0564459281</v>
      </c>
      <c r="DC28" s="955">
        <f t="shared" si="36"/>
        <v>1094895.8328570761</v>
      </c>
      <c r="DD28" s="955">
        <f t="shared" si="36"/>
        <v>1122268.2286785028</v>
      </c>
      <c r="DE28" s="955">
        <f t="shared" si="36"/>
        <v>1150324.9343954653</v>
      </c>
      <c r="DF28" s="955">
        <f t="shared" si="36"/>
        <v>1179083.0577553518</v>
      </c>
      <c r="DG28" s="955">
        <f t="shared" si="36"/>
        <v>1208560.1341992354</v>
      </c>
      <c r="DH28" s="955">
        <f t="shared" si="36"/>
        <v>1238774.1375542162</v>
      </c>
      <c r="DI28" s="955">
        <f t="shared" si="36"/>
        <v>1269743.4909930716</v>
      </c>
      <c r="DJ28" s="955">
        <f t="shared" si="36"/>
        <v>1301487.0782678982</v>
      </c>
      <c r="DK28" s="955">
        <f t="shared" si="36"/>
        <v>1334024.2552245955</v>
      </c>
      <c r="DL28" s="955">
        <f t="shared" si="36"/>
        <v>1367374.8616052102</v>
      </c>
      <c r="DM28" s="955">
        <f t="shared" si="36"/>
        <v>1401559.2331453403</v>
      </c>
      <c r="DN28" s="955">
        <f t="shared" si="36"/>
        <v>1436598.2139739736</v>
      </c>
      <c r="DO28" s="955">
        <f t="shared" si="36"/>
        <v>1472513.1693233228</v>
      </c>
      <c r="DP28" s="955">
        <f t="shared" si="36"/>
        <v>1509325.998556406</v>
      </c>
      <c r="DQ28" s="955">
        <f t="shared" si="36"/>
        <v>1547059.148520316</v>
      </c>
      <c r="DR28" s="955">
        <f>DR26-DR27</f>
        <v>1585735.6272333234</v>
      </c>
      <c r="DS28" s="955">
        <f>DS26-DS27</f>
        <v>1625379.0179141564</v>
      </c>
      <c r="DT28" s="955">
        <f>DT26-DT27</f>
        <v>1666013.4933620102</v>
      </c>
      <c r="DU28" s="956">
        <f>DU26-DU27</f>
        <v>1707663.8306960603</v>
      </c>
    </row>
    <row r="29" spans="2:125" x14ac:dyDescent="0.2">
      <c r="B29" s="980" t="s">
        <v>1068</v>
      </c>
      <c r="C29" s="947"/>
      <c r="D29" s="947"/>
      <c r="E29" s="947"/>
      <c r="F29" s="947"/>
      <c r="G29" s="1015"/>
      <c r="H29" s="944"/>
      <c r="I29" s="970"/>
      <c r="J29" s="944" t="s">
        <v>1069</v>
      </c>
      <c r="K29" s="944"/>
      <c r="L29" s="973">
        <f ca="1">+CAP-DEVELOPMENT-MATURITY</f>
        <v>-3</v>
      </c>
      <c r="M29" s="944"/>
      <c r="N29" s="987">
        <f ca="1">IF(ISNUMBER((OFFSET($Y$8,0,CAP-1)/OFFSET($Y$8,0,DEVELOPMENT+MATURITY-1))^(1/DECLINE)*100-100),(OFFSET($Y$8,0,CAP-1)/OFFSET($Y$8,0,DEVELOPMENT+MATURITY-1))^(1/DECLINE)*100-100,"")</f>
        <v>2.8644731815612943</v>
      </c>
      <c r="O29" s="987">
        <f ca="1">IF(ISNUMBER((OFFSET($Y$22,0,CAP-1)/OFFSET($Y$22,0,DEVELOPMENT+MATURITY-1))^(1/DECLINE)*100-100),(OFFSET($Y$22,0,CAP-1)/OFFSET($Y$22,0,DEVELOPMENT+MATURITY-1))^(1/DECLINE)*100-100,"")</f>
        <v>2.6195817577290228</v>
      </c>
      <c r="P29" s="944"/>
      <c r="Q29" s="987">
        <f ca="1">OFFSET($Z$40,0,CAP-1)</f>
        <v>11.628816640368033</v>
      </c>
      <c r="R29" s="987">
        <f ca="1">OFFSET($Z$13,0,CAP-1)</f>
        <v>51.254583974483815</v>
      </c>
      <c r="S29" s="944"/>
      <c r="T29" s="987">
        <f ca="1">SUM(OFFSET($Z$45,0,DEVELOPMENT+MATURITY,1,100-DEVELOPMENT-MATURITY))/AA50*100</f>
        <v>0.6836781883496873</v>
      </c>
      <c r="U29" s="987">
        <f ca="1">T29+U28</f>
        <v>100.00000000000003</v>
      </c>
      <c r="V29" s="944"/>
      <c r="W29" s="1012"/>
      <c r="X29" s="944"/>
      <c r="Y29" s="944" t="s">
        <v>1070</v>
      </c>
      <c r="Z29" s="1061">
        <v>0</v>
      </c>
      <c r="AA29" s="1061">
        <f>Z29</f>
        <v>0</v>
      </c>
      <c r="AB29" s="1061">
        <f>AA29</f>
        <v>0</v>
      </c>
      <c r="AC29" s="1061">
        <f>AB29</f>
        <v>0</v>
      </c>
      <c r="AD29" s="1061">
        <f>AC29</f>
        <v>0</v>
      </c>
      <c r="AE29" s="1061">
        <f>AD29</f>
        <v>0</v>
      </c>
      <c r="AF29" s="955">
        <f t="shared" ref="AF29:CP29" si="37">AE29*(1+AF23/100)</f>
        <v>0</v>
      </c>
      <c r="AG29" s="955">
        <f t="shared" si="37"/>
        <v>0</v>
      </c>
      <c r="AH29" s="955">
        <f t="shared" si="37"/>
        <v>0</v>
      </c>
      <c r="AI29" s="955">
        <f t="shared" si="37"/>
        <v>0</v>
      </c>
      <c r="AJ29" s="955">
        <f t="shared" si="37"/>
        <v>0</v>
      </c>
      <c r="AK29" s="955">
        <f t="shared" si="37"/>
        <v>0</v>
      </c>
      <c r="AL29" s="955">
        <f t="shared" si="37"/>
        <v>0</v>
      </c>
      <c r="AM29" s="955">
        <f t="shared" si="37"/>
        <v>0</v>
      </c>
      <c r="AN29" s="955">
        <f t="shared" si="37"/>
        <v>0</v>
      </c>
      <c r="AO29" s="955">
        <f t="shared" si="37"/>
        <v>0</v>
      </c>
      <c r="AP29" s="955">
        <f t="shared" si="37"/>
        <v>0</v>
      </c>
      <c r="AQ29" s="955">
        <f t="shared" si="37"/>
        <v>0</v>
      </c>
      <c r="AR29" s="955">
        <f t="shared" si="37"/>
        <v>0</v>
      </c>
      <c r="AS29" s="955">
        <f t="shared" si="37"/>
        <v>0</v>
      </c>
      <c r="AT29" s="955">
        <f t="shared" si="37"/>
        <v>0</v>
      </c>
      <c r="AU29" s="955">
        <f t="shared" si="37"/>
        <v>0</v>
      </c>
      <c r="AV29" s="955">
        <f t="shared" si="37"/>
        <v>0</v>
      </c>
      <c r="AW29" s="955">
        <f t="shared" si="37"/>
        <v>0</v>
      </c>
      <c r="AX29" s="955">
        <f t="shared" si="37"/>
        <v>0</v>
      </c>
      <c r="AY29" s="955">
        <f t="shared" si="37"/>
        <v>0</v>
      </c>
      <c r="AZ29" s="955">
        <f t="shared" si="37"/>
        <v>0</v>
      </c>
      <c r="BA29" s="955">
        <f t="shared" si="37"/>
        <v>0</v>
      </c>
      <c r="BB29" s="955">
        <f t="shared" si="37"/>
        <v>0</v>
      </c>
      <c r="BC29" s="955">
        <f t="shared" si="37"/>
        <v>0</v>
      </c>
      <c r="BD29" s="955">
        <f t="shared" si="37"/>
        <v>0</v>
      </c>
      <c r="BE29" s="955">
        <f t="shared" si="37"/>
        <v>0</v>
      </c>
      <c r="BF29" s="955">
        <f t="shared" si="37"/>
        <v>0</v>
      </c>
      <c r="BG29" s="955">
        <f t="shared" si="37"/>
        <v>0</v>
      </c>
      <c r="BH29" s="955">
        <f t="shared" si="37"/>
        <v>0</v>
      </c>
      <c r="BI29" s="955">
        <f t="shared" si="37"/>
        <v>0</v>
      </c>
      <c r="BJ29" s="955">
        <f t="shared" si="37"/>
        <v>0</v>
      </c>
      <c r="BK29" s="955">
        <f t="shared" si="37"/>
        <v>0</v>
      </c>
      <c r="BL29" s="955">
        <f t="shared" si="37"/>
        <v>0</v>
      </c>
      <c r="BM29" s="955">
        <f t="shared" si="37"/>
        <v>0</v>
      </c>
      <c r="BN29" s="955">
        <f t="shared" si="37"/>
        <v>0</v>
      </c>
      <c r="BO29" s="955">
        <f t="shared" si="37"/>
        <v>0</v>
      </c>
      <c r="BP29" s="955">
        <f t="shared" si="37"/>
        <v>0</v>
      </c>
      <c r="BQ29" s="955">
        <f t="shared" si="37"/>
        <v>0</v>
      </c>
      <c r="BR29" s="955">
        <f t="shared" si="37"/>
        <v>0</v>
      </c>
      <c r="BS29" s="955">
        <f t="shared" si="37"/>
        <v>0</v>
      </c>
      <c r="BT29" s="955">
        <f t="shared" si="37"/>
        <v>0</v>
      </c>
      <c r="BU29" s="955">
        <f t="shared" si="37"/>
        <v>0</v>
      </c>
      <c r="BV29" s="955">
        <f t="shared" si="37"/>
        <v>0</v>
      </c>
      <c r="BW29" s="955">
        <f t="shared" si="37"/>
        <v>0</v>
      </c>
      <c r="BX29" s="955">
        <f t="shared" si="37"/>
        <v>0</v>
      </c>
      <c r="BY29" s="955">
        <f t="shared" si="37"/>
        <v>0</v>
      </c>
      <c r="BZ29" s="955">
        <f t="shared" si="37"/>
        <v>0</v>
      </c>
      <c r="CA29" s="955">
        <f t="shared" si="37"/>
        <v>0</v>
      </c>
      <c r="CB29" s="955">
        <f t="shared" si="37"/>
        <v>0</v>
      </c>
      <c r="CC29" s="955">
        <f t="shared" si="37"/>
        <v>0</v>
      </c>
      <c r="CD29" s="955">
        <f t="shared" si="37"/>
        <v>0</v>
      </c>
      <c r="CE29" s="955">
        <f t="shared" si="37"/>
        <v>0</v>
      </c>
      <c r="CF29" s="955">
        <f t="shared" si="37"/>
        <v>0</v>
      </c>
      <c r="CG29" s="955">
        <f t="shared" si="37"/>
        <v>0</v>
      </c>
      <c r="CH29" s="955">
        <f t="shared" si="37"/>
        <v>0</v>
      </c>
      <c r="CI29" s="955">
        <f t="shared" si="37"/>
        <v>0</v>
      </c>
      <c r="CJ29" s="955">
        <f t="shared" si="37"/>
        <v>0</v>
      </c>
      <c r="CK29" s="955">
        <f t="shared" si="37"/>
        <v>0</v>
      </c>
      <c r="CL29" s="955">
        <f t="shared" si="37"/>
        <v>0</v>
      </c>
      <c r="CM29" s="955">
        <f t="shared" si="37"/>
        <v>0</v>
      </c>
      <c r="CN29" s="955">
        <f t="shared" si="37"/>
        <v>0</v>
      </c>
      <c r="CO29" s="955">
        <f t="shared" si="37"/>
        <v>0</v>
      </c>
      <c r="CP29" s="955">
        <f t="shared" si="37"/>
        <v>0</v>
      </c>
      <c r="CQ29" s="955">
        <f t="shared" ref="CQ29:DU29" si="38">CP29*(1+CQ23/100)</f>
        <v>0</v>
      </c>
      <c r="CR29" s="955">
        <f t="shared" si="38"/>
        <v>0</v>
      </c>
      <c r="CS29" s="955">
        <f t="shared" si="38"/>
        <v>0</v>
      </c>
      <c r="CT29" s="955">
        <f t="shared" si="38"/>
        <v>0</v>
      </c>
      <c r="CU29" s="955">
        <f t="shared" si="38"/>
        <v>0</v>
      </c>
      <c r="CV29" s="955">
        <f t="shared" si="38"/>
        <v>0</v>
      </c>
      <c r="CW29" s="955">
        <f t="shared" si="38"/>
        <v>0</v>
      </c>
      <c r="CX29" s="955">
        <f t="shared" si="38"/>
        <v>0</v>
      </c>
      <c r="CY29" s="955">
        <f t="shared" si="38"/>
        <v>0</v>
      </c>
      <c r="CZ29" s="955">
        <f t="shared" si="38"/>
        <v>0</v>
      </c>
      <c r="DA29" s="955">
        <f t="shared" si="38"/>
        <v>0</v>
      </c>
      <c r="DB29" s="955">
        <f t="shared" si="38"/>
        <v>0</v>
      </c>
      <c r="DC29" s="955">
        <f t="shared" si="38"/>
        <v>0</v>
      </c>
      <c r="DD29" s="955">
        <f t="shared" si="38"/>
        <v>0</v>
      </c>
      <c r="DE29" s="955">
        <f t="shared" si="38"/>
        <v>0</v>
      </c>
      <c r="DF29" s="955">
        <f t="shared" si="38"/>
        <v>0</v>
      </c>
      <c r="DG29" s="955">
        <f t="shared" si="38"/>
        <v>0</v>
      </c>
      <c r="DH29" s="955">
        <f t="shared" si="38"/>
        <v>0</v>
      </c>
      <c r="DI29" s="955">
        <f t="shared" si="38"/>
        <v>0</v>
      </c>
      <c r="DJ29" s="955">
        <f t="shared" si="38"/>
        <v>0</v>
      </c>
      <c r="DK29" s="955">
        <f t="shared" si="38"/>
        <v>0</v>
      </c>
      <c r="DL29" s="955">
        <f t="shared" si="38"/>
        <v>0</v>
      </c>
      <c r="DM29" s="955">
        <f t="shared" si="38"/>
        <v>0</v>
      </c>
      <c r="DN29" s="955">
        <f t="shared" si="38"/>
        <v>0</v>
      </c>
      <c r="DO29" s="955">
        <f t="shared" si="38"/>
        <v>0</v>
      </c>
      <c r="DP29" s="955">
        <f t="shared" si="38"/>
        <v>0</v>
      </c>
      <c r="DQ29" s="955">
        <f t="shared" si="38"/>
        <v>0</v>
      </c>
      <c r="DR29" s="955">
        <f t="shared" si="38"/>
        <v>0</v>
      </c>
      <c r="DS29" s="955">
        <f t="shared" si="38"/>
        <v>0</v>
      </c>
      <c r="DT29" s="955">
        <f t="shared" si="38"/>
        <v>0</v>
      </c>
      <c r="DU29" s="956">
        <f t="shared" si="38"/>
        <v>0</v>
      </c>
    </row>
    <row r="30" spans="2:125" ht="12" thickBot="1" x14ac:dyDescent="0.25">
      <c r="B30" s="1016"/>
      <c r="C30" s="963"/>
      <c r="D30" s="963"/>
      <c r="E30" s="963"/>
      <c r="F30" s="963"/>
      <c r="G30" s="1017"/>
      <c r="H30" s="944"/>
      <c r="I30" s="1018"/>
      <c r="J30" s="963"/>
      <c r="K30" s="963"/>
      <c r="L30" s="963"/>
      <c r="M30" s="963"/>
      <c r="N30" s="963"/>
      <c r="O30" s="963"/>
      <c r="P30" s="963"/>
      <c r="Q30" s="963"/>
      <c r="R30" s="963"/>
      <c r="S30" s="963"/>
      <c r="T30" s="963"/>
      <c r="U30" s="963"/>
      <c r="V30" s="963"/>
      <c r="W30" s="1019"/>
      <c r="X30" s="944"/>
      <c r="Y30" s="944" t="s">
        <v>1071</v>
      </c>
      <c r="Z30" s="955">
        <f t="shared" ref="Z30:CK30" si="39">SUM(Z28:Z29)</f>
        <v>153888.38740871908</v>
      </c>
      <c r="AA30" s="955">
        <f t="shared" si="39"/>
        <v>152577.23135400782</v>
      </c>
      <c r="AB30" s="955">
        <f t="shared" si="39"/>
        <v>147803.35055333353</v>
      </c>
      <c r="AC30" s="955">
        <f t="shared" si="39"/>
        <v>150075.76057450898</v>
      </c>
      <c r="AD30" s="955">
        <f t="shared" si="39"/>
        <v>155346.67867915612</v>
      </c>
      <c r="AE30" s="955">
        <f t="shared" ref="AE30" si="40">SUM(AE28:AE29)</f>
        <v>160836.34149590641</v>
      </c>
      <c r="AF30" s="955">
        <f t="shared" si="39"/>
        <v>171523.32564808097</v>
      </c>
      <c r="AG30" s="955">
        <f t="shared" si="39"/>
        <v>176016.53931868673</v>
      </c>
      <c r="AH30" s="955">
        <f t="shared" si="39"/>
        <v>180522.20485923215</v>
      </c>
      <c r="AI30" s="955">
        <f t="shared" si="39"/>
        <v>185035.25998071293</v>
      </c>
      <c r="AJ30" s="955">
        <f t="shared" si="39"/>
        <v>189661.14148023073</v>
      </c>
      <c r="AK30" s="955">
        <f t="shared" si="39"/>
        <v>194402.67001723647</v>
      </c>
      <c r="AL30" s="955">
        <f t="shared" si="39"/>
        <v>199262.73676766735</v>
      </c>
      <c r="AM30" s="955">
        <f t="shared" si="39"/>
        <v>204244.30518685898</v>
      </c>
      <c r="AN30" s="955">
        <f t="shared" si="39"/>
        <v>209350.41281653047</v>
      </c>
      <c r="AO30" s="955">
        <f t="shared" si="39"/>
        <v>214584.17313694372</v>
      </c>
      <c r="AP30" s="955">
        <f t="shared" si="39"/>
        <v>219948.77746536728</v>
      </c>
      <c r="AQ30" s="955">
        <f t="shared" si="39"/>
        <v>225447.49690200144</v>
      </c>
      <c r="AR30" s="955">
        <f t="shared" si="39"/>
        <v>231083.68432455146</v>
      </c>
      <c r="AS30" s="955">
        <f t="shared" si="39"/>
        <v>236860.77643266524</v>
      </c>
      <c r="AT30" s="955">
        <f t="shared" si="39"/>
        <v>242782.29584348184</v>
      </c>
      <c r="AU30" s="955">
        <f t="shared" si="39"/>
        <v>248851.85323956888</v>
      </c>
      <c r="AV30" s="955">
        <f t="shared" si="39"/>
        <v>255073.1495705581</v>
      </c>
      <c r="AW30" s="955">
        <f t="shared" si="39"/>
        <v>261449.97830982204</v>
      </c>
      <c r="AX30" s="955">
        <f t="shared" si="39"/>
        <v>267986.22776756756</v>
      </c>
      <c r="AY30" s="955">
        <f t="shared" si="39"/>
        <v>274685.88346175675</v>
      </c>
      <c r="AZ30" s="955">
        <f t="shared" si="39"/>
        <v>281553.03054830065</v>
      </c>
      <c r="BA30" s="955">
        <f t="shared" si="39"/>
        <v>288591.85631200817</v>
      </c>
      <c r="BB30" s="955">
        <f t="shared" si="39"/>
        <v>295806.65271980833</v>
      </c>
      <c r="BC30" s="955">
        <f t="shared" si="39"/>
        <v>303201.81903780351</v>
      </c>
      <c r="BD30" s="955">
        <f t="shared" si="39"/>
        <v>310781.86451374856</v>
      </c>
      <c r="BE30" s="955">
        <f t="shared" si="39"/>
        <v>318551.41112659225</v>
      </c>
      <c r="BF30" s="955">
        <f t="shared" si="39"/>
        <v>326515.19640475704</v>
      </c>
      <c r="BG30" s="955">
        <f t="shared" si="39"/>
        <v>334678.07631487591</v>
      </c>
      <c r="BH30" s="955">
        <f t="shared" si="39"/>
        <v>343045.02822274785</v>
      </c>
      <c r="BI30" s="955">
        <f t="shared" si="39"/>
        <v>351621.15392831643</v>
      </c>
      <c r="BJ30" s="955">
        <f t="shared" si="39"/>
        <v>360411.68277652434</v>
      </c>
      <c r="BK30" s="955">
        <f t="shared" si="39"/>
        <v>369421.9748459374</v>
      </c>
      <c r="BL30" s="955">
        <f t="shared" si="39"/>
        <v>378657.52421708574</v>
      </c>
      <c r="BM30" s="955">
        <f t="shared" si="39"/>
        <v>388123.96232251293</v>
      </c>
      <c r="BN30" s="955">
        <f t="shared" si="39"/>
        <v>397827.06138057564</v>
      </c>
      <c r="BO30" s="955">
        <f t="shared" si="39"/>
        <v>407772.73791509005</v>
      </c>
      <c r="BP30" s="955">
        <f t="shared" si="39"/>
        <v>417967.05636296724</v>
      </c>
      <c r="BQ30" s="955">
        <f t="shared" si="39"/>
        <v>428416.2327720414</v>
      </c>
      <c r="BR30" s="955">
        <f t="shared" si="39"/>
        <v>439126.63859134237</v>
      </c>
      <c r="BS30" s="955">
        <f t="shared" si="39"/>
        <v>450104.80455612595</v>
      </c>
      <c r="BT30" s="955">
        <f t="shared" si="39"/>
        <v>461357.42467002908</v>
      </c>
      <c r="BU30" s="955">
        <f t="shared" si="39"/>
        <v>472891.3602867797</v>
      </c>
      <c r="BV30" s="955">
        <f t="shared" si="39"/>
        <v>484713.64429394918</v>
      </c>
      <c r="BW30" s="955">
        <f t="shared" si="39"/>
        <v>496831.4854012978</v>
      </c>
      <c r="BX30" s="955">
        <f t="shared" si="39"/>
        <v>509252.27253633016</v>
      </c>
      <c r="BY30" s="955">
        <f t="shared" si="39"/>
        <v>521983.57934973843</v>
      </c>
      <c r="BZ30" s="955">
        <f t="shared" si="39"/>
        <v>535033.16883348185</v>
      </c>
      <c r="CA30" s="955">
        <f t="shared" si="39"/>
        <v>548408.99805431883</v>
      </c>
      <c r="CB30" s="955">
        <f t="shared" si="39"/>
        <v>562119.22300567676</v>
      </c>
      <c r="CC30" s="955">
        <f t="shared" si="39"/>
        <v>576172.2035808186</v>
      </c>
      <c r="CD30" s="955">
        <f t="shared" si="39"/>
        <v>590576.50867033901</v>
      </c>
      <c r="CE30" s="955">
        <f t="shared" si="39"/>
        <v>605340.92138709745</v>
      </c>
      <c r="CF30" s="955">
        <f t="shared" si="39"/>
        <v>620474.44442177482</v>
      </c>
      <c r="CG30" s="955">
        <f t="shared" si="39"/>
        <v>635986.30553231912</v>
      </c>
      <c r="CH30" s="955">
        <f t="shared" si="39"/>
        <v>651885.96317062702</v>
      </c>
      <c r="CI30" s="955">
        <f t="shared" si="39"/>
        <v>668183.11224989267</v>
      </c>
      <c r="CJ30" s="955">
        <f t="shared" si="39"/>
        <v>684887.69005613995</v>
      </c>
      <c r="CK30" s="955">
        <f t="shared" si="39"/>
        <v>702009.88230754342</v>
      </c>
      <c r="CL30" s="955">
        <f t="shared" ref="CL30:DQ30" si="41">SUM(CL28:CL29)</f>
        <v>719560.12936523196</v>
      </c>
      <c r="CM30" s="955">
        <f t="shared" si="41"/>
        <v>737549.13259936264</v>
      </c>
      <c r="CN30" s="955">
        <f t="shared" si="41"/>
        <v>755987.86091434653</v>
      </c>
      <c r="CO30" s="955">
        <f t="shared" si="41"/>
        <v>774887.55743720522</v>
      </c>
      <c r="CP30" s="955">
        <f t="shared" si="41"/>
        <v>794259.74637313525</v>
      </c>
      <c r="CQ30" s="955">
        <f t="shared" si="41"/>
        <v>814116.24003246357</v>
      </c>
      <c r="CR30" s="955">
        <f t="shared" si="41"/>
        <v>834469.14603327517</v>
      </c>
      <c r="CS30" s="955">
        <f t="shared" si="41"/>
        <v>855330.87468410691</v>
      </c>
      <c r="CT30" s="955">
        <f t="shared" si="41"/>
        <v>876714.1465512095</v>
      </c>
      <c r="CU30" s="955">
        <f t="shared" si="41"/>
        <v>898632.00021498965</v>
      </c>
      <c r="CV30" s="955">
        <f t="shared" si="41"/>
        <v>921097.80022036436</v>
      </c>
      <c r="CW30" s="955">
        <f t="shared" si="41"/>
        <v>944125.24522587343</v>
      </c>
      <c r="CX30" s="955">
        <f t="shared" si="41"/>
        <v>967728.37635652022</v>
      </c>
      <c r="CY30" s="955">
        <f t="shared" si="41"/>
        <v>991921.58576543315</v>
      </c>
      <c r="CZ30" s="955">
        <f t="shared" si="41"/>
        <v>1016719.6254095689</v>
      </c>
      <c r="DA30" s="955">
        <f t="shared" si="41"/>
        <v>1042137.6160448082</v>
      </c>
      <c r="DB30" s="955">
        <f t="shared" si="41"/>
        <v>1068191.0564459281</v>
      </c>
      <c r="DC30" s="955">
        <f t="shared" si="41"/>
        <v>1094895.8328570761</v>
      </c>
      <c r="DD30" s="955">
        <f t="shared" si="41"/>
        <v>1122268.2286785028</v>
      </c>
      <c r="DE30" s="955">
        <f t="shared" si="41"/>
        <v>1150324.9343954653</v>
      </c>
      <c r="DF30" s="955">
        <f t="shared" si="41"/>
        <v>1179083.0577553518</v>
      </c>
      <c r="DG30" s="955">
        <f t="shared" si="41"/>
        <v>1208560.1341992354</v>
      </c>
      <c r="DH30" s="955">
        <f t="shared" si="41"/>
        <v>1238774.1375542162</v>
      </c>
      <c r="DI30" s="955">
        <f t="shared" si="41"/>
        <v>1269743.4909930716</v>
      </c>
      <c r="DJ30" s="955">
        <f t="shared" si="41"/>
        <v>1301487.0782678982</v>
      </c>
      <c r="DK30" s="955">
        <f t="shared" si="41"/>
        <v>1334024.2552245955</v>
      </c>
      <c r="DL30" s="955">
        <f t="shared" si="41"/>
        <v>1367374.8616052102</v>
      </c>
      <c r="DM30" s="955">
        <f t="shared" si="41"/>
        <v>1401559.2331453403</v>
      </c>
      <c r="DN30" s="955">
        <f t="shared" si="41"/>
        <v>1436598.2139739736</v>
      </c>
      <c r="DO30" s="955">
        <f t="shared" si="41"/>
        <v>1472513.1693233228</v>
      </c>
      <c r="DP30" s="955">
        <f t="shared" si="41"/>
        <v>1509325.998556406</v>
      </c>
      <c r="DQ30" s="955">
        <f t="shared" si="41"/>
        <v>1547059.148520316</v>
      </c>
      <c r="DR30" s="955">
        <f>SUM(DR28:DR29)</f>
        <v>1585735.6272333234</v>
      </c>
      <c r="DS30" s="955">
        <f>SUM(DS28:DS29)</f>
        <v>1625379.0179141564</v>
      </c>
      <c r="DT30" s="955">
        <f>SUM(DT28:DT29)</f>
        <v>1666013.4933620102</v>
      </c>
      <c r="DU30" s="956">
        <f>SUM(DU28:DU29)</f>
        <v>1707663.8306960603</v>
      </c>
    </row>
    <row r="31" spans="2:125" x14ac:dyDescent="0.2">
      <c r="B31" s="947"/>
      <c r="C31" s="947"/>
      <c r="D31" s="947"/>
      <c r="E31" s="947"/>
      <c r="F31" s="947"/>
      <c r="G31" s="947"/>
      <c r="H31" s="947"/>
      <c r="I31" s="947"/>
      <c r="J31" s="947"/>
      <c r="K31" s="947"/>
      <c r="L31" s="947"/>
      <c r="M31" s="947"/>
      <c r="N31" s="947"/>
      <c r="O31" s="947"/>
      <c r="P31" s="947"/>
      <c r="Q31" s="947"/>
      <c r="R31" s="947"/>
      <c r="S31" s="947"/>
      <c r="T31" s="947"/>
      <c r="U31" s="947"/>
      <c r="V31" s="947"/>
      <c r="W31" s="947"/>
      <c r="X31" s="947"/>
      <c r="Y31" s="944"/>
      <c r="Z31" s="993"/>
      <c r="AA31" s="997"/>
      <c r="AB31" s="997"/>
      <c r="AC31" s="997"/>
      <c r="AD31" s="997"/>
      <c r="AE31" s="997"/>
      <c r="AF31" s="947"/>
      <c r="AG31" s="947"/>
      <c r="AH31" s="947"/>
      <c r="AI31" s="947"/>
      <c r="AJ31" s="947"/>
      <c r="AK31" s="981"/>
      <c r="AL31" s="944"/>
      <c r="AM31" s="997"/>
      <c r="AN31" s="997"/>
      <c r="AO31" s="997"/>
      <c r="AP31" s="997"/>
      <c r="AQ31" s="997"/>
      <c r="AR31" s="997"/>
      <c r="AS31" s="997"/>
      <c r="AT31" s="997"/>
      <c r="AU31" s="997"/>
      <c r="AV31" s="947"/>
      <c r="AW31" s="947"/>
      <c r="AX31" s="981"/>
      <c r="AY31" s="947"/>
      <c r="AZ31" s="947"/>
      <c r="BA31" s="947"/>
      <c r="BB31" s="947"/>
      <c r="BC31" s="947"/>
      <c r="BD31" s="947"/>
      <c r="BE31" s="947"/>
      <c r="BF31" s="947"/>
      <c r="BG31" s="947"/>
      <c r="BH31" s="947"/>
      <c r="BI31" s="947"/>
      <c r="BJ31" s="947"/>
      <c r="BK31" s="947"/>
      <c r="BL31" s="947"/>
      <c r="BM31" s="947"/>
      <c r="BN31" s="947"/>
      <c r="BO31" s="947"/>
      <c r="BP31" s="947"/>
      <c r="BQ31" s="947"/>
      <c r="BR31" s="947"/>
      <c r="BS31" s="947"/>
      <c r="BT31" s="947"/>
      <c r="BU31" s="947"/>
      <c r="BV31" s="947"/>
      <c r="BW31" s="947"/>
      <c r="BX31" s="947"/>
      <c r="BY31" s="947"/>
      <c r="BZ31" s="947"/>
      <c r="CA31" s="947"/>
      <c r="CB31" s="947"/>
      <c r="CC31" s="947"/>
      <c r="CD31" s="947"/>
      <c r="CE31" s="947"/>
      <c r="CF31" s="947"/>
      <c r="CG31" s="947"/>
      <c r="CH31" s="947"/>
      <c r="CI31" s="947"/>
      <c r="CJ31" s="947"/>
      <c r="CK31" s="947"/>
      <c r="CL31" s="947"/>
      <c r="CM31" s="947"/>
      <c r="CN31" s="947"/>
      <c r="CO31" s="947"/>
      <c r="CP31" s="947"/>
      <c r="CQ31" s="947"/>
      <c r="CR31" s="947"/>
      <c r="CS31" s="947"/>
      <c r="CT31" s="947"/>
      <c r="CU31" s="947"/>
      <c r="CV31" s="947"/>
      <c r="CW31" s="947"/>
      <c r="CX31" s="947"/>
      <c r="CY31" s="947"/>
      <c r="CZ31" s="947"/>
      <c r="DA31" s="947"/>
      <c r="DB31" s="947"/>
      <c r="DC31" s="947"/>
      <c r="DD31" s="947"/>
      <c r="DE31" s="947"/>
      <c r="DF31" s="947"/>
      <c r="DG31" s="947"/>
      <c r="DH31" s="947"/>
      <c r="DI31" s="947"/>
      <c r="DJ31" s="947"/>
      <c r="DK31" s="947"/>
      <c r="DL31" s="947"/>
      <c r="DM31" s="947"/>
      <c r="DN31" s="947"/>
      <c r="DO31" s="947"/>
      <c r="DP31" s="947"/>
      <c r="DQ31" s="947"/>
      <c r="DR31" s="947"/>
      <c r="DS31" s="947"/>
      <c r="DT31" s="947"/>
      <c r="DU31" s="971"/>
    </row>
    <row r="32" spans="2:125" ht="12" thickBot="1" x14ac:dyDescent="0.25">
      <c r="B32" s="948" t="s">
        <v>1072</v>
      </c>
      <c r="C32" s="948"/>
      <c r="D32" s="948"/>
      <c r="E32" s="948"/>
      <c r="F32" s="948"/>
      <c r="G32" s="948"/>
      <c r="H32" s="944"/>
      <c r="I32" s="962" t="s">
        <v>1073</v>
      </c>
      <c r="J32" s="962"/>
      <c r="K32" s="962"/>
      <c r="L32" s="962"/>
      <c r="M32" s="963"/>
      <c r="N32" s="963"/>
      <c r="O32" s="963"/>
      <c r="P32" s="963"/>
      <c r="Q32" s="963"/>
      <c r="R32" s="963"/>
      <c r="S32" s="963"/>
      <c r="T32" s="963"/>
      <c r="U32" s="963"/>
      <c r="V32" s="963"/>
      <c r="W32" s="963"/>
      <c r="X32" s="944"/>
      <c r="Y32" s="944" t="s">
        <v>1074</v>
      </c>
      <c r="Z32" s="986">
        <f t="shared" ref="Z32:CK32" si="42">Z30/Z22*100</f>
        <v>13.560073049168805</v>
      </c>
      <c r="AA32" s="986">
        <f t="shared" si="42"/>
        <v>12.827990801050355</v>
      </c>
      <c r="AB32" s="986">
        <f t="shared" si="42"/>
        <v>12.098120768658214</v>
      </c>
      <c r="AC32" s="986">
        <f t="shared" si="42"/>
        <v>11.971052377057449</v>
      </c>
      <c r="AD32" s="986">
        <f t="shared" si="42"/>
        <v>11.993407901431349</v>
      </c>
      <c r="AE32" s="986">
        <f t="shared" ref="AE32" si="43">AE30/AE22*100</f>
        <v>12.035227119716101</v>
      </c>
      <c r="AF32" s="986">
        <f>AF30/AF22*100</f>
        <v>12.5</v>
      </c>
      <c r="AG32" s="986">
        <f t="shared" si="42"/>
        <v>12.5</v>
      </c>
      <c r="AH32" s="986">
        <f t="shared" si="42"/>
        <v>12.5</v>
      </c>
      <c r="AI32" s="986">
        <f t="shared" si="42"/>
        <v>12.5</v>
      </c>
      <c r="AJ32" s="986">
        <f t="shared" si="42"/>
        <v>12.5</v>
      </c>
      <c r="AK32" s="986">
        <f t="shared" si="42"/>
        <v>12.5</v>
      </c>
      <c r="AL32" s="986">
        <f t="shared" si="42"/>
        <v>12.5</v>
      </c>
      <c r="AM32" s="986">
        <f t="shared" si="42"/>
        <v>12.499999999999998</v>
      </c>
      <c r="AN32" s="986">
        <f t="shared" si="42"/>
        <v>12.5</v>
      </c>
      <c r="AO32" s="986">
        <f t="shared" si="42"/>
        <v>12.5</v>
      </c>
      <c r="AP32" s="986">
        <f t="shared" si="42"/>
        <v>12.5</v>
      </c>
      <c r="AQ32" s="986">
        <f t="shared" si="42"/>
        <v>12.5</v>
      </c>
      <c r="AR32" s="986">
        <f t="shared" si="42"/>
        <v>12.5</v>
      </c>
      <c r="AS32" s="986">
        <f t="shared" si="42"/>
        <v>12.5</v>
      </c>
      <c r="AT32" s="986">
        <f t="shared" si="42"/>
        <v>12.5</v>
      </c>
      <c r="AU32" s="986">
        <f t="shared" si="42"/>
        <v>12.5</v>
      </c>
      <c r="AV32" s="986">
        <f t="shared" si="42"/>
        <v>12.500000000000004</v>
      </c>
      <c r="AW32" s="986">
        <f t="shared" si="42"/>
        <v>12.500000000000004</v>
      </c>
      <c r="AX32" s="986">
        <f t="shared" si="42"/>
        <v>12.5</v>
      </c>
      <c r="AY32" s="986">
        <f t="shared" si="42"/>
        <v>12.5</v>
      </c>
      <c r="AZ32" s="986">
        <f t="shared" si="42"/>
        <v>12.5</v>
      </c>
      <c r="BA32" s="986">
        <f t="shared" si="42"/>
        <v>12.5</v>
      </c>
      <c r="BB32" s="986">
        <f t="shared" si="42"/>
        <v>12.5</v>
      </c>
      <c r="BC32" s="986">
        <f t="shared" si="42"/>
        <v>12.5</v>
      </c>
      <c r="BD32" s="986">
        <f t="shared" si="42"/>
        <v>12.5</v>
      </c>
      <c r="BE32" s="986">
        <f t="shared" si="42"/>
        <v>12.5</v>
      </c>
      <c r="BF32" s="986">
        <f t="shared" si="42"/>
        <v>12.5</v>
      </c>
      <c r="BG32" s="986">
        <f t="shared" si="42"/>
        <v>12.5</v>
      </c>
      <c r="BH32" s="986">
        <f t="shared" si="42"/>
        <v>12.500000000000004</v>
      </c>
      <c r="BI32" s="986">
        <f t="shared" si="42"/>
        <v>12.5</v>
      </c>
      <c r="BJ32" s="986">
        <f t="shared" si="42"/>
        <v>12.5</v>
      </c>
      <c r="BK32" s="986">
        <f t="shared" si="42"/>
        <v>12.5</v>
      </c>
      <c r="BL32" s="986">
        <f t="shared" si="42"/>
        <v>12.499999999999998</v>
      </c>
      <c r="BM32" s="986">
        <f t="shared" si="42"/>
        <v>12.5</v>
      </c>
      <c r="BN32" s="986">
        <f t="shared" si="42"/>
        <v>12.499999999999998</v>
      </c>
      <c r="BO32" s="986">
        <f t="shared" si="42"/>
        <v>12.5</v>
      </c>
      <c r="BP32" s="986">
        <f t="shared" si="42"/>
        <v>12.5</v>
      </c>
      <c r="BQ32" s="986">
        <f t="shared" si="42"/>
        <v>12.5</v>
      </c>
      <c r="BR32" s="986">
        <f t="shared" si="42"/>
        <v>12.5</v>
      </c>
      <c r="BS32" s="986">
        <f t="shared" si="42"/>
        <v>12.500000000000004</v>
      </c>
      <c r="BT32" s="986">
        <f t="shared" si="42"/>
        <v>12.500000000000004</v>
      </c>
      <c r="BU32" s="986">
        <f t="shared" si="42"/>
        <v>12.5</v>
      </c>
      <c r="BV32" s="986">
        <f t="shared" si="42"/>
        <v>12.500000000000004</v>
      </c>
      <c r="BW32" s="986">
        <f t="shared" si="42"/>
        <v>12.5</v>
      </c>
      <c r="BX32" s="986">
        <f t="shared" si="42"/>
        <v>12.499999999999998</v>
      </c>
      <c r="BY32" s="986">
        <f t="shared" si="42"/>
        <v>12.5</v>
      </c>
      <c r="BZ32" s="986">
        <f t="shared" si="42"/>
        <v>12.5</v>
      </c>
      <c r="CA32" s="986">
        <f t="shared" si="42"/>
        <v>12.5</v>
      </c>
      <c r="CB32" s="986">
        <f t="shared" si="42"/>
        <v>12.5</v>
      </c>
      <c r="CC32" s="986">
        <f t="shared" si="42"/>
        <v>12.5</v>
      </c>
      <c r="CD32" s="986">
        <f t="shared" si="42"/>
        <v>12.5</v>
      </c>
      <c r="CE32" s="986">
        <f t="shared" si="42"/>
        <v>12.5</v>
      </c>
      <c r="CF32" s="986">
        <f t="shared" si="42"/>
        <v>12.5</v>
      </c>
      <c r="CG32" s="986">
        <f t="shared" si="42"/>
        <v>12.5</v>
      </c>
      <c r="CH32" s="986">
        <f t="shared" si="42"/>
        <v>12.5</v>
      </c>
      <c r="CI32" s="986">
        <f t="shared" si="42"/>
        <v>12.5</v>
      </c>
      <c r="CJ32" s="986">
        <f t="shared" si="42"/>
        <v>12.5</v>
      </c>
      <c r="CK32" s="986">
        <f t="shared" si="42"/>
        <v>12.5</v>
      </c>
      <c r="CL32" s="986">
        <f t="shared" ref="CL32:DU32" si="44">CL30/CL22*100</f>
        <v>12.5</v>
      </c>
      <c r="CM32" s="986">
        <f t="shared" si="44"/>
        <v>12.5</v>
      </c>
      <c r="CN32" s="986">
        <f t="shared" si="44"/>
        <v>12.499999999999998</v>
      </c>
      <c r="CO32" s="986">
        <f t="shared" si="44"/>
        <v>12.5</v>
      </c>
      <c r="CP32" s="986">
        <f t="shared" si="44"/>
        <v>12.5</v>
      </c>
      <c r="CQ32" s="986">
        <f t="shared" si="44"/>
        <v>12.5</v>
      </c>
      <c r="CR32" s="986">
        <f t="shared" si="44"/>
        <v>12.500000000000004</v>
      </c>
      <c r="CS32" s="986">
        <f t="shared" si="44"/>
        <v>12.5</v>
      </c>
      <c r="CT32" s="986">
        <f t="shared" si="44"/>
        <v>12.5</v>
      </c>
      <c r="CU32" s="986">
        <f t="shared" si="44"/>
        <v>12.5</v>
      </c>
      <c r="CV32" s="986">
        <f t="shared" si="44"/>
        <v>12.5</v>
      </c>
      <c r="CW32" s="986">
        <f t="shared" si="44"/>
        <v>12.5</v>
      </c>
      <c r="CX32" s="986">
        <f t="shared" si="44"/>
        <v>12.5</v>
      </c>
      <c r="CY32" s="986">
        <f t="shared" si="44"/>
        <v>12.5</v>
      </c>
      <c r="CZ32" s="986">
        <f t="shared" si="44"/>
        <v>12.5</v>
      </c>
      <c r="DA32" s="986">
        <f t="shared" si="44"/>
        <v>12.500000000000004</v>
      </c>
      <c r="DB32" s="986">
        <f t="shared" si="44"/>
        <v>12.5</v>
      </c>
      <c r="DC32" s="986">
        <f t="shared" si="44"/>
        <v>12.5</v>
      </c>
      <c r="DD32" s="986">
        <f t="shared" si="44"/>
        <v>12.5</v>
      </c>
      <c r="DE32" s="986">
        <f t="shared" si="44"/>
        <v>12.5</v>
      </c>
      <c r="DF32" s="986">
        <f t="shared" si="44"/>
        <v>12.5</v>
      </c>
      <c r="DG32" s="986">
        <f t="shared" si="44"/>
        <v>12.5</v>
      </c>
      <c r="DH32" s="986">
        <f t="shared" si="44"/>
        <v>12.5</v>
      </c>
      <c r="DI32" s="986">
        <f t="shared" si="44"/>
        <v>12.5</v>
      </c>
      <c r="DJ32" s="986">
        <f t="shared" si="44"/>
        <v>12.5</v>
      </c>
      <c r="DK32" s="986">
        <f t="shared" si="44"/>
        <v>12.5</v>
      </c>
      <c r="DL32" s="986">
        <f t="shared" si="44"/>
        <v>12.5</v>
      </c>
      <c r="DM32" s="986">
        <f t="shared" si="44"/>
        <v>12.5</v>
      </c>
      <c r="DN32" s="986">
        <f t="shared" si="44"/>
        <v>12.5</v>
      </c>
      <c r="DO32" s="986">
        <f t="shared" si="44"/>
        <v>12.5</v>
      </c>
      <c r="DP32" s="986">
        <f t="shared" si="44"/>
        <v>12.500000000000004</v>
      </c>
      <c r="DQ32" s="986">
        <f t="shared" si="44"/>
        <v>12.500000000000004</v>
      </c>
      <c r="DR32" s="986">
        <f t="shared" si="44"/>
        <v>12.5</v>
      </c>
      <c r="DS32" s="986">
        <f t="shared" si="44"/>
        <v>12.5</v>
      </c>
      <c r="DT32" s="986">
        <f t="shared" si="44"/>
        <v>12.5</v>
      </c>
      <c r="DU32" s="1020">
        <f t="shared" si="44"/>
        <v>12.5</v>
      </c>
    </row>
    <row r="33" spans="2:125" x14ac:dyDescent="0.2">
      <c r="B33" s="967"/>
      <c r="C33" s="968"/>
      <c r="D33" s="968"/>
      <c r="E33" s="968"/>
      <c r="F33" s="968"/>
      <c r="G33" s="969"/>
      <c r="H33" s="944"/>
      <c r="I33" s="970"/>
      <c r="J33" s="947"/>
      <c r="K33" s="947"/>
      <c r="L33" s="947"/>
      <c r="M33" s="947"/>
      <c r="N33" s="947"/>
      <c r="O33" s="947"/>
      <c r="P33" s="947"/>
      <c r="Q33" s="947"/>
      <c r="R33" s="947"/>
      <c r="S33" s="947"/>
      <c r="T33" s="947"/>
      <c r="U33" s="947"/>
      <c r="V33" s="947"/>
      <c r="W33" s="971"/>
      <c r="X33" s="944"/>
      <c r="Y33" s="947"/>
      <c r="Z33" s="947"/>
      <c r="AA33" s="947"/>
      <c r="AB33" s="947"/>
      <c r="AC33" s="947"/>
      <c r="AD33" s="947"/>
      <c r="AE33" s="947"/>
      <c r="AF33" s="947"/>
      <c r="AG33" s="947"/>
      <c r="AH33" s="947"/>
      <c r="AI33" s="947"/>
      <c r="AJ33" s="947"/>
      <c r="AK33" s="947"/>
      <c r="AL33" s="947"/>
      <c r="AM33" s="947"/>
      <c r="AN33" s="947"/>
      <c r="AO33" s="947"/>
      <c r="AP33" s="947"/>
      <c r="AQ33" s="947"/>
      <c r="AR33" s="947"/>
      <c r="AS33" s="947"/>
      <c r="AT33" s="947"/>
      <c r="AU33" s="947"/>
      <c r="AV33" s="947"/>
      <c r="AW33" s="947"/>
      <c r="AX33" s="947"/>
      <c r="AY33" s="947"/>
      <c r="AZ33" s="947"/>
      <c r="BA33" s="947"/>
      <c r="BB33" s="947"/>
      <c r="BC33" s="947"/>
      <c r="BD33" s="947"/>
      <c r="BE33" s="947"/>
      <c r="BF33" s="947"/>
      <c r="BG33" s="947"/>
      <c r="BH33" s="947"/>
      <c r="BI33" s="947"/>
      <c r="BJ33" s="947"/>
      <c r="BK33" s="947"/>
      <c r="BL33" s="947"/>
      <c r="BM33" s="947"/>
      <c r="BN33" s="947"/>
      <c r="BO33" s="947"/>
      <c r="BP33" s="947"/>
      <c r="BQ33" s="947"/>
      <c r="BR33" s="947"/>
      <c r="BS33" s="947"/>
      <c r="BT33" s="947"/>
      <c r="BU33" s="947"/>
      <c r="BV33" s="947"/>
      <c r="BW33" s="947"/>
      <c r="BX33" s="947"/>
      <c r="BY33" s="947"/>
      <c r="BZ33" s="947"/>
      <c r="CA33" s="947"/>
      <c r="CB33" s="947"/>
      <c r="CC33" s="947"/>
      <c r="CD33" s="947"/>
      <c r="CE33" s="947"/>
      <c r="CF33" s="947"/>
      <c r="CG33" s="947"/>
      <c r="CH33" s="947"/>
      <c r="CI33" s="947"/>
      <c r="CJ33" s="947"/>
      <c r="CK33" s="947"/>
      <c r="CL33" s="947"/>
      <c r="CM33" s="947"/>
      <c r="CN33" s="947"/>
      <c r="CO33" s="947"/>
      <c r="CP33" s="947"/>
      <c r="CQ33" s="947"/>
      <c r="CR33" s="947"/>
      <c r="CS33" s="947"/>
      <c r="CT33" s="947"/>
      <c r="CU33" s="947"/>
      <c r="CV33" s="947"/>
      <c r="CW33" s="947"/>
      <c r="CX33" s="947"/>
      <c r="CY33" s="947"/>
      <c r="CZ33" s="947"/>
      <c r="DA33" s="947"/>
      <c r="DB33" s="947"/>
      <c r="DC33" s="947"/>
      <c r="DD33" s="947"/>
      <c r="DE33" s="947"/>
      <c r="DF33" s="947"/>
      <c r="DG33" s="947"/>
      <c r="DH33" s="947"/>
      <c r="DI33" s="947"/>
      <c r="DJ33" s="947"/>
      <c r="DK33" s="947"/>
      <c r="DL33" s="947"/>
      <c r="DM33" s="947"/>
      <c r="DN33" s="947"/>
      <c r="DO33" s="947"/>
      <c r="DP33" s="947"/>
      <c r="DQ33" s="947"/>
      <c r="DR33" s="947"/>
      <c r="DS33" s="947"/>
      <c r="DT33" s="947"/>
      <c r="DU33" s="971"/>
    </row>
    <row r="34" spans="2:125" x14ac:dyDescent="0.2">
      <c r="B34" s="980"/>
      <c r="C34" s="947"/>
      <c r="D34" s="947"/>
      <c r="E34" s="947"/>
      <c r="F34" s="947"/>
      <c r="G34" s="976"/>
      <c r="H34" s="944"/>
      <c r="I34" s="977" t="s">
        <v>1075</v>
      </c>
      <c r="J34" s="948"/>
      <c r="K34" s="947"/>
      <c r="L34" s="947"/>
      <c r="M34" s="947"/>
      <c r="N34" s="947"/>
      <c r="O34" s="947"/>
      <c r="P34" s="947"/>
      <c r="Q34" s="947"/>
      <c r="R34" s="948" t="s">
        <v>1076</v>
      </c>
      <c r="S34" s="948"/>
      <c r="T34" s="948"/>
      <c r="U34" s="948"/>
      <c r="V34" s="944"/>
      <c r="W34" s="971"/>
      <c r="X34" s="944"/>
      <c r="Y34" s="992" t="s">
        <v>1077</v>
      </c>
      <c r="Z34" s="944"/>
      <c r="AA34" s="1005"/>
      <c r="AB34" s="1005"/>
      <c r="AC34" s="1005"/>
      <c r="AD34" s="1005"/>
      <c r="AE34" s="1005"/>
      <c r="AF34" s="947"/>
      <c r="AG34" s="947"/>
      <c r="AH34" s="947"/>
      <c r="AI34" s="947"/>
      <c r="AJ34" s="947"/>
      <c r="AK34" s="947"/>
      <c r="AL34" s="947"/>
      <c r="AM34" s="947"/>
      <c r="AN34" s="947"/>
      <c r="AO34" s="947"/>
      <c r="AP34" s="947"/>
      <c r="AQ34" s="947"/>
      <c r="AR34" s="947"/>
      <c r="AS34" s="947"/>
      <c r="AT34" s="947"/>
      <c r="AU34" s="947"/>
      <c r="AV34" s="947"/>
      <c r="AW34" s="947"/>
      <c r="AX34" s="947"/>
      <c r="AY34" s="947"/>
      <c r="AZ34" s="947"/>
      <c r="BA34" s="947"/>
      <c r="BB34" s="947"/>
      <c r="BC34" s="947"/>
      <c r="BD34" s="947"/>
      <c r="BE34" s="947"/>
      <c r="BF34" s="947"/>
      <c r="BG34" s="947"/>
      <c r="BH34" s="947"/>
      <c r="BI34" s="947"/>
      <c r="BJ34" s="947"/>
      <c r="BK34" s="947"/>
      <c r="BL34" s="947"/>
      <c r="BM34" s="947"/>
      <c r="BN34" s="947"/>
      <c r="BO34" s="947"/>
      <c r="BP34" s="947"/>
      <c r="BQ34" s="947"/>
      <c r="BR34" s="947"/>
      <c r="BS34" s="947"/>
      <c r="BT34" s="947"/>
      <c r="BU34" s="947"/>
      <c r="BV34" s="947"/>
      <c r="BW34" s="947"/>
      <c r="BX34" s="947"/>
      <c r="BY34" s="947"/>
      <c r="BZ34" s="947"/>
      <c r="CA34" s="947"/>
      <c r="CB34" s="947"/>
      <c r="CC34" s="947"/>
      <c r="CD34" s="947"/>
      <c r="CE34" s="947"/>
      <c r="CF34" s="947"/>
      <c r="CG34" s="947"/>
      <c r="CH34" s="947"/>
      <c r="CI34" s="947"/>
      <c r="CJ34" s="947"/>
      <c r="CK34" s="947"/>
      <c r="CL34" s="947"/>
      <c r="CM34" s="947"/>
      <c r="CN34" s="947"/>
      <c r="CO34" s="947"/>
      <c r="CP34" s="947"/>
      <c r="CQ34" s="947"/>
      <c r="CR34" s="947"/>
      <c r="CS34" s="947"/>
      <c r="CT34" s="947"/>
      <c r="CU34" s="947"/>
      <c r="CV34" s="947"/>
      <c r="CW34" s="947"/>
      <c r="CX34" s="947"/>
      <c r="CY34" s="947"/>
      <c r="CZ34" s="947"/>
      <c r="DA34" s="947"/>
      <c r="DB34" s="947"/>
      <c r="DC34" s="947"/>
      <c r="DD34" s="947"/>
      <c r="DE34" s="947"/>
      <c r="DF34" s="947"/>
      <c r="DG34" s="947"/>
      <c r="DH34" s="947"/>
      <c r="DI34" s="947"/>
      <c r="DJ34" s="947"/>
      <c r="DK34" s="947"/>
      <c r="DL34" s="947"/>
      <c r="DM34" s="947"/>
      <c r="DN34" s="947"/>
      <c r="DO34" s="947"/>
      <c r="DP34" s="947"/>
      <c r="DQ34" s="947"/>
      <c r="DR34" s="947"/>
      <c r="DS34" s="947"/>
      <c r="DT34" s="947"/>
      <c r="DU34" s="971"/>
    </row>
    <row r="35" spans="2:125" x14ac:dyDescent="0.2">
      <c r="B35" s="980"/>
      <c r="C35" s="947"/>
      <c r="D35" s="947"/>
      <c r="E35" s="947"/>
      <c r="F35" s="947"/>
      <c r="G35" s="976"/>
      <c r="H35" s="944"/>
      <c r="I35" s="970"/>
      <c r="J35" s="947"/>
      <c r="K35" s="947"/>
      <c r="L35" s="947"/>
      <c r="M35" s="947"/>
      <c r="N35" s="947"/>
      <c r="O35" s="947"/>
      <c r="P35" s="947"/>
      <c r="Q35" s="947"/>
      <c r="R35" s="947"/>
      <c r="S35" s="947"/>
      <c r="T35" s="947"/>
      <c r="U35" s="947"/>
      <c r="V35" s="947"/>
      <c r="W35" s="971"/>
      <c r="X35" s="944"/>
      <c r="Y35" s="944" t="s">
        <v>1078</v>
      </c>
      <c r="Z35" s="955"/>
      <c r="AA35" s="955">
        <f t="shared" ref="AA35:CL35" si="45">AA39-Z39</f>
        <v>-24576.612591280922</v>
      </c>
      <c r="AB35" s="955">
        <f t="shared" si="45"/>
        <v>-1017.1560547112604</v>
      </c>
      <c r="AC35" s="955">
        <f t="shared" si="45"/>
        <v>-4773.8808006742911</v>
      </c>
      <c r="AD35" s="955">
        <f t="shared" si="45"/>
        <v>2272.4100211754558</v>
      </c>
      <c r="AE35" s="955">
        <f t="shared" si="45"/>
        <v>5270.9181046471349</v>
      </c>
      <c r="AF35" s="955">
        <f t="shared" si="45"/>
        <v>5489.6628167502931</v>
      </c>
      <c r="AG35" s="955">
        <f t="shared" si="45"/>
        <v>10686.984152174555</v>
      </c>
      <c r="AH35" s="955">
        <f t="shared" si="45"/>
        <v>4493.2136706057645</v>
      </c>
      <c r="AI35" s="955">
        <f t="shared" si="45"/>
        <v>4505.6655405454221</v>
      </c>
      <c r="AJ35" s="955">
        <f t="shared" si="45"/>
        <v>4513.0551214807783</v>
      </c>
      <c r="AK35" s="955">
        <f t="shared" si="45"/>
        <v>4625.8814995177963</v>
      </c>
      <c r="AL35" s="955">
        <f t="shared" si="45"/>
        <v>4741.5285370057391</v>
      </c>
      <c r="AM35" s="955">
        <f t="shared" si="45"/>
        <v>4860.0667504308803</v>
      </c>
      <c r="AN35" s="955">
        <f t="shared" si="45"/>
        <v>4981.5684191916371</v>
      </c>
      <c r="AO35" s="955">
        <f t="shared" si="45"/>
        <v>5106.1076296714891</v>
      </c>
      <c r="AP35" s="955">
        <f t="shared" si="45"/>
        <v>5233.7603204132465</v>
      </c>
      <c r="AQ35" s="955">
        <f t="shared" si="45"/>
        <v>5364.6043284235639</v>
      </c>
      <c r="AR35" s="955">
        <f t="shared" si="45"/>
        <v>5498.7194366341573</v>
      </c>
      <c r="AS35" s="955">
        <f t="shared" si="45"/>
        <v>5636.1874225500214</v>
      </c>
      <c r="AT35" s="955">
        <f t="shared" si="45"/>
        <v>5777.0921081137785</v>
      </c>
      <c r="AU35" s="955">
        <f t="shared" si="45"/>
        <v>5921.5194108166033</v>
      </c>
      <c r="AV35" s="955">
        <f t="shared" si="45"/>
        <v>6069.5573960870388</v>
      </c>
      <c r="AW35" s="955">
        <f t="shared" si="45"/>
        <v>6221.296330989222</v>
      </c>
      <c r="AX35" s="955">
        <f t="shared" si="45"/>
        <v>6376.8287392639322</v>
      </c>
      <c r="AY35" s="955">
        <f t="shared" si="45"/>
        <v>6536.2494577455218</v>
      </c>
      <c r="AZ35" s="955">
        <f t="shared" si="45"/>
        <v>6699.6556941891904</v>
      </c>
      <c r="BA35" s="955">
        <f t="shared" si="45"/>
        <v>6867.1470865439042</v>
      </c>
      <c r="BB35" s="955">
        <f t="shared" si="45"/>
        <v>7038.8257637075149</v>
      </c>
      <c r="BC35" s="955">
        <f t="shared" si="45"/>
        <v>7214.7964078001678</v>
      </c>
      <c r="BD35" s="955">
        <f t="shared" si="45"/>
        <v>7395.166317995172</v>
      </c>
      <c r="BE35" s="955">
        <f t="shared" si="45"/>
        <v>7580.0454759450513</v>
      </c>
      <c r="BF35" s="955">
        <f t="shared" si="45"/>
        <v>7769.5466128436965</v>
      </c>
      <c r="BG35" s="955">
        <f t="shared" si="45"/>
        <v>7963.7852781647816</v>
      </c>
      <c r="BH35" s="955">
        <f t="shared" si="45"/>
        <v>8162.8799101188779</v>
      </c>
      <c r="BI35" s="955">
        <f t="shared" si="45"/>
        <v>8366.9519078719313</v>
      </c>
      <c r="BJ35" s="955">
        <f t="shared" si="45"/>
        <v>8576.1257055685855</v>
      </c>
      <c r="BK35" s="955">
        <f t="shared" si="45"/>
        <v>8790.528848207905</v>
      </c>
      <c r="BL35" s="955">
        <f t="shared" si="45"/>
        <v>9010.2920694130589</v>
      </c>
      <c r="BM35" s="955">
        <f t="shared" si="45"/>
        <v>9235.5493711483432</v>
      </c>
      <c r="BN35" s="955">
        <f t="shared" si="45"/>
        <v>9466.4381054271944</v>
      </c>
      <c r="BO35" s="955">
        <f t="shared" si="45"/>
        <v>9703.0990580627113</v>
      </c>
      <c r="BP35" s="955">
        <f t="shared" si="45"/>
        <v>9945.6765345144086</v>
      </c>
      <c r="BQ35" s="955">
        <f t="shared" si="45"/>
        <v>10194.318447877187</v>
      </c>
      <c r="BR35" s="955">
        <f t="shared" si="45"/>
        <v>10449.176409074164</v>
      </c>
      <c r="BS35" s="955">
        <f t="shared" si="45"/>
        <v>10710.40581930097</v>
      </c>
      <c r="BT35" s="955">
        <f t="shared" si="45"/>
        <v>10978.165964783577</v>
      </c>
      <c r="BU35" s="955">
        <f t="shared" si="45"/>
        <v>11252.620113903133</v>
      </c>
      <c r="BV35" s="955">
        <f t="shared" si="45"/>
        <v>11533.935616750619</v>
      </c>
      <c r="BW35" s="955">
        <f t="shared" si="45"/>
        <v>11822.284007169481</v>
      </c>
      <c r="BX35" s="955">
        <f t="shared" si="45"/>
        <v>12117.84110734862</v>
      </c>
      <c r="BY35" s="955">
        <f t="shared" si="45"/>
        <v>12420.787135032355</v>
      </c>
      <c r="BZ35" s="955">
        <f t="shared" si="45"/>
        <v>12731.306813408271</v>
      </c>
      <c r="CA35" s="955">
        <f t="shared" si="45"/>
        <v>13049.589483743417</v>
      </c>
      <c r="CB35" s="955">
        <f t="shared" si="45"/>
        <v>13375.829220836982</v>
      </c>
      <c r="CC35" s="955">
        <f t="shared" si="45"/>
        <v>13710.22495135793</v>
      </c>
      <c r="CD35" s="955">
        <f t="shared" si="45"/>
        <v>14052.980575141846</v>
      </c>
      <c r="CE35" s="955">
        <f t="shared" si="45"/>
        <v>14404.305089520407</v>
      </c>
      <c r="CF35" s="955">
        <f t="shared" si="45"/>
        <v>14764.412716758437</v>
      </c>
      <c r="CG35" s="955">
        <f t="shared" si="45"/>
        <v>15133.523034677375</v>
      </c>
      <c r="CH35" s="955">
        <f t="shared" si="45"/>
        <v>15511.861110544298</v>
      </c>
      <c r="CI35" s="955">
        <f t="shared" si="45"/>
        <v>15899.657638307894</v>
      </c>
      <c r="CJ35" s="955">
        <f t="shared" si="45"/>
        <v>16297.149079265655</v>
      </c>
      <c r="CK35" s="955">
        <f t="shared" si="45"/>
        <v>16704.577806247282</v>
      </c>
      <c r="CL35" s="955">
        <f t="shared" si="45"/>
        <v>17122.192251403467</v>
      </c>
      <c r="CM35" s="955">
        <f t="shared" ref="CM35:DU35" si="46">CM39-CL39</f>
        <v>17550.247057688539</v>
      </c>
      <c r="CN35" s="955">
        <f t="shared" si="46"/>
        <v>17989.00323413068</v>
      </c>
      <c r="CO35" s="955">
        <f t="shared" si="46"/>
        <v>18438.728314983891</v>
      </c>
      <c r="CP35" s="955">
        <f t="shared" si="46"/>
        <v>18899.696522858692</v>
      </c>
      <c r="CQ35" s="955">
        <f t="shared" si="46"/>
        <v>19372.188935930026</v>
      </c>
      <c r="CR35" s="955">
        <f t="shared" si="46"/>
        <v>19856.49365932832</v>
      </c>
      <c r="CS35" s="955">
        <f t="shared" si="46"/>
        <v>20352.906000811607</v>
      </c>
      <c r="CT35" s="955">
        <f t="shared" si="46"/>
        <v>20861.728650831734</v>
      </c>
      <c r="CU35" s="955">
        <f t="shared" si="46"/>
        <v>21383.271867102594</v>
      </c>
      <c r="CV35" s="955">
        <f t="shared" si="46"/>
        <v>21917.853663780144</v>
      </c>
      <c r="CW35" s="955">
        <f t="shared" si="46"/>
        <v>22465.800005374709</v>
      </c>
      <c r="CX35" s="955">
        <f t="shared" si="46"/>
        <v>23027.445005509071</v>
      </c>
      <c r="CY35" s="955">
        <f t="shared" si="46"/>
        <v>23603.131130646798</v>
      </c>
      <c r="CZ35" s="955">
        <f t="shared" si="46"/>
        <v>24193.209408912924</v>
      </c>
      <c r="DA35" s="955">
        <f t="shared" si="46"/>
        <v>24798.039644135744</v>
      </c>
      <c r="DB35" s="955">
        <f t="shared" si="46"/>
        <v>25417.990635239286</v>
      </c>
      <c r="DC35" s="955">
        <f t="shared" si="46"/>
        <v>26053.440401119879</v>
      </c>
      <c r="DD35" s="955">
        <f t="shared" si="46"/>
        <v>26704.776411148021</v>
      </c>
      <c r="DE35" s="955">
        <f t="shared" si="46"/>
        <v>27372.395821426762</v>
      </c>
      <c r="DF35" s="955">
        <f t="shared" si="46"/>
        <v>28056.70571696246</v>
      </c>
      <c r="DG35" s="955">
        <f t="shared" si="46"/>
        <v>28758.123359886464</v>
      </c>
      <c r="DH35" s="955">
        <f t="shared" si="46"/>
        <v>29477.07644388359</v>
      </c>
      <c r="DI35" s="955">
        <f t="shared" si="46"/>
        <v>30214.003354980843</v>
      </c>
      <c r="DJ35" s="955">
        <f t="shared" si="46"/>
        <v>30969.353438855382</v>
      </c>
      <c r="DK35" s="955">
        <f t="shared" si="46"/>
        <v>31743.587274826597</v>
      </c>
      <c r="DL35" s="955">
        <f t="shared" si="46"/>
        <v>32537.176956697367</v>
      </c>
      <c r="DM35" s="955">
        <f t="shared" si="46"/>
        <v>33350.606380614685</v>
      </c>
      <c r="DN35" s="955">
        <f t="shared" si="46"/>
        <v>34184.371540130116</v>
      </c>
      <c r="DO35" s="955">
        <f t="shared" si="46"/>
        <v>35038.980828633299</v>
      </c>
      <c r="DP35" s="955">
        <f t="shared" si="46"/>
        <v>35914.955349349184</v>
      </c>
      <c r="DQ35" s="955">
        <f t="shared" si="46"/>
        <v>36812.829233083175</v>
      </c>
      <c r="DR35" s="955">
        <f t="shared" si="46"/>
        <v>37733.149963909993</v>
      </c>
      <c r="DS35" s="955">
        <f t="shared" si="46"/>
        <v>38676.478713007411</v>
      </c>
      <c r="DT35" s="955">
        <f t="shared" si="46"/>
        <v>39643.390680833021</v>
      </c>
      <c r="DU35" s="956">
        <f t="shared" si="46"/>
        <v>40634.475447853794</v>
      </c>
    </row>
    <row r="36" spans="2:125" x14ac:dyDescent="0.2">
      <c r="B36" s="980"/>
      <c r="C36" s="944"/>
      <c r="D36" s="1790" t="s">
        <v>1079</v>
      </c>
      <c r="E36" s="1790"/>
      <c r="F36" s="1790"/>
      <c r="G36" s="1792"/>
      <c r="H36" s="944"/>
      <c r="I36" s="970"/>
      <c r="J36" s="947"/>
      <c r="K36" s="947"/>
      <c r="L36" s="947"/>
      <c r="M36" s="947"/>
      <c r="N36" s="947"/>
      <c r="O36" s="947"/>
      <c r="P36" s="947"/>
      <c r="Q36" s="947"/>
      <c r="R36" s="1793"/>
      <c r="S36" s="1794"/>
      <c r="T36" s="1794"/>
      <c r="U36" s="1021"/>
      <c r="V36" s="944"/>
      <c r="W36" s="971"/>
      <c r="X36" s="944"/>
      <c r="Y36" s="944" t="s">
        <v>1080</v>
      </c>
      <c r="Z36" s="986"/>
      <c r="AA36" s="987">
        <f>(AA6-Z6+AA7-Z7)/AA35*100</f>
        <v>-100.97174024620401</v>
      </c>
      <c r="AB36" s="987">
        <f>(AB6-AA6+AB7-AA7)/AB35*100</f>
        <v>-157.45652046914219</v>
      </c>
      <c r="AC36" s="987">
        <f>(AC6-AB6+AC7-AB7)/AC35*100</f>
        <v>-31.210532407539993</v>
      </c>
      <c r="AD36" s="987">
        <f>(AD6-AC6+AD7-AC7)/AD35*100</f>
        <v>51.063782628291513</v>
      </c>
      <c r="AE36" s="987">
        <f>(AE6-AD6+AE7-AD7)/AE35*100</f>
        <v>10.500273145758479</v>
      </c>
      <c r="AF36" s="987">
        <v>8.7851555126629552</v>
      </c>
      <c r="AG36" s="987">
        <v>9.197300059107004</v>
      </c>
      <c r="AH36" s="987">
        <v>9.5851023160163003</v>
      </c>
      <c r="AI36" s="987">
        <v>9.9499999999999975</v>
      </c>
      <c r="AJ36" s="987">
        <v>9.9499999999999993</v>
      </c>
      <c r="AK36" s="987">
        <v>9.9499999999999993</v>
      </c>
      <c r="AL36" s="987">
        <v>9.9499999999999993</v>
      </c>
      <c r="AM36" s="987">
        <v>9.9499999999999993</v>
      </c>
      <c r="AN36" s="987">
        <v>9.9499999999999993</v>
      </c>
      <c r="AO36" s="987">
        <v>9.9499999999999993</v>
      </c>
      <c r="AP36" s="987">
        <v>9.9499999999999993</v>
      </c>
      <c r="AQ36" s="987">
        <v>9.9499999999999993</v>
      </c>
      <c r="AR36" s="987">
        <v>9.9499999999999993</v>
      </c>
      <c r="AS36" s="987">
        <v>9.9499999999999993</v>
      </c>
      <c r="AT36" s="987">
        <v>9.9499999999999993</v>
      </c>
      <c r="AU36" s="987">
        <v>9.9499999999999993</v>
      </c>
      <c r="AV36" s="987">
        <v>9.9499999999999993</v>
      </c>
      <c r="AW36" s="987">
        <v>9.9499999999999993</v>
      </c>
      <c r="AX36" s="987">
        <v>9.9499999999999993</v>
      </c>
      <c r="AY36" s="987">
        <v>9.9499999999999993</v>
      </c>
      <c r="AZ36" s="987">
        <v>9.9499999999999993</v>
      </c>
      <c r="BA36" s="987">
        <v>9.9499999999999993</v>
      </c>
      <c r="BB36" s="987">
        <v>9.9499999999999993</v>
      </c>
      <c r="BC36" s="987">
        <v>9.9499999999999993</v>
      </c>
      <c r="BD36" s="987">
        <v>9.9499999999999993</v>
      </c>
      <c r="BE36" s="987">
        <v>9.9499999999999993</v>
      </c>
      <c r="BF36" s="987">
        <v>9.9499999999999993</v>
      </c>
      <c r="BG36" s="987">
        <v>9.9499999999999993</v>
      </c>
      <c r="BH36" s="987">
        <v>9.9499999999999993</v>
      </c>
      <c r="BI36" s="987">
        <v>9.9499999999999993</v>
      </c>
      <c r="BJ36" s="987">
        <v>9.9499999999999993</v>
      </c>
      <c r="BK36" s="987">
        <v>9.9499999999999993</v>
      </c>
      <c r="BL36" s="987">
        <v>9.9499999999999993</v>
      </c>
      <c r="BM36" s="987">
        <v>9.9499999999999993</v>
      </c>
      <c r="BN36" s="987">
        <v>9.9499999999999993</v>
      </c>
      <c r="BO36" s="987">
        <v>9.9499999999999993</v>
      </c>
      <c r="BP36" s="987">
        <v>9.9499999999999993</v>
      </c>
      <c r="BQ36" s="987">
        <v>9.9499999999999993</v>
      </c>
      <c r="BR36" s="987">
        <v>9.9499999999999993</v>
      </c>
      <c r="BS36" s="987">
        <v>9.9499999999999993</v>
      </c>
      <c r="BT36" s="987">
        <v>9.9499999999999993</v>
      </c>
      <c r="BU36" s="987">
        <v>9.9499999999999993</v>
      </c>
      <c r="BV36" s="987">
        <v>9.9499999999999993</v>
      </c>
      <c r="BW36" s="987">
        <v>9.9499999999999993</v>
      </c>
      <c r="BX36" s="987">
        <v>9.9499999999999993</v>
      </c>
      <c r="BY36" s="987">
        <v>9.9499999999999993</v>
      </c>
      <c r="BZ36" s="987">
        <v>9.9499999999999993</v>
      </c>
      <c r="CA36" s="987">
        <v>9.9499999999999993</v>
      </c>
      <c r="CB36" s="987">
        <v>9.9499999999999993</v>
      </c>
      <c r="CC36" s="987">
        <v>9.9499999999999993</v>
      </c>
      <c r="CD36" s="987">
        <v>9.9499999999999993</v>
      </c>
      <c r="CE36" s="987">
        <v>9.9499999999999993</v>
      </c>
      <c r="CF36" s="987">
        <v>9.9499999999999993</v>
      </c>
      <c r="CG36" s="987">
        <v>9.9499999999999993</v>
      </c>
      <c r="CH36" s="987">
        <v>9.9499999999999993</v>
      </c>
      <c r="CI36" s="987">
        <v>9.9499999999999993</v>
      </c>
      <c r="CJ36" s="987">
        <v>9.9499999999999993</v>
      </c>
      <c r="CK36" s="987">
        <v>9.9499999999999993</v>
      </c>
      <c r="CL36" s="987">
        <v>9.9499999999999993</v>
      </c>
      <c r="CM36" s="987">
        <v>9.9499999999999993</v>
      </c>
      <c r="CN36" s="987">
        <v>9.9499999999999993</v>
      </c>
      <c r="CO36" s="987">
        <v>9.9499999999999993</v>
      </c>
      <c r="CP36" s="987">
        <v>9.9499999999999993</v>
      </c>
      <c r="CQ36" s="987">
        <v>9.9499999999999993</v>
      </c>
      <c r="CR36" s="987">
        <v>9.9499999999999993</v>
      </c>
      <c r="CS36" s="987">
        <v>9.9499999999999993</v>
      </c>
      <c r="CT36" s="987">
        <v>9.9499999999999993</v>
      </c>
      <c r="CU36" s="987">
        <v>9.9499999999999993</v>
      </c>
      <c r="CV36" s="987">
        <v>9.9499999999999993</v>
      </c>
      <c r="CW36" s="987">
        <v>9.9499999999999993</v>
      </c>
      <c r="CX36" s="987">
        <v>9.9499999999999993</v>
      </c>
      <c r="CY36" s="987">
        <v>9.9499999999999993</v>
      </c>
      <c r="CZ36" s="987">
        <v>9.9499999999999993</v>
      </c>
      <c r="DA36" s="987">
        <v>9.9499999999999993</v>
      </c>
      <c r="DB36" s="987">
        <v>9.9499999999999993</v>
      </c>
      <c r="DC36" s="987">
        <v>9.9499999999999993</v>
      </c>
      <c r="DD36" s="987">
        <v>9.9499999999999993</v>
      </c>
      <c r="DE36" s="987">
        <v>9.9499999999999993</v>
      </c>
      <c r="DF36" s="987">
        <v>9.9499999999999993</v>
      </c>
      <c r="DG36" s="987">
        <v>9.9499999999999993</v>
      </c>
      <c r="DH36" s="987">
        <v>9.9499999999999993</v>
      </c>
      <c r="DI36" s="987">
        <v>9.9499999999999993</v>
      </c>
      <c r="DJ36" s="987">
        <v>9.9499999999999993</v>
      </c>
      <c r="DK36" s="987">
        <v>9.9499999999999993</v>
      </c>
      <c r="DL36" s="987">
        <v>9.9499999999999993</v>
      </c>
      <c r="DM36" s="987">
        <v>9.9499999999999993</v>
      </c>
      <c r="DN36" s="987">
        <v>9.9499999999999993</v>
      </c>
      <c r="DO36" s="987">
        <v>9.9499999999999993</v>
      </c>
      <c r="DP36" s="987">
        <v>9.9499999999999993</v>
      </c>
      <c r="DQ36" s="987">
        <v>9.9499999999999993</v>
      </c>
      <c r="DR36" s="987">
        <v>9.9499999999999993</v>
      </c>
      <c r="DS36" s="987">
        <v>9.9499999999999993</v>
      </c>
      <c r="DT36" s="987">
        <v>9.9499999999999993</v>
      </c>
      <c r="DU36" s="988">
        <v>9.9499999999999993</v>
      </c>
    </row>
    <row r="37" spans="2:125" x14ac:dyDescent="0.2">
      <c r="B37" s="980"/>
      <c r="C37" s="944"/>
      <c r="D37" s="1022" t="s">
        <v>1081</v>
      </c>
      <c r="E37" s="1022" t="s">
        <v>1082</v>
      </c>
      <c r="F37" s="1022" t="s">
        <v>1055</v>
      </c>
      <c r="G37" s="1023" t="s">
        <v>1083</v>
      </c>
      <c r="H37" s="944"/>
      <c r="I37" s="970"/>
      <c r="J37" s="947"/>
      <c r="K37" s="947"/>
      <c r="L37" s="947"/>
      <c r="M37" s="947"/>
      <c r="N37" s="947"/>
      <c r="O37" s="947"/>
      <c r="P37" s="947"/>
      <c r="Q37" s="947"/>
      <c r="R37" s="1789" t="s">
        <v>759</v>
      </c>
      <c r="S37" s="1790"/>
      <c r="T37" s="1790"/>
      <c r="U37" s="1024" t="s">
        <v>759</v>
      </c>
      <c r="V37" s="944"/>
      <c r="W37" s="971"/>
      <c r="X37" s="944"/>
      <c r="Y37" s="947"/>
      <c r="Z37" s="947"/>
      <c r="AA37" s="947"/>
      <c r="AB37" s="947"/>
      <c r="AC37" s="947"/>
      <c r="AD37" s="947"/>
      <c r="AE37" s="947"/>
      <c r="AF37" s="947"/>
      <c r="AG37" s="947"/>
      <c r="AH37" s="947"/>
      <c r="AI37" s="947"/>
      <c r="AJ37" s="947"/>
      <c r="AK37" s="997"/>
      <c r="AL37" s="997"/>
      <c r="AM37" s="997"/>
      <c r="AN37" s="997"/>
      <c r="AO37" s="947"/>
      <c r="AP37" s="947"/>
      <c r="AQ37" s="947"/>
      <c r="AR37" s="947"/>
      <c r="AS37" s="947"/>
      <c r="AT37" s="947"/>
      <c r="AU37" s="947"/>
      <c r="AV37" s="947"/>
      <c r="AW37" s="947"/>
      <c r="AX37" s="947"/>
      <c r="AY37" s="947"/>
      <c r="AZ37" s="947"/>
      <c r="BA37" s="947"/>
      <c r="BB37" s="947"/>
      <c r="BC37" s="947"/>
      <c r="BD37" s="947"/>
      <c r="BE37" s="947"/>
      <c r="BF37" s="947"/>
      <c r="BG37" s="947"/>
      <c r="BH37" s="947"/>
      <c r="BI37" s="947"/>
      <c r="BJ37" s="947"/>
      <c r="BK37" s="947"/>
      <c r="BL37" s="947"/>
      <c r="BM37" s="1025"/>
      <c r="BN37" s="1025"/>
      <c r="BO37" s="1025"/>
      <c r="BP37" s="1025"/>
      <c r="BQ37" s="1025"/>
      <c r="BR37" s="1025"/>
      <c r="BS37" s="1025"/>
      <c r="BT37" s="1025"/>
      <c r="BU37" s="1025"/>
      <c r="BV37" s="1025"/>
      <c r="BW37" s="1025"/>
      <c r="BX37" s="1025"/>
      <c r="BY37" s="1025"/>
      <c r="BZ37" s="1025"/>
      <c r="CA37" s="1025"/>
      <c r="CB37" s="1025"/>
      <c r="CC37" s="1025"/>
      <c r="CD37" s="1025"/>
      <c r="CE37" s="1025"/>
      <c r="CF37" s="1025"/>
      <c r="CG37" s="1025"/>
      <c r="CH37" s="1025"/>
      <c r="CI37" s="1025"/>
      <c r="CJ37" s="1025"/>
      <c r="CK37" s="1025"/>
      <c r="CL37" s="1025"/>
      <c r="CM37" s="1025"/>
      <c r="CN37" s="1025"/>
      <c r="CO37" s="1025"/>
      <c r="CP37" s="1025"/>
      <c r="CQ37" s="1025"/>
      <c r="CR37" s="1025"/>
      <c r="CS37" s="1025"/>
      <c r="CT37" s="1025"/>
      <c r="CU37" s="1025"/>
      <c r="CV37" s="1025"/>
      <c r="CW37" s="1025"/>
      <c r="CX37" s="1025"/>
      <c r="CY37" s="1025"/>
      <c r="CZ37" s="1025"/>
      <c r="DA37" s="1025"/>
      <c r="DB37" s="1025"/>
      <c r="DC37" s="1025"/>
      <c r="DD37" s="1025"/>
      <c r="DE37" s="1025"/>
      <c r="DF37" s="1025"/>
      <c r="DG37" s="1025"/>
      <c r="DH37" s="1025"/>
      <c r="DI37" s="1025"/>
      <c r="DJ37" s="1025"/>
      <c r="DK37" s="1025"/>
      <c r="DL37" s="1025"/>
      <c r="DM37" s="1025"/>
      <c r="DN37" s="1025"/>
      <c r="DO37" s="1025"/>
      <c r="DP37" s="1025"/>
      <c r="DQ37" s="1025"/>
      <c r="DR37" s="1025"/>
      <c r="DS37" s="1025"/>
      <c r="DT37" s="1025"/>
      <c r="DU37" s="1026"/>
    </row>
    <row r="38" spans="2:125" x14ac:dyDescent="0.2">
      <c r="B38" s="980"/>
      <c r="C38" s="944" t="str">
        <f ca="1">CONCATENATE("   ",YEAR(OFFSET(Y4,0,1)))</f>
        <v xml:space="preserve">   2017</v>
      </c>
      <c r="D38" s="1027">
        <f ca="1">$AA$50/OFFSET(Y19,0,1)</f>
        <v>1.1913052202556695</v>
      </c>
      <c r="E38" s="1027">
        <f ca="1">$AA$50/OFFSET(Y39,0,2)</f>
        <v>1.1913052202556695</v>
      </c>
      <c r="F38" s="1027">
        <f ca="1">$AA$50/OFFSET(Y6,0,1)</f>
        <v>-26.405695672109029</v>
      </c>
      <c r="G38" s="1028">
        <f ca="1">$AA$50/OFFSET(Y8,0,1)</f>
        <v>-26.405695672109029</v>
      </c>
      <c r="H38" s="944"/>
      <c r="I38" s="970"/>
      <c r="J38" s="947"/>
      <c r="K38" s="947"/>
      <c r="L38" s="947"/>
      <c r="M38" s="947"/>
      <c r="N38" s="947"/>
      <c r="O38" s="947"/>
      <c r="P38" s="947"/>
      <c r="Q38" s="947"/>
      <c r="R38" s="1789" t="s">
        <v>1084</v>
      </c>
      <c r="S38" s="1790"/>
      <c r="T38" s="1790"/>
      <c r="U38" s="1024" t="s">
        <v>1085</v>
      </c>
      <c r="V38" s="944"/>
      <c r="W38" s="971"/>
      <c r="X38" s="944"/>
      <c r="Y38" s="992" t="s">
        <v>1086</v>
      </c>
      <c r="Z38" s="1005"/>
      <c r="AA38" s="1005"/>
      <c r="AB38" s="1005"/>
      <c r="AC38" s="1005"/>
      <c r="AD38" s="1005"/>
      <c r="AE38" s="1005"/>
      <c r="AF38" s="1005"/>
      <c r="AG38" s="1005"/>
      <c r="AH38" s="1005"/>
      <c r="AI38" s="1005"/>
      <c r="AJ38" s="1005"/>
      <c r="AK38" s="1005"/>
      <c r="AL38" s="1005"/>
      <c r="AM38" s="947"/>
      <c r="AN38" s="947"/>
      <c r="AO38" s="947"/>
      <c r="AP38" s="947"/>
      <c r="AQ38" s="947"/>
      <c r="AR38" s="947"/>
      <c r="AS38" s="947"/>
      <c r="AT38" s="947"/>
      <c r="AU38" s="947"/>
      <c r="AV38" s="947"/>
      <c r="AW38" s="947"/>
      <c r="AX38" s="947"/>
      <c r="AY38" s="947"/>
      <c r="AZ38" s="947"/>
      <c r="BA38" s="947"/>
      <c r="BB38" s="947"/>
      <c r="BC38" s="947"/>
      <c r="BD38" s="947"/>
      <c r="BE38" s="947"/>
      <c r="BF38" s="947"/>
      <c r="BG38" s="947"/>
      <c r="BH38" s="947"/>
      <c r="BI38" s="947"/>
      <c r="BJ38" s="947"/>
      <c r="BK38" s="947"/>
      <c r="BL38" s="947"/>
      <c r="BM38" s="1025"/>
      <c r="BN38" s="1025"/>
      <c r="BO38" s="1025"/>
      <c r="BP38" s="1025"/>
      <c r="BQ38" s="1025"/>
      <c r="BR38" s="1025"/>
      <c r="BS38" s="1025"/>
      <c r="BT38" s="1025"/>
      <c r="BU38" s="1025"/>
      <c r="BV38" s="1025"/>
      <c r="BW38" s="1025"/>
      <c r="BX38" s="1025"/>
      <c r="BY38" s="1025"/>
      <c r="BZ38" s="1025"/>
      <c r="CA38" s="1025"/>
      <c r="CB38" s="1025"/>
      <c r="CC38" s="1025"/>
      <c r="CD38" s="1025"/>
      <c r="CE38" s="1025"/>
      <c r="CF38" s="1025"/>
      <c r="CG38" s="1025"/>
      <c r="CH38" s="1025"/>
      <c r="CI38" s="1025"/>
      <c r="CJ38" s="1025"/>
      <c r="CK38" s="1025"/>
      <c r="CL38" s="1025"/>
      <c r="CM38" s="1025"/>
      <c r="CN38" s="1025"/>
      <c r="CO38" s="1025"/>
      <c r="CP38" s="1025"/>
      <c r="CQ38" s="1025"/>
      <c r="CR38" s="1025"/>
      <c r="CS38" s="1025"/>
      <c r="CT38" s="1025"/>
      <c r="CU38" s="1025"/>
      <c r="CV38" s="1025"/>
      <c r="CW38" s="1025"/>
      <c r="CX38" s="1025"/>
      <c r="CY38" s="1025"/>
      <c r="CZ38" s="1025"/>
      <c r="DA38" s="1025"/>
      <c r="DB38" s="1025"/>
      <c r="DC38" s="1025"/>
      <c r="DD38" s="1025"/>
      <c r="DE38" s="1025"/>
      <c r="DF38" s="1025"/>
      <c r="DG38" s="1025"/>
      <c r="DH38" s="1025"/>
      <c r="DI38" s="1025"/>
      <c r="DJ38" s="1025"/>
      <c r="DK38" s="1025"/>
      <c r="DL38" s="1025"/>
      <c r="DM38" s="1025"/>
      <c r="DN38" s="1025"/>
      <c r="DO38" s="1025"/>
      <c r="DP38" s="1025"/>
      <c r="DQ38" s="1025"/>
      <c r="DR38" s="1025"/>
      <c r="DS38" s="1025"/>
      <c r="DT38" s="1025"/>
      <c r="DU38" s="1026"/>
    </row>
    <row r="39" spans="2:125" x14ac:dyDescent="0.2">
      <c r="B39" s="980"/>
      <c r="C39" s="944" t="str">
        <f ca="1">CONCATENATE("   ",YEAR(OFFSET(Y4,0,2)))</f>
        <v xml:space="preserve">   2018</v>
      </c>
      <c r="D39" s="1027">
        <f ca="1">$AA$50/OFFSET(Y19,0,2)</f>
        <v>1.1980269243527835</v>
      </c>
      <c r="E39" s="1027">
        <f ca="1">$AA$50/OFFSET(Y39,0,3)</f>
        <v>1.1980269243527835</v>
      </c>
      <c r="F39" s="1027">
        <f ca="1">$AA$50/OFFSET(Y6,0,2)</f>
        <v>12.981880151780381</v>
      </c>
      <c r="G39" s="1028">
        <f ca="1">$AA$50/OFFSET(Y8,0,2)</f>
        <v>12.981880151780381</v>
      </c>
      <c r="H39" s="944"/>
      <c r="I39" s="970"/>
      <c r="J39" s="947"/>
      <c r="K39" s="947"/>
      <c r="L39" s="947"/>
      <c r="M39" s="947"/>
      <c r="N39" s="947"/>
      <c r="O39" s="947"/>
      <c r="P39" s="947"/>
      <c r="Q39" s="947"/>
      <c r="R39" s="1789" t="s">
        <v>1057</v>
      </c>
      <c r="S39" s="1790"/>
      <c r="T39" s="1790"/>
      <c r="U39" s="1024" t="s">
        <v>1057</v>
      </c>
      <c r="V39" s="944"/>
      <c r="W39" s="971"/>
      <c r="X39" s="944"/>
      <c r="Y39" s="944" t="s">
        <v>1087</v>
      </c>
      <c r="Z39" s="1009">
        <f>Z16+$G$29</f>
        <v>205867</v>
      </c>
      <c r="AA39" s="1009">
        <f>AA16+$G$29+SUM($Z$7:Z7)</f>
        <v>181290.38740871908</v>
      </c>
      <c r="AB39" s="1009">
        <f>AB16+$G$29+SUM($Z$7:AA7)</f>
        <v>180273.23135400782</v>
      </c>
      <c r="AC39" s="1009">
        <f>AC16+$G$29+SUM($Z$7:AB7)</f>
        <v>175499.35055333353</v>
      </c>
      <c r="AD39" s="1009">
        <f>AD16+$G$29+SUM($Z$7:AC7)</f>
        <v>177771.76057450898</v>
      </c>
      <c r="AE39" s="1009">
        <f>AE16+$G$29+SUM($Z$7:AD7)</f>
        <v>183042.67867915612</v>
      </c>
      <c r="AF39" s="1009">
        <f>AF16+$G$29+SUM($Z$7:AE7)</f>
        <v>188532.34149590641</v>
      </c>
      <c r="AG39" s="1009">
        <f>AG16+$G$29+SUM($Z$7:AF7)</f>
        <v>199219.32564808097</v>
      </c>
      <c r="AH39" s="1009">
        <f>AH16+$G$29+SUM($Z$7:AG7)</f>
        <v>203712.53931868673</v>
      </c>
      <c r="AI39" s="1009">
        <f>AI16+$G$29+SUM($Z$7:AH7)</f>
        <v>208218.20485923215</v>
      </c>
      <c r="AJ39" s="1009">
        <f>AJ16+$G$29+SUM($Z$7:AI7)</f>
        <v>212731.25998071293</v>
      </c>
      <c r="AK39" s="1009">
        <f>AK16+$G$29+SUM($Z$7:AJ7)</f>
        <v>217357.14148023073</v>
      </c>
      <c r="AL39" s="1009">
        <f>AL16+$G$29+SUM($Z$7:AK7)</f>
        <v>222098.67001723647</v>
      </c>
      <c r="AM39" s="1009">
        <f>AM16+$G$29+SUM($Z$7:AL7)</f>
        <v>226958.73676766735</v>
      </c>
      <c r="AN39" s="1009">
        <f>AN16+$G$29+SUM($Z$7:AM7)</f>
        <v>231940.30518685898</v>
      </c>
      <c r="AO39" s="1009">
        <f>AO16+$G$29+SUM($Z$7:AN7)</f>
        <v>237046.41281653047</v>
      </c>
      <c r="AP39" s="1009">
        <f>AP16+$G$29+SUM($Z$7:AO7)</f>
        <v>242280.17313694372</v>
      </c>
      <c r="AQ39" s="1009">
        <f>AQ16+$G$29+SUM($Z$7:AP7)</f>
        <v>247644.77746536728</v>
      </c>
      <c r="AR39" s="1009">
        <f>AR16+$G$29+SUM($Z$7:AQ7)</f>
        <v>253143.49690200144</v>
      </c>
      <c r="AS39" s="1009">
        <f>AS16+$G$29+SUM($Z$7:AR7)</f>
        <v>258779.68432455146</v>
      </c>
      <c r="AT39" s="1009">
        <f>AT16+$G$29+SUM($Z$7:AS7)</f>
        <v>264556.77643266524</v>
      </c>
      <c r="AU39" s="1009">
        <f>AU16+$G$29+SUM($Z$7:AT7)</f>
        <v>270478.29584348184</v>
      </c>
      <c r="AV39" s="1009">
        <f>AV16+$G$29+SUM($Z$7:AU7)</f>
        <v>276547.85323956888</v>
      </c>
      <c r="AW39" s="1009">
        <f>AW16+$G$29+SUM($Z$7:AV7)</f>
        <v>282769.1495705581</v>
      </c>
      <c r="AX39" s="1009">
        <f>AX16+$G$29+SUM($Z$7:AW7)</f>
        <v>289145.97830982204</v>
      </c>
      <c r="AY39" s="1009">
        <f>AY16+$G$29+SUM($Z$7:AX7)</f>
        <v>295682.22776756756</v>
      </c>
      <c r="AZ39" s="1009">
        <f>AZ16+$G$29+SUM($Z$7:AY7)</f>
        <v>302381.88346175675</v>
      </c>
      <c r="BA39" s="1009">
        <f>BA16+$G$29+SUM($Z$7:AZ7)</f>
        <v>309249.03054830065</v>
      </c>
      <c r="BB39" s="1009">
        <f>BB16+$G$29+SUM($Z$7:BA7)</f>
        <v>316287.85631200817</v>
      </c>
      <c r="BC39" s="1009">
        <f>BC16+$G$29+SUM($Z$7:BB7)</f>
        <v>323502.65271980833</v>
      </c>
      <c r="BD39" s="1009">
        <f>BD16+$G$29+SUM($Z$7:BC7)</f>
        <v>330897.81903780351</v>
      </c>
      <c r="BE39" s="1009">
        <f>BE16+$G$29+SUM($Z$7:BD7)</f>
        <v>338477.86451374856</v>
      </c>
      <c r="BF39" s="1009">
        <f>BF16+$G$29+SUM($Z$7:BE7)</f>
        <v>346247.41112659225</v>
      </c>
      <c r="BG39" s="1009">
        <f>BG16+$G$29+SUM($Z$7:BF7)</f>
        <v>354211.19640475704</v>
      </c>
      <c r="BH39" s="1009">
        <f>BH16+$G$29+SUM($Z$7:BG7)</f>
        <v>362374.07631487591</v>
      </c>
      <c r="BI39" s="1009">
        <f>BI16+$G$29+SUM($Z$7:BH7)</f>
        <v>370741.02822274785</v>
      </c>
      <c r="BJ39" s="1009">
        <f>BJ16+$G$29+SUM($Z$7:BI7)</f>
        <v>379317.15392831643</v>
      </c>
      <c r="BK39" s="1009">
        <f>BK16+$G$29+SUM($Z$7:BJ7)</f>
        <v>388107.68277652434</v>
      </c>
      <c r="BL39" s="1009">
        <f>BL16+$G$29+SUM($Z$7:BK7)</f>
        <v>397117.9748459374</v>
      </c>
      <c r="BM39" s="1009">
        <f>BM16+$G$29+SUM($Z$7:BL7)</f>
        <v>406353.52421708574</v>
      </c>
      <c r="BN39" s="1009">
        <f>BN16+$G$29+SUM($Z$7:BM7)</f>
        <v>415819.96232251293</v>
      </c>
      <c r="BO39" s="1009">
        <f>BO16+$G$29+SUM($Z$7:BN7)</f>
        <v>425523.06138057564</v>
      </c>
      <c r="BP39" s="1009">
        <f>BP16+$G$29+SUM($Z$7:BO7)</f>
        <v>435468.73791509005</v>
      </c>
      <c r="BQ39" s="1009">
        <f>BQ16+$G$29+SUM($Z$7:BP7)</f>
        <v>445663.05636296724</v>
      </c>
      <c r="BR39" s="1009">
        <f>BR16+$G$29+SUM($Z$7:BQ7)</f>
        <v>456112.2327720414</v>
      </c>
      <c r="BS39" s="1009">
        <f>BS16+$G$29+SUM($Z$7:BR7)</f>
        <v>466822.63859134237</v>
      </c>
      <c r="BT39" s="1009">
        <f>BT16+$G$29+SUM($Z$7:BS7)</f>
        <v>477800.80455612595</v>
      </c>
      <c r="BU39" s="1009">
        <f>BU16+$G$29+SUM($Z$7:BT7)</f>
        <v>489053.42467002908</v>
      </c>
      <c r="BV39" s="1009">
        <f>BV16+$G$29+SUM($Z$7:BU7)</f>
        <v>500587.3602867797</v>
      </c>
      <c r="BW39" s="1009">
        <f>BW16+$G$29+SUM($Z$7:BV7)</f>
        <v>512409.64429394918</v>
      </c>
      <c r="BX39" s="1009">
        <f>BX16+$G$29+SUM($Z$7:BW7)</f>
        <v>524527.4854012978</v>
      </c>
      <c r="BY39" s="1009">
        <f>BY16+$G$29+SUM($Z$7:BX7)</f>
        <v>536948.27253633016</v>
      </c>
      <c r="BZ39" s="1009">
        <f>BZ16+$G$29+SUM($Z$7:BY7)</f>
        <v>549679.57934973843</v>
      </c>
      <c r="CA39" s="1009">
        <f>CA16+$G$29+SUM($Z$7:BZ7)</f>
        <v>562729.16883348185</v>
      </c>
      <c r="CB39" s="1009">
        <f>CB16+$G$29+SUM($Z$7:CA7)</f>
        <v>576104.99805431883</v>
      </c>
      <c r="CC39" s="1009">
        <f>CC16+$G$29+SUM($Z$7:CB7)</f>
        <v>589815.22300567676</v>
      </c>
      <c r="CD39" s="1009">
        <f>CD16+$G$29+SUM($Z$7:CC7)</f>
        <v>603868.2035808186</v>
      </c>
      <c r="CE39" s="1009">
        <f>CE16+$G$29+SUM($Z$7:CD7)</f>
        <v>618272.50867033901</v>
      </c>
      <c r="CF39" s="1009">
        <f>CF16+$G$29+SUM($Z$7:CE7)</f>
        <v>633036.92138709745</v>
      </c>
      <c r="CG39" s="1009">
        <f>CG16+$G$29+SUM($Z$7:CF7)</f>
        <v>648170.44442177482</v>
      </c>
      <c r="CH39" s="1009">
        <f>CH16+$G$29+SUM($Z$7:CG7)</f>
        <v>663682.30553231912</v>
      </c>
      <c r="CI39" s="1009">
        <f>CI16+$G$29+SUM($Z$7:CH7)</f>
        <v>679581.96317062702</v>
      </c>
      <c r="CJ39" s="1009">
        <f>CJ16+$G$29+SUM($Z$7:CI7)</f>
        <v>695879.11224989267</v>
      </c>
      <c r="CK39" s="1009">
        <f>CK16+$G$29+SUM($Z$7:CJ7)</f>
        <v>712583.69005613995</v>
      </c>
      <c r="CL39" s="1009">
        <f>CL16+$G$29+SUM($Z$7:CK7)</f>
        <v>729705.88230754342</v>
      </c>
      <c r="CM39" s="1009">
        <f>CM16+$G$29+SUM($Z$7:CL7)</f>
        <v>747256.12936523196</v>
      </c>
      <c r="CN39" s="1009">
        <f>CN16+$G$29+SUM($Z$7:CM7)</f>
        <v>765245.13259936264</v>
      </c>
      <c r="CO39" s="1009">
        <f>CO16+$G$29+SUM($Z$7:CN7)</f>
        <v>783683.86091434653</v>
      </c>
      <c r="CP39" s="1009">
        <f>CP16+$G$29+SUM($Z$7:CO7)</f>
        <v>802583.55743720522</v>
      </c>
      <c r="CQ39" s="1009">
        <f>CQ16+$G$29+SUM($Z$7:CP7)</f>
        <v>821955.74637313525</v>
      </c>
      <c r="CR39" s="1009">
        <f>CR16+$G$29+SUM($Z$7:CQ7)</f>
        <v>841812.24003246357</v>
      </c>
      <c r="CS39" s="1009">
        <f>CS16+$G$29+SUM($Z$7:CR7)</f>
        <v>862165.14603327517</v>
      </c>
      <c r="CT39" s="1009">
        <f>CT16+$G$29+SUM($Z$7:CS7)</f>
        <v>883026.87468410691</v>
      </c>
      <c r="CU39" s="1009">
        <f>CU16+$G$29+SUM($Z$7:CT7)</f>
        <v>904410.1465512095</v>
      </c>
      <c r="CV39" s="1009">
        <f>CV16+$G$29+SUM($Z$7:CU7)</f>
        <v>926328.00021498965</v>
      </c>
      <c r="CW39" s="1009">
        <f>CW16+$G$29+SUM($Z$7:CV7)</f>
        <v>948793.80022036436</v>
      </c>
      <c r="CX39" s="1009">
        <f>CX16+$G$29+SUM($Z$7:CW7)</f>
        <v>971821.24522587343</v>
      </c>
      <c r="CY39" s="1009">
        <f>CY16+$G$29+SUM($Z$7:CX7)</f>
        <v>995424.37635652022</v>
      </c>
      <c r="CZ39" s="1009">
        <f>CZ16+$G$29+SUM($Z$7:CY7)</f>
        <v>1019617.5857654331</v>
      </c>
      <c r="DA39" s="1009">
        <f>DA16+$G$29+SUM($Z$7:CZ7)</f>
        <v>1044415.6254095689</v>
      </c>
      <c r="DB39" s="1009">
        <f>DB16+$G$29+SUM($Z$7:DA7)</f>
        <v>1069833.6160448082</v>
      </c>
      <c r="DC39" s="1009">
        <f>DC16+$G$29+SUM($Z$7:DB7)</f>
        <v>1095887.0564459281</v>
      </c>
      <c r="DD39" s="1009">
        <f>DD16+$G$29+SUM($Z$7:DC7)</f>
        <v>1122591.8328570761</v>
      </c>
      <c r="DE39" s="1009">
        <f>DE16+$G$29+SUM($Z$7:DD7)</f>
        <v>1149964.2286785028</v>
      </c>
      <c r="DF39" s="1009">
        <f>DF16+$G$29+SUM($Z$7:DE7)</f>
        <v>1178020.9343954653</v>
      </c>
      <c r="DG39" s="1009">
        <f>DG16+$G$29+SUM($Z$7:DF7)</f>
        <v>1206779.0577553518</v>
      </c>
      <c r="DH39" s="1009">
        <f>DH16+$G$29+SUM($Z$7:DG7)</f>
        <v>1236256.1341992354</v>
      </c>
      <c r="DI39" s="1009">
        <f>DI16+$G$29+SUM($Z$7:DH7)</f>
        <v>1266470.1375542162</v>
      </c>
      <c r="DJ39" s="1009">
        <f>DJ16+$G$29+SUM($Z$7:DI7)</f>
        <v>1297439.4909930716</v>
      </c>
      <c r="DK39" s="1009">
        <f>DK16+$G$29+SUM($Z$7:DJ7)</f>
        <v>1329183.0782678982</v>
      </c>
      <c r="DL39" s="1009">
        <f>DL16+$G$29+SUM($Z$7:DK7)</f>
        <v>1361720.2552245955</v>
      </c>
      <c r="DM39" s="1009">
        <f>DM16+$G$29+SUM($Z$7:DL7)</f>
        <v>1395070.8616052102</v>
      </c>
      <c r="DN39" s="1009">
        <f>DN16+$G$29+SUM($Z$7:DM7)</f>
        <v>1429255.2331453403</v>
      </c>
      <c r="DO39" s="1009">
        <f>DO16+$G$29+SUM($Z$7:DN7)</f>
        <v>1464294.2139739736</v>
      </c>
      <c r="DP39" s="1009">
        <f>DP16+$G$29+SUM($Z$7:DO7)</f>
        <v>1500209.1693233228</v>
      </c>
      <c r="DQ39" s="1009">
        <f>DQ16+$G$29+SUM($Z$7:DP7)</f>
        <v>1537021.998556406</v>
      </c>
      <c r="DR39" s="1009">
        <f>DR16+$G$29+SUM($Z$7:DQ7)</f>
        <v>1574755.148520316</v>
      </c>
      <c r="DS39" s="1009">
        <f>DS16+$G$29+SUM($Z$7:DR7)</f>
        <v>1613431.6272333234</v>
      </c>
      <c r="DT39" s="1009">
        <f>DT16+$G$29+SUM($Z$7:DS7)</f>
        <v>1653075.0179141564</v>
      </c>
      <c r="DU39" s="994">
        <f>DU16+$G$29+SUM($Z$7:DT7)</f>
        <v>1693709.4933620102</v>
      </c>
    </row>
    <row r="40" spans="2:125" x14ac:dyDescent="0.2">
      <c r="B40" s="980"/>
      <c r="C40" s="944" t="str">
        <f ca="1">CONCATENATE("   ",YEAR(OFFSET(Y4,0,3)))</f>
        <v xml:space="preserve">   2019</v>
      </c>
      <c r="D40" s="1027">
        <f ca="1">$AA$50/OFFSET(Y19,0,3)</f>
        <v>1.2306152941377793</v>
      </c>
      <c r="E40" s="1027">
        <f ca="1">$AA$50/OFFSET(Y39,0,4)</f>
        <v>1.2306152941377793</v>
      </c>
      <c r="F40" s="1027">
        <f ca="1">$AA$50/OFFSET(Y6,0,3)</f>
        <v>11.841870999642399</v>
      </c>
      <c r="G40" s="1028">
        <f ca="1">$AA$50/OFFSET(Y8,0,3)</f>
        <v>11.841870999642399</v>
      </c>
      <c r="H40" s="944"/>
      <c r="I40" s="970"/>
      <c r="J40" s="947"/>
      <c r="K40" s="947"/>
      <c r="L40" s="947"/>
      <c r="M40" s="947"/>
      <c r="N40" s="947"/>
      <c r="O40" s="947"/>
      <c r="P40" s="947"/>
      <c r="Q40" s="947"/>
      <c r="R40" s="1795">
        <v>75</v>
      </c>
      <c r="S40" s="1796"/>
      <c r="T40" s="1796"/>
      <c r="U40" s="1029">
        <f t="shared" ref="U40:U46" ca="1" si="47">MATCH(R40-0.00001,$Z$59:$BX$59,-1)-1</f>
        <v>11</v>
      </c>
      <c r="V40" s="944"/>
      <c r="W40" s="971"/>
      <c r="X40" s="944"/>
      <c r="Y40" s="944" t="s">
        <v>1088</v>
      </c>
      <c r="Z40" s="987">
        <f t="shared" ref="Z40:AE40" si="48">(Z8)/Z39*100</f>
        <v>-3.9729534116686991</v>
      </c>
      <c r="AA40" s="987">
        <f t="shared" si="48"/>
        <v>9.1766770785685452</v>
      </c>
      <c r="AB40" s="987">
        <f t="shared" si="48"/>
        <v>10.116871940160143</v>
      </c>
      <c r="AC40" s="987">
        <f t="shared" si="48"/>
        <v>11.241047622492555</v>
      </c>
      <c r="AD40" s="987">
        <f t="shared" si="48"/>
        <v>11.750091251274439</v>
      </c>
      <c r="AE40" s="987">
        <f t="shared" si="48"/>
        <v>11.714101344836132</v>
      </c>
      <c r="AF40" s="987">
        <f t="shared" ref="AF40:BJ40" ca="1" si="49">IF(AF$3&lt;=DEVELOPMENT+MATURITY,(AE8+AF35*AF36/100)/AF39*100,((((OFFSET($Y$40,0,MATURITY+DEVELOPMENT,,1)-cost_of_capital)*((1-DecayFactor/100)^(AF3-DEVELOPMENT-MATURITY))+cost_of_capital)*(OFFSET($Y$39,0,MATURITY+DEVELOPMENT,,1)))+((AF39-OFFSET($Y$39,0,MATURITY+DEVELOPMENT,,1))*cost_of_capital))/AF39)</f>
        <v>11.628816640368033</v>
      </c>
      <c r="AG40" s="987">
        <f t="shared" ca="1" si="49"/>
        <v>11.498379600260842</v>
      </c>
      <c r="AH40" s="987">
        <f t="shared" ca="1" si="49"/>
        <v>11.456179136421067</v>
      </c>
      <c r="AI40" s="987">
        <f t="shared" ca="1" si="49"/>
        <v>11.423586696017265</v>
      </c>
      <c r="AJ40" s="987">
        <f t="shared" ca="1" si="49"/>
        <v>11.388896173049405</v>
      </c>
      <c r="AK40" s="987">
        <f t="shared" ca="1" si="49"/>
        <v>11.357638452575701</v>
      </c>
      <c r="AL40" s="987">
        <f t="shared" ca="1" si="49"/>
        <v>11.329476117438812</v>
      </c>
      <c r="AM40" s="987">
        <f t="shared" ca="1" si="49"/>
        <v>11.304104653101739</v>
      </c>
      <c r="AN40" s="987">
        <f t="shared" ca="1" si="49"/>
        <v>11.281249269201316</v>
      </c>
      <c r="AO40" s="987">
        <f t="shared" ca="1" si="49"/>
        <v>11.260662024768683</v>
      </c>
      <c r="AP40" s="987">
        <f t="shared" ca="1" si="49"/>
        <v>11.242119228478389</v>
      </c>
      <c r="AQ40" s="987">
        <f t="shared" ca="1" si="49"/>
        <v>11.22541908794804</v>
      </c>
      <c r="AR40" s="987">
        <f t="shared" ca="1" si="49"/>
        <v>11.210379584527855</v>
      </c>
      <c r="AS40" s="987">
        <f t="shared" ca="1" si="49"/>
        <v>11.19683655221581</v>
      </c>
      <c r="AT40" s="987">
        <f t="shared" ca="1" si="49"/>
        <v>11.184641941329195</v>
      </c>
      <c r="AU40" s="987">
        <f t="shared" ca="1" si="49"/>
        <v>11.173662249375175</v>
      </c>
      <c r="AV40" s="987">
        <f t="shared" ca="1" si="49"/>
        <v>11.16377710320827</v>
      </c>
      <c r="AW40" s="987">
        <f t="shared" ca="1" si="49"/>
        <v>11.154877978056136</v>
      </c>
      <c r="AX40" s="987">
        <f t="shared" ca="1" si="49"/>
        <v>11.146867040350584</v>
      </c>
      <c r="AY40" s="987">
        <f t="shared" ca="1" si="49"/>
        <v>11.139656102531118</v>
      </c>
      <c r="AZ40" s="987">
        <f t="shared" ca="1" si="49"/>
        <v>11.133165679104184</v>
      </c>
      <c r="BA40" s="987">
        <f t="shared" ca="1" si="49"/>
        <v>11.127324134253994</v>
      </c>
      <c r="BB40" s="987">
        <f t="shared" ca="1" si="49"/>
        <v>11.1220669122189</v>
      </c>
      <c r="BC40" s="987">
        <f t="shared" ca="1" si="49"/>
        <v>11.117335842480054</v>
      </c>
      <c r="BD40" s="987">
        <f t="shared" ca="1" si="49"/>
        <v>11.113078512564</v>
      </c>
      <c r="BE40" s="987">
        <f t="shared" ca="1" si="49"/>
        <v>11.109247701945041</v>
      </c>
      <c r="BF40" s="987">
        <f t="shared" ca="1" si="49"/>
        <v>11.105800871153525</v>
      </c>
      <c r="BG40" s="987">
        <f t="shared" ca="1" si="49"/>
        <v>11.102699700758054</v>
      </c>
      <c r="BH40" s="987">
        <f t="shared" ca="1" si="49"/>
        <v>11.099909675398731</v>
      </c>
      <c r="BI40" s="987">
        <f t="shared" ca="1" si="49"/>
        <v>11.097399708509778</v>
      </c>
      <c r="BJ40" s="987">
        <f t="shared" ca="1" si="49"/>
        <v>11.095141803787405</v>
      </c>
      <c r="BK40" s="987">
        <f t="shared" ref="BK40:CP40" ca="1" si="50">IF(BK$3&lt;=DEVELOPMENT+MATURITY,(BJ8+BK35*BK36/100)/BK39*100,((((OFFSET($Y$40,0,MATURITY+DEVELOPMENT,,1)-cost_of_capital)*((1-DecayFactor/100)^(BK3-DEVELOPMENT-MATURITY))+cost_of_capital)*(OFFSET($Y$39,0,MATURITY+DEVELOPMENT,,1)))+((BK39-OFFSET($Y$39,0,MATURITY+DEVELOPMENT,,1))*cost_of_capital))/BK39)</f>
        <v>11.09311074983707</v>
      </c>
      <c r="BL40" s="987">
        <f t="shared" ca="1" si="50"/>
        <v>11.091283844776633</v>
      </c>
      <c r="BM40" s="987">
        <f t="shared" ca="1" si="50"/>
        <v>11.089640647881748</v>
      </c>
      <c r="BN40" s="987">
        <f t="shared" ca="1" si="50"/>
        <v>11.08816275564048</v>
      </c>
      <c r="BO40" s="987">
        <f t="shared" ca="1" si="50"/>
        <v>11.08683359983778</v>
      </c>
      <c r="BP40" s="987">
        <f t="shared" ca="1" si="50"/>
        <v>11.085638265520265</v>
      </c>
      <c r="BQ40" s="987">
        <f t="shared" ca="1" si="50"/>
        <v>11.084563326899296</v>
      </c>
      <c r="BR40" s="987">
        <f t="shared" ca="1" si="50"/>
        <v>11.083596699438454</v>
      </c>
      <c r="BS40" s="987">
        <f t="shared" ca="1" si="50"/>
        <v>11.082727506541245</v>
      </c>
      <c r="BT40" s="987">
        <f t="shared" ca="1" si="50"/>
        <v>11.081945959408616</v>
      </c>
      <c r="BU40" s="987">
        <f t="shared" ca="1" si="50"/>
        <v>11.081243248774717</v>
      </c>
      <c r="BV40" s="987">
        <f t="shared" ca="1" si="50"/>
        <v>11.080611447354935</v>
      </c>
      <c r="BW40" s="987">
        <f t="shared" ca="1" si="50"/>
        <v>11.080043421953645</v>
      </c>
      <c r="BX40" s="987">
        <f t="shared" ca="1" si="50"/>
        <v>11.079532754281749</v>
      </c>
      <c r="BY40" s="987">
        <f t="shared" ca="1" si="50"/>
        <v>11.079073669626663</v>
      </c>
      <c r="BZ40" s="987">
        <f t="shared" ca="1" si="50"/>
        <v>11.078660972601142</v>
      </c>
      <c r="CA40" s="987">
        <f t="shared" ca="1" si="50"/>
        <v>11.078289989272978</v>
      </c>
      <c r="CB40" s="987">
        <f t="shared" ca="1" si="50"/>
        <v>11.077956515045837</v>
      </c>
      <c r="CC40" s="987">
        <f t="shared" ca="1" si="50"/>
        <v>11.07765676772323</v>
      </c>
      <c r="CD40" s="987">
        <f t="shared" ca="1" si="50"/>
        <v>11.077387345243267</v>
      </c>
      <c r="CE40" s="987">
        <f t="shared" ca="1" si="50"/>
        <v>11.077145187622138</v>
      </c>
      <c r="CF40" s="987">
        <f t="shared" ca="1" si="50"/>
        <v>11.076927542689639</v>
      </c>
      <c r="CG40" s="987">
        <f t="shared" ca="1" si="50"/>
        <v>11.076731935241023</v>
      </c>
      <c r="CH40" s="987">
        <f t="shared" ca="1" si="50"/>
        <v>11.07655613926646</v>
      </c>
      <c r="CI40" s="987">
        <f t="shared" ca="1" si="50"/>
        <v>11.076398152952695</v>
      </c>
      <c r="CJ40" s="987">
        <f t="shared" ca="1" si="50"/>
        <v>11.076256176181674</v>
      </c>
      <c r="CK40" s="987">
        <f t="shared" ca="1" si="50"/>
        <v>11.076128590277978</v>
      </c>
      <c r="CL40" s="987">
        <f t="shared" ca="1" si="50"/>
        <v>11.076013939781484</v>
      </c>
      <c r="CM40" s="987">
        <f t="shared" ca="1" si="50"/>
        <v>11.075910916043746</v>
      </c>
      <c r="CN40" s="987">
        <f t="shared" ca="1" si="50"/>
        <v>11.075818342466468</v>
      </c>
      <c r="CO40" s="987">
        <f t="shared" ca="1" si="50"/>
        <v>11.075735161218518</v>
      </c>
      <c r="CP40" s="987">
        <f t="shared" ca="1" si="50"/>
        <v>11.075660421284041</v>
      </c>
      <c r="CQ40" s="987">
        <f t="shared" ref="CQ40:DU40" ca="1" si="51">IF(CQ$3&lt;=DEVELOPMENT+MATURITY,(CP8+CQ35*CQ36/100)/CQ39*100,((((OFFSET($Y$40,0,MATURITY+DEVELOPMENT,,1)-cost_of_capital)*((1-DecayFactor/100)^(CQ3-DEVELOPMENT-MATURITY))+cost_of_capital)*(OFFSET($Y$39,0,MATURITY+DEVELOPMENT,,1)))+((CQ39-OFFSET($Y$39,0,MATURITY+DEVELOPMENT,,1))*cost_of_capital))/CQ39)</f>
        <v>11.075593267708902</v>
      </c>
      <c r="CR40" s="987">
        <f t="shared" ca="1" si="51"/>
        <v>11.075532931925835</v>
      </c>
      <c r="CS40" s="987">
        <f t="shared" ca="1" si="51"/>
        <v>11.075478723050578</v>
      </c>
      <c r="CT40" s="987">
        <f t="shared" ca="1" si="51"/>
        <v>11.075430020051929</v>
      </c>
      <c r="CU40" s="987">
        <f t="shared" ca="1" si="51"/>
        <v>11.075386264708369</v>
      </c>
      <c r="CV40" s="987">
        <f t="shared" ca="1" si="51"/>
        <v>11.075346955272549</v>
      </c>
      <c r="CW40" s="987">
        <f t="shared" ca="1" si="51"/>
        <v>11.07531164077275</v>
      </c>
      <c r="CX40" s="987">
        <f t="shared" ca="1" si="51"/>
        <v>11.075279915887588</v>
      </c>
      <c r="CY40" s="987">
        <f t="shared" ca="1" si="51"/>
        <v>11.075251416336455</v>
      </c>
      <c r="CZ40" s="987">
        <f t="shared" ca="1" si="51"/>
        <v>11.075225814734013</v>
      </c>
      <c r="DA40" s="987">
        <f t="shared" ca="1" si="51"/>
        <v>11.075202816862234</v>
      </c>
      <c r="DB40" s="987">
        <f t="shared" ca="1" si="51"/>
        <v>11.075182158317974</v>
      </c>
      <c r="DC40" s="987">
        <f t="shared" ca="1" si="51"/>
        <v>11.075163601498526</v>
      </c>
      <c r="DD40" s="987">
        <f t="shared" ca="1" si="51"/>
        <v>11.075146932891057</v>
      </c>
      <c r="DE40" s="987">
        <f t="shared" ca="1" si="51"/>
        <v>11.075131960635485</v>
      </c>
      <c r="DF40" s="987">
        <f t="shared" ca="1" si="51"/>
        <v>11.075118512333262</v>
      </c>
      <c r="DG40" s="987">
        <f t="shared" ca="1" si="51"/>
        <v>11.075106433077353</v>
      </c>
      <c r="DH40" s="987">
        <f t="shared" ca="1" si="51"/>
        <v>11.075095583681106</v>
      </c>
      <c r="DI40" s="987">
        <f t="shared" ca="1" si="51"/>
        <v>11.075085839086061</v>
      </c>
      <c r="DJ40" s="987">
        <f t="shared" ca="1" si="51"/>
        <v>11.0750770869306</v>
      </c>
      <c r="DK40" s="987">
        <f t="shared" ca="1" si="51"/>
        <v>11.075069226263308</v>
      </c>
      <c r="DL40" s="987">
        <f t="shared" ca="1" si="51"/>
        <v>11.07506216638639</v>
      </c>
      <c r="DM40" s="987">
        <f t="shared" ca="1" si="51"/>
        <v>11.075055825816078</v>
      </c>
      <c r="DN40" s="987">
        <f t="shared" ca="1" si="51"/>
        <v>11.07505013134822</v>
      </c>
      <c r="DO40" s="987">
        <f t="shared" ca="1" si="51"/>
        <v>11.075045017218409</v>
      </c>
      <c r="DP40" s="987">
        <f t="shared" ca="1" si="51"/>
        <v>11.075040424347145</v>
      </c>
      <c r="DQ40" s="987">
        <f t="shared" ca="1" si="51"/>
        <v>11.075036299661425</v>
      </c>
      <c r="DR40" s="987">
        <f t="shared" ca="1" si="51"/>
        <v>11.075032595485048</v>
      </c>
      <c r="DS40" s="987">
        <f t="shared" ca="1" si="51"/>
        <v>11.075029268990685</v>
      </c>
      <c r="DT40" s="987">
        <f t="shared" ca="1" si="51"/>
        <v>11.075026281707469</v>
      </c>
      <c r="DU40" s="987">
        <f t="shared" ca="1" si="51"/>
        <v>11.075023599078518</v>
      </c>
    </row>
    <row r="41" spans="2:125" x14ac:dyDescent="0.2">
      <c r="B41" s="980"/>
      <c r="C41" s="944" t="str">
        <f ca="1">CONCATENATE("   ",YEAR(OFFSET(Y4,0,4)))</f>
        <v xml:space="preserve">   2020</v>
      </c>
      <c r="D41" s="1027">
        <f ca="1">$AA$50/OFFSET(Y19,0,4)</f>
        <v>1.2148846599944649</v>
      </c>
      <c r="E41" s="1027">
        <f ca="1">$AA$50/OFFSET(Y39,0,5)</f>
        <v>1.2148846599944649</v>
      </c>
      <c r="F41" s="1027">
        <f ca="1">$AA$50/OFFSET(Y6,0,4)</f>
        <v>10.947514283948085</v>
      </c>
      <c r="G41" s="1028">
        <f ca="1">$AA$50/OFFSET(Y8,0,4)</f>
        <v>10.947514283948085</v>
      </c>
      <c r="H41" s="944"/>
      <c r="I41" s="970"/>
      <c r="J41" s="947"/>
      <c r="K41" s="947"/>
      <c r="L41" s="947"/>
      <c r="M41" s="947"/>
      <c r="N41" s="947"/>
      <c r="O41" s="947"/>
      <c r="P41" s="947"/>
      <c r="Q41" s="947"/>
      <c r="R41" s="1795">
        <v>65</v>
      </c>
      <c r="S41" s="1796"/>
      <c r="T41" s="1796"/>
      <c r="U41" s="1029">
        <f t="shared" ca="1" si="47"/>
        <v>11</v>
      </c>
      <c r="V41" s="944"/>
      <c r="W41" s="971"/>
      <c r="X41" s="944"/>
      <c r="Y41" s="944" t="s">
        <v>1089</v>
      </c>
      <c r="Z41" s="987">
        <f>AVERAGE($Z$40:Z40)</f>
        <v>-3.9729534116686991</v>
      </c>
      <c r="AA41" s="987">
        <f>AVERAGE($Z$40:AA40)</f>
        <v>2.6018618334499228</v>
      </c>
      <c r="AB41" s="987">
        <f>AVERAGE($Z$40:AB40)</f>
        <v>5.1068652023533296</v>
      </c>
      <c r="AC41" s="987">
        <f>AVERAGE($Z$40:AC40)</f>
        <v>6.640410807388136</v>
      </c>
      <c r="AD41" s="987">
        <f>AVERAGE($Z$40:AD40)</f>
        <v>7.6623468961653973</v>
      </c>
      <c r="AE41" s="987">
        <f>AVERAGE($Z$40:AE40)</f>
        <v>8.3376393042771859</v>
      </c>
      <c r="AF41" s="987">
        <f ca="1">AVERAGE($Z$40:AF40)</f>
        <v>8.8078074951473067</v>
      </c>
      <c r="AG41" s="987">
        <f ca="1">AVERAGE($Z$40:AG40)</f>
        <v>9.1441290082864999</v>
      </c>
      <c r="AH41" s="987">
        <f ca="1">AVERAGE($Z$40:AH40)</f>
        <v>9.4010234669681196</v>
      </c>
      <c r="AI41" s="987">
        <f ca="1">AVERAGE($Z$40:AI40)</f>
        <v>9.6032797898730333</v>
      </c>
      <c r="AJ41" s="987">
        <f ca="1">AVERAGE($Z$40:AJ40)</f>
        <v>9.7656085519799767</v>
      </c>
      <c r="AK41" s="987">
        <f ca="1">AVERAGE($Z$40:AK40)</f>
        <v>9.8982777103629527</v>
      </c>
      <c r="AL41" s="987">
        <f ca="1">AVERAGE($Z$40:AL40)</f>
        <v>10.008369895522634</v>
      </c>
      <c r="AM41" s="987">
        <f ca="1">AVERAGE($Z$40:AM40)</f>
        <v>10.100922378206857</v>
      </c>
      <c r="AN41" s="987">
        <f ca="1">AVERAGE($Z$40:AN40)</f>
        <v>10.179610837606486</v>
      </c>
      <c r="AO41" s="987">
        <f ca="1">AVERAGE($Z$40:AO40)</f>
        <v>10.247176536804124</v>
      </c>
      <c r="AP41" s="987">
        <f ca="1">AVERAGE($Z$40:AP40)</f>
        <v>10.305702577490846</v>
      </c>
      <c r="AQ41" s="987">
        <f ca="1">AVERAGE($Z$40:AQ40)</f>
        <v>10.356797939182913</v>
      </c>
      <c r="AR41" s="987">
        <f ca="1">AVERAGE($Z$40:AR40)</f>
        <v>10.401723288937911</v>
      </c>
      <c r="AS41" s="987">
        <f ca="1">AVERAGE($Z$40:AS40)</f>
        <v>10.441478952101805</v>
      </c>
      <c r="AT41" s="987">
        <f ca="1">AVERAGE($Z$40:AT40)</f>
        <v>10.476867665874538</v>
      </c>
      <c r="AU41" s="987">
        <f ca="1">AVERAGE($Z$40:AU40)</f>
        <v>10.50854014694275</v>
      </c>
      <c r="AV41" s="987">
        <f ca="1">AVERAGE($Z$40:AV40)</f>
        <v>10.537028710258642</v>
      </c>
      <c r="AW41" s="987">
        <f ca="1">AVERAGE($Z$40:AW40)</f>
        <v>10.562772429750204</v>
      </c>
      <c r="AX41" s="987">
        <f ca="1">AVERAGE($Z$40:AX40)</f>
        <v>10.586136214174219</v>
      </c>
      <c r="AY41" s="987">
        <f ca="1">AVERAGE($Z$40:AY40)</f>
        <v>10.607425440649482</v>
      </c>
      <c r="AZ41" s="987">
        <f ca="1">AVERAGE($Z$40:AZ40)</f>
        <v>10.62689730133299</v>
      </c>
      <c r="BA41" s="987">
        <f ca="1">AVERAGE($Z$40:BA40)</f>
        <v>10.644769688223025</v>
      </c>
      <c r="BB41" s="987">
        <f ca="1">AVERAGE($Z$40:BB40)</f>
        <v>10.6612282131884</v>
      </c>
      <c r="BC41" s="987">
        <f ca="1">AVERAGE($Z$40:BC40)</f>
        <v>10.676431800831455</v>
      </c>
      <c r="BD41" s="987">
        <f ca="1">AVERAGE($Z$40:BD40)</f>
        <v>10.69051717862928</v>
      </c>
      <c r="BE41" s="987">
        <f ca="1">AVERAGE($Z$40:BE40)</f>
        <v>10.703602507482897</v>
      </c>
      <c r="BF41" s="987">
        <f ca="1">AVERAGE($Z$40:BF40)</f>
        <v>10.715790336685037</v>
      </c>
      <c r="BG41" s="987">
        <f ca="1">AVERAGE($Z$40:BG40)</f>
        <v>10.727170023863655</v>
      </c>
      <c r="BH41" s="987">
        <f ca="1">AVERAGE($Z$40:BH40)</f>
        <v>10.73781972819323</v>
      </c>
      <c r="BI41" s="987">
        <f ca="1">AVERAGE($Z$40:BI40)</f>
        <v>10.7478080609798</v>
      </c>
      <c r="BJ41" s="987">
        <f ca="1">AVERAGE($Z$40:BJ40)</f>
        <v>10.75719545943406</v>
      </c>
      <c r="BK41" s="987">
        <f ca="1">AVERAGE($Z$40:BK40)</f>
        <v>10.766035335497298</v>
      </c>
      <c r="BL41" s="987">
        <f ca="1">AVERAGE($Z$40:BL40)</f>
        <v>10.774375040863434</v>
      </c>
      <c r="BM41" s="987">
        <f ca="1">AVERAGE($Z$40:BM40)</f>
        <v>10.782256681038891</v>
      </c>
      <c r="BN41" s="987">
        <f ca="1">AVERAGE($Z$40:BN40)</f>
        <v>10.789717804809662</v>
      </c>
      <c r="BO41" s="987">
        <f ca="1">AVERAGE($Z$40:BO40)</f>
        <v>10.796791990405572</v>
      </c>
      <c r="BP41" s="987">
        <f ca="1">AVERAGE($Z$40:BP40)</f>
        <v>10.803509345640798</v>
      </c>
      <c r="BQ41" s="987">
        <f ca="1">AVERAGE($Z$40:BQ40)</f>
        <v>10.809896936123945</v>
      </c>
      <c r="BR41" s="987">
        <f ca="1">AVERAGE($Z$40:BR40)</f>
        <v>10.815979153086488</v>
      </c>
      <c r="BS41" s="987">
        <f ca="1">AVERAGE($Z$40:BS40)</f>
        <v>10.821778030335505</v>
      </c>
      <c r="BT41" s="987">
        <f ca="1">AVERAGE($Z$40:BT40)</f>
        <v>10.827313518188125</v>
      </c>
      <c r="BU41" s="987">
        <f ca="1">AVERAGE($Z$40:BU40)</f>
        <v>10.832603720908679</v>
      </c>
      <c r="BV41" s="987">
        <f ca="1">AVERAGE($Z$40:BV40)</f>
        <v>10.837665103081052</v>
      </c>
      <c r="BW41" s="987">
        <f ca="1">AVERAGE($Z$40:BW40)</f>
        <v>10.842512669458504</v>
      </c>
      <c r="BX41" s="987">
        <f ca="1">AVERAGE($Z$40:BX40)</f>
        <v>10.847160122102098</v>
      </c>
      <c r="BY41" s="987">
        <f ca="1">AVERAGE($Z$40:BY40)</f>
        <v>10.85161999801603</v>
      </c>
      <c r="BZ41" s="987">
        <f ca="1">AVERAGE($Z$40:BZ40)</f>
        <v>10.855903789989334</v>
      </c>
      <c r="CA41" s="987">
        <f ca="1">AVERAGE($Z$40:CA40)</f>
        <v>10.860022052939032</v>
      </c>
      <c r="CB41" s="987">
        <f ca="1">AVERAGE($Z$40:CB40)</f>
        <v>10.86398449770461</v>
      </c>
      <c r="CC41" s="987">
        <f ca="1">AVERAGE($Z$40:CC40)</f>
        <v>10.867800073954943</v>
      </c>
      <c r="CD41" s="987">
        <f ca="1">AVERAGE($Z$40:CD40)</f>
        <v>10.871477043626667</v>
      </c>
      <c r="CE41" s="987">
        <f ca="1">AVERAGE($Z$40:CE40)</f>
        <v>10.875023046109348</v>
      </c>
      <c r="CF41" s="987">
        <f ca="1">AVERAGE($Z$40:CF40)</f>
        <v>10.878445156220877</v>
      </c>
      <c r="CG41" s="987">
        <f ca="1">AVERAGE($Z$40:CG40)</f>
        <v>10.881749935871214</v>
      </c>
      <c r="CH41" s="987">
        <f ca="1">AVERAGE($Z$40:CH40)</f>
        <v>10.884943480189168</v>
      </c>
      <c r="CI41" s="987">
        <f ca="1">AVERAGE($Z$40:CI40)</f>
        <v>10.888031458782129</v>
      </c>
      <c r="CJ41" s="987">
        <f ca="1">AVERAGE($Z$40:CJ40)</f>
        <v>10.891019152709106</v>
      </c>
      <c r="CK41" s="987">
        <f ca="1">AVERAGE($Z$40:CK40)</f>
        <v>10.89391148767112</v>
      </c>
      <c r="CL41" s="987">
        <f ca="1">AVERAGE($Z$40:CL40)</f>
        <v>10.896713063857433</v>
      </c>
      <c r="CM41" s="987">
        <f ca="1">AVERAGE($Z$40:CM40)</f>
        <v>10.899428182829952</v>
      </c>
      <c r="CN41" s="987">
        <f ca="1">AVERAGE($Z$40:CN40)</f>
        <v>10.902060871779753</v>
      </c>
      <c r="CO41" s="987">
        <f ca="1">AVERAGE($Z$40:CO40)</f>
        <v>10.90461490544797</v>
      </c>
      <c r="CP41" s="987">
        <f ca="1">AVERAGE($Z$40:CP40)</f>
        <v>10.907093825967333</v>
      </c>
      <c r="CQ41" s="987">
        <f ca="1">AVERAGE($Z$40:CQ40)</f>
        <v>10.909500960849355</v>
      </c>
      <c r="CR41" s="987">
        <f ca="1">AVERAGE($Z$40:CR40)</f>
        <v>10.911839439315221</v>
      </c>
      <c r="CS41" s="987">
        <f ca="1">AVERAGE($Z$40:CS40)</f>
        <v>10.914112207144878</v>
      </c>
      <c r="CT41" s="987">
        <f ca="1">AVERAGE($Z$40:CT40)</f>
        <v>10.9163220401984</v>
      </c>
      <c r="CU41" s="987">
        <f ca="1">AVERAGE($Z$40:CU40)</f>
        <v>10.918471556745834</v>
      </c>
      <c r="CV41" s="987">
        <f ca="1">AVERAGE($Z$40:CV40)</f>
        <v>10.920563228726188</v>
      </c>
      <c r="CW41" s="987">
        <f ca="1">AVERAGE($Z$40:CW40)</f>
        <v>10.92259939204259</v>
      </c>
      <c r="CX41" s="987">
        <f ca="1">AVERAGE($Z$40:CX40)</f>
        <v>10.924582255988629</v>
      </c>
      <c r="CY41" s="987">
        <f ca="1">AVERAGE($Z$40:CY40)</f>
        <v>10.926513911890524</v>
      </c>
      <c r="CZ41" s="987">
        <f ca="1">AVERAGE($Z$40:CZ40)</f>
        <v>10.928396341040441</v>
      </c>
      <c r="DA41" s="987">
        <f ca="1">AVERAGE($Z$40:DA40)</f>
        <v>10.930231421988214</v>
      </c>
      <c r="DB41" s="987">
        <f ca="1">AVERAGE($Z$40:DB40)</f>
        <v>10.932020937251544</v>
      </c>
      <c r="DC41" s="987">
        <f ca="1">AVERAGE($Z$40:DC40)</f>
        <v>10.933766579498458</v>
      </c>
      <c r="DD41" s="987">
        <f ca="1">AVERAGE($Z$40:DD40)</f>
        <v>10.935469957250175</v>
      </c>
      <c r="DE41" s="987">
        <f ca="1">AVERAGE($Z$40:DE40)</f>
        <v>10.937132600147621</v>
      </c>
      <c r="DF41" s="987">
        <f ca="1">AVERAGE($Z$40:DF40)</f>
        <v>10.938755963820391</v>
      </c>
      <c r="DG41" s="987">
        <f ca="1">AVERAGE($Z$40:DG40)</f>
        <v>10.940341434393147</v>
      </c>
      <c r="DH41" s="987">
        <f ca="1">AVERAGE($Z$40:DH40)</f>
        <v>10.941890332660826</v>
      </c>
      <c r="DI41" s="987">
        <f ca="1">AVERAGE($Z$40:DI40)</f>
        <v>10.943403917961113</v>
      </c>
      <c r="DJ41" s="987">
        <f ca="1">AVERAGE($Z$40:DJ40)</f>
        <v>10.944883391769759</v>
      </c>
      <c r="DK41" s="987">
        <f ca="1">AVERAGE($Z$40:DK40)</f>
        <v>10.946329901041908</v>
      </c>
      <c r="DL41" s="987">
        <f ca="1">AVERAGE($Z$40:DL40)</f>
        <v>10.94774454132042</v>
      </c>
      <c r="DM41" s="987">
        <f ca="1">AVERAGE($Z$40:DM40)</f>
        <v>10.949128359630155</v>
      </c>
      <c r="DN41" s="987">
        <f ca="1">AVERAGE($Z$40:DN40)</f>
        <v>10.950482357175511</v>
      </c>
      <c r="DO41" s="987">
        <f ca="1">AVERAGE($Z$40:DO40)</f>
        <v>10.951807491856819</v>
      </c>
      <c r="DP41" s="987">
        <f ca="1">AVERAGE($Z$40:DP40)</f>
        <v>10.953104680619877</v>
      </c>
      <c r="DQ41" s="987">
        <f ca="1">AVERAGE($Z$40:DQ40)</f>
        <v>10.954374801651559</v>
      </c>
      <c r="DR41" s="987">
        <f ca="1">AVERAGE($Z$40:DR40)</f>
        <v>10.955618696433346</v>
      </c>
      <c r="DS41" s="987">
        <f ca="1">AVERAGE($Z$40:DS40)</f>
        <v>10.956837171663523</v>
      </c>
      <c r="DT41" s="987">
        <f ca="1">AVERAGE($Z$40:DT40)</f>
        <v>10.958031001057908</v>
      </c>
      <c r="DU41" s="988">
        <f ca="1">AVERAGE($Z$40:DU40)</f>
        <v>10.959200927038115</v>
      </c>
    </row>
    <row r="42" spans="2:125" x14ac:dyDescent="0.2">
      <c r="B42" s="980"/>
      <c r="C42" s="944" t="str">
        <f ca="1">CONCATENATE("   ",YEAR(OFFSET(Y4,0,5)))</f>
        <v xml:space="preserve">   2021</v>
      </c>
      <c r="D42" s="1027">
        <f ca="1">$AA$50/OFFSET(Y19,0,5)</f>
        <v>1.1799007010859128</v>
      </c>
      <c r="E42" s="1027">
        <f ca="1">$AA$50/OFFSET(Y39,0,6)</f>
        <v>1.1799007010859128</v>
      </c>
      <c r="F42" s="1027">
        <f ca="1">$AA$50/OFFSET(Y6,0,5)</f>
        <v>10.339363618667182</v>
      </c>
      <c r="G42" s="1028">
        <f ca="1">$AA$50/OFFSET(Y8,0,5)</f>
        <v>10.339363618667182</v>
      </c>
      <c r="H42" s="944"/>
      <c r="I42" s="970"/>
      <c r="J42" s="947"/>
      <c r="K42" s="947"/>
      <c r="L42" s="947"/>
      <c r="M42" s="947"/>
      <c r="N42" s="947"/>
      <c r="O42" s="947"/>
      <c r="P42" s="947"/>
      <c r="Q42" s="947"/>
      <c r="R42" s="1795">
        <v>55</v>
      </c>
      <c r="S42" s="1796"/>
      <c r="T42" s="1796"/>
      <c r="U42" s="1029">
        <f t="shared" ca="1" si="47"/>
        <v>11</v>
      </c>
      <c r="V42" s="944"/>
      <c r="W42" s="971"/>
      <c r="X42" s="944"/>
      <c r="Y42" s="947"/>
      <c r="Z42" s="947"/>
      <c r="AA42" s="947"/>
      <c r="AB42" s="947"/>
      <c r="AC42" s="947"/>
      <c r="AD42" s="947"/>
      <c r="AE42" s="947"/>
      <c r="AF42" s="947"/>
      <c r="AG42" s="947"/>
      <c r="AH42" s="947"/>
      <c r="AI42" s="947"/>
      <c r="AJ42" s="947"/>
      <c r="AK42" s="947"/>
      <c r="AL42" s="947"/>
      <c r="AM42" s="947"/>
      <c r="AN42" s="947"/>
      <c r="AO42" s="947"/>
      <c r="AP42" s="947"/>
      <c r="AQ42" s="947"/>
      <c r="AR42" s="947"/>
      <c r="AS42" s="947"/>
      <c r="AT42" s="947"/>
      <c r="AU42" s="947"/>
      <c r="AV42" s="947"/>
      <c r="AW42" s="947"/>
      <c r="AX42" s="947"/>
      <c r="AY42" s="947"/>
      <c r="AZ42" s="947"/>
      <c r="BA42" s="947"/>
      <c r="BB42" s="947"/>
      <c r="BC42" s="947"/>
      <c r="BD42" s="947"/>
      <c r="BE42" s="947"/>
      <c r="BF42" s="947"/>
      <c r="BG42" s="947"/>
      <c r="BH42" s="947"/>
      <c r="BI42" s="947"/>
      <c r="BJ42" s="947"/>
      <c r="BK42" s="947"/>
      <c r="BL42" s="947"/>
      <c r="BM42" s="947"/>
      <c r="BN42" s="947"/>
      <c r="BO42" s="947"/>
      <c r="BP42" s="947"/>
      <c r="BQ42" s="947"/>
      <c r="BR42" s="947"/>
      <c r="BS42" s="947"/>
      <c r="BT42" s="947"/>
      <c r="BU42" s="947"/>
      <c r="BV42" s="947"/>
      <c r="BW42" s="947"/>
      <c r="BX42" s="947"/>
      <c r="BY42" s="947"/>
      <c r="BZ42" s="947"/>
      <c r="CA42" s="947"/>
      <c r="CB42" s="947"/>
      <c r="CC42" s="947"/>
      <c r="CD42" s="947"/>
      <c r="CE42" s="947"/>
      <c r="CF42" s="947"/>
      <c r="CG42" s="947"/>
      <c r="CH42" s="947"/>
      <c r="CI42" s="947"/>
      <c r="CJ42" s="947"/>
      <c r="CK42" s="947"/>
      <c r="CL42" s="947"/>
      <c r="CM42" s="947"/>
      <c r="CN42" s="947"/>
      <c r="CO42" s="947"/>
      <c r="CP42" s="947"/>
      <c r="CQ42" s="947"/>
      <c r="CR42" s="947"/>
      <c r="CS42" s="947"/>
      <c r="CT42" s="947"/>
      <c r="CU42" s="947"/>
      <c r="CV42" s="947"/>
      <c r="CW42" s="947"/>
      <c r="CX42" s="947"/>
      <c r="CY42" s="947"/>
      <c r="CZ42" s="947"/>
      <c r="DA42" s="947"/>
      <c r="DB42" s="947"/>
      <c r="DC42" s="947"/>
      <c r="DD42" s="947"/>
      <c r="DE42" s="947"/>
      <c r="DF42" s="947"/>
      <c r="DG42" s="947"/>
      <c r="DH42" s="947"/>
      <c r="DI42" s="947"/>
      <c r="DJ42" s="947"/>
      <c r="DK42" s="947"/>
      <c r="DL42" s="947"/>
      <c r="DM42" s="947"/>
      <c r="DN42" s="947"/>
      <c r="DO42" s="947"/>
      <c r="DP42" s="947"/>
      <c r="DQ42" s="947"/>
      <c r="DR42" s="947"/>
      <c r="DS42" s="947"/>
      <c r="DT42" s="947"/>
      <c r="DU42" s="971"/>
    </row>
    <row r="43" spans="2:125" x14ac:dyDescent="0.2">
      <c r="B43" s="980"/>
      <c r="C43" s="947"/>
      <c r="D43" s="947"/>
      <c r="E43" s="947"/>
      <c r="F43" s="947"/>
      <c r="G43" s="976"/>
      <c r="H43" s="944"/>
      <c r="I43" s="970"/>
      <c r="J43" s="947"/>
      <c r="K43" s="947"/>
      <c r="L43" s="947"/>
      <c r="M43" s="947"/>
      <c r="N43" s="947"/>
      <c r="O43" s="947"/>
      <c r="P43" s="947"/>
      <c r="Q43" s="947"/>
      <c r="R43" s="1795">
        <v>50</v>
      </c>
      <c r="S43" s="1796"/>
      <c r="T43" s="1796"/>
      <c r="U43" s="1029">
        <f t="shared" ca="1" si="47"/>
        <v>11</v>
      </c>
      <c r="V43" s="944"/>
      <c r="W43" s="971"/>
      <c r="X43" s="944"/>
      <c r="Y43" s="954" t="s">
        <v>1090</v>
      </c>
      <c r="Z43" s="978">
        <f>Z8-cost_of_capital/100*Z39</f>
        <v>-30978.770249999998</v>
      </c>
      <c r="AA43" s="978">
        <f t="shared" ref="AA43:BE43" si="52">AA8-cost_of_capital/100*AA39</f>
        <v>-3441.4769785315948</v>
      </c>
      <c r="AB43" s="978">
        <f t="shared" si="52"/>
        <v>-1727.2484139827684</v>
      </c>
      <c r="AC43" s="978">
        <f t="shared" si="52"/>
        <v>291.41249908368991</v>
      </c>
      <c r="AD43" s="978">
        <f t="shared" si="52"/>
        <v>1200.1216028750532</v>
      </c>
      <c r="AE43" s="978">
        <f t="shared" ref="AE43" si="53">AE8-cost_of_capital/100*AE39</f>
        <v>1169.8282210625694</v>
      </c>
      <c r="AF43" s="978">
        <f t="shared" ca="1" si="52"/>
        <v>1044.1234796798199</v>
      </c>
      <c r="AG43" s="978">
        <f t="shared" ca="1" si="52"/>
        <v>843.45398457119154</v>
      </c>
      <c r="AH43" s="978">
        <f t="shared" ca="1" si="52"/>
        <v>776.50969815639473</v>
      </c>
      <c r="AI43" s="978">
        <f t="shared" ca="1" si="52"/>
        <v>725.82096082526186</v>
      </c>
      <c r="AJ43" s="978">
        <f t="shared" ca="1" si="52"/>
        <v>667.75528395923902</v>
      </c>
      <c r="AK43" s="978">
        <f t="shared" ca="1" si="52"/>
        <v>614.33486124250339</v>
      </c>
      <c r="AL43" s="978">
        <f t="shared" ca="1" si="52"/>
        <v>565.18807234310589</v>
      </c>
      <c r="AM43" s="978">
        <f t="shared" ca="1" si="52"/>
        <v>519.97302655565727</v>
      </c>
      <c r="AN43" s="978">
        <f t="shared" ca="1" si="52"/>
        <v>478.37518443119916</v>
      </c>
      <c r="AO43" s="978">
        <f t="shared" ca="1" si="52"/>
        <v>440.10516967670264</v>
      </c>
      <c r="AP43" s="978">
        <f t="shared" ca="1" si="52"/>
        <v>404.89675610256381</v>
      </c>
      <c r="AQ43" s="978">
        <f t="shared" ca="1" si="52"/>
        <v>372.50501561435885</v>
      </c>
      <c r="AR43" s="978">
        <f t="shared" ca="1" si="52"/>
        <v>342.70461436521509</v>
      </c>
      <c r="AS43" s="978">
        <f t="shared" ca="1" si="52"/>
        <v>315.28824521599745</v>
      </c>
      <c r="AT43" s="978">
        <f t="shared" ca="1" si="52"/>
        <v>290.0651855987162</v>
      </c>
      <c r="AU43" s="978">
        <f t="shared" ca="1" si="52"/>
        <v>266.85997075082196</v>
      </c>
      <c r="AV43" s="978">
        <f t="shared" ca="1" si="52"/>
        <v>245.51117309075198</v>
      </c>
      <c r="AW43" s="978">
        <f t="shared" ca="1" si="52"/>
        <v>225.87027924349968</v>
      </c>
      <c r="AX43" s="978">
        <f t="shared" ca="1" si="52"/>
        <v>207.8006569040117</v>
      </c>
      <c r="AY43" s="978">
        <f t="shared" ca="1" si="52"/>
        <v>191.17660435169819</v>
      </c>
      <c r="AZ43" s="978">
        <f t="shared" ca="1" si="52"/>
        <v>175.8824760035568</v>
      </c>
      <c r="BA43" s="978">
        <f t="shared" ca="1" si="52"/>
        <v>161.81187792327546</v>
      </c>
      <c r="BB43" s="978">
        <f t="shared" ca="1" si="52"/>
        <v>148.8669276894143</v>
      </c>
      <c r="BC43" s="978">
        <f t="shared" ca="1" si="52"/>
        <v>136.95757347426115</v>
      </c>
      <c r="BD43" s="978">
        <f t="shared" ca="1" si="52"/>
        <v>126.0009675963156</v>
      </c>
      <c r="BE43" s="978">
        <f t="shared" ca="1" si="52"/>
        <v>115.92089018860861</v>
      </c>
      <c r="BF43" s="978">
        <f t="shared" ref="BF43:CK43" ca="1" si="54">BF8-cost_of_capital/100*BF39</f>
        <v>106.64721897352138</v>
      </c>
      <c r="BG43" s="978">
        <f t="shared" ca="1" si="54"/>
        <v>98.115441455644032</v>
      </c>
      <c r="BH43" s="978">
        <f t="shared" ca="1" si="54"/>
        <v>90.266206139189308</v>
      </c>
      <c r="BI43" s="978">
        <f t="shared" ca="1" si="54"/>
        <v>83.044909648051544</v>
      </c>
      <c r="BJ43" s="978">
        <f t="shared" ca="1" si="54"/>
        <v>76.401316876217606</v>
      </c>
      <c r="BK43" s="978">
        <f t="shared" ca="1" si="54"/>
        <v>70.289211526105646</v>
      </c>
      <c r="BL43" s="978">
        <f t="shared" ca="1" si="54"/>
        <v>64.66607460402156</v>
      </c>
      <c r="BM43" s="978">
        <f t="shared" ca="1" si="54"/>
        <v>59.492788635696343</v>
      </c>
      <c r="BN43" s="978">
        <f t="shared" ca="1" si="54"/>
        <v>54.733365544852859</v>
      </c>
      <c r="BO43" s="978">
        <f t="shared" ca="1" si="54"/>
        <v>50.354696301255899</v>
      </c>
      <c r="BP43" s="978">
        <f t="shared" ca="1" si="54"/>
        <v>46.326320597152517</v>
      </c>
      <c r="BQ43" s="978">
        <f t="shared" ca="1" si="54"/>
        <v>42.620214949391084</v>
      </c>
      <c r="BR43" s="978">
        <f t="shared" ca="1" si="54"/>
        <v>39.210597753437469</v>
      </c>
      <c r="BS43" s="978">
        <f t="shared" ca="1" si="54"/>
        <v>36.073749933166255</v>
      </c>
      <c r="BT43" s="978">
        <f t="shared" ca="1" si="54"/>
        <v>33.187849938512954</v>
      </c>
      <c r="BU43" s="978">
        <f t="shared" ca="1" si="54"/>
        <v>30.532821943430463</v>
      </c>
      <c r="BV43" s="978">
        <f t="shared" ca="1" si="54"/>
        <v>28.09019618795719</v>
      </c>
      <c r="BW43" s="978">
        <f t="shared" ca="1" si="54"/>
        <v>25.842980492918286</v>
      </c>
      <c r="BX43" s="978">
        <f t="shared" ca="1" si="54"/>
        <v>23.775542053481331</v>
      </c>
      <c r="BY43" s="978">
        <f t="shared" ca="1" si="54"/>
        <v>21.873498689208645</v>
      </c>
      <c r="BZ43" s="978">
        <f t="shared" ca="1" si="54"/>
        <v>20.123618794073991</v>
      </c>
      <c r="CA43" s="978">
        <f t="shared" ca="1" si="54"/>
        <v>18.513729290549236</v>
      </c>
      <c r="CB43" s="978">
        <f t="shared" ca="1" si="54"/>
        <v>17.032630947302096</v>
      </c>
      <c r="CC43" s="978">
        <f t="shared" ca="1" si="54"/>
        <v>15.670020471516182</v>
      </c>
      <c r="CD43" s="978">
        <f t="shared" ca="1" si="54"/>
        <v>14.416418833803618</v>
      </c>
      <c r="CE43" s="978">
        <f t="shared" ca="1" si="54"/>
        <v>13.263105327088851</v>
      </c>
      <c r="CF43" s="978">
        <f t="shared" ca="1" si="54"/>
        <v>12.202056900918251</v>
      </c>
      <c r="CG43" s="978">
        <f t="shared" ca="1" si="54"/>
        <v>11.225892348855268</v>
      </c>
      <c r="CH43" s="978">
        <f t="shared" ca="1" si="54"/>
        <v>10.327820960941608</v>
      </c>
      <c r="CI43" s="978">
        <f t="shared" ca="1" si="54"/>
        <v>9.501595284047653</v>
      </c>
      <c r="CJ43" s="978">
        <f t="shared" ca="1" si="54"/>
        <v>8.741467661326169</v>
      </c>
      <c r="CK43" s="978">
        <f t="shared" ca="1" si="54"/>
        <v>8.042150248438702</v>
      </c>
      <c r="CL43" s="978">
        <f t="shared" ref="CL43:DU43" ca="1" si="55">CL8-cost_of_capital/100*CL39</f>
        <v>7.3987782285548747</v>
      </c>
      <c r="CM43" s="978">
        <f t="shared" ca="1" si="55"/>
        <v>6.806875970272813</v>
      </c>
      <c r="CN43" s="978">
        <f t="shared" ca="1" si="55"/>
        <v>6.2623258926469134</v>
      </c>
      <c r="CO43" s="978">
        <f t="shared" ca="1" si="55"/>
        <v>5.7613398212415632</v>
      </c>
      <c r="CP43" s="978">
        <f t="shared" ca="1" si="55"/>
        <v>5.3004326355294324</v>
      </c>
      <c r="CQ43" s="978">
        <f t="shared" ca="1" si="55"/>
        <v>4.8763980247022118</v>
      </c>
      <c r="CR43" s="978">
        <f t="shared" ca="1" si="55"/>
        <v>4.4862861827132292</v>
      </c>
      <c r="CS43" s="978">
        <f t="shared" ca="1" si="55"/>
        <v>4.127383288112469</v>
      </c>
      <c r="CT43" s="978">
        <f t="shared" ca="1" si="55"/>
        <v>3.7971926250756951</v>
      </c>
      <c r="CU43" s="978">
        <f t="shared" ca="1" si="55"/>
        <v>3.4934172150533414</v>
      </c>
      <c r="CV43" s="978">
        <f t="shared" ca="1" si="55"/>
        <v>3.2139438378508203</v>
      </c>
      <c r="CW43" s="978">
        <f t="shared" ca="1" si="55"/>
        <v>2.95682833083265</v>
      </c>
      <c r="CX43" s="978">
        <f t="shared" ca="1" si="55"/>
        <v>2.7202820643578889</v>
      </c>
      <c r="CY43" s="978">
        <f t="shared" ca="1" si="55"/>
        <v>2.5026594992086757</v>
      </c>
      <c r="CZ43" s="978">
        <f t="shared" ca="1" si="55"/>
        <v>2.3024467392533552</v>
      </c>
      <c r="DA43" s="978">
        <f t="shared" ca="1" si="55"/>
        <v>2.1182510001381161</v>
      </c>
      <c r="DB43" s="978">
        <f t="shared" ca="1" si="55"/>
        <v>1.9487909201270668</v>
      </c>
      <c r="DC43" s="978">
        <f t="shared" ca="1" si="55"/>
        <v>1.7928876465011854</v>
      </c>
      <c r="DD43" s="978">
        <f t="shared" ca="1" si="55"/>
        <v>1.6494566347973887</v>
      </c>
      <c r="DE43" s="978">
        <f t="shared" ca="1" si="55"/>
        <v>1.5175001040333882</v>
      </c>
      <c r="DF43" s="978">
        <f t="shared" ca="1" si="55"/>
        <v>1.3961000956769567</v>
      </c>
      <c r="DG43" s="978">
        <f t="shared" ca="1" si="55"/>
        <v>1.2844120880472474</v>
      </c>
      <c r="DH43" s="978">
        <f t="shared" ca="1" si="55"/>
        <v>1.1816591209790204</v>
      </c>
      <c r="DI43" s="978">
        <f t="shared" ca="1" si="55"/>
        <v>1.0871263913286384</v>
      </c>
      <c r="DJ43" s="978">
        <f t="shared" ca="1" si="55"/>
        <v>1.0001562800025567</v>
      </c>
      <c r="DK43" s="978">
        <f t="shared" ca="1" si="55"/>
        <v>0.92014377762097865</v>
      </c>
      <c r="DL43" s="978">
        <f t="shared" ca="1" si="55"/>
        <v>0.84653227543458343</v>
      </c>
      <c r="DM43" s="978">
        <f t="shared" ca="1" si="55"/>
        <v>0.77880969335092232</v>
      </c>
      <c r="DN43" s="978">
        <f t="shared" ca="1" si="55"/>
        <v>0.71650491791660897</v>
      </c>
      <c r="DO43" s="978">
        <f t="shared" ca="1" si="55"/>
        <v>0.65918452446931042</v>
      </c>
      <c r="DP43" s="978">
        <f t="shared" ca="1" si="55"/>
        <v>0.6064497625338845</v>
      </c>
      <c r="DQ43" s="978">
        <f t="shared" ca="1" si="55"/>
        <v>0.55793378152884543</v>
      </c>
      <c r="DR43" s="978">
        <f t="shared" ca="1" si="55"/>
        <v>0.51329907900071703</v>
      </c>
      <c r="DS43" s="978">
        <f t="shared" ca="1" si="55"/>
        <v>0.47223515270161442</v>
      </c>
      <c r="DT43" s="978">
        <f t="shared" ca="1" si="55"/>
        <v>0.43445634047384374</v>
      </c>
      <c r="DU43" s="979">
        <f t="shared" ca="1" si="55"/>
        <v>0.39969983321498148</v>
      </c>
    </row>
    <row r="44" spans="2:125" x14ac:dyDescent="0.2">
      <c r="B44" s="980"/>
      <c r="C44" s="947"/>
      <c r="D44" s="947"/>
      <c r="E44" s="947"/>
      <c r="F44" s="947"/>
      <c r="G44" s="976"/>
      <c r="H44" s="944"/>
      <c r="I44" s="970"/>
      <c r="J44" s="947"/>
      <c r="K44" s="947"/>
      <c r="L44" s="947"/>
      <c r="M44" s="947"/>
      <c r="N44" s="947"/>
      <c r="O44" s="947"/>
      <c r="P44" s="947"/>
      <c r="Q44" s="947"/>
      <c r="R44" s="1795">
        <v>45</v>
      </c>
      <c r="S44" s="1796"/>
      <c r="T44" s="1796"/>
      <c r="U44" s="1029">
        <f t="shared" ca="1" si="47"/>
        <v>11</v>
      </c>
      <c r="V44" s="944"/>
      <c r="W44" s="971"/>
      <c r="X44" s="944"/>
      <c r="Y44" s="944" t="s">
        <v>1091</v>
      </c>
      <c r="Z44" s="981">
        <f t="shared" ref="Z44:BE44" ca="1" si="56">IF(NOW()&gt;(Z4+30),(1+cost_of_capital/100)^(-0.5),(1+cost_of_capital/100)^(((Z4-NOW())/365)-0.5))</f>
        <v>0.94883749667337958</v>
      </c>
      <c r="AA44" s="981">
        <f t="shared" ca="1" si="56"/>
        <v>1.0221795395048214</v>
      </c>
      <c r="AB44" s="981">
        <f t="shared" ca="1" si="56"/>
        <v>1.1353859235049804</v>
      </c>
      <c r="AC44" s="981">
        <f t="shared" ca="1" si="56"/>
        <v>1.2614928800824161</v>
      </c>
      <c r="AD44" s="981">
        <f t="shared" ca="1" si="56"/>
        <v>1.4012032165515436</v>
      </c>
      <c r="AE44" s="981">
        <f t="shared" ref="AE44" ca="1" si="57">IF(NOW()&gt;(AE4+30),(1+cost_of_capital/100)^(-0.5),(1+cost_of_capital/100)^(((AE4-NOW())/365)-0.5))</f>
        <v>1.5563864727846268</v>
      </c>
      <c r="AF44" s="981">
        <f t="shared" ca="1" si="56"/>
        <v>1.7287562746455243</v>
      </c>
      <c r="AG44" s="981">
        <f t="shared" ca="1" si="56"/>
        <v>1.9207686890558533</v>
      </c>
      <c r="AH44" s="981">
        <f t="shared" ca="1" si="56"/>
        <v>2.1334938213687886</v>
      </c>
      <c r="AI44" s="981">
        <f t="shared" ca="1" si="56"/>
        <v>2.369778262085382</v>
      </c>
      <c r="AJ44" s="981">
        <f t="shared" ca="1" si="56"/>
        <v>2.6322312046113381</v>
      </c>
      <c r="AK44" s="981">
        <f t="shared" ca="1" si="56"/>
        <v>2.9245922946598859</v>
      </c>
      <c r="AL44" s="981">
        <f t="shared" ca="1" si="56"/>
        <v>3.2484908912934682</v>
      </c>
      <c r="AM44" s="981">
        <f t="shared" ca="1" si="56"/>
        <v>3.6082612575042186</v>
      </c>
      <c r="AN44" s="981">
        <f t="shared" ca="1" si="56"/>
        <v>4.0078761917728105</v>
      </c>
      <c r="AO44" s="981">
        <f t="shared" ca="1" si="56"/>
        <v>4.4530297368540976</v>
      </c>
      <c r="AP44" s="981">
        <f t="shared" ca="1" si="56"/>
        <v>4.9462027802106876</v>
      </c>
      <c r="AQ44" s="981">
        <f t="shared" ca="1" si="56"/>
        <v>5.4939947381190217</v>
      </c>
      <c r="AR44" s="981">
        <f t="shared" ca="1" si="56"/>
        <v>6.1024546553657029</v>
      </c>
      <c r="AS44" s="981">
        <f t="shared" ca="1" si="56"/>
        <v>6.7802523700531507</v>
      </c>
      <c r="AT44" s="981">
        <f t="shared" ca="1" si="56"/>
        <v>7.5311653200365347</v>
      </c>
      <c r="AU44" s="981">
        <f t="shared" ca="1" si="56"/>
        <v>8.3652418792305827</v>
      </c>
      <c r="AV44" s="981">
        <f t="shared" ca="1" si="56"/>
        <v>9.2916924173553674</v>
      </c>
      <c r="AW44" s="981">
        <f t="shared" ca="1" si="56"/>
        <v>10.32371776481528</v>
      </c>
      <c r="AX44" s="981">
        <f t="shared" ca="1" si="56"/>
        <v>11.467069507268569</v>
      </c>
      <c r="AY44" s="981">
        <f t="shared" ca="1" si="56"/>
        <v>12.737047455198566</v>
      </c>
      <c r="AZ44" s="981">
        <f t="shared" ca="1" si="56"/>
        <v>14.147675460861803</v>
      </c>
      <c r="BA44" s="981">
        <f t="shared" ca="1" si="56"/>
        <v>15.719053314047532</v>
      </c>
      <c r="BB44" s="981">
        <f t="shared" ca="1" si="56"/>
        <v>17.45993846857829</v>
      </c>
      <c r="BC44" s="981">
        <f t="shared" ca="1" si="56"/>
        <v>19.393626653973339</v>
      </c>
      <c r="BD44" s="981">
        <f t="shared" ca="1" si="56"/>
        <v>21.541470805900882</v>
      </c>
      <c r="BE44" s="981">
        <f t="shared" ca="1" si="56"/>
        <v>23.934075177062912</v>
      </c>
      <c r="BF44" s="981">
        <f t="shared" ref="BF44:CK44" ca="1" si="58">IF(NOW()&gt;(BF4+30),(1+cost_of_capital/100)^(-0.5),(1+cost_of_capital/100)^(((BF4-NOW())/365)-0.5))</f>
        <v>26.584774002922622</v>
      </c>
      <c r="BG44" s="981">
        <f t="shared" ca="1" si="58"/>
        <v>29.529037723746306</v>
      </c>
      <c r="BH44" s="981">
        <f t="shared" ca="1" si="58"/>
        <v>32.799378651651203</v>
      </c>
      <c r="BI44" s="981">
        <f t="shared" ca="1" si="58"/>
        <v>36.442395298028082</v>
      </c>
      <c r="BJ44" s="981">
        <f t="shared" ca="1" si="58"/>
        <v>40.478390577284678</v>
      </c>
      <c r="BK44" s="981">
        <f t="shared" ca="1" si="58"/>
        <v>44.96137233371897</v>
      </c>
      <c r="BL44" s="981">
        <f t="shared" ca="1" si="58"/>
        <v>49.940844319678334</v>
      </c>
      <c r="BM44" s="981">
        <f t="shared" ca="1" si="58"/>
        <v>55.487758153716676</v>
      </c>
      <c r="BN44" s="981">
        <f t="shared" ca="1" si="58"/>
        <v>61.633027369240779</v>
      </c>
      <c r="BO44" s="981">
        <f t="shared" ca="1" si="58"/>
        <v>68.458885150384177</v>
      </c>
      <c r="BP44" s="981">
        <f t="shared" ca="1" si="58"/>
        <v>76.040706680789214</v>
      </c>
      <c r="BQ44" s="981">
        <f t="shared" ca="1" si="58"/>
        <v>84.486523998930224</v>
      </c>
      <c r="BR44" s="981">
        <f t="shared" ca="1" si="58"/>
        <v>93.843406531811723</v>
      </c>
      <c r="BS44" s="981">
        <f t="shared" ca="1" si="58"/>
        <v>104.23656380520984</v>
      </c>
      <c r="BT44" s="981">
        <f t="shared" ca="1" si="58"/>
        <v>115.78076324663679</v>
      </c>
      <c r="BU44" s="981">
        <f t="shared" ca="1" si="58"/>
        <v>128.64049611893881</v>
      </c>
      <c r="BV44" s="981">
        <f t="shared" ca="1" si="58"/>
        <v>142.88743106411127</v>
      </c>
      <c r="BW44" s="981">
        <f t="shared" ca="1" si="58"/>
        <v>158.71221405446155</v>
      </c>
      <c r="BX44" s="981">
        <f t="shared" ca="1" si="58"/>
        <v>176.28959176099326</v>
      </c>
      <c r="BY44" s="981">
        <f t="shared" ca="1" si="58"/>
        <v>195.87002114013197</v>
      </c>
      <c r="BZ44" s="981">
        <f t="shared" ca="1" si="58"/>
        <v>217.56262598140151</v>
      </c>
      <c r="CA44" s="981">
        <f t="shared" ca="1" si="58"/>
        <v>241.65768680884167</v>
      </c>
      <c r="CB44" s="981">
        <f t="shared" ca="1" si="58"/>
        <v>268.4212756229208</v>
      </c>
      <c r="CC44" s="981">
        <f t="shared" ca="1" si="58"/>
        <v>298.23474208280459</v>
      </c>
      <c r="CD44" s="981">
        <f t="shared" ca="1" si="58"/>
        <v>331.26423976847508</v>
      </c>
      <c r="CE44" s="981">
        <f t="shared" ca="1" si="58"/>
        <v>367.95175432283361</v>
      </c>
      <c r="CF44" s="981">
        <f t="shared" ca="1" si="58"/>
        <v>408.70241111408734</v>
      </c>
      <c r="CG44" s="981">
        <f t="shared" ca="1" si="58"/>
        <v>454.09685906738838</v>
      </c>
      <c r="CH44" s="981">
        <f t="shared" ca="1" si="58"/>
        <v>504.38808620910152</v>
      </c>
      <c r="CI44" s="981">
        <f t="shared" ca="1" si="58"/>
        <v>560.24906675675936</v>
      </c>
      <c r="CJ44" s="981">
        <f t="shared" ca="1" si="58"/>
        <v>622.29665090007029</v>
      </c>
      <c r="CK44" s="981">
        <f t="shared" ca="1" si="58"/>
        <v>691.41494372783518</v>
      </c>
      <c r="CL44" s="981">
        <f t="shared" ref="CL44:DU44" ca="1" si="59">IF(NOW()&gt;(CL4+30),(1+cost_of_capital/100)^(-0.5),(1+cost_of_capital/100)^(((CL4-NOW())/365)-0.5))</f>
        <v>767.98914874569266</v>
      </c>
      <c r="CM44" s="981">
        <f t="shared" ca="1" si="59"/>
        <v>853.04394696927716</v>
      </c>
      <c r="CN44" s="981">
        <f t="shared" ca="1" si="59"/>
        <v>947.51856409612526</v>
      </c>
      <c r="CO44" s="981">
        <f t="shared" ca="1" si="59"/>
        <v>1052.7591522918271</v>
      </c>
      <c r="CP44" s="981">
        <f t="shared" ca="1" si="59"/>
        <v>1169.3522284081466</v>
      </c>
      <c r="CQ44" s="981">
        <f t="shared" ca="1" si="59"/>
        <v>1298.8579877043485</v>
      </c>
      <c r="CR44" s="981">
        <f t="shared" ca="1" si="59"/>
        <v>1442.706509842606</v>
      </c>
      <c r="CS44" s="981">
        <f t="shared" ca="1" si="59"/>
        <v>1602.9474670574566</v>
      </c>
      <c r="CT44" s="981">
        <f t="shared" ca="1" si="59"/>
        <v>1780.4738990340695</v>
      </c>
      <c r="CU44" s="981">
        <f t="shared" ca="1" si="59"/>
        <v>1977.6613833520923</v>
      </c>
      <c r="CV44" s="981">
        <f t="shared" ca="1" si="59"/>
        <v>2196.6873815583358</v>
      </c>
      <c r="CW44" s="981">
        <f t="shared" ca="1" si="59"/>
        <v>2440.6727564916596</v>
      </c>
      <c r="CX44" s="981">
        <f t="shared" ca="1" si="59"/>
        <v>2710.97726427311</v>
      </c>
      <c r="CY44" s="981">
        <f t="shared" ca="1" si="59"/>
        <v>3011.2179962913588</v>
      </c>
      <c r="CZ44" s="981">
        <f t="shared" ca="1" si="59"/>
        <v>3344.7103893806257</v>
      </c>
      <c r="DA44" s="981">
        <f t="shared" ca="1" si="59"/>
        <v>3716.206317862489</v>
      </c>
      <c r="DB44" s="981">
        <f t="shared" ca="1" si="59"/>
        <v>4127.7761675657584</v>
      </c>
      <c r="DC44" s="981">
        <f t="shared" ca="1" si="59"/>
        <v>4584.9273781236652</v>
      </c>
      <c r="DD44" s="981">
        <f t="shared" ca="1" si="59"/>
        <v>5092.7080852508598</v>
      </c>
      <c r="DE44" s="981">
        <f t="shared" ca="1" si="59"/>
        <v>5656.7255056923914</v>
      </c>
      <c r="DF44" s="981">
        <f t="shared" ca="1" si="59"/>
        <v>6283.2078554478221</v>
      </c>
      <c r="DG44" s="981">
        <f t="shared" ca="1" si="59"/>
        <v>6979.0731254386665</v>
      </c>
      <c r="DH44" s="981">
        <f t="shared" ca="1" si="59"/>
        <v>7752.0054740810101</v>
      </c>
      <c r="DI44" s="981">
        <f t="shared" ca="1" si="59"/>
        <v>8613.0182781592284</v>
      </c>
      <c r="DJ44" s="981">
        <f t="shared" ca="1" si="59"/>
        <v>9566.9100524653604</v>
      </c>
      <c r="DK44" s="981">
        <f t="shared" ca="1" si="59"/>
        <v>10626.445340775896</v>
      </c>
      <c r="DL44" s="981">
        <f t="shared" ca="1" si="59"/>
        <v>11803.324162266825</v>
      </c>
      <c r="DM44" s="981">
        <f t="shared" ca="1" si="59"/>
        <v>13114.315655807082</v>
      </c>
      <c r="DN44" s="981">
        <f t="shared" ca="1" si="59"/>
        <v>14566.726114687712</v>
      </c>
      <c r="DO44" s="981">
        <f t="shared" ca="1" si="59"/>
        <v>16179.991031889402</v>
      </c>
      <c r="DP44" s="981">
        <f t="shared" ca="1" si="59"/>
        <v>17971.925038671146</v>
      </c>
      <c r="DQ44" s="981">
        <f t="shared" ca="1" si="59"/>
        <v>19968.061086816095</v>
      </c>
      <c r="DR44" s="981">
        <f t="shared" ca="1" si="59"/>
        <v>22179.52385218097</v>
      </c>
      <c r="DS44" s="981">
        <f t="shared" ca="1" si="59"/>
        <v>24635.906118810006</v>
      </c>
      <c r="DT44" s="981">
        <f t="shared" ca="1" si="59"/>
        <v>27364.332721468207</v>
      </c>
      <c r="DU44" s="1030">
        <f t="shared" ca="1" si="59"/>
        <v>30403.68052985378</v>
      </c>
    </row>
    <row r="45" spans="2:125" x14ac:dyDescent="0.2">
      <c r="B45" s="980"/>
      <c r="C45" s="947"/>
      <c r="D45" s="947"/>
      <c r="E45" s="947"/>
      <c r="F45" s="947"/>
      <c r="G45" s="976"/>
      <c r="H45" s="944"/>
      <c r="I45" s="970"/>
      <c r="J45" s="947"/>
      <c r="K45" s="947"/>
      <c r="L45" s="947"/>
      <c r="M45" s="947"/>
      <c r="N45" s="947"/>
      <c r="O45" s="947"/>
      <c r="P45" s="947"/>
      <c r="Q45" s="947"/>
      <c r="R45" s="1795">
        <v>35</v>
      </c>
      <c r="S45" s="1796"/>
      <c r="T45" s="1796"/>
      <c r="U45" s="1029">
        <f t="shared" ca="1" si="47"/>
        <v>11</v>
      </c>
      <c r="V45" s="944"/>
      <c r="W45" s="971"/>
      <c r="X45" s="944"/>
      <c r="Y45" s="972" t="s">
        <v>1092</v>
      </c>
      <c r="Z45" s="978">
        <f t="shared" ref="Z45:CK45" ca="1" si="60">Z43/Z44</f>
        <v>-32649.184247683552</v>
      </c>
      <c r="AA45" s="978">
        <f t="shared" ca="1" si="60"/>
        <v>-3366.8028418948429</v>
      </c>
      <c r="AB45" s="978">
        <f t="shared" ca="1" si="60"/>
        <v>-1521.2875007739092</v>
      </c>
      <c r="AC45" s="978">
        <f t="shared" ca="1" si="60"/>
        <v>231.00605931652288</v>
      </c>
      <c r="AD45" s="978">
        <f t="shared" ca="1" si="60"/>
        <v>856.49361113274779</v>
      </c>
      <c r="AE45" s="978">
        <f t="shared" ref="AE45" ca="1" si="61">AE43/AE44</f>
        <v>751.63093583662271</v>
      </c>
      <c r="AF45" s="978">
        <f t="shared" ca="1" si="60"/>
        <v>603.97379028684304</v>
      </c>
      <c r="AG45" s="978">
        <f t="shared" ca="1" si="60"/>
        <v>439.12314344617323</v>
      </c>
      <c r="AH45" s="978">
        <f t="shared" ca="1" si="60"/>
        <v>363.96154063301123</v>
      </c>
      <c r="AI45" s="978">
        <f t="shared" ca="1" si="60"/>
        <v>306.2822258258654</v>
      </c>
      <c r="AJ45" s="978">
        <f t="shared" ca="1" si="60"/>
        <v>253.68413032617187</v>
      </c>
      <c r="AK45" s="978">
        <f t="shared" ca="1" si="60"/>
        <v>210.05829166829122</v>
      </c>
      <c r="AL45" s="978">
        <f t="shared" ca="1" si="60"/>
        <v>173.98481056477954</v>
      </c>
      <c r="AM45" s="978">
        <f t="shared" ca="1" si="60"/>
        <v>144.10625768138391</v>
      </c>
      <c r="AN45" s="978">
        <f t="shared" ca="1" si="60"/>
        <v>119.35877296139697</v>
      </c>
      <c r="AO45" s="978">
        <f t="shared" ca="1" si="60"/>
        <v>98.832748866308009</v>
      </c>
      <c r="AP45" s="978">
        <f t="shared" ca="1" si="60"/>
        <v>81.86012060049768</v>
      </c>
      <c r="AQ45" s="978">
        <f t="shared" ca="1" si="60"/>
        <v>67.802215577274708</v>
      </c>
      <c r="AR45" s="978">
        <f t="shared" ca="1" si="60"/>
        <v>56.158486005936211</v>
      </c>
      <c r="AS45" s="978">
        <f t="shared" ca="1" si="60"/>
        <v>46.500960142509548</v>
      </c>
      <c r="AT45" s="978">
        <f t="shared" ca="1" si="60"/>
        <v>38.515312474551955</v>
      </c>
      <c r="AU45" s="978">
        <f t="shared" ca="1" si="60"/>
        <v>31.90104656906432</v>
      </c>
      <c r="AV45" s="978">
        <f t="shared" ca="1" si="60"/>
        <v>26.422653921709365</v>
      </c>
      <c r="AW45" s="978">
        <f t="shared" ca="1" si="60"/>
        <v>21.878773169613197</v>
      </c>
      <c r="AX45" s="978">
        <f t="shared" ca="1" si="60"/>
        <v>18.121513676383859</v>
      </c>
      <c r="AY45" s="978">
        <f t="shared" ca="1" si="60"/>
        <v>15.009491408754261</v>
      </c>
      <c r="AZ45" s="978">
        <f t="shared" ca="1" si="60"/>
        <v>12.431899253705595</v>
      </c>
      <c r="BA45" s="978">
        <f t="shared" ca="1" si="60"/>
        <v>10.293996380727981</v>
      </c>
      <c r="BB45" s="978">
        <f t="shared" ca="1" si="60"/>
        <v>8.5262000182487512</v>
      </c>
      <c r="BC45" s="978">
        <f t="shared" ca="1" si="60"/>
        <v>7.0619887614574388</v>
      </c>
      <c r="BD45" s="978">
        <f t="shared" ca="1" si="60"/>
        <v>5.8492276934869274</v>
      </c>
      <c r="BE45" s="978">
        <f t="shared" ca="1" si="60"/>
        <v>4.843341108065907</v>
      </c>
      <c r="BF45" s="978">
        <f t="shared" ca="1" si="60"/>
        <v>4.0115902042950227</v>
      </c>
      <c r="BG45" s="978">
        <f t="shared" ca="1" si="60"/>
        <v>3.3226765590381135</v>
      </c>
      <c r="BH45" s="978">
        <f t="shared" ca="1" si="60"/>
        <v>2.7520706138329567</v>
      </c>
      <c r="BI45" s="978">
        <f t="shared" ca="1" si="60"/>
        <v>2.2787994304135424</v>
      </c>
      <c r="BJ45" s="978">
        <f t="shared" ca="1" si="60"/>
        <v>1.8874593526722836</v>
      </c>
      <c r="BK45" s="978">
        <f t="shared" ca="1" si="60"/>
        <v>1.5633244244502733</v>
      </c>
      <c r="BL45" s="978">
        <f t="shared" ca="1" si="60"/>
        <v>1.2948534508164293</v>
      </c>
      <c r="BM45" s="978">
        <f t="shared" ca="1" si="60"/>
        <v>1.0721786321026812</v>
      </c>
      <c r="BN45" s="978">
        <f t="shared" ca="1" si="60"/>
        <v>0.88805252445166538</v>
      </c>
      <c r="BO45" s="978">
        <f t="shared" ca="1" si="60"/>
        <v>0.73554654287228516</v>
      </c>
      <c r="BP45" s="978">
        <f t="shared" ca="1" si="60"/>
        <v>0.60923053742287636</v>
      </c>
      <c r="BQ45" s="978">
        <f t="shared" ca="1" si="60"/>
        <v>0.5044616932036492</v>
      </c>
      <c r="BR45" s="978">
        <f t="shared" ca="1" si="60"/>
        <v>0.4178300767475398</v>
      </c>
      <c r="BS45" s="978">
        <f t="shared" ca="1" si="60"/>
        <v>0.3460757781749062</v>
      </c>
      <c r="BT45" s="978">
        <f t="shared" ca="1" si="60"/>
        <v>0.28664390359749159</v>
      </c>
      <c r="BU45" s="978">
        <f t="shared" ca="1" si="60"/>
        <v>0.23735000147387753</v>
      </c>
      <c r="BV45" s="978">
        <f t="shared" ca="1" si="60"/>
        <v>0.19658969287056169</v>
      </c>
      <c r="BW45" s="978">
        <f t="shared" ca="1" si="60"/>
        <v>0.1628291851819946</v>
      </c>
      <c r="BX45" s="978">
        <f t="shared" ca="1" si="60"/>
        <v>0.13486639690966729</v>
      </c>
      <c r="BY45" s="978">
        <f t="shared" ca="1" si="60"/>
        <v>0.1116735402482017</v>
      </c>
      <c r="BZ45" s="978">
        <f t="shared" ca="1" si="60"/>
        <v>9.2495752445065041E-2</v>
      </c>
      <c r="CA45" s="978">
        <f t="shared" ca="1" si="60"/>
        <v>7.6611381723578856E-2</v>
      </c>
      <c r="CB45" s="978">
        <f t="shared" ca="1" si="60"/>
        <v>6.345484689235141E-2</v>
      </c>
      <c r="CC45" s="978">
        <f t="shared" ca="1" si="60"/>
        <v>5.2542572210334287E-2</v>
      </c>
      <c r="CD45" s="978">
        <f t="shared" ca="1" si="60"/>
        <v>4.3519393593100912E-2</v>
      </c>
      <c r="CE45" s="978">
        <f t="shared" ca="1" si="60"/>
        <v>3.6045772771209739E-2</v>
      </c>
      <c r="CF45" s="978">
        <f t="shared" ca="1" si="60"/>
        <v>2.9855602925503918E-2</v>
      </c>
      <c r="CG45" s="978">
        <f t="shared" ca="1" si="60"/>
        <v>2.472136092707335E-2</v>
      </c>
      <c r="CH45" s="978">
        <f t="shared" ca="1" si="60"/>
        <v>2.0475941528603152E-2</v>
      </c>
      <c r="CI45" s="978">
        <f t="shared" ca="1" si="60"/>
        <v>1.6959591452872361E-2</v>
      </c>
      <c r="CJ45" s="978">
        <f t="shared" ca="1" si="60"/>
        <v>1.4047107032767708E-2</v>
      </c>
      <c r="CK45" s="978">
        <f t="shared" ca="1" si="60"/>
        <v>1.1631438286651164E-2</v>
      </c>
      <c r="CL45" s="978">
        <f t="shared" ref="CL45:DQ45" ca="1" si="62">CL43/CL44</f>
        <v>9.6339619389659657E-3</v>
      </c>
      <c r="CM45" s="978">
        <f t="shared" ca="1" si="62"/>
        <v>7.9795138274604809E-3</v>
      </c>
      <c r="CN45" s="978">
        <f t="shared" ca="1" si="62"/>
        <v>6.6091854343991556E-3</v>
      </c>
      <c r="CO45" s="978">
        <f t="shared" ca="1" si="62"/>
        <v>5.4726095790279174E-3</v>
      </c>
      <c r="CP45" s="978">
        <f t="shared" ca="1" si="62"/>
        <v>4.5327938894382368E-3</v>
      </c>
      <c r="CQ45" s="978">
        <f t="shared" ca="1" si="62"/>
        <v>3.754373511857863E-3</v>
      </c>
      <c r="CR45" s="978">
        <f t="shared" ca="1" si="62"/>
        <v>3.1096318981763426E-3</v>
      </c>
      <c r="CS45" s="978">
        <f t="shared" ca="1" si="62"/>
        <v>2.574871212522728E-3</v>
      </c>
      <c r="CT45" s="978">
        <f t="shared" ca="1" si="62"/>
        <v>2.1326864870839846E-3</v>
      </c>
      <c r="CU45" s="978">
        <f t="shared" ca="1" si="62"/>
        <v>1.7664385038110399E-3</v>
      </c>
      <c r="CV45" s="978">
        <f t="shared" ca="1" si="62"/>
        <v>1.4630865842962324E-3</v>
      </c>
      <c r="CW45" s="978">
        <f t="shared" ca="1" si="62"/>
        <v>1.2114808603357942E-3</v>
      </c>
      <c r="CX45" s="978">
        <f t="shared" ca="1" si="62"/>
        <v>1.0034322678420815E-3</v>
      </c>
      <c r="CY45" s="978">
        <f t="shared" ca="1" si="62"/>
        <v>8.3111202918253416E-4</v>
      </c>
      <c r="CZ45" s="978">
        <f t="shared" ca="1" si="62"/>
        <v>6.8838448511523379E-4</v>
      </c>
      <c r="DA45" s="978">
        <f t="shared" ca="1" si="62"/>
        <v>5.7000360554698834E-4</v>
      </c>
      <c r="DB45" s="978">
        <f t="shared" ca="1" si="62"/>
        <v>4.7211642323045634E-4</v>
      </c>
      <c r="DC45" s="978">
        <f t="shared" ca="1" si="62"/>
        <v>3.9103948626442725E-4</v>
      </c>
      <c r="DD45" s="978">
        <f t="shared" ca="1" si="62"/>
        <v>3.2388595756635416E-4</v>
      </c>
      <c r="DE45" s="978">
        <f t="shared" ca="1" si="62"/>
        <v>2.6826475891508615E-4</v>
      </c>
      <c r="DF45" s="978">
        <f t="shared" ca="1" si="62"/>
        <v>2.2219543389233502E-4</v>
      </c>
      <c r="DG45" s="978">
        <f t="shared" ca="1" si="62"/>
        <v>1.8403763149659163E-4</v>
      </c>
      <c r="DH45" s="978">
        <f t="shared" ca="1" si="62"/>
        <v>1.5243269950336361E-4</v>
      </c>
      <c r="DI45" s="978">
        <f t="shared" ca="1" si="62"/>
        <v>1.2621898110739627E-4</v>
      </c>
      <c r="DJ45" s="978">
        <f t="shared" ca="1" si="62"/>
        <v>1.045432929250568E-4</v>
      </c>
      <c r="DK45" s="978">
        <f t="shared" ca="1" si="62"/>
        <v>8.6589988289893546E-5</v>
      </c>
      <c r="DL45" s="978">
        <f t="shared" ca="1" si="62"/>
        <v>7.1719819247259166E-5</v>
      </c>
      <c r="DM45" s="978">
        <f t="shared" ca="1" si="62"/>
        <v>5.93862244734106E-5</v>
      </c>
      <c r="DN45" s="978">
        <f t="shared" ca="1" si="62"/>
        <v>4.9187779894766682E-5</v>
      </c>
      <c r="DO45" s="978">
        <f t="shared" ca="1" si="62"/>
        <v>4.0740722486811839E-5</v>
      </c>
      <c r="DP45" s="978">
        <f t="shared" ca="1" si="62"/>
        <v>3.3744285112972281E-5</v>
      </c>
      <c r="DQ45" s="978">
        <f t="shared" ca="1" si="62"/>
        <v>2.7941309829887341E-5</v>
      </c>
      <c r="DR45" s="978">
        <f ca="1">DR43/DR44</f>
        <v>2.3142925989831067E-5</v>
      </c>
      <c r="DS45" s="978">
        <f ca="1">DS43/DS44</f>
        <v>1.9168572506495041E-5</v>
      </c>
      <c r="DT45" s="978">
        <f ca="1">DT43/DT44</f>
        <v>1.5876737974794418E-5</v>
      </c>
      <c r="DU45" s="979">
        <f ca="1">DU43/DU44</f>
        <v>1.3146429190456428E-5</v>
      </c>
    </row>
    <row r="46" spans="2:125" x14ac:dyDescent="0.2">
      <c r="B46" s="980"/>
      <c r="C46" s="947"/>
      <c r="D46" s="947"/>
      <c r="E46" s="947"/>
      <c r="F46" s="947"/>
      <c r="G46" s="976"/>
      <c r="H46" s="944"/>
      <c r="I46" s="970"/>
      <c r="J46" s="947"/>
      <c r="K46" s="947"/>
      <c r="L46" s="947"/>
      <c r="M46" s="947"/>
      <c r="N46" s="947"/>
      <c r="O46" s="947"/>
      <c r="P46" s="947"/>
      <c r="Q46" s="947"/>
      <c r="R46" s="1795">
        <v>25</v>
      </c>
      <c r="S46" s="1796"/>
      <c r="T46" s="1796"/>
      <c r="U46" s="1029">
        <f t="shared" ca="1" si="47"/>
        <v>11</v>
      </c>
      <c r="V46" s="944"/>
      <c r="W46" s="971"/>
      <c r="X46" s="947"/>
      <c r="Y46" s="947"/>
      <c r="Z46" s="1057">
        <f ca="1">(SUM($Z$45:Z45)+$AA$47+$AA$48)/$AA$50*100</f>
        <v>99.934743594434934</v>
      </c>
      <c r="AA46" s="1057">
        <f ca="1">(SUM($Z$45:AA45)+$AA$47+$AA$48)/$AA$50*100</f>
        <v>98.375837829130148</v>
      </c>
      <c r="AB46" s="1057">
        <f ca="1">(SUM($Z$45:AB45)+$AA$47+$AA$48)/$AA$50*100</f>
        <v>97.671447353355248</v>
      </c>
      <c r="AC46" s="1057">
        <f ca="1">(SUM($Z$45:AC45)+$AA$47+$AA$48)/$AA$50*100</f>
        <v>97.778408376794971</v>
      </c>
      <c r="AD46" s="1057">
        <f ca="1">(SUM($Z$45:AD45)+$AA$47+$AA$48)/$AA$50*100</f>
        <v>98.174984265269075</v>
      </c>
      <c r="AE46" s="1057">
        <f ca="1">(SUM($Z$45:AE45)+$AA$47+$AA$48)/$AA$50*100</f>
        <v>98.523006366437812</v>
      </c>
      <c r="AF46" s="1057">
        <f ca="1">(SUM($Z$45:AF45)+$AA$47+$AA$48)/$AA$50*100</f>
        <v>98.802659873930182</v>
      </c>
      <c r="AG46" s="1057">
        <f ca="1">(SUM($Z$45:AG45)+$AA$47+$AA$48)/$AA$50*100</f>
        <v>99.005983808280845</v>
      </c>
      <c r="AH46" s="1057">
        <f ca="1">(SUM($Z$45:AH45)+$AA$47+$AA$48)/$AA$50*100</f>
        <v>99.174506222775022</v>
      </c>
      <c r="AI46" s="1057">
        <f ca="1">(SUM($Z$45:AI45)+$AA$47+$AA$48)/$AA$50*100</f>
        <v>99.316321811650326</v>
      </c>
      <c r="AJ46" s="1057">
        <f ca="1">(SUM($Z$45:AJ45)+$AA$47+$AA$48)/$AA$50*100</f>
        <v>99.433783294220888</v>
      </c>
      <c r="AK46" s="1057">
        <f ca="1">(SUM($Z$45:AK45)+$AA$47+$AA$48)/$AA$50*100</f>
        <v>99.531045028070295</v>
      </c>
      <c r="AL46" s="1057">
        <f ca="1">(SUM($Z$45:AL45)+$AA$47+$AA$48)/$AA$50*100</f>
        <v>99.611603925339224</v>
      </c>
      <c r="AM46" s="1057">
        <f ca="1">(SUM($Z$45:AM45)+$AA$47+$AA$48)/$AA$50*100</f>
        <v>99.678328377724895</v>
      </c>
      <c r="AN46" s="1057">
        <f ca="1">(SUM($Z$45:AN45)+$AA$47+$AA$48)/$AA$50*100</f>
        <v>99.733594185687849</v>
      </c>
      <c r="AO46" s="1057">
        <f ca="1">(SUM($Z$45:AO45)+$AA$47+$AA$48)/$AA$50*100</f>
        <v>99.779355980851903</v>
      </c>
      <c r="AP46" s="1057">
        <f ca="1">(SUM($Z$45:AP45)+$AA$47+$AA$48)/$AA$50*100</f>
        <v>99.817259065750349</v>
      </c>
      <c r="AQ46" s="1057">
        <f ca="1">(SUM($Z$45:AQ45)+$AA$47+$AA$48)/$AA$50*100</f>
        <v>99.848653023082392</v>
      </c>
      <c r="AR46" s="1057">
        <f ca="1">(SUM($Z$45:AR45)+$AA$47+$AA$48)/$AA$50*100</f>
        <v>99.874655670613777</v>
      </c>
      <c r="AS46" s="1057">
        <f ca="1">(SUM($Z$45:AS45)+$AA$47+$AA$48)/$AA$50*100</f>
        <v>99.896186665525732</v>
      </c>
      <c r="AT46" s="1057">
        <f ca="1">(SUM($Z$45:AT45)+$AA$47+$AA$48)/$AA$50*100</f>
        <v>99.914020125187207</v>
      </c>
      <c r="AU46" s="1057">
        <f ca="1">(SUM($Z$45:AU45)+$AA$47+$AA$48)/$AA$50*100</f>
        <v>99.928791030331084</v>
      </c>
      <c r="AV46" s="1057">
        <f ca="1">(SUM($Z$45:AV45)+$AA$47+$AA$48)/$AA$50*100</f>
        <v>99.941025315933047</v>
      </c>
      <c r="AW46" s="1057">
        <f ca="1">(SUM($Z$45:AW45)+$AA$47+$AA$48)/$AA$50*100</f>
        <v>99.951155682109373</v>
      </c>
      <c r="AX46" s="1057">
        <f ca="1">(SUM($Z$45:AX45)+$AA$47+$AA$48)/$AA$50*100</f>
        <v>99.959546352271175</v>
      </c>
      <c r="AY46" s="1057">
        <f ca="1">(SUM($Z$45:AY45)+$AA$47+$AA$48)/$AA$50*100</f>
        <v>99.966496085828553</v>
      </c>
      <c r="AZ46" s="1057">
        <f ca="1">(SUM($Z$45:AZ45)+$AA$47+$AA$48)/$AA$50*100</f>
        <v>99.972252335995364</v>
      </c>
      <c r="BA46" s="1057">
        <f ca="1">(SUM($Z$45:BA45)+$AA$47+$AA$48)/$AA$50*100</f>
        <v>99.977018688840928</v>
      </c>
      <c r="BB46" s="1057">
        <f ca="1">(SUM($Z$45:BB45)+$AA$47+$AA$48)/$AA$50*100</f>
        <v>99.980966512039615</v>
      </c>
      <c r="BC46" s="1057">
        <f ca="1">(SUM($Z$45:BC45)+$AA$47+$AA$48)/$AA$50*100</f>
        <v>99.984236372352726</v>
      </c>
      <c r="BD46" s="1057">
        <f ca="1">(SUM($Z$45:BD45)+$AA$47+$AA$48)/$AA$50*100</f>
        <v>99.986944696897453</v>
      </c>
      <c r="BE46" s="1057">
        <f ca="1">(SUM($Z$45:BE45)+$AA$47+$AA$48)/$AA$50*100</f>
        <v>99.989187273232105</v>
      </c>
      <c r="BF46" s="1057">
        <f ca="1">(SUM($Z$45:BF45)+$AA$47+$AA$48)/$AA$50*100</f>
        <v>99.991044730110687</v>
      </c>
      <c r="BG46" s="1057">
        <f ca="1">(SUM($Z$45:BG45)+$AA$47+$AA$48)/$AA$50*100</f>
        <v>99.992583204410295</v>
      </c>
      <c r="BH46" s="1057">
        <f ca="1">(SUM($Z$45:BH45)+$AA$47+$AA$48)/$AA$50*100</f>
        <v>99.993857475268427</v>
      </c>
      <c r="BI46" s="1057">
        <f ca="1">(SUM($Z$45:BI45)+$AA$47+$AA$48)/$AA$50*100</f>
        <v>99.99491261087833</v>
      </c>
      <c r="BJ46" s="1057">
        <f ca="1">(SUM($Z$45:BJ45)+$AA$47+$AA$48)/$AA$50*100</f>
        <v>99.995786547192651</v>
      </c>
      <c r="BK46" s="1057">
        <f ca="1">(SUM($Z$45:BK45)+$AA$47+$AA$48)/$AA$50*100</f>
        <v>99.996510401713607</v>
      </c>
      <c r="BL46" s="1057">
        <f ca="1">(SUM($Z$45:BL45)+$AA$47+$AA$48)/$AA$50*100</f>
        <v>99.997109948109539</v>
      </c>
      <c r="BM46" s="1057">
        <f ca="1">(SUM($Z$45:BM45)+$AA$47+$AA$48)/$AA$50*100</f>
        <v>99.997606391034637</v>
      </c>
      <c r="BN46" s="1057">
        <f ca="1">(SUM($Z$45:BN45)+$AA$47+$AA$48)/$AA$50*100</f>
        <v>99.998017579412817</v>
      </c>
      <c r="BO46" s="1057">
        <f ca="1">(SUM($Z$45:BO45)+$AA$47+$AA$48)/$AA$50*100</f>
        <v>99.998358154076755</v>
      </c>
      <c r="BP46" s="1057">
        <f ca="1">(SUM($Z$45:BP45)+$AA$47+$AA$48)/$AA$50*100</f>
        <v>99.998640241576894</v>
      </c>
      <c r="BQ46" s="1057">
        <f ca="1">(SUM($Z$45:BQ45)+$AA$47+$AA$48)/$AA$50*100</f>
        <v>99.998873818735646</v>
      </c>
      <c r="BR46" s="1057">
        <f ca="1">(SUM($Z$45:BR45)+$AA$47+$AA$48)/$AA$50*100</f>
        <v>99.999067283499159</v>
      </c>
      <c r="BS46" s="1057">
        <f ca="1">(SUM($Z$45:BS45)+$AA$47+$AA$48)/$AA$50*100</f>
        <v>99.999227524401633</v>
      </c>
      <c r="BT46" s="1057">
        <f ca="1">(SUM($Z$45:BT45)+$AA$47+$AA$48)/$AA$50*100</f>
        <v>99.999360247003722</v>
      </c>
      <c r="BU46" s="1057">
        <f ca="1">(SUM($Z$45:BU45)+$AA$47+$AA$48)/$AA$50*100</f>
        <v>99.999470145415671</v>
      </c>
      <c r="BV46" s="1057">
        <f ca="1">(SUM($Z$45:BV45)+$AA$47+$AA$48)/$AA$50*100</f>
        <v>99.99956117088405</v>
      </c>
      <c r="BW46" s="1057">
        <f ca="1">(SUM($Z$45:BW45)+$AA$47+$AA$48)/$AA$50*100</f>
        <v>99.999636564474784</v>
      </c>
      <c r="BX46" s="1057">
        <f ca="1">(SUM($Z$45:BX45)+$AA$47+$AA$48)/$AA$50*100</f>
        <v>99.999699010662923</v>
      </c>
      <c r="BY46" s="1057">
        <f ca="1">(SUM($Z$45:BY45)+$AA$47+$AA$48)/$AA$50*100</f>
        <v>99.999750718034548</v>
      </c>
      <c r="BZ46" s="1057">
        <f ca="1">(SUM($Z$45:BZ45)+$AA$47+$AA$48)/$AA$50*100</f>
        <v>99.999793545657241</v>
      </c>
      <c r="CA46" s="1057">
        <f ca="1">(SUM($Z$45:CA45)+$AA$47+$AA$48)/$AA$50*100</f>
        <v>99.999829018457461</v>
      </c>
      <c r="CB46" s="1057">
        <f ca="1">(SUM($Z$45:CB45)+$AA$47+$AA$48)/$AA$50*100</f>
        <v>99.999858399484893</v>
      </c>
      <c r="CC46" s="1057">
        <f ca="1">(SUM($Z$45:CC45)+$AA$47+$AA$48)/$AA$50*100</f>
        <v>99.999882727882664</v>
      </c>
      <c r="CD46" s="1057">
        <f ca="1">(SUM($Z$45:CD45)+$AA$47+$AA$48)/$AA$50*100</f>
        <v>99.999902878344912</v>
      </c>
      <c r="CE46" s="1057">
        <f ca="1">(SUM($Z$45:CE45)+$AA$47+$AA$48)/$AA$50*100</f>
        <v>99.999919568351913</v>
      </c>
      <c r="CF46" s="1057">
        <f ca="1">(SUM($Z$45:CF45)+$AA$47+$AA$48)/$AA$50*100</f>
        <v>99.999933392170448</v>
      </c>
      <c r="CG46" s="1057">
        <f ca="1">(SUM($Z$45:CG45)+$AA$47+$AA$48)/$AA$50*100</f>
        <v>99.999944838718974</v>
      </c>
      <c r="CH46" s="1057">
        <f ca="1">(SUM($Z$45:CH45)+$AA$47+$AA$48)/$AA$50*100</f>
        <v>99.999954319542397</v>
      </c>
      <c r="CI46" s="1057">
        <f ca="1">(SUM($Z$45:CI45)+$AA$47+$AA$48)/$AA$50*100</f>
        <v>99.999962172216343</v>
      </c>
      <c r="CJ46" s="1057">
        <f ca="1">(SUM($Z$45:CJ45)+$AA$47+$AA$48)/$AA$50*100</f>
        <v>99.999968676344182</v>
      </c>
      <c r="CK46" s="1057">
        <f ca="1">(SUM($Z$45:CK45)+$AA$47+$AA$48)/$AA$50*100</f>
        <v>99.999974061962831</v>
      </c>
      <c r="CL46" s="1057">
        <f ca="1">(SUM($Z$45:CL45)+$AA$47+$AA$48)/$AA$50*100</f>
        <v>99.999978522704822</v>
      </c>
      <c r="CM46" s="1057">
        <f ca="1">(SUM($Z$45:CM45)+$AA$47+$AA$48)/$AA$50*100</f>
        <v>99.999982217399989</v>
      </c>
      <c r="CN46" s="1057">
        <f ca="1">(SUM($Z$45:CN45)+$AA$47+$AA$48)/$AA$50*100</f>
        <v>99.999985277602121</v>
      </c>
      <c r="CO46" s="1057">
        <f ca="1">(SUM($Z$45:CO45)+$AA$47+$AA$48)/$AA$50*100</f>
        <v>99.99998781154396</v>
      </c>
      <c r="CP46" s="1057">
        <f ca="1">(SUM($Z$45:CP45)+$AA$47+$AA$48)/$AA$50*100</f>
        <v>99.99998991032993</v>
      </c>
      <c r="CQ46" s="1057">
        <f ca="1">(SUM($Z$45:CQ45)+$AA$47+$AA$48)/$AA$50*100</f>
        <v>99.999991648689672</v>
      </c>
      <c r="CR46" s="1057">
        <f ca="1">(SUM($Z$45:CR45)+$AA$47+$AA$48)/$AA$50*100</f>
        <v>99.999993088519489</v>
      </c>
      <c r="CS46" s="1057">
        <f ca="1">(SUM($Z$45:CS45)+$AA$47+$AA$48)/$AA$50*100</f>
        <v>99.999994280743024</v>
      </c>
      <c r="CT46" s="1057">
        <f ca="1">(SUM($Z$45:CT45)+$AA$47+$AA$48)/$AA$50*100</f>
        <v>99.999995268225035</v>
      </c>
      <c r="CU46" s="1057">
        <f ca="1">(SUM($Z$45:CU45)+$AA$47+$AA$48)/$AA$50*100</f>
        <v>99.999996086125947</v>
      </c>
      <c r="CV46" s="1057">
        <f ca="1">(SUM($Z$45:CV45)+$AA$47+$AA$48)/$AA$50*100</f>
        <v>99.999996763568106</v>
      </c>
      <c r="CW46" s="1057">
        <f ca="1">(SUM($Z$45:CW45)+$AA$47+$AA$48)/$AA$50*100</f>
        <v>99.999997324511099</v>
      </c>
      <c r="CX46" s="1057">
        <f ca="1">(SUM($Z$45:CX45)+$AA$47+$AA$48)/$AA$50*100</f>
        <v>99.999997789122901</v>
      </c>
      <c r="CY46" s="1057">
        <f ca="1">(SUM($Z$45:CY45)+$AA$47+$AA$48)/$AA$50*100</f>
        <v>99.999998173946551</v>
      </c>
      <c r="CZ46" s="1057">
        <f ca="1">(SUM($Z$45:CZ45)+$AA$47+$AA$48)/$AA$50*100</f>
        <v>99.999998492684114</v>
      </c>
      <c r="DA46" s="1057">
        <f ca="1">(SUM($Z$45:DA45)+$AA$47+$AA$48)/$AA$50*100</f>
        <v>99.999998756608662</v>
      </c>
      <c r="DB46" s="1057">
        <f ca="1">(SUM($Z$45:DB45)+$AA$47+$AA$48)/$AA$50*100</f>
        <v>99.999998975209209</v>
      </c>
      <c r="DC46" s="1057">
        <f ca="1">(SUM($Z$45:DC45)+$AA$47+$AA$48)/$AA$50*100</f>
        <v>99.99999915626934</v>
      </c>
      <c r="DD46" s="1057">
        <f ca="1">(SUM($Z$45:DD45)+$AA$47+$AA$48)/$AA$50*100</f>
        <v>99.99999930623585</v>
      </c>
      <c r="DE46" s="1057">
        <f ca="1">(SUM($Z$45:DE45)+$AA$47+$AA$48)/$AA$50*100</f>
        <v>99.999999430448511</v>
      </c>
      <c r="DF46" s="1057">
        <f ca="1">(SUM($Z$45:DF45)+$AA$47+$AA$48)/$AA$50*100</f>
        <v>99.999999533329998</v>
      </c>
      <c r="DG46" s="1057">
        <f ca="1">(SUM($Z$45:DG45)+$AA$47+$AA$48)/$AA$50*100</f>
        <v>99.999999618543583</v>
      </c>
      <c r="DH46" s="1057">
        <f ca="1">(SUM($Z$45:DH45)+$AA$47+$AA$48)/$AA$50*100</f>
        <v>99.999999689123371</v>
      </c>
      <c r="DI46" s="1057">
        <f ca="1">(SUM($Z$45:DI45)+$AA$47+$AA$48)/$AA$50*100</f>
        <v>99.99999974756561</v>
      </c>
      <c r="DJ46" s="1057">
        <f ca="1">(SUM($Z$45:DJ45)+$AA$47+$AA$48)/$AA$50*100</f>
        <v>99.999999795971505</v>
      </c>
      <c r="DK46" s="1057">
        <f ca="1">(SUM($Z$45:DK45)+$AA$47+$AA$48)/$AA$50*100</f>
        <v>99.999999836064632</v>
      </c>
      <c r="DL46" s="1057">
        <f ca="1">(SUM($Z$45:DL45)+$AA$47+$AA$48)/$AA$50*100</f>
        <v>99.999999869272528</v>
      </c>
      <c r="DM46" s="1057">
        <f ca="1">(SUM($Z$45:DM45)+$AA$47+$AA$48)/$AA$50*100</f>
        <v>99.99999989676968</v>
      </c>
      <c r="DN46" s="1057">
        <f ca="1">(SUM($Z$45:DN45)+$AA$47+$AA$48)/$AA$50*100</f>
        <v>99.999999919544734</v>
      </c>
      <c r="DO46" s="1057">
        <f ca="1">(SUM($Z$45:DO45)+$AA$47+$AA$48)/$AA$50*100</f>
        <v>99.999999938408621</v>
      </c>
      <c r="DP46" s="1057">
        <f ca="1">(SUM($Z$45:DP45)+$AA$47+$AA$48)/$AA$50*100</f>
        <v>99.999999954032987</v>
      </c>
      <c r="DQ46" s="1057">
        <f ca="1">(SUM($Z$45:DQ45)+$AA$47+$AA$48)/$AA$50*100</f>
        <v>99.999999966970449</v>
      </c>
      <c r="DR46" s="1057">
        <f ca="1">(SUM($Z$45:DR45)+$AA$47+$AA$48)/$AA$50*100</f>
        <v>99.999999977686144</v>
      </c>
      <c r="DS46" s="1057">
        <f ca="1">(SUM($Z$45:DS45)+$AA$47+$AA$48)/$AA$50*100</f>
        <v>99.999999986561633</v>
      </c>
      <c r="DT46" s="1057">
        <f ca="1">(SUM($Z$45:DT45)+$AA$47+$AA$48)/$AA$50*100</f>
        <v>99.999999993912908</v>
      </c>
      <c r="DU46" s="1057">
        <f ca="1">(SUM($Z$45:DU45)+$AA$47+$AA$48)/$AA$50*100</f>
        <v>100</v>
      </c>
    </row>
    <row r="47" spans="2:125" x14ac:dyDescent="0.2">
      <c r="B47" s="980"/>
      <c r="C47" s="947"/>
      <c r="D47" s="947"/>
      <c r="E47" s="947"/>
      <c r="F47" s="947"/>
      <c r="G47" s="976"/>
      <c r="H47" s="944"/>
      <c r="I47" s="970"/>
      <c r="J47" s="947"/>
      <c r="K47" s="947"/>
      <c r="L47" s="947"/>
      <c r="M47" s="947"/>
      <c r="N47" s="947"/>
      <c r="O47" s="947"/>
      <c r="P47" s="947"/>
      <c r="Q47" s="947"/>
      <c r="R47" s="1031"/>
      <c r="S47" s="943"/>
      <c r="T47" s="943"/>
      <c r="U47" s="1032"/>
      <c r="V47" s="944"/>
      <c r="W47" s="971"/>
      <c r="X47" s="944"/>
      <c r="Y47" s="972" t="s">
        <v>1093</v>
      </c>
      <c r="Z47" s="993"/>
      <c r="AA47" s="978">
        <f ca="1">(Z16)*((1+(cost_of_capital/100)))^((((365-(Z4-NOW()))/365))+0.5)</f>
        <v>248480.43346497582</v>
      </c>
      <c r="AB47" s="964"/>
      <c r="AC47" s="964"/>
      <c r="AD47" s="964"/>
      <c r="AE47" s="964"/>
      <c r="AF47" s="947"/>
      <c r="AG47" s="947"/>
      <c r="AH47" s="947"/>
      <c r="AI47" s="947"/>
      <c r="AJ47" s="964"/>
      <c r="AK47" s="964"/>
      <c r="AL47" s="964"/>
      <c r="AM47" s="964"/>
      <c r="AN47" s="964"/>
      <c r="AO47" s="964"/>
      <c r="AP47" s="964"/>
      <c r="AQ47" s="964"/>
      <c r="AR47" s="964"/>
      <c r="AS47" s="964"/>
      <c r="AT47" s="964"/>
      <c r="AU47" s="964"/>
      <c r="AV47" s="947"/>
      <c r="AW47" s="947"/>
      <c r="AX47" s="947"/>
      <c r="AY47" s="947"/>
      <c r="AZ47" s="947"/>
      <c r="BA47" s="947"/>
      <c r="BB47" s="947"/>
      <c r="BC47" s="947"/>
      <c r="BD47" s="947"/>
      <c r="BE47" s="947"/>
      <c r="BF47" s="947"/>
      <c r="BG47" s="947"/>
      <c r="BH47" s="947"/>
      <c r="BI47" s="947"/>
      <c r="BJ47" s="947"/>
      <c r="BK47" s="947"/>
      <c r="BL47" s="947"/>
      <c r="BM47" s="947"/>
      <c r="BN47" s="947"/>
      <c r="BO47" s="947"/>
      <c r="BP47" s="947"/>
      <c r="BQ47" s="947"/>
      <c r="BR47" s="947"/>
      <c r="BS47" s="947"/>
      <c r="BT47" s="947"/>
      <c r="BU47" s="947"/>
      <c r="BV47" s="947"/>
      <c r="BW47" s="947"/>
      <c r="BX47" s="947"/>
      <c r="BY47" s="947"/>
      <c r="BZ47" s="947"/>
      <c r="CA47" s="947"/>
      <c r="CB47" s="947"/>
      <c r="CC47" s="947"/>
      <c r="CD47" s="947"/>
      <c r="CE47" s="947"/>
      <c r="CF47" s="947"/>
      <c r="CG47" s="947"/>
      <c r="CH47" s="947"/>
      <c r="CI47" s="947"/>
      <c r="CJ47" s="947"/>
      <c r="CK47" s="947"/>
      <c r="CL47" s="947"/>
      <c r="CM47" s="947"/>
      <c r="CN47" s="947"/>
      <c r="CO47" s="947"/>
      <c r="CP47" s="947"/>
      <c r="CQ47" s="947"/>
      <c r="CR47" s="947"/>
      <c r="CS47" s="947"/>
      <c r="CT47" s="947"/>
      <c r="CU47" s="947"/>
      <c r="CV47" s="947"/>
      <c r="CW47" s="947"/>
      <c r="CX47" s="947"/>
      <c r="CY47" s="947"/>
      <c r="CZ47" s="947"/>
      <c r="DA47" s="947"/>
      <c r="DB47" s="947"/>
      <c r="DC47" s="947"/>
      <c r="DD47" s="947"/>
      <c r="DE47" s="947"/>
      <c r="DF47" s="947"/>
      <c r="DG47" s="947"/>
      <c r="DH47" s="947"/>
      <c r="DI47" s="947"/>
      <c r="DJ47" s="947"/>
      <c r="DK47" s="947"/>
      <c r="DL47" s="947"/>
      <c r="DM47" s="947"/>
      <c r="DN47" s="947"/>
      <c r="DO47" s="947"/>
      <c r="DP47" s="947"/>
      <c r="DQ47" s="947"/>
      <c r="DR47" s="947"/>
      <c r="DS47" s="947"/>
      <c r="DT47" s="947"/>
      <c r="DU47" s="971"/>
    </row>
    <row r="48" spans="2:125" x14ac:dyDescent="0.2">
      <c r="B48" s="980"/>
      <c r="C48" s="947"/>
      <c r="D48" s="947"/>
      <c r="E48" s="947"/>
      <c r="F48" s="947"/>
      <c r="G48" s="976"/>
      <c r="H48" s="944"/>
      <c r="I48" s="970"/>
      <c r="J48" s="947"/>
      <c r="K48" s="947"/>
      <c r="L48" s="947"/>
      <c r="M48" s="947"/>
      <c r="N48" s="947"/>
      <c r="O48" s="947"/>
      <c r="P48" s="947"/>
      <c r="Q48" s="947"/>
      <c r="R48" s="947"/>
      <c r="S48" s="947"/>
      <c r="T48" s="947"/>
      <c r="U48" s="947"/>
      <c r="V48" s="944"/>
      <c r="W48" s="971"/>
      <c r="X48" s="944"/>
      <c r="Y48" s="990" t="s">
        <v>1094</v>
      </c>
      <c r="Z48" s="990"/>
      <c r="AA48" s="978">
        <f ca="1">(G29)*((1+(cost_of_capital/100)))^((((365-(Z4-NOW()))/365))+0.5)</f>
        <v>0</v>
      </c>
      <c r="AB48" s="993"/>
      <c r="AC48" s="947"/>
      <c r="AD48" s="947"/>
      <c r="AE48" s="947"/>
      <c r="AF48" s="981"/>
      <c r="AG48" s="947"/>
      <c r="AH48" s="947"/>
      <c r="AI48" s="947"/>
      <c r="AJ48" s="947"/>
      <c r="AK48" s="947"/>
      <c r="AL48" s="947"/>
      <c r="AM48" s="947"/>
      <c r="AN48" s="947"/>
      <c r="AO48" s="947"/>
      <c r="AP48" s="947"/>
      <c r="AQ48" s="947"/>
      <c r="AR48" s="947"/>
      <c r="AS48" s="947"/>
      <c r="AT48" s="947"/>
      <c r="AU48" s="993"/>
      <c r="AV48" s="947"/>
      <c r="AW48" s="947"/>
      <c r="AX48" s="947"/>
      <c r="AY48" s="947"/>
      <c r="AZ48" s="947"/>
      <c r="BA48" s="947"/>
      <c r="BB48" s="947"/>
      <c r="BC48" s="947"/>
      <c r="BD48" s="947"/>
      <c r="BE48" s="947"/>
      <c r="BF48" s="947"/>
      <c r="BG48" s="947"/>
      <c r="BH48" s="947"/>
      <c r="BI48" s="947"/>
      <c r="BJ48" s="947"/>
      <c r="BK48" s="947"/>
      <c r="BL48" s="947"/>
      <c r="BM48" s="947"/>
      <c r="BN48" s="947"/>
      <c r="BO48" s="947"/>
      <c r="BP48" s="947"/>
      <c r="BQ48" s="947"/>
      <c r="BR48" s="947"/>
      <c r="BS48" s="947"/>
      <c r="BT48" s="947"/>
      <c r="BU48" s="947"/>
      <c r="BV48" s="947"/>
      <c r="BW48" s="947"/>
      <c r="BX48" s="947"/>
      <c r="BY48" s="947"/>
      <c r="BZ48" s="947"/>
      <c r="CA48" s="947"/>
      <c r="CB48" s="947"/>
      <c r="CC48" s="947"/>
      <c r="CD48" s="947"/>
      <c r="CE48" s="947"/>
      <c r="CF48" s="947"/>
      <c r="CG48" s="947"/>
      <c r="CH48" s="947"/>
      <c r="CI48" s="947"/>
      <c r="CJ48" s="947"/>
      <c r="CK48" s="947"/>
      <c r="CL48" s="947"/>
      <c r="CM48" s="947"/>
      <c r="CN48" s="947"/>
      <c r="CO48" s="947"/>
      <c r="CP48" s="947"/>
      <c r="CQ48" s="947"/>
      <c r="CR48" s="947"/>
      <c r="CS48" s="947"/>
      <c r="CT48" s="947"/>
      <c r="CU48" s="947"/>
      <c r="CV48" s="947"/>
      <c r="CW48" s="947"/>
      <c r="CX48" s="947"/>
      <c r="CY48" s="947"/>
      <c r="CZ48" s="947"/>
      <c r="DA48" s="947"/>
      <c r="DB48" s="947"/>
      <c r="DC48" s="947"/>
      <c r="DD48" s="947"/>
      <c r="DE48" s="947"/>
      <c r="DF48" s="947"/>
      <c r="DG48" s="947"/>
      <c r="DH48" s="947"/>
      <c r="DI48" s="947"/>
      <c r="DJ48" s="947"/>
      <c r="DK48" s="947"/>
      <c r="DL48" s="947"/>
      <c r="DM48" s="947"/>
      <c r="DN48" s="947"/>
      <c r="DO48" s="947"/>
      <c r="DP48" s="947"/>
      <c r="DQ48" s="947"/>
      <c r="DR48" s="947"/>
      <c r="DS48" s="947"/>
      <c r="DT48" s="947"/>
      <c r="DU48" s="971"/>
    </row>
    <row r="49" spans="2:125" x14ac:dyDescent="0.2">
      <c r="B49" s="980"/>
      <c r="C49" s="947"/>
      <c r="D49" s="947"/>
      <c r="E49" s="947"/>
      <c r="F49" s="947"/>
      <c r="G49" s="976"/>
      <c r="H49" s="944"/>
      <c r="I49" s="970"/>
      <c r="J49" s="947"/>
      <c r="K49" s="947"/>
      <c r="L49" s="947"/>
      <c r="M49" s="947"/>
      <c r="N49" s="947"/>
      <c r="O49" s="947"/>
      <c r="P49" s="947"/>
      <c r="Q49" s="947"/>
      <c r="R49" s="947"/>
      <c r="S49" s="947"/>
      <c r="T49" s="947"/>
      <c r="U49" s="947"/>
      <c r="V49" s="944"/>
      <c r="W49" s="971"/>
      <c r="X49" s="944"/>
      <c r="Y49" s="972" t="s">
        <v>1095</v>
      </c>
      <c r="Z49" s="993"/>
      <c r="AA49" s="978">
        <f ca="1">SUM(Z45:DU45)</f>
        <v>-32508.24856279606</v>
      </c>
      <c r="AB49" s="993"/>
      <c r="AC49" s="947"/>
      <c r="AD49" s="947"/>
      <c r="AE49" s="947"/>
      <c r="AF49" s="997"/>
      <c r="AG49" s="947"/>
      <c r="AH49" s="947"/>
      <c r="AI49" s="947"/>
      <c r="AJ49" s="947"/>
      <c r="AK49" s="947"/>
      <c r="AL49" s="947"/>
      <c r="AM49" s="947"/>
      <c r="AN49" s="947"/>
      <c r="AO49" s="947"/>
      <c r="AP49" s="947"/>
      <c r="AQ49" s="947"/>
      <c r="AR49" s="947"/>
      <c r="AS49" s="947"/>
      <c r="AT49" s="947"/>
      <c r="AU49" s="993"/>
      <c r="AV49" s="947"/>
      <c r="AW49" s="947"/>
      <c r="AX49" s="947"/>
      <c r="AY49" s="947"/>
      <c r="AZ49" s="947"/>
      <c r="BA49" s="947"/>
      <c r="BB49" s="947"/>
      <c r="BC49" s="947"/>
      <c r="BD49" s="947"/>
      <c r="BE49" s="947"/>
      <c r="BF49" s="947"/>
      <c r="BG49" s="947"/>
      <c r="BH49" s="947"/>
      <c r="BI49" s="947"/>
      <c r="BJ49" s="947"/>
      <c r="BK49" s="947"/>
      <c r="BL49" s="947"/>
      <c r="BM49" s="947"/>
      <c r="BN49" s="947"/>
      <c r="BO49" s="947"/>
      <c r="BP49" s="947"/>
      <c r="BQ49" s="947"/>
      <c r="BR49" s="947"/>
      <c r="BS49" s="947"/>
      <c r="BT49" s="947"/>
      <c r="BU49" s="947"/>
      <c r="BV49" s="947"/>
      <c r="BW49" s="947"/>
      <c r="BX49" s="947"/>
      <c r="BY49" s="947"/>
      <c r="BZ49" s="947"/>
      <c r="CA49" s="947"/>
      <c r="CB49" s="947"/>
      <c r="CC49" s="947"/>
      <c r="CD49" s="947"/>
      <c r="CE49" s="947"/>
      <c r="CF49" s="947"/>
      <c r="CG49" s="947"/>
      <c r="CH49" s="947"/>
      <c r="CI49" s="947"/>
      <c r="CJ49" s="947"/>
      <c r="CK49" s="947"/>
      <c r="CL49" s="947"/>
      <c r="CM49" s="947"/>
      <c r="CN49" s="947"/>
      <c r="CO49" s="947"/>
      <c r="CP49" s="947"/>
      <c r="CQ49" s="947"/>
      <c r="CR49" s="947"/>
      <c r="CS49" s="947"/>
      <c r="CT49" s="947"/>
      <c r="CU49" s="947"/>
      <c r="CV49" s="947"/>
      <c r="CW49" s="947"/>
      <c r="CX49" s="947"/>
      <c r="CY49" s="947"/>
      <c r="CZ49" s="947"/>
      <c r="DA49" s="947"/>
      <c r="DB49" s="947"/>
      <c r="DC49" s="947"/>
      <c r="DD49" s="947"/>
      <c r="DE49" s="947"/>
      <c r="DF49" s="947"/>
      <c r="DG49" s="947"/>
      <c r="DH49" s="947"/>
      <c r="DI49" s="947"/>
      <c r="DJ49" s="947"/>
      <c r="DK49" s="947"/>
      <c r="DL49" s="947"/>
      <c r="DM49" s="947"/>
      <c r="DN49" s="947"/>
      <c r="DO49" s="947"/>
      <c r="DP49" s="947"/>
      <c r="DQ49" s="947"/>
      <c r="DR49" s="947"/>
      <c r="DS49" s="947"/>
      <c r="DT49" s="947"/>
      <c r="DU49" s="971"/>
    </row>
    <row r="50" spans="2:125" ht="12" thickBot="1" x14ac:dyDescent="0.25">
      <c r="B50" s="1016"/>
      <c r="C50" s="963"/>
      <c r="D50" s="963"/>
      <c r="E50" s="963"/>
      <c r="F50" s="963"/>
      <c r="G50" s="1017"/>
      <c r="H50" s="944"/>
      <c r="I50" s="1018"/>
      <c r="J50" s="963"/>
      <c r="K50" s="963"/>
      <c r="L50" s="963"/>
      <c r="M50" s="963"/>
      <c r="N50" s="963"/>
      <c r="O50" s="963"/>
      <c r="P50" s="963"/>
      <c r="Q50" s="963"/>
      <c r="R50" s="963"/>
      <c r="S50" s="963"/>
      <c r="T50" s="963"/>
      <c r="U50" s="963"/>
      <c r="V50" s="963"/>
      <c r="W50" s="1019"/>
      <c r="X50" s="944"/>
      <c r="Y50" s="972" t="s">
        <v>1096</v>
      </c>
      <c r="Z50" s="993"/>
      <c r="AA50" s="978">
        <f ca="1">AA49+AA47+AA48</f>
        <v>215972.18490217975</v>
      </c>
      <c r="AB50" s="993"/>
      <c r="AC50" s="947"/>
      <c r="AD50" s="947"/>
      <c r="AE50" s="981"/>
      <c r="AF50" s="947"/>
      <c r="AG50" s="947"/>
      <c r="AH50" s="947"/>
      <c r="AI50" s="947"/>
      <c r="AJ50" s="947"/>
      <c r="AK50" s="947"/>
      <c r="AL50" s="947"/>
      <c r="AM50" s="947"/>
      <c r="AN50" s="947"/>
      <c r="AO50" s="947"/>
      <c r="AP50" s="947"/>
      <c r="AQ50" s="947"/>
      <c r="AR50" s="947"/>
      <c r="AS50" s="947"/>
      <c r="AT50" s="947"/>
      <c r="AU50" s="993"/>
      <c r="AV50" s="947"/>
      <c r="AW50" s="947"/>
      <c r="AX50" s="947"/>
      <c r="AY50" s="947"/>
      <c r="AZ50" s="947"/>
      <c r="BA50" s="947"/>
      <c r="BB50" s="947"/>
      <c r="BC50" s="947"/>
      <c r="BD50" s="947"/>
      <c r="BE50" s="947"/>
      <c r="BF50" s="947"/>
      <c r="BG50" s="947"/>
      <c r="BH50" s="947"/>
      <c r="BI50" s="947"/>
      <c r="BJ50" s="947"/>
      <c r="BK50" s="947"/>
      <c r="BL50" s="947"/>
      <c r="BM50" s="947"/>
      <c r="BN50" s="947"/>
      <c r="BO50" s="947"/>
      <c r="BP50" s="947"/>
      <c r="BQ50" s="947"/>
      <c r="BR50" s="947"/>
      <c r="BS50" s="947"/>
      <c r="BT50" s="947"/>
      <c r="BU50" s="947"/>
      <c r="BV50" s="947"/>
      <c r="BW50" s="947"/>
      <c r="BX50" s="947"/>
      <c r="BY50" s="947"/>
      <c r="BZ50" s="947"/>
      <c r="CA50" s="947"/>
      <c r="CB50" s="947"/>
      <c r="CC50" s="947"/>
      <c r="CD50" s="947"/>
      <c r="CE50" s="947"/>
      <c r="CF50" s="947"/>
      <c r="CG50" s="947"/>
      <c r="CH50" s="947"/>
      <c r="CI50" s="947"/>
      <c r="CJ50" s="947"/>
      <c r="CK50" s="947"/>
      <c r="CL50" s="947"/>
      <c r="CM50" s="947"/>
      <c r="CN50" s="947"/>
      <c r="CO50" s="947"/>
      <c r="CP50" s="947"/>
      <c r="CQ50" s="947"/>
      <c r="CR50" s="947"/>
      <c r="CS50" s="947"/>
      <c r="CT50" s="947"/>
      <c r="CU50" s="947"/>
      <c r="CV50" s="947"/>
      <c r="CW50" s="947"/>
      <c r="CX50" s="947"/>
      <c r="CY50" s="947"/>
      <c r="CZ50" s="947"/>
      <c r="DA50" s="947"/>
      <c r="DB50" s="947"/>
      <c r="DC50" s="947"/>
      <c r="DD50" s="947"/>
      <c r="DE50" s="947"/>
      <c r="DF50" s="947"/>
      <c r="DG50" s="947"/>
      <c r="DH50" s="947"/>
      <c r="DI50" s="947"/>
      <c r="DJ50" s="947"/>
      <c r="DK50" s="947"/>
      <c r="DL50" s="947"/>
      <c r="DM50" s="947"/>
      <c r="DN50" s="947"/>
      <c r="DO50" s="947"/>
      <c r="DP50" s="947"/>
      <c r="DQ50" s="947"/>
      <c r="DR50" s="947"/>
      <c r="DS50" s="947"/>
      <c r="DT50" s="947"/>
      <c r="DU50" s="971"/>
    </row>
    <row r="51" spans="2:125" x14ac:dyDescent="0.2">
      <c r="B51" s="947"/>
      <c r="C51" s="947"/>
      <c r="D51" s="947"/>
      <c r="E51" s="947"/>
      <c r="F51" s="947"/>
      <c r="G51" s="947"/>
      <c r="H51" s="947"/>
      <c r="I51" s="947"/>
      <c r="J51" s="947"/>
      <c r="K51" s="947"/>
      <c r="L51" s="947"/>
      <c r="M51" s="947"/>
      <c r="N51" s="947"/>
      <c r="O51" s="947"/>
      <c r="P51" s="947"/>
      <c r="Q51" s="947"/>
      <c r="R51" s="947"/>
      <c r="S51" s="947"/>
      <c r="T51" s="947"/>
      <c r="U51" s="947"/>
      <c r="V51" s="947"/>
      <c r="W51" s="947"/>
      <c r="X51" s="947"/>
      <c r="Y51" s="954" t="s">
        <v>1097</v>
      </c>
      <c r="Z51" s="993"/>
      <c r="AA51" s="1033">
        <f ca="1">(AA50)/G10</f>
        <v>84.698295973245905</v>
      </c>
      <c r="AB51" s="1034"/>
      <c r="AC51" s="947"/>
      <c r="AD51" s="947"/>
      <c r="AE51" s="947"/>
      <c r="AF51" s="947"/>
      <c r="AG51" s="947"/>
      <c r="AH51" s="947"/>
      <c r="AI51" s="947"/>
      <c r="AJ51" s="947"/>
      <c r="AK51" s="947"/>
      <c r="AL51" s="947"/>
      <c r="AM51" s="947"/>
      <c r="AN51" s="947"/>
      <c r="AO51" s="947"/>
      <c r="AP51" s="947"/>
      <c r="AQ51" s="947"/>
      <c r="AR51" s="947"/>
      <c r="AS51" s="947"/>
      <c r="AT51" s="947"/>
      <c r="AU51" s="947"/>
      <c r="AV51" s="947"/>
      <c r="AW51" s="947"/>
      <c r="AX51" s="947"/>
      <c r="AY51" s="947"/>
      <c r="AZ51" s="947"/>
      <c r="BA51" s="947"/>
      <c r="BB51" s="947"/>
      <c r="BC51" s="947"/>
      <c r="BD51" s="947"/>
      <c r="BE51" s="947"/>
      <c r="BF51" s="947"/>
      <c r="BG51" s="947"/>
      <c r="BH51" s="947"/>
      <c r="BI51" s="947"/>
      <c r="BJ51" s="947"/>
      <c r="BK51" s="947"/>
      <c r="BL51" s="947"/>
      <c r="BM51" s="947"/>
      <c r="BN51" s="947"/>
      <c r="BO51" s="947"/>
      <c r="BP51" s="947"/>
      <c r="BQ51" s="947"/>
      <c r="BR51" s="947"/>
      <c r="BS51" s="947"/>
      <c r="BT51" s="947"/>
      <c r="BU51" s="947"/>
      <c r="BV51" s="947"/>
      <c r="BW51" s="947"/>
      <c r="BX51" s="947"/>
      <c r="BY51" s="947"/>
      <c r="BZ51" s="947"/>
      <c r="CA51" s="947"/>
      <c r="CB51" s="947"/>
      <c r="CC51" s="947"/>
      <c r="CD51" s="947"/>
      <c r="CE51" s="947"/>
      <c r="CF51" s="947"/>
      <c r="CG51" s="947"/>
      <c r="CH51" s="947"/>
      <c r="CI51" s="947"/>
      <c r="CJ51" s="947"/>
      <c r="CK51" s="947"/>
      <c r="CL51" s="947"/>
      <c r="CM51" s="947"/>
      <c r="CN51" s="947"/>
      <c r="CO51" s="947"/>
      <c r="CP51" s="947"/>
      <c r="CQ51" s="947"/>
      <c r="CR51" s="947"/>
      <c r="CS51" s="947"/>
      <c r="CT51" s="947"/>
      <c r="CU51" s="947"/>
      <c r="CV51" s="947"/>
      <c r="CW51" s="947"/>
      <c r="CX51" s="947"/>
      <c r="CY51" s="947"/>
      <c r="CZ51" s="947"/>
      <c r="DA51" s="947"/>
      <c r="DB51" s="947"/>
      <c r="DC51" s="947"/>
      <c r="DD51" s="947"/>
      <c r="DE51" s="947"/>
      <c r="DF51" s="947"/>
      <c r="DG51" s="947"/>
      <c r="DH51" s="947"/>
      <c r="DI51" s="947"/>
      <c r="DJ51" s="947"/>
      <c r="DK51" s="947"/>
      <c r="DL51" s="947"/>
      <c r="DM51" s="947"/>
      <c r="DN51" s="947"/>
      <c r="DO51" s="947"/>
      <c r="DP51" s="947"/>
      <c r="DQ51" s="947"/>
      <c r="DR51" s="947"/>
      <c r="DS51" s="947"/>
      <c r="DT51" s="947"/>
      <c r="DU51" s="971"/>
    </row>
    <row r="52" spans="2:125" x14ac:dyDescent="0.2">
      <c r="B52" s="944"/>
      <c r="C52" s="944"/>
      <c r="D52" s="1035"/>
      <c r="E52" s="947"/>
      <c r="F52" s="947"/>
      <c r="G52" s="947"/>
      <c r="H52" s="947"/>
      <c r="I52" s="947"/>
      <c r="J52" s="947"/>
      <c r="K52" s="947"/>
      <c r="L52" s="947"/>
      <c r="M52" s="947"/>
      <c r="N52" s="947"/>
      <c r="O52" s="947"/>
      <c r="P52" s="947"/>
      <c r="Q52" s="947"/>
      <c r="R52" s="947"/>
      <c r="S52" s="947"/>
      <c r="T52" s="947"/>
      <c r="U52" s="947"/>
      <c r="V52" s="947"/>
      <c r="W52" s="947"/>
      <c r="X52" s="947"/>
      <c r="Y52" s="954" t="s">
        <v>1098</v>
      </c>
      <c r="Z52" s="949"/>
      <c r="AA52" s="1036">
        <f ca="1">AA51*(1+cost_of_capital/100)-G8</f>
        <v>92.558632252282891</v>
      </c>
      <c r="AB52" s="993"/>
      <c r="AC52" s="947"/>
      <c r="AD52" s="947"/>
      <c r="AE52" s="947"/>
      <c r="AF52" s="947"/>
      <c r="AG52" s="947"/>
      <c r="AH52" s="947"/>
      <c r="AI52" s="947"/>
      <c r="AJ52" s="947"/>
      <c r="AK52" s="947"/>
      <c r="AL52" s="947"/>
      <c r="AM52" s="947"/>
      <c r="AN52" s="947"/>
      <c r="AO52" s="947"/>
      <c r="AP52" s="947"/>
      <c r="AQ52" s="947"/>
      <c r="AR52" s="947"/>
      <c r="AS52" s="947"/>
      <c r="AT52" s="947"/>
      <c r="AU52" s="947"/>
      <c r="AV52" s="947"/>
      <c r="AW52" s="947"/>
      <c r="AX52" s="947"/>
      <c r="AY52" s="947"/>
      <c r="AZ52" s="947"/>
      <c r="BA52" s="947"/>
      <c r="BB52" s="947"/>
      <c r="BC52" s="947"/>
      <c r="BD52" s="947"/>
      <c r="BE52" s="947"/>
      <c r="BF52" s="947"/>
      <c r="BG52" s="947"/>
      <c r="BH52" s="947"/>
      <c r="BI52" s="947"/>
      <c r="BJ52" s="947"/>
      <c r="BK52" s="947"/>
      <c r="BL52" s="947"/>
      <c r="BM52" s="947"/>
      <c r="BN52" s="947"/>
      <c r="BO52" s="947"/>
      <c r="BP52" s="947"/>
      <c r="BQ52" s="947"/>
      <c r="BR52" s="947"/>
      <c r="BS52" s="947"/>
      <c r="BT52" s="947"/>
      <c r="BU52" s="947"/>
      <c r="BV52" s="947"/>
      <c r="BW52" s="947"/>
      <c r="BX52" s="947"/>
      <c r="BY52" s="947"/>
      <c r="BZ52" s="947"/>
      <c r="CA52" s="947"/>
      <c r="CB52" s="947"/>
      <c r="CC52" s="947"/>
      <c r="CD52" s="947"/>
      <c r="CE52" s="947"/>
      <c r="CF52" s="947"/>
      <c r="CG52" s="947"/>
      <c r="CH52" s="947"/>
      <c r="CI52" s="947"/>
      <c r="CJ52" s="947"/>
      <c r="CK52" s="947"/>
      <c r="CL52" s="947"/>
      <c r="CM52" s="947"/>
      <c r="CN52" s="947"/>
      <c r="CO52" s="947"/>
      <c r="CP52" s="947"/>
      <c r="CQ52" s="947"/>
      <c r="CR52" s="947"/>
      <c r="CS52" s="947"/>
      <c r="CT52" s="947"/>
      <c r="CU52" s="947"/>
      <c r="CV52" s="947"/>
      <c r="CW52" s="947"/>
      <c r="CX52" s="947"/>
      <c r="CY52" s="947"/>
      <c r="CZ52" s="947"/>
      <c r="DA52" s="947"/>
      <c r="DB52" s="947"/>
      <c r="DC52" s="947"/>
      <c r="DD52" s="947"/>
      <c r="DE52" s="947"/>
      <c r="DF52" s="947"/>
      <c r="DG52" s="947"/>
      <c r="DH52" s="947"/>
      <c r="DI52" s="947"/>
      <c r="DJ52" s="947"/>
      <c r="DK52" s="947"/>
      <c r="DL52" s="947"/>
      <c r="DM52" s="947"/>
      <c r="DN52" s="947"/>
      <c r="DO52" s="947"/>
      <c r="DP52" s="947"/>
      <c r="DQ52" s="947"/>
      <c r="DR52" s="947"/>
      <c r="DS52" s="947"/>
      <c r="DT52" s="947"/>
      <c r="DU52" s="971"/>
    </row>
    <row r="53" spans="2:125" ht="12" thickBot="1" x14ac:dyDescent="0.25">
      <c r="B53" s="944"/>
      <c r="C53" s="944"/>
      <c r="D53" s="1037"/>
      <c r="E53" s="947"/>
      <c r="F53" s="947"/>
      <c r="G53" s="947"/>
      <c r="H53" s="947"/>
      <c r="I53" s="947"/>
      <c r="J53" s="947"/>
      <c r="K53" s="947"/>
      <c r="L53" s="947"/>
      <c r="M53" s="947"/>
      <c r="N53" s="947"/>
      <c r="O53" s="947"/>
      <c r="P53" s="947"/>
      <c r="Q53" s="947"/>
      <c r="R53" s="947"/>
      <c r="S53" s="947"/>
      <c r="T53" s="947"/>
      <c r="U53" s="947"/>
      <c r="V53" s="947"/>
      <c r="W53" s="947"/>
      <c r="X53" s="947"/>
      <c r="Y53" s="954" t="s">
        <v>1099</v>
      </c>
      <c r="Z53" s="949"/>
      <c r="AA53" s="1038">
        <f ca="1">((AA52+G8)/G9-1)*100</f>
        <v>32.486455784090793</v>
      </c>
      <c r="AB53" s="993"/>
      <c r="AC53" s="947"/>
      <c r="AD53" s="947"/>
      <c r="AE53" s="947"/>
      <c r="AF53" s="947"/>
      <c r="AG53" s="947"/>
      <c r="AH53" s="947"/>
      <c r="AI53" s="947"/>
      <c r="AJ53" s="947"/>
      <c r="AK53" s="947"/>
      <c r="AL53" s="947"/>
      <c r="AM53" s="947"/>
      <c r="AN53" s="947"/>
      <c r="AO53" s="947"/>
      <c r="AP53" s="947"/>
      <c r="AQ53" s="947"/>
      <c r="AR53" s="947"/>
      <c r="AS53" s="947"/>
      <c r="AT53" s="947"/>
      <c r="AU53" s="947"/>
      <c r="AV53" s="947"/>
      <c r="AW53" s="947"/>
      <c r="AX53" s="947"/>
      <c r="AY53" s="947"/>
      <c r="AZ53" s="947"/>
      <c r="BA53" s="947"/>
      <c r="BB53" s="947"/>
      <c r="BC53" s="947"/>
      <c r="BD53" s="947"/>
      <c r="BE53" s="947"/>
      <c r="BF53" s="947"/>
      <c r="BG53" s="947"/>
      <c r="BH53" s="947"/>
      <c r="BI53" s="947"/>
      <c r="BJ53" s="947"/>
      <c r="BK53" s="947"/>
      <c r="BL53" s="947"/>
      <c r="BM53" s="947"/>
      <c r="BN53" s="947"/>
      <c r="BO53" s="947"/>
      <c r="BP53" s="947"/>
      <c r="BQ53" s="947"/>
      <c r="BR53" s="947"/>
      <c r="BS53" s="947"/>
      <c r="BT53" s="947"/>
      <c r="BU53" s="947"/>
      <c r="BV53" s="947"/>
      <c r="BW53" s="947"/>
      <c r="BX53" s="947"/>
      <c r="BY53" s="947"/>
      <c r="BZ53" s="947"/>
      <c r="CA53" s="947"/>
      <c r="CB53" s="947"/>
      <c r="CC53" s="947"/>
      <c r="CD53" s="947"/>
      <c r="CE53" s="947"/>
      <c r="CF53" s="947"/>
      <c r="CG53" s="947"/>
      <c r="CH53" s="947"/>
      <c r="CI53" s="947"/>
      <c r="CJ53" s="947"/>
      <c r="CK53" s="947"/>
      <c r="CL53" s="947"/>
      <c r="CM53" s="947"/>
      <c r="CN53" s="947"/>
      <c r="CO53" s="947"/>
      <c r="CP53" s="947"/>
      <c r="CQ53" s="947"/>
      <c r="CR53" s="947"/>
      <c r="CS53" s="947"/>
      <c r="CT53" s="947"/>
      <c r="CU53" s="947"/>
      <c r="CV53" s="947"/>
      <c r="CW53" s="947"/>
      <c r="CX53" s="947"/>
      <c r="CY53" s="947"/>
      <c r="CZ53" s="947"/>
      <c r="DA53" s="947"/>
      <c r="DB53" s="947"/>
      <c r="DC53" s="947"/>
      <c r="DD53" s="947"/>
      <c r="DE53" s="947"/>
      <c r="DF53" s="947"/>
      <c r="DG53" s="947"/>
      <c r="DH53" s="947"/>
      <c r="DI53" s="947"/>
      <c r="DJ53" s="947"/>
      <c r="DK53" s="947"/>
      <c r="DL53" s="947"/>
      <c r="DM53" s="947"/>
      <c r="DN53" s="947"/>
      <c r="DO53" s="947"/>
      <c r="DP53" s="947"/>
      <c r="DQ53" s="947"/>
      <c r="DR53" s="947"/>
      <c r="DS53" s="947"/>
      <c r="DT53" s="947"/>
      <c r="DU53" s="971"/>
    </row>
    <row r="54" spans="2:125" x14ac:dyDescent="0.2">
      <c r="B54" s="944"/>
      <c r="C54" s="944"/>
      <c r="D54" s="1039"/>
      <c r="E54" s="947"/>
      <c r="F54" s="947"/>
      <c r="G54" s="947"/>
      <c r="H54" s="947"/>
      <c r="I54" s="947"/>
      <c r="J54" s="947"/>
      <c r="K54" s="947"/>
      <c r="L54" s="947"/>
      <c r="M54" s="947"/>
      <c r="N54" s="947"/>
      <c r="O54" s="947"/>
      <c r="P54" s="947"/>
      <c r="Q54" s="947"/>
      <c r="R54" s="947"/>
      <c r="S54" s="947"/>
      <c r="T54" s="947"/>
      <c r="U54" s="947"/>
      <c r="V54" s="947"/>
      <c r="W54" s="947"/>
      <c r="X54" s="947"/>
      <c r="Y54" s="943"/>
      <c r="Z54" s="943"/>
      <c r="AA54" s="943"/>
      <c r="AB54" s="943"/>
      <c r="AC54" s="943"/>
      <c r="AD54" s="943"/>
      <c r="AE54" s="943"/>
      <c r="AF54" s="943"/>
      <c r="AG54" s="943"/>
      <c r="AH54" s="943"/>
      <c r="AI54" s="943"/>
      <c r="AJ54" s="943"/>
      <c r="AK54" s="943"/>
      <c r="AL54" s="943"/>
      <c r="AM54" s="943"/>
      <c r="AN54" s="943"/>
      <c r="AO54" s="943"/>
      <c r="AP54" s="943"/>
      <c r="AQ54" s="943"/>
      <c r="AR54" s="943"/>
      <c r="AS54" s="943"/>
      <c r="AT54" s="943"/>
      <c r="AU54" s="943"/>
      <c r="AV54" s="943"/>
      <c r="AW54" s="943"/>
      <c r="AX54" s="943"/>
      <c r="AY54" s="943"/>
      <c r="AZ54" s="943"/>
      <c r="BA54" s="943"/>
      <c r="BB54" s="943"/>
      <c r="BC54" s="943"/>
      <c r="BD54" s="943"/>
      <c r="BE54" s="943"/>
      <c r="BF54" s="943"/>
      <c r="BG54" s="943"/>
      <c r="BH54" s="943"/>
      <c r="BI54" s="943"/>
      <c r="BJ54" s="943"/>
      <c r="BK54" s="943"/>
      <c r="BL54" s="943"/>
      <c r="BM54" s="943"/>
      <c r="BN54" s="943"/>
      <c r="BO54" s="943"/>
      <c r="BP54" s="943"/>
      <c r="BQ54" s="943"/>
      <c r="BR54" s="943"/>
      <c r="BS54" s="943"/>
      <c r="BT54" s="943"/>
      <c r="BU54" s="943"/>
      <c r="BV54" s="943"/>
      <c r="BW54" s="943"/>
      <c r="BX54" s="943"/>
      <c r="BY54" s="943"/>
      <c r="BZ54" s="943"/>
      <c r="CA54" s="943"/>
      <c r="CB54" s="943"/>
      <c r="CC54" s="943"/>
      <c r="CD54" s="943"/>
      <c r="CE54" s="943"/>
      <c r="CF54" s="943"/>
      <c r="CG54" s="943"/>
      <c r="CH54" s="943"/>
      <c r="CI54" s="943"/>
      <c r="CJ54" s="943"/>
      <c r="CK54" s="943"/>
      <c r="CL54" s="943"/>
      <c r="CM54" s="943"/>
      <c r="CN54" s="943"/>
      <c r="CO54" s="943"/>
      <c r="CP54" s="943"/>
      <c r="CQ54" s="943"/>
      <c r="CR54" s="943"/>
      <c r="CS54" s="943"/>
      <c r="CT54" s="943"/>
      <c r="CU54" s="943"/>
      <c r="CV54" s="943"/>
      <c r="CW54" s="943"/>
      <c r="CX54" s="943"/>
      <c r="CY54" s="943"/>
      <c r="CZ54" s="943"/>
      <c r="DA54" s="943"/>
      <c r="DB54" s="943"/>
      <c r="DC54" s="943"/>
      <c r="DD54" s="943"/>
      <c r="DE54" s="943"/>
      <c r="DF54" s="943"/>
      <c r="DG54" s="943"/>
      <c r="DH54" s="943"/>
      <c r="DI54" s="943"/>
      <c r="DJ54" s="943"/>
      <c r="DK54" s="943"/>
      <c r="DL54" s="943"/>
      <c r="DM54" s="943"/>
      <c r="DN54" s="943"/>
      <c r="DO54" s="943"/>
      <c r="DP54" s="943"/>
      <c r="DQ54" s="943"/>
      <c r="DR54" s="943"/>
      <c r="DS54" s="943"/>
      <c r="DT54" s="943"/>
      <c r="DU54" s="1032"/>
    </row>
    <row r="55" spans="2:125" x14ac:dyDescent="0.2">
      <c r="B55" s="944"/>
      <c r="C55" s="944"/>
      <c r="D55" s="1040"/>
      <c r="E55" s="947"/>
      <c r="F55" s="947"/>
      <c r="G55" s="947"/>
      <c r="H55" s="947"/>
      <c r="I55" s="947"/>
      <c r="J55" s="947"/>
      <c r="K55" s="947"/>
      <c r="L55" s="947"/>
      <c r="M55" s="947"/>
      <c r="N55" s="947"/>
      <c r="O55" s="947"/>
      <c r="P55" s="947"/>
      <c r="Q55" s="947"/>
      <c r="R55" s="947"/>
      <c r="S55" s="947"/>
      <c r="T55" s="947"/>
      <c r="U55" s="947"/>
      <c r="V55" s="947"/>
      <c r="W55" s="947"/>
      <c r="X55" s="947"/>
      <c r="Y55" s="947"/>
      <c r="Z55" s="947"/>
      <c r="AA55" s="947"/>
      <c r="AB55" s="947"/>
      <c r="AC55" s="947"/>
      <c r="AD55" s="947"/>
      <c r="AE55" s="947"/>
      <c r="AF55" s="947"/>
      <c r="AG55" s="947"/>
      <c r="AH55" s="947"/>
      <c r="AI55" s="947"/>
      <c r="AJ55" s="947"/>
      <c r="AK55" s="947"/>
      <c r="AL55" s="947"/>
      <c r="AM55" s="947"/>
      <c r="AN55" s="947"/>
      <c r="AO55" s="947"/>
      <c r="AP55" s="947"/>
      <c r="AQ55" s="947"/>
      <c r="AR55" s="947"/>
      <c r="AS55" s="947"/>
      <c r="AT55" s="947"/>
      <c r="AU55" s="947"/>
      <c r="AV55" s="947"/>
      <c r="AW55" s="947"/>
      <c r="AX55" s="947"/>
      <c r="AY55" s="947"/>
      <c r="AZ55" s="947"/>
      <c r="BA55" s="947"/>
      <c r="BB55" s="947"/>
      <c r="BC55" s="947"/>
      <c r="BD55" s="947"/>
      <c r="BE55" s="947"/>
      <c r="BF55" s="947"/>
      <c r="BG55" s="947"/>
      <c r="BH55" s="947"/>
      <c r="BI55" s="947"/>
      <c r="BJ55" s="947"/>
      <c r="BK55" s="947"/>
      <c r="BL55" s="947"/>
      <c r="BM55" s="947"/>
      <c r="BN55" s="947"/>
      <c r="BO55" s="947"/>
      <c r="BP55" s="947"/>
      <c r="BQ55" s="947"/>
      <c r="BR55" s="947"/>
      <c r="BS55" s="947"/>
      <c r="BT55" s="947"/>
      <c r="BU55" s="947"/>
      <c r="BV55" s="947"/>
      <c r="BW55" s="947"/>
      <c r="BX55" s="947"/>
      <c r="BY55" s="947"/>
      <c r="BZ55" s="947"/>
      <c r="CA55" s="947"/>
      <c r="CB55" s="947"/>
      <c r="CC55" s="947"/>
      <c r="CD55" s="947"/>
      <c r="CE55" s="947"/>
      <c r="CF55" s="947"/>
      <c r="CG55" s="947"/>
      <c r="CH55" s="947"/>
      <c r="CI55" s="947"/>
      <c r="CJ55" s="947"/>
      <c r="CK55" s="947"/>
      <c r="CL55" s="947"/>
      <c r="CM55" s="947"/>
      <c r="CN55" s="947"/>
      <c r="CO55" s="947"/>
      <c r="CP55" s="947"/>
      <c r="CQ55" s="947"/>
      <c r="CR55" s="947"/>
      <c r="CS55" s="947"/>
      <c r="CT55" s="947"/>
      <c r="CU55" s="947"/>
      <c r="CV55" s="947"/>
      <c r="CW55" s="947"/>
      <c r="CX55" s="947"/>
      <c r="CY55" s="947"/>
      <c r="CZ55" s="947"/>
      <c r="DA55" s="947"/>
      <c r="DB55" s="947"/>
      <c r="DC55" s="947"/>
      <c r="DD55" s="947"/>
      <c r="DE55" s="947"/>
      <c r="DF55" s="947"/>
      <c r="DG55" s="947"/>
      <c r="DH55" s="947"/>
      <c r="DI55" s="947"/>
      <c r="DJ55" s="947"/>
      <c r="DK55" s="947"/>
      <c r="DL55" s="947"/>
      <c r="DM55" s="947"/>
      <c r="DN55" s="947"/>
      <c r="DO55" s="947"/>
      <c r="DP55" s="947"/>
      <c r="DQ55" s="947"/>
      <c r="DR55" s="947"/>
      <c r="DS55" s="947"/>
      <c r="DT55" s="947"/>
      <c r="DU55" s="971"/>
    </row>
    <row r="56" spans="2:125" x14ac:dyDescent="0.2">
      <c r="B56" s="944"/>
      <c r="C56" s="944"/>
      <c r="D56" s="1041"/>
      <c r="E56" s="947"/>
      <c r="F56" s="947"/>
      <c r="G56" s="947"/>
      <c r="H56" s="947"/>
      <c r="I56" s="947"/>
      <c r="J56" s="947"/>
      <c r="K56" s="947"/>
      <c r="L56" s="947"/>
      <c r="M56" s="947"/>
      <c r="N56" s="947"/>
      <c r="O56" s="947"/>
      <c r="P56" s="947"/>
      <c r="Q56" s="947"/>
      <c r="R56" s="947"/>
      <c r="S56" s="947"/>
      <c r="T56" s="947"/>
      <c r="U56" s="947"/>
      <c r="V56" s="947"/>
      <c r="W56" s="947"/>
      <c r="X56" s="947"/>
      <c r="Y56" s="1042" t="s">
        <v>1100</v>
      </c>
      <c r="Z56" s="1043"/>
      <c r="AA56" s="984"/>
      <c r="AB56" s="984"/>
      <c r="AC56" s="984"/>
      <c r="AD56" s="984"/>
      <c r="AE56" s="984"/>
      <c r="AF56" s="984"/>
      <c r="AG56" s="984"/>
      <c r="AH56" s="984"/>
      <c r="AI56" s="984"/>
      <c r="AJ56" s="984"/>
      <c r="AK56" s="984"/>
      <c r="AL56" s="984"/>
      <c r="AM56" s="984"/>
      <c r="AN56" s="984"/>
      <c r="AO56" s="984"/>
      <c r="AP56" s="984"/>
      <c r="AQ56" s="984"/>
      <c r="AR56" s="984"/>
      <c r="AS56" s="984"/>
      <c r="AT56" s="984"/>
      <c r="AU56" s="984"/>
      <c r="AV56" s="984"/>
      <c r="AW56" s="984"/>
      <c r="AX56" s="984"/>
      <c r="AY56" s="984"/>
      <c r="AZ56" s="984"/>
      <c r="BA56" s="984"/>
      <c r="BB56" s="984"/>
      <c r="BC56" s="984"/>
      <c r="BD56" s="984"/>
      <c r="BE56" s="984"/>
      <c r="BF56" s="984"/>
      <c r="BG56" s="984"/>
      <c r="BH56" s="984"/>
      <c r="BI56" s="984"/>
      <c r="BJ56" s="984"/>
      <c r="BK56" s="984"/>
      <c r="BL56" s="984"/>
      <c r="BM56" s="984"/>
      <c r="BN56" s="984"/>
      <c r="BO56" s="984"/>
      <c r="BP56" s="984"/>
      <c r="BQ56" s="984"/>
      <c r="BR56" s="984"/>
      <c r="BS56" s="984"/>
      <c r="BT56" s="984"/>
      <c r="BU56" s="984"/>
      <c r="BV56" s="984"/>
      <c r="BW56" s="984"/>
      <c r="BX56" s="1044"/>
      <c r="BY56" s="947"/>
      <c r="BZ56" s="947"/>
      <c r="CA56" s="947"/>
      <c r="CB56" s="947"/>
      <c r="CC56" s="947"/>
      <c r="CD56" s="947"/>
      <c r="CE56" s="947"/>
      <c r="CF56" s="947"/>
      <c r="CG56" s="947"/>
      <c r="CH56" s="947"/>
      <c r="CI56" s="947"/>
      <c r="CJ56" s="947"/>
      <c r="CK56" s="947"/>
      <c r="CL56" s="947"/>
      <c r="CM56" s="947"/>
      <c r="CN56" s="947"/>
      <c r="CO56" s="947"/>
      <c r="CP56" s="947"/>
      <c r="CQ56" s="947"/>
      <c r="CR56" s="947"/>
      <c r="CS56" s="947"/>
      <c r="CT56" s="947"/>
      <c r="CU56" s="947"/>
      <c r="CV56" s="947"/>
      <c r="CW56" s="947"/>
      <c r="CX56" s="947"/>
      <c r="CY56" s="947"/>
      <c r="CZ56" s="947"/>
      <c r="DA56" s="947"/>
      <c r="DB56" s="947"/>
      <c r="DC56" s="947"/>
      <c r="DD56" s="947"/>
      <c r="DE56" s="947"/>
      <c r="DF56" s="947"/>
      <c r="DG56" s="947"/>
      <c r="DH56" s="947"/>
      <c r="DI56" s="947"/>
      <c r="DJ56" s="947"/>
      <c r="DK56" s="947"/>
      <c r="DL56" s="947"/>
      <c r="DM56" s="947"/>
      <c r="DN56" s="947"/>
      <c r="DO56" s="947"/>
      <c r="DP56" s="947"/>
      <c r="DQ56" s="947"/>
      <c r="DR56" s="947"/>
      <c r="DS56" s="947"/>
      <c r="DT56" s="947"/>
      <c r="DU56" s="947"/>
    </row>
    <row r="57" spans="2:125" x14ac:dyDescent="0.2">
      <c r="B57" s="944"/>
      <c r="C57" s="944"/>
      <c r="D57" s="1041"/>
      <c r="E57" s="947"/>
      <c r="F57" s="947"/>
      <c r="G57" s="947"/>
      <c r="H57" s="947"/>
      <c r="I57" s="947"/>
      <c r="J57" s="947"/>
      <c r="K57" s="947"/>
      <c r="L57" s="947"/>
      <c r="M57" s="947"/>
      <c r="N57" s="947"/>
      <c r="O57" s="947"/>
      <c r="P57" s="947"/>
      <c r="Q57" s="947"/>
      <c r="R57" s="947"/>
      <c r="S57" s="947"/>
      <c r="T57" s="947"/>
      <c r="U57" s="947"/>
      <c r="V57" s="947"/>
      <c r="W57" s="947"/>
      <c r="X57" s="947"/>
      <c r="Y57" s="977" t="s">
        <v>1101</v>
      </c>
      <c r="Z57" s="992"/>
      <c r="AA57" s="992">
        <f ca="1">IF(ISNUMBER(MATCH(99,Z46:DU46,1)),MATCH(99,Z46:DU46,1),25)</f>
        <v>7</v>
      </c>
      <c r="AB57" s="948"/>
      <c r="AC57" s="948"/>
      <c r="AD57" s="947"/>
      <c r="AE57" s="947"/>
      <c r="AF57" s="947"/>
      <c r="AG57" s="947"/>
      <c r="AH57" s="947"/>
      <c r="AI57" s="947"/>
      <c r="AJ57" s="947"/>
      <c r="AK57" s="947"/>
      <c r="AL57" s="947"/>
      <c r="AM57" s="947"/>
      <c r="AN57" s="947"/>
      <c r="AO57" s="947"/>
      <c r="AP57" s="947"/>
      <c r="AQ57" s="947"/>
      <c r="AR57" s="947"/>
      <c r="AS57" s="947"/>
      <c r="AT57" s="947"/>
      <c r="AU57" s="947"/>
      <c r="AV57" s="947"/>
      <c r="AW57" s="947"/>
      <c r="AX57" s="947"/>
      <c r="AY57" s="947"/>
      <c r="AZ57" s="947"/>
      <c r="BA57" s="947"/>
      <c r="BB57" s="947"/>
      <c r="BC57" s="947"/>
      <c r="BD57" s="947"/>
      <c r="BE57" s="947"/>
      <c r="BF57" s="947"/>
      <c r="BG57" s="947"/>
      <c r="BH57" s="947"/>
      <c r="BI57" s="947"/>
      <c r="BJ57" s="947"/>
      <c r="BK57" s="947"/>
      <c r="BL57" s="947"/>
      <c r="BM57" s="947"/>
      <c r="BN57" s="947"/>
      <c r="BO57" s="947"/>
      <c r="BP57" s="947"/>
      <c r="BQ57" s="947"/>
      <c r="BR57" s="947"/>
      <c r="BS57" s="947"/>
      <c r="BT57" s="947"/>
      <c r="BU57" s="947"/>
      <c r="BV57" s="947"/>
      <c r="BW57" s="947"/>
      <c r="BX57" s="971"/>
      <c r="BY57" s="947"/>
      <c r="BZ57" s="947"/>
      <c r="CA57" s="947"/>
      <c r="CB57" s="947"/>
      <c r="CC57" s="947"/>
      <c r="CD57" s="947"/>
      <c r="CE57" s="947"/>
      <c r="CF57" s="947"/>
      <c r="CG57" s="947"/>
      <c r="CH57" s="947"/>
      <c r="CI57" s="947"/>
      <c r="CJ57" s="947"/>
      <c r="CK57" s="947"/>
      <c r="CL57" s="947"/>
      <c r="CM57" s="947"/>
      <c r="CN57" s="947"/>
      <c r="CO57" s="947"/>
      <c r="CP57" s="947"/>
      <c r="CQ57" s="947"/>
      <c r="CR57" s="947"/>
      <c r="CS57" s="947"/>
      <c r="CT57" s="947"/>
      <c r="CU57" s="947"/>
      <c r="CV57" s="947"/>
      <c r="CW57" s="947"/>
      <c r="CX57" s="947"/>
      <c r="CY57" s="947"/>
      <c r="CZ57" s="947"/>
      <c r="DA57" s="947"/>
      <c r="DB57" s="947"/>
      <c r="DC57" s="947"/>
      <c r="DD57" s="947"/>
      <c r="DE57" s="947"/>
      <c r="DF57" s="947"/>
      <c r="DG57" s="947"/>
      <c r="DH57" s="947"/>
      <c r="DI57" s="947"/>
      <c r="DJ57" s="947"/>
      <c r="DK57" s="947"/>
      <c r="DL57" s="947"/>
      <c r="DM57" s="947"/>
      <c r="DN57" s="947"/>
      <c r="DO57" s="947"/>
      <c r="DP57" s="947"/>
      <c r="DQ57" s="947"/>
      <c r="DR57" s="947"/>
      <c r="DS57" s="947"/>
      <c r="DT57" s="947"/>
      <c r="DU57" s="947"/>
    </row>
    <row r="58" spans="2:125" x14ac:dyDescent="0.2">
      <c r="B58" s="944"/>
      <c r="C58" s="944"/>
      <c r="D58" s="1045"/>
      <c r="E58" s="947"/>
      <c r="F58" s="947"/>
      <c r="G58" s="947"/>
      <c r="H58" s="947"/>
      <c r="I58" s="947"/>
      <c r="J58" s="947"/>
      <c r="K58" s="947"/>
      <c r="L58" s="947"/>
      <c r="M58" s="947"/>
      <c r="N58" s="947"/>
      <c r="O58" s="947"/>
      <c r="P58" s="947"/>
      <c r="Q58" s="947"/>
      <c r="R58" s="947"/>
      <c r="S58" s="947"/>
      <c r="T58" s="947"/>
      <c r="U58" s="947"/>
      <c r="V58" s="947"/>
      <c r="W58" s="947"/>
      <c r="X58" s="947"/>
      <c r="Y58" s="977"/>
      <c r="Z58" s="944">
        <v>0</v>
      </c>
      <c r="AA58" s="944">
        <f t="shared" ref="AA58:BX58" si="63">Z58+1</f>
        <v>1</v>
      </c>
      <c r="AB58" s="944">
        <f t="shared" si="63"/>
        <v>2</v>
      </c>
      <c r="AC58" s="944">
        <f t="shared" si="63"/>
        <v>3</v>
      </c>
      <c r="AD58" s="944">
        <f t="shared" si="63"/>
        <v>4</v>
      </c>
      <c r="AE58" s="944">
        <f t="shared" si="63"/>
        <v>5</v>
      </c>
      <c r="AF58" s="944">
        <f t="shared" si="63"/>
        <v>6</v>
      </c>
      <c r="AG58" s="944">
        <f t="shared" si="63"/>
        <v>7</v>
      </c>
      <c r="AH58" s="944">
        <f t="shared" si="63"/>
        <v>8</v>
      </c>
      <c r="AI58" s="944">
        <f t="shared" si="63"/>
        <v>9</v>
      </c>
      <c r="AJ58" s="944">
        <f t="shared" si="63"/>
        <v>10</v>
      </c>
      <c r="AK58" s="944">
        <f t="shared" si="63"/>
        <v>11</v>
      </c>
      <c r="AL58" s="944">
        <f t="shared" si="63"/>
        <v>12</v>
      </c>
      <c r="AM58" s="944">
        <f t="shared" si="63"/>
        <v>13</v>
      </c>
      <c r="AN58" s="944">
        <f t="shared" si="63"/>
        <v>14</v>
      </c>
      <c r="AO58" s="944">
        <f t="shared" si="63"/>
        <v>15</v>
      </c>
      <c r="AP58" s="944">
        <f t="shared" si="63"/>
        <v>16</v>
      </c>
      <c r="AQ58" s="944">
        <f t="shared" si="63"/>
        <v>17</v>
      </c>
      <c r="AR58" s="944">
        <f t="shared" si="63"/>
        <v>18</v>
      </c>
      <c r="AS58" s="944">
        <f t="shared" si="63"/>
        <v>19</v>
      </c>
      <c r="AT58" s="944">
        <f t="shared" si="63"/>
        <v>20</v>
      </c>
      <c r="AU58" s="944">
        <f t="shared" si="63"/>
        <v>21</v>
      </c>
      <c r="AV58" s="944">
        <f t="shared" si="63"/>
        <v>22</v>
      </c>
      <c r="AW58" s="944">
        <f t="shared" si="63"/>
        <v>23</v>
      </c>
      <c r="AX58" s="944">
        <f t="shared" si="63"/>
        <v>24</v>
      </c>
      <c r="AY58" s="944">
        <f t="shared" si="63"/>
        <v>25</v>
      </c>
      <c r="AZ58" s="944">
        <f t="shared" si="63"/>
        <v>26</v>
      </c>
      <c r="BA58" s="944">
        <f t="shared" si="63"/>
        <v>27</v>
      </c>
      <c r="BB58" s="944">
        <f t="shared" si="63"/>
        <v>28</v>
      </c>
      <c r="BC58" s="944">
        <f t="shared" si="63"/>
        <v>29</v>
      </c>
      <c r="BD58" s="944">
        <f t="shared" si="63"/>
        <v>30</v>
      </c>
      <c r="BE58" s="944">
        <f t="shared" si="63"/>
        <v>31</v>
      </c>
      <c r="BF58" s="944">
        <f t="shared" si="63"/>
        <v>32</v>
      </c>
      <c r="BG58" s="944">
        <f t="shared" si="63"/>
        <v>33</v>
      </c>
      <c r="BH58" s="944">
        <f t="shared" si="63"/>
        <v>34</v>
      </c>
      <c r="BI58" s="944">
        <f t="shared" si="63"/>
        <v>35</v>
      </c>
      <c r="BJ58" s="944">
        <f t="shared" si="63"/>
        <v>36</v>
      </c>
      <c r="BK58" s="944">
        <f t="shared" si="63"/>
        <v>37</v>
      </c>
      <c r="BL58" s="944">
        <f t="shared" si="63"/>
        <v>38</v>
      </c>
      <c r="BM58" s="944">
        <f t="shared" si="63"/>
        <v>39</v>
      </c>
      <c r="BN58" s="944">
        <f t="shared" si="63"/>
        <v>40</v>
      </c>
      <c r="BO58" s="944">
        <f t="shared" si="63"/>
        <v>41</v>
      </c>
      <c r="BP58" s="944">
        <f t="shared" si="63"/>
        <v>42</v>
      </c>
      <c r="BQ58" s="944">
        <f t="shared" si="63"/>
        <v>43</v>
      </c>
      <c r="BR58" s="944">
        <f t="shared" si="63"/>
        <v>44</v>
      </c>
      <c r="BS58" s="944">
        <f t="shared" si="63"/>
        <v>45</v>
      </c>
      <c r="BT58" s="944">
        <f t="shared" si="63"/>
        <v>46</v>
      </c>
      <c r="BU58" s="944">
        <f t="shared" si="63"/>
        <v>47</v>
      </c>
      <c r="BV58" s="944">
        <f t="shared" si="63"/>
        <v>48</v>
      </c>
      <c r="BW58" s="944">
        <f t="shared" si="63"/>
        <v>49</v>
      </c>
      <c r="BX58" s="971">
        <f t="shared" si="63"/>
        <v>50</v>
      </c>
      <c r="BY58" s="947"/>
      <c r="BZ58" s="947"/>
      <c r="CA58" s="947"/>
      <c r="CB58" s="947"/>
      <c r="CC58" s="947"/>
      <c r="CD58" s="947"/>
      <c r="CE58" s="947"/>
      <c r="CF58" s="947"/>
      <c r="CG58" s="947"/>
      <c r="CH58" s="947"/>
      <c r="CI58" s="947"/>
      <c r="CJ58" s="947"/>
      <c r="CK58" s="947"/>
      <c r="CL58" s="947"/>
      <c r="CM58" s="947"/>
      <c r="CN58" s="947"/>
      <c r="CO58" s="947"/>
      <c r="CP58" s="947"/>
      <c r="CQ58" s="947"/>
      <c r="CR58" s="947"/>
      <c r="CS58" s="947"/>
      <c r="CT58" s="947"/>
      <c r="CU58" s="947"/>
      <c r="CV58" s="947"/>
      <c r="CW58" s="947"/>
      <c r="CX58" s="947"/>
      <c r="CY58" s="947"/>
      <c r="CZ58" s="947"/>
      <c r="DA58" s="947"/>
      <c r="DB58" s="947"/>
      <c r="DC58" s="947"/>
      <c r="DD58" s="947"/>
      <c r="DE58" s="947"/>
      <c r="DF58" s="947"/>
      <c r="DG58" s="947"/>
      <c r="DH58" s="947"/>
      <c r="DI58" s="947"/>
      <c r="DJ58" s="947"/>
      <c r="DK58" s="947"/>
      <c r="DL58" s="947"/>
      <c r="DM58" s="947"/>
      <c r="DN58" s="947"/>
      <c r="DO58" s="947"/>
      <c r="DP58" s="947"/>
      <c r="DQ58" s="947"/>
      <c r="DR58" s="947"/>
      <c r="DS58" s="947"/>
      <c r="DT58" s="947"/>
      <c r="DU58" s="947"/>
    </row>
    <row r="59" spans="2:125" x14ac:dyDescent="0.2">
      <c r="B59" s="947"/>
      <c r="C59" s="947"/>
      <c r="D59" s="947"/>
      <c r="E59" s="947"/>
      <c r="F59" s="947"/>
      <c r="G59" s="947"/>
      <c r="H59" s="947"/>
      <c r="I59" s="947"/>
      <c r="J59" s="947"/>
      <c r="K59" s="947"/>
      <c r="L59" s="947"/>
      <c r="M59" s="947"/>
      <c r="N59" s="947"/>
      <c r="O59" s="947"/>
      <c r="P59" s="947"/>
      <c r="Q59" s="947"/>
      <c r="R59" s="947"/>
      <c r="S59" s="947"/>
      <c r="T59" s="947"/>
      <c r="U59" s="947"/>
      <c r="V59" s="947"/>
      <c r="W59" s="947"/>
      <c r="X59" s="947"/>
      <c r="Y59" s="1031" t="s">
        <v>1102</v>
      </c>
      <c r="Z59" s="943">
        <f ca="1">COUNTIF(OFFSET($Y$40,0,1,,25),CONCATENATE("&gt;=",0))/25*100</f>
        <v>96</v>
      </c>
      <c r="AA59" s="943">
        <f ca="1">IF(AND(ISNUMBER(Z59),Z59&gt;0),COUNTIF(OFFSET($Y$40,0,1,,25),CONCATENATE("&gt;=",1))/25*100,"")</f>
        <v>96</v>
      </c>
      <c r="AB59" s="943">
        <f ca="1">IF(AND(ISNUMBER(AA59),AA59&gt;0),COUNTIF(OFFSET($Y$40,0,1,,25),CONCATENATE("&gt;=",2))/25*100,"")</f>
        <v>96</v>
      </c>
      <c r="AC59" s="943">
        <f ca="1">IF(AND(ISNUMBER(AB59),AB59&gt;0),COUNTIF(OFFSET($Y$40,0,1,,25),CONCATENATE("&gt;=",3))/25*100,"")</f>
        <v>96</v>
      </c>
      <c r="AD59" s="943">
        <f ca="1">IF(AND(ISNUMBER(AC59),AC59&gt;0),COUNTIF(OFFSET($Y$40,0,1,,25),CONCATENATE("&gt;=",4))/25*100,"")</f>
        <v>96</v>
      </c>
      <c r="AE59" s="943">
        <f ca="1">IF(AND(ISNUMBER(AD59),AD59&gt;0),COUNTIF(OFFSET($Y$40,0,1,,25),CONCATENATE("&gt;=",5))/25*100,"")</f>
        <v>96</v>
      </c>
      <c r="AF59" s="943">
        <f ca="1">IF(AND(ISNUMBER(AE59),AE59&gt;0),COUNTIF(OFFSET($Y$40,0,1,,25),CONCATENATE("&gt;=",6))/25*100,"")</f>
        <v>96</v>
      </c>
      <c r="AG59" s="943">
        <f ca="1">IF(AND(ISNUMBER(AF59),AF59&gt;0),COUNTIF(OFFSET($Y$40,0,1,,25),CONCATENATE("&gt;=",7))/25*100,"")</f>
        <v>96</v>
      </c>
      <c r="AH59" s="943">
        <f ca="1">IF(AND(ISNUMBER(AG59),AG59&gt;0),COUNTIF(OFFSET($Y$40,0,1,,25),CONCATENATE("&gt;=",8))/25*100,"")</f>
        <v>96</v>
      </c>
      <c r="AI59" s="943">
        <f ca="1">IF(AND(ISNUMBER(AH59),AH59&gt;0),COUNTIF(OFFSET($Y$40,0,1,,25),CONCATENATE("&gt;=",9))/25*100,"")</f>
        <v>96</v>
      </c>
      <c r="AJ59" s="943">
        <f ca="1">IF(AND(ISNUMBER(AI59),AI59&gt;0),COUNTIF(OFFSET($Y$40,0,1,,25),CONCATENATE("&gt;=",10))/25*100,"")</f>
        <v>92</v>
      </c>
      <c r="AK59" s="943">
        <f ca="1">IF(AND(ISNUMBER(AJ59),AJ59&gt;0),COUNTIF(OFFSET($Y$40,0,1,,25),CONCATENATE("&gt;=",11))/25*100,"")</f>
        <v>88</v>
      </c>
      <c r="AL59" s="943">
        <f ca="1">IF(AND(ISNUMBER(AK59),AK59&gt;0),COUNTIF(OFFSET($Y$40,0,1,,25),CONCATENATE("&gt;=",12))/25*100,"")</f>
        <v>0</v>
      </c>
      <c r="AM59" s="943" t="str">
        <f ca="1">IF(AND(ISNUMBER(AL59),AL59&gt;0),COUNTIF(OFFSET($Y$40,0,1,,25),CONCATENATE("&gt;=",13))/25*100,"")</f>
        <v/>
      </c>
      <c r="AN59" s="943" t="str">
        <f ca="1">IF(AND(ISNUMBER(AM59),AM59&gt;0),COUNTIF(OFFSET($Y$40,0,1,,25),CONCATENATE("&gt;=",14))/25*100,"")</f>
        <v/>
      </c>
      <c r="AO59" s="943" t="str">
        <f ca="1">IF(AND(ISNUMBER(AN59),AN59&gt;0),COUNTIF(OFFSET($Y$40,0,1,,25),CONCATENATE("&gt;=",15))/25*100,"")</f>
        <v/>
      </c>
      <c r="AP59" s="943" t="str">
        <f ca="1">IF(AND(ISNUMBER(AO59),AO59&gt;0),COUNTIF(OFFSET($Y$40,0,1,,25),CONCATENATE("&gt;=",16))/25*100,"")</f>
        <v/>
      </c>
      <c r="AQ59" s="943" t="str">
        <f ca="1">IF(AND(ISNUMBER(AP59),AP59&gt;0),COUNTIF(OFFSET($Y$40,0,1,,25),CONCATENATE("&gt;=",17))/25*100,"")</f>
        <v/>
      </c>
      <c r="AR59" s="943" t="str">
        <f ca="1">IF(AND(ISNUMBER(AQ59),AQ59&gt;0),COUNTIF(OFFSET($Y$40,0,1,,25),CONCATENATE("&gt;=",18))/25*100,"")</f>
        <v/>
      </c>
      <c r="AS59" s="943" t="str">
        <f ca="1">IF(AND(ISNUMBER(AR59),AR59&gt;0),COUNTIF(OFFSET($Y$40,0,1,,25),CONCATENATE("&gt;=",19))/25*100,"")</f>
        <v/>
      </c>
      <c r="AT59" s="943" t="str">
        <f ca="1">IF(AND(ISNUMBER(AS59),AS59&gt;0),COUNTIF(OFFSET($Y$40,0,1,,25),CONCATENATE("&gt;=",20))/25*100,"")</f>
        <v/>
      </c>
      <c r="AU59" s="943" t="str">
        <f ca="1">IF(AND(ISNUMBER(AT59),AT59&gt;0),COUNTIF(OFFSET($Y$40,0,1,,25),CONCATENATE("&gt;=",21))/25*100,"")</f>
        <v/>
      </c>
      <c r="AV59" s="943" t="str">
        <f ca="1">IF(AND(ISNUMBER(AU59),AU59&gt;0),COUNTIF(OFFSET($Y$40,0,1,,25),CONCATENATE("&gt;=",22))/25*100,"")</f>
        <v/>
      </c>
      <c r="AW59" s="943" t="str">
        <f ca="1">IF(AND(ISNUMBER(AV59),AV59&gt;0),COUNTIF(OFFSET($Y$40,0,1,,25),CONCATENATE("&gt;=",23))/25*100,"")</f>
        <v/>
      </c>
      <c r="AX59" s="943" t="str">
        <f ca="1">IF(AND(ISNUMBER(AW59),AW59&gt;0),COUNTIF(OFFSET($Y$40,0,1,,25),CONCATENATE("&gt;=",24))/25*100,"")</f>
        <v/>
      </c>
      <c r="AY59" s="943" t="str">
        <f ca="1">IF(AND(ISNUMBER(AX59),AX59&gt;0),COUNTIF(OFFSET($Y$40,0,1,,25),CONCATENATE("&gt;=",25))/25*100,"")</f>
        <v/>
      </c>
      <c r="AZ59" s="943" t="str">
        <f ca="1">IF(AND(ISNUMBER(AY59),AY59&gt;0),COUNTIF(OFFSET($Y$40,0,1,,25),CONCATENATE("&gt;=",26))/25*100,"")</f>
        <v/>
      </c>
      <c r="BA59" s="943" t="str">
        <f ca="1">IF(AND(ISNUMBER(AZ59),AZ59&gt;0),COUNTIF(OFFSET($Y$40,0,1,,25),CONCATENATE("&gt;=",27))/25*100,"")</f>
        <v/>
      </c>
      <c r="BB59" s="943" t="str">
        <f ca="1">IF(AND(ISNUMBER(BA59),BA59&gt;0),COUNTIF(OFFSET($Y$40,0,1,,25),CONCATENATE("&gt;=",28))/25*100,"")</f>
        <v/>
      </c>
      <c r="BC59" s="943" t="str">
        <f ca="1">IF(AND(ISNUMBER(BB59),BB59&gt;0),COUNTIF(OFFSET($Y$40,0,1,,25),CONCATENATE("&gt;=",29))/25*100,"")</f>
        <v/>
      </c>
      <c r="BD59" s="943" t="str">
        <f ca="1">IF(AND(ISNUMBER(BC59),BC59&gt;0),COUNTIF(OFFSET($Y$40,0,1,,25),CONCATENATE("&gt;=",30))/25*100,"")</f>
        <v/>
      </c>
      <c r="BE59" s="943" t="str">
        <f ca="1">IF(AND(ISNUMBER(BD59),BD59&gt;0),COUNTIF(OFFSET($Y$40,0,1,,25),CONCATENATE("&gt;=",31))/25*100,"")</f>
        <v/>
      </c>
      <c r="BF59" s="943" t="str">
        <f ca="1">IF(AND(ISNUMBER(BE59),BE59&gt;0),COUNTIF(OFFSET($Y$40,0,1,,25),CONCATENATE("&gt;=",32))/25*100,"")</f>
        <v/>
      </c>
      <c r="BG59" s="943" t="str">
        <f ca="1">IF(AND(ISNUMBER(BF59),BF59&gt;0),COUNTIF(OFFSET($Y$40,0,1,,25),CONCATENATE("&gt;=",33))/25*100,"")</f>
        <v/>
      </c>
      <c r="BH59" s="943" t="str">
        <f ca="1">IF(AND(ISNUMBER(BG59),BG59&gt;0),COUNTIF(OFFSET($Y$40,0,1,,25),CONCATENATE("&gt;=",34))/25*100,"")</f>
        <v/>
      </c>
      <c r="BI59" s="943" t="str">
        <f ca="1">IF(AND(ISNUMBER(BH59),BH59&gt;0),COUNTIF(OFFSET($Y$40,0,1,,25),CONCATENATE("&gt;=",35))/25*100,"")</f>
        <v/>
      </c>
      <c r="BJ59" s="943" t="str">
        <f ca="1">IF(AND(ISNUMBER(BI59),BI59&gt;0),COUNTIF(OFFSET($Y$40,0,1,,25),CONCATENATE("&gt;=",36))/25*100,"")</f>
        <v/>
      </c>
      <c r="BK59" s="943" t="str">
        <f ca="1">IF(AND(ISNUMBER(BJ59),BJ59&gt;0),COUNTIF(OFFSET($Y$40,0,1,,25),CONCATENATE("&gt;=",37))/25*100,"")</f>
        <v/>
      </c>
      <c r="BL59" s="943" t="str">
        <f ca="1">IF(AND(ISNUMBER(BK59),BK59&gt;0),COUNTIF(OFFSET($Y$40,0,1,,25),CONCATENATE("&gt;=",38))/25*100,"")</f>
        <v/>
      </c>
      <c r="BM59" s="943" t="str">
        <f ca="1">IF(AND(ISNUMBER(BL59),BL59&gt;0),COUNTIF(OFFSET($Y$40,0,1,,25),CONCATENATE("&gt;=",39))/25*100,"")</f>
        <v/>
      </c>
      <c r="BN59" s="943" t="str">
        <f ca="1">IF(AND(ISNUMBER(BM59),BM59&gt;0),COUNTIF(OFFSET($Y$40,0,1,,25),CONCATENATE("&gt;=",40))/25*100,"")</f>
        <v/>
      </c>
      <c r="BO59" s="943" t="str">
        <f ca="1">IF(AND(ISNUMBER(BN59),BN59&gt;0),COUNTIF(OFFSET($Y$40,0,1,,25),CONCATENATE("&gt;=",41))/25*100,"")</f>
        <v/>
      </c>
      <c r="BP59" s="943" t="str">
        <f ca="1">IF(AND(ISNUMBER(BO59),BO59&gt;0),COUNTIF(OFFSET($Y$40,0,1,,25),CONCATENATE("&gt;=",42))/25*100,"")</f>
        <v/>
      </c>
      <c r="BQ59" s="943" t="str">
        <f ca="1">IF(AND(ISNUMBER(BP59),BP59&gt;0),COUNTIF(OFFSET($Y$40,0,1,,25),CONCATENATE("&gt;=",43))/25*100,"")</f>
        <v/>
      </c>
      <c r="BR59" s="943" t="str">
        <f ca="1">IF(AND(ISNUMBER(BQ59),BQ59&gt;0),COUNTIF(OFFSET($Y$40,0,1,,25),CONCATENATE("&gt;=",44))/25*100,"")</f>
        <v/>
      </c>
      <c r="BS59" s="943" t="str">
        <f ca="1">IF(AND(ISNUMBER(BR59),BR59&gt;0),COUNTIF(OFFSET($Y$40,0,1,,25),CONCATENATE("&gt;=",45))/25*100,"")</f>
        <v/>
      </c>
      <c r="BT59" s="943" t="str">
        <f ca="1">IF(AND(ISNUMBER(BS59),BS59&gt;0),COUNTIF(OFFSET($Y$40,0,1,,25),CONCATENATE("&gt;=",46))/25*100,"")</f>
        <v/>
      </c>
      <c r="BU59" s="943" t="str">
        <f ca="1">IF(AND(ISNUMBER(BT59),BT59&gt;0),COUNTIF(OFFSET($Y$40,0,1,,25),CONCATENATE("&gt;=",47))/25*100,"")</f>
        <v/>
      </c>
      <c r="BV59" s="943" t="str">
        <f ca="1">IF(AND(ISNUMBER(BU59),BU59&gt;0),COUNTIF(OFFSET($Y$40,0,1,,25),CONCATENATE("&gt;=",48))/25*100,"")</f>
        <v/>
      </c>
      <c r="BW59" s="943" t="str">
        <f ca="1">IF(AND(ISNUMBER(BV59),BV59&gt;0),COUNTIF(OFFSET($Y$40,0,1,,25),CONCATENATE("&gt;=",49))/25*100,"")</f>
        <v/>
      </c>
      <c r="BX59" s="1032" t="str">
        <f ca="1">IF(AND(ISNUMBER(BW59),BW59&gt;0),COUNTIF(OFFSET($Y$40,0,1,,25),CONCATENATE("&gt;=",50))/25*100,"")</f>
        <v/>
      </c>
      <c r="BY59" s="1046"/>
      <c r="BZ59" s="1046"/>
      <c r="CA59" s="1046"/>
      <c r="CB59" s="1046"/>
      <c r="CC59" s="1046"/>
      <c r="CD59" s="1046"/>
      <c r="CE59" s="1046"/>
      <c r="CF59" s="1046"/>
      <c r="CG59" s="1046"/>
      <c r="CH59" s="1046"/>
      <c r="CI59" s="1046"/>
      <c r="CJ59" s="1046"/>
      <c r="CK59" s="1046"/>
      <c r="CL59" s="1046"/>
      <c r="CM59" s="1046"/>
      <c r="CN59" s="1046"/>
      <c r="CO59" s="1046"/>
      <c r="CP59" s="1046"/>
      <c r="CQ59" s="1046"/>
      <c r="CR59" s="1046"/>
      <c r="CS59" s="1046"/>
      <c r="CT59" s="1046"/>
      <c r="CU59" s="1046"/>
      <c r="CV59" s="1046"/>
      <c r="CW59" s="1046"/>
      <c r="CX59" s="1046"/>
      <c r="CY59" s="1046"/>
      <c r="CZ59" s="1046"/>
      <c r="DA59" s="1046"/>
      <c r="DB59" s="1046"/>
      <c r="DC59" s="1046"/>
      <c r="DD59" s="1046"/>
      <c r="DE59" s="1046"/>
      <c r="DF59" s="1046"/>
      <c r="DG59" s="1046"/>
      <c r="DH59" s="1046"/>
      <c r="DI59" s="1046"/>
      <c r="DJ59" s="1046"/>
      <c r="DK59" s="1046"/>
      <c r="DL59" s="1046"/>
      <c r="DM59" s="1046"/>
      <c r="DN59" s="1046"/>
      <c r="DO59" s="1046"/>
      <c r="DP59" s="1046"/>
      <c r="DQ59" s="1046"/>
      <c r="DR59" s="1046"/>
      <c r="DS59" s="1046"/>
      <c r="DT59" s="1046"/>
      <c r="DU59" s="1020"/>
    </row>
    <row r="60" spans="2:125" x14ac:dyDescent="0.2">
      <c r="B60" s="944"/>
      <c r="C60" s="944"/>
      <c r="D60" s="1047"/>
      <c r="E60" s="947"/>
      <c r="F60" s="947"/>
      <c r="G60" s="947"/>
      <c r="H60" s="947"/>
      <c r="I60" s="947"/>
      <c r="J60" s="947"/>
      <c r="K60" s="947"/>
      <c r="L60" s="947"/>
      <c r="M60" s="947"/>
      <c r="N60" s="947"/>
      <c r="O60" s="947"/>
      <c r="P60" s="947"/>
      <c r="Q60" s="947"/>
      <c r="R60" s="947"/>
      <c r="S60" s="947"/>
      <c r="T60" s="947"/>
      <c r="U60" s="947"/>
      <c r="V60" s="947"/>
      <c r="W60" s="947"/>
      <c r="X60" s="947"/>
      <c r="Y60" s="947"/>
      <c r="Z60" s="947"/>
      <c r="AA60" s="947"/>
      <c r="AB60" s="947"/>
      <c r="AC60" s="947"/>
      <c r="AD60" s="947"/>
      <c r="AE60" s="947"/>
      <c r="AF60" s="947"/>
      <c r="AG60" s="947"/>
      <c r="AH60" s="947"/>
      <c r="AI60" s="947"/>
      <c r="AJ60" s="947"/>
      <c r="AK60" s="947"/>
      <c r="AL60" s="947"/>
      <c r="AM60" s="947"/>
      <c r="AN60" s="947"/>
      <c r="AO60" s="947"/>
      <c r="AP60" s="947"/>
      <c r="AQ60" s="947"/>
      <c r="AR60" s="947"/>
      <c r="AS60" s="947"/>
      <c r="AT60" s="947"/>
      <c r="AU60" s="947"/>
      <c r="AV60" s="947"/>
      <c r="AW60" s="947"/>
      <c r="AX60" s="947"/>
      <c r="AY60" s="947"/>
      <c r="AZ60" s="947"/>
      <c r="BA60" s="947"/>
      <c r="BB60" s="947"/>
      <c r="BC60" s="947"/>
      <c r="BD60" s="947"/>
      <c r="BE60" s="947"/>
      <c r="BF60" s="947"/>
      <c r="BG60" s="947"/>
      <c r="BH60" s="947"/>
      <c r="BI60" s="947"/>
      <c r="BJ60" s="947"/>
      <c r="BK60" s="947"/>
      <c r="BL60" s="947"/>
      <c r="BM60" s="947"/>
      <c r="BN60" s="947"/>
      <c r="BO60" s="947"/>
      <c r="BP60" s="947"/>
      <c r="BQ60" s="947"/>
      <c r="BR60" s="947"/>
      <c r="BS60" s="947"/>
      <c r="BT60" s="947"/>
      <c r="BU60" s="947"/>
      <c r="BV60" s="947"/>
      <c r="BW60" s="947"/>
      <c r="BX60" s="947"/>
      <c r="BY60" s="947"/>
      <c r="BZ60" s="947"/>
      <c r="CA60" s="947"/>
      <c r="CB60" s="947"/>
      <c r="CC60" s="947"/>
      <c r="CD60" s="947"/>
      <c r="CE60" s="947"/>
      <c r="CF60" s="947"/>
      <c r="CG60" s="947"/>
      <c r="CH60" s="947"/>
      <c r="CI60" s="947"/>
      <c r="CJ60" s="947"/>
      <c r="CK60" s="947"/>
      <c r="CL60" s="947"/>
      <c r="CM60" s="947"/>
      <c r="CN60" s="947"/>
      <c r="CO60" s="947"/>
      <c r="CP60" s="947"/>
      <c r="CQ60" s="947"/>
      <c r="CR60" s="947"/>
      <c r="CS60" s="947"/>
      <c r="CT60" s="947"/>
      <c r="CU60" s="947"/>
      <c r="CV60" s="947"/>
      <c r="CW60" s="947"/>
      <c r="CX60" s="947"/>
      <c r="CY60" s="947"/>
      <c r="CZ60" s="947"/>
      <c r="DA60" s="947"/>
      <c r="DB60" s="947"/>
      <c r="DC60" s="947"/>
      <c r="DD60" s="947"/>
      <c r="DE60" s="947"/>
      <c r="DF60" s="947"/>
      <c r="DG60" s="947"/>
      <c r="DH60" s="947"/>
      <c r="DI60" s="947"/>
      <c r="DJ60" s="947"/>
      <c r="DK60" s="947"/>
      <c r="DL60" s="947"/>
      <c r="DM60" s="947"/>
      <c r="DN60" s="947"/>
      <c r="DO60" s="947"/>
      <c r="DP60" s="947"/>
      <c r="DQ60" s="947"/>
      <c r="DR60" s="947"/>
      <c r="DS60" s="947"/>
      <c r="DT60" s="947"/>
      <c r="DU60" s="947"/>
    </row>
    <row r="61" spans="2:125" x14ac:dyDescent="0.2">
      <c r="B61" s="947"/>
      <c r="C61" s="947"/>
      <c r="D61" s="947"/>
      <c r="E61" s="947"/>
      <c r="F61" s="947"/>
      <c r="G61" s="947"/>
      <c r="H61" s="947"/>
      <c r="I61" s="947"/>
      <c r="J61" s="947"/>
      <c r="K61" s="947"/>
      <c r="L61" s="947"/>
      <c r="M61" s="947"/>
      <c r="N61" s="947"/>
      <c r="O61" s="947"/>
      <c r="P61" s="947"/>
      <c r="Q61" s="947"/>
      <c r="R61" s="947"/>
      <c r="S61" s="947"/>
      <c r="T61" s="947"/>
      <c r="U61" s="947"/>
      <c r="V61" s="947"/>
      <c r="W61" s="947"/>
      <c r="X61" s="944"/>
      <c r="Y61" s="947"/>
      <c r="Z61" s="947"/>
      <c r="AA61" s="947"/>
      <c r="AB61" s="947"/>
      <c r="AC61" s="947"/>
      <c r="AD61" s="947"/>
      <c r="AE61" s="947"/>
      <c r="AF61" s="947"/>
      <c r="AG61" s="947"/>
      <c r="AH61" s="947"/>
      <c r="AI61" s="947"/>
      <c r="AJ61" s="947"/>
      <c r="AK61" s="947"/>
      <c r="AL61" s="947"/>
      <c r="AM61" s="947"/>
      <c r="AN61" s="947"/>
      <c r="AO61" s="947"/>
      <c r="AP61" s="947"/>
      <c r="AQ61" s="947"/>
      <c r="AR61" s="947"/>
      <c r="AS61" s="947"/>
      <c r="AT61" s="947"/>
      <c r="AU61" s="947"/>
      <c r="AV61" s="947"/>
      <c r="AW61" s="947"/>
      <c r="AX61" s="947"/>
      <c r="AY61" s="947"/>
      <c r="AZ61" s="947"/>
      <c r="BA61" s="947"/>
      <c r="BB61" s="947"/>
      <c r="BC61" s="947"/>
      <c r="BD61" s="947"/>
      <c r="BE61" s="947"/>
      <c r="BF61" s="947"/>
      <c r="BG61" s="947"/>
      <c r="BH61" s="947"/>
      <c r="BI61" s="947"/>
      <c r="BJ61" s="947"/>
      <c r="BK61" s="947"/>
      <c r="BL61" s="947"/>
      <c r="BM61" s="947"/>
      <c r="BN61" s="947"/>
      <c r="BO61" s="947"/>
      <c r="BP61" s="947"/>
      <c r="BQ61" s="947"/>
      <c r="BR61" s="947"/>
      <c r="BS61" s="947"/>
      <c r="BT61" s="947"/>
      <c r="BU61" s="947"/>
      <c r="BV61" s="947"/>
      <c r="BW61" s="947"/>
      <c r="BX61" s="947"/>
      <c r="BY61" s="947"/>
      <c r="BZ61" s="947"/>
      <c r="CA61" s="947"/>
      <c r="CB61" s="947"/>
      <c r="CC61" s="947"/>
      <c r="CD61" s="947"/>
      <c r="CE61" s="947"/>
      <c r="CF61" s="947"/>
      <c r="CG61" s="947"/>
      <c r="CH61" s="947"/>
      <c r="CI61" s="947"/>
      <c r="CJ61" s="947"/>
      <c r="CK61" s="947"/>
      <c r="CL61" s="947"/>
      <c r="CM61" s="947"/>
      <c r="CN61" s="947"/>
      <c r="CO61" s="947"/>
      <c r="CP61" s="947"/>
      <c r="CQ61" s="947"/>
      <c r="CR61" s="947"/>
      <c r="CS61" s="947"/>
      <c r="CT61" s="947"/>
      <c r="CU61" s="947"/>
      <c r="CV61" s="947"/>
      <c r="CW61" s="947"/>
      <c r="CX61" s="947"/>
      <c r="CY61" s="947"/>
      <c r="CZ61" s="947"/>
      <c r="DA61" s="947"/>
      <c r="DB61" s="947"/>
      <c r="DC61" s="947"/>
      <c r="DD61" s="947"/>
      <c r="DE61" s="947"/>
      <c r="DF61" s="947"/>
      <c r="DG61" s="947"/>
      <c r="DH61" s="947"/>
      <c r="DI61" s="947"/>
      <c r="DJ61" s="947"/>
      <c r="DK61" s="947"/>
      <c r="DL61" s="947"/>
      <c r="DM61" s="947"/>
      <c r="DN61" s="947"/>
      <c r="DO61" s="947"/>
      <c r="DP61" s="947"/>
      <c r="DQ61" s="947"/>
      <c r="DR61" s="947"/>
      <c r="DS61" s="947"/>
      <c r="DT61" s="947"/>
      <c r="DU61" s="947"/>
    </row>
    <row r="62" spans="2:125" x14ac:dyDescent="0.2">
      <c r="B62" s="947"/>
      <c r="C62" s="947"/>
      <c r="D62" s="947"/>
      <c r="E62" s="947"/>
      <c r="F62" s="947"/>
      <c r="G62" s="947"/>
      <c r="H62" s="947"/>
      <c r="I62" s="947"/>
      <c r="J62" s="947"/>
      <c r="K62" s="947"/>
      <c r="L62" s="947"/>
      <c r="M62" s="947"/>
      <c r="N62" s="947"/>
      <c r="O62" s="947"/>
      <c r="P62" s="947"/>
      <c r="Q62" s="947"/>
      <c r="R62" s="947"/>
      <c r="S62" s="947"/>
      <c r="T62" s="947"/>
      <c r="U62" s="947"/>
      <c r="V62" s="947"/>
      <c r="W62" s="947"/>
      <c r="X62" s="947"/>
      <c r="Y62" s="947"/>
      <c r="Z62" s="947"/>
      <c r="AA62" s="947"/>
      <c r="AB62" s="947"/>
      <c r="AC62" s="947"/>
      <c r="AD62" s="947"/>
      <c r="AE62" s="947"/>
      <c r="AF62" s="947"/>
      <c r="AG62" s="947"/>
      <c r="AH62" s="947"/>
      <c r="AI62" s="947"/>
      <c r="AJ62" s="947"/>
      <c r="AK62" s="947"/>
      <c r="AL62" s="947"/>
      <c r="AM62" s="947"/>
      <c r="AN62" s="947"/>
      <c r="AO62" s="947"/>
      <c r="AP62" s="947"/>
      <c r="AQ62" s="947"/>
      <c r="AR62" s="947"/>
      <c r="AS62" s="947"/>
      <c r="AT62" s="947"/>
      <c r="AU62" s="947"/>
      <c r="AV62" s="947"/>
      <c r="AW62" s="947"/>
      <c r="AX62" s="947"/>
      <c r="AY62" s="947"/>
      <c r="AZ62" s="947"/>
      <c r="BA62" s="947"/>
      <c r="BB62" s="947"/>
      <c r="BC62" s="947"/>
      <c r="BD62" s="947"/>
      <c r="BE62" s="947"/>
      <c r="BF62" s="947"/>
      <c r="BG62" s="947"/>
      <c r="BH62" s="947"/>
      <c r="BI62" s="947"/>
      <c r="BJ62" s="947"/>
      <c r="BK62" s="947"/>
      <c r="BL62" s="947"/>
      <c r="BM62" s="947"/>
      <c r="BN62" s="947"/>
      <c r="BO62" s="947"/>
      <c r="BP62" s="947"/>
      <c r="BQ62" s="947"/>
      <c r="BR62" s="947"/>
      <c r="BS62" s="947"/>
      <c r="BT62" s="947"/>
      <c r="BU62" s="947"/>
      <c r="BV62" s="947"/>
      <c r="BW62" s="947"/>
      <c r="BX62" s="947"/>
      <c r="BY62" s="947"/>
      <c r="BZ62" s="947"/>
      <c r="CA62" s="947"/>
      <c r="CB62" s="947"/>
      <c r="CC62" s="947"/>
      <c r="CD62" s="947"/>
      <c r="CE62" s="947"/>
      <c r="CF62" s="947"/>
      <c r="CG62" s="947"/>
      <c r="CH62" s="947"/>
      <c r="CI62" s="947"/>
      <c r="CJ62" s="947"/>
      <c r="CK62" s="947"/>
      <c r="CL62" s="947"/>
      <c r="CM62" s="947"/>
      <c r="CN62" s="947"/>
      <c r="CO62" s="947"/>
      <c r="CP62" s="947"/>
      <c r="CQ62" s="947"/>
      <c r="CR62" s="947"/>
      <c r="CS62" s="947"/>
      <c r="CT62" s="947"/>
      <c r="CU62" s="947"/>
      <c r="CV62" s="947"/>
      <c r="CW62" s="947"/>
      <c r="CX62" s="947"/>
      <c r="CY62" s="947"/>
      <c r="CZ62" s="947"/>
      <c r="DA62" s="947"/>
      <c r="DB62" s="947"/>
      <c r="DC62" s="947"/>
      <c r="DD62" s="947"/>
      <c r="DE62" s="947"/>
      <c r="DF62" s="947"/>
      <c r="DG62" s="947"/>
      <c r="DH62" s="947"/>
      <c r="DI62" s="947"/>
      <c r="DJ62" s="947"/>
      <c r="DK62" s="947"/>
      <c r="DL62" s="947"/>
      <c r="DM62" s="947"/>
      <c r="DN62" s="947"/>
      <c r="DO62" s="947"/>
      <c r="DP62" s="947"/>
      <c r="DQ62" s="947"/>
      <c r="DR62" s="947"/>
      <c r="DS62" s="947"/>
      <c r="DT62" s="947"/>
      <c r="DU62" s="947"/>
    </row>
    <row r="63" spans="2:125" x14ac:dyDescent="0.2">
      <c r="B63" s="947"/>
      <c r="C63" s="947"/>
      <c r="D63" s="947"/>
      <c r="E63" s="947"/>
      <c r="F63" s="947"/>
      <c r="G63" s="947"/>
      <c r="H63" s="947"/>
      <c r="I63" s="947"/>
      <c r="J63" s="947"/>
      <c r="K63" s="947"/>
      <c r="L63" s="947"/>
      <c r="M63" s="947"/>
      <c r="N63" s="947"/>
      <c r="O63" s="947"/>
      <c r="P63" s="947"/>
      <c r="Q63" s="947"/>
      <c r="R63" s="947"/>
      <c r="S63" s="947"/>
      <c r="T63" s="947"/>
      <c r="U63" s="947"/>
      <c r="V63" s="947"/>
      <c r="W63" s="947"/>
      <c r="X63" s="947"/>
      <c r="Y63" s="947"/>
      <c r="Z63" s="947"/>
      <c r="AA63" s="947"/>
      <c r="AB63" s="947"/>
      <c r="AC63" s="947"/>
      <c r="AD63" s="947"/>
      <c r="AE63" s="947"/>
      <c r="AF63" s="947"/>
      <c r="AG63" s="947"/>
      <c r="AH63" s="947"/>
      <c r="AI63" s="947"/>
      <c r="AJ63" s="947"/>
      <c r="AK63" s="947"/>
      <c r="AL63" s="947"/>
      <c r="AM63" s="947"/>
      <c r="AN63" s="947"/>
      <c r="AO63" s="947"/>
      <c r="AP63" s="947"/>
      <c r="AQ63" s="947"/>
      <c r="AR63" s="947"/>
      <c r="AS63" s="947"/>
      <c r="AT63" s="947"/>
      <c r="AU63" s="947"/>
      <c r="AV63" s="947"/>
      <c r="AW63" s="947"/>
      <c r="AX63" s="947"/>
      <c r="AY63" s="947"/>
      <c r="AZ63" s="947"/>
      <c r="BA63" s="947"/>
      <c r="BB63" s="947"/>
      <c r="BC63" s="947"/>
      <c r="BD63" s="947"/>
      <c r="BE63" s="947"/>
      <c r="BF63" s="947"/>
      <c r="BG63" s="947"/>
      <c r="BH63" s="947"/>
      <c r="BI63" s="947"/>
      <c r="BJ63" s="947"/>
      <c r="BK63" s="947"/>
      <c r="BL63" s="947"/>
      <c r="BM63" s="947"/>
      <c r="BN63" s="947"/>
      <c r="BO63" s="947"/>
      <c r="BP63" s="947"/>
      <c r="BQ63" s="947"/>
      <c r="BR63" s="947"/>
      <c r="BS63" s="947"/>
      <c r="BT63" s="947"/>
      <c r="BU63" s="947"/>
      <c r="BV63" s="947"/>
      <c r="BW63" s="947"/>
      <c r="BX63" s="947"/>
      <c r="BY63" s="947"/>
      <c r="BZ63" s="947"/>
      <c r="CA63" s="947"/>
      <c r="CB63" s="947"/>
      <c r="CC63" s="947"/>
      <c r="CD63" s="947"/>
      <c r="CE63" s="947"/>
      <c r="CF63" s="947"/>
      <c r="CG63" s="947"/>
      <c r="CH63" s="947"/>
      <c r="CI63" s="947"/>
      <c r="CJ63" s="947"/>
      <c r="CK63" s="947"/>
      <c r="CL63" s="947"/>
      <c r="CM63" s="947"/>
      <c r="CN63" s="947"/>
      <c r="CO63" s="947"/>
      <c r="CP63" s="947"/>
      <c r="CQ63" s="947"/>
      <c r="CR63" s="947"/>
      <c r="CS63" s="947"/>
      <c r="CT63" s="947"/>
      <c r="CU63" s="947"/>
      <c r="CV63" s="947"/>
      <c r="CW63" s="947"/>
      <c r="CX63" s="947"/>
      <c r="CY63" s="947"/>
      <c r="CZ63" s="947"/>
      <c r="DA63" s="947"/>
      <c r="DB63" s="947"/>
      <c r="DC63" s="947"/>
      <c r="DD63" s="947"/>
      <c r="DE63" s="947"/>
      <c r="DF63" s="947"/>
      <c r="DG63" s="947"/>
      <c r="DH63" s="947"/>
      <c r="DI63" s="947"/>
      <c r="DJ63" s="947"/>
      <c r="DK63" s="947"/>
      <c r="DL63" s="947"/>
      <c r="DM63" s="947"/>
      <c r="DN63" s="947"/>
      <c r="DO63" s="947"/>
      <c r="DP63" s="947"/>
      <c r="DQ63" s="947"/>
      <c r="DR63" s="947"/>
      <c r="DS63" s="947"/>
      <c r="DT63" s="947"/>
      <c r="DU63" s="947"/>
    </row>
    <row r="64" spans="2:125" x14ac:dyDescent="0.2">
      <c r="B64" s="947"/>
      <c r="C64" s="947"/>
      <c r="D64" s="947"/>
      <c r="E64" s="947"/>
      <c r="F64" s="947"/>
      <c r="G64" s="947"/>
      <c r="H64" s="947"/>
      <c r="I64" s="947"/>
      <c r="J64" s="947"/>
      <c r="K64" s="947"/>
      <c r="L64" s="947"/>
      <c r="M64" s="947"/>
      <c r="N64" s="947"/>
      <c r="O64" s="947"/>
      <c r="P64" s="947"/>
      <c r="Q64" s="947"/>
      <c r="R64" s="947"/>
      <c r="S64" s="947"/>
      <c r="T64" s="947"/>
      <c r="U64" s="947"/>
      <c r="V64" s="947"/>
      <c r="W64" s="947"/>
      <c r="X64" s="947"/>
      <c r="Y64" s="947"/>
      <c r="Z64" s="947"/>
      <c r="AA64" s="947"/>
      <c r="AB64" s="947"/>
      <c r="AC64" s="947"/>
      <c r="AD64" s="947"/>
      <c r="AE64" s="947"/>
      <c r="AF64" s="947"/>
      <c r="AG64" s="947"/>
      <c r="AH64" s="947"/>
      <c r="AI64" s="947"/>
      <c r="AJ64" s="947"/>
      <c r="AK64" s="947"/>
      <c r="AL64" s="947"/>
      <c r="AM64" s="947"/>
      <c r="AN64" s="947"/>
      <c r="AO64" s="947"/>
      <c r="AP64" s="947"/>
      <c r="AQ64" s="947"/>
      <c r="AR64" s="947"/>
      <c r="AS64" s="947"/>
      <c r="AT64" s="947"/>
      <c r="AU64" s="947"/>
      <c r="AV64" s="947"/>
      <c r="AW64" s="947"/>
      <c r="AX64" s="947"/>
      <c r="AY64" s="947"/>
      <c r="AZ64" s="947"/>
      <c r="BA64" s="947"/>
      <c r="BB64" s="947"/>
      <c r="BC64" s="947"/>
      <c r="BD64" s="947"/>
      <c r="BE64" s="947"/>
      <c r="BF64" s="947"/>
      <c r="BG64" s="947"/>
      <c r="BH64" s="947"/>
      <c r="BI64" s="947"/>
      <c r="BJ64" s="947"/>
      <c r="BK64" s="947"/>
      <c r="BL64" s="947"/>
      <c r="BM64" s="947"/>
      <c r="BN64" s="947"/>
      <c r="BO64" s="947"/>
      <c r="BP64" s="947"/>
      <c r="BQ64" s="947"/>
      <c r="BR64" s="947"/>
      <c r="BS64" s="947"/>
      <c r="BT64" s="947"/>
      <c r="BU64" s="947"/>
      <c r="BV64" s="947"/>
      <c r="BW64" s="947"/>
      <c r="BX64" s="947"/>
      <c r="BY64" s="947"/>
      <c r="BZ64" s="947"/>
      <c r="CA64" s="947"/>
      <c r="CB64" s="947"/>
      <c r="CC64" s="947"/>
      <c r="CD64" s="947"/>
      <c r="CE64" s="947"/>
      <c r="CF64" s="947"/>
      <c r="CG64" s="947"/>
      <c r="CH64" s="947"/>
      <c r="CI64" s="947"/>
      <c r="CJ64" s="947"/>
      <c r="CK64" s="947"/>
      <c r="CL64" s="947"/>
      <c r="CM64" s="947"/>
      <c r="CN64" s="947"/>
      <c r="CO64" s="947"/>
      <c r="CP64" s="947"/>
      <c r="CQ64" s="947"/>
      <c r="CR64" s="947"/>
      <c r="CS64" s="947"/>
      <c r="CT64" s="947"/>
      <c r="CU64" s="947"/>
      <c r="CV64" s="947"/>
      <c r="CW64" s="947"/>
      <c r="CX64" s="947"/>
      <c r="CY64" s="947"/>
      <c r="CZ64" s="947"/>
      <c r="DA64" s="947"/>
      <c r="DB64" s="947"/>
      <c r="DC64" s="947"/>
      <c r="DD64" s="947"/>
      <c r="DE64" s="947"/>
      <c r="DF64" s="947"/>
      <c r="DG64" s="947"/>
      <c r="DH64" s="947"/>
      <c r="DI64" s="947"/>
      <c r="DJ64" s="947"/>
      <c r="DK64" s="947"/>
      <c r="DL64" s="947"/>
      <c r="DM64" s="947"/>
      <c r="DN64" s="947"/>
      <c r="DO64" s="947"/>
      <c r="DP64" s="947"/>
      <c r="DQ64" s="947"/>
      <c r="DR64" s="947"/>
      <c r="DS64" s="947"/>
      <c r="DT64" s="947"/>
      <c r="DU64" s="947"/>
    </row>
    <row r="65" spans="2:125" x14ac:dyDescent="0.2">
      <c r="B65" s="947"/>
      <c r="C65" s="947"/>
      <c r="D65" s="947"/>
      <c r="E65" s="947"/>
      <c r="F65" s="947"/>
      <c r="G65" s="947"/>
      <c r="H65" s="947"/>
      <c r="I65" s="947"/>
      <c r="J65" s="947"/>
      <c r="K65" s="947"/>
      <c r="L65" s="947"/>
      <c r="M65" s="947"/>
      <c r="N65" s="947"/>
      <c r="O65" s="947"/>
      <c r="P65" s="947"/>
      <c r="Q65" s="947"/>
      <c r="R65" s="947"/>
      <c r="S65" s="947"/>
      <c r="T65" s="947"/>
      <c r="U65" s="947"/>
      <c r="V65" s="947"/>
      <c r="W65" s="947"/>
      <c r="X65" s="947"/>
      <c r="Y65" s="947"/>
      <c r="Z65" s="947"/>
      <c r="AA65" s="947"/>
      <c r="AB65" s="947"/>
      <c r="AC65" s="947"/>
      <c r="AD65" s="947"/>
      <c r="AE65" s="947"/>
      <c r="AF65" s="947"/>
      <c r="AG65" s="947"/>
      <c r="AH65" s="947"/>
      <c r="AI65" s="947"/>
      <c r="AJ65" s="947"/>
      <c r="AK65" s="947"/>
      <c r="AL65" s="947"/>
      <c r="AM65" s="947"/>
      <c r="AN65" s="947"/>
      <c r="AO65" s="947"/>
      <c r="AP65" s="947"/>
      <c r="AQ65" s="947"/>
      <c r="AR65" s="947"/>
      <c r="AS65" s="947"/>
      <c r="AT65" s="947"/>
      <c r="AU65" s="947"/>
      <c r="AV65" s="947"/>
      <c r="AW65" s="947"/>
      <c r="AX65" s="947"/>
      <c r="AY65" s="947"/>
      <c r="AZ65" s="947"/>
      <c r="BA65" s="947"/>
      <c r="BB65" s="947"/>
      <c r="BC65" s="947"/>
      <c r="BD65" s="947"/>
      <c r="BE65" s="947"/>
      <c r="BF65" s="947"/>
      <c r="BG65" s="947"/>
      <c r="BH65" s="947"/>
      <c r="BI65" s="947"/>
      <c r="BJ65" s="947"/>
      <c r="BK65" s="947"/>
      <c r="BL65" s="947"/>
      <c r="BM65" s="947"/>
      <c r="BN65" s="947"/>
      <c r="BO65" s="947"/>
      <c r="BP65" s="947"/>
      <c r="BQ65" s="947"/>
      <c r="BR65" s="947"/>
      <c r="BS65" s="947"/>
      <c r="BT65" s="947"/>
      <c r="BU65" s="947"/>
      <c r="BV65" s="947"/>
      <c r="BW65" s="947"/>
      <c r="BX65" s="947"/>
      <c r="BY65" s="947"/>
      <c r="BZ65" s="947"/>
      <c r="CA65" s="947"/>
      <c r="CB65" s="947"/>
      <c r="CC65" s="947"/>
      <c r="CD65" s="947"/>
      <c r="CE65" s="947"/>
      <c r="CF65" s="947"/>
      <c r="CG65" s="947"/>
      <c r="CH65" s="947"/>
      <c r="CI65" s="947"/>
      <c r="CJ65" s="947"/>
      <c r="CK65" s="947"/>
      <c r="CL65" s="947"/>
      <c r="CM65" s="947"/>
      <c r="CN65" s="947"/>
      <c r="CO65" s="947"/>
      <c r="CP65" s="947"/>
      <c r="CQ65" s="947"/>
      <c r="CR65" s="947"/>
      <c r="CS65" s="947"/>
      <c r="CT65" s="947"/>
      <c r="CU65" s="947"/>
      <c r="CV65" s="947"/>
      <c r="CW65" s="947"/>
      <c r="CX65" s="947"/>
      <c r="CY65" s="947"/>
      <c r="CZ65" s="947"/>
      <c r="DA65" s="947"/>
      <c r="DB65" s="947"/>
      <c r="DC65" s="947"/>
      <c r="DD65" s="947"/>
      <c r="DE65" s="947"/>
      <c r="DF65" s="947"/>
      <c r="DG65" s="947"/>
      <c r="DH65" s="947"/>
      <c r="DI65" s="947"/>
      <c r="DJ65" s="947"/>
      <c r="DK65" s="947"/>
      <c r="DL65" s="947"/>
      <c r="DM65" s="947"/>
      <c r="DN65" s="947"/>
      <c r="DO65" s="947"/>
      <c r="DP65" s="947"/>
      <c r="DQ65" s="947"/>
      <c r="DR65" s="947"/>
      <c r="DS65" s="947"/>
      <c r="DT65" s="947"/>
      <c r="DU65" s="947"/>
    </row>
    <row r="66" spans="2:125" x14ac:dyDescent="0.2">
      <c r="B66" s="947"/>
      <c r="C66" s="947"/>
      <c r="D66" s="947"/>
      <c r="E66" s="947"/>
      <c r="F66" s="947"/>
      <c r="G66" s="947"/>
      <c r="H66" s="947"/>
      <c r="I66" s="947"/>
      <c r="J66" s="947"/>
      <c r="K66" s="947"/>
      <c r="L66" s="947"/>
      <c r="M66" s="947"/>
      <c r="N66" s="947"/>
      <c r="O66" s="947"/>
      <c r="P66" s="947"/>
      <c r="Q66" s="947"/>
      <c r="R66" s="947"/>
      <c r="S66" s="947"/>
      <c r="T66" s="947"/>
      <c r="U66" s="947"/>
      <c r="V66" s="947"/>
      <c r="W66" s="947"/>
      <c r="X66" s="947"/>
      <c r="Y66" s="947"/>
      <c r="Z66" s="947"/>
      <c r="AA66" s="947"/>
      <c r="AB66" s="947"/>
      <c r="AC66" s="947"/>
      <c r="AD66" s="947"/>
      <c r="AE66" s="947"/>
      <c r="AF66" s="947"/>
      <c r="AG66" s="947"/>
      <c r="AH66" s="947"/>
      <c r="AI66" s="947"/>
      <c r="AJ66" s="947"/>
      <c r="AK66" s="947"/>
      <c r="AL66" s="947"/>
      <c r="AM66" s="947"/>
      <c r="AN66" s="947"/>
      <c r="AO66" s="947"/>
      <c r="AP66" s="947"/>
      <c r="AQ66" s="947"/>
      <c r="AR66" s="947"/>
      <c r="AS66" s="947"/>
      <c r="AT66" s="947"/>
      <c r="AU66" s="947"/>
      <c r="AV66" s="947"/>
      <c r="AW66" s="947"/>
      <c r="AX66" s="947"/>
      <c r="AY66" s="947"/>
      <c r="AZ66" s="947"/>
      <c r="BA66" s="947"/>
      <c r="BB66" s="947"/>
      <c r="BC66" s="947"/>
      <c r="BD66" s="947"/>
      <c r="BE66" s="947"/>
      <c r="BF66" s="947"/>
      <c r="BG66" s="947"/>
      <c r="BH66" s="947"/>
      <c r="BI66" s="947"/>
      <c r="BJ66" s="947"/>
      <c r="BK66" s="947"/>
      <c r="BL66" s="947"/>
      <c r="BM66" s="947"/>
      <c r="BN66" s="947"/>
      <c r="BO66" s="947"/>
      <c r="BP66" s="947"/>
      <c r="BQ66" s="947"/>
      <c r="BR66" s="947"/>
      <c r="BS66" s="947"/>
      <c r="BT66" s="947"/>
      <c r="BU66" s="947"/>
      <c r="BV66" s="947"/>
      <c r="BW66" s="947"/>
      <c r="BX66" s="947"/>
      <c r="BY66" s="947"/>
      <c r="BZ66" s="947"/>
      <c r="CA66" s="947"/>
      <c r="CB66" s="947"/>
      <c r="CC66" s="947"/>
      <c r="CD66" s="947"/>
      <c r="CE66" s="947"/>
      <c r="CF66" s="947"/>
      <c r="CG66" s="947"/>
      <c r="CH66" s="947"/>
      <c r="CI66" s="947"/>
      <c r="CJ66" s="947"/>
      <c r="CK66" s="947"/>
      <c r="CL66" s="947"/>
      <c r="CM66" s="947"/>
      <c r="CN66" s="947"/>
      <c r="CO66" s="947"/>
      <c r="CP66" s="947"/>
      <c r="CQ66" s="947"/>
      <c r="CR66" s="947"/>
      <c r="CS66" s="947"/>
      <c r="CT66" s="947"/>
      <c r="CU66" s="947"/>
      <c r="CV66" s="947"/>
      <c r="CW66" s="947"/>
      <c r="CX66" s="947"/>
      <c r="CY66" s="947"/>
      <c r="CZ66" s="947"/>
      <c r="DA66" s="947"/>
      <c r="DB66" s="947"/>
      <c r="DC66" s="947"/>
      <c r="DD66" s="947"/>
      <c r="DE66" s="947"/>
      <c r="DF66" s="947"/>
      <c r="DG66" s="947"/>
      <c r="DH66" s="947"/>
      <c r="DI66" s="947"/>
      <c r="DJ66" s="947"/>
      <c r="DK66" s="947"/>
      <c r="DL66" s="947"/>
      <c r="DM66" s="947"/>
      <c r="DN66" s="947"/>
      <c r="DO66" s="947"/>
      <c r="DP66" s="947"/>
      <c r="DQ66" s="947"/>
      <c r="DR66" s="947"/>
      <c r="DS66" s="947"/>
      <c r="DT66" s="947"/>
      <c r="DU66" s="947"/>
    </row>
    <row r="67" spans="2:125" x14ac:dyDescent="0.2">
      <c r="B67" s="947"/>
      <c r="C67" s="947"/>
      <c r="D67" s="947"/>
      <c r="E67" s="947"/>
      <c r="F67" s="947"/>
      <c r="G67" s="947"/>
      <c r="H67" s="947"/>
      <c r="I67" s="947"/>
      <c r="J67" s="947"/>
      <c r="K67" s="947"/>
      <c r="L67" s="947"/>
      <c r="M67" s="947"/>
      <c r="N67" s="947"/>
      <c r="O67" s="947"/>
      <c r="P67" s="947"/>
      <c r="Q67" s="947"/>
      <c r="R67" s="947"/>
      <c r="S67" s="947"/>
      <c r="T67" s="947"/>
      <c r="U67" s="947"/>
      <c r="V67" s="947"/>
      <c r="W67" s="947"/>
      <c r="X67" s="947"/>
      <c r="Y67" s="947"/>
      <c r="Z67" s="947"/>
      <c r="AA67" s="947"/>
      <c r="AB67" s="947"/>
      <c r="AC67" s="947"/>
      <c r="AD67" s="947"/>
      <c r="AE67" s="947"/>
      <c r="AF67" s="947"/>
      <c r="AG67" s="947"/>
      <c r="AH67" s="947"/>
      <c r="AI67" s="947"/>
      <c r="AJ67" s="947"/>
      <c r="AK67" s="947"/>
      <c r="AL67" s="947"/>
      <c r="AM67" s="947"/>
      <c r="AN67" s="947"/>
      <c r="AO67" s="947"/>
      <c r="AP67" s="947"/>
      <c r="AQ67" s="947"/>
      <c r="AR67" s="947"/>
      <c r="AS67" s="947"/>
      <c r="AT67" s="947"/>
      <c r="AU67" s="947"/>
      <c r="AV67" s="947"/>
      <c r="AW67" s="947"/>
      <c r="AX67" s="947"/>
      <c r="AY67" s="947"/>
      <c r="AZ67" s="947"/>
      <c r="BA67" s="947"/>
      <c r="BB67" s="947"/>
      <c r="BC67" s="947"/>
      <c r="BD67" s="947"/>
      <c r="BE67" s="947"/>
      <c r="BF67" s="947"/>
      <c r="BG67" s="947"/>
      <c r="BH67" s="947"/>
      <c r="BI67" s="947"/>
      <c r="BJ67" s="947"/>
      <c r="BK67" s="947"/>
      <c r="BL67" s="947"/>
      <c r="BM67" s="947"/>
      <c r="BN67" s="947"/>
      <c r="BO67" s="947"/>
      <c r="BP67" s="947"/>
      <c r="BQ67" s="947"/>
      <c r="BR67" s="947"/>
      <c r="BS67" s="947"/>
      <c r="BT67" s="947"/>
      <c r="BU67" s="947"/>
      <c r="BV67" s="947"/>
      <c r="BW67" s="947"/>
      <c r="BX67" s="947"/>
      <c r="BY67" s="947"/>
      <c r="BZ67" s="947"/>
      <c r="CA67" s="947"/>
      <c r="CB67" s="947"/>
      <c r="CC67" s="947"/>
      <c r="CD67" s="947"/>
      <c r="CE67" s="947"/>
      <c r="CF67" s="947"/>
      <c r="CG67" s="947"/>
      <c r="CH67" s="947"/>
      <c r="CI67" s="947"/>
      <c r="CJ67" s="947"/>
      <c r="CK67" s="947"/>
      <c r="CL67" s="947"/>
      <c r="CM67" s="947"/>
      <c r="CN67" s="947"/>
      <c r="CO67" s="947"/>
      <c r="CP67" s="947"/>
      <c r="CQ67" s="947"/>
      <c r="CR67" s="947"/>
      <c r="CS67" s="947"/>
      <c r="CT67" s="947"/>
      <c r="CU67" s="947"/>
      <c r="CV67" s="947"/>
      <c r="CW67" s="947"/>
      <c r="CX67" s="947"/>
      <c r="CY67" s="947"/>
      <c r="CZ67" s="947"/>
      <c r="DA67" s="947"/>
      <c r="DB67" s="947"/>
      <c r="DC67" s="947"/>
      <c r="DD67" s="947"/>
      <c r="DE67" s="947"/>
      <c r="DF67" s="947"/>
      <c r="DG67" s="947"/>
      <c r="DH67" s="947"/>
      <c r="DI67" s="947"/>
      <c r="DJ67" s="947"/>
      <c r="DK67" s="947"/>
      <c r="DL67" s="947"/>
      <c r="DM67" s="947"/>
      <c r="DN67" s="947"/>
      <c r="DO67" s="947"/>
      <c r="DP67" s="947"/>
      <c r="DQ67" s="947"/>
      <c r="DR67" s="947"/>
      <c r="DS67" s="947"/>
      <c r="DT67" s="947"/>
      <c r="DU67" s="947"/>
    </row>
    <row r="68" spans="2:125" x14ac:dyDescent="0.2">
      <c r="B68" s="947"/>
      <c r="C68" s="947"/>
      <c r="D68" s="947"/>
      <c r="E68" s="947"/>
      <c r="F68" s="947"/>
      <c r="G68" s="947"/>
      <c r="H68" s="947"/>
      <c r="I68" s="947"/>
      <c r="J68" s="947"/>
      <c r="K68" s="947"/>
      <c r="L68" s="947"/>
      <c r="M68" s="947"/>
      <c r="N68" s="947"/>
      <c r="O68" s="947"/>
      <c r="P68" s="947"/>
      <c r="Q68" s="947"/>
      <c r="R68" s="947"/>
      <c r="S68" s="947"/>
      <c r="T68" s="947"/>
      <c r="U68" s="947"/>
      <c r="V68" s="947"/>
      <c r="W68" s="947"/>
      <c r="X68" s="947"/>
      <c r="Y68" s="947"/>
      <c r="Z68" s="947"/>
      <c r="AA68" s="947"/>
      <c r="AB68" s="947"/>
      <c r="AC68" s="947"/>
      <c r="AD68" s="947"/>
      <c r="AE68" s="947"/>
      <c r="AF68" s="947"/>
      <c r="AG68" s="947"/>
      <c r="AH68" s="947"/>
      <c r="AI68" s="947"/>
      <c r="AJ68" s="947"/>
      <c r="AK68" s="947"/>
      <c r="AL68" s="947"/>
      <c r="AM68" s="947"/>
      <c r="AN68" s="947"/>
      <c r="AO68" s="947"/>
      <c r="AP68" s="947"/>
      <c r="AQ68" s="947"/>
      <c r="AR68" s="947"/>
      <c r="AS68" s="947"/>
      <c r="AT68" s="947"/>
      <c r="AU68" s="947"/>
      <c r="AV68" s="947"/>
      <c r="AW68" s="947"/>
      <c r="AX68" s="947"/>
      <c r="AY68" s="947"/>
      <c r="AZ68" s="947"/>
      <c r="BA68" s="947"/>
      <c r="BB68" s="947"/>
      <c r="BC68" s="947"/>
      <c r="BD68" s="947"/>
      <c r="BE68" s="947"/>
      <c r="BF68" s="947"/>
      <c r="BG68" s="947"/>
      <c r="BH68" s="947"/>
      <c r="BI68" s="947"/>
      <c r="BJ68" s="947"/>
      <c r="BK68" s="947"/>
      <c r="BL68" s="947"/>
      <c r="BM68" s="947"/>
      <c r="BN68" s="947"/>
      <c r="BO68" s="947"/>
      <c r="BP68" s="947"/>
      <c r="BQ68" s="947"/>
      <c r="BR68" s="947"/>
      <c r="BS68" s="947"/>
      <c r="BT68" s="947"/>
      <c r="BU68" s="947"/>
      <c r="BV68" s="947"/>
      <c r="BW68" s="947"/>
      <c r="BX68" s="947"/>
      <c r="BY68" s="947"/>
      <c r="BZ68" s="947"/>
      <c r="CA68" s="947"/>
      <c r="CB68" s="947"/>
      <c r="CC68" s="947"/>
      <c r="CD68" s="947"/>
      <c r="CE68" s="947"/>
      <c r="CF68" s="947"/>
      <c r="CG68" s="947"/>
      <c r="CH68" s="947"/>
      <c r="CI68" s="947"/>
      <c r="CJ68" s="947"/>
      <c r="CK68" s="947"/>
      <c r="CL68" s="947"/>
      <c r="CM68" s="947"/>
      <c r="CN68" s="947"/>
      <c r="CO68" s="947"/>
      <c r="CP68" s="947"/>
      <c r="CQ68" s="947"/>
      <c r="CR68" s="947"/>
      <c r="CS68" s="947"/>
      <c r="CT68" s="947"/>
      <c r="CU68" s="947"/>
      <c r="CV68" s="947"/>
      <c r="CW68" s="947"/>
      <c r="CX68" s="947"/>
      <c r="CY68" s="947"/>
      <c r="CZ68" s="947"/>
      <c r="DA68" s="947"/>
      <c r="DB68" s="947"/>
      <c r="DC68" s="947"/>
      <c r="DD68" s="947"/>
      <c r="DE68" s="947"/>
      <c r="DF68" s="947"/>
      <c r="DG68" s="947"/>
      <c r="DH68" s="947"/>
      <c r="DI68" s="947"/>
      <c r="DJ68" s="947"/>
      <c r="DK68" s="947"/>
      <c r="DL68" s="947"/>
      <c r="DM68" s="947"/>
      <c r="DN68" s="947"/>
      <c r="DO68" s="947"/>
      <c r="DP68" s="947"/>
      <c r="DQ68" s="947"/>
      <c r="DR68" s="947"/>
      <c r="DS68" s="947"/>
      <c r="DT68" s="947"/>
      <c r="DU68" s="947"/>
    </row>
    <row r="69" spans="2:125" x14ac:dyDescent="0.2">
      <c r="B69" s="947"/>
      <c r="C69" s="947"/>
      <c r="D69" s="947"/>
      <c r="E69" s="947"/>
      <c r="F69" s="947"/>
      <c r="G69" s="947"/>
      <c r="H69" s="947"/>
      <c r="I69" s="947"/>
      <c r="J69" s="947"/>
      <c r="K69" s="947"/>
      <c r="L69" s="947"/>
      <c r="M69" s="947"/>
      <c r="N69" s="947"/>
      <c r="O69" s="947"/>
      <c r="P69" s="947"/>
      <c r="Q69" s="947"/>
      <c r="R69" s="947"/>
      <c r="S69" s="947"/>
      <c r="T69" s="947"/>
      <c r="U69" s="947"/>
      <c r="V69" s="947"/>
      <c r="W69" s="947"/>
      <c r="X69" s="947"/>
      <c r="Y69" s="947"/>
      <c r="Z69" s="947"/>
      <c r="AA69" s="947"/>
      <c r="AB69" s="947"/>
      <c r="AC69" s="947"/>
      <c r="AD69" s="947"/>
      <c r="AE69" s="947"/>
      <c r="AF69" s="947"/>
      <c r="AG69" s="947"/>
      <c r="AH69" s="947"/>
      <c r="AI69" s="947"/>
      <c r="AJ69" s="947"/>
      <c r="AK69" s="947"/>
      <c r="AL69" s="947"/>
      <c r="AM69" s="947"/>
      <c r="AN69" s="947"/>
      <c r="AO69" s="947"/>
      <c r="AP69" s="947"/>
      <c r="AQ69" s="947"/>
      <c r="AR69" s="947"/>
      <c r="AS69" s="947"/>
      <c r="AT69" s="947"/>
      <c r="AU69" s="947"/>
      <c r="AV69" s="947"/>
      <c r="AW69" s="947"/>
      <c r="AX69" s="947"/>
      <c r="AY69" s="947"/>
      <c r="AZ69" s="947"/>
      <c r="BA69" s="947"/>
      <c r="BB69" s="947"/>
      <c r="BC69" s="947"/>
      <c r="BD69" s="947"/>
      <c r="BE69" s="947"/>
      <c r="BF69" s="947"/>
      <c r="BG69" s="947"/>
      <c r="BH69" s="947"/>
      <c r="BI69" s="947"/>
      <c r="BJ69" s="947"/>
      <c r="BK69" s="947"/>
      <c r="BL69" s="947"/>
      <c r="BM69" s="947"/>
      <c r="BN69" s="947"/>
      <c r="BO69" s="947"/>
      <c r="BP69" s="947"/>
      <c r="BQ69" s="947"/>
      <c r="BR69" s="947"/>
      <c r="BS69" s="947"/>
      <c r="BT69" s="947"/>
      <c r="BU69" s="947"/>
      <c r="BV69" s="947"/>
      <c r="BW69" s="947"/>
      <c r="BX69" s="947"/>
      <c r="BY69" s="947"/>
      <c r="BZ69" s="947"/>
      <c r="CA69" s="947"/>
      <c r="CB69" s="947"/>
      <c r="CC69" s="947"/>
      <c r="CD69" s="947"/>
      <c r="CE69" s="947"/>
      <c r="CF69" s="947"/>
      <c r="CG69" s="947"/>
      <c r="CH69" s="947"/>
      <c r="CI69" s="947"/>
      <c r="CJ69" s="947"/>
      <c r="CK69" s="947"/>
      <c r="CL69" s="947"/>
      <c r="CM69" s="947"/>
      <c r="CN69" s="947"/>
      <c r="CO69" s="947"/>
      <c r="CP69" s="947"/>
      <c r="CQ69" s="947"/>
      <c r="CR69" s="947"/>
      <c r="CS69" s="947"/>
      <c r="CT69" s="947"/>
      <c r="CU69" s="947"/>
      <c r="CV69" s="947"/>
      <c r="CW69" s="947"/>
      <c r="CX69" s="947"/>
      <c r="CY69" s="947"/>
      <c r="CZ69" s="947"/>
      <c r="DA69" s="947"/>
      <c r="DB69" s="947"/>
      <c r="DC69" s="947"/>
      <c r="DD69" s="947"/>
      <c r="DE69" s="947"/>
      <c r="DF69" s="947"/>
      <c r="DG69" s="947"/>
      <c r="DH69" s="947"/>
      <c r="DI69" s="947"/>
      <c r="DJ69" s="947"/>
      <c r="DK69" s="947"/>
      <c r="DL69" s="947"/>
      <c r="DM69" s="947"/>
      <c r="DN69" s="947"/>
      <c r="DO69" s="947"/>
      <c r="DP69" s="947"/>
      <c r="DQ69" s="947"/>
      <c r="DR69" s="947"/>
      <c r="DS69" s="947"/>
      <c r="DT69" s="947"/>
      <c r="DU69" s="947"/>
    </row>
    <row r="70" spans="2:125" x14ac:dyDescent="0.2">
      <c r="B70" s="947"/>
      <c r="C70" s="947"/>
      <c r="D70" s="947"/>
      <c r="E70" s="947"/>
      <c r="F70" s="947"/>
      <c r="G70" s="947"/>
      <c r="H70" s="947"/>
      <c r="I70" s="947"/>
      <c r="J70" s="947"/>
      <c r="K70" s="947"/>
      <c r="L70" s="947"/>
      <c r="M70" s="947"/>
      <c r="N70" s="947"/>
      <c r="O70" s="947"/>
      <c r="P70" s="947"/>
      <c r="Q70" s="947"/>
      <c r="R70" s="947"/>
      <c r="S70" s="947"/>
      <c r="T70" s="947"/>
      <c r="U70" s="947"/>
      <c r="V70" s="947"/>
      <c r="W70" s="947"/>
      <c r="X70" s="947"/>
      <c r="Y70" s="947"/>
      <c r="Z70" s="947"/>
      <c r="AA70" s="947"/>
      <c r="AB70" s="947"/>
      <c r="AC70" s="947"/>
      <c r="AD70" s="947"/>
      <c r="AE70" s="947"/>
      <c r="AF70" s="947"/>
      <c r="AG70" s="947"/>
      <c r="AH70" s="947"/>
      <c r="AI70" s="947"/>
      <c r="AJ70" s="947"/>
      <c r="AK70" s="947"/>
      <c r="AL70" s="947"/>
      <c r="AM70" s="947"/>
      <c r="AN70" s="947"/>
      <c r="AO70" s="947"/>
      <c r="AP70" s="947"/>
      <c r="AQ70" s="947"/>
      <c r="AR70" s="947"/>
      <c r="AS70" s="947"/>
      <c r="AT70" s="947"/>
      <c r="AU70" s="947"/>
      <c r="AV70" s="947"/>
      <c r="AW70" s="947"/>
      <c r="AX70" s="947"/>
      <c r="AY70" s="947"/>
      <c r="AZ70" s="947"/>
      <c r="BA70" s="947"/>
      <c r="BB70" s="947"/>
      <c r="BC70" s="947"/>
      <c r="BD70" s="947"/>
      <c r="BE70" s="947"/>
      <c r="BF70" s="947"/>
      <c r="BG70" s="947"/>
      <c r="BH70" s="947"/>
      <c r="BI70" s="947"/>
      <c r="BJ70" s="947"/>
      <c r="BK70" s="947"/>
      <c r="BL70" s="947"/>
      <c r="BM70" s="947"/>
      <c r="BN70" s="947"/>
      <c r="BO70" s="947"/>
      <c r="BP70" s="947"/>
      <c r="BQ70" s="947"/>
      <c r="BR70" s="947"/>
      <c r="BS70" s="947"/>
      <c r="BT70" s="947"/>
      <c r="BU70" s="947"/>
      <c r="BV70" s="947"/>
      <c r="BW70" s="947"/>
      <c r="BX70" s="947"/>
      <c r="BY70" s="947"/>
      <c r="BZ70" s="947"/>
      <c r="CA70" s="947"/>
      <c r="CB70" s="947"/>
      <c r="CC70" s="947"/>
      <c r="CD70" s="947"/>
      <c r="CE70" s="947"/>
      <c r="CF70" s="947"/>
      <c r="CG70" s="947"/>
      <c r="CH70" s="947"/>
      <c r="CI70" s="947"/>
      <c r="CJ70" s="947"/>
      <c r="CK70" s="947"/>
      <c r="CL70" s="947"/>
      <c r="CM70" s="947"/>
      <c r="CN70" s="947"/>
      <c r="CO70" s="947"/>
      <c r="CP70" s="947"/>
      <c r="CQ70" s="947"/>
      <c r="CR70" s="947"/>
      <c r="CS70" s="947"/>
      <c r="CT70" s="947"/>
      <c r="CU70" s="947"/>
      <c r="CV70" s="947"/>
      <c r="CW70" s="947"/>
      <c r="CX70" s="947"/>
      <c r="CY70" s="947"/>
      <c r="CZ70" s="947"/>
      <c r="DA70" s="947"/>
      <c r="DB70" s="947"/>
      <c r="DC70" s="947"/>
      <c r="DD70" s="947"/>
      <c r="DE70" s="947"/>
      <c r="DF70" s="947"/>
      <c r="DG70" s="947"/>
      <c r="DH70" s="947"/>
      <c r="DI70" s="947"/>
      <c r="DJ70" s="947"/>
      <c r="DK70" s="947"/>
      <c r="DL70" s="947"/>
      <c r="DM70" s="947"/>
      <c r="DN70" s="947"/>
      <c r="DO70" s="947"/>
      <c r="DP70" s="947"/>
      <c r="DQ70" s="947"/>
      <c r="DR70" s="947"/>
      <c r="DS70" s="947"/>
      <c r="DT70" s="947"/>
      <c r="DU70" s="947"/>
    </row>
    <row r="71" spans="2:125" x14ac:dyDescent="0.2">
      <c r="B71" s="947"/>
      <c r="C71" s="947"/>
      <c r="D71" s="947"/>
      <c r="E71" s="947"/>
      <c r="F71" s="947"/>
      <c r="G71" s="947"/>
      <c r="H71" s="947"/>
      <c r="I71" s="947"/>
      <c r="J71" s="947"/>
      <c r="K71" s="947"/>
      <c r="L71" s="947"/>
      <c r="M71" s="947"/>
      <c r="N71" s="947"/>
      <c r="O71" s="947"/>
      <c r="P71" s="947"/>
      <c r="Q71" s="947"/>
      <c r="R71" s="947"/>
      <c r="S71" s="947"/>
      <c r="T71" s="947"/>
      <c r="U71" s="947"/>
      <c r="V71" s="947"/>
      <c r="W71" s="947"/>
      <c r="X71" s="947"/>
      <c r="Y71" s="947"/>
      <c r="Z71" s="947"/>
      <c r="AA71" s="947"/>
      <c r="AB71" s="947"/>
      <c r="AC71" s="947"/>
      <c r="AD71" s="947"/>
      <c r="AE71" s="947"/>
      <c r="AF71" s="947"/>
      <c r="AG71" s="947"/>
      <c r="AH71" s="947"/>
      <c r="AI71" s="947"/>
      <c r="AJ71" s="947"/>
      <c r="AK71" s="947"/>
      <c r="AL71" s="947"/>
      <c r="AM71" s="947"/>
      <c r="AN71" s="947"/>
      <c r="AO71" s="947"/>
      <c r="AP71" s="947"/>
      <c r="AQ71" s="947"/>
      <c r="AR71" s="947"/>
      <c r="AS71" s="947"/>
      <c r="AT71" s="947"/>
      <c r="AU71" s="947"/>
      <c r="AV71" s="947"/>
      <c r="AW71" s="947"/>
      <c r="AX71" s="947"/>
      <c r="AY71" s="947"/>
      <c r="AZ71" s="947"/>
      <c r="BA71" s="947"/>
      <c r="BB71" s="947"/>
      <c r="BC71" s="947"/>
      <c r="BD71" s="947"/>
      <c r="BE71" s="947"/>
      <c r="BF71" s="947"/>
      <c r="BG71" s="947"/>
      <c r="BH71" s="947"/>
      <c r="BI71" s="947"/>
      <c r="BJ71" s="947"/>
      <c r="BK71" s="947"/>
      <c r="BL71" s="947"/>
      <c r="BM71" s="947"/>
      <c r="BN71" s="947"/>
      <c r="BO71" s="947"/>
      <c r="BP71" s="947"/>
      <c r="BQ71" s="947"/>
      <c r="BR71" s="947"/>
      <c r="BS71" s="947"/>
      <c r="BT71" s="947"/>
      <c r="BU71" s="947"/>
      <c r="BV71" s="947"/>
      <c r="BW71" s="947"/>
      <c r="BX71" s="947"/>
      <c r="BY71" s="947"/>
      <c r="BZ71" s="947"/>
      <c r="CA71" s="947"/>
      <c r="CB71" s="947"/>
      <c r="CC71" s="947"/>
      <c r="CD71" s="947"/>
      <c r="CE71" s="947"/>
      <c r="CF71" s="947"/>
      <c r="CG71" s="947"/>
      <c r="CH71" s="947"/>
      <c r="CI71" s="947"/>
      <c r="CJ71" s="947"/>
      <c r="CK71" s="947"/>
      <c r="CL71" s="947"/>
      <c r="CM71" s="947"/>
      <c r="CN71" s="947"/>
      <c r="CO71" s="947"/>
      <c r="CP71" s="947"/>
      <c r="CQ71" s="947"/>
      <c r="CR71" s="947"/>
      <c r="CS71" s="947"/>
      <c r="CT71" s="947"/>
      <c r="CU71" s="947"/>
      <c r="CV71" s="947"/>
      <c r="CW71" s="947"/>
      <c r="CX71" s="947"/>
      <c r="CY71" s="947"/>
      <c r="CZ71" s="947"/>
      <c r="DA71" s="947"/>
      <c r="DB71" s="947"/>
      <c r="DC71" s="947"/>
      <c r="DD71" s="947"/>
      <c r="DE71" s="947"/>
      <c r="DF71" s="947"/>
      <c r="DG71" s="947"/>
      <c r="DH71" s="947"/>
      <c r="DI71" s="947"/>
      <c r="DJ71" s="947"/>
      <c r="DK71" s="947"/>
      <c r="DL71" s="947"/>
      <c r="DM71" s="947"/>
      <c r="DN71" s="947"/>
      <c r="DO71" s="947"/>
      <c r="DP71" s="947"/>
      <c r="DQ71" s="947"/>
      <c r="DR71" s="947"/>
      <c r="DS71" s="947"/>
      <c r="DT71" s="947"/>
      <c r="DU71" s="947"/>
    </row>
    <row r="72" spans="2:125" x14ac:dyDescent="0.2">
      <c r="B72" s="947"/>
      <c r="C72" s="947"/>
      <c r="D72" s="947"/>
      <c r="E72" s="947"/>
      <c r="F72" s="947"/>
      <c r="G72" s="947"/>
      <c r="H72" s="947"/>
      <c r="I72" s="947"/>
      <c r="J72" s="947"/>
      <c r="K72" s="947"/>
      <c r="L72" s="947"/>
      <c r="M72" s="947"/>
      <c r="N72" s="947"/>
      <c r="O72" s="947"/>
      <c r="P72" s="947"/>
      <c r="Q72" s="947"/>
      <c r="R72" s="947"/>
      <c r="S72" s="947"/>
      <c r="T72" s="947"/>
      <c r="U72" s="947"/>
      <c r="V72" s="947"/>
      <c r="W72" s="947"/>
      <c r="X72" s="947"/>
      <c r="Y72" s="947"/>
      <c r="Z72" s="947"/>
      <c r="AA72" s="947"/>
      <c r="AB72" s="947"/>
      <c r="AC72" s="947"/>
      <c r="AD72" s="947"/>
      <c r="AE72" s="947"/>
      <c r="AF72" s="947"/>
      <c r="AG72" s="947"/>
      <c r="AH72" s="947"/>
      <c r="AI72" s="947"/>
      <c r="AJ72" s="947"/>
      <c r="AK72" s="947"/>
      <c r="AL72" s="947"/>
      <c r="AM72" s="947"/>
      <c r="AN72" s="947"/>
      <c r="AO72" s="947"/>
      <c r="AP72" s="947"/>
      <c r="AQ72" s="947"/>
      <c r="AR72" s="947"/>
      <c r="AS72" s="947"/>
      <c r="AT72" s="947"/>
      <c r="AU72" s="947"/>
      <c r="AV72" s="947"/>
      <c r="AW72" s="947"/>
      <c r="AX72" s="947"/>
      <c r="AY72" s="947"/>
      <c r="AZ72" s="947"/>
      <c r="BA72" s="947"/>
      <c r="BB72" s="947"/>
      <c r="BC72" s="947"/>
      <c r="BD72" s="947"/>
      <c r="BE72" s="947"/>
      <c r="BF72" s="947"/>
      <c r="BG72" s="947"/>
      <c r="BH72" s="947"/>
      <c r="BI72" s="947"/>
      <c r="BJ72" s="947"/>
      <c r="BK72" s="947"/>
      <c r="BL72" s="947"/>
      <c r="BM72" s="947"/>
      <c r="BN72" s="947"/>
      <c r="BO72" s="947"/>
      <c r="BP72" s="947"/>
      <c r="BQ72" s="947"/>
      <c r="BR72" s="947"/>
      <c r="BS72" s="947"/>
      <c r="BT72" s="947"/>
      <c r="BU72" s="947"/>
      <c r="BV72" s="947"/>
      <c r="BW72" s="947"/>
      <c r="BX72" s="947"/>
      <c r="BY72" s="947"/>
      <c r="BZ72" s="947"/>
      <c r="CA72" s="947"/>
      <c r="CB72" s="947"/>
      <c r="CC72" s="947"/>
      <c r="CD72" s="947"/>
      <c r="CE72" s="947"/>
      <c r="CF72" s="947"/>
      <c r="CG72" s="947"/>
      <c r="CH72" s="947"/>
      <c r="CI72" s="947"/>
      <c r="CJ72" s="947"/>
      <c r="CK72" s="947"/>
      <c r="CL72" s="947"/>
      <c r="CM72" s="947"/>
      <c r="CN72" s="947"/>
      <c r="CO72" s="947"/>
      <c r="CP72" s="947"/>
      <c r="CQ72" s="947"/>
      <c r="CR72" s="947"/>
      <c r="CS72" s="947"/>
      <c r="CT72" s="947"/>
      <c r="CU72" s="947"/>
      <c r="CV72" s="947"/>
      <c r="CW72" s="947"/>
      <c r="CX72" s="947"/>
      <c r="CY72" s="947"/>
      <c r="CZ72" s="947"/>
      <c r="DA72" s="947"/>
      <c r="DB72" s="947"/>
      <c r="DC72" s="947"/>
      <c r="DD72" s="947"/>
      <c r="DE72" s="947"/>
      <c r="DF72" s="947"/>
      <c r="DG72" s="947"/>
      <c r="DH72" s="947"/>
      <c r="DI72" s="947"/>
      <c r="DJ72" s="947"/>
      <c r="DK72" s="947"/>
      <c r="DL72" s="947"/>
      <c r="DM72" s="947"/>
      <c r="DN72" s="947"/>
      <c r="DO72" s="947"/>
      <c r="DP72" s="947"/>
      <c r="DQ72" s="947"/>
      <c r="DR72" s="947"/>
      <c r="DS72" s="947"/>
      <c r="DT72" s="947"/>
      <c r="DU72" s="947"/>
    </row>
    <row r="73" spans="2:125" x14ac:dyDescent="0.2">
      <c r="B73" s="947"/>
      <c r="C73" s="947"/>
      <c r="D73" s="947"/>
      <c r="E73" s="947"/>
      <c r="F73" s="947"/>
      <c r="G73" s="947"/>
      <c r="H73" s="947"/>
      <c r="I73" s="947"/>
      <c r="J73" s="947"/>
      <c r="K73" s="947"/>
      <c r="L73" s="947"/>
      <c r="M73" s="947"/>
      <c r="N73" s="947"/>
      <c r="O73" s="947"/>
      <c r="P73" s="947"/>
      <c r="Q73" s="947"/>
      <c r="R73" s="947"/>
      <c r="S73" s="947"/>
      <c r="T73" s="947"/>
      <c r="U73" s="947"/>
      <c r="V73" s="947"/>
      <c r="W73" s="947"/>
      <c r="X73" s="947"/>
      <c r="Y73" s="947"/>
      <c r="Z73" s="947"/>
      <c r="AA73" s="947"/>
      <c r="AB73" s="947"/>
      <c r="AC73" s="947"/>
      <c r="AD73" s="947"/>
      <c r="AE73" s="947"/>
      <c r="AF73" s="947"/>
      <c r="AG73" s="947"/>
      <c r="AH73" s="947"/>
      <c r="AI73" s="947"/>
      <c r="AJ73" s="947"/>
      <c r="AK73" s="947"/>
      <c r="AL73" s="947"/>
      <c r="AM73" s="947"/>
      <c r="AN73" s="947"/>
      <c r="AO73" s="947"/>
      <c r="AP73" s="947"/>
      <c r="AQ73" s="947"/>
      <c r="AR73" s="947"/>
      <c r="AS73" s="947"/>
      <c r="AT73" s="947"/>
      <c r="AU73" s="947"/>
      <c r="AV73" s="947"/>
      <c r="AW73" s="947"/>
      <c r="AX73" s="947"/>
      <c r="AY73" s="947"/>
      <c r="AZ73" s="947"/>
      <c r="BA73" s="947"/>
      <c r="BB73" s="947"/>
      <c r="BC73" s="947"/>
      <c r="BD73" s="947"/>
      <c r="BE73" s="947"/>
      <c r="BF73" s="947"/>
      <c r="BG73" s="947"/>
      <c r="BH73" s="947"/>
      <c r="BI73" s="947"/>
      <c r="BJ73" s="947"/>
      <c r="BK73" s="947"/>
      <c r="BL73" s="947"/>
      <c r="BM73" s="947"/>
      <c r="BN73" s="947"/>
      <c r="BO73" s="947"/>
      <c r="BP73" s="947"/>
      <c r="BQ73" s="947"/>
      <c r="BR73" s="947"/>
      <c r="BS73" s="947"/>
      <c r="BT73" s="947"/>
      <c r="BU73" s="947"/>
      <c r="BV73" s="947"/>
      <c r="BW73" s="947"/>
      <c r="BX73" s="947"/>
      <c r="BY73" s="947"/>
      <c r="BZ73" s="947"/>
      <c r="CA73" s="947"/>
      <c r="CB73" s="947"/>
      <c r="CC73" s="947"/>
      <c r="CD73" s="947"/>
      <c r="CE73" s="947"/>
      <c r="CF73" s="947"/>
      <c r="CG73" s="947"/>
      <c r="CH73" s="947"/>
      <c r="CI73" s="947"/>
      <c r="CJ73" s="947"/>
      <c r="CK73" s="947"/>
      <c r="CL73" s="947"/>
      <c r="CM73" s="947"/>
      <c r="CN73" s="947"/>
      <c r="CO73" s="947"/>
      <c r="CP73" s="947"/>
      <c r="CQ73" s="947"/>
      <c r="CR73" s="947"/>
      <c r="CS73" s="947"/>
      <c r="CT73" s="947"/>
      <c r="CU73" s="947"/>
      <c r="CV73" s="947"/>
      <c r="CW73" s="947"/>
      <c r="CX73" s="947"/>
      <c r="CY73" s="947"/>
      <c r="CZ73" s="947"/>
      <c r="DA73" s="947"/>
      <c r="DB73" s="947"/>
      <c r="DC73" s="947"/>
      <c r="DD73" s="947"/>
      <c r="DE73" s="947"/>
      <c r="DF73" s="947"/>
      <c r="DG73" s="947"/>
      <c r="DH73" s="947"/>
      <c r="DI73" s="947"/>
      <c r="DJ73" s="947"/>
      <c r="DK73" s="947"/>
      <c r="DL73" s="947"/>
      <c r="DM73" s="947"/>
      <c r="DN73" s="947"/>
      <c r="DO73" s="947"/>
      <c r="DP73" s="947"/>
      <c r="DQ73" s="947"/>
      <c r="DR73" s="947"/>
      <c r="DS73" s="947"/>
      <c r="DT73" s="947"/>
      <c r="DU73" s="947"/>
    </row>
    <row r="74" spans="2:125" x14ac:dyDescent="0.2">
      <c r="B74" s="947"/>
      <c r="C74" s="947"/>
      <c r="D74" s="947"/>
      <c r="E74" s="947"/>
      <c r="F74" s="947"/>
      <c r="G74" s="947"/>
      <c r="H74" s="947"/>
      <c r="I74" s="947"/>
      <c r="J74" s="947"/>
      <c r="K74" s="947"/>
      <c r="L74" s="947"/>
      <c r="M74" s="947"/>
      <c r="N74" s="947"/>
      <c r="O74" s="947"/>
      <c r="P74" s="947"/>
      <c r="Q74" s="947"/>
      <c r="R74" s="947"/>
      <c r="S74" s="947"/>
      <c r="T74" s="947"/>
      <c r="U74" s="947"/>
      <c r="V74" s="947"/>
      <c r="W74" s="947"/>
      <c r="X74" s="947"/>
      <c r="Y74" s="947"/>
      <c r="Z74" s="947"/>
      <c r="AA74" s="947"/>
      <c r="AB74" s="947"/>
      <c r="AC74" s="947"/>
      <c r="AD74" s="947"/>
      <c r="AE74" s="947"/>
      <c r="AF74" s="947"/>
      <c r="AG74" s="947"/>
      <c r="AH74" s="947"/>
      <c r="AI74" s="947"/>
      <c r="AJ74" s="947"/>
      <c r="AK74" s="947"/>
      <c r="AL74" s="947"/>
      <c r="AM74" s="947"/>
      <c r="AN74" s="947"/>
      <c r="AO74" s="947"/>
      <c r="AP74" s="947"/>
      <c r="AQ74" s="947"/>
      <c r="AR74" s="947"/>
      <c r="AS74" s="947"/>
      <c r="AT74" s="947"/>
      <c r="AU74" s="947"/>
      <c r="AV74" s="947"/>
      <c r="AW74" s="947"/>
      <c r="AX74" s="947"/>
      <c r="AY74" s="947"/>
      <c r="AZ74" s="947"/>
      <c r="BA74" s="947"/>
      <c r="BB74" s="947"/>
      <c r="BC74" s="947"/>
      <c r="BD74" s="947"/>
      <c r="BE74" s="947"/>
      <c r="BF74" s="947"/>
      <c r="BG74" s="947"/>
      <c r="BH74" s="947"/>
      <c r="BI74" s="947"/>
      <c r="BJ74" s="947"/>
      <c r="BK74" s="947"/>
      <c r="BL74" s="947"/>
      <c r="BM74" s="947"/>
      <c r="BN74" s="947"/>
      <c r="BO74" s="947"/>
      <c r="BP74" s="947"/>
      <c r="BQ74" s="947"/>
      <c r="BR74" s="947"/>
      <c r="BS74" s="947"/>
      <c r="BT74" s="947"/>
      <c r="BU74" s="947"/>
      <c r="BV74" s="947"/>
      <c r="BW74" s="947"/>
      <c r="BX74" s="947"/>
      <c r="BY74" s="947"/>
      <c r="BZ74" s="947"/>
      <c r="CA74" s="947"/>
      <c r="CB74" s="947"/>
      <c r="CC74" s="947"/>
      <c r="CD74" s="947"/>
      <c r="CE74" s="947"/>
      <c r="CF74" s="947"/>
      <c r="CG74" s="947"/>
      <c r="CH74" s="947"/>
      <c r="CI74" s="947"/>
      <c r="CJ74" s="947"/>
      <c r="CK74" s="947"/>
      <c r="CL74" s="947"/>
      <c r="CM74" s="947"/>
      <c r="CN74" s="947"/>
      <c r="CO74" s="947"/>
      <c r="CP74" s="947"/>
      <c r="CQ74" s="947"/>
      <c r="CR74" s="947"/>
      <c r="CS74" s="947"/>
      <c r="CT74" s="947"/>
      <c r="CU74" s="947"/>
      <c r="CV74" s="947"/>
      <c r="CW74" s="947"/>
      <c r="CX74" s="947"/>
      <c r="CY74" s="947"/>
      <c r="CZ74" s="947"/>
      <c r="DA74" s="947"/>
      <c r="DB74" s="947"/>
      <c r="DC74" s="947"/>
      <c r="DD74" s="947"/>
      <c r="DE74" s="947"/>
      <c r="DF74" s="947"/>
      <c r="DG74" s="947"/>
      <c r="DH74" s="947"/>
      <c r="DI74" s="947"/>
      <c r="DJ74" s="947"/>
      <c r="DK74" s="947"/>
      <c r="DL74" s="947"/>
      <c r="DM74" s="947"/>
      <c r="DN74" s="947"/>
      <c r="DO74" s="947"/>
      <c r="DP74" s="947"/>
      <c r="DQ74" s="947"/>
      <c r="DR74" s="947"/>
      <c r="DS74" s="947"/>
      <c r="DT74" s="947"/>
      <c r="DU74" s="947"/>
    </row>
    <row r="75" spans="2:125" x14ac:dyDescent="0.2">
      <c r="B75" s="947"/>
      <c r="C75" s="947"/>
      <c r="D75" s="947"/>
      <c r="E75" s="947"/>
      <c r="F75" s="947"/>
      <c r="G75" s="947"/>
      <c r="H75" s="947"/>
      <c r="I75" s="947"/>
      <c r="J75" s="947"/>
      <c r="K75" s="947"/>
      <c r="L75" s="947"/>
      <c r="M75" s="947"/>
      <c r="N75" s="947"/>
      <c r="O75" s="947"/>
      <c r="P75" s="947"/>
      <c r="Q75" s="947"/>
      <c r="R75" s="947"/>
      <c r="S75" s="947"/>
      <c r="T75" s="947"/>
      <c r="U75" s="947"/>
      <c r="V75" s="947"/>
      <c r="W75" s="947"/>
      <c r="X75" s="947"/>
      <c r="Y75" s="947"/>
      <c r="Z75" s="947"/>
      <c r="AA75" s="947"/>
      <c r="AB75" s="947"/>
      <c r="AC75" s="947"/>
      <c r="AD75" s="947"/>
      <c r="AE75" s="947"/>
      <c r="AF75" s="947"/>
      <c r="AG75" s="947"/>
      <c r="AH75" s="947"/>
      <c r="AI75" s="947"/>
      <c r="AJ75" s="947"/>
      <c r="AK75" s="947"/>
      <c r="AL75" s="947"/>
      <c r="AM75" s="947"/>
      <c r="AN75" s="947"/>
      <c r="AO75" s="947"/>
      <c r="AP75" s="947"/>
      <c r="AQ75" s="947"/>
      <c r="AR75" s="947"/>
      <c r="AS75" s="947"/>
      <c r="AT75" s="947"/>
      <c r="AU75" s="947"/>
      <c r="AV75" s="947"/>
      <c r="AW75" s="947"/>
      <c r="AX75" s="947"/>
      <c r="AY75" s="947"/>
      <c r="AZ75" s="947"/>
      <c r="BA75" s="947"/>
      <c r="BB75" s="947"/>
      <c r="BC75" s="947"/>
      <c r="BD75" s="947"/>
      <c r="BE75" s="947"/>
      <c r="BF75" s="947"/>
      <c r="BG75" s="947"/>
      <c r="BH75" s="947"/>
      <c r="BI75" s="947"/>
      <c r="BJ75" s="947"/>
      <c r="BK75" s="947"/>
      <c r="BL75" s="947"/>
      <c r="BM75" s="947"/>
      <c r="BN75" s="947"/>
      <c r="BO75" s="947"/>
      <c r="BP75" s="947"/>
      <c r="BQ75" s="947"/>
      <c r="BR75" s="947"/>
      <c r="BS75" s="947"/>
      <c r="BT75" s="947"/>
      <c r="BU75" s="947"/>
      <c r="BV75" s="947"/>
      <c r="BW75" s="947"/>
      <c r="BX75" s="947"/>
      <c r="BY75" s="947"/>
      <c r="BZ75" s="947"/>
      <c r="CA75" s="947"/>
      <c r="CB75" s="947"/>
      <c r="CC75" s="947"/>
      <c r="CD75" s="947"/>
      <c r="CE75" s="947"/>
      <c r="CF75" s="947"/>
      <c r="CG75" s="947"/>
      <c r="CH75" s="947"/>
      <c r="CI75" s="947"/>
      <c r="CJ75" s="947"/>
      <c r="CK75" s="947"/>
      <c r="CL75" s="947"/>
      <c r="CM75" s="947"/>
      <c r="CN75" s="947"/>
      <c r="CO75" s="947"/>
      <c r="CP75" s="947"/>
      <c r="CQ75" s="947"/>
      <c r="CR75" s="947"/>
      <c r="CS75" s="947"/>
      <c r="CT75" s="947"/>
      <c r="CU75" s="947"/>
      <c r="CV75" s="947"/>
      <c r="CW75" s="947"/>
      <c r="CX75" s="947"/>
      <c r="CY75" s="947"/>
      <c r="CZ75" s="947"/>
      <c r="DA75" s="947"/>
      <c r="DB75" s="947"/>
      <c r="DC75" s="947"/>
      <c r="DD75" s="947"/>
      <c r="DE75" s="947"/>
      <c r="DF75" s="947"/>
      <c r="DG75" s="947"/>
      <c r="DH75" s="947"/>
      <c r="DI75" s="947"/>
      <c r="DJ75" s="947"/>
      <c r="DK75" s="947"/>
      <c r="DL75" s="947"/>
      <c r="DM75" s="947"/>
      <c r="DN75" s="947"/>
      <c r="DO75" s="947"/>
      <c r="DP75" s="947"/>
      <c r="DQ75" s="947"/>
      <c r="DR75" s="947"/>
      <c r="DS75" s="947"/>
      <c r="DT75" s="947"/>
      <c r="DU75" s="947"/>
    </row>
    <row r="76" spans="2:125" x14ac:dyDescent="0.2">
      <c r="B76" s="947"/>
      <c r="C76" s="947"/>
      <c r="D76" s="947"/>
      <c r="E76" s="947"/>
      <c r="F76" s="947"/>
      <c r="G76" s="947"/>
      <c r="H76" s="947"/>
      <c r="I76" s="947"/>
      <c r="J76" s="947"/>
      <c r="K76" s="947"/>
      <c r="L76" s="947"/>
      <c r="M76" s="947"/>
      <c r="N76" s="947"/>
      <c r="O76" s="947"/>
      <c r="P76" s="947"/>
      <c r="Q76" s="947"/>
      <c r="R76" s="947"/>
      <c r="S76" s="947"/>
      <c r="T76" s="947"/>
      <c r="U76" s="947"/>
      <c r="V76" s="947"/>
      <c r="W76" s="947"/>
      <c r="X76" s="947"/>
      <c r="Y76" s="947"/>
      <c r="Z76" s="947"/>
      <c r="AA76" s="947"/>
      <c r="AB76" s="947"/>
      <c r="AC76" s="947"/>
      <c r="AD76" s="947"/>
      <c r="AE76" s="947"/>
      <c r="AF76" s="947"/>
      <c r="AG76" s="947"/>
      <c r="AH76" s="947"/>
      <c r="AI76" s="947"/>
      <c r="AJ76" s="947"/>
      <c r="AK76" s="947"/>
      <c r="AL76" s="947"/>
      <c r="AM76" s="947"/>
      <c r="AN76" s="947"/>
      <c r="AO76" s="947"/>
      <c r="AP76" s="947"/>
      <c r="AQ76" s="947"/>
      <c r="AR76" s="947"/>
      <c r="AS76" s="947"/>
      <c r="AT76" s="947"/>
      <c r="AU76" s="947"/>
      <c r="AV76" s="947"/>
      <c r="AW76" s="947"/>
      <c r="AX76" s="947"/>
      <c r="AY76" s="947"/>
      <c r="AZ76" s="947"/>
      <c r="BA76" s="947"/>
      <c r="BB76" s="947"/>
      <c r="BC76" s="947"/>
      <c r="BD76" s="947"/>
      <c r="BE76" s="947"/>
      <c r="BF76" s="947"/>
      <c r="BG76" s="947"/>
      <c r="BH76" s="947"/>
      <c r="BI76" s="947"/>
      <c r="BJ76" s="947"/>
      <c r="BK76" s="947"/>
      <c r="BL76" s="947"/>
      <c r="BM76" s="947"/>
      <c r="BN76" s="947"/>
      <c r="BO76" s="947"/>
      <c r="BP76" s="947"/>
      <c r="BQ76" s="947"/>
      <c r="BR76" s="947"/>
      <c r="BS76" s="947"/>
      <c r="BT76" s="947"/>
      <c r="BU76" s="947"/>
      <c r="BV76" s="947"/>
      <c r="BW76" s="947"/>
      <c r="BX76" s="947"/>
      <c r="BY76" s="947"/>
      <c r="BZ76" s="947"/>
      <c r="CA76" s="947"/>
      <c r="CB76" s="947"/>
      <c r="CC76" s="947"/>
      <c r="CD76" s="947"/>
      <c r="CE76" s="947"/>
      <c r="CF76" s="947"/>
      <c r="CG76" s="947"/>
      <c r="CH76" s="947"/>
      <c r="CI76" s="947"/>
      <c r="CJ76" s="947"/>
      <c r="CK76" s="947"/>
      <c r="CL76" s="947"/>
      <c r="CM76" s="947"/>
      <c r="CN76" s="947"/>
      <c r="CO76" s="947"/>
      <c r="CP76" s="947"/>
      <c r="CQ76" s="947"/>
      <c r="CR76" s="947"/>
      <c r="CS76" s="947"/>
      <c r="CT76" s="947"/>
      <c r="CU76" s="947"/>
      <c r="CV76" s="947"/>
      <c r="CW76" s="947"/>
      <c r="CX76" s="947"/>
      <c r="CY76" s="947"/>
      <c r="CZ76" s="947"/>
      <c r="DA76" s="947"/>
      <c r="DB76" s="947"/>
      <c r="DC76" s="947"/>
      <c r="DD76" s="947"/>
      <c r="DE76" s="947"/>
      <c r="DF76" s="947"/>
      <c r="DG76" s="947"/>
      <c r="DH76" s="947"/>
      <c r="DI76" s="947"/>
      <c r="DJ76" s="947"/>
      <c r="DK76" s="947"/>
      <c r="DL76" s="947"/>
      <c r="DM76" s="947"/>
      <c r="DN76" s="947"/>
      <c r="DO76" s="947"/>
      <c r="DP76" s="947"/>
      <c r="DQ76" s="947"/>
      <c r="DR76" s="947"/>
      <c r="DS76" s="947"/>
      <c r="DT76" s="947"/>
      <c r="DU76" s="947"/>
    </row>
    <row r="77" spans="2:125" x14ac:dyDescent="0.2">
      <c r="B77" s="947"/>
      <c r="C77" s="947"/>
      <c r="D77" s="947"/>
      <c r="E77" s="947"/>
      <c r="F77" s="947"/>
      <c r="G77" s="947"/>
      <c r="H77" s="947"/>
      <c r="I77" s="947"/>
      <c r="J77" s="947"/>
      <c r="K77" s="947"/>
      <c r="L77" s="947"/>
      <c r="M77" s="947"/>
      <c r="N77" s="947"/>
      <c r="O77" s="947"/>
      <c r="P77" s="947"/>
      <c r="Q77" s="947"/>
      <c r="R77" s="947"/>
      <c r="S77" s="947"/>
      <c r="T77" s="947"/>
      <c r="U77" s="947"/>
      <c r="V77" s="947"/>
      <c r="W77" s="947"/>
      <c r="X77" s="947"/>
      <c r="Y77" s="947"/>
      <c r="Z77" s="947"/>
      <c r="AA77" s="947"/>
      <c r="AB77" s="947"/>
      <c r="AC77" s="947"/>
      <c r="AD77" s="947"/>
      <c r="AE77" s="947"/>
      <c r="AF77" s="947"/>
      <c r="AG77" s="947"/>
      <c r="AH77" s="947"/>
      <c r="AI77" s="947"/>
      <c r="AJ77" s="947"/>
      <c r="AK77" s="947"/>
      <c r="AL77" s="947"/>
      <c r="AM77" s="947"/>
      <c r="AN77" s="947"/>
      <c r="AO77" s="947"/>
      <c r="AP77" s="947"/>
      <c r="AQ77" s="947"/>
      <c r="AR77" s="947"/>
      <c r="AS77" s="947"/>
      <c r="AT77" s="947"/>
      <c r="AU77" s="947"/>
      <c r="AV77" s="947"/>
      <c r="AW77" s="947"/>
      <c r="AX77" s="947"/>
      <c r="AY77" s="947"/>
      <c r="AZ77" s="947"/>
      <c r="BA77" s="947"/>
      <c r="BB77" s="947"/>
      <c r="BC77" s="947"/>
      <c r="BD77" s="947"/>
      <c r="BE77" s="947"/>
      <c r="BF77" s="947"/>
      <c r="BG77" s="947"/>
      <c r="BH77" s="947"/>
      <c r="BI77" s="947"/>
      <c r="BJ77" s="947"/>
      <c r="BK77" s="947"/>
      <c r="BL77" s="947"/>
      <c r="BM77" s="947"/>
      <c r="BN77" s="947"/>
      <c r="BO77" s="947"/>
      <c r="BP77" s="947"/>
      <c r="BQ77" s="947"/>
      <c r="BR77" s="947"/>
      <c r="BS77" s="947"/>
      <c r="BT77" s="947"/>
      <c r="BU77" s="947"/>
      <c r="BV77" s="947"/>
      <c r="BW77" s="947"/>
      <c r="BX77" s="947"/>
      <c r="BY77" s="947"/>
      <c r="BZ77" s="947"/>
      <c r="CA77" s="947"/>
      <c r="CB77" s="947"/>
      <c r="CC77" s="947"/>
      <c r="CD77" s="947"/>
      <c r="CE77" s="947"/>
      <c r="CF77" s="947"/>
      <c r="CG77" s="947"/>
      <c r="CH77" s="947"/>
      <c r="CI77" s="947"/>
      <c r="CJ77" s="947"/>
      <c r="CK77" s="947"/>
      <c r="CL77" s="947"/>
      <c r="CM77" s="947"/>
      <c r="CN77" s="947"/>
      <c r="CO77" s="947"/>
      <c r="CP77" s="947"/>
      <c r="CQ77" s="947"/>
      <c r="CR77" s="947"/>
      <c r="CS77" s="947"/>
      <c r="CT77" s="947"/>
      <c r="CU77" s="947"/>
      <c r="CV77" s="947"/>
      <c r="CW77" s="947"/>
      <c r="CX77" s="947"/>
      <c r="CY77" s="947"/>
      <c r="CZ77" s="947"/>
      <c r="DA77" s="947"/>
      <c r="DB77" s="947"/>
      <c r="DC77" s="947"/>
      <c r="DD77" s="947"/>
      <c r="DE77" s="947"/>
      <c r="DF77" s="947"/>
      <c r="DG77" s="947"/>
      <c r="DH77" s="947"/>
      <c r="DI77" s="947"/>
      <c r="DJ77" s="947"/>
      <c r="DK77" s="947"/>
      <c r="DL77" s="947"/>
      <c r="DM77" s="947"/>
      <c r="DN77" s="947"/>
      <c r="DO77" s="947"/>
      <c r="DP77" s="947"/>
      <c r="DQ77" s="947"/>
      <c r="DR77" s="947"/>
      <c r="DS77" s="947"/>
      <c r="DT77" s="947"/>
      <c r="DU77" s="947"/>
    </row>
    <row r="78" spans="2:125" x14ac:dyDescent="0.2">
      <c r="B78" s="947"/>
      <c r="C78" s="947"/>
      <c r="D78" s="947"/>
      <c r="E78" s="947"/>
      <c r="F78" s="947"/>
      <c r="G78" s="947"/>
      <c r="H78" s="947"/>
      <c r="I78" s="947"/>
      <c r="J78" s="947"/>
      <c r="K78" s="947"/>
      <c r="L78" s="947"/>
      <c r="M78" s="947"/>
      <c r="N78" s="947"/>
      <c r="O78" s="947"/>
      <c r="P78" s="947"/>
      <c r="Q78" s="947"/>
      <c r="R78" s="947"/>
      <c r="S78" s="947"/>
      <c r="T78" s="947"/>
      <c r="U78" s="947"/>
      <c r="V78" s="947"/>
      <c r="W78" s="947"/>
      <c r="X78" s="947"/>
      <c r="Y78" s="947"/>
      <c r="Z78" s="947"/>
      <c r="AA78" s="947"/>
      <c r="AB78" s="947"/>
      <c r="AC78" s="947"/>
      <c r="AD78" s="947"/>
      <c r="AE78" s="947"/>
      <c r="AF78" s="947"/>
      <c r="AG78" s="947"/>
      <c r="AH78" s="947"/>
      <c r="AI78" s="947"/>
      <c r="AJ78" s="947"/>
      <c r="AK78" s="947"/>
      <c r="AL78" s="947"/>
      <c r="AM78" s="947"/>
      <c r="AN78" s="947"/>
      <c r="AO78" s="947"/>
      <c r="AP78" s="947"/>
      <c r="AQ78" s="947"/>
      <c r="AR78" s="947"/>
      <c r="AS78" s="947"/>
      <c r="AT78" s="947"/>
      <c r="AU78" s="947"/>
      <c r="AV78" s="947"/>
      <c r="AW78" s="947"/>
      <c r="AX78" s="947"/>
      <c r="AY78" s="947"/>
      <c r="AZ78" s="947"/>
      <c r="BA78" s="947"/>
      <c r="BB78" s="947"/>
      <c r="BC78" s="947"/>
      <c r="BD78" s="947"/>
      <c r="BE78" s="947"/>
      <c r="BF78" s="947"/>
      <c r="BG78" s="947"/>
      <c r="BH78" s="947"/>
      <c r="BI78" s="947"/>
      <c r="BJ78" s="947"/>
      <c r="BK78" s="947"/>
      <c r="BL78" s="947"/>
      <c r="BM78" s="947"/>
      <c r="BN78" s="947"/>
      <c r="BO78" s="947"/>
      <c r="BP78" s="947"/>
      <c r="BQ78" s="947"/>
      <c r="BR78" s="947"/>
      <c r="BS78" s="947"/>
      <c r="BT78" s="947"/>
      <c r="BU78" s="947"/>
      <c r="BV78" s="947"/>
      <c r="BW78" s="947"/>
      <c r="BX78" s="947"/>
      <c r="BY78" s="947"/>
      <c r="BZ78" s="947"/>
      <c r="CA78" s="947"/>
      <c r="CB78" s="947"/>
      <c r="CC78" s="947"/>
      <c r="CD78" s="947"/>
      <c r="CE78" s="947"/>
      <c r="CF78" s="947"/>
      <c r="CG78" s="947"/>
      <c r="CH78" s="947"/>
      <c r="CI78" s="947"/>
      <c r="CJ78" s="947"/>
      <c r="CK78" s="947"/>
      <c r="CL78" s="947"/>
      <c r="CM78" s="947"/>
      <c r="CN78" s="947"/>
      <c r="CO78" s="947"/>
      <c r="CP78" s="947"/>
      <c r="CQ78" s="947"/>
      <c r="CR78" s="947"/>
      <c r="CS78" s="947"/>
      <c r="CT78" s="947"/>
      <c r="CU78" s="947"/>
      <c r="CV78" s="947"/>
      <c r="CW78" s="947"/>
      <c r="CX78" s="947"/>
      <c r="CY78" s="947"/>
      <c r="CZ78" s="947"/>
      <c r="DA78" s="947"/>
      <c r="DB78" s="947"/>
      <c r="DC78" s="947"/>
      <c r="DD78" s="947"/>
      <c r="DE78" s="947"/>
      <c r="DF78" s="947"/>
      <c r="DG78" s="947"/>
      <c r="DH78" s="947"/>
      <c r="DI78" s="947"/>
      <c r="DJ78" s="947"/>
      <c r="DK78" s="947"/>
      <c r="DL78" s="947"/>
      <c r="DM78" s="947"/>
      <c r="DN78" s="947"/>
      <c r="DO78" s="947"/>
      <c r="DP78" s="947"/>
      <c r="DQ78" s="947"/>
      <c r="DR78" s="947"/>
      <c r="DS78" s="947"/>
      <c r="DT78" s="947"/>
      <c r="DU78" s="947"/>
    </row>
    <row r="79" spans="2:125" x14ac:dyDescent="0.2">
      <c r="B79" s="947"/>
      <c r="C79" s="947"/>
      <c r="D79" s="947"/>
      <c r="E79" s="947"/>
      <c r="F79" s="947"/>
      <c r="G79" s="947"/>
      <c r="H79" s="947"/>
      <c r="I79" s="947"/>
      <c r="J79" s="947"/>
      <c r="K79" s="947"/>
      <c r="L79" s="947"/>
      <c r="M79" s="947"/>
      <c r="N79" s="947"/>
      <c r="O79" s="947"/>
      <c r="P79" s="947"/>
      <c r="Q79" s="947"/>
      <c r="R79" s="947"/>
      <c r="S79" s="947"/>
      <c r="T79" s="947"/>
      <c r="U79" s="947"/>
      <c r="V79" s="947"/>
      <c r="W79" s="947"/>
      <c r="X79" s="947"/>
      <c r="Y79" s="947"/>
      <c r="Z79" s="947"/>
      <c r="AA79" s="947"/>
      <c r="AB79" s="947"/>
      <c r="AC79" s="947"/>
      <c r="AD79" s="947"/>
      <c r="AE79" s="947"/>
      <c r="AF79" s="947"/>
      <c r="AG79" s="947"/>
      <c r="AH79" s="947"/>
      <c r="AI79" s="947"/>
      <c r="AJ79" s="947"/>
      <c r="AK79" s="947"/>
      <c r="AL79" s="947"/>
      <c r="AM79" s="947"/>
      <c r="AN79" s="947"/>
      <c r="AO79" s="947"/>
      <c r="AP79" s="947"/>
      <c r="AQ79" s="947"/>
      <c r="AR79" s="947"/>
      <c r="AS79" s="947"/>
      <c r="AT79" s="947"/>
      <c r="AU79" s="947"/>
      <c r="AV79" s="947"/>
      <c r="AW79" s="947"/>
      <c r="AX79" s="947"/>
      <c r="AY79" s="947"/>
      <c r="AZ79" s="947"/>
      <c r="BA79" s="947"/>
      <c r="BB79" s="947"/>
      <c r="BC79" s="947"/>
      <c r="BD79" s="947"/>
      <c r="BE79" s="947"/>
      <c r="BF79" s="947"/>
      <c r="BG79" s="947"/>
      <c r="BH79" s="947"/>
      <c r="BI79" s="947"/>
      <c r="BJ79" s="947"/>
      <c r="BK79" s="947"/>
      <c r="BL79" s="947"/>
      <c r="BM79" s="947"/>
      <c r="BN79" s="947"/>
      <c r="BO79" s="947"/>
      <c r="BP79" s="947"/>
      <c r="BQ79" s="947"/>
      <c r="BR79" s="947"/>
      <c r="BS79" s="947"/>
      <c r="BT79" s="947"/>
      <c r="BU79" s="947"/>
      <c r="BV79" s="947"/>
      <c r="BW79" s="947"/>
      <c r="BX79" s="947"/>
      <c r="BY79" s="947"/>
      <c r="BZ79" s="947"/>
      <c r="CA79" s="947"/>
      <c r="CB79" s="947"/>
      <c r="CC79" s="947"/>
      <c r="CD79" s="947"/>
      <c r="CE79" s="947"/>
      <c r="CF79" s="947"/>
      <c r="CG79" s="947"/>
      <c r="CH79" s="947"/>
      <c r="CI79" s="947"/>
      <c r="CJ79" s="947"/>
      <c r="CK79" s="947"/>
      <c r="CL79" s="947"/>
      <c r="CM79" s="947"/>
      <c r="CN79" s="947"/>
      <c r="CO79" s="947"/>
      <c r="CP79" s="947"/>
      <c r="CQ79" s="947"/>
      <c r="CR79" s="947"/>
      <c r="CS79" s="947"/>
      <c r="CT79" s="947"/>
      <c r="CU79" s="947"/>
      <c r="CV79" s="947"/>
      <c r="CW79" s="947"/>
      <c r="CX79" s="947"/>
      <c r="CY79" s="947"/>
      <c r="CZ79" s="947"/>
      <c r="DA79" s="947"/>
      <c r="DB79" s="947"/>
      <c r="DC79" s="947"/>
      <c r="DD79" s="947"/>
      <c r="DE79" s="947"/>
      <c r="DF79" s="947"/>
      <c r="DG79" s="947"/>
      <c r="DH79" s="947"/>
      <c r="DI79" s="947"/>
      <c r="DJ79" s="947"/>
      <c r="DK79" s="947"/>
      <c r="DL79" s="947"/>
      <c r="DM79" s="947"/>
      <c r="DN79" s="947"/>
      <c r="DO79" s="947"/>
      <c r="DP79" s="947"/>
      <c r="DQ79" s="947"/>
      <c r="DR79" s="947"/>
      <c r="DS79" s="947"/>
      <c r="DT79" s="947"/>
      <c r="DU79" s="947"/>
    </row>
    <row r="80" spans="2:125" x14ac:dyDescent="0.2">
      <c r="B80" s="947"/>
      <c r="C80" s="947"/>
      <c r="D80" s="947"/>
      <c r="E80" s="947"/>
      <c r="F80" s="947"/>
      <c r="G80" s="947"/>
      <c r="H80" s="947"/>
      <c r="I80" s="947"/>
      <c r="J80" s="947"/>
      <c r="K80" s="947"/>
      <c r="L80" s="947"/>
      <c r="M80" s="947"/>
      <c r="N80" s="947"/>
      <c r="O80" s="947"/>
      <c r="P80" s="947"/>
      <c r="Q80" s="947"/>
      <c r="R80" s="947"/>
      <c r="S80" s="947"/>
      <c r="T80" s="947"/>
      <c r="U80" s="947"/>
      <c r="V80" s="947"/>
      <c r="W80" s="947"/>
      <c r="X80" s="947"/>
      <c r="Y80" s="947"/>
      <c r="Z80" s="947"/>
      <c r="AA80" s="947"/>
      <c r="AB80" s="947"/>
      <c r="AC80" s="947"/>
      <c r="AD80" s="947"/>
      <c r="AE80" s="947"/>
      <c r="AF80" s="947"/>
      <c r="AG80" s="947"/>
      <c r="AH80" s="947"/>
      <c r="AI80" s="947"/>
      <c r="AJ80" s="947"/>
      <c r="AK80" s="947"/>
      <c r="AL80" s="947"/>
      <c r="AM80" s="947"/>
      <c r="AN80" s="947"/>
      <c r="AO80" s="947"/>
      <c r="AP80" s="947"/>
      <c r="AQ80" s="947"/>
      <c r="AR80" s="947"/>
      <c r="AS80" s="947"/>
      <c r="AT80" s="947"/>
      <c r="AU80" s="947"/>
      <c r="AV80" s="947"/>
      <c r="AW80" s="947"/>
      <c r="AX80" s="947"/>
      <c r="AY80" s="947"/>
      <c r="AZ80" s="947"/>
      <c r="BA80" s="947"/>
      <c r="BB80" s="947"/>
      <c r="BC80" s="947"/>
      <c r="BD80" s="947"/>
      <c r="BE80" s="947"/>
      <c r="BF80" s="947"/>
      <c r="BG80" s="947"/>
      <c r="BH80" s="947"/>
      <c r="BI80" s="947"/>
      <c r="BJ80" s="947"/>
      <c r="BK80" s="947"/>
      <c r="BL80" s="947"/>
      <c r="BM80" s="947"/>
      <c r="BN80" s="947"/>
      <c r="BO80" s="947"/>
      <c r="BP80" s="947"/>
      <c r="BQ80" s="947"/>
      <c r="BR80" s="947"/>
      <c r="BS80" s="947"/>
      <c r="BT80" s="947"/>
      <c r="BU80" s="947"/>
      <c r="BV80" s="947"/>
      <c r="BW80" s="947"/>
      <c r="BX80" s="947"/>
      <c r="BY80" s="947"/>
      <c r="BZ80" s="947"/>
      <c r="CA80" s="947"/>
      <c r="CB80" s="947"/>
      <c r="CC80" s="947"/>
      <c r="CD80" s="947"/>
      <c r="CE80" s="947"/>
      <c r="CF80" s="947"/>
      <c r="CG80" s="947"/>
      <c r="CH80" s="947"/>
      <c r="CI80" s="947"/>
      <c r="CJ80" s="947"/>
      <c r="CK80" s="947"/>
      <c r="CL80" s="947"/>
      <c r="CM80" s="947"/>
      <c r="CN80" s="947"/>
      <c r="CO80" s="947"/>
      <c r="CP80" s="947"/>
      <c r="CQ80" s="947"/>
      <c r="CR80" s="947"/>
      <c r="CS80" s="947"/>
      <c r="CT80" s="947"/>
      <c r="CU80" s="947"/>
      <c r="CV80" s="947"/>
      <c r="CW80" s="947"/>
      <c r="CX80" s="947"/>
      <c r="CY80" s="947"/>
      <c r="CZ80" s="947"/>
      <c r="DA80" s="947"/>
      <c r="DB80" s="947"/>
      <c r="DC80" s="947"/>
      <c r="DD80" s="947"/>
      <c r="DE80" s="947"/>
      <c r="DF80" s="947"/>
      <c r="DG80" s="947"/>
      <c r="DH80" s="947"/>
      <c r="DI80" s="947"/>
      <c r="DJ80" s="947"/>
      <c r="DK80" s="947"/>
      <c r="DL80" s="947"/>
      <c r="DM80" s="947"/>
      <c r="DN80" s="947"/>
      <c r="DO80" s="947"/>
      <c r="DP80" s="947"/>
      <c r="DQ80" s="947"/>
      <c r="DR80" s="947"/>
      <c r="DS80" s="947"/>
      <c r="DT80" s="947"/>
      <c r="DU80" s="947"/>
    </row>
    <row r="81" spans="2:125" x14ac:dyDescent="0.2">
      <c r="B81" s="947"/>
      <c r="C81" s="947"/>
      <c r="D81" s="947"/>
      <c r="E81" s="947"/>
      <c r="F81" s="947"/>
      <c r="G81" s="947"/>
      <c r="H81" s="947"/>
      <c r="I81" s="947"/>
      <c r="J81" s="947"/>
      <c r="K81" s="947"/>
      <c r="L81" s="947"/>
      <c r="M81" s="947"/>
      <c r="N81" s="947"/>
      <c r="O81" s="947"/>
      <c r="P81" s="947"/>
      <c r="Q81" s="947"/>
      <c r="R81" s="947"/>
      <c r="S81" s="947"/>
      <c r="T81" s="947"/>
      <c r="U81" s="947"/>
      <c r="V81" s="947"/>
      <c r="W81" s="947"/>
      <c r="X81" s="947"/>
      <c r="Y81" s="947"/>
      <c r="Z81" s="947"/>
      <c r="AA81" s="947"/>
      <c r="AB81" s="947"/>
      <c r="AC81" s="947"/>
      <c r="AD81" s="947"/>
      <c r="AE81" s="947"/>
      <c r="AF81" s="947"/>
      <c r="AG81" s="947"/>
      <c r="AH81" s="947"/>
      <c r="AI81" s="947"/>
      <c r="AJ81" s="947"/>
      <c r="AK81" s="947"/>
      <c r="AL81" s="947"/>
      <c r="AM81" s="947"/>
      <c r="AN81" s="947"/>
      <c r="AO81" s="947"/>
      <c r="AP81" s="947"/>
      <c r="AQ81" s="947"/>
      <c r="AR81" s="947"/>
      <c r="AS81" s="947"/>
      <c r="AT81" s="947"/>
      <c r="AU81" s="947"/>
      <c r="AV81" s="947"/>
      <c r="AW81" s="947"/>
      <c r="AX81" s="947"/>
      <c r="AY81" s="947"/>
      <c r="AZ81" s="947"/>
      <c r="BA81" s="947"/>
      <c r="BB81" s="947"/>
      <c r="BC81" s="947"/>
      <c r="BD81" s="947"/>
      <c r="BE81" s="947"/>
      <c r="BF81" s="947"/>
      <c r="BG81" s="947"/>
      <c r="BH81" s="947"/>
      <c r="BI81" s="947"/>
      <c r="BJ81" s="947"/>
      <c r="BK81" s="947"/>
      <c r="BL81" s="947"/>
      <c r="BM81" s="947"/>
      <c r="BN81" s="947"/>
      <c r="BO81" s="947"/>
      <c r="BP81" s="947"/>
      <c r="BQ81" s="947"/>
      <c r="BR81" s="947"/>
      <c r="BS81" s="947"/>
      <c r="BT81" s="947"/>
      <c r="BU81" s="947"/>
      <c r="BV81" s="947"/>
      <c r="BW81" s="947"/>
      <c r="BX81" s="947"/>
      <c r="BY81" s="947"/>
      <c r="BZ81" s="947"/>
      <c r="CA81" s="947"/>
      <c r="CB81" s="947"/>
      <c r="CC81" s="947"/>
      <c r="CD81" s="947"/>
      <c r="CE81" s="947"/>
      <c r="CF81" s="947"/>
      <c r="CG81" s="947"/>
      <c r="CH81" s="947"/>
      <c r="CI81" s="947"/>
      <c r="CJ81" s="947"/>
      <c r="CK81" s="947"/>
      <c r="CL81" s="947"/>
      <c r="CM81" s="947"/>
      <c r="CN81" s="947"/>
      <c r="CO81" s="947"/>
      <c r="CP81" s="947"/>
      <c r="CQ81" s="947"/>
      <c r="CR81" s="947"/>
      <c r="CS81" s="947"/>
      <c r="CT81" s="947"/>
      <c r="CU81" s="947"/>
      <c r="CV81" s="947"/>
      <c r="CW81" s="947"/>
      <c r="CX81" s="947"/>
      <c r="CY81" s="947"/>
      <c r="CZ81" s="947"/>
      <c r="DA81" s="947"/>
      <c r="DB81" s="947"/>
      <c r="DC81" s="947"/>
      <c r="DD81" s="947"/>
      <c r="DE81" s="947"/>
      <c r="DF81" s="947"/>
      <c r="DG81" s="947"/>
      <c r="DH81" s="947"/>
      <c r="DI81" s="947"/>
      <c r="DJ81" s="947"/>
      <c r="DK81" s="947"/>
      <c r="DL81" s="947"/>
      <c r="DM81" s="947"/>
      <c r="DN81" s="947"/>
      <c r="DO81" s="947"/>
      <c r="DP81" s="947"/>
      <c r="DQ81" s="947"/>
      <c r="DR81" s="947"/>
      <c r="DS81" s="947"/>
      <c r="DT81" s="947"/>
      <c r="DU81" s="947"/>
    </row>
    <row r="82" spans="2:125" x14ac:dyDescent="0.2">
      <c r="B82" s="947"/>
      <c r="C82" s="947"/>
      <c r="D82" s="947"/>
      <c r="E82" s="947"/>
      <c r="F82" s="947"/>
      <c r="G82" s="947"/>
      <c r="H82" s="947"/>
      <c r="I82" s="947"/>
      <c r="J82" s="947"/>
      <c r="K82" s="947"/>
      <c r="L82" s="947"/>
      <c r="M82" s="947"/>
      <c r="N82" s="947"/>
      <c r="O82" s="947"/>
      <c r="P82" s="947"/>
      <c r="Q82" s="947"/>
      <c r="R82" s="947"/>
      <c r="S82" s="947"/>
      <c r="T82" s="947"/>
      <c r="U82" s="947"/>
      <c r="V82" s="947"/>
      <c r="W82" s="947"/>
      <c r="X82" s="947"/>
      <c r="Y82" s="947"/>
      <c r="Z82" s="947"/>
      <c r="AA82" s="947"/>
      <c r="AB82" s="947"/>
      <c r="AC82" s="947"/>
      <c r="AD82" s="947"/>
      <c r="AE82" s="947"/>
      <c r="AF82" s="947"/>
      <c r="AG82" s="947"/>
      <c r="AH82" s="947"/>
      <c r="AI82" s="947"/>
      <c r="AJ82" s="947"/>
      <c r="AK82" s="947"/>
      <c r="AL82" s="947"/>
      <c r="AM82" s="947"/>
      <c r="AN82" s="947"/>
      <c r="AO82" s="947"/>
      <c r="AP82" s="947"/>
      <c r="AQ82" s="947"/>
      <c r="AR82" s="947"/>
      <c r="AS82" s="947"/>
      <c r="AT82" s="947"/>
      <c r="AU82" s="947"/>
      <c r="AV82" s="947"/>
      <c r="AW82" s="947"/>
      <c r="AX82" s="947"/>
      <c r="AY82" s="947"/>
      <c r="AZ82" s="947"/>
      <c r="BA82" s="947"/>
      <c r="BB82" s="947"/>
      <c r="BC82" s="947"/>
      <c r="BD82" s="947"/>
      <c r="BE82" s="947"/>
      <c r="BF82" s="947"/>
      <c r="BG82" s="947"/>
      <c r="BH82" s="947"/>
      <c r="BI82" s="947"/>
      <c r="BJ82" s="947"/>
      <c r="BK82" s="947"/>
      <c r="BL82" s="947"/>
      <c r="BM82" s="947"/>
      <c r="BN82" s="947"/>
      <c r="BO82" s="947"/>
      <c r="BP82" s="947"/>
      <c r="BQ82" s="947"/>
      <c r="BR82" s="947"/>
      <c r="BS82" s="947"/>
      <c r="BT82" s="947"/>
      <c r="BU82" s="947"/>
      <c r="BV82" s="947"/>
      <c r="BW82" s="947"/>
      <c r="BX82" s="947"/>
      <c r="BY82" s="947"/>
      <c r="BZ82" s="947"/>
      <c r="CA82" s="947"/>
      <c r="CB82" s="947"/>
      <c r="CC82" s="947"/>
      <c r="CD82" s="947"/>
      <c r="CE82" s="947"/>
      <c r="CF82" s="947"/>
      <c r="CG82" s="947"/>
      <c r="CH82" s="947"/>
      <c r="CI82" s="947"/>
      <c r="CJ82" s="947"/>
      <c r="CK82" s="947"/>
      <c r="CL82" s="947"/>
      <c r="CM82" s="947"/>
      <c r="CN82" s="947"/>
      <c r="CO82" s="947"/>
      <c r="CP82" s="947"/>
      <c r="CQ82" s="947"/>
      <c r="CR82" s="947"/>
      <c r="CS82" s="947"/>
      <c r="CT82" s="947"/>
      <c r="CU82" s="947"/>
      <c r="CV82" s="947"/>
      <c r="CW82" s="947"/>
      <c r="CX82" s="947"/>
      <c r="CY82" s="947"/>
      <c r="CZ82" s="947"/>
      <c r="DA82" s="947"/>
      <c r="DB82" s="947"/>
      <c r="DC82" s="947"/>
      <c r="DD82" s="947"/>
      <c r="DE82" s="947"/>
      <c r="DF82" s="947"/>
      <c r="DG82" s="947"/>
      <c r="DH82" s="947"/>
      <c r="DI82" s="947"/>
      <c r="DJ82" s="947"/>
      <c r="DK82" s="947"/>
      <c r="DL82" s="947"/>
      <c r="DM82" s="947"/>
      <c r="DN82" s="947"/>
      <c r="DO82" s="947"/>
      <c r="DP82" s="947"/>
      <c r="DQ82" s="947"/>
      <c r="DR82" s="947"/>
      <c r="DS82" s="947"/>
      <c r="DT82" s="947"/>
      <c r="DU82" s="947"/>
    </row>
    <row r="83" spans="2:125" x14ac:dyDescent="0.2">
      <c r="B83" s="947"/>
      <c r="C83" s="947"/>
      <c r="D83" s="947"/>
      <c r="E83" s="947"/>
      <c r="F83" s="947"/>
      <c r="G83" s="947"/>
      <c r="H83" s="947"/>
      <c r="I83" s="947"/>
      <c r="J83" s="947"/>
      <c r="K83" s="947"/>
      <c r="L83" s="947"/>
      <c r="M83" s="947"/>
      <c r="N83" s="947"/>
      <c r="O83" s="947"/>
      <c r="P83" s="947"/>
      <c r="Q83" s="947"/>
      <c r="R83" s="947"/>
      <c r="S83" s="947"/>
      <c r="T83" s="947"/>
      <c r="U83" s="947"/>
      <c r="V83" s="947"/>
      <c r="W83" s="947"/>
      <c r="X83" s="947"/>
      <c r="Y83" s="947"/>
      <c r="Z83" s="947"/>
      <c r="AA83" s="947"/>
      <c r="AB83" s="947"/>
      <c r="AC83" s="947"/>
      <c r="AD83" s="947"/>
      <c r="AE83" s="947"/>
      <c r="AF83" s="947"/>
      <c r="AG83" s="947"/>
      <c r="AH83" s="947"/>
      <c r="AI83" s="947"/>
      <c r="AJ83" s="947"/>
      <c r="AK83" s="947"/>
      <c r="AL83" s="947"/>
      <c r="AM83" s="947"/>
      <c r="AN83" s="947"/>
      <c r="AO83" s="947"/>
      <c r="AP83" s="947"/>
      <c r="AQ83" s="947"/>
      <c r="AR83" s="947"/>
      <c r="AS83" s="947"/>
      <c r="AT83" s="947"/>
      <c r="AU83" s="947"/>
      <c r="AV83" s="947"/>
      <c r="AW83" s="947"/>
      <c r="AX83" s="947"/>
      <c r="AY83" s="947"/>
      <c r="AZ83" s="947"/>
      <c r="BA83" s="947"/>
      <c r="BB83" s="947"/>
      <c r="BC83" s="947"/>
      <c r="BD83" s="947"/>
      <c r="BE83" s="947"/>
      <c r="BF83" s="947"/>
      <c r="BG83" s="947"/>
      <c r="BH83" s="947"/>
      <c r="BI83" s="947"/>
      <c r="BJ83" s="947"/>
      <c r="BK83" s="947"/>
      <c r="BL83" s="947"/>
      <c r="BM83" s="947"/>
      <c r="BN83" s="947"/>
      <c r="BO83" s="947"/>
      <c r="BP83" s="947"/>
      <c r="BQ83" s="947"/>
      <c r="BR83" s="947"/>
      <c r="BS83" s="947"/>
      <c r="BT83" s="947"/>
      <c r="BU83" s="947"/>
      <c r="BV83" s="947"/>
      <c r="BW83" s="947"/>
      <c r="BX83" s="947"/>
      <c r="BY83" s="947"/>
      <c r="BZ83" s="947"/>
      <c r="CA83" s="947"/>
      <c r="CB83" s="947"/>
      <c r="CC83" s="947"/>
      <c r="CD83" s="947"/>
      <c r="CE83" s="947"/>
      <c r="CF83" s="947"/>
      <c r="CG83" s="947"/>
      <c r="CH83" s="947"/>
      <c r="CI83" s="947"/>
      <c r="CJ83" s="947"/>
      <c r="CK83" s="947"/>
      <c r="CL83" s="947"/>
      <c r="CM83" s="947"/>
      <c r="CN83" s="947"/>
      <c r="CO83" s="947"/>
      <c r="CP83" s="947"/>
      <c r="CQ83" s="947"/>
      <c r="CR83" s="947"/>
      <c r="CS83" s="947"/>
      <c r="CT83" s="947"/>
      <c r="CU83" s="947"/>
      <c r="CV83" s="947"/>
      <c r="CW83" s="947"/>
      <c r="CX83" s="947"/>
      <c r="CY83" s="947"/>
      <c r="CZ83" s="947"/>
      <c r="DA83" s="947"/>
      <c r="DB83" s="947"/>
      <c r="DC83" s="947"/>
      <c r="DD83" s="947"/>
      <c r="DE83" s="947"/>
      <c r="DF83" s="947"/>
      <c r="DG83" s="947"/>
      <c r="DH83" s="947"/>
      <c r="DI83" s="947"/>
      <c r="DJ83" s="947"/>
      <c r="DK83" s="947"/>
      <c r="DL83" s="947"/>
      <c r="DM83" s="947"/>
      <c r="DN83" s="947"/>
      <c r="DO83" s="947"/>
      <c r="DP83" s="947"/>
      <c r="DQ83" s="947"/>
      <c r="DR83" s="947"/>
      <c r="DS83" s="947"/>
      <c r="DT83" s="947"/>
      <c r="DU83" s="947"/>
    </row>
    <row r="84" spans="2:125" x14ac:dyDescent="0.2">
      <c r="B84" s="947"/>
      <c r="C84" s="947"/>
      <c r="D84" s="947"/>
      <c r="E84" s="947"/>
      <c r="F84" s="947"/>
      <c r="G84" s="947"/>
      <c r="H84" s="947"/>
      <c r="I84" s="947"/>
      <c r="J84" s="947"/>
      <c r="K84" s="947"/>
      <c r="L84" s="947"/>
      <c r="M84" s="947"/>
      <c r="N84" s="947"/>
      <c r="O84" s="947"/>
      <c r="P84" s="947"/>
      <c r="Q84" s="947"/>
      <c r="R84" s="947"/>
      <c r="S84" s="947"/>
      <c r="T84" s="947"/>
      <c r="U84" s="947"/>
      <c r="V84" s="947"/>
      <c r="W84" s="947"/>
      <c r="X84" s="947"/>
      <c r="Y84" s="947"/>
      <c r="Z84" s="947"/>
      <c r="AA84" s="947"/>
      <c r="AB84" s="947"/>
      <c r="AC84" s="947"/>
      <c r="AD84" s="947"/>
      <c r="AE84" s="947"/>
      <c r="AF84" s="947"/>
      <c r="AG84" s="947"/>
      <c r="AH84" s="947"/>
      <c r="AI84" s="947"/>
      <c r="AJ84" s="947"/>
      <c r="AK84" s="947"/>
      <c r="AL84" s="947"/>
      <c r="AM84" s="947"/>
      <c r="AN84" s="947"/>
      <c r="AO84" s="947"/>
      <c r="AP84" s="947"/>
      <c r="AQ84" s="947"/>
      <c r="AR84" s="947"/>
      <c r="AS84" s="947"/>
      <c r="AT84" s="947"/>
      <c r="AU84" s="947"/>
      <c r="AV84" s="947"/>
      <c r="AW84" s="947"/>
      <c r="AX84" s="947"/>
      <c r="AY84" s="947"/>
      <c r="AZ84" s="947"/>
      <c r="BA84" s="947"/>
      <c r="BB84" s="947"/>
      <c r="BC84" s="947"/>
      <c r="BD84" s="947"/>
      <c r="BE84" s="947"/>
      <c r="BF84" s="947"/>
      <c r="BG84" s="947"/>
      <c r="BH84" s="947"/>
      <c r="BI84" s="947"/>
      <c r="BJ84" s="947"/>
      <c r="BK84" s="947"/>
      <c r="BL84" s="947"/>
      <c r="BM84" s="947"/>
      <c r="BN84" s="947"/>
      <c r="BO84" s="947"/>
      <c r="BP84" s="947"/>
      <c r="BQ84" s="947"/>
      <c r="BR84" s="947"/>
      <c r="BS84" s="947"/>
      <c r="BT84" s="947"/>
      <c r="BU84" s="947"/>
      <c r="BV84" s="947"/>
      <c r="BW84" s="947"/>
      <c r="BX84" s="947"/>
      <c r="BY84" s="947"/>
      <c r="BZ84" s="947"/>
      <c r="CA84" s="947"/>
      <c r="CB84" s="947"/>
      <c r="CC84" s="947"/>
      <c r="CD84" s="947"/>
      <c r="CE84" s="947"/>
      <c r="CF84" s="947"/>
      <c r="CG84" s="947"/>
      <c r="CH84" s="947"/>
      <c r="CI84" s="947"/>
      <c r="CJ84" s="947"/>
      <c r="CK84" s="947"/>
      <c r="CL84" s="947"/>
      <c r="CM84" s="947"/>
      <c r="CN84" s="947"/>
      <c r="CO84" s="947"/>
      <c r="CP84" s="947"/>
      <c r="CQ84" s="947"/>
      <c r="CR84" s="947"/>
      <c r="CS84" s="947"/>
      <c r="CT84" s="947"/>
      <c r="CU84" s="947"/>
      <c r="CV84" s="947"/>
      <c r="CW84" s="947"/>
      <c r="CX84" s="947"/>
      <c r="CY84" s="947"/>
      <c r="CZ84" s="947"/>
      <c r="DA84" s="947"/>
      <c r="DB84" s="947"/>
      <c r="DC84" s="947"/>
      <c r="DD84" s="947"/>
      <c r="DE84" s="947"/>
      <c r="DF84" s="947"/>
      <c r="DG84" s="947"/>
      <c r="DH84" s="947"/>
      <c r="DI84" s="947"/>
      <c r="DJ84" s="947"/>
      <c r="DK84" s="947"/>
      <c r="DL84" s="947"/>
      <c r="DM84" s="947"/>
      <c r="DN84" s="947"/>
      <c r="DO84" s="947"/>
      <c r="DP84" s="947"/>
      <c r="DQ84" s="947"/>
      <c r="DR84" s="947"/>
      <c r="DS84" s="947"/>
      <c r="DT84" s="947"/>
      <c r="DU84" s="947"/>
    </row>
    <row r="85" spans="2:125" x14ac:dyDescent="0.2">
      <c r="B85" s="947"/>
      <c r="C85" s="947"/>
      <c r="D85" s="947"/>
      <c r="E85" s="947"/>
      <c r="F85" s="947"/>
      <c r="G85" s="947"/>
      <c r="H85" s="947"/>
      <c r="I85" s="947"/>
      <c r="J85" s="947"/>
      <c r="K85" s="947"/>
      <c r="L85" s="947"/>
      <c r="M85" s="947"/>
      <c r="N85" s="947"/>
      <c r="O85" s="947"/>
      <c r="P85" s="947"/>
      <c r="Q85" s="947"/>
      <c r="R85" s="947"/>
      <c r="S85" s="947"/>
      <c r="T85" s="947"/>
      <c r="U85" s="947"/>
      <c r="V85" s="947"/>
      <c r="W85" s="947"/>
      <c r="X85" s="947"/>
      <c r="Y85" s="947"/>
      <c r="Z85" s="947"/>
      <c r="AA85" s="947"/>
      <c r="AB85" s="947"/>
      <c r="AC85" s="947"/>
      <c r="AD85" s="947"/>
      <c r="AE85" s="947"/>
      <c r="AF85" s="947"/>
      <c r="AG85" s="947"/>
      <c r="AH85" s="947"/>
      <c r="AI85" s="947"/>
      <c r="AJ85" s="947"/>
      <c r="AK85" s="947"/>
      <c r="AL85" s="947"/>
      <c r="AM85" s="947"/>
      <c r="AN85" s="947"/>
      <c r="AO85" s="947"/>
      <c r="AP85" s="947"/>
      <c r="AQ85" s="947"/>
      <c r="AR85" s="947"/>
      <c r="AS85" s="947"/>
      <c r="AT85" s="947"/>
      <c r="AU85" s="947"/>
      <c r="AV85" s="947"/>
      <c r="AW85" s="947"/>
      <c r="AX85" s="947"/>
      <c r="AY85" s="947"/>
      <c r="AZ85" s="947"/>
      <c r="BA85" s="947"/>
      <c r="BB85" s="947"/>
      <c r="BC85" s="947"/>
      <c r="BD85" s="947"/>
      <c r="BE85" s="947"/>
      <c r="BF85" s="947"/>
      <c r="BG85" s="947"/>
      <c r="BH85" s="947"/>
      <c r="BI85" s="947"/>
      <c r="BJ85" s="947"/>
      <c r="BK85" s="947"/>
      <c r="BL85" s="947"/>
      <c r="BM85" s="947"/>
      <c r="BN85" s="947"/>
      <c r="BO85" s="947"/>
      <c r="BP85" s="947"/>
      <c r="BQ85" s="947"/>
      <c r="BR85" s="947"/>
      <c r="BS85" s="947"/>
      <c r="BT85" s="947"/>
      <c r="BU85" s="947"/>
      <c r="BV85" s="947"/>
      <c r="BW85" s="947"/>
      <c r="BX85" s="947"/>
      <c r="BY85" s="947"/>
      <c r="BZ85" s="947"/>
      <c r="CA85" s="947"/>
      <c r="CB85" s="947"/>
      <c r="CC85" s="947"/>
      <c r="CD85" s="947"/>
      <c r="CE85" s="947"/>
      <c r="CF85" s="947"/>
      <c r="CG85" s="947"/>
      <c r="CH85" s="947"/>
      <c r="CI85" s="947"/>
      <c r="CJ85" s="947"/>
      <c r="CK85" s="947"/>
      <c r="CL85" s="947"/>
      <c r="CM85" s="947"/>
      <c r="CN85" s="947"/>
      <c r="CO85" s="947"/>
      <c r="CP85" s="947"/>
      <c r="CQ85" s="947"/>
      <c r="CR85" s="947"/>
      <c r="CS85" s="947"/>
      <c r="CT85" s="947"/>
      <c r="CU85" s="947"/>
      <c r="CV85" s="947"/>
      <c r="CW85" s="947"/>
      <c r="CX85" s="947"/>
      <c r="CY85" s="947"/>
      <c r="CZ85" s="947"/>
      <c r="DA85" s="947"/>
      <c r="DB85" s="947"/>
      <c r="DC85" s="947"/>
      <c r="DD85" s="947"/>
      <c r="DE85" s="947"/>
      <c r="DF85" s="947"/>
      <c r="DG85" s="947"/>
      <c r="DH85" s="947"/>
      <c r="DI85" s="947"/>
      <c r="DJ85" s="947"/>
      <c r="DK85" s="947"/>
      <c r="DL85" s="947"/>
      <c r="DM85" s="947"/>
      <c r="DN85" s="947"/>
      <c r="DO85" s="947"/>
      <c r="DP85" s="947"/>
      <c r="DQ85" s="947"/>
      <c r="DR85" s="947"/>
      <c r="DS85" s="947"/>
      <c r="DT85" s="947"/>
      <c r="DU85" s="947"/>
    </row>
    <row r="86" spans="2:125" x14ac:dyDescent="0.2">
      <c r="B86" s="947"/>
      <c r="C86" s="947"/>
      <c r="D86" s="947"/>
      <c r="E86" s="947"/>
      <c r="F86" s="947"/>
      <c r="G86" s="947"/>
      <c r="H86" s="947"/>
      <c r="I86" s="947"/>
      <c r="J86" s="947"/>
      <c r="K86" s="947"/>
      <c r="L86" s="947"/>
      <c r="M86" s="947"/>
      <c r="N86" s="947"/>
      <c r="O86" s="947"/>
      <c r="P86" s="947"/>
      <c r="Q86" s="947"/>
      <c r="R86" s="947"/>
      <c r="S86" s="947"/>
      <c r="T86" s="947"/>
      <c r="U86" s="947"/>
      <c r="V86" s="947"/>
      <c r="W86" s="947"/>
      <c r="X86" s="947"/>
      <c r="Y86" s="947"/>
      <c r="Z86" s="947"/>
      <c r="AA86" s="947"/>
      <c r="AB86" s="947"/>
      <c r="AC86" s="947"/>
      <c r="AD86" s="947"/>
      <c r="AE86" s="947"/>
      <c r="AF86" s="947"/>
      <c r="AG86" s="947"/>
      <c r="AH86" s="947"/>
      <c r="AI86" s="947"/>
      <c r="AJ86" s="947"/>
      <c r="AK86" s="947"/>
      <c r="AL86" s="947"/>
      <c r="AM86" s="947"/>
      <c r="AN86" s="947"/>
      <c r="AO86" s="947"/>
      <c r="AP86" s="947"/>
      <c r="AQ86" s="947"/>
      <c r="AR86" s="947"/>
      <c r="AS86" s="947"/>
      <c r="AT86" s="947"/>
      <c r="AU86" s="947"/>
      <c r="AV86" s="947"/>
      <c r="AW86" s="947"/>
      <c r="AX86" s="947"/>
      <c r="AY86" s="947"/>
      <c r="AZ86" s="947"/>
      <c r="BA86" s="947"/>
      <c r="BB86" s="947"/>
      <c r="BC86" s="947"/>
      <c r="BD86" s="947"/>
      <c r="BE86" s="947"/>
      <c r="BF86" s="947"/>
      <c r="BG86" s="947"/>
      <c r="BH86" s="947"/>
      <c r="BI86" s="947"/>
      <c r="BJ86" s="947"/>
      <c r="BK86" s="947"/>
      <c r="BL86" s="947"/>
      <c r="BM86" s="947"/>
      <c r="BN86" s="947"/>
      <c r="BO86" s="947"/>
      <c r="BP86" s="947"/>
      <c r="BQ86" s="947"/>
      <c r="BR86" s="947"/>
      <c r="BS86" s="947"/>
      <c r="BT86" s="947"/>
      <c r="BU86" s="947"/>
      <c r="BV86" s="947"/>
      <c r="BW86" s="947"/>
      <c r="BX86" s="947"/>
      <c r="BY86" s="947"/>
      <c r="BZ86" s="947"/>
      <c r="CA86" s="947"/>
      <c r="CB86" s="947"/>
      <c r="CC86" s="947"/>
      <c r="CD86" s="947"/>
      <c r="CE86" s="947"/>
      <c r="CF86" s="947"/>
      <c r="CG86" s="947"/>
      <c r="CH86" s="947"/>
      <c r="CI86" s="947"/>
      <c r="CJ86" s="947"/>
      <c r="CK86" s="947"/>
      <c r="CL86" s="947"/>
      <c r="CM86" s="947"/>
      <c r="CN86" s="947"/>
      <c r="CO86" s="947"/>
      <c r="CP86" s="947"/>
      <c r="CQ86" s="947"/>
      <c r="CR86" s="947"/>
      <c r="CS86" s="947"/>
      <c r="CT86" s="947"/>
      <c r="CU86" s="947"/>
      <c r="CV86" s="947"/>
      <c r="CW86" s="947"/>
      <c r="CX86" s="947"/>
      <c r="CY86" s="947"/>
      <c r="CZ86" s="947"/>
      <c r="DA86" s="947"/>
      <c r="DB86" s="947"/>
      <c r="DC86" s="947"/>
      <c r="DD86" s="947"/>
      <c r="DE86" s="947"/>
      <c r="DF86" s="947"/>
      <c r="DG86" s="947"/>
      <c r="DH86" s="947"/>
      <c r="DI86" s="947"/>
      <c r="DJ86" s="947"/>
      <c r="DK86" s="947"/>
      <c r="DL86" s="947"/>
      <c r="DM86" s="947"/>
      <c r="DN86" s="947"/>
      <c r="DO86" s="947"/>
      <c r="DP86" s="947"/>
      <c r="DQ86" s="947"/>
      <c r="DR86" s="947"/>
      <c r="DS86" s="947"/>
      <c r="DT86" s="947"/>
      <c r="DU86" s="947"/>
    </row>
    <row r="87" spans="2:125" x14ac:dyDescent="0.2">
      <c r="B87" s="947"/>
      <c r="C87" s="947"/>
      <c r="D87" s="947"/>
      <c r="E87" s="947"/>
      <c r="F87" s="947"/>
      <c r="G87" s="947"/>
      <c r="H87" s="947"/>
      <c r="I87" s="947"/>
      <c r="J87" s="947"/>
      <c r="K87" s="947"/>
      <c r="L87" s="947"/>
      <c r="M87" s="947"/>
      <c r="N87" s="947"/>
      <c r="O87" s="947"/>
      <c r="P87" s="947"/>
      <c r="Q87" s="947"/>
      <c r="R87" s="947"/>
      <c r="S87" s="947"/>
      <c r="T87" s="947"/>
      <c r="U87" s="947"/>
      <c r="V87" s="947"/>
      <c r="W87" s="947"/>
      <c r="X87" s="947"/>
      <c r="Y87" s="947"/>
      <c r="Z87" s="947"/>
      <c r="AA87" s="947"/>
      <c r="AB87" s="947"/>
      <c r="AC87" s="947"/>
      <c r="AD87" s="947"/>
      <c r="AE87" s="947"/>
      <c r="AF87" s="947"/>
      <c r="AG87" s="947"/>
      <c r="AH87" s="947"/>
      <c r="AI87" s="947"/>
      <c r="AJ87" s="947"/>
      <c r="AK87" s="947"/>
      <c r="AL87" s="947"/>
      <c r="AM87" s="947"/>
      <c r="AN87" s="947"/>
      <c r="AO87" s="947"/>
      <c r="AP87" s="947"/>
      <c r="AQ87" s="947"/>
      <c r="AR87" s="947"/>
      <c r="AS87" s="947"/>
      <c r="AT87" s="947"/>
      <c r="AU87" s="947"/>
      <c r="AV87" s="947"/>
      <c r="AW87" s="947"/>
      <c r="AX87" s="947"/>
      <c r="AY87" s="947"/>
      <c r="AZ87" s="947"/>
      <c r="BA87" s="947"/>
      <c r="BB87" s="947"/>
      <c r="BC87" s="947"/>
      <c r="BD87" s="947"/>
      <c r="BE87" s="947"/>
      <c r="BF87" s="947"/>
      <c r="BG87" s="947"/>
      <c r="BH87" s="947"/>
      <c r="BI87" s="947"/>
      <c r="BJ87" s="947"/>
      <c r="BK87" s="947"/>
      <c r="BL87" s="947"/>
      <c r="BM87" s="947"/>
      <c r="BN87" s="947"/>
      <c r="BO87" s="947"/>
      <c r="BP87" s="947"/>
      <c r="BQ87" s="947"/>
      <c r="BR87" s="947"/>
      <c r="BS87" s="947"/>
      <c r="BT87" s="947"/>
      <c r="BU87" s="947"/>
      <c r="BV87" s="947"/>
      <c r="BW87" s="947"/>
      <c r="BX87" s="947"/>
      <c r="BY87" s="947"/>
      <c r="BZ87" s="947"/>
      <c r="CA87" s="947"/>
      <c r="CB87" s="947"/>
      <c r="CC87" s="947"/>
      <c r="CD87" s="947"/>
      <c r="CE87" s="947"/>
      <c r="CF87" s="947"/>
      <c r="CG87" s="947"/>
      <c r="CH87" s="947"/>
      <c r="CI87" s="947"/>
      <c r="CJ87" s="947"/>
      <c r="CK87" s="947"/>
      <c r="CL87" s="947"/>
      <c r="CM87" s="947"/>
      <c r="CN87" s="947"/>
      <c r="CO87" s="947"/>
      <c r="CP87" s="947"/>
      <c r="CQ87" s="947"/>
      <c r="CR87" s="947"/>
      <c r="CS87" s="947"/>
      <c r="CT87" s="947"/>
      <c r="CU87" s="947"/>
      <c r="CV87" s="947"/>
      <c r="CW87" s="947"/>
      <c r="CX87" s="947"/>
      <c r="CY87" s="947"/>
      <c r="CZ87" s="947"/>
      <c r="DA87" s="947"/>
      <c r="DB87" s="947"/>
      <c r="DC87" s="947"/>
      <c r="DD87" s="947"/>
      <c r="DE87" s="947"/>
      <c r="DF87" s="947"/>
      <c r="DG87" s="947"/>
      <c r="DH87" s="947"/>
      <c r="DI87" s="947"/>
      <c r="DJ87" s="947"/>
      <c r="DK87" s="947"/>
      <c r="DL87" s="947"/>
      <c r="DM87" s="947"/>
      <c r="DN87" s="947"/>
      <c r="DO87" s="947"/>
      <c r="DP87" s="947"/>
      <c r="DQ87" s="947"/>
      <c r="DR87" s="947"/>
      <c r="DS87" s="947"/>
      <c r="DT87" s="947"/>
      <c r="DU87" s="947"/>
    </row>
    <row r="88" spans="2:125" x14ac:dyDescent="0.2">
      <c r="B88" s="947"/>
      <c r="C88" s="947"/>
      <c r="D88" s="947"/>
      <c r="E88" s="947"/>
      <c r="F88" s="947"/>
      <c r="G88" s="947"/>
      <c r="H88" s="947"/>
      <c r="I88" s="947"/>
      <c r="J88" s="947"/>
      <c r="K88" s="947"/>
      <c r="L88" s="947"/>
      <c r="M88" s="947"/>
      <c r="N88" s="947"/>
      <c r="O88" s="947"/>
      <c r="P88" s="947"/>
      <c r="Q88" s="947"/>
      <c r="R88" s="947"/>
      <c r="S88" s="947"/>
      <c r="T88" s="947"/>
      <c r="U88" s="947"/>
      <c r="V88" s="947"/>
      <c r="W88" s="947"/>
      <c r="X88" s="947"/>
      <c r="Y88" s="947"/>
      <c r="Z88" s="947"/>
      <c r="AA88" s="947"/>
      <c r="AB88" s="947"/>
      <c r="AC88" s="947"/>
      <c r="AD88" s="947"/>
      <c r="AE88" s="947"/>
      <c r="AF88" s="947"/>
      <c r="AG88" s="947"/>
      <c r="AH88" s="947"/>
      <c r="AI88" s="947"/>
      <c r="AJ88" s="947"/>
      <c r="AK88" s="947"/>
      <c r="AL88" s="947"/>
      <c r="AM88" s="947"/>
      <c r="AN88" s="947"/>
      <c r="AO88" s="947"/>
      <c r="AP88" s="947"/>
      <c r="AQ88" s="947"/>
      <c r="AR88" s="947"/>
      <c r="AS88" s="947"/>
      <c r="AT88" s="947"/>
      <c r="AU88" s="947"/>
      <c r="AV88" s="947"/>
      <c r="AW88" s="947"/>
      <c r="AX88" s="947"/>
      <c r="AY88" s="947"/>
      <c r="AZ88" s="947"/>
      <c r="BA88" s="947"/>
      <c r="BB88" s="947"/>
      <c r="BC88" s="947"/>
      <c r="BD88" s="947"/>
      <c r="BE88" s="947"/>
      <c r="BF88" s="947"/>
      <c r="BG88" s="947"/>
      <c r="BH88" s="947"/>
      <c r="BI88" s="947"/>
      <c r="BJ88" s="947"/>
      <c r="BK88" s="947"/>
      <c r="BL88" s="947"/>
      <c r="BM88" s="947"/>
      <c r="BN88" s="947"/>
      <c r="BO88" s="947"/>
      <c r="BP88" s="947"/>
      <c r="BQ88" s="947"/>
      <c r="BR88" s="947"/>
      <c r="BS88" s="947"/>
      <c r="BT88" s="947"/>
      <c r="BU88" s="947"/>
      <c r="BV88" s="947"/>
      <c r="BW88" s="947"/>
      <c r="BX88" s="947"/>
      <c r="BY88" s="947"/>
      <c r="BZ88" s="947"/>
      <c r="CA88" s="947"/>
      <c r="CB88" s="947"/>
      <c r="CC88" s="947"/>
      <c r="CD88" s="947"/>
      <c r="CE88" s="947"/>
      <c r="CF88" s="947"/>
      <c r="CG88" s="947"/>
      <c r="CH88" s="947"/>
      <c r="CI88" s="947"/>
      <c r="CJ88" s="947"/>
      <c r="CK88" s="947"/>
      <c r="CL88" s="947"/>
      <c r="CM88" s="947"/>
      <c r="CN88" s="947"/>
      <c r="CO88" s="947"/>
      <c r="CP88" s="947"/>
      <c r="CQ88" s="947"/>
      <c r="CR88" s="947"/>
      <c r="CS88" s="947"/>
      <c r="CT88" s="947"/>
      <c r="CU88" s="947"/>
      <c r="CV88" s="947"/>
      <c r="CW88" s="947"/>
      <c r="CX88" s="947"/>
      <c r="CY88" s="947"/>
      <c r="CZ88" s="947"/>
      <c r="DA88" s="947"/>
      <c r="DB88" s="947"/>
      <c r="DC88" s="947"/>
      <c r="DD88" s="947"/>
      <c r="DE88" s="947"/>
      <c r="DF88" s="947"/>
      <c r="DG88" s="947"/>
      <c r="DH88" s="947"/>
      <c r="DI88" s="947"/>
      <c r="DJ88" s="947"/>
      <c r="DK88" s="947"/>
      <c r="DL88" s="947"/>
      <c r="DM88" s="947"/>
      <c r="DN88" s="947"/>
      <c r="DO88" s="947"/>
      <c r="DP88" s="947"/>
      <c r="DQ88" s="947"/>
      <c r="DR88" s="947"/>
      <c r="DS88" s="947"/>
      <c r="DT88" s="947"/>
      <c r="DU88" s="947"/>
    </row>
    <row r="89" spans="2:125" x14ac:dyDescent="0.2">
      <c r="B89" s="947"/>
      <c r="C89" s="947"/>
      <c r="D89" s="947"/>
      <c r="E89" s="947"/>
      <c r="F89" s="947"/>
      <c r="G89" s="947"/>
      <c r="H89" s="947"/>
      <c r="I89" s="947"/>
      <c r="J89" s="947"/>
      <c r="K89" s="947"/>
      <c r="L89" s="947"/>
      <c r="M89" s="947"/>
      <c r="N89" s="947"/>
      <c r="O89" s="947"/>
      <c r="P89" s="947"/>
      <c r="Q89" s="947"/>
      <c r="R89" s="947"/>
      <c r="S89" s="947"/>
      <c r="T89" s="947"/>
      <c r="U89" s="947"/>
      <c r="V89" s="947"/>
      <c r="W89" s="947"/>
      <c r="X89" s="947"/>
      <c r="Y89" s="947"/>
      <c r="Z89" s="947"/>
      <c r="AA89" s="947"/>
      <c r="AB89" s="947"/>
      <c r="AC89" s="947"/>
      <c r="AD89" s="947"/>
      <c r="AE89" s="947"/>
      <c r="AF89" s="947"/>
      <c r="AG89" s="947"/>
      <c r="AH89" s="947"/>
      <c r="AI89" s="947"/>
      <c r="AJ89" s="947"/>
      <c r="AK89" s="947"/>
      <c r="AL89" s="947"/>
      <c r="AM89" s="947"/>
      <c r="AN89" s="947"/>
      <c r="AO89" s="947"/>
      <c r="AP89" s="947"/>
      <c r="AQ89" s="947"/>
      <c r="AR89" s="947"/>
      <c r="AS89" s="947"/>
      <c r="AT89" s="947"/>
      <c r="AU89" s="947"/>
      <c r="AV89" s="947"/>
      <c r="AW89" s="947"/>
      <c r="AX89" s="947"/>
      <c r="AY89" s="947"/>
      <c r="AZ89" s="947"/>
      <c r="BA89" s="947"/>
      <c r="BB89" s="947"/>
      <c r="BC89" s="947"/>
      <c r="BD89" s="947"/>
      <c r="BE89" s="947"/>
      <c r="BF89" s="947"/>
      <c r="BG89" s="947"/>
      <c r="BH89" s="947"/>
      <c r="BI89" s="947"/>
      <c r="BJ89" s="947"/>
      <c r="BK89" s="947"/>
      <c r="BL89" s="947"/>
      <c r="BM89" s="947"/>
      <c r="BN89" s="947"/>
      <c r="BO89" s="947"/>
      <c r="BP89" s="947"/>
      <c r="BQ89" s="947"/>
      <c r="BR89" s="947"/>
      <c r="BS89" s="947"/>
      <c r="BT89" s="947"/>
      <c r="BU89" s="947"/>
      <c r="BV89" s="947"/>
      <c r="BW89" s="947"/>
      <c r="BX89" s="947"/>
      <c r="BY89" s="947"/>
      <c r="BZ89" s="947"/>
      <c r="CA89" s="947"/>
      <c r="CB89" s="947"/>
      <c r="CC89" s="947"/>
      <c r="CD89" s="947"/>
      <c r="CE89" s="947"/>
      <c r="CF89" s="947"/>
      <c r="CG89" s="947"/>
      <c r="CH89" s="947"/>
      <c r="CI89" s="947"/>
      <c r="CJ89" s="947"/>
      <c r="CK89" s="947"/>
      <c r="CL89" s="947"/>
      <c r="CM89" s="947"/>
      <c r="CN89" s="947"/>
      <c r="CO89" s="947"/>
      <c r="CP89" s="947"/>
      <c r="CQ89" s="947"/>
      <c r="CR89" s="947"/>
      <c r="CS89" s="947"/>
      <c r="CT89" s="947"/>
      <c r="CU89" s="947"/>
      <c r="CV89" s="947"/>
      <c r="CW89" s="947"/>
      <c r="CX89" s="947"/>
      <c r="CY89" s="947"/>
      <c r="CZ89" s="947"/>
      <c r="DA89" s="947"/>
      <c r="DB89" s="947"/>
      <c r="DC89" s="947"/>
      <c r="DD89" s="947"/>
      <c r="DE89" s="947"/>
      <c r="DF89" s="947"/>
      <c r="DG89" s="947"/>
      <c r="DH89" s="947"/>
      <c r="DI89" s="947"/>
      <c r="DJ89" s="947"/>
      <c r="DK89" s="947"/>
      <c r="DL89" s="947"/>
      <c r="DM89" s="947"/>
      <c r="DN89" s="947"/>
      <c r="DO89" s="947"/>
      <c r="DP89" s="947"/>
      <c r="DQ89" s="947"/>
      <c r="DR89" s="947"/>
      <c r="DS89" s="947"/>
      <c r="DT89" s="947"/>
      <c r="DU89" s="947"/>
    </row>
    <row r="90" spans="2:125" x14ac:dyDescent="0.2">
      <c r="B90" s="947"/>
      <c r="C90" s="947"/>
      <c r="D90" s="947"/>
      <c r="E90" s="947"/>
      <c r="F90" s="947"/>
      <c r="G90" s="947"/>
      <c r="H90" s="947"/>
      <c r="I90" s="947"/>
      <c r="J90" s="947"/>
      <c r="K90" s="947"/>
      <c r="L90" s="947"/>
      <c r="M90" s="947"/>
      <c r="N90" s="947"/>
      <c r="O90" s="947"/>
      <c r="P90" s="947"/>
      <c r="Q90" s="947"/>
      <c r="R90" s="947"/>
      <c r="S90" s="947"/>
      <c r="T90" s="947"/>
      <c r="U90" s="947"/>
      <c r="V90" s="947"/>
      <c r="W90" s="947"/>
      <c r="X90" s="947"/>
      <c r="Y90" s="947"/>
      <c r="Z90" s="947"/>
      <c r="AA90" s="947"/>
      <c r="AB90" s="947"/>
      <c r="AC90" s="947"/>
      <c r="AD90" s="947"/>
      <c r="AE90" s="947"/>
      <c r="AF90" s="947"/>
      <c r="AG90" s="947"/>
      <c r="AH90" s="947"/>
      <c r="AI90" s="947"/>
      <c r="AJ90" s="947"/>
      <c r="AK90" s="947"/>
      <c r="AL90" s="947"/>
      <c r="AM90" s="947"/>
      <c r="AN90" s="947"/>
      <c r="AO90" s="947"/>
      <c r="AP90" s="947"/>
      <c r="AQ90" s="947"/>
      <c r="AR90" s="947"/>
      <c r="AS90" s="947"/>
      <c r="AT90" s="947"/>
      <c r="AU90" s="947"/>
      <c r="AV90" s="947"/>
      <c r="AW90" s="947"/>
      <c r="AX90" s="947"/>
      <c r="AY90" s="947"/>
      <c r="AZ90" s="947"/>
      <c r="BA90" s="947"/>
      <c r="BB90" s="947"/>
      <c r="BC90" s="947"/>
      <c r="BD90" s="947"/>
      <c r="BE90" s="947"/>
      <c r="BF90" s="947"/>
      <c r="BG90" s="947"/>
      <c r="BH90" s="947"/>
      <c r="BI90" s="947"/>
      <c r="BJ90" s="947"/>
      <c r="BK90" s="947"/>
      <c r="BL90" s="947"/>
      <c r="BM90" s="947"/>
      <c r="BN90" s="947"/>
      <c r="BO90" s="947"/>
      <c r="BP90" s="947"/>
      <c r="BQ90" s="947"/>
      <c r="BR90" s="947"/>
      <c r="BS90" s="947"/>
      <c r="BT90" s="947"/>
      <c r="BU90" s="947"/>
      <c r="BV90" s="947"/>
      <c r="BW90" s="947"/>
      <c r="BX90" s="947"/>
      <c r="BY90" s="947"/>
      <c r="BZ90" s="947"/>
      <c r="CA90" s="947"/>
      <c r="CB90" s="947"/>
      <c r="CC90" s="947"/>
      <c r="CD90" s="947"/>
      <c r="CE90" s="947"/>
      <c r="CF90" s="947"/>
      <c r="CG90" s="947"/>
      <c r="CH90" s="947"/>
      <c r="CI90" s="947"/>
      <c r="CJ90" s="947"/>
      <c r="CK90" s="947"/>
      <c r="CL90" s="947"/>
      <c r="CM90" s="947"/>
      <c r="CN90" s="947"/>
      <c r="CO90" s="947"/>
      <c r="CP90" s="947"/>
      <c r="CQ90" s="947"/>
      <c r="CR90" s="947"/>
      <c r="CS90" s="947"/>
      <c r="CT90" s="947"/>
      <c r="CU90" s="947"/>
      <c r="CV90" s="947"/>
      <c r="CW90" s="947"/>
      <c r="CX90" s="947"/>
      <c r="CY90" s="947"/>
      <c r="CZ90" s="947"/>
      <c r="DA90" s="947"/>
      <c r="DB90" s="947"/>
      <c r="DC90" s="947"/>
      <c r="DD90" s="947"/>
      <c r="DE90" s="947"/>
      <c r="DF90" s="947"/>
      <c r="DG90" s="947"/>
      <c r="DH90" s="947"/>
      <c r="DI90" s="947"/>
      <c r="DJ90" s="947"/>
      <c r="DK90" s="947"/>
      <c r="DL90" s="947"/>
      <c r="DM90" s="947"/>
      <c r="DN90" s="947"/>
      <c r="DO90" s="947"/>
      <c r="DP90" s="947"/>
      <c r="DQ90" s="947"/>
      <c r="DR90" s="947"/>
      <c r="DS90" s="947"/>
      <c r="DT90" s="947"/>
      <c r="DU90" s="947"/>
    </row>
    <row r="91" spans="2:125" x14ac:dyDescent="0.2">
      <c r="B91" s="947"/>
      <c r="C91" s="947"/>
      <c r="D91" s="947"/>
      <c r="E91" s="947"/>
      <c r="F91" s="947"/>
      <c r="G91" s="947"/>
      <c r="H91" s="947"/>
      <c r="I91" s="947"/>
      <c r="J91" s="947"/>
      <c r="K91" s="947"/>
      <c r="L91" s="947"/>
      <c r="M91" s="947"/>
      <c r="N91" s="947"/>
      <c r="O91" s="947"/>
      <c r="P91" s="947"/>
      <c r="Q91" s="947"/>
      <c r="R91" s="947"/>
      <c r="S91" s="947"/>
      <c r="T91" s="947"/>
      <c r="U91" s="947"/>
      <c r="V91" s="947"/>
      <c r="W91" s="947"/>
      <c r="X91" s="947"/>
      <c r="Y91" s="1048" t="s">
        <v>1103</v>
      </c>
      <c r="Z91" s="1049" t="e">
        <f>NA()</f>
        <v>#N/A</v>
      </c>
      <c r="AA91" s="1049" t="e">
        <f t="shared" ref="AA91:BW91" si="64">IF(AB2="",NA(),AVERAGE(MAX($Z$45:$BW$45),MIN($Z$45:$BW$45)))</f>
        <v>#N/A</v>
      </c>
      <c r="AB91" s="1049" t="e">
        <f t="shared" si="64"/>
        <v>#N/A</v>
      </c>
      <c r="AC91" s="1049" t="e">
        <f t="shared" si="64"/>
        <v>#N/A</v>
      </c>
      <c r="AD91" s="1049">
        <f t="shared" ca="1" si="64"/>
        <v>-15896.345318275402</v>
      </c>
      <c r="AE91" s="1049" t="e">
        <f t="shared" si="64"/>
        <v>#N/A</v>
      </c>
      <c r="AF91" s="1049" t="e">
        <f t="shared" si="64"/>
        <v>#N/A</v>
      </c>
      <c r="AG91" s="1049" t="e">
        <f t="shared" si="64"/>
        <v>#N/A</v>
      </c>
      <c r="AH91" s="1049" t="e">
        <f t="shared" si="64"/>
        <v>#N/A</v>
      </c>
      <c r="AI91" s="1049">
        <f t="shared" ca="1" si="64"/>
        <v>-15896.345318275402</v>
      </c>
      <c r="AJ91" s="1049" t="e">
        <f t="shared" si="64"/>
        <v>#N/A</v>
      </c>
      <c r="AK91" s="1049" t="e">
        <f t="shared" si="64"/>
        <v>#N/A</v>
      </c>
      <c r="AL91" s="1049" t="e">
        <f t="shared" si="64"/>
        <v>#N/A</v>
      </c>
      <c r="AM91" s="1049" t="e">
        <f t="shared" si="64"/>
        <v>#N/A</v>
      </c>
      <c r="AN91" s="1049" t="e">
        <f t="shared" si="64"/>
        <v>#N/A</v>
      </c>
      <c r="AO91" s="1049" t="e">
        <f t="shared" si="64"/>
        <v>#N/A</v>
      </c>
      <c r="AP91" s="1049" t="e">
        <f t="shared" si="64"/>
        <v>#N/A</v>
      </c>
      <c r="AQ91" s="1049" t="e">
        <f t="shared" si="64"/>
        <v>#N/A</v>
      </c>
      <c r="AR91" s="1049" t="e">
        <f t="shared" si="64"/>
        <v>#N/A</v>
      </c>
      <c r="AS91" s="1049" t="e">
        <f t="shared" si="64"/>
        <v>#N/A</v>
      </c>
      <c r="AT91" s="1049" t="e">
        <f t="shared" si="64"/>
        <v>#N/A</v>
      </c>
      <c r="AU91" s="1049" t="e">
        <f t="shared" si="64"/>
        <v>#N/A</v>
      </c>
      <c r="AV91" s="1049" t="e">
        <f t="shared" si="64"/>
        <v>#N/A</v>
      </c>
      <c r="AW91" s="1049" t="e">
        <f t="shared" si="64"/>
        <v>#N/A</v>
      </c>
      <c r="AX91" s="1049" t="e">
        <f t="shared" si="64"/>
        <v>#N/A</v>
      </c>
      <c r="AY91" s="1049" t="e">
        <f t="shared" si="64"/>
        <v>#N/A</v>
      </c>
      <c r="AZ91" s="1049" t="e">
        <f t="shared" si="64"/>
        <v>#N/A</v>
      </c>
      <c r="BA91" s="1049" t="e">
        <f t="shared" si="64"/>
        <v>#N/A</v>
      </c>
      <c r="BB91" s="1049" t="e">
        <f t="shared" si="64"/>
        <v>#N/A</v>
      </c>
      <c r="BC91" s="1049" t="e">
        <f t="shared" si="64"/>
        <v>#N/A</v>
      </c>
      <c r="BD91" s="1049" t="e">
        <f t="shared" si="64"/>
        <v>#N/A</v>
      </c>
      <c r="BE91" s="1049" t="e">
        <f t="shared" si="64"/>
        <v>#N/A</v>
      </c>
      <c r="BF91" s="1049" t="e">
        <f t="shared" si="64"/>
        <v>#N/A</v>
      </c>
      <c r="BG91" s="1049" t="e">
        <f t="shared" si="64"/>
        <v>#N/A</v>
      </c>
      <c r="BH91" s="1049" t="e">
        <f t="shared" si="64"/>
        <v>#N/A</v>
      </c>
      <c r="BI91" s="1049" t="e">
        <f t="shared" si="64"/>
        <v>#N/A</v>
      </c>
      <c r="BJ91" s="1049" t="e">
        <f t="shared" si="64"/>
        <v>#N/A</v>
      </c>
      <c r="BK91" s="1049" t="e">
        <f t="shared" si="64"/>
        <v>#N/A</v>
      </c>
      <c r="BL91" s="1049" t="e">
        <f t="shared" si="64"/>
        <v>#N/A</v>
      </c>
      <c r="BM91" s="1049" t="e">
        <f t="shared" si="64"/>
        <v>#N/A</v>
      </c>
      <c r="BN91" s="1049" t="e">
        <f t="shared" si="64"/>
        <v>#N/A</v>
      </c>
      <c r="BO91" s="1049" t="e">
        <f t="shared" si="64"/>
        <v>#N/A</v>
      </c>
      <c r="BP91" s="1049" t="e">
        <f t="shared" si="64"/>
        <v>#N/A</v>
      </c>
      <c r="BQ91" s="1049" t="e">
        <f t="shared" si="64"/>
        <v>#N/A</v>
      </c>
      <c r="BR91" s="1049" t="e">
        <f t="shared" si="64"/>
        <v>#N/A</v>
      </c>
      <c r="BS91" s="1049" t="e">
        <f t="shared" si="64"/>
        <v>#N/A</v>
      </c>
      <c r="BT91" s="1049" t="e">
        <f t="shared" si="64"/>
        <v>#N/A</v>
      </c>
      <c r="BU91" s="1049" t="e">
        <f t="shared" si="64"/>
        <v>#N/A</v>
      </c>
      <c r="BV91" s="1049" t="e">
        <f t="shared" si="64"/>
        <v>#N/A</v>
      </c>
      <c r="BW91" s="1049" t="e">
        <f t="shared" si="64"/>
        <v>#N/A</v>
      </c>
      <c r="BX91" s="1050"/>
      <c r="BY91" s="1050"/>
      <c r="BZ91" s="1050"/>
      <c r="CA91" s="1050"/>
      <c r="CB91" s="1050"/>
      <c r="CC91" s="1050"/>
      <c r="CD91" s="1050"/>
      <c r="CE91" s="1050"/>
      <c r="CF91" s="1050"/>
      <c r="CG91" s="1050"/>
      <c r="CH91" s="1050"/>
      <c r="CI91" s="1050"/>
      <c r="CJ91" s="1050"/>
      <c r="CK91" s="1050"/>
      <c r="CL91" s="1050"/>
      <c r="CM91" s="1050"/>
      <c r="CN91" s="1050"/>
      <c r="CO91" s="1050"/>
      <c r="CP91" s="1050"/>
      <c r="CQ91" s="1050"/>
      <c r="CR91" s="1050"/>
      <c r="CS91" s="1050"/>
      <c r="CT91" s="1050"/>
      <c r="CU91" s="1050"/>
      <c r="CV91" s="1050"/>
      <c r="CW91" s="1050"/>
      <c r="CX91" s="1050"/>
      <c r="CY91" s="1050"/>
      <c r="CZ91" s="1050"/>
      <c r="DA91" s="1050"/>
      <c r="DB91" s="1050"/>
      <c r="DC91" s="1050"/>
      <c r="DD91" s="1050"/>
      <c r="DE91" s="1050"/>
      <c r="DF91" s="1050"/>
      <c r="DG91" s="1050"/>
      <c r="DH91" s="1050"/>
      <c r="DI91" s="1050"/>
      <c r="DJ91" s="1050"/>
      <c r="DK91" s="1050"/>
      <c r="DL91" s="1050"/>
      <c r="DM91" s="1050"/>
      <c r="DN91" s="1050"/>
      <c r="DO91" s="1050"/>
      <c r="DP91" s="1050"/>
      <c r="DQ91" s="1050"/>
      <c r="DR91" s="1050"/>
      <c r="DS91" s="1050"/>
      <c r="DT91" s="1050"/>
      <c r="DU91" s="1050"/>
    </row>
    <row r="92" spans="2:125" x14ac:dyDescent="0.2">
      <c r="B92" s="947"/>
      <c r="C92" s="947"/>
      <c r="D92" s="947"/>
      <c r="E92" s="947"/>
      <c r="F92" s="947"/>
      <c r="G92" s="947"/>
      <c r="H92" s="947"/>
      <c r="I92" s="947"/>
      <c r="J92" s="947"/>
      <c r="K92" s="947"/>
      <c r="L92" s="947"/>
      <c r="M92" s="947"/>
      <c r="N92" s="947"/>
      <c r="O92" s="947"/>
      <c r="P92" s="947"/>
      <c r="Q92" s="947"/>
      <c r="R92" s="947"/>
      <c r="S92" s="947"/>
      <c r="T92" s="947"/>
      <c r="U92" s="947"/>
      <c r="V92" s="947"/>
      <c r="W92" s="947"/>
      <c r="X92" s="947"/>
      <c r="Y92" s="1048"/>
      <c r="Z92" s="1048">
        <f ca="1">T26*($V$10/$G$9)</f>
        <v>137.23014884832324</v>
      </c>
      <c r="AA92" s="1050"/>
      <c r="AB92" s="1050"/>
      <c r="AC92" s="1050"/>
      <c r="AD92" s="1050"/>
      <c r="AE92" s="1050"/>
      <c r="AF92" s="1050"/>
      <c r="AG92" s="1050"/>
      <c r="AH92" s="1050"/>
      <c r="AI92" s="1050"/>
      <c r="AJ92" s="1050"/>
      <c r="AK92" s="1050"/>
      <c r="AL92" s="1050"/>
      <c r="AM92" s="1050"/>
      <c r="AN92" s="1050"/>
      <c r="AO92" s="1050"/>
      <c r="AP92" s="1050"/>
      <c r="AQ92" s="1050"/>
      <c r="AR92" s="1050"/>
      <c r="AS92" s="1050"/>
      <c r="AT92" s="1050"/>
      <c r="AU92" s="1050"/>
      <c r="AV92" s="1050"/>
      <c r="AW92" s="1050"/>
      <c r="AX92" s="1050"/>
      <c r="AY92" s="1050"/>
      <c r="AZ92" s="1050"/>
      <c r="BA92" s="1050"/>
      <c r="BB92" s="1050"/>
      <c r="BC92" s="1050"/>
      <c r="BD92" s="1050"/>
      <c r="BE92" s="1050"/>
      <c r="BF92" s="1050"/>
      <c r="BG92" s="1050"/>
      <c r="BH92" s="1050"/>
      <c r="BI92" s="1050"/>
      <c r="BJ92" s="1050"/>
      <c r="BK92" s="1050"/>
      <c r="BL92" s="1050"/>
      <c r="BM92" s="1050"/>
      <c r="BN92" s="1050"/>
      <c r="BO92" s="1050"/>
      <c r="BP92" s="1050"/>
      <c r="BQ92" s="1050"/>
      <c r="BR92" s="1050"/>
      <c r="BS92" s="1050"/>
      <c r="BT92" s="1050"/>
      <c r="BU92" s="1050"/>
      <c r="BV92" s="1050"/>
      <c r="BW92" s="1050"/>
      <c r="BX92" s="1050"/>
      <c r="BY92" s="1050"/>
      <c r="BZ92" s="1050"/>
      <c r="CA92" s="1050"/>
      <c r="CB92" s="1050"/>
      <c r="CC92" s="1050"/>
      <c r="CD92" s="1050"/>
      <c r="CE92" s="1050"/>
      <c r="CF92" s="1050"/>
      <c r="CG92" s="1050"/>
      <c r="CH92" s="1050"/>
      <c r="CI92" s="1050"/>
      <c r="CJ92" s="1050"/>
      <c r="CK92" s="1050"/>
      <c r="CL92" s="1050"/>
      <c r="CM92" s="1050"/>
      <c r="CN92" s="1050"/>
      <c r="CO92" s="1050"/>
      <c r="CP92" s="1050"/>
      <c r="CQ92" s="1050"/>
      <c r="CR92" s="1050"/>
      <c r="CS92" s="1050"/>
      <c r="CT92" s="1050"/>
      <c r="CU92" s="1050"/>
      <c r="CV92" s="1050"/>
      <c r="CW92" s="1050"/>
      <c r="CX92" s="1050"/>
      <c r="CY92" s="1050"/>
      <c r="CZ92" s="1050"/>
      <c r="DA92" s="1050"/>
      <c r="DB92" s="1050"/>
      <c r="DC92" s="1050"/>
      <c r="DD92" s="1050"/>
      <c r="DE92" s="1050"/>
      <c r="DF92" s="1050"/>
      <c r="DG92" s="1050"/>
      <c r="DH92" s="1050"/>
      <c r="DI92" s="1050"/>
      <c r="DJ92" s="1050"/>
      <c r="DK92" s="1050"/>
      <c r="DL92" s="1050"/>
      <c r="DM92" s="1050"/>
      <c r="DN92" s="1050"/>
      <c r="DO92" s="1050"/>
      <c r="DP92" s="1050"/>
      <c r="DQ92" s="1050"/>
      <c r="DR92" s="1050"/>
      <c r="DS92" s="1050"/>
      <c r="DT92" s="1050"/>
      <c r="DU92" s="1050"/>
    </row>
    <row r="93" spans="2:125" x14ac:dyDescent="0.2">
      <c r="B93" s="947"/>
      <c r="C93" s="947"/>
      <c r="D93" s="947"/>
      <c r="E93" s="947"/>
      <c r="F93" s="947"/>
      <c r="G93" s="947"/>
      <c r="H93" s="947"/>
      <c r="I93" s="947"/>
      <c r="J93" s="947"/>
      <c r="K93" s="947"/>
      <c r="L93" s="947"/>
      <c r="M93" s="947"/>
      <c r="N93" s="947"/>
      <c r="O93" s="947"/>
      <c r="P93" s="947"/>
      <c r="Q93" s="947"/>
      <c r="R93" s="947"/>
      <c r="S93" s="947"/>
      <c r="T93" s="947"/>
      <c r="U93" s="947"/>
      <c r="V93" s="947"/>
      <c r="W93" s="947"/>
      <c r="X93" s="947"/>
      <c r="Y93" s="1048"/>
      <c r="Z93" s="1048">
        <f ca="1">T27*($V$10/$G$9)</f>
        <v>-20.130390019024262</v>
      </c>
      <c r="AA93" s="1050"/>
      <c r="AB93" s="1050"/>
      <c r="AC93" s="1050"/>
      <c r="AD93" s="1050"/>
      <c r="AE93" s="1050"/>
      <c r="AF93" s="1050"/>
      <c r="AG93" s="1050"/>
      <c r="AH93" s="1050"/>
      <c r="AI93" s="1050"/>
      <c r="AJ93" s="1050"/>
      <c r="AK93" s="1050"/>
      <c r="AL93" s="1050"/>
      <c r="AM93" s="1050"/>
      <c r="AN93" s="1050"/>
      <c r="AO93" s="1050"/>
      <c r="AP93" s="1050"/>
      <c r="AQ93" s="1050"/>
      <c r="AR93" s="1050"/>
      <c r="AS93" s="1050"/>
      <c r="AT93" s="1050"/>
      <c r="AU93" s="1050"/>
      <c r="AV93" s="1050"/>
      <c r="AW93" s="1050"/>
      <c r="AX93" s="1050"/>
      <c r="AY93" s="1050"/>
      <c r="AZ93" s="1050"/>
      <c r="BA93" s="1050"/>
      <c r="BB93" s="1050"/>
      <c r="BC93" s="1050"/>
      <c r="BD93" s="1050"/>
      <c r="BE93" s="1050"/>
      <c r="BF93" s="1050"/>
      <c r="BG93" s="1050"/>
      <c r="BH93" s="1050"/>
      <c r="BI93" s="1050"/>
      <c r="BJ93" s="1050"/>
      <c r="BK93" s="1050"/>
      <c r="BL93" s="1050"/>
      <c r="BM93" s="1050"/>
      <c r="BN93" s="1050"/>
      <c r="BO93" s="1050"/>
      <c r="BP93" s="1050"/>
      <c r="BQ93" s="1050"/>
      <c r="BR93" s="1050"/>
      <c r="BS93" s="1050"/>
      <c r="BT93" s="1050"/>
      <c r="BU93" s="1050"/>
      <c r="BV93" s="1050"/>
      <c r="BW93" s="1050"/>
      <c r="BX93" s="1050"/>
      <c r="BY93" s="1050"/>
      <c r="BZ93" s="1050"/>
      <c r="CA93" s="1050"/>
      <c r="CB93" s="1050"/>
      <c r="CC93" s="1050"/>
      <c r="CD93" s="1050"/>
      <c r="CE93" s="1050"/>
      <c r="CF93" s="1050"/>
      <c r="CG93" s="1050"/>
      <c r="CH93" s="1050"/>
      <c r="CI93" s="1050"/>
      <c r="CJ93" s="1050"/>
      <c r="CK93" s="1050"/>
      <c r="CL93" s="1050"/>
      <c r="CM93" s="1050"/>
      <c r="CN93" s="1050"/>
      <c r="CO93" s="1050"/>
      <c r="CP93" s="1050"/>
      <c r="CQ93" s="1050"/>
      <c r="CR93" s="1050"/>
      <c r="CS93" s="1050"/>
      <c r="CT93" s="1050"/>
      <c r="CU93" s="1050"/>
      <c r="CV93" s="1050"/>
      <c r="CW93" s="1050"/>
      <c r="CX93" s="1050"/>
      <c r="CY93" s="1050"/>
      <c r="CZ93" s="1050"/>
      <c r="DA93" s="1050"/>
      <c r="DB93" s="1050"/>
      <c r="DC93" s="1050"/>
      <c r="DD93" s="1050"/>
      <c r="DE93" s="1050"/>
      <c r="DF93" s="1050"/>
      <c r="DG93" s="1050"/>
      <c r="DH93" s="1050"/>
      <c r="DI93" s="1050"/>
      <c r="DJ93" s="1050"/>
      <c r="DK93" s="1050"/>
      <c r="DL93" s="1050"/>
      <c r="DM93" s="1050"/>
      <c r="DN93" s="1050"/>
      <c r="DO93" s="1050"/>
      <c r="DP93" s="1050"/>
      <c r="DQ93" s="1050"/>
      <c r="DR93" s="1050"/>
      <c r="DS93" s="1050"/>
      <c r="DT93" s="1050"/>
      <c r="DU93" s="1050"/>
    </row>
    <row r="94" spans="2:125" x14ac:dyDescent="0.2">
      <c r="B94" s="947"/>
      <c r="C94" s="947"/>
      <c r="D94" s="947"/>
      <c r="E94" s="947"/>
      <c r="F94" s="947"/>
      <c r="G94" s="947"/>
      <c r="H94" s="947"/>
      <c r="I94" s="947"/>
      <c r="J94" s="947"/>
      <c r="K94" s="947"/>
      <c r="L94" s="947"/>
      <c r="M94" s="947"/>
      <c r="N94" s="947"/>
      <c r="O94" s="947"/>
      <c r="P94" s="947"/>
      <c r="Q94" s="947"/>
      <c r="R94" s="947"/>
      <c r="S94" s="947"/>
      <c r="T94" s="947"/>
      <c r="U94" s="947"/>
      <c r="V94" s="947"/>
      <c r="W94" s="947"/>
      <c r="X94" s="947"/>
      <c r="Y94" s="1048"/>
      <c r="Z94" s="1048">
        <f ca="1">T28*($V$10/$G$9)</f>
        <v>1.3613483355693199</v>
      </c>
      <c r="AA94" s="1050"/>
      <c r="AB94" s="1050"/>
      <c r="AC94" s="1050"/>
      <c r="AD94" s="1050"/>
      <c r="AE94" s="1050"/>
      <c r="AF94" s="1050"/>
      <c r="AG94" s="1050"/>
      <c r="AH94" s="1050"/>
      <c r="AI94" s="1050"/>
      <c r="AJ94" s="1050"/>
      <c r="AK94" s="1050"/>
      <c r="AL94" s="1050"/>
      <c r="AM94" s="1050"/>
      <c r="AN94" s="1050"/>
      <c r="AO94" s="1050"/>
      <c r="AP94" s="1050"/>
      <c r="AQ94" s="1050"/>
      <c r="AR94" s="1050"/>
      <c r="AS94" s="1050"/>
      <c r="AT94" s="1050"/>
      <c r="AU94" s="1050"/>
      <c r="AV94" s="1050"/>
      <c r="AW94" s="1050"/>
      <c r="AX94" s="1050"/>
      <c r="AY94" s="1050"/>
      <c r="AZ94" s="1050"/>
      <c r="BA94" s="1050"/>
      <c r="BB94" s="1050"/>
      <c r="BC94" s="1050"/>
      <c r="BD94" s="1050"/>
      <c r="BE94" s="1050"/>
      <c r="BF94" s="1050"/>
      <c r="BG94" s="1050"/>
      <c r="BH94" s="1050"/>
      <c r="BI94" s="1050"/>
      <c r="BJ94" s="1050"/>
      <c r="BK94" s="1050"/>
      <c r="BL94" s="1050"/>
      <c r="BM94" s="1050"/>
      <c r="BN94" s="1050"/>
      <c r="BO94" s="1050"/>
      <c r="BP94" s="1050"/>
      <c r="BQ94" s="1050"/>
      <c r="BR94" s="1050"/>
      <c r="BS94" s="1050"/>
      <c r="BT94" s="1050"/>
      <c r="BU94" s="1050"/>
      <c r="BV94" s="1050"/>
      <c r="BW94" s="1050"/>
      <c r="BX94" s="1050"/>
      <c r="BY94" s="1050"/>
      <c r="BZ94" s="1050"/>
      <c r="CA94" s="1050"/>
      <c r="CB94" s="1050"/>
      <c r="CC94" s="1050"/>
      <c r="CD94" s="1050"/>
      <c r="CE94" s="1050"/>
      <c r="CF94" s="1050"/>
      <c r="CG94" s="1050"/>
      <c r="CH94" s="1050"/>
      <c r="CI94" s="1050"/>
      <c r="CJ94" s="1050"/>
      <c r="CK94" s="1050"/>
      <c r="CL94" s="1050"/>
      <c r="CM94" s="1050"/>
      <c r="CN94" s="1050"/>
      <c r="CO94" s="1050"/>
      <c r="CP94" s="1050"/>
      <c r="CQ94" s="1050"/>
      <c r="CR94" s="1050"/>
      <c r="CS94" s="1050"/>
      <c r="CT94" s="1050"/>
      <c r="CU94" s="1050"/>
      <c r="CV94" s="1050"/>
      <c r="CW94" s="1050"/>
      <c r="CX94" s="1050"/>
      <c r="CY94" s="1050"/>
      <c r="CZ94" s="1050"/>
      <c r="DA94" s="1050"/>
      <c r="DB94" s="1050"/>
      <c r="DC94" s="1050"/>
      <c r="DD94" s="1050"/>
      <c r="DE94" s="1050"/>
      <c r="DF94" s="1050"/>
      <c r="DG94" s="1050"/>
      <c r="DH94" s="1050"/>
      <c r="DI94" s="1050"/>
      <c r="DJ94" s="1050"/>
      <c r="DK94" s="1050"/>
      <c r="DL94" s="1050"/>
      <c r="DM94" s="1050"/>
      <c r="DN94" s="1050"/>
      <c r="DO94" s="1050"/>
      <c r="DP94" s="1050"/>
      <c r="DQ94" s="1050"/>
      <c r="DR94" s="1050"/>
      <c r="DS94" s="1050"/>
      <c r="DT94" s="1050"/>
      <c r="DU94" s="1050"/>
    </row>
    <row r="95" spans="2:125" x14ac:dyDescent="0.2">
      <c r="B95" s="947"/>
      <c r="C95" s="947"/>
      <c r="D95" s="947"/>
      <c r="E95" s="947"/>
      <c r="F95" s="947"/>
      <c r="G95" s="947"/>
      <c r="H95" s="947"/>
      <c r="I95" s="947"/>
      <c r="J95" s="947"/>
      <c r="K95" s="947"/>
      <c r="L95" s="947"/>
      <c r="M95" s="947"/>
      <c r="N95" s="947"/>
      <c r="O95" s="947"/>
      <c r="P95" s="947"/>
      <c r="Q95" s="947"/>
      <c r="R95" s="947"/>
      <c r="S95" s="947"/>
      <c r="T95" s="947"/>
      <c r="U95" s="947"/>
      <c r="V95" s="947"/>
      <c r="W95" s="947"/>
      <c r="X95" s="947"/>
      <c r="Y95" s="1048"/>
      <c r="Z95" s="1048">
        <f ca="1">T29*($V$10/$G$9)</f>
        <v>0.81546792771855192</v>
      </c>
      <c r="AA95" s="1050"/>
      <c r="AB95" s="1050"/>
      <c r="AC95" s="1050"/>
      <c r="AD95" s="1050"/>
      <c r="AE95" s="1050"/>
      <c r="AF95" s="1050"/>
      <c r="AG95" s="1050"/>
      <c r="AH95" s="1050"/>
      <c r="AI95" s="1050"/>
      <c r="AJ95" s="1050"/>
      <c r="AK95" s="1050"/>
      <c r="AL95" s="1050"/>
      <c r="AM95" s="1050"/>
      <c r="AN95" s="1050"/>
      <c r="AO95" s="1050"/>
      <c r="AP95" s="1050"/>
      <c r="AQ95" s="1050"/>
      <c r="AR95" s="1050"/>
      <c r="AS95" s="1050"/>
      <c r="AT95" s="1050"/>
      <c r="AU95" s="1050"/>
      <c r="AV95" s="1050"/>
      <c r="AW95" s="1050"/>
      <c r="AX95" s="1050"/>
      <c r="AY95" s="1050"/>
      <c r="AZ95" s="1050"/>
      <c r="BA95" s="1050"/>
      <c r="BB95" s="1050"/>
      <c r="BC95" s="1050"/>
      <c r="BD95" s="1050"/>
      <c r="BE95" s="1050"/>
      <c r="BF95" s="1050"/>
      <c r="BG95" s="1050"/>
      <c r="BH95" s="1050"/>
      <c r="BI95" s="1050"/>
      <c r="BJ95" s="1050"/>
      <c r="BK95" s="1050"/>
      <c r="BL95" s="1050"/>
      <c r="BM95" s="1050"/>
      <c r="BN95" s="1050"/>
      <c r="BO95" s="1050"/>
      <c r="BP95" s="1050"/>
      <c r="BQ95" s="1050"/>
      <c r="BR95" s="1050"/>
      <c r="BS95" s="1050"/>
      <c r="BT95" s="1050"/>
      <c r="BU95" s="1050"/>
      <c r="BV95" s="1050"/>
      <c r="BW95" s="1050"/>
      <c r="BX95" s="1050"/>
      <c r="BY95" s="1050"/>
      <c r="BZ95" s="1050"/>
      <c r="CA95" s="1050"/>
      <c r="CB95" s="1050"/>
      <c r="CC95" s="1050"/>
      <c r="CD95" s="1050"/>
      <c r="CE95" s="1050"/>
      <c r="CF95" s="1050"/>
      <c r="CG95" s="1050"/>
      <c r="CH95" s="1050"/>
      <c r="CI95" s="1050"/>
      <c r="CJ95" s="1050"/>
      <c r="CK95" s="1050"/>
      <c r="CL95" s="1050"/>
      <c r="CM95" s="1050"/>
      <c r="CN95" s="1050"/>
      <c r="CO95" s="1050"/>
      <c r="CP95" s="1050"/>
      <c r="CQ95" s="1050"/>
      <c r="CR95" s="1050"/>
      <c r="CS95" s="1050"/>
      <c r="CT95" s="1050"/>
      <c r="CU95" s="1050"/>
      <c r="CV95" s="1050"/>
      <c r="CW95" s="1050"/>
      <c r="CX95" s="1050"/>
      <c r="CY95" s="1050"/>
      <c r="CZ95" s="1050"/>
      <c r="DA95" s="1050"/>
      <c r="DB95" s="1050"/>
      <c r="DC95" s="1050"/>
      <c r="DD95" s="1050"/>
      <c r="DE95" s="1050"/>
      <c r="DF95" s="1050"/>
      <c r="DG95" s="1050"/>
      <c r="DH95" s="1050"/>
      <c r="DI95" s="1050"/>
      <c r="DJ95" s="1050"/>
      <c r="DK95" s="1050"/>
      <c r="DL95" s="1050"/>
      <c r="DM95" s="1050"/>
      <c r="DN95" s="1050"/>
      <c r="DO95" s="1050"/>
      <c r="DP95" s="1050"/>
      <c r="DQ95" s="1050"/>
      <c r="DR95" s="1050"/>
      <c r="DS95" s="1050"/>
      <c r="DT95" s="1050"/>
      <c r="DU95" s="1050"/>
    </row>
    <row r="96" spans="2:125" x14ac:dyDescent="0.2">
      <c r="B96" s="947"/>
      <c r="C96" s="947"/>
      <c r="D96" s="947"/>
      <c r="E96" s="947"/>
      <c r="F96" s="947"/>
      <c r="G96" s="947"/>
      <c r="H96" s="947"/>
      <c r="I96" s="947"/>
      <c r="J96" s="947"/>
      <c r="K96" s="947"/>
      <c r="L96" s="947"/>
      <c r="M96" s="947"/>
      <c r="N96" s="947"/>
      <c r="O96" s="947"/>
      <c r="P96" s="947"/>
      <c r="Q96" s="947"/>
      <c r="R96" s="947"/>
      <c r="S96" s="947"/>
      <c r="T96" s="947"/>
      <c r="U96" s="947"/>
      <c r="V96" s="947"/>
      <c r="W96" s="947"/>
      <c r="X96" s="947"/>
      <c r="Y96" s="1048"/>
      <c r="Z96" s="1048" t="e">
        <f>NA()</f>
        <v>#N/A</v>
      </c>
      <c r="AA96" s="1050"/>
      <c r="AB96" s="1050"/>
      <c r="AC96" s="1050"/>
      <c r="AD96" s="1050"/>
      <c r="AE96" s="1050"/>
      <c r="AF96" s="1050"/>
      <c r="AG96" s="1050"/>
      <c r="AH96" s="1050"/>
      <c r="AI96" s="1050"/>
      <c r="AJ96" s="1050"/>
      <c r="AK96" s="1050"/>
      <c r="AL96" s="1050"/>
      <c r="AM96" s="1050"/>
      <c r="AN96" s="1050"/>
      <c r="AO96" s="1050"/>
      <c r="AP96" s="1050"/>
      <c r="AQ96" s="1050"/>
      <c r="AR96" s="1050"/>
      <c r="AS96" s="1050"/>
      <c r="AT96" s="1050"/>
      <c r="AU96" s="1050"/>
      <c r="AV96" s="1050"/>
      <c r="AW96" s="1050"/>
      <c r="AX96" s="1050"/>
      <c r="AY96" s="1050"/>
      <c r="AZ96" s="1050"/>
      <c r="BA96" s="1050"/>
      <c r="BB96" s="1050"/>
      <c r="BC96" s="1050"/>
      <c r="BD96" s="1050"/>
      <c r="BE96" s="1050"/>
      <c r="BF96" s="1050"/>
      <c r="BG96" s="1050"/>
      <c r="BH96" s="1050"/>
      <c r="BI96" s="1050"/>
      <c r="BJ96" s="1050"/>
      <c r="BK96" s="1050"/>
      <c r="BL96" s="1050"/>
      <c r="BM96" s="1050"/>
      <c r="BN96" s="1050"/>
      <c r="BO96" s="1050"/>
      <c r="BP96" s="1050"/>
      <c r="BQ96" s="1050"/>
      <c r="BR96" s="1050"/>
      <c r="BS96" s="1050"/>
      <c r="BT96" s="1050"/>
      <c r="BU96" s="1050"/>
      <c r="BV96" s="1050"/>
      <c r="BW96" s="1050"/>
      <c r="BX96" s="1050"/>
      <c r="BY96" s="1050"/>
      <c r="BZ96" s="1050"/>
      <c r="CA96" s="1050"/>
      <c r="CB96" s="1050"/>
      <c r="CC96" s="1050"/>
      <c r="CD96" s="1050"/>
      <c r="CE96" s="1050"/>
      <c r="CF96" s="1050"/>
      <c r="CG96" s="1050"/>
      <c r="CH96" s="1050"/>
      <c r="CI96" s="1050"/>
      <c r="CJ96" s="1050"/>
      <c r="CK96" s="1050"/>
      <c r="CL96" s="1050"/>
      <c r="CM96" s="1050"/>
      <c r="CN96" s="1050"/>
      <c r="CO96" s="1050"/>
      <c r="CP96" s="1050"/>
      <c r="CQ96" s="1050"/>
      <c r="CR96" s="1050"/>
      <c r="CS96" s="1050"/>
      <c r="CT96" s="1050"/>
      <c r="CU96" s="1050"/>
      <c r="CV96" s="1050"/>
      <c r="CW96" s="1050"/>
      <c r="CX96" s="1050"/>
      <c r="CY96" s="1050"/>
      <c r="CZ96" s="1050"/>
      <c r="DA96" s="1050"/>
      <c r="DB96" s="1050"/>
      <c r="DC96" s="1050"/>
      <c r="DD96" s="1050"/>
      <c r="DE96" s="1050"/>
      <c r="DF96" s="1050"/>
      <c r="DG96" s="1050"/>
      <c r="DH96" s="1050"/>
      <c r="DI96" s="1050"/>
      <c r="DJ96" s="1050"/>
      <c r="DK96" s="1050"/>
      <c r="DL96" s="1050"/>
      <c r="DM96" s="1050"/>
      <c r="DN96" s="1050"/>
      <c r="DO96" s="1050"/>
      <c r="DP96" s="1050"/>
      <c r="DQ96" s="1050"/>
      <c r="DR96" s="1050"/>
      <c r="DS96" s="1050"/>
      <c r="DT96" s="1050"/>
      <c r="DU96" s="1050"/>
    </row>
  </sheetData>
  <mergeCells count="15">
    <mergeCell ref="R44:T44"/>
    <mergeCell ref="R45:T45"/>
    <mergeCell ref="R46:T46"/>
    <mergeCell ref="R38:T38"/>
    <mergeCell ref="R39:T39"/>
    <mergeCell ref="R40:T40"/>
    <mergeCell ref="R41:T41"/>
    <mergeCell ref="R42:T42"/>
    <mergeCell ref="R43:T43"/>
    <mergeCell ref="R37:T37"/>
    <mergeCell ref="N23:O23"/>
    <mergeCell ref="Q23:R23"/>
    <mergeCell ref="T23:U23"/>
    <mergeCell ref="D36:G36"/>
    <mergeCell ref="R36:T36"/>
  </mergeCells>
  <conditionalFormatting sqref="BY59:DU59">
    <cfRule type="expression" dxfId="0" priority="1" stopIfTrue="1">
      <formula>IF(BY23&gt;DEVELOPMENT+MATURITY,FALSE,TRUE)</formula>
    </cfRule>
  </conditionalFormatting>
  <dataValidations count="2">
    <dataValidation showInputMessage="1" errorTitle="INCORRECT STABLE PHASE" error="The DECLINE Phase must be greater than 0. If you wish to exent the STABLE Phase, first increase the CAP then extend the STABLE Phase to the desired length." sqref="G20 JC20 SY20 ACU20 AMQ20 AWM20 BGI20 BQE20 CAA20 CJW20 CTS20 DDO20 DNK20 DXG20 EHC20 EQY20 FAU20 FKQ20 FUM20 GEI20 GOE20 GYA20 HHW20 HRS20 IBO20 ILK20 IVG20 JFC20 JOY20 JYU20 KIQ20 KSM20 LCI20 LME20 LWA20 MFW20 MPS20 MZO20 NJK20 NTG20 ODC20 OMY20 OWU20 PGQ20 PQM20 QAI20 QKE20 QUA20 RDW20 RNS20 RXO20 SHK20 SRG20 TBC20 TKY20 TUU20 UEQ20 UOM20 UYI20 VIE20 VSA20 WBW20 WLS20 WVO20 G65555 JC65555 SY65555 ACU65555 AMQ65555 AWM65555 BGI65555 BQE65555 CAA65555 CJW65555 CTS65555 DDO65555 DNK65555 DXG65555 EHC65555 EQY65555 FAU65555 FKQ65555 FUM65555 GEI65555 GOE65555 GYA65555 HHW65555 HRS65555 IBO65555 ILK65555 IVG65555 JFC65555 JOY65555 JYU65555 KIQ65555 KSM65555 LCI65555 LME65555 LWA65555 MFW65555 MPS65555 MZO65555 NJK65555 NTG65555 ODC65555 OMY65555 OWU65555 PGQ65555 PQM65555 QAI65555 QKE65555 QUA65555 RDW65555 RNS65555 RXO65555 SHK65555 SRG65555 TBC65555 TKY65555 TUU65555 UEQ65555 UOM65555 UYI65555 VIE65555 VSA65555 WBW65555 WLS65555 WVO65555 G131091 JC131091 SY131091 ACU131091 AMQ131091 AWM131091 BGI131091 BQE131091 CAA131091 CJW131091 CTS131091 DDO131091 DNK131091 DXG131091 EHC131091 EQY131091 FAU131091 FKQ131091 FUM131091 GEI131091 GOE131091 GYA131091 HHW131091 HRS131091 IBO131091 ILK131091 IVG131091 JFC131091 JOY131091 JYU131091 KIQ131091 KSM131091 LCI131091 LME131091 LWA131091 MFW131091 MPS131091 MZO131091 NJK131091 NTG131091 ODC131091 OMY131091 OWU131091 PGQ131091 PQM131091 QAI131091 QKE131091 QUA131091 RDW131091 RNS131091 RXO131091 SHK131091 SRG131091 TBC131091 TKY131091 TUU131091 UEQ131091 UOM131091 UYI131091 VIE131091 VSA131091 WBW131091 WLS131091 WVO131091 G196627 JC196627 SY196627 ACU196627 AMQ196627 AWM196627 BGI196627 BQE196627 CAA196627 CJW196627 CTS196627 DDO196627 DNK196627 DXG196627 EHC196627 EQY196627 FAU196627 FKQ196627 FUM196627 GEI196627 GOE196627 GYA196627 HHW196627 HRS196627 IBO196627 ILK196627 IVG196627 JFC196627 JOY196627 JYU196627 KIQ196627 KSM196627 LCI196627 LME196627 LWA196627 MFW196627 MPS196627 MZO196627 NJK196627 NTG196627 ODC196627 OMY196627 OWU196627 PGQ196627 PQM196627 QAI196627 QKE196627 QUA196627 RDW196627 RNS196627 RXO196627 SHK196627 SRG196627 TBC196627 TKY196627 TUU196627 UEQ196627 UOM196627 UYI196627 VIE196627 VSA196627 WBW196627 WLS196627 WVO196627 G262163 JC262163 SY262163 ACU262163 AMQ262163 AWM262163 BGI262163 BQE262163 CAA262163 CJW262163 CTS262163 DDO262163 DNK262163 DXG262163 EHC262163 EQY262163 FAU262163 FKQ262163 FUM262163 GEI262163 GOE262163 GYA262163 HHW262163 HRS262163 IBO262163 ILK262163 IVG262163 JFC262163 JOY262163 JYU262163 KIQ262163 KSM262163 LCI262163 LME262163 LWA262163 MFW262163 MPS262163 MZO262163 NJK262163 NTG262163 ODC262163 OMY262163 OWU262163 PGQ262163 PQM262163 QAI262163 QKE262163 QUA262163 RDW262163 RNS262163 RXO262163 SHK262163 SRG262163 TBC262163 TKY262163 TUU262163 UEQ262163 UOM262163 UYI262163 VIE262163 VSA262163 WBW262163 WLS262163 WVO262163 G327699 JC327699 SY327699 ACU327699 AMQ327699 AWM327699 BGI327699 BQE327699 CAA327699 CJW327699 CTS327699 DDO327699 DNK327699 DXG327699 EHC327699 EQY327699 FAU327699 FKQ327699 FUM327699 GEI327699 GOE327699 GYA327699 HHW327699 HRS327699 IBO327699 ILK327699 IVG327699 JFC327699 JOY327699 JYU327699 KIQ327699 KSM327699 LCI327699 LME327699 LWA327699 MFW327699 MPS327699 MZO327699 NJK327699 NTG327699 ODC327699 OMY327699 OWU327699 PGQ327699 PQM327699 QAI327699 QKE327699 QUA327699 RDW327699 RNS327699 RXO327699 SHK327699 SRG327699 TBC327699 TKY327699 TUU327699 UEQ327699 UOM327699 UYI327699 VIE327699 VSA327699 WBW327699 WLS327699 WVO327699 G393235 JC393235 SY393235 ACU393235 AMQ393235 AWM393235 BGI393235 BQE393235 CAA393235 CJW393235 CTS393235 DDO393235 DNK393235 DXG393235 EHC393235 EQY393235 FAU393235 FKQ393235 FUM393235 GEI393235 GOE393235 GYA393235 HHW393235 HRS393235 IBO393235 ILK393235 IVG393235 JFC393235 JOY393235 JYU393235 KIQ393235 KSM393235 LCI393235 LME393235 LWA393235 MFW393235 MPS393235 MZO393235 NJK393235 NTG393235 ODC393235 OMY393235 OWU393235 PGQ393235 PQM393235 QAI393235 QKE393235 QUA393235 RDW393235 RNS393235 RXO393235 SHK393235 SRG393235 TBC393235 TKY393235 TUU393235 UEQ393235 UOM393235 UYI393235 VIE393235 VSA393235 WBW393235 WLS393235 WVO393235 G458771 JC458771 SY458771 ACU458771 AMQ458771 AWM458771 BGI458771 BQE458771 CAA458771 CJW458771 CTS458771 DDO458771 DNK458771 DXG458771 EHC458771 EQY458771 FAU458771 FKQ458771 FUM458771 GEI458771 GOE458771 GYA458771 HHW458771 HRS458771 IBO458771 ILK458771 IVG458771 JFC458771 JOY458771 JYU458771 KIQ458771 KSM458771 LCI458771 LME458771 LWA458771 MFW458771 MPS458771 MZO458771 NJK458771 NTG458771 ODC458771 OMY458771 OWU458771 PGQ458771 PQM458771 QAI458771 QKE458771 QUA458771 RDW458771 RNS458771 RXO458771 SHK458771 SRG458771 TBC458771 TKY458771 TUU458771 UEQ458771 UOM458771 UYI458771 VIE458771 VSA458771 WBW458771 WLS458771 WVO458771 G524307 JC524307 SY524307 ACU524307 AMQ524307 AWM524307 BGI524307 BQE524307 CAA524307 CJW524307 CTS524307 DDO524307 DNK524307 DXG524307 EHC524307 EQY524307 FAU524307 FKQ524307 FUM524307 GEI524307 GOE524307 GYA524307 HHW524307 HRS524307 IBO524307 ILK524307 IVG524307 JFC524307 JOY524307 JYU524307 KIQ524307 KSM524307 LCI524307 LME524307 LWA524307 MFW524307 MPS524307 MZO524307 NJK524307 NTG524307 ODC524307 OMY524307 OWU524307 PGQ524307 PQM524307 QAI524307 QKE524307 QUA524307 RDW524307 RNS524307 RXO524307 SHK524307 SRG524307 TBC524307 TKY524307 TUU524307 UEQ524307 UOM524307 UYI524307 VIE524307 VSA524307 WBW524307 WLS524307 WVO524307 G589843 JC589843 SY589843 ACU589843 AMQ589843 AWM589843 BGI589843 BQE589843 CAA589843 CJW589843 CTS589843 DDO589843 DNK589843 DXG589843 EHC589843 EQY589843 FAU589843 FKQ589843 FUM589843 GEI589843 GOE589843 GYA589843 HHW589843 HRS589843 IBO589843 ILK589843 IVG589843 JFC589843 JOY589843 JYU589843 KIQ589843 KSM589843 LCI589843 LME589843 LWA589843 MFW589843 MPS589843 MZO589843 NJK589843 NTG589843 ODC589843 OMY589843 OWU589843 PGQ589843 PQM589843 QAI589843 QKE589843 QUA589843 RDW589843 RNS589843 RXO589843 SHK589843 SRG589843 TBC589843 TKY589843 TUU589843 UEQ589843 UOM589843 UYI589843 VIE589843 VSA589843 WBW589843 WLS589843 WVO589843 G655379 JC655379 SY655379 ACU655379 AMQ655379 AWM655379 BGI655379 BQE655379 CAA655379 CJW655379 CTS655379 DDO655379 DNK655379 DXG655379 EHC655379 EQY655379 FAU655379 FKQ655379 FUM655379 GEI655379 GOE655379 GYA655379 HHW655379 HRS655379 IBO655379 ILK655379 IVG655379 JFC655379 JOY655379 JYU655379 KIQ655379 KSM655379 LCI655379 LME655379 LWA655379 MFW655379 MPS655379 MZO655379 NJK655379 NTG655379 ODC655379 OMY655379 OWU655379 PGQ655379 PQM655379 QAI655379 QKE655379 QUA655379 RDW655379 RNS655379 RXO655379 SHK655379 SRG655379 TBC655379 TKY655379 TUU655379 UEQ655379 UOM655379 UYI655379 VIE655379 VSA655379 WBW655379 WLS655379 WVO655379 G720915 JC720915 SY720915 ACU720915 AMQ720915 AWM720915 BGI720915 BQE720915 CAA720915 CJW720915 CTS720915 DDO720915 DNK720915 DXG720915 EHC720915 EQY720915 FAU720915 FKQ720915 FUM720915 GEI720915 GOE720915 GYA720915 HHW720915 HRS720915 IBO720915 ILK720915 IVG720915 JFC720915 JOY720915 JYU720915 KIQ720915 KSM720915 LCI720915 LME720915 LWA720915 MFW720915 MPS720915 MZO720915 NJK720915 NTG720915 ODC720915 OMY720915 OWU720915 PGQ720915 PQM720915 QAI720915 QKE720915 QUA720915 RDW720915 RNS720915 RXO720915 SHK720915 SRG720915 TBC720915 TKY720915 TUU720915 UEQ720915 UOM720915 UYI720915 VIE720915 VSA720915 WBW720915 WLS720915 WVO720915 G786451 JC786451 SY786451 ACU786451 AMQ786451 AWM786451 BGI786451 BQE786451 CAA786451 CJW786451 CTS786451 DDO786451 DNK786451 DXG786451 EHC786451 EQY786451 FAU786451 FKQ786451 FUM786451 GEI786451 GOE786451 GYA786451 HHW786451 HRS786451 IBO786451 ILK786451 IVG786451 JFC786451 JOY786451 JYU786451 KIQ786451 KSM786451 LCI786451 LME786451 LWA786451 MFW786451 MPS786451 MZO786451 NJK786451 NTG786451 ODC786451 OMY786451 OWU786451 PGQ786451 PQM786451 QAI786451 QKE786451 QUA786451 RDW786451 RNS786451 RXO786451 SHK786451 SRG786451 TBC786451 TKY786451 TUU786451 UEQ786451 UOM786451 UYI786451 VIE786451 VSA786451 WBW786451 WLS786451 WVO786451 G851987 JC851987 SY851987 ACU851987 AMQ851987 AWM851987 BGI851987 BQE851987 CAA851987 CJW851987 CTS851987 DDO851987 DNK851987 DXG851987 EHC851987 EQY851987 FAU851987 FKQ851987 FUM851987 GEI851987 GOE851987 GYA851987 HHW851987 HRS851987 IBO851987 ILK851987 IVG851987 JFC851987 JOY851987 JYU851987 KIQ851987 KSM851987 LCI851987 LME851987 LWA851987 MFW851987 MPS851987 MZO851987 NJK851987 NTG851987 ODC851987 OMY851987 OWU851987 PGQ851987 PQM851987 QAI851987 QKE851987 QUA851987 RDW851987 RNS851987 RXO851987 SHK851987 SRG851987 TBC851987 TKY851987 TUU851987 UEQ851987 UOM851987 UYI851987 VIE851987 VSA851987 WBW851987 WLS851987 WVO851987 G917523 JC917523 SY917523 ACU917523 AMQ917523 AWM917523 BGI917523 BQE917523 CAA917523 CJW917523 CTS917523 DDO917523 DNK917523 DXG917523 EHC917523 EQY917523 FAU917523 FKQ917523 FUM917523 GEI917523 GOE917523 GYA917523 HHW917523 HRS917523 IBO917523 ILK917523 IVG917523 JFC917523 JOY917523 JYU917523 KIQ917523 KSM917523 LCI917523 LME917523 LWA917523 MFW917523 MPS917523 MZO917523 NJK917523 NTG917523 ODC917523 OMY917523 OWU917523 PGQ917523 PQM917523 QAI917523 QKE917523 QUA917523 RDW917523 RNS917523 RXO917523 SHK917523 SRG917523 TBC917523 TKY917523 TUU917523 UEQ917523 UOM917523 UYI917523 VIE917523 VSA917523 WBW917523 WLS917523 WVO917523 G983059 JC983059 SY983059 ACU983059 AMQ983059 AWM983059 BGI983059 BQE983059 CAA983059 CJW983059 CTS983059 DDO983059 DNK983059 DXG983059 EHC983059 EQY983059 FAU983059 FKQ983059 FUM983059 GEI983059 GOE983059 GYA983059 HHW983059 HRS983059 IBO983059 ILK983059 IVG983059 JFC983059 JOY983059 JYU983059 KIQ983059 KSM983059 LCI983059 LME983059 LWA983059 MFW983059 MPS983059 MZO983059 NJK983059 NTG983059 ODC983059 OMY983059 OWU983059 PGQ983059 PQM983059 QAI983059 QKE983059 QUA983059 RDW983059 RNS983059 RXO983059 SHK983059 SRG983059 TBC983059 TKY983059 TUU983059 UEQ983059 UOM983059 UYI983059 VIE983059 VSA983059 WBW983059 WLS983059 WVO983059"/>
    <dataValidation showInputMessage="1" sqref="AA57:AA58 JW57:JW58 TS57:TS58 ADO57:ADO58 ANK57:ANK58 AXG57:AXG58 BHC57:BHC58 BQY57:BQY58 CAU57:CAU58 CKQ57:CKQ58 CUM57:CUM58 DEI57:DEI58 DOE57:DOE58 DYA57:DYA58 EHW57:EHW58 ERS57:ERS58 FBO57:FBO58 FLK57:FLK58 FVG57:FVG58 GFC57:GFC58 GOY57:GOY58 GYU57:GYU58 HIQ57:HIQ58 HSM57:HSM58 ICI57:ICI58 IME57:IME58 IWA57:IWA58 JFW57:JFW58 JPS57:JPS58 JZO57:JZO58 KJK57:KJK58 KTG57:KTG58 LDC57:LDC58 LMY57:LMY58 LWU57:LWU58 MGQ57:MGQ58 MQM57:MQM58 NAI57:NAI58 NKE57:NKE58 NUA57:NUA58 ODW57:ODW58 ONS57:ONS58 OXO57:OXO58 PHK57:PHK58 PRG57:PRG58 QBC57:QBC58 QKY57:QKY58 QUU57:QUU58 REQ57:REQ58 ROM57:ROM58 RYI57:RYI58 SIE57:SIE58 SSA57:SSA58 TBW57:TBW58 TLS57:TLS58 TVO57:TVO58 UFK57:UFK58 UPG57:UPG58 UZC57:UZC58 VIY57:VIY58 VSU57:VSU58 WCQ57:WCQ58 WMM57:WMM58 WWI57:WWI58 AA65593:AA65594 JW65593:JW65594 TS65593:TS65594 ADO65593:ADO65594 ANK65593:ANK65594 AXG65593:AXG65594 BHC65593:BHC65594 BQY65593:BQY65594 CAU65593:CAU65594 CKQ65593:CKQ65594 CUM65593:CUM65594 DEI65593:DEI65594 DOE65593:DOE65594 DYA65593:DYA65594 EHW65593:EHW65594 ERS65593:ERS65594 FBO65593:FBO65594 FLK65593:FLK65594 FVG65593:FVG65594 GFC65593:GFC65594 GOY65593:GOY65594 GYU65593:GYU65594 HIQ65593:HIQ65594 HSM65593:HSM65594 ICI65593:ICI65594 IME65593:IME65594 IWA65593:IWA65594 JFW65593:JFW65594 JPS65593:JPS65594 JZO65593:JZO65594 KJK65593:KJK65594 KTG65593:KTG65594 LDC65593:LDC65594 LMY65593:LMY65594 LWU65593:LWU65594 MGQ65593:MGQ65594 MQM65593:MQM65594 NAI65593:NAI65594 NKE65593:NKE65594 NUA65593:NUA65594 ODW65593:ODW65594 ONS65593:ONS65594 OXO65593:OXO65594 PHK65593:PHK65594 PRG65593:PRG65594 QBC65593:QBC65594 QKY65593:QKY65594 QUU65593:QUU65594 REQ65593:REQ65594 ROM65593:ROM65594 RYI65593:RYI65594 SIE65593:SIE65594 SSA65593:SSA65594 TBW65593:TBW65594 TLS65593:TLS65594 TVO65593:TVO65594 UFK65593:UFK65594 UPG65593:UPG65594 UZC65593:UZC65594 VIY65593:VIY65594 VSU65593:VSU65594 WCQ65593:WCQ65594 WMM65593:WMM65594 WWI65593:WWI65594 AA131129:AA131130 JW131129:JW131130 TS131129:TS131130 ADO131129:ADO131130 ANK131129:ANK131130 AXG131129:AXG131130 BHC131129:BHC131130 BQY131129:BQY131130 CAU131129:CAU131130 CKQ131129:CKQ131130 CUM131129:CUM131130 DEI131129:DEI131130 DOE131129:DOE131130 DYA131129:DYA131130 EHW131129:EHW131130 ERS131129:ERS131130 FBO131129:FBO131130 FLK131129:FLK131130 FVG131129:FVG131130 GFC131129:GFC131130 GOY131129:GOY131130 GYU131129:GYU131130 HIQ131129:HIQ131130 HSM131129:HSM131130 ICI131129:ICI131130 IME131129:IME131130 IWA131129:IWA131130 JFW131129:JFW131130 JPS131129:JPS131130 JZO131129:JZO131130 KJK131129:KJK131130 KTG131129:KTG131130 LDC131129:LDC131130 LMY131129:LMY131130 LWU131129:LWU131130 MGQ131129:MGQ131130 MQM131129:MQM131130 NAI131129:NAI131130 NKE131129:NKE131130 NUA131129:NUA131130 ODW131129:ODW131130 ONS131129:ONS131130 OXO131129:OXO131130 PHK131129:PHK131130 PRG131129:PRG131130 QBC131129:QBC131130 QKY131129:QKY131130 QUU131129:QUU131130 REQ131129:REQ131130 ROM131129:ROM131130 RYI131129:RYI131130 SIE131129:SIE131130 SSA131129:SSA131130 TBW131129:TBW131130 TLS131129:TLS131130 TVO131129:TVO131130 UFK131129:UFK131130 UPG131129:UPG131130 UZC131129:UZC131130 VIY131129:VIY131130 VSU131129:VSU131130 WCQ131129:WCQ131130 WMM131129:WMM131130 WWI131129:WWI131130 AA196665:AA196666 JW196665:JW196666 TS196665:TS196666 ADO196665:ADO196666 ANK196665:ANK196666 AXG196665:AXG196666 BHC196665:BHC196666 BQY196665:BQY196666 CAU196665:CAU196666 CKQ196665:CKQ196666 CUM196665:CUM196666 DEI196665:DEI196666 DOE196665:DOE196666 DYA196665:DYA196666 EHW196665:EHW196666 ERS196665:ERS196666 FBO196665:FBO196666 FLK196665:FLK196666 FVG196665:FVG196666 GFC196665:GFC196666 GOY196665:GOY196666 GYU196665:GYU196666 HIQ196665:HIQ196666 HSM196665:HSM196666 ICI196665:ICI196666 IME196665:IME196666 IWA196665:IWA196666 JFW196665:JFW196666 JPS196665:JPS196666 JZO196665:JZO196666 KJK196665:KJK196666 KTG196665:KTG196666 LDC196665:LDC196666 LMY196665:LMY196666 LWU196665:LWU196666 MGQ196665:MGQ196666 MQM196665:MQM196666 NAI196665:NAI196666 NKE196665:NKE196666 NUA196665:NUA196666 ODW196665:ODW196666 ONS196665:ONS196666 OXO196665:OXO196666 PHK196665:PHK196666 PRG196665:PRG196666 QBC196665:QBC196666 QKY196665:QKY196666 QUU196665:QUU196666 REQ196665:REQ196666 ROM196665:ROM196666 RYI196665:RYI196666 SIE196665:SIE196666 SSA196665:SSA196666 TBW196665:TBW196666 TLS196665:TLS196666 TVO196665:TVO196666 UFK196665:UFK196666 UPG196665:UPG196666 UZC196665:UZC196666 VIY196665:VIY196666 VSU196665:VSU196666 WCQ196665:WCQ196666 WMM196665:WMM196666 WWI196665:WWI196666 AA262201:AA262202 JW262201:JW262202 TS262201:TS262202 ADO262201:ADO262202 ANK262201:ANK262202 AXG262201:AXG262202 BHC262201:BHC262202 BQY262201:BQY262202 CAU262201:CAU262202 CKQ262201:CKQ262202 CUM262201:CUM262202 DEI262201:DEI262202 DOE262201:DOE262202 DYA262201:DYA262202 EHW262201:EHW262202 ERS262201:ERS262202 FBO262201:FBO262202 FLK262201:FLK262202 FVG262201:FVG262202 GFC262201:GFC262202 GOY262201:GOY262202 GYU262201:GYU262202 HIQ262201:HIQ262202 HSM262201:HSM262202 ICI262201:ICI262202 IME262201:IME262202 IWA262201:IWA262202 JFW262201:JFW262202 JPS262201:JPS262202 JZO262201:JZO262202 KJK262201:KJK262202 KTG262201:KTG262202 LDC262201:LDC262202 LMY262201:LMY262202 LWU262201:LWU262202 MGQ262201:MGQ262202 MQM262201:MQM262202 NAI262201:NAI262202 NKE262201:NKE262202 NUA262201:NUA262202 ODW262201:ODW262202 ONS262201:ONS262202 OXO262201:OXO262202 PHK262201:PHK262202 PRG262201:PRG262202 QBC262201:QBC262202 QKY262201:QKY262202 QUU262201:QUU262202 REQ262201:REQ262202 ROM262201:ROM262202 RYI262201:RYI262202 SIE262201:SIE262202 SSA262201:SSA262202 TBW262201:TBW262202 TLS262201:TLS262202 TVO262201:TVO262202 UFK262201:UFK262202 UPG262201:UPG262202 UZC262201:UZC262202 VIY262201:VIY262202 VSU262201:VSU262202 WCQ262201:WCQ262202 WMM262201:WMM262202 WWI262201:WWI262202 AA327737:AA327738 JW327737:JW327738 TS327737:TS327738 ADO327737:ADO327738 ANK327737:ANK327738 AXG327737:AXG327738 BHC327737:BHC327738 BQY327737:BQY327738 CAU327737:CAU327738 CKQ327737:CKQ327738 CUM327737:CUM327738 DEI327737:DEI327738 DOE327737:DOE327738 DYA327737:DYA327738 EHW327737:EHW327738 ERS327737:ERS327738 FBO327737:FBO327738 FLK327737:FLK327738 FVG327737:FVG327738 GFC327737:GFC327738 GOY327737:GOY327738 GYU327737:GYU327738 HIQ327737:HIQ327738 HSM327737:HSM327738 ICI327737:ICI327738 IME327737:IME327738 IWA327737:IWA327738 JFW327737:JFW327738 JPS327737:JPS327738 JZO327737:JZO327738 KJK327737:KJK327738 KTG327737:KTG327738 LDC327737:LDC327738 LMY327737:LMY327738 LWU327737:LWU327738 MGQ327737:MGQ327738 MQM327737:MQM327738 NAI327737:NAI327738 NKE327737:NKE327738 NUA327737:NUA327738 ODW327737:ODW327738 ONS327737:ONS327738 OXO327737:OXO327738 PHK327737:PHK327738 PRG327737:PRG327738 QBC327737:QBC327738 QKY327737:QKY327738 QUU327737:QUU327738 REQ327737:REQ327738 ROM327737:ROM327738 RYI327737:RYI327738 SIE327737:SIE327738 SSA327737:SSA327738 TBW327737:TBW327738 TLS327737:TLS327738 TVO327737:TVO327738 UFK327737:UFK327738 UPG327737:UPG327738 UZC327737:UZC327738 VIY327737:VIY327738 VSU327737:VSU327738 WCQ327737:WCQ327738 WMM327737:WMM327738 WWI327737:WWI327738 AA393273:AA393274 JW393273:JW393274 TS393273:TS393274 ADO393273:ADO393274 ANK393273:ANK393274 AXG393273:AXG393274 BHC393273:BHC393274 BQY393273:BQY393274 CAU393273:CAU393274 CKQ393273:CKQ393274 CUM393273:CUM393274 DEI393273:DEI393274 DOE393273:DOE393274 DYA393273:DYA393274 EHW393273:EHW393274 ERS393273:ERS393274 FBO393273:FBO393274 FLK393273:FLK393274 FVG393273:FVG393274 GFC393273:GFC393274 GOY393273:GOY393274 GYU393273:GYU393274 HIQ393273:HIQ393274 HSM393273:HSM393274 ICI393273:ICI393274 IME393273:IME393274 IWA393273:IWA393274 JFW393273:JFW393274 JPS393273:JPS393274 JZO393273:JZO393274 KJK393273:KJK393274 KTG393273:KTG393274 LDC393273:LDC393274 LMY393273:LMY393274 LWU393273:LWU393274 MGQ393273:MGQ393274 MQM393273:MQM393274 NAI393273:NAI393274 NKE393273:NKE393274 NUA393273:NUA393274 ODW393273:ODW393274 ONS393273:ONS393274 OXO393273:OXO393274 PHK393273:PHK393274 PRG393273:PRG393274 QBC393273:QBC393274 QKY393273:QKY393274 QUU393273:QUU393274 REQ393273:REQ393274 ROM393273:ROM393274 RYI393273:RYI393274 SIE393273:SIE393274 SSA393273:SSA393274 TBW393273:TBW393274 TLS393273:TLS393274 TVO393273:TVO393274 UFK393273:UFK393274 UPG393273:UPG393274 UZC393273:UZC393274 VIY393273:VIY393274 VSU393273:VSU393274 WCQ393273:WCQ393274 WMM393273:WMM393274 WWI393273:WWI393274 AA458809:AA458810 JW458809:JW458810 TS458809:TS458810 ADO458809:ADO458810 ANK458809:ANK458810 AXG458809:AXG458810 BHC458809:BHC458810 BQY458809:BQY458810 CAU458809:CAU458810 CKQ458809:CKQ458810 CUM458809:CUM458810 DEI458809:DEI458810 DOE458809:DOE458810 DYA458809:DYA458810 EHW458809:EHW458810 ERS458809:ERS458810 FBO458809:FBO458810 FLK458809:FLK458810 FVG458809:FVG458810 GFC458809:GFC458810 GOY458809:GOY458810 GYU458809:GYU458810 HIQ458809:HIQ458810 HSM458809:HSM458810 ICI458809:ICI458810 IME458809:IME458810 IWA458809:IWA458810 JFW458809:JFW458810 JPS458809:JPS458810 JZO458809:JZO458810 KJK458809:KJK458810 KTG458809:KTG458810 LDC458809:LDC458810 LMY458809:LMY458810 LWU458809:LWU458810 MGQ458809:MGQ458810 MQM458809:MQM458810 NAI458809:NAI458810 NKE458809:NKE458810 NUA458809:NUA458810 ODW458809:ODW458810 ONS458809:ONS458810 OXO458809:OXO458810 PHK458809:PHK458810 PRG458809:PRG458810 QBC458809:QBC458810 QKY458809:QKY458810 QUU458809:QUU458810 REQ458809:REQ458810 ROM458809:ROM458810 RYI458809:RYI458810 SIE458809:SIE458810 SSA458809:SSA458810 TBW458809:TBW458810 TLS458809:TLS458810 TVO458809:TVO458810 UFK458809:UFK458810 UPG458809:UPG458810 UZC458809:UZC458810 VIY458809:VIY458810 VSU458809:VSU458810 WCQ458809:WCQ458810 WMM458809:WMM458810 WWI458809:WWI458810 AA524345:AA524346 JW524345:JW524346 TS524345:TS524346 ADO524345:ADO524346 ANK524345:ANK524346 AXG524345:AXG524346 BHC524345:BHC524346 BQY524345:BQY524346 CAU524345:CAU524346 CKQ524345:CKQ524346 CUM524345:CUM524346 DEI524345:DEI524346 DOE524345:DOE524346 DYA524345:DYA524346 EHW524345:EHW524346 ERS524345:ERS524346 FBO524345:FBO524346 FLK524345:FLK524346 FVG524345:FVG524346 GFC524345:GFC524346 GOY524345:GOY524346 GYU524345:GYU524346 HIQ524345:HIQ524346 HSM524345:HSM524346 ICI524345:ICI524346 IME524345:IME524346 IWA524345:IWA524346 JFW524345:JFW524346 JPS524345:JPS524346 JZO524345:JZO524346 KJK524345:KJK524346 KTG524345:KTG524346 LDC524345:LDC524346 LMY524345:LMY524346 LWU524345:LWU524346 MGQ524345:MGQ524346 MQM524345:MQM524346 NAI524345:NAI524346 NKE524345:NKE524346 NUA524345:NUA524346 ODW524345:ODW524346 ONS524345:ONS524346 OXO524345:OXO524346 PHK524345:PHK524346 PRG524345:PRG524346 QBC524345:QBC524346 QKY524345:QKY524346 QUU524345:QUU524346 REQ524345:REQ524346 ROM524345:ROM524346 RYI524345:RYI524346 SIE524345:SIE524346 SSA524345:SSA524346 TBW524345:TBW524346 TLS524345:TLS524346 TVO524345:TVO524346 UFK524345:UFK524346 UPG524345:UPG524346 UZC524345:UZC524346 VIY524345:VIY524346 VSU524345:VSU524346 WCQ524345:WCQ524346 WMM524345:WMM524346 WWI524345:WWI524346 AA589881:AA589882 JW589881:JW589882 TS589881:TS589882 ADO589881:ADO589882 ANK589881:ANK589882 AXG589881:AXG589882 BHC589881:BHC589882 BQY589881:BQY589882 CAU589881:CAU589882 CKQ589881:CKQ589882 CUM589881:CUM589882 DEI589881:DEI589882 DOE589881:DOE589882 DYA589881:DYA589882 EHW589881:EHW589882 ERS589881:ERS589882 FBO589881:FBO589882 FLK589881:FLK589882 FVG589881:FVG589882 GFC589881:GFC589882 GOY589881:GOY589882 GYU589881:GYU589882 HIQ589881:HIQ589882 HSM589881:HSM589882 ICI589881:ICI589882 IME589881:IME589882 IWA589881:IWA589882 JFW589881:JFW589882 JPS589881:JPS589882 JZO589881:JZO589882 KJK589881:KJK589882 KTG589881:KTG589882 LDC589881:LDC589882 LMY589881:LMY589882 LWU589881:LWU589882 MGQ589881:MGQ589882 MQM589881:MQM589882 NAI589881:NAI589882 NKE589881:NKE589882 NUA589881:NUA589882 ODW589881:ODW589882 ONS589881:ONS589882 OXO589881:OXO589882 PHK589881:PHK589882 PRG589881:PRG589882 QBC589881:QBC589882 QKY589881:QKY589882 QUU589881:QUU589882 REQ589881:REQ589882 ROM589881:ROM589882 RYI589881:RYI589882 SIE589881:SIE589882 SSA589881:SSA589882 TBW589881:TBW589882 TLS589881:TLS589882 TVO589881:TVO589882 UFK589881:UFK589882 UPG589881:UPG589882 UZC589881:UZC589882 VIY589881:VIY589882 VSU589881:VSU589882 WCQ589881:WCQ589882 WMM589881:WMM589882 WWI589881:WWI589882 AA655417:AA655418 JW655417:JW655418 TS655417:TS655418 ADO655417:ADO655418 ANK655417:ANK655418 AXG655417:AXG655418 BHC655417:BHC655418 BQY655417:BQY655418 CAU655417:CAU655418 CKQ655417:CKQ655418 CUM655417:CUM655418 DEI655417:DEI655418 DOE655417:DOE655418 DYA655417:DYA655418 EHW655417:EHW655418 ERS655417:ERS655418 FBO655417:FBO655418 FLK655417:FLK655418 FVG655417:FVG655418 GFC655417:GFC655418 GOY655417:GOY655418 GYU655417:GYU655418 HIQ655417:HIQ655418 HSM655417:HSM655418 ICI655417:ICI655418 IME655417:IME655418 IWA655417:IWA655418 JFW655417:JFW655418 JPS655417:JPS655418 JZO655417:JZO655418 KJK655417:KJK655418 KTG655417:KTG655418 LDC655417:LDC655418 LMY655417:LMY655418 LWU655417:LWU655418 MGQ655417:MGQ655418 MQM655417:MQM655418 NAI655417:NAI655418 NKE655417:NKE655418 NUA655417:NUA655418 ODW655417:ODW655418 ONS655417:ONS655418 OXO655417:OXO655418 PHK655417:PHK655418 PRG655417:PRG655418 QBC655417:QBC655418 QKY655417:QKY655418 QUU655417:QUU655418 REQ655417:REQ655418 ROM655417:ROM655418 RYI655417:RYI655418 SIE655417:SIE655418 SSA655417:SSA655418 TBW655417:TBW655418 TLS655417:TLS655418 TVO655417:TVO655418 UFK655417:UFK655418 UPG655417:UPG655418 UZC655417:UZC655418 VIY655417:VIY655418 VSU655417:VSU655418 WCQ655417:WCQ655418 WMM655417:WMM655418 WWI655417:WWI655418 AA720953:AA720954 JW720953:JW720954 TS720953:TS720954 ADO720953:ADO720954 ANK720953:ANK720954 AXG720953:AXG720954 BHC720953:BHC720954 BQY720953:BQY720954 CAU720953:CAU720954 CKQ720953:CKQ720954 CUM720953:CUM720954 DEI720953:DEI720954 DOE720953:DOE720954 DYA720953:DYA720954 EHW720953:EHW720954 ERS720953:ERS720954 FBO720953:FBO720954 FLK720953:FLK720954 FVG720953:FVG720954 GFC720953:GFC720954 GOY720953:GOY720954 GYU720953:GYU720954 HIQ720953:HIQ720954 HSM720953:HSM720954 ICI720953:ICI720954 IME720953:IME720954 IWA720953:IWA720954 JFW720953:JFW720954 JPS720953:JPS720954 JZO720953:JZO720954 KJK720953:KJK720954 KTG720953:KTG720954 LDC720953:LDC720954 LMY720953:LMY720954 LWU720953:LWU720954 MGQ720953:MGQ720954 MQM720953:MQM720954 NAI720953:NAI720954 NKE720953:NKE720954 NUA720953:NUA720954 ODW720953:ODW720954 ONS720953:ONS720954 OXO720953:OXO720954 PHK720953:PHK720954 PRG720953:PRG720954 QBC720953:QBC720954 QKY720953:QKY720954 QUU720953:QUU720954 REQ720953:REQ720954 ROM720953:ROM720954 RYI720953:RYI720954 SIE720953:SIE720954 SSA720953:SSA720954 TBW720953:TBW720954 TLS720953:TLS720954 TVO720953:TVO720954 UFK720953:UFK720954 UPG720953:UPG720954 UZC720953:UZC720954 VIY720953:VIY720954 VSU720953:VSU720954 WCQ720953:WCQ720954 WMM720953:WMM720954 WWI720953:WWI720954 AA786489:AA786490 JW786489:JW786490 TS786489:TS786490 ADO786489:ADO786490 ANK786489:ANK786490 AXG786489:AXG786490 BHC786489:BHC786490 BQY786489:BQY786490 CAU786489:CAU786490 CKQ786489:CKQ786490 CUM786489:CUM786490 DEI786489:DEI786490 DOE786489:DOE786490 DYA786489:DYA786490 EHW786489:EHW786490 ERS786489:ERS786490 FBO786489:FBO786490 FLK786489:FLK786490 FVG786489:FVG786490 GFC786489:GFC786490 GOY786489:GOY786490 GYU786489:GYU786490 HIQ786489:HIQ786490 HSM786489:HSM786490 ICI786489:ICI786490 IME786489:IME786490 IWA786489:IWA786490 JFW786489:JFW786490 JPS786489:JPS786490 JZO786489:JZO786490 KJK786489:KJK786490 KTG786489:KTG786490 LDC786489:LDC786490 LMY786489:LMY786490 LWU786489:LWU786490 MGQ786489:MGQ786490 MQM786489:MQM786490 NAI786489:NAI786490 NKE786489:NKE786490 NUA786489:NUA786490 ODW786489:ODW786490 ONS786489:ONS786490 OXO786489:OXO786490 PHK786489:PHK786490 PRG786489:PRG786490 QBC786489:QBC786490 QKY786489:QKY786490 QUU786489:QUU786490 REQ786489:REQ786490 ROM786489:ROM786490 RYI786489:RYI786490 SIE786489:SIE786490 SSA786489:SSA786490 TBW786489:TBW786490 TLS786489:TLS786490 TVO786489:TVO786490 UFK786489:UFK786490 UPG786489:UPG786490 UZC786489:UZC786490 VIY786489:VIY786490 VSU786489:VSU786490 WCQ786489:WCQ786490 WMM786489:WMM786490 WWI786489:WWI786490 AA852025:AA852026 JW852025:JW852026 TS852025:TS852026 ADO852025:ADO852026 ANK852025:ANK852026 AXG852025:AXG852026 BHC852025:BHC852026 BQY852025:BQY852026 CAU852025:CAU852026 CKQ852025:CKQ852026 CUM852025:CUM852026 DEI852025:DEI852026 DOE852025:DOE852026 DYA852025:DYA852026 EHW852025:EHW852026 ERS852025:ERS852026 FBO852025:FBO852026 FLK852025:FLK852026 FVG852025:FVG852026 GFC852025:GFC852026 GOY852025:GOY852026 GYU852025:GYU852026 HIQ852025:HIQ852026 HSM852025:HSM852026 ICI852025:ICI852026 IME852025:IME852026 IWA852025:IWA852026 JFW852025:JFW852026 JPS852025:JPS852026 JZO852025:JZO852026 KJK852025:KJK852026 KTG852025:KTG852026 LDC852025:LDC852026 LMY852025:LMY852026 LWU852025:LWU852026 MGQ852025:MGQ852026 MQM852025:MQM852026 NAI852025:NAI852026 NKE852025:NKE852026 NUA852025:NUA852026 ODW852025:ODW852026 ONS852025:ONS852026 OXO852025:OXO852026 PHK852025:PHK852026 PRG852025:PRG852026 QBC852025:QBC852026 QKY852025:QKY852026 QUU852025:QUU852026 REQ852025:REQ852026 ROM852025:ROM852026 RYI852025:RYI852026 SIE852025:SIE852026 SSA852025:SSA852026 TBW852025:TBW852026 TLS852025:TLS852026 TVO852025:TVO852026 UFK852025:UFK852026 UPG852025:UPG852026 UZC852025:UZC852026 VIY852025:VIY852026 VSU852025:VSU852026 WCQ852025:WCQ852026 WMM852025:WMM852026 WWI852025:WWI852026 AA917561:AA917562 JW917561:JW917562 TS917561:TS917562 ADO917561:ADO917562 ANK917561:ANK917562 AXG917561:AXG917562 BHC917561:BHC917562 BQY917561:BQY917562 CAU917561:CAU917562 CKQ917561:CKQ917562 CUM917561:CUM917562 DEI917561:DEI917562 DOE917561:DOE917562 DYA917561:DYA917562 EHW917561:EHW917562 ERS917561:ERS917562 FBO917561:FBO917562 FLK917561:FLK917562 FVG917561:FVG917562 GFC917561:GFC917562 GOY917561:GOY917562 GYU917561:GYU917562 HIQ917561:HIQ917562 HSM917561:HSM917562 ICI917561:ICI917562 IME917561:IME917562 IWA917561:IWA917562 JFW917561:JFW917562 JPS917561:JPS917562 JZO917561:JZO917562 KJK917561:KJK917562 KTG917561:KTG917562 LDC917561:LDC917562 LMY917561:LMY917562 LWU917561:LWU917562 MGQ917561:MGQ917562 MQM917561:MQM917562 NAI917561:NAI917562 NKE917561:NKE917562 NUA917561:NUA917562 ODW917561:ODW917562 ONS917561:ONS917562 OXO917561:OXO917562 PHK917561:PHK917562 PRG917561:PRG917562 QBC917561:QBC917562 QKY917561:QKY917562 QUU917561:QUU917562 REQ917561:REQ917562 ROM917561:ROM917562 RYI917561:RYI917562 SIE917561:SIE917562 SSA917561:SSA917562 TBW917561:TBW917562 TLS917561:TLS917562 TVO917561:TVO917562 UFK917561:UFK917562 UPG917561:UPG917562 UZC917561:UZC917562 VIY917561:VIY917562 VSU917561:VSU917562 WCQ917561:WCQ917562 WMM917561:WMM917562 WWI917561:WWI917562 AA983097:AA983098 JW983097:JW983098 TS983097:TS983098 ADO983097:ADO983098 ANK983097:ANK983098 AXG983097:AXG983098 BHC983097:BHC983098 BQY983097:BQY983098 CAU983097:CAU983098 CKQ983097:CKQ983098 CUM983097:CUM983098 DEI983097:DEI983098 DOE983097:DOE983098 DYA983097:DYA983098 EHW983097:EHW983098 ERS983097:ERS983098 FBO983097:FBO983098 FLK983097:FLK983098 FVG983097:FVG983098 GFC983097:GFC983098 GOY983097:GOY983098 GYU983097:GYU983098 HIQ983097:HIQ983098 HSM983097:HSM983098 ICI983097:ICI983098 IME983097:IME983098 IWA983097:IWA983098 JFW983097:JFW983098 JPS983097:JPS983098 JZO983097:JZO983098 KJK983097:KJK983098 KTG983097:KTG983098 LDC983097:LDC983098 LMY983097:LMY983098 LWU983097:LWU983098 MGQ983097:MGQ983098 MQM983097:MQM983098 NAI983097:NAI983098 NKE983097:NKE983098 NUA983097:NUA983098 ODW983097:ODW983098 ONS983097:ONS983098 OXO983097:OXO983098 PHK983097:PHK983098 PRG983097:PRG983098 QBC983097:QBC983098 QKY983097:QKY983098 QUU983097:QUU983098 REQ983097:REQ983098 ROM983097:ROM983098 RYI983097:RYI983098 SIE983097:SIE983098 SSA983097:SSA983098 TBW983097:TBW983098 TLS983097:TLS983098 TVO983097:TVO983098 UFK983097:UFK983098 UPG983097:UPG983098 UZC983097:UZC983098 VIY983097:VIY983098 VSU983097:VSU983098 WCQ983097:WCQ983098 WMM983097:WMM983098 WWI983097:WWI983098 AB58:BX58 JX58:LT58 TT58:VP58 ADP58:AFL58 ANL58:APH58 AXH58:AZD58 BHD58:BIZ58 BQZ58:BSV58 CAV58:CCR58 CKR58:CMN58 CUN58:CWJ58 DEJ58:DGF58 DOF58:DQB58 DYB58:DZX58 EHX58:EJT58 ERT58:ETP58 FBP58:FDL58 FLL58:FNH58 FVH58:FXD58 GFD58:GGZ58 GOZ58:GQV58 GYV58:HAR58 HIR58:HKN58 HSN58:HUJ58 ICJ58:IEF58 IMF58:IOB58 IWB58:IXX58 JFX58:JHT58 JPT58:JRP58 JZP58:KBL58 KJL58:KLH58 KTH58:KVD58 LDD58:LEZ58 LMZ58:LOV58 LWV58:LYR58 MGR58:MIN58 MQN58:MSJ58 NAJ58:NCF58 NKF58:NMB58 NUB58:NVX58 ODX58:OFT58 ONT58:OPP58 OXP58:OZL58 PHL58:PJH58 PRH58:PTD58 QBD58:QCZ58 QKZ58:QMV58 QUV58:QWR58 RER58:RGN58 RON58:RQJ58 RYJ58:SAF58 SIF58:SKB58 SSB58:STX58 TBX58:TDT58 TLT58:TNP58 TVP58:TXL58 UFL58:UHH58 UPH58:URD58 UZD58:VAZ58 VIZ58:VKV58 VSV58:VUR58 WCR58:WEN58 WMN58:WOJ58 WWJ58:WYF58 AB65594:BX65594 JX65594:LT65594 TT65594:VP65594 ADP65594:AFL65594 ANL65594:APH65594 AXH65594:AZD65594 BHD65594:BIZ65594 BQZ65594:BSV65594 CAV65594:CCR65594 CKR65594:CMN65594 CUN65594:CWJ65594 DEJ65594:DGF65594 DOF65594:DQB65594 DYB65594:DZX65594 EHX65594:EJT65594 ERT65594:ETP65594 FBP65594:FDL65594 FLL65594:FNH65594 FVH65594:FXD65594 GFD65594:GGZ65594 GOZ65594:GQV65594 GYV65594:HAR65594 HIR65594:HKN65594 HSN65594:HUJ65594 ICJ65594:IEF65594 IMF65594:IOB65594 IWB65594:IXX65594 JFX65594:JHT65594 JPT65594:JRP65594 JZP65594:KBL65594 KJL65594:KLH65594 KTH65594:KVD65594 LDD65594:LEZ65594 LMZ65594:LOV65594 LWV65594:LYR65594 MGR65594:MIN65594 MQN65594:MSJ65594 NAJ65594:NCF65594 NKF65594:NMB65594 NUB65594:NVX65594 ODX65594:OFT65594 ONT65594:OPP65594 OXP65594:OZL65594 PHL65594:PJH65594 PRH65594:PTD65594 QBD65594:QCZ65594 QKZ65594:QMV65594 QUV65594:QWR65594 RER65594:RGN65594 RON65594:RQJ65594 RYJ65594:SAF65594 SIF65594:SKB65594 SSB65594:STX65594 TBX65594:TDT65594 TLT65594:TNP65594 TVP65594:TXL65594 UFL65594:UHH65594 UPH65594:URD65594 UZD65594:VAZ65594 VIZ65594:VKV65594 VSV65594:VUR65594 WCR65594:WEN65594 WMN65594:WOJ65594 WWJ65594:WYF65594 AB131130:BX131130 JX131130:LT131130 TT131130:VP131130 ADP131130:AFL131130 ANL131130:APH131130 AXH131130:AZD131130 BHD131130:BIZ131130 BQZ131130:BSV131130 CAV131130:CCR131130 CKR131130:CMN131130 CUN131130:CWJ131130 DEJ131130:DGF131130 DOF131130:DQB131130 DYB131130:DZX131130 EHX131130:EJT131130 ERT131130:ETP131130 FBP131130:FDL131130 FLL131130:FNH131130 FVH131130:FXD131130 GFD131130:GGZ131130 GOZ131130:GQV131130 GYV131130:HAR131130 HIR131130:HKN131130 HSN131130:HUJ131130 ICJ131130:IEF131130 IMF131130:IOB131130 IWB131130:IXX131130 JFX131130:JHT131130 JPT131130:JRP131130 JZP131130:KBL131130 KJL131130:KLH131130 KTH131130:KVD131130 LDD131130:LEZ131130 LMZ131130:LOV131130 LWV131130:LYR131130 MGR131130:MIN131130 MQN131130:MSJ131130 NAJ131130:NCF131130 NKF131130:NMB131130 NUB131130:NVX131130 ODX131130:OFT131130 ONT131130:OPP131130 OXP131130:OZL131130 PHL131130:PJH131130 PRH131130:PTD131130 QBD131130:QCZ131130 QKZ131130:QMV131130 QUV131130:QWR131130 RER131130:RGN131130 RON131130:RQJ131130 RYJ131130:SAF131130 SIF131130:SKB131130 SSB131130:STX131130 TBX131130:TDT131130 TLT131130:TNP131130 TVP131130:TXL131130 UFL131130:UHH131130 UPH131130:URD131130 UZD131130:VAZ131130 VIZ131130:VKV131130 VSV131130:VUR131130 WCR131130:WEN131130 WMN131130:WOJ131130 WWJ131130:WYF131130 AB196666:BX196666 JX196666:LT196666 TT196666:VP196666 ADP196666:AFL196666 ANL196666:APH196666 AXH196666:AZD196666 BHD196666:BIZ196666 BQZ196666:BSV196666 CAV196666:CCR196666 CKR196666:CMN196666 CUN196666:CWJ196666 DEJ196666:DGF196666 DOF196666:DQB196666 DYB196666:DZX196666 EHX196666:EJT196666 ERT196666:ETP196666 FBP196666:FDL196666 FLL196666:FNH196666 FVH196666:FXD196666 GFD196666:GGZ196666 GOZ196666:GQV196666 GYV196666:HAR196666 HIR196666:HKN196666 HSN196666:HUJ196666 ICJ196666:IEF196666 IMF196666:IOB196666 IWB196666:IXX196666 JFX196666:JHT196666 JPT196666:JRP196666 JZP196666:KBL196666 KJL196666:KLH196666 KTH196666:KVD196666 LDD196666:LEZ196666 LMZ196666:LOV196666 LWV196666:LYR196666 MGR196666:MIN196666 MQN196666:MSJ196666 NAJ196666:NCF196666 NKF196666:NMB196666 NUB196666:NVX196666 ODX196666:OFT196666 ONT196666:OPP196666 OXP196666:OZL196666 PHL196666:PJH196666 PRH196666:PTD196666 QBD196666:QCZ196666 QKZ196666:QMV196666 QUV196666:QWR196666 RER196666:RGN196666 RON196666:RQJ196666 RYJ196666:SAF196666 SIF196666:SKB196666 SSB196666:STX196666 TBX196666:TDT196666 TLT196666:TNP196666 TVP196666:TXL196666 UFL196666:UHH196666 UPH196666:URD196666 UZD196666:VAZ196666 VIZ196666:VKV196666 VSV196666:VUR196666 WCR196666:WEN196666 WMN196666:WOJ196666 WWJ196666:WYF196666 AB262202:BX262202 JX262202:LT262202 TT262202:VP262202 ADP262202:AFL262202 ANL262202:APH262202 AXH262202:AZD262202 BHD262202:BIZ262202 BQZ262202:BSV262202 CAV262202:CCR262202 CKR262202:CMN262202 CUN262202:CWJ262202 DEJ262202:DGF262202 DOF262202:DQB262202 DYB262202:DZX262202 EHX262202:EJT262202 ERT262202:ETP262202 FBP262202:FDL262202 FLL262202:FNH262202 FVH262202:FXD262202 GFD262202:GGZ262202 GOZ262202:GQV262202 GYV262202:HAR262202 HIR262202:HKN262202 HSN262202:HUJ262202 ICJ262202:IEF262202 IMF262202:IOB262202 IWB262202:IXX262202 JFX262202:JHT262202 JPT262202:JRP262202 JZP262202:KBL262202 KJL262202:KLH262202 KTH262202:KVD262202 LDD262202:LEZ262202 LMZ262202:LOV262202 LWV262202:LYR262202 MGR262202:MIN262202 MQN262202:MSJ262202 NAJ262202:NCF262202 NKF262202:NMB262202 NUB262202:NVX262202 ODX262202:OFT262202 ONT262202:OPP262202 OXP262202:OZL262202 PHL262202:PJH262202 PRH262202:PTD262202 QBD262202:QCZ262202 QKZ262202:QMV262202 QUV262202:QWR262202 RER262202:RGN262202 RON262202:RQJ262202 RYJ262202:SAF262202 SIF262202:SKB262202 SSB262202:STX262202 TBX262202:TDT262202 TLT262202:TNP262202 TVP262202:TXL262202 UFL262202:UHH262202 UPH262202:URD262202 UZD262202:VAZ262202 VIZ262202:VKV262202 VSV262202:VUR262202 WCR262202:WEN262202 WMN262202:WOJ262202 WWJ262202:WYF262202 AB327738:BX327738 JX327738:LT327738 TT327738:VP327738 ADP327738:AFL327738 ANL327738:APH327738 AXH327738:AZD327738 BHD327738:BIZ327738 BQZ327738:BSV327738 CAV327738:CCR327738 CKR327738:CMN327738 CUN327738:CWJ327738 DEJ327738:DGF327738 DOF327738:DQB327738 DYB327738:DZX327738 EHX327738:EJT327738 ERT327738:ETP327738 FBP327738:FDL327738 FLL327738:FNH327738 FVH327738:FXD327738 GFD327738:GGZ327738 GOZ327738:GQV327738 GYV327738:HAR327738 HIR327738:HKN327738 HSN327738:HUJ327738 ICJ327738:IEF327738 IMF327738:IOB327738 IWB327738:IXX327738 JFX327738:JHT327738 JPT327738:JRP327738 JZP327738:KBL327738 KJL327738:KLH327738 KTH327738:KVD327738 LDD327738:LEZ327738 LMZ327738:LOV327738 LWV327738:LYR327738 MGR327738:MIN327738 MQN327738:MSJ327738 NAJ327738:NCF327738 NKF327738:NMB327738 NUB327738:NVX327738 ODX327738:OFT327738 ONT327738:OPP327738 OXP327738:OZL327738 PHL327738:PJH327738 PRH327738:PTD327738 QBD327738:QCZ327738 QKZ327738:QMV327738 QUV327738:QWR327738 RER327738:RGN327738 RON327738:RQJ327738 RYJ327738:SAF327738 SIF327738:SKB327738 SSB327738:STX327738 TBX327738:TDT327738 TLT327738:TNP327738 TVP327738:TXL327738 UFL327738:UHH327738 UPH327738:URD327738 UZD327738:VAZ327738 VIZ327738:VKV327738 VSV327738:VUR327738 WCR327738:WEN327738 WMN327738:WOJ327738 WWJ327738:WYF327738 AB393274:BX393274 JX393274:LT393274 TT393274:VP393274 ADP393274:AFL393274 ANL393274:APH393274 AXH393274:AZD393274 BHD393274:BIZ393274 BQZ393274:BSV393274 CAV393274:CCR393274 CKR393274:CMN393274 CUN393274:CWJ393274 DEJ393274:DGF393274 DOF393274:DQB393274 DYB393274:DZX393274 EHX393274:EJT393274 ERT393274:ETP393274 FBP393274:FDL393274 FLL393274:FNH393274 FVH393274:FXD393274 GFD393274:GGZ393274 GOZ393274:GQV393274 GYV393274:HAR393274 HIR393274:HKN393274 HSN393274:HUJ393274 ICJ393274:IEF393274 IMF393274:IOB393274 IWB393274:IXX393274 JFX393274:JHT393274 JPT393274:JRP393274 JZP393274:KBL393274 KJL393274:KLH393274 KTH393274:KVD393274 LDD393274:LEZ393274 LMZ393274:LOV393274 LWV393274:LYR393274 MGR393274:MIN393274 MQN393274:MSJ393274 NAJ393274:NCF393274 NKF393274:NMB393274 NUB393274:NVX393274 ODX393274:OFT393274 ONT393274:OPP393274 OXP393274:OZL393274 PHL393274:PJH393274 PRH393274:PTD393274 QBD393274:QCZ393274 QKZ393274:QMV393274 QUV393274:QWR393274 RER393274:RGN393274 RON393274:RQJ393274 RYJ393274:SAF393274 SIF393274:SKB393274 SSB393274:STX393274 TBX393274:TDT393274 TLT393274:TNP393274 TVP393274:TXL393274 UFL393274:UHH393274 UPH393274:URD393274 UZD393274:VAZ393274 VIZ393274:VKV393274 VSV393274:VUR393274 WCR393274:WEN393274 WMN393274:WOJ393274 WWJ393274:WYF393274 AB458810:BX458810 JX458810:LT458810 TT458810:VP458810 ADP458810:AFL458810 ANL458810:APH458810 AXH458810:AZD458810 BHD458810:BIZ458810 BQZ458810:BSV458810 CAV458810:CCR458810 CKR458810:CMN458810 CUN458810:CWJ458810 DEJ458810:DGF458810 DOF458810:DQB458810 DYB458810:DZX458810 EHX458810:EJT458810 ERT458810:ETP458810 FBP458810:FDL458810 FLL458810:FNH458810 FVH458810:FXD458810 GFD458810:GGZ458810 GOZ458810:GQV458810 GYV458810:HAR458810 HIR458810:HKN458810 HSN458810:HUJ458810 ICJ458810:IEF458810 IMF458810:IOB458810 IWB458810:IXX458810 JFX458810:JHT458810 JPT458810:JRP458810 JZP458810:KBL458810 KJL458810:KLH458810 KTH458810:KVD458810 LDD458810:LEZ458810 LMZ458810:LOV458810 LWV458810:LYR458810 MGR458810:MIN458810 MQN458810:MSJ458810 NAJ458810:NCF458810 NKF458810:NMB458810 NUB458810:NVX458810 ODX458810:OFT458810 ONT458810:OPP458810 OXP458810:OZL458810 PHL458810:PJH458810 PRH458810:PTD458810 QBD458810:QCZ458810 QKZ458810:QMV458810 QUV458810:QWR458810 RER458810:RGN458810 RON458810:RQJ458810 RYJ458810:SAF458810 SIF458810:SKB458810 SSB458810:STX458810 TBX458810:TDT458810 TLT458810:TNP458810 TVP458810:TXL458810 UFL458810:UHH458810 UPH458810:URD458810 UZD458810:VAZ458810 VIZ458810:VKV458810 VSV458810:VUR458810 WCR458810:WEN458810 WMN458810:WOJ458810 WWJ458810:WYF458810 AB524346:BX524346 JX524346:LT524346 TT524346:VP524346 ADP524346:AFL524346 ANL524346:APH524346 AXH524346:AZD524346 BHD524346:BIZ524346 BQZ524346:BSV524346 CAV524346:CCR524346 CKR524346:CMN524346 CUN524346:CWJ524346 DEJ524346:DGF524346 DOF524346:DQB524346 DYB524346:DZX524346 EHX524346:EJT524346 ERT524346:ETP524346 FBP524346:FDL524346 FLL524346:FNH524346 FVH524346:FXD524346 GFD524346:GGZ524346 GOZ524346:GQV524346 GYV524346:HAR524346 HIR524346:HKN524346 HSN524346:HUJ524346 ICJ524346:IEF524346 IMF524346:IOB524346 IWB524346:IXX524346 JFX524346:JHT524346 JPT524346:JRP524346 JZP524346:KBL524346 KJL524346:KLH524346 KTH524346:KVD524346 LDD524346:LEZ524346 LMZ524346:LOV524346 LWV524346:LYR524346 MGR524346:MIN524346 MQN524346:MSJ524346 NAJ524346:NCF524346 NKF524346:NMB524346 NUB524346:NVX524346 ODX524346:OFT524346 ONT524346:OPP524346 OXP524346:OZL524346 PHL524346:PJH524346 PRH524346:PTD524346 QBD524346:QCZ524346 QKZ524346:QMV524346 QUV524346:QWR524346 RER524346:RGN524346 RON524346:RQJ524346 RYJ524346:SAF524346 SIF524346:SKB524346 SSB524346:STX524346 TBX524346:TDT524346 TLT524346:TNP524346 TVP524346:TXL524346 UFL524346:UHH524346 UPH524346:URD524346 UZD524346:VAZ524346 VIZ524346:VKV524346 VSV524346:VUR524346 WCR524346:WEN524346 WMN524346:WOJ524346 WWJ524346:WYF524346 AB589882:BX589882 JX589882:LT589882 TT589882:VP589882 ADP589882:AFL589882 ANL589882:APH589882 AXH589882:AZD589882 BHD589882:BIZ589882 BQZ589882:BSV589882 CAV589882:CCR589882 CKR589882:CMN589882 CUN589882:CWJ589882 DEJ589882:DGF589882 DOF589882:DQB589882 DYB589882:DZX589882 EHX589882:EJT589882 ERT589882:ETP589882 FBP589882:FDL589882 FLL589882:FNH589882 FVH589882:FXD589882 GFD589882:GGZ589882 GOZ589882:GQV589882 GYV589882:HAR589882 HIR589882:HKN589882 HSN589882:HUJ589882 ICJ589882:IEF589882 IMF589882:IOB589882 IWB589882:IXX589882 JFX589882:JHT589882 JPT589882:JRP589882 JZP589882:KBL589882 KJL589882:KLH589882 KTH589882:KVD589882 LDD589882:LEZ589882 LMZ589882:LOV589882 LWV589882:LYR589882 MGR589882:MIN589882 MQN589882:MSJ589882 NAJ589882:NCF589882 NKF589882:NMB589882 NUB589882:NVX589882 ODX589882:OFT589882 ONT589882:OPP589882 OXP589882:OZL589882 PHL589882:PJH589882 PRH589882:PTD589882 QBD589882:QCZ589882 QKZ589882:QMV589882 QUV589882:QWR589882 RER589882:RGN589882 RON589882:RQJ589882 RYJ589882:SAF589882 SIF589882:SKB589882 SSB589882:STX589882 TBX589882:TDT589882 TLT589882:TNP589882 TVP589882:TXL589882 UFL589882:UHH589882 UPH589882:URD589882 UZD589882:VAZ589882 VIZ589882:VKV589882 VSV589882:VUR589882 WCR589882:WEN589882 WMN589882:WOJ589882 WWJ589882:WYF589882 AB655418:BX655418 JX655418:LT655418 TT655418:VP655418 ADP655418:AFL655418 ANL655418:APH655418 AXH655418:AZD655418 BHD655418:BIZ655418 BQZ655418:BSV655418 CAV655418:CCR655418 CKR655418:CMN655418 CUN655418:CWJ655418 DEJ655418:DGF655418 DOF655418:DQB655418 DYB655418:DZX655418 EHX655418:EJT655418 ERT655418:ETP655418 FBP655418:FDL655418 FLL655418:FNH655418 FVH655418:FXD655418 GFD655418:GGZ655418 GOZ655418:GQV655418 GYV655418:HAR655418 HIR655418:HKN655418 HSN655418:HUJ655418 ICJ655418:IEF655418 IMF655418:IOB655418 IWB655418:IXX655418 JFX655418:JHT655418 JPT655418:JRP655418 JZP655418:KBL655418 KJL655418:KLH655418 KTH655418:KVD655418 LDD655418:LEZ655418 LMZ655418:LOV655418 LWV655418:LYR655418 MGR655418:MIN655418 MQN655418:MSJ655418 NAJ655418:NCF655418 NKF655418:NMB655418 NUB655418:NVX655418 ODX655418:OFT655418 ONT655418:OPP655418 OXP655418:OZL655418 PHL655418:PJH655418 PRH655418:PTD655418 QBD655418:QCZ655418 QKZ655418:QMV655418 QUV655418:QWR655418 RER655418:RGN655418 RON655418:RQJ655418 RYJ655418:SAF655418 SIF655418:SKB655418 SSB655418:STX655418 TBX655418:TDT655418 TLT655418:TNP655418 TVP655418:TXL655418 UFL655418:UHH655418 UPH655418:URD655418 UZD655418:VAZ655418 VIZ655418:VKV655418 VSV655418:VUR655418 WCR655418:WEN655418 WMN655418:WOJ655418 WWJ655418:WYF655418 AB720954:BX720954 JX720954:LT720954 TT720954:VP720954 ADP720954:AFL720954 ANL720954:APH720954 AXH720954:AZD720954 BHD720954:BIZ720954 BQZ720954:BSV720954 CAV720954:CCR720954 CKR720954:CMN720954 CUN720954:CWJ720954 DEJ720954:DGF720954 DOF720954:DQB720954 DYB720954:DZX720954 EHX720954:EJT720954 ERT720954:ETP720954 FBP720954:FDL720954 FLL720954:FNH720954 FVH720954:FXD720954 GFD720954:GGZ720954 GOZ720954:GQV720954 GYV720954:HAR720954 HIR720954:HKN720954 HSN720954:HUJ720954 ICJ720954:IEF720954 IMF720954:IOB720954 IWB720954:IXX720954 JFX720954:JHT720954 JPT720954:JRP720954 JZP720954:KBL720954 KJL720954:KLH720954 KTH720954:KVD720954 LDD720954:LEZ720954 LMZ720954:LOV720954 LWV720954:LYR720954 MGR720954:MIN720954 MQN720954:MSJ720954 NAJ720954:NCF720954 NKF720954:NMB720954 NUB720954:NVX720954 ODX720954:OFT720954 ONT720954:OPP720954 OXP720954:OZL720954 PHL720954:PJH720954 PRH720954:PTD720954 QBD720954:QCZ720954 QKZ720954:QMV720954 QUV720954:QWR720954 RER720954:RGN720954 RON720954:RQJ720954 RYJ720954:SAF720954 SIF720954:SKB720954 SSB720954:STX720954 TBX720954:TDT720954 TLT720954:TNP720954 TVP720954:TXL720954 UFL720954:UHH720954 UPH720954:URD720954 UZD720954:VAZ720954 VIZ720954:VKV720954 VSV720954:VUR720954 WCR720954:WEN720954 WMN720954:WOJ720954 WWJ720954:WYF720954 AB786490:BX786490 JX786490:LT786490 TT786490:VP786490 ADP786490:AFL786490 ANL786490:APH786490 AXH786490:AZD786490 BHD786490:BIZ786490 BQZ786490:BSV786490 CAV786490:CCR786490 CKR786490:CMN786490 CUN786490:CWJ786490 DEJ786490:DGF786490 DOF786490:DQB786490 DYB786490:DZX786490 EHX786490:EJT786490 ERT786490:ETP786490 FBP786490:FDL786490 FLL786490:FNH786490 FVH786490:FXD786490 GFD786490:GGZ786490 GOZ786490:GQV786490 GYV786490:HAR786490 HIR786490:HKN786490 HSN786490:HUJ786490 ICJ786490:IEF786490 IMF786490:IOB786490 IWB786490:IXX786490 JFX786490:JHT786490 JPT786490:JRP786490 JZP786490:KBL786490 KJL786490:KLH786490 KTH786490:KVD786490 LDD786490:LEZ786490 LMZ786490:LOV786490 LWV786490:LYR786490 MGR786490:MIN786490 MQN786490:MSJ786490 NAJ786490:NCF786490 NKF786490:NMB786490 NUB786490:NVX786490 ODX786490:OFT786490 ONT786490:OPP786490 OXP786490:OZL786490 PHL786490:PJH786490 PRH786490:PTD786490 QBD786490:QCZ786490 QKZ786490:QMV786490 QUV786490:QWR786490 RER786490:RGN786490 RON786490:RQJ786490 RYJ786490:SAF786490 SIF786490:SKB786490 SSB786490:STX786490 TBX786490:TDT786490 TLT786490:TNP786490 TVP786490:TXL786490 UFL786490:UHH786490 UPH786490:URD786490 UZD786490:VAZ786490 VIZ786490:VKV786490 VSV786490:VUR786490 WCR786490:WEN786490 WMN786490:WOJ786490 WWJ786490:WYF786490 AB852026:BX852026 JX852026:LT852026 TT852026:VP852026 ADP852026:AFL852026 ANL852026:APH852026 AXH852026:AZD852026 BHD852026:BIZ852026 BQZ852026:BSV852026 CAV852026:CCR852026 CKR852026:CMN852026 CUN852026:CWJ852026 DEJ852026:DGF852026 DOF852026:DQB852026 DYB852026:DZX852026 EHX852026:EJT852026 ERT852026:ETP852026 FBP852026:FDL852026 FLL852026:FNH852026 FVH852026:FXD852026 GFD852026:GGZ852026 GOZ852026:GQV852026 GYV852026:HAR852026 HIR852026:HKN852026 HSN852026:HUJ852026 ICJ852026:IEF852026 IMF852026:IOB852026 IWB852026:IXX852026 JFX852026:JHT852026 JPT852026:JRP852026 JZP852026:KBL852026 KJL852026:KLH852026 KTH852026:KVD852026 LDD852026:LEZ852026 LMZ852026:LOV852026 LWV852026:LYR852026 MGR852026:MIN852026 MQN852026:MSJ852026 NAJ852026:NCF852026 NKF852026:NMB852026 NUB852026:NVX852026 ODX852026:OFT852026 ONT852026:OPP852026 OXP852026:OZL852026 PHL852026:PJH852026 PRH852026:PTD852026 QBD852026:QCZ852026 QKZ852026:QMV852026 QUV852026:QWR852026 RER852026:RGN852026 RON852026:RQJ852026 RYJ852026:SAF852026 SIF852026:SKB852026 SSB852026:STX852026 TBX852026:TDT852026 TLT852026:TNP852026 TVP852026:TXL852026 UFL852026:UHH852026 UPH852026:URD852026 UZD852026:VAZ852026 VIZ852026:VKV852026 VSV852026:VUR852026 WCR852026:WEN852026 WMN852026:WOJ852026 WWJ852026:WYF852026 AB917562:BX917562 JX917562:LT917562 TT917562:VP917562 ADP917562:AFL917562 ANL917562:APH917562 AXH917562:AZD917562 BHD917562:BIZ917562 BQZ917562:BSV917562 CAV917562:CCR917562 CKR917562:CMN917562 CUN917562:CWJ917562 DEJ917562:DGF917562 DOF917562:DQB917562 DYB917562:DZX917562 EHX917562:EJT917562 ERT917562:ETP917562 FBP917562:FDL917562 FLL917562:FNH917562 FVH917562:FXD917562 GFD917562:GGZ917562 GOZ917562:GQV917562 GYV917562:HAR917562 HIR917562:HKN917562 HSN917562:HUJ917562 ICJ917562:IEF917562 IMF917562:IOB917562 IWB917562:IXX917562 JFX917562:JHT917562 JPT917562:JRP917562 JZP917562:KBL917562 KJL917562:KLH917562 KTH917562:KVD917562 LDD917562:LEZ917562 LMZ917562:LOV917562 LWV917562:LYR917562 MGR917562:MIN917562 MQN917562:MSJ917562 NAJ917562:NCF917562 NKF917562:NMB917562 NUB917562:NVX917562 ODX917562:OFT917562 ONT917562:OPP917562 OXP917562:OZL917562 PHL917562:PJH917562 PRH917562:PTD917562 QBD917562:QCZ917562 QKZ917562:QMV917562 QUV917562:QWR917562 RER917562:RGN917562 RON917562:RQJ917562 RYJ917562:SAF917562 SIF917562:SKB917562 SSB917562:STX917562 TBX917562:TDT917562 TLT917562:TNP917562 TVP917562:TXL917562 UFL917562:UHH917562 UPH917562:URD917562 UZD917562:VAZ917562 VIZ917562:VKV917562 VSV917562:VUR917562 WCR917562:WEN917562 WMN917562:WOJ917562 WWJ917562:WYF917562 AB983098:BX983098 JX983098:LT983098 TT983098:VP983098 ADP983098:AFL983098 ANL983098:APH983098 AXH983098:AZD983098 BHD983098:BIZ983098 BQZ983098:BSV983098 CAV983098:CCR983098 CKR983098:CMN983098 CUN983098:CWJ983098 DEJ983098:DGF983098 DOF983098:DQB983098 DYB983098:DZX983098 EHX983098:EJT983098 ERT983098:ETP983098 FBP983098:FDL983098 FLL983098:FNH983098 FVH983098:FXD983098 GFD983098:GGZ983098 GOZ983098:GQV983098 GYV983098:HAR983098 HIR983098:HKN983098 HSN983098:HUJ983098 ICJ983098:IEF983098 IMF983098:IOB983098 IWB983098:IXX983098 JFX983098:JHT983098 JPT983098:JRP983098 JZP983098:KBL983098 KJL983098:KLH983098 KTH983098:KVD983098 LDD983098:LEZ983098 LMZ983098:LOV983098 LWV983098:LYR983098 MGR983098:MIN983098 MQN983098:MSJ983098 NAJ983098:NCF983098 NKF983098:NMB983098 NUB983098:NVX983098 ODX983098:OFT983098 ONT983098:OPP983098 OXP983098:OZL983098 PHL983098:PJH983098 PRH983098:PTD983098 QBD983098:QCZ983098 QKZ983098:QMV983098 QUV983098:QWR983098 RER983098:RGN983098 RON983098:RQJ983098 RYJ983098:SAF983098 SIF983098:SKB983098 SSB983098:STX983098 TBX983098:TDT983098 TLT983098:TNP983098 TVP983098:TXL983098 UFL983098:UHH983098 UPH983098:URD983098 UZD983098:VAZ983098 VIZ983098:VKV983098 VSV983098:VUR983098 WCR983098:WEN983098 WMN983098:WOJ983098 WWJ983098:WYF983098"/>
  </dataValidations>
  <pageMargins left="0.7" right="0.7" top="0.75" bottom="0.75" header="0.3" footer="0.3"/>
  <pageSetup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43"/>
  <sheetViews>
    <sheetView workbookViewId="0">
      <selection activeCell="B42" sqref="B42"/>
    </sheetView>
  </sheetViews>
  <sheetFormatPr defaultRowHeight="12.75" x14ac:dyDescent="0.2"/>
  <cols>
    <col min="1" max="1" width="34.5" style="1" bestFit="1" customWidth="1"/>
    <col min="2" max="2" width="23.1640625" style="1818" customWidth="1"/>
    <col min="3" max="3" width="14" style="1" bestFit="1" customWidth="1"/>
    <col min="4" max="256" width="9.33203125" style="1"/>
    <col min="257" max="257" width="34.5" style="1" bestFit="1" customWidth="1"/>
    <col min="258" max="258" width="23.1640625" style="1" customWidth="1"/>
    <col min="259" max="259" width="14" style="1" bestFit="1" customWidth="1"/>
    <col min="260" max="512" width="9.33203125" style="1"/>
    <col min="513" max="513" width="34.5" style="1" bestFit="1" customWidth="1"/>
    <col min="514" max="514" width="23.1640625" style="1" customWidth="1"/>
    <col min="515" max="515" width="14" style="1" bestFit="1" customWidth="1"/>
    <col min="516" max="768" width="9.33203125" style="1"/>
    <col min="769" max="769" width="34.5" style="1" bestFit="1" customWidth="1"/>
    <col min="770" max="770" width="23.1640625" style="1" customWidth="1"/>
    <col min="771" max="771" width="14" style="1" bestFit="1" customWidth="1"/>
    <col min="772" max="1024" width="9.33203125" style="1"/>
    <col min="1025" max="1025" width="34.5" style="1" bestFit="1" customWidth="1"/>
    <col min="1026" max="1026" width="23.1640625" style="1" customWidth="1"/>
    <col min="1027" max="1027" width="14" style="1" bestFit="1" customWidth="1"/>
    <col min="1028" max="1280" width="9.33203125" style="1"/>
    <col min="1281" max="1281" width="34.5" style="1" bestFit="1" customWidth="1"/>
    <col min="1282" max="1282" width="23.1640625" style="1" customWidth="1"/>
    <col min="1283" max="1283" width="14" style="1" bestFit="1" customWidth="1"/>
    <col min="1284" max="1536" width="9.33203125" style="1"/>
    <col min="1537" max="1537" width="34.5" style="1" bestFit="1" customWidth="1"/>
    <col min="1538" max="1538" width="23.1640625" style="1" customWidth="1"/>
    <col min="1539" max="1539" width="14" style="1" bestFit="1" customWidth="1"/>
    <col min="1540" max="1792" width="9.33203125" style="1"/>
    <col min="1793" max="1793" width="34.5" style="1" bestFit="1" customWidth="1"/>
    <col min="1794" max="1794" width="23.1640625" style="1" customWidth="1"/>
    <col min="1795" max="1795" width="14" style="1" bestFit="1" customWidth="1"/>
    <col min="1796" max="2048" width="9.33203125" style="1"/>
    <col min="2049" max="2049" width="34.5" style="1" bestFit="1" customWidth="1"/>
    <col min="2050" max="2050" width="23.1640625" style="1" customWidth="1"/>
    <col min="2051" max="2051" width="14" style="1" bestFit="1" customWidth="1"/>
    <col min="2052" max="2304" width="9.33203125" style="1"/>
    <col min="2305" max="2305" width="34.5" style="1" bestFit="1" customWidth="1"/>
    <col min="2306" max="2306" width="23.1640625" style="1" customWidth="1"/>
    <col min="2307" max="2307" width="14" style="1" bestFit="1" customWidth="1"/>
    <col min="2308" max="2560" width="9.33203125" style="1"/>
    <col min="2561" max="2561" width="34.5" style="1" bestFit="1" customWidth="1"/>
    <col min="2562" max="2562" width="23.1640625" style="1" customWidth="1"/>
    <col min="2563" max="2563" width="14" style="1" bestFit="1" customWidth="1"/>
    <col min="2564" max="2816" width="9.33203125" style="1"/>
    <col min="2817" max="2817" width="34.5" style="1" bestFit="1" customWidth="1"/>
    <col min="2818" max="2818" width="23.1640625" style="1" customWidth="1"/>
    <col min="2819" max="2819" width="14" style="1" bestFit="1" customWidth="1"/>
    <col min="2820" max="3072" width="9.33203125" style="1"/>
    <col min="3073" max="3073" width="34.5" style="1" bestFit="1" customWidth="1"/>
    <col min="3074" max="3074" width="23.1640625" style="1" customWidth="1"/>
    <col min="3075" max="3075" width="14" style="1" bestFit="1" customWidth="1"/>
    <col min="3076" max="3328" width="9.33203125" style="1"/>
    <col min="3329" max="3329" width="34.5" style="1" bestFit="1" customWidth="1"/>
    <col min="3330" max="3330" width="23.1640625" style="1" customWidth="1"/>
    <col min="3331" max="3331" width="14" style="1" bestFit="1" customWidth="1"/>
    <col min="3332" max="3584" width="9.33203125" style="1"/>
    <col min="3585" max="3585" width="34.5" style="1" bestFit="1" customWidth="1"/>
    <col min="3586" max="3586" width="23.1640625" style="1" customWidth="1"/>
    <col min="3587" max="3587" width="14" style="1" bestFit="1" customWidth="1"/>
    <col min="3588" max="3840" width="9.33203125" style="1"/>
    <col min="3841" max="3841" width="34.5" style="1" bestFit="1" customWidth="1"/>
    <col min="3842" max="3842" width="23.1640625" style="1" customWidth="1"/>
    <col min="3843" max="3843" width="14" style="1" bestFit="1" customWidth="1"/>
    <col min="3844" max="4096" width="9.33203125" style="1"/>
    <col min="4097" max="4097" width="34.5" style="1" bestFit="1" customWidth="1"/>
    <col min="4098" max="4098" width="23.1640625" style="1" customWidth="1"/>
    <col min="4099" max="4099" width="14" style="1" bestFit="1" customWidth="1"/>
    <col min="4100" max="4352" width="9.33203125" style="1"/>
    <col min="4353" max="4353" width="34.5" style="1" bestFit="1" customWidth="1"/>
    <col min="4354" max="4354" width="23.1640625" style="1" customWidth="1"/>
    <col min="4355" max="4355" width="14" style="1" bestFit="1" customWidth="1"/>
    <col min="4356" max="4608" width="9.33203125" style="1"/>
    <col min="4609" max="4609" width="34.5" style="1" bestFit="1" customWidth="1"/>
    <col min="4610" max="4610" width="23.1640625" style="1" customWidth="1"/>
    <col min="4611" max="4611" width="14" style="1" bestFit="1" customWidth="1"/>
    <col min="4612" max="4864" width="9.33203125" style="1"/>
    <col min="4865" max="4865" width="34.5" style="1" bestFit="1" customWidth="1"/>
    <col min="4866" max="4866" width="23.1640625" style="1" customWidth="1"/>
    <col min="4867" max="4867" width="14" style="1" bestFit="1" customWidth="1"/>
    <col min="4868" max="5120" width="9.33203125" style="1"/>
    <col min="5121" max="5121" width="34.5" style="1" bestFit="1" customWidth="1"/>
    <col min="5122" max="5122" width="23.1640625" style="1" customWidth="1"/>
    <col min="5123" max="5123" width="14" style="1" bestFit="1" customWidth="1"/>
    <col min="5124" max="5376" width="9.33203125" style="1"/>
    <col min="5377" max="5377" width="34.5" style="1" bestFit="1" customWidth="1"/>
    <col min="5378" max="5378" width="23.1640625" style="1" customWidth="1"/>
    <col min="5379" max="5379" width="14" style="1" bestFit="1" customWidth="1"/>
    <col min="5380" max="5632" width="9.33203125" style="1"/>
    <col min="5633" max="5633" width="34.5" style="1" bestFit="1" customWidth="1"/>
    <col min="5634" max="5634" width="23.1640625" style="1" customWidth="1"/>
    <col min="5635" max="5635" width="14" style="1" bestFit="1" customWidth="1"/>
    <col min="5636" max="5888" width="9.33203125" style="1"/>
    <col min="5889" max="5889" width="34.5" style="1" bestFit="1" customWidth="1"/>
    <col min="5890" max="5890" width="23.1640625" style="1" customWidth="1"/>
    <col min="5891" max="5891" width="14" style="1" bestFit="1" customWidth="1"/>
    <col min="5892" max="6144" width="9.33203125" style="1"/>
    <col min="6145" max="6145" width="34.5" style="1" bestFit="1" customWidth="1"/>
    <col min="6146" max="6146" width="23.1640625" style="1" customWidth="1"/>
    <col min="6147" max="6147" width="14" style="1" bestFit="1" customWidth="1"/>
    <col min="6148" max="6400" width="9.33203125" style="1"/>
    <col min="6401" max="6401" width="34.5" style="1" bestFit="1" customWidth="1"/>
    <col min="6402" max="6402" width="23.1640625" style="1" customWidth="1"/>
    <col min="6403" max="6403" width="14" style="1" bestFit="1" customWidth="1"/>
    <col min="6404" max="6656" width="9.33203125" style="1"/>
    <col min="6657" max="6657" width="34.5" style="1" bestFit="1" customWidth="1"/>
    <col min="6658" max="6658" width="23.1640625" style="1" customWidth="1"/>
    <col min="6659" max="6659" width="14" style="1" bestFit="1" customWidth="1"/>
    <col min="6660" max="6912" width="9.33203125" style="1"/>
    <col min="6913" max="6913" width="34.5" style="1" bestFit="1" customWidth="1"/>
    <col min="6914" max="6914" width="23.1640625" style="1" customWidth="1"/>
    <col min="6915" max="6915" width="14" style="1" bestFit="1" customWidth="1"/>
    <col min="6916" max="7168" width="9.33203125" style="1"/>
    <col min="7169" max="7169" width="34.5" style="1" bestFit="1" customWidth="1"/>
    <col min="7170" max="7170" width="23.1640625" style="1" customWidth="1"/>
    <col min="7171" max="7171" width="14" style="1" bestFit="1" customWidth="1"/>
    <col min="7172" max="7424" width="9.33203125" style="1"/>
    <col min="7425" max="7425" width="34.5" style="1" bestFit="1" customWidth="1"/>
    <col min="7426" max="7426" width="23.1640625" style="1" customWidth="1"/>
    <col min="7427" max="7427" width="14" style="1" bestFit="1" customWidth="1"/>
    <col min="7428" max="7680" width="9.33203125" style="1"/>
    <col min="7681" max="7681" width="34.5" style="1" bestFit="1" customWidth="1"/>
    <col min="7682" max="7682" width="23.1640625" style="1" customWidth="1"/>
    <col min="7683" max="7683" width="14" style="1" bestFit="1" customWidth="1"/>
    <col min="7684" max="7936" width="9.33203125" style="1"/>
    <col min="7937" max="7937" width="34.5" style="1" bestFit="1" customWidth="1"/>
    <col min="7938" max="7938" width="23.1640625" style="1" customWidth="1"/>
    <col min="7939" max="7939" width="14" style="1" bestFit="1" customWidth="1"/>
    <col min="7940" max="8192" width="9.33203125" style="1"/>
    <col min="8193" max="8193" width="34.5" style="1" bestFit="1" customWidth="1"/>
    <col min="8194" max="8194" width="23.1640625" style="1" customWidth="1"/>
    <col min="8195" max="8195" width="14" style="1" bestFit="1" customWidth="1"/>
    <col min="8196" max="8448" width="9.33203125" style="1"/>
    <col min="8449" max="8449" width="34.5" style="1" bestFit="1" customWidth="1"/>
    <col min="8450" max="8450" width="23.1640625" style="1" customWidth="1"/>
    <col min="8451" max="8451" width="14" style="1" bestFit="1" customWidth="1"/>
    <col min="8452" max="8704" width="9.33203125" style="1"/>
    <col min="8705" max="8705" width="34.5" style="1" bestFit="1" customWidth="1"/>
    <col min="8706" max="8706" width="23.1640625" style="1" customWidth="1"/>
    <col min="8707" max="8707" width="14" style="1" bestFit="1" customWidth="1"/>
    <col min="8708" max="8960" width="9.33203125" style="1"/>
    <col min="8961" max="8961" width="34.5" style="1" bestFit="1" customWidth="1"/>
    <col min="8962" max="8962" width="23.1640625" style="1" customWidth="1"/>
    <col min="8963" max="8963" width="14" style="1" bestFit="1" customWidth="1"/>
    <col min="8964" max="9216" width="9.33203125" style="1"/>
    <col min="9217" max="9217" width="34.5" style="1" bestFit="1" customWidth="1"/>
    <col min="9218" max="9218" width="23.1640625" style="1" customWidth="1"/>
    <col min="9219" max="9219" width="14" style="1" bestFit="1" customWidth="1"/>
    <col min="9220" max="9472" width="9.33203125" style="1"/>
    <col min="9473" max="9473" width="34.5" style="1" bestFit="1" customWidth="1"/>
    <col min="9474" max="9474" width="23.1640625" style="1" customWidth="1"/>
    <col min="9475" max="9475" width="14" style="1" bestFit="1" customWidth="1"/>
    <col min="9476" max="9728" width="9.33203125" style="1"/>
    <col min="9729" max="9729" width="34.5" style="1" bestFit="1" customWidth="1"/>
    <col min="9730" max="9730" width="23.1640625" style="1" customWidth="1"/>
    <col min="9731" max="9731" width="14" style="1" bestFit="1" customWidth="1"/>
    <col min="9732" max="9984" width="9.33203125" style="1"/>
    <col min="9985" max="9985" width="34.5" style="1" bestFit="1" customWidth="1"/>
    <col min="9986" max="9986" width="23.1640625" style="1" customWidth="1"/>
    <col min="9987" max="9987" width="14" style="1" bestFit="1" customWidth="1"/>
    <col min="9988" max="10240" width="9.33203125" style="1"/>
    <col min="10241" max="10241" width="34.5" style="1" bestFit="1" customWidth="1"/>
    <col min="10242" max="10242" width="23.1640625" style="1" customWidth="1"/>
    <col min="10243" max="10243" width="14" style="1" bestFit="1" customWidth="1"/>
    <col min="10244" max="10496" width="9.33203125" style="1"/>
    <col min="10497" max="10497" width="34.5" style="1" bestFit="1" customWidth="1"/>
    <col min="10498" max="10498" width="23.1640625" style="1" customWidth="1"/>
    <col min="10499" max="10499" width="14" style="1" bestFit="1" customWidth="1"/>
    <col min="10500" max="10752" width="9.33203125" style="1"/>
    <col min="10753" max="10753" width="34.5" style="1" bestFit="1" customWidth="1"/>
    <col min="10754" max="10754" width="23.1640625" style="1" customWidth="1"/>
    <col min="10755" max="10755" width="14" style="1" bestFit="1" customWidth="1"/>
    <col min="10756" max="11008" width="9.33203125" style="1"/>
    <col min="11009" max="11009" width="34.5" style="1" bestFit="1" customWidth="1"/>
    <col min="11010" max="11010" width="23.1640625" style="1" customWidth="1"/>
    <col min="11011" max="11011" width="14" style="1" bestFit="1" customWidth="1"/>
    <col min="11012" max="11264" width="9.33203125" style="1"/>
    <col min="11265" max="11265" width="34.5" style="1" bestFit="1" customWidth="1"/>
    <col min="11266" max="11266" width="23.1640625" style="1" customWidth="1"/>
    <col min="11267" max="11267" width="14" style="1" bestFit="1" customWidth="1"/>
    <col min="11268" max="11520" width="9.33203125" style="1"/>
    <col min="11521" max="11521" width="34.5" style="1" bestFit="1" customWidth="1"/>
    <col min="11522" max="11522" width="23.1640625" style="1" customWidth="1"/>
    <col min="11523" max="11523" width="14" style="1" bestFit="1" customWidth="1"/>
    <col min="11524" max="11776" width="9.33203125" style="1"/>
    <col min="11777" max="11777" width="34.5" style="1" bestFit="1" customWidth="1"/>
    <col min="11778" max="11778" width="23.1640625" style="1" customWidth="1"/>
    <col min="11779" max="11779" width="14" style="1" bestFit="1" customWidth="1"/>
    <col min="11780" max="12032" width="9.33203125" style="1"/>
    <col min="12033" max="12033" width="34.5" style="1" bestFit="1" customWidth="1"/>
    <col min="12034" max="12034" width="23.1640625" style="1" customWidth="1"/>
    <col min="12035" max="12035" width="14" style="1" bestFit="1" customWidth="1"/>
    <col min="12036" max="12288" width="9.33203125" style="1"/>
    <col min="12289" max="12289" width="34.5" style="1" bestFit="1" customWidth="1"/>
    <col min="12290" max="12290" width="23.1640625" style="1" customWidth="1"/>
    <col min="12291" max="12291" width="14" style="1" bestFit="1" customWidth="1"/>
    <col min="12292" max="12544" width="9.33203125" style="1"/>
    <col min="12545" max="12545" width="34.5" style="1" bestFit="1" customWidth="1"/>
    <col min="12546" max="12546" width="23.1640625" style="1" customWidth="1"/>
    <col min="12547" max="12547" width="14" style="1" bestFit="1" customWidth="1"/>
    <col min="12548" max="12800" width="9.33203125" style="1"/>
    <col min="12801" max="12801" width="34.5" style="1" bestFit="1" customWidth="1"/>
    <col min="12802" max="12802" width="23.1640625" style="1" customWidth="1"/>
    <col min="12803" max="12803" width="14" style="1" bestFit="1" customWidth="1"/>
    <col min="12804" max="13056" width="9.33203125" style="1"/>
    <col min="13057" max="13057" width="34.5" style="1" bestFit="1" customWidth="1"/>
    <col min="13058" max="13058" width="23.1640625" style="1" customWidth="1"/>
    <col min="13059" max="13059" width="14" style="1" bestFit="1" customWidth="1"/>
    <col min="13060" max="13312" width="9.33203125" style="1"/>
    <col min="13313" max="13313" width="34.5" style="1" bestFit="1" customWidth="1"/>
    <col min="13314" max="13314" width="23.1640625" style="1" customWidth="1"/>
    <col min="13315" max="13315" width="14" style="1" bestFit="1" customWidth="1"/>
    <col min="13316" max="13568" width="9.33203125" style="1"/>
    <col min="13569" max="13569" width="34.5" style="1" bestFit="1" customWidth="1"/>
    <col min="13570" max="13570" width="23.1640625" style="1" customWidth="1"/>
    <col min="13571" max="13571" width="14" style="1" bestFit="1" customWidth="1"/>
    <col min="13572" max="13824" width="9.33203125" style="1"/>
    <col min="13825" max="13825" width="34.5" style="1" bestFit="1" customWidth="1"/>
    <col min="13826" max="13826" width="23.1640625" style="1" customWidth="1"/>
    <col min="13827" max="13827" width="14" style="1" bestFit="1" customWidth="1"/>
    <col min="13828" max="14080" width="9.33203125" style="1"/>
    <col min="14081" max="14081" width="34.5" style="1" bestFit="1" customWidth="1"/>
    <col min="14082" max="14082" width="23.1640625" style="1" customWidth="1"/>
    <col min="14083" max="14083" width="14" style="1" bestFit="1" customWidth="1"/>
    <col min="14084" max="14336" width="9.33203125" style="1"/>
    <col min="14337" max="14337" width="34.5" style="1" bestFit="1" customWidth="1"/>
    <col min="14338" max="14338" width="23.1640625" style="1" customWidth="1"/>
    <col min="14339" max="14339" width="14" style="1" bestFit="1" customWidth="1"/>
    <col min="14340" max="14592" width="9.33203125" style="1"/>
    <col min="14593" max="14593" width="34.5" style="1" bestFit="1" customWidth="1"/>
    <col min="14594" max="14594" width="23.1640625" style="1" customWidth="1"/>
    <col min="14595" max="14595" width="14" style="1" bestFit="1" customWidth="1"/>
    <col min="14596" max="14848" width="9.33203125" style="1"/>
    <col min="14849" max="14849" width="34.5" style="1" bestFit="1" customWidth="1"/>
    <col min="14850" max="14850" width="23.1640625" style="1" customWidth="1"/>
    <col min="14851" max="14851" width="14" style="1" bestFit="1" customWidth="1"/>
    <col min="14852" max="15104" width="9.33203125" style="1"/>
    <col min="15105" max="15105" width="34.5" style="1" bestFit="1" customWidth="1"/>
    <col min="15106" max="15106" width="23.1640625" style="1" customWidth="1"/>
    <col min="15107" max="15107" width="14" style="1" bestFit="1" customWidth="1"/>
    <col min="15108" max="15360" width="9.33203125" style="1"/>
    <col min="15361" max="15361" width="34.5" style="1" bestFit="1" customWidth="1"/>
    <col min="15362" max="15362" width="23.1640625" style="1" customWidth="1"/>
    <col min="15363" max="15363" width="14" style="1" bestFit="1" customWidth="1"/>
    <col min="15364" max="15616" width="9.33203125" style="1"/>
    <col min="15617" max="15617" width="34.5" style="1" bestFit="1" customWidth="1"/>
    <col min="15618" max="15618" width="23.1640625" style="1" customWidth="1"/>
    <col min="15619" max="15619" width="14" style="1" bestFit="1" customWidth="1"/>
    <col min="15620" max="15872" width="9.33203125" style="1"/>
    <col min="15873" max="15873" width="34.5" style="1" bestFit="1" customWidth="1"/>
    <col min="15874" max="15874" width="23.1640625" style="1" customWidth="1"/>
    <col min="15875" max="15875" width="14" style="1" bestFit="1" customWidth="1"/>
    <col min="15876" max="16128" width="9.33203125" style="1"/>
    <col min="16129" max="16129" width="34.5" style="1" bestFit="1" customWidth="1"/>
    <col min="16130" max="16130" width="23.1640625" style="1" customWidth="1"/>
    <col min="16131" max="16131" width="14" style="1" bestFit="1" customWidth="1"/>
    <col min="16132" max="16384" width="9.33203125" style="1"/>
  </cols>
  <sheetData>
    <row r="1" spans="1:2" x14ac:dyDescent="0.2">
      <c r="A1" s="1" t="s">
        <v>1744</v>
      </c>
      <c r="B1" s="1817">
        <v>6.1</v>
      </c>
    </row>
    <row r="2" spans="1:2" x14ac:dyDescent="0.2">
      <c r="A2" s="1" t="s">
        <v>1745</v>
      </c>
      <c r="B2" s="1821">
        <v>43206.268020833333</v>
      </c>
    </row>
    <row r="3" spans="1:2" x14ac:dyDescent="0.2">
      <c r="A3" s="1" t="s">
        <v>1746</v>
      </c>
      <c r="B3" s="1818" t="s">
        <v>1440</v>
      </c>
    </row>
    <row r="4" spans="1:2" x14ac:dyDescent="0.2">
      <c r="A4" s="1" t="s">
        <v>1747</v>
      </c>
      <c r="B4" s="1818" t="s">
        <v>1748</v>
      </c>
    </row>
    <row r="5" spans="1:2" x14ac:dyDescent="0.2">
      <c r="A5" s="1" t="s">
        <v>1749</v>
      </c>
      <c r="B5" s="1818" t="s">
        <v>1750</v>
      </c>
    </row>
    <row r="6" spans="1:2" x14ac:dyDescent="0.2">
      <c r="A6" s="1" t="s">
        <v>1751</v>
      </c>
    </row>
    <row r="7" spans="1:2" x14ac:dyDescent="0.2">
      <c r="A7" s="1" t="s">
        <v>1752</v>
      </c>
      <c r="B7" s="1818" t="s">
        <v>942</v>
      </c>
    </row>
    <row r="8" spans="1:2" x14ac:dyDescent="0.2">
      <c r="A8" s="1" t="s">
        <v>1753</v>
      </c>
      <c r="B8" s="1818" t="s">
        <v>1754</v>
      </c>
    </row>
    <row r="9" spans="1:2" x14ac:dyDescent="0.2">
      <c r="A9" s="1" t="s">
        <v>1755</v>
      </c>
      <c r="B9" s="1818" t="s">
        <v>1792</v>
      </c>
    </row>
    <row r="10" spans="1:2" x14ac:dyDescent="0.2">
      <c r="A10" s="1" t="s">
        <v>1756</v>
      </c>
    </row>
    <row r="11" spans="1:2" x14ac:dyDescent="0.2">
      <c r="A11" s="1" t="s">
        <v>1757</v>
      </c>
    </row>
    <row r="12" spans="1:2" x14ac:dyDescent="0.2">
      <c r="A12" s="1" t="s">
        <v>1758</v>
      </c>
    </row>
    <row r="13" spans="1:2" x14ac:dyDescent="0.2">
      <c r="A13" s="1" t="s">
        <v>1759</v>
      </c>
    </row>
    <row r="14" spans="1:2" x14ac:dyDescent="0.2">
      <c r="A14" s="1" t="s">
        <v>1760</v>
      </c>
    </row>
    <row r="15" spans="1:2" x14ac:dyDescent="0.2">
      <c r="A15" s="1" t="s">
        <v>1761</v>
      </c>
    </row>
    <row r="16" spans="1:2" x14ac:dyDescent="0.2">
      <c r="A16" s="1" t="s">
        <v>1762</v>
      </c>
    </row>
    <row r="17" spans="1:4" x14ac:dyDescent="0.2">
      <c r="A17" s="1" t="s">
        <v>1763</v>
      </c>
      <c r="B17" s="1818" t="s">
        <v>1793</v>
      </c>
    </row>
    <row r="18" spans="1:4" x14ac:dyDescent="0.2">
      <c r="A18" s="1" t="s">
        <v>1764</v>
      </c>
      <c r="B18" s="1818" t="s">
        <v>1795</v>
      </c>
    </row>
    <row r="19" spans="1:4" x14ac:dyDescent="0.2">
      <c r="A19" s="1" t="s">
        <v>1765</v>
      </c>
      <c r="B19" s="1818" t="s">
        <v>941</v>
      </c>
    </row>
    <row r="20" spans="1:4" x14ac:dyDescent="0.2">
      <c r="A20" s="1" t="s">
        <v>1766</v>
      </c>
      <c r="B20" s="1819">
        <v>172967424</v>
      </c>
    </row>
    <row r="21" spans="1:4" x14ac:dyDescent="0.2">
      <c r="A21" s="1" t="s">
        <v>1767</v>
      </c>
      <c r="B21" s="1818" t="s">
        <v>941</v>
      </c>
    </row>
    <row r="22" spans="1:4" x14ac:dyDescent="0.2">
      <c r="A22" s="1" t="s">
        <v>1768</v>
      </c>
      <c r="B22" s="1819">
        <v>2297907</v>
      </c>
    </row>
    <row r="23" spans="1:4" x14ac:dyDescent="0.2">
      <c r="A23" s="1" t="s">
        <v>1138</v>
      </c>
      <c r="B23" s="1817">
        <v>71</v>
      </c>
    </row>
    <row r="24" spans="1:4" x14ac:dyDescent="0.2">
      <c r="A24" s="1" t="s">
        <v>1137</v>
      </c>
      <c r="B24" s="1818" t="s">
        <v>940</v>
      </c>
      <c r="D24" s="1" t="s">
        <v>22</v>
      </c>
    </row>
    <row r="25" spans="1:4" x14ac:dyDescent="0.2">
      <c r="A25" s="1" t="s">
        <v>1769</v>
      </c>
      <c r="B25" s="1818" t="s">
        <v>1796</v>
      </c>
    </row>
    <row r="26" spans="1:4" x14ac:dyDescent="0.2">
      <c r="A26" s="1" t="s">
        <v>1770</v>
      </c>
      <c r="B26" s="1818">
        <v>0</v>
      </c>
    </row>
    <row r="27" spans="1:4" x14ac:dyDescent="0.2">
      <c r="A27" s="1" t="s">
        <v>1771</v>
      </c>
      <c r="B27" s="1818" t="s">
        <v>1772</v>
      </c>
    </row>
    <row r="28" spans="1:4" x14ac:dyDescent="0.2">
      <c r="A28" s="1" t="s">
        <v>1773</v>
      </c>
      <c r="B28" s="1818" t="s">
        <v>1774</v>
      </c>
    </row>
    <row r="29" spans="1:4" x14ac:dyDescent="0.2">
      <c r="A29" s="1" t="s">
        <v>1775</v>
      </c>
    </row>
    <row r="30" spans="1:4" x14ac:dyDescent="0.2">
      <c r="A30" s="1" t="s">
        <v>1776</v>
      </c>
    </row>
    <row r="31" spans="1:4" x14ac:dyDescent="0.2">
      <c r="A31" s="1" t="s">
        <v>1777</v>
      </c>
    </row>
    <row r="32" spans="1:4" x14ac:dyDescent="0.2">
      <c r="A32" s="1" t="s">
        <v>1778</v>
      </c>
      <c r="B32" s="1817"/>
    </row>
    <row r="33" spans="1:2" x14ac:dyDescent="0.2">
      <c r="A33" s="1" t="s">
        <v>1779</v>
      </c>
      <c r="B33" s="1817"/>
    </row>
    <row r="34" spans="1:2" x14ac:dyDescent="0.2">
      <c r="A34" s="1" t="s">
        <v>1780</v>
      </c>
      <c r="B34" s="1817"/>
    </row>
    <row r="35" spans="1:2" x14ac:dyDescent="0.2">
      <c r="A35" s="1" t="s">
        <v>1781</v>
      </c>
      <c r="B35" s="1818">
        <v>1000000</v>
      </c>
    </row>
    <row r="36" spans="1:2" x14ac:dyDescent="0.2">
      <c r="A36" s="1" t="s">
        <v>1782</v>
      </c>
      <c r="B36" s="1818" t="s">
        <v>1794</v>
      </c>
    </row>
    <row r="37" spans="1:2" x14ac:dyDescent="0.2">
      <c r="A37" s="1" t="s">
        <v>1783</v>
      </c>
      <c r="B37" s="1818" t="s">
        <v>1784</v>
      </c>
    </row>
    <row r="38" spans="1:2" x14ac:dyDescent="0.2">
      <c r="A38" s="1" t="s">
        <v>1785</v>
      </c>
      <c r="B38" s="1818" t="s">
        <v>1786</v>
      </c>
    </row>
    <row r="39" spans="1:2" x14ac:dyDescent="0.2">
      <c r="A39" s="1" t="s">
        <v>1787</v>
      </c>
      <c r="B39" s="1818" t="s">
        <v>939</v>
      </c>
    </row>
    <row r="40" spans="1:2" x14ac:dyDescent="0.2">
      <c r="A40" s="1" t="s">
        <v>1788</v>
      </c>
      <c r="B40" s="1818">
        <v>1500004468</v>
      </c>
    </row>
    <row r="41" spans="1:2" x14ac:dyDescent="0.2">
      <c r="A41" s="1" t="s">
        <v>1789</v>
      </c>
      <c r="B41" s="1818">
        <v>1</v>
      </c>
    </row>
    <row r="42" spans="1:2" x14ac:dyDescent="0.2">
      <c r="A42" s="1820" t="s">
        <v>1790</v>
      </c>
    </row>
    <row r="43" spans="1:2" x14ac:dyDescent="0.2">
      <c r="A43" s="1" t="s">
        <v>1791</v>
      </c>
    </row>
  </sheetData>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13"/>
  <sheetViews>
    <sheetView workbookViewId="0">
      <selection activeCell="E11" sqref="E11"/>
    </sheetView>
  </sheetViews>
  <sheetFormatPr defaultRowHeight="12.75" x14ac:dyDescent="0.2"/>
  <cols>
    <col min="1" max="1" width="33.33203125" style="1" bestFit="1" customWidth="1"/>
    <col min="2" max="256" width="9.33203125" style="1"/>
    <col min="257" max="257" width="33.33203125" style="1" bestFit="1" customWidth="1"/>
    <col min="258" max="512" width="9.33203125" style="1"/>
    <col min="513" max="513" width="33.33203125" style="1" bestFit="1" customWidth="1"/>
    <col min="514" max="768" width="9.33203125" style="1"/>
    <col min="769" max="769" width="33.33203125" style="1" bestFit="1" customWidth="1"/>
    <col min="770" max="1024" width="9.33203125" style="1"/>
    <col min="1025" max="1025" width="33.33203125" style="1" bestFit="1" customWidth="1"/>
    <col min="1026" max="1280" width="9.33203125" style="1"/>
    <col min="1281" max="1281" width="33.33203125" style="1" bestFit="1" customWidth="1"/>
    <col min="1282" max="1536" width="9.33203125" style="1"/>
    <col min="1537" max="1537" width="33.33203125" style="1" bestFit="1" customWidth="1"/>
    <col min="1538" max="1792" width="9.33203125" style="1"/>
    <col min="1793" max="1793" width="33.33203125" style="1" bestFit="1" customWidth="1"/>
    <col min="1794" max="2048" width="9.33203125" style="1"/>
    <col min="2049" max="2049" width="33.33203125" style="1" bestFit="1" customWidth="1"/>
    <col min="2050" max="2304" width="9.33203125" style="1"/>
    <col min="2305" max="2305" width="33.33203125" style="1" bestFit="1" customWidth="1"/>
    <col min="2306" max="2560" width="9.33203125" style="1"/>
    <col min="2561" max="2561" width="33.33203125" style="1" bestFit="1" customWidth="1"/>
    <col min="2562" max="2816" width="9.33203125" style="1"/>
    <col min="2817" max="2817" width="33.33203125" style="1" bestFit="1" customWidth="1"/>
    <col min="2818" max="3072" width="9.33203125" style="1"/>
    <col min="3073" max="3073" width="33.33203125" style="1" bestFit="1" customWidth="1"/>
    <col min="3074" max="3328" width="9.33203125" style="1"/>
    <col min="3329" max="3329" width="33.33203125" style="1" bestFit="1" customWidth="1"/>
    <col min="3330" max="3584" width="9.33203125" style="1"/>
    <col min="3585" max="3585" width="33.33203125" style="1" bestFit="1" customWidth="1"/>
    <col min="3586" max="3840" width="9.33203125" style="1"/>
    <col min="3841" max="3841" width="33.33203125" style="1" bestFit="1" customWidth="1"/>
    <col min="3842" max="4096" width="9.33203125" style="1"/>
    <col min="4097" max="4097" width="33.33203125" style="1" bestFit="1" customWidth="1"/>
    <col min="4098" max="4352" width="9.33203125" style="1"/>
    <col min="4353" max="4353" width="33.33203125" style="1" bestFit="1" customWidth="1"/>
    <col min="4354" max="4608" width="9.33203125" style="1"/>
    <col min="4609" max="4609" width="33.33203125" style="1" bestFit="1" customWidth="1"/>
    <col min="4610" max="4864" width="9.33203125" style="1"/>
    <col min="4865" max="4865" width="33.33203125" style="1" bestFit="1" customWidth="1"/>
    <col min="4866" max="5120" width="9.33203125" style="1"/>
    <col min="5121" max="5121" width="33.33203125" style="1" bestFit="1" customWidth="1"/>
    <col min="5122" max="5376" width="9.33203125" style="1"/>
    <col min="5377" max="5377" width="33.33203125" style="1" bestFit="1" customWidth="1"/>
    <col min="5378" max="5632" width="9.33203125" style="1"/>
    <col min="5633" max="5633" width="33.33203125" style="1" bestFit="1" customWidth="1"/>
    <col min="5634" max="5888" width="9.33203125" style="1"/>
    <col min="5889" max="5889" width="33.33203125" style="1" bestFit="1" customWidth="1"/>
    <col min="5890" max="6144" width="9.33203125" style="1"/>
    <col min="6145" max="6145" width="33.33203125" style="1" bestFit="1" customWidth="1"/>
    <col min="6146" max="6400" width="9.33203125" style="1"/>
    <col min="6401" max="6401" width="33.33203125" style="1" bestFit="1" customWidth="1"/>
    <col min="6402" max="6656" width="9.33203125" style="1"/>
    <col min="6657" max="6657" width="33.33203125" style="1" bestFit="1" customWidth="1"/>
    <col min="6658" max="6912" width="9.33203125" style="1"/>
    <col min="6913" max="6913" width="33.33203125" style="1" bestFit="1" customWidth="1"/>
    <col min="6914" max="7168" width="9.33203125" style="1"/>
    <col min="7169" max="7169" width="33.33203125" style="1" bestFit="1" customWidth="1"/>
    <col min="7170" max="7424" width="9.33203125" style="1"/>
    <col min="7425" max="7425" width="33.33203125" style="1" bestFit="1" customWidth="1"/>
    <col min="7426" max="7680" width="9.33203125" style="1"/>
    <col min="7681" max="7681" width="33.33203125" style="1" bestFit="1" customWidth="1"/>
    <col min="7682" max="7936" width="9.33203125" style="1"/>
    <col min="7937" max="7937" width="33.33203125" style="1" bestFit="1" customWidth="1"/>
    <col min="7938" max="8192" width="9.33203125" style="1"/>
    <col min="8193" max="8193" width="33.33203125" style="1" bestFit="1" customWidth="1"/>
    <col min="8194" max="8448" width="9.33203125" style="1"/>
    <col min="8449" max="8449" width="33.33203125" style="1" bestFit="1" customWidth="1"/>
    <col min="8450" max="8704" width="9.33203125" style="1"/>
    <col min="8705" max="8705" width="33.33203125" style="1" bestFit="1" customWidth="1"/>
    <col min="8706" max="8960" width="9.33203125" style="1"/>
    <col min="8961" max="8961" width="33.33203125" style="1" bestFit="1" customWidth="1"/>
    <col min="8962" max="9216" width="9.33203125" style="1"/>
    <col min="9217" max="9217" width="33.33203125" style="1" bestFit="1" customWidth="1"/>
    <col min="9218" max="9472" width="9.33203125" style="1"/>
    <col min="9473" max="9473" width="33.33203125" style="1" bestFit="1" customWidth="1"/>
    <col min="9474" max="9728" width="9.33203125" style="1"/>
    <col min="9729" max="9729" width="33.33203125" style="1" bestFit="1" customWidth="1"/>
    <col min="9730" max="9984" width="9.33203125" style="1"/>
    <col min="9985" max="9985" width="33.33203125" style="1" bestFit="1" customWidth="1"/>
    <col min="9986" max="10240" width="9.33203125" style="1"/>
    <col min="10241" max="10241" width="33.33203125" style="1" bestFit="1" customWidth="1"/>
    <col min="10242" max="10496" width="9.33203125" style="1"/>
    <col min="10497" max="10497" width="33.33203125" style="1" bestFit="1" customWidth="1"/>
    <col min="10498" max="10752" width="9.33203125" style="1"/>
    <col min="10753" max="10753" width="33.33203125" style="1" bestFit="1" customWidth="1"/>
    <col min="10754" max="11008" width="9.33203125" style="1"/>
    <col min="11009" max="11009" width="33.33203125" style="1" bestFit="1" customWidth="1"/>
    <col min="11010" max="11264" width="9.33203125" style="1"/>
    <col min="11265" max="11265" width="33.33203125" style="1" bestFit="1" customWidth="1"/>
    <col min="11266" max="11520" width="9.33203125" style="1"/>
    <col min="11521" max="11521" width="33.33203125" style="1" bestFit="1" customWidth="1"/>
    <col min="11522" max="11776" width="9.33203125" style="1"/>
    <col min="11777" max="11777" width="33.33203125" style="1" bestFit="1" customWidth="1"/>
    <col min="11778" max="12032" width="9.33203125" style="1"/>
    <col min="12033" max="12033" width="33.33203125" style="1" bestFit="1" customWidth="1"/>
    <col min="12034" max="12288" width="9.33203125" style="1"/>
    <col min="12289" max="12289" width="33.33203125" style="1" bestFit="1" customWidth="1"/>
    <col min="12290" max="12544" width="9.33203125" style="1"/>
    <col min="12545" max="12545" width="33.33203125" style="1" bestFit="1" customWidth="1"/>
    <col min="12546" max="12800" width="9.33203125" style="1"/>
    <col min="12801" max="12801" width="33.33203125" style="1" bestFit="1" customWidth="1"/>
    <col min="12802" max="13056" width="9.33203125" style="1"/>
    <col min="13057" max="13057" width="33.33203125" style="1" bestFit="1" customWidth="1"/>
    <col min="13058" max="13312" width="9.33203125" style="1"/>
    <col min="13313" max="13313" width="33.33203125" style="1" bestFit="1" customWidth="1"/>
    <col min="13314" max="13568" width="9.33203125" style="1"/>
    <col min="13569" max="13569" width="33.33203125" style="1" bestFit="1" customWidth="1"/>
    <col min="13570" max="13824" width="9.33203125" style="1"/>
    <col min="13825" max="13825" width="33.33203125" style="1" bestFit="1" customWidth="1"/>
    <col min="13826" max="14080" width="9.33203125" style="1"/>
    <col min="14081" max="14081" width="33.33203125" style="1" bestFit="1" customWidth="1"/>
    <col min="14082" max="14336" width="9.33203125" style="1"/>
    <col min="14337" max="14337" width="33.33203125" style="1" bestFit="1" customWidth="1"/>
    <col min="14338" max="14592" width="9.33203125" style="1"/>
    <col min="14593" max="14593" width="33.33203125" style="1" bestFit="1" customWidth="1"/>
    <col min="14594" max="14848" width="9.33203125" style="1"/>
    <col min="14849" max="14849" width="33.33203125" style="1" bestFit="1" customWidth="1"/>
    <col min="14850" max="15104" width="9.33203125" style="1"/>
    <col min="15105" max="15105" width="33.33203125" style="1" bestFit="1" customWidth="1"/>
    <col min="15106" max="15360" width="9.33203125" style="1"/>
    <col min="15361" max="15361" width="33.33203125" style="1" bestFit="1" customWidth="1"/>
    <col min="15362" max="15616" width="9.33203125" style="1"/>
    <col min="15617" max="15617" width="33.33203125" style="1" bestFit="1" customWidth="1"/>
    <col min="15618" max="15872" width="9.33203125" style="1"/>
    <col min="15873" max="15873" width="33.33203125" style="1" bestFit="1" customWidth="1"/>
    <col min="15874" max="16128" width="9.33203125" style="1"/>
    <col min="16129" max="16129" width="33.33203125" style="1" bestFit="1" customWidth="1"/>
    <col min="16130" max="16384" width="9.33203125" style="1"/>
  </cols>
  <sheetData>
    <row r="1" spans="1:1" x14ac:dyDescent="0.2">
      <c r="A1" s="1822" t="s">
        <v>1797</v>
      </c>
    </row>
    <row r="2" spans="1:1" x14ac:dyDescent="0.2">
      <c r="A2" s="1822" t="s">
        <v>1802</v>
      </c>
    </row>
    <row r="3" spans="1:1" x14ac:dyDescent="0.2">
      <c r="A3" s="1822" t="s">
        <v>1803</v>
      </c>
    </row>
    <row r="4" spans="1:1" x14ac:dyDescent="0.2">
      <c r="A4" s="1822" t="s">
        <v>1804</v>
      </c>
    </row>
    <row r="5" spans="1:1" x14ac:dyDescent="0.2">
      <c r="A5" s="1822" t="s">
        <v>1805</v>
      </c>
    </row>
    <row r="6" spans="1:1" x14ac:dyDescent="0.2">
      <c r="A6" s="1822" t="s">
        <v>1798</v>
      </c>
    </row>
    <row r="7" spans="1:1" x14ac:dyDescent="0.2">
      <c r="A7" s="1822" t="s">
        <v>1806</v>
      </c>
    </row>
    <row r="8" spans="1:1" x14ac:dyDescent="0.2">
      <c r="A8" s="1822" t="s">
        <v>1807</v>
      </c>
    </row>
    <row r="9" spans="1:1" x14ac:dyDescent="0.2">
      <c r="A9" s="1822" t="s">
        <v>1808</v>
      </c>
    </row>
    <row r="10" spans="1:1" x14ac:dyDescent="0.2">
      <c r="A10" s="1822" t="s">
        <v>1799</v>
      </c>
    </row>
    <row r="11" spans="1:1" x14ac:dyDescent="0.2">
      <c r="A11" s="1822" t="s">
        <v>1809</v>
      </c>
    </row>
    <row r="12" spans="1:1" x14ac:dyDescent="0.2">
      <c r="A12" s="1822" t="s">
        <v>1800</v>
      </c>
    </row>
    <row r="13" spans="1:1" x14ac:dyDescent="0.2">
      <c r="A13" s="1822" t="s">
        <v>1801</v>
      </c>
    </row>
  </sheetData>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155</vt:i4>
      </vt:variant>
    </vt:vector>
  </HeadingPairs>
  <TitlesOfParts>
    <vt:vector size="169" baseType="lpstr">
      <vt:lpstr>ImportantDisclosures</vt:lpstr>
      <vt:lpstr>Investor Day Targets</vt:lpstr>
      <vt:lpstr>MS vs. Guidance</vt:lpstr>
      <vt:lpstr>ROTCE</vt:lpstr>
      <vt:lpstr>Model</vt:lpstr>
      <vt:lpstr>Drivers</vt:lpstr>
      <vt:lpstr>Output</vt:lpstr>
      <vt:lpstr>DL</vt:lpstr>
      <vt:lpstr>New vs Old</vt:lpstr>
      <vt:lpstr>New vs Old Segment</vt:lpstr>
      <vt:lpstr>MS vs. Cons</vt:lpstr>
      <vt:lpstr>Residual Income</vt:lpstr>
      <vt:lpstr>IndexInformation</vt:lpstr>
      <vt:lpstr>ModPubIndex</vt:lpstr>
      <vt:lpstr>_AverageBalanceSheet</vt:lpstr>
      <vt:lpstr>_Capital</vt:lpstr>
      <vt:lpstr>_CorpOther</vt:lpstr>
      <vt:lpstr>_Credit</vt:lpstr>
      <vt:lpstr>_EOPBalanceSheet</vt:lpstr>
      <vt:lpstr>_Equity</vt:lpstr>
      <vt:lpstr>_GCB</vt:lpstr>
      <vt:lpstr>_ICG</vt:lpstr>
      <vt:lpstr>_IncomeStatement</vt:lpstr>
      <vt:lpstr>_NIM</vt:lpstr>
      <vt:lpstr>_PerformanceMetrics</vt:lpstr>
      <vt:lpstr>AdditionalInstructions</vt:lpstr>
      <vt:lpstr>ImportantDisclosures!Address</vt:lpstr>
      <vt:lpstr>ModPubIndex!ANA</vt:lpstr>
      <vt:lpstr>ImportantDisclosures!Authors</vt:lpstr>
      <vt:lpstr>IndexInformation!Authors</vt:lpstr>
      <vt:lpstr>ModPubIndex!BRO</vt:lpstr>
      <vt:lpstr>'Residual Income'!CAP</vt:lpstr>
      <vt:lpstr>CopyrightStamp</vt:lpstr>
      <vt:lpstr>'Residual Income'!cost_of_capital</vt:lpstr>
      <vt:lpstr>ModPubIndex!COU</vt:lpstr>
      <vt:lpstr>IndexInformation!CQEnd</vt:lpstr>
      <vt:lpstr>IndexInformation!Currency</vt:lpstr>
      <vt:lpstr>IndexInformation!CurrentStockPrice</vt:lpstr>
      <vt:lpstr>IndexInformation!CurrQtrEPS</vt:lpstr>
      <vt:lpstr>IndexInformation!CurrYearEPS</vt:lpstr>
      <vt:lpstr>IndexInformation!CurrYearTotalRevenue</vt:lpstr>
      <vt:lpstr>IndexInformation!CurrYearTotalRevenueActual</vt:lpstr>
      <vt:lpstr>IndexInformation!CUSIP</vt:lpstr>
      <vt:lpstr>IndexInformation!CYEnd</vt:lpstr>
      <vt:lpstr>ImportantDisclosures!Date</vt:lpstr>
      <vt:lpstr>'Residual Income'!DecayFactor</vt:lpstr>
      <vt:lpstr>'Residual Income'!DECLINE</vt:lpstr>
      <vt:lpstr>IndexInformation!Deleted</vt:lpstr>
      <vt:lpstr>IndexInformation!Description</vt:lpstr>
      <vt:lpstr>IndexInformation!Discipline</vt:lpstr>
      <vt:lpstr>ModPubIndex!DISCIPLINE</vt:lpstr>
      <vt:lpstr>DisclosuresText</vt:lpstr>
      <vt:lpstr>IndexInformation!Distribution</vt:lpstr>
      <vt:lpstr>ModPubIndex!DOCDAT</vt:lpstr>
      <vt:lpstr>ModPubIndex!DOCTIME</vt:lpstr>
      <vt:lpstr>IndexInformation!DocType</vt:lpstr>
      <vt:lpstr>ModPubIndex!EMAIL_ALERT</vt:lpstr>
      <vt:lpstr>IndexInformation!EmailAlert</vt:lpstr>
      <vt:lpstr>IndexInformation!FiveYearGrowthRate</vt:lpstr>
      <vt:lpstr>IndexInformation!FollowingYearEPS</vt:lpstr>
      <vt:lpstr>IndexInformation!FollowingYearTotalRevenue</vt:lpstr>
      <vt:lpstr>IndexInformation!FollowingYearTotalRevenueActual</vt:lpstr>
      <vt:lpstr>ModPubIndex!HL</vt:lpstr>
      <vt:lpstr>ModPubIndex!IND</vt:lpstr>
      <vt:lpstr>ImportantDisclosures!Industry</vt:lpstr>
      <vt:lpstr>IndustryId</vt:lpstr>
      <vt:lpstr>ImportantDisclosures!IndustryRating</vt:lpstr>
      <vt:lpstr>IndexInformation!KeepVersions</vt:lpstr>
      <vt:lpstr>LanguageCode</vt:lpstr>
      <vt:lpstr>ImportantDisclosures!LastCell</vt:lpstr>
      <vt:lpstr>'MS vs. Cons'!Linking_1</vt:lpstr>
      <vt:lpstr>Linking_1</vt:lpstr>
      <vt:lpstr>Linking_10</vt:lpstr>
      <vt:lpstr>'MS vs. Cons'!Linking_2</vt:lpstr>
      <vt:lpstr>Linking_2</vt:lpstr>
      <vt:lpstr>Linking_3</vt:lpstr>
      <vt:lpstr>'MS vs. Cons'!Linking_4</vt:lpstr>
      <vt:lpstr>Linking_4</vt:lpstr>
      <vt:lpstr>Linking_5</vt:lpstr>
      <vt:lpstr>Linking_6</vt:lpstr>
      <vt:lpstr>Linking_7</vt:lpstr>
      <vt:lpstr>Linking_8</vt:lpstr>
      <vt:lpstr>'MS vs. Cons'!Linking_9</vt:lpstr>
      <vt:lpstr>Linking_9</vt:lpstr>
      <vt:lpstr>Linking_Range_101</vt:lpstr>
      <vt:lpstr>'MS vs. Cons'!Linking_Range_102</vt:lpstr>
      <vt:lpstr>Linking_Range_102</vt:lpstr>
      <vt:lpstr>'MS vs. Cons'!Linking_Range_105</vt:lpstr>
      <vt:lpstr>Linking_Range_105</vt:lpstr>
      <vt:lpstr>Linking_Range_11</vt:lpstr>
      <vt:lpstr>Linking_Range_12</vt:lpstr>
      <vt:lpstr>'MS vs. Cons'!Linking_Range_13</vt:lpstr>
      <vt:lpstr>Linking_Range_13</vt:lpstr>
      <vt:lpstr>'MS vs. Cons'!Linking_Range_14</vt:lpstr>
      <vt:lpstr>Linking_Range_14</vt:lpstr>
      <vt:lpstr>Linking_Range_18</vt:lpstr>
      <vt:lpstr>Linking_Range_19</vt:lpstr>
      <vt:lpstr>Linking_Range_2</vt:lpstr>
      <vt:lpstr>'MS vs. Cons'!Linking_Range_20</vt:lpstr>
      <vt:lpstr>Linking_Range_20</vt:lpstr>
      <vt:lpstr>Linking_Range_3</vt:lpstr>
      <vt:lpstr>Linking_Range_39</vt:lpstr>
      <vt:lpstr>'MS vs. Cons'!Linking_Range_40</vt:lpstr>
      <vt:lpstr>Linking_Range_40</vt:lpstr>
      <vt:lpstr>'MS vs. Cons'!Linking_Range_43</vt:lpstr>
      <vt:lpstr>Linking_Range_43</vt:lpstr>
      <vt:lpstr>Linking_Range_44</vt:lpstr>
      <vt:lpstr>Linking_Range_45</vt:lpstr>
      <vt:lpstr>Linking_Range_47</vt:lpstr>
      <vt:lpstr>Linking_Range_52</vt:lpstr>
      <vt:lpstr>'MS vs. Cons'!Linking_Range_53</vt:lpstr>
      <vt:lpstr>Linking_Range_53</vt:lpstr>
      <vt:lpstr>'MS vs. Cons'!Linking_Range_54</vt:lpstr>
      <vt:lpstr>Linking_Range_54</vt:lpstr>
      <vt:lpstr>Linking_Range_57</vt:lpstr>
      <vt:lpstr>'MS vs. Cons'!Linking_Range_58</vt:lpstr>
      <vt:lpstr>Linking_Range_58</vt:lpstr>
      <vt:lpstr>Linking_Range_59</vt:lpstr>
      <vt:lpstr>'MS vs. Cons'!Linking_Range_60</vt:lpstr>
      <vt:lpstr>Linking_Range_60</vt:lpstr>
      <vt:lpstr>Linking_Range_76</vt:lpstr>
      <vt:lpstr>'MS vs. Cons'!Linking_Range_77</vt:lpstr>
      <vt:lpstr>Linking_Range_77</vt:lpstr>
      <vt:lpstr>Linking_Range_78</vt:lpstr>
      <vt:lpstr>'MS vs. Cons'!Linking_Range_79</vt:lpstr>
      <vt:lpstr>Linking_Range_79</vt:lpstr>
      <vt:lpstr>Linking_Range_80</vt:lpstr>
      <vt:lpstr>'MS vs. Cons'!Linking_Range_81</vt:lpstr>
      <vt:lpstr>Linking_Range_81</vt:lpstr>
      <vt:lpstr>'MS vs. Cons'!Linking_Range_88</vt:lpstr>
      <vt:lpstr>Linking_Range_88</vt:lpstr>
      <vt:lpstr>Linking_Range_89</vt:lpstr>
      <vt:lpstr>'MS vs. Cons'!Linking_Range_90</vt:lpstr>
      <vt:lpstr>Linking_Range_90</vt:lpstr>
      <vt:lpstr>Linking_Range_91</vt:lpstr>
      <vt:lpstr>'MS vs. Cons'!Linking_Range_92</vt:lpstr>
      <vt:lpstr>Linking_Range_92</vt:lpstr>
      <vt:lpstr>Linking_Range_93</vt:lpstr>
      <vt:lpstr>'MS vs. Cons'!Linking_Range_94</vt:lpstr>
      <vt:lpstr>Linking_Range_94</vt:lpstr>
      <vt:lpstr>IndexInformation!MacroVersion</vt:lpstr>
      <vt:lpstr>MATURITY</vt:lpstr>
      <vt:lpstr>ImportantDisclosures!ModelPrice</vt:lpstr>
      <vt:lpstr>IndexInformation!Multiplier</vt:lpstr>
      <vt:lpstr>IndexInformation!NextYearEPS</vt:lpstr>
      <vt:lpstr>IndexInformation!NextYearTotalRevenue</vt:lpstr>
      <vt:lpstr>IndexInformation!NextYearTotalRevenueActual</vt:lpstr>
      <vt:lpstr>ObjectType</vt:lpstr>
      <vt:lpstr>ModPubIndex!PANA</vt:lpstr>
      <vt:lpstr>IndexInformation!PathName</vt:lpstr>
      <vt:lpstr>ModPubIndex!PRODUCT</vt:lpstr>
      <vt:lpstr>ModPubIndex!PSYM</vt:lpstr>
      <vt:lpstr>IndexInformation!PublishDate</vt:lpstr>
      <vt:lpstr>IndexInformation!Rating</vt:lpstr>
      <vt:lpstr>ImportantDisclosures!RatingsDefined</vt:lpstr>
      <vt:lpstr>IndexInformation!ResearchTopic</vt:lpstr>
      <vt:lpstr>IndexInformation!RIC</vt:lpstr>
      <vt:lpstr>IndexInformation!SEDOL</vt:lpstr>
      <vt:lpstr>ImportantDisclosures!SourceDefined</vt:lpstr>
      <vt:lpstr>ImportantDisclosures!StockRating</vt:lpstr>
      <vt:lpstr>IndexInformation!SubjectCode</vt:lpstr>
      <vt:lpstr>SubmitterUserId</vt:lpstr>
      <vt:lpstr>ModPubIndex!SUPPRESSED</vt:lpstr>
      <vt:lpstr>ImportantDisclosures!TargetPrice</vt:lpstr>
      <vt:lpstr>TemplateRegion</vt:lpstr>
      <vt:lpstr>ImportantDisclosures!Ticker</vt:lpstr>
      <vt:lpstr>TickerRegion</vt:lpstr>
      <vt:lpstr>IndexInformation!Tickers</vt:lpstr>
      <vt:lpstr>IndexInformation!UpdateReason</vt:lpstr>
    </vt:vector>
  </TitlesOfParts>
  <Company>Citibank, N.A.</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2001-08-31T19:06:56Z</dcterms:created>
  <dc:creator>O'Connor, Daniel C [NAM-FIN]</dc:creator>
  <cp:lastModifiedBy>Gosalia, Manan (Research)</cp:lastModifiedBy>
  <cp:lastPrinted>2018-04-16T01:45:03Z</cp:lastPrinted>
  <dcterms:modified xsi:type="dcterms:W3CDTF">2018-04-16T10:25:58Z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name="{A44787D4-0540-4523-9961-78E4036D8C6D}" pid="2">
    <vt:lpwstr>{D58A9B84-F497-439D-AB33-C291F7C89706}</vt:lpwstr>
  </property>
  <property fmtid="{D5CDD505-2E9C-101B-9397-08002B2CF9AE}" name="ERModPubTicket" pid="3">
    <vt:lpwstr>NA</vt:lpwstr>
  </property>
  <property fmtid="{D5CDD505-2E9C-101B-9397-08002B2CF9AE}" name="ERCompanyUploadState" pid="4">
    <vt:lpwstr>P</vt:lpwstr>
  </property>
  <property fmtid="{D5CDD505-2E9C-101B-9397-08002B2CF9AE}" name="ModelId" pid="5">
    <vt:lpwstr>761836</vt:lpwstr>
  </property>
  <property fmtid="{D5CDD505-2E9C-101B-9397-08002B2CF9AE}" name="ERModPubCompanyName" pid="6">
    <vt:lpwstr>Citigroup Inc.</vt:lpwstr>
  </property>
  <property fmtid="{D5CDD505-2E9C-101B-9397-08002B2CF9AE}" name="MSDH34TAG" pid="7">
    <vt:lpwstr>.TEZUF76X5TAHATHESADREYAK-00-INB160+*94600-06=903a45a0/-4160/-11e8/-9695/-5e5c95fbb3b1,MD=20180416065230/-0400,ZZ=000Z-93b8.</vt:lpwstr>
  </property>
</Properties>
</file>